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1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2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essencis.sharepoint.com/sites/ssi/novosnegocios/Gesto de Portflio e Valuation/1 - Concessões e PPPs/Projetos/2026/CISPAR - MG/"/>
    </mc:Choice>
  </mc:AlternateContent>
  <xr:revisionPtr revIDLastSave="55" documentId="8_{BCAD02A2-0CD5-41D5-AE13-49C95CC36F84}" xr6:coauthVersionLast="47" xr6:coauthVersionMax="47" xr10:uidLastSave="{DE92325F-7574-4242-9112-6899C230F9B8}"/>
  <bookViews>
    <workbookView xWindow="-28920" yWindow="1725" windowWidth="29040" windowHeight="15720" tabRatio="686" firstSheet="3" activeTab="8" xr2:uid="{9EA866A6-ADD8-4E32-A363-7D7589DF7CFD}"/>
  </bookViews>
  <sheets>
    <sheet name="Início" sheetId="70" r:id="rId1"/>
    <sheet name="Instruções" sheetId="44" r:id="rId2"/>
    <sheet name="PAINEL" sheetId="21" r:id="rId3"/>
    <sheet name="Premissas Gerais" sheetId="1" r:id="rId4"/>
    <sheet name="Balanço de Massa" sheetId="69" r:id="rId5"/>
    <sheet name="Premissas Geração de Resíduos" sheetId="6" r:id="rId6"/>
    <sheet name="Notas" sheetId="71" r:id="rId7"/>
    <sheet name="Premissas Economias e Água" sheetId="17" r:id="rId8"/>
    <sheet name="Modelo Tarifário" sheetId="52" r:id="rId9"/>
    <sheet name="Premissas Tarifa Social" sheetId="60" r:id="rId10"/>
    <sheet name="Fluxo de Caixa" sheetId="15" r:id="rId11"/>
    <sheet name="DRE" sheetId="41" r:id="rId12"/>
    <sheet name="CAPEX E OPEX" sheetId="13" r:id="rId13"/>
    <sheet name="Receitas" sheetId="18" r:id="rId14"/>
    <sheet name="Value for Money" sheetId="48" r:id="rId15"/>
    <sheet name="Seguros" sheetId="49" r:id="rId16"/>
    <sheet name="Capital de Giro" sheetId="19" r:id="rId17"/>
    <sheet name="Amortização" sheetId="47" r:id="rId18"/>
    <sheet name="WACC" sheetId="5" r:id="rId19"/>
    <sheet name="Tributos-LR" sheetId="32" r:id="rId20"/>
    <sheet name="Tributos-LP" sheetId="33" r:id="rId21"/>
    <sheet name="Venda dos Caminhões" sheetId="67" r:id="rId22"/>
    <sheet name="CAPEX_Coleta" sheetId="22" r:id="rId23"/>
    <sheet name="CAPEX_Transbordo" sheetId="23" r:id="rId24"/>
    <sheet name="CAPEX_Tratamento" sheetId="24" r:id="rId25"/>
    <sheet name="CAPEX_Disposição Final" sheetId="25" r:id="rId26"/>
    <sheet name="CAPEX_SPE" sheetId="40" r:id="rId27"/>
    <sheet name="CAPEX_Inclusão Catador" sheetId="65" r:id="rId28"/>
    <sheet name="OPEX _Coleta" sheetId="29" r:id="rId29"/>
    <sheet name="OPEX _Transbordo" sheetId="28" r:id="rId30"/>
    <sheet name="OPEX_Tratamento" sheetId="27" r:id="rId31"/>
    <sheet name="OPEX _Disposição Final" sheetId="26" r:id="rId32"/>
    <sheet name="OPEX_Socioambiental" sheetId="38" r:id="rId33"/>
    <sheet name="OPEX_SPE" sheetId="39" r:id="rId34"/>
    <sheet name="OPEX_Inclusão Catador" sheetId="63" r:id="rId35"/>
    <sheet name="Dados Cobrança" sheetId="61" r:id="rId36"/>
    <sheet name="Base Inadimplência" sheetId="66" r:id="rId37"/>
    <sheet name="ICSD" sheetId="55" r:id="rId38"/>
    <sheet name="Instrumentos Financeiros" sheetId="53" r:id="rId39"/>
    <sheet name="Cálculo Valor RPU" sheetId="34" r:id="rId40"/>
    <sheet name="Capital de Giro RPU" sheetId="37" r:id="rId41"/>
    <sheet name="Tributos RPU" sheetId="36" r:id="rId42"/>
    <sheet name="Sensibilidade" sheetId="45" r:id="rId43"/>
    <sheet name="Tabelas" sheetId="4" r:id="rId44"/>
    <sheet name="Gráficos" sheetId="56" r:id="rId45"/>
  </sheets>
  <externalReferences>
    <externalReference r:id="rId46"/>
  </externalReferences>
  <definedNames>
    <definedName name="_Ref142327667" localSheetId="43">Tabelas!$C$91</definedName>
    <definedName name="_xleta.AND" hidden="1" xlm="1">#NAME?</definedName>
    <definedName name="_xleta.AVERAGE" hidden="1" xlm="1">#NAME?</definedName>
    <definedName name="_xleta.N" hidden="1" xlm="1">#NAME?</definedName>
    <definedName name="_xleta.ROUNDUP" hidden="1" xlm="1">#NAME?</definedName>
    <definedName name="_xleta.SUM" hidden="1" xlm="1">#NAME?</definedName>
    <definedName name="ANO_I">[1]Premissas!$F$21</definedName>
    <definedName name="_xlnm.Print_Area" localSheetId="37">ICSD!$B$3:$AI$9</definedName>
    <definedName name="_xlnm.Print_Area" localSheetId="19">'Tributos-LR'!$C$5:$AJ$66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4" i="1" l="1"/>
  <c r="G103" i="63"/>
  <c r="H103" i="63"/>
  <c r="I103" i="63"/>
  <c r="J103" i="63"/>
  <c r="K103" i="63"/>
  <c r="L103" i="63"/>
  <c r="M103" i="63"/>
  <c r="N103" i="63"/>
  <c r="O103" i="63"/>
  <c r="P103" i="63"/>
  <c r="Q103" i="63"/>
  <c r="R103" i="63"/>
  <c r="S103" i="63"/>
  <c r="T103" i="63"/>
  <c r="U103" i="63"/>
  <c r="V103" i="63"/>
  <c r="W103" i="63"/>
  <c r="X103" i="63"/>
  <c r="Y103" i="63"/>
  <c r="Z103" i="63"/>
  <c r="AA103" i="63"/>
  <c r="AB103" i="63"/>
  <c r="AC103" i="63"/>
  <c r="AD103" i="63"/>
  <c r="AE103" i="63"/>
  <c r="AF103" i="63"/>
  <c r="AG103" i="63"/>
  <c r="AH103" i="63"/>
  <c r="AI103" i="63"/>
  <c r="F103" i="63"/>
  <c r="F56" i="63" l="1"/>
  <c r="M18" i="17"/>
  <c r="M17" i="17"/>
  <c r="N16" i="17"/>
  <c r="M16" i="17"/>
  <c r="C8" i="17"/>
  <c r="G133" i="17"/>
  <c r="G16" i="24"/>
  <c r="G56" i="53"/>
  <c r="D21" i="65"/>
  <c r="AN101" i="63"/>
  <c r="AM101" i="63"/>
  <c r="AL101" i="63"/>
  <c r="AK101" i="63"/>
  <c r="AJ101" i="63"/>
  <c r="AH100" i="63"/>
  <c r="AE100" i="63"/>
  <c r="AB100" i="63"/>
  <c r="Y100" i="63"/>
  <c r="V100" i="63"/>
  <c r="S100" i="63"/>
  <c r="P100" i="63"/>
  <c r="M100" i="63"/>
  <c r="J100" i="63"/>
  <c r="E87" i="63"/>
  <c r="G100" i="63" s="1"/>
  <c r="AN29" i="27"/>
  <c r="AM29" i="27"/>
  <c r="AL29" i="27"/>
  <c r="AK29" i="27"/>
  <c r="AJ29" i="27"/>
  <c r="AI29" i="27"/>
  <c r="AH29" i="27"/>
  <c r="AG29" i="27"/>
  <c r="AF29" i="27"/>
  <c r="AE29" i="27"/>
  <c r="AD29" i="27"/>
  <c r="AC29" i="27"/>
  <c r="AB29" i="27"/>
  <c r="AA29" i="27"/>
  <c r="Z29" i="27"/>
  <c r="Y29" i="27"/>
  <c r="X29" i="27"/>
  <c r="W29" i="27"/>
  <c r="V29" i="27"/>
  <c r="U29" i="27"/>
  <c r="T29" i="27"/>
  <c r="S29" i="27"/>
  <c r="R29" i="27"/>
  <c r="Q29" i="27"/>
  <c r="P29" i="27"/>
  <c r="O29" i="27"/>
  <c r="N29" i="27"/>
  <c r="M29" i="27"/>
  <c r="L29" i="27"/>
  <c r="K29" i="27"/>
  <c r="J29" i="27"/>
  <c r="I29" i="27"/>
  <c r="H29" i="27"/>
  <c r="G29" i="27"/>
  <c r="F29" i="27"/>
  <c r="E29" i="27"/>
  <c r="E28" i="27"/>
  <c r="AN28" i="27"/>
  <c r="AM28" i="27"/>
  <c r="AL28" i="27"/>
  <c r="AK28" i="27"/>
  <c r="AJ28" i="27"/>
  <c r="AI28" i="27"/>
  <c r="AH28" i="27"/>
  <c r="AG28" i="27"/>
  <c r="AF28" i="27"/>
  <c r="AE28" i="27"/>
  <c r="AD28" i="27"/>
  <c r="AC28" i="27"/>
  <c r="AB28" i="27"/>
  <c r="AA28" i="27"/>
  <c r="Z28" i="27"/>
  <c r="Y28" i="27"/>
  <c r="X28" i="27"/>
  <c r="W28" i="27"/>
  <c r="V28" i="27"/>
  <c r="U28" i="27"/>
  <c r="T28" i="27"/>
  <c r="S28" i="27"/>
  <c r="R28" i="27"/>
  <c r="Q28" i="27"/>
  <c r="P28" i="27"/>
  <c r="O28" i="27"/>
  <c r="N28" i="27"/>
  <c r="M28" i="27"/>
  <c r="L28" i="27"/>
  <c r="K28" i="27"/>
  <c r="J28" i="27"/>
  <c r="I28" i="27"/>
  <c r="H28" i="27"/>
  <c r="G28" i="27"/>
  <c r="F28" i="27"/>
  <c r="F19" i="27"/>
  <c r="E19" i="27"/>
  <c r="G18" i="27"/>
  <c r="H18" i="27" s="1"/>
  <c r="G17" i="27"/>
  <c r="H17" i="27" s="1"/>
  <c r="G16" i="27"/>
  <c r="H16" i="27" s="1"/>
  <c r="G15" i="27"/>
  <c r="H15" i="27" s="1"/>
  <c r="G14" i="27"/>
  <c r="H14" i="27" s="1"/>
  <c r="G13" i="27"/>
  <c r="H13" i="27" s="1"/>
  <c r="E100" i="63" l="1"/>
  <c r="H19" i="27"/>
  <c r="G19" i="27"/>
  <c r="F99" i="63" l="1"/>
  <c r="I40" i="63"/>
  <c r="F39" i="63"/>
  <c r="F40" i="63"/>
  <c r="I39" i="63"/>
  <c r="H55" i="63"/>
  <c r="H54" i="63"/>
  <c r="H53" i="63"/>
  <c r="H52" i="63"/>
  <c r="H51" i="63"/>
  <c r="F38" i="63"/>
  <c r="I38" i="63"/>
  <c r="G41" i="63"/>
  <c r="F96" i="63" s="1"/>
  <c r="G96" i="63" s="1"/>
  <c r="H96" i="63" s="1"/>
  <c r="I96" i="63" s="1"/>
  <c r="J96" i="63" s="1"/>
  <c r="K96" i="63" s="1"/>
  <c r="L96" i="63" s="1"/>
  <c r="M96" i="63" s="1"/>
  <c r="N96" i="63" s="1"/>
  <c r="O96" i="63" s="1"/>
  <c r="P96" i="63" s="1"/>
  <c r="Q96" i="63" s="1"/>
  <c r="R96" i="63" s="1"/>
  <c r="S96" i="63" s="1"/>
  <c r="T96" i="63" s="1"/>
  <c r="U96" i="63" s="1"/>
  <c r="V96" i="63" s="1"/>
  <c r="W96" i="63" s="1"/>
  <c r="X96" i="63" s="1"/>
  <c r="Y96" i="63" s="1"/>
  <c r="Z96" i="63" s="1"/>
  <c r="AA96" i="63" s="1"/>
  <c r="AB96" i="63" s="1"/>
  <c r="AC96" i="63" s="1"/>
  <c r="AD96" i="63" s="1"/>
  <c r="AE96" i="63" s="1"/>
  <c r="AF96" i="63" s="1"/>
  <c r="AG96" i="63" s="1"/>
  <c r="AH96" i="63" s="1"/>
  <c r="AI96" i="63" s="1"/>
  <c r="F41" i="63" l="1"/>
  <c r="G33" i="24"/>
  <c r="I25" i="24"/>
  <c r="I23" i="24"/>
  <c r="I22" i="24"/>
  <c r="G30" i="24"/>
  <c r="G29" i="24"/>
  <c r="H23" i="24"/>
  <c r="H24" i="24" s="1"/>
  <c r="H26" i="24" s="1"/>
  <c r="H22" i="24"/>
  <c r="G24" i="24"/>
  <c r="G26" i="24" s="1"/>
  <c r="H50" i="63"/>
  <c r="H49" i="63"/>
  <c r="H48" i="63"/>
  <c r="H47" i="63"/>
  <c r="G145" i="29"/>
  <c r="G174" i="29"/>
  <c r="H63" i="29"/>
  <c r="F44" i="26"/>
  <c r="F45" i="26"/>
  <c r="H32" i="28"/>
  <c r="E55" i="25"/>
  <c r="G50" i="23"/>
  <c r="I24" i="24" l="1"/>
  <c r="I26" i="24" s="1"/>
  <c r="F16" i="67"/>
  <c r="F13" i="67"/>
  <c r="F10" i="67"/>
  <c r="F7" i="67"/>
  <c r="K71" i="29"/>
  <c r="H65" i="29"/>
  <c r="G118" i="29"/>
  <c r="F46" i="26"/>
  <c r="F107" i="29"/>
  <c r="G119" i="29"/>
  <c r="F13" i="65"/>
  <c r="F24" i="25"/>
  <c r="D19" i="65" l="1"/>
  <c r="D17" i="65"/>
  <c r="D18" i="65"/>
  <c r="D20" i="65"/>
  <c r="D22" i="65" s="1"/>
  <c r="K97" i="63"/>
  <c r="F97" i="63"/>
  <c r="E76" i="22"/>
  <c r="D49" i="22"/>
  <c r="D48" i="22"/>
  <c r="E96" i="63" l="1"/>
  <c r="E43" i="5"/>
  <c r="E17" i="5"/>
  <c r="E11" i="5" s="1"/>
  <c r="E6" i="5" s="1"/>
  <c r="E21" i="5" s="1"/>
  <c r="E39" i="5" s="1"/>
  <c r="H64" i="63" l="1"/>
  <c r="H63" i="63"/>
  <c r="H23" i="63"/>
  <c r="E11" i="65"/>
  <c r="E13" i="65" s="1"/>
  <c r="L97" i="63" l="1"/>
  <c r="H65" i="63"/>
  <c r="H66" i="63" s="1"/>
  <c r="E19" i="38"/>
  <c r="F40" i="38" s="1"/>
  <c r="M97" i="63" l="1"/>
  <c r="F98" i="63"/>
  <c r="G98" i="63" s="1"/>
  <c r="AI99" i="63"/>
  <c r="AD99" i="63"/>
  <c r="Y99" i="63"/>
  <c r="T99" i="63"/>
  <c r="O99" i="63"/>
  <c r="J99" i="63"/>
  <c r="F78" i="63"/>
  <c r="H99" i="63" s="1"/>
  <c r="F26" i="25"/>
  <c r="F28" i="25" s="1"/>
  <c r="I37" i="23"/>
  <c r="G48" i="22"/>
  <c r="G49" i="22"/>
  <c r="E75" i="22"/>
  <c r="N97" i="63" l="1"/>
  <c r="H98" i="63"/>
  <c r="I98" i="63" s="1"/>
  <c r="J98" i="63" s="1"/>
  <c r="K98" i="63" s="1"/>
  <c r="F27" i="25"/>
  <c r="X99" i="63"/>
  <c r="S99" i="63"/>
  <c r="Q99" i="63"/>
  <c r="R99" i="63"/>
  <c r="AG99" i="63"/>
  <c r="M99" i="63"/>
  <c r="AF99" i="63"/>
  <c r="G99" i="63"/>
  <c r="AC99" i="63"/>
  <c r="AA99" i="63"/>
  <c r="Z99" i="63"/>
  <c r="AE99" i="63"/>
  <c r="AB99" i="63"/>
  <c r="N99" i="63"/>
  <c r="K99" i="63"/>
  <c r="P99" i="63"/>
  <c r="L99" i="63"/>
  <c r="U99" i="63"/>
  <c r="W99" i="63"/>
  <c r="I99" i="63"/>
  <c r="AH99" i="63"/>
  <c r="V99" i="63"/>
  <c r="L98" i="63" l="1"/>
  <c r="K101" i="63"/>
  <c r="O97" i="63"/>
  <c r="G44" i="32"/>
  <c r="M98" i="63" l="1"/>
  <c r="L101" i="63"/>
  <c r="P97" i="63"/>
  <c r="E34" i="61"/>
  <c r="E35" i="61"/>
  <c r="E36" i="61"/>
  <c r="E37" i="61"/>
  <c r="E33" i="61"/>
  <c r="F17" i="61"/>
  <c r="E17" i="61"/>
  <c r="D17" i="61"/>
  <c r="C17" i="61"/>
  <c r="E6" i="61"/>
  <c r="D6" i="61"/>
  <c r="C6" i="61"/>
  <c r="F51" i="61"/>
  <c r="G18" i="61"/>
  <c r="F7" i="61"/>
  <c r="G7" i="61" s="1"/>
  <c r="N98" i="63" l="1"/>
  <c r="M101" i="63"/>
  <c r="Q97" i="63"/>
  <c r="F6" i="61"/>
  <c r="O98" i="63" l="1"/>
  <c r="N101" i="63"/>
  <c r="R97" i="63"/>
  <c r="D195" i="6"/>
  <c r="E177" i="6"/>
  <c r="F177" i="6" s="1"/>
  <c r="G177" i="6" s="1"/>
  <c r="H177" i="6" s="1"/>
  <c r="I177" i="6" s="1"/>
  <c r="J177" i="6" s="1"/>
  <c r="K177" i="6" s="1"/>
  <c r="L177" i="6" s="1"/>
  <c r="M177" i="6" s="1"/>
  <c r="N177" i="6" s="1"/>
  <c r="O177" i="6" s="1"/>
  <c r="P177" i="6" s="1"/>
  <c r="Q177" i="6" s="1"/>
  <c r="R177" i="6" s="1"/>
  <c r="S177" i="6" s="1"/>
  <c r="T177" i="6" s="1"/>
  <c r="U177" i="6" s="1"/>
  <c r="V177" i="6" s="1"/>
  <c r="W177" i="6" s="1"/>
  <c r="X177" i="6" s="1"/>
  <c r="Y177" i="6" s="1"/>
  <c r="Z177" i="6" s="1"/>
  <c r="AA177" i="6" s="1"/>
  <c r="AB177" i="6" s="1"/>
  <c r="AC177" i="6" s="1"/>
  <c r="AD177" i="6" s="1"/>
  <c r="AE177" i="6" s="1"/>
  <c r="AF177" i="6" s="1"/>
  <c r="AG177" i="6" s="1"/>
  <c r="F30" i="69"/>
  <c r="F27" i="69"/>
  <c r="F24" i="69"/>
  <c r="F9" i="69"/>
  <c r="P98" i="63" l="1"/>
  <c r="O101" i="63"/>
  <c r="S97" i="63"/>
  <c r="J27" i="69"/>
  <c r="F13" i="13"/>
  <c r="AI13" i="13"/>
  <c r="AH13" i="13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Q98" i="63" l="1"/>
  <c r="P101" i="63"/>
  <c r="T97" i="63"/>
  <c r="E13" i="13"/>
  <c r="F10" i="41"/>
  <c r="R98" i="63" l="1"/>
  <c r="Q101" i="63"/>
  <c r="U97" i="63"/>
  <c r="F144" i="18"/>
  <c r="F11" i="15" s="1"/>
  <c r="F37" i="67"/>
  <c r="F36" i="67"/>
  <c r="S98" i="63" l="1"/>
  <c r="R101" i="63"/>
  <c r="V97" i="63"/>
  <c r="N43" i="17"/>
  <c r="N42" i="17"/>
  <c r="N41" i="17"/>
  <c r="N18" i="17"/>
  <c r="N17" i="17"/>
  <c r="L72" i="29"/>
  <c r="M64" i="29" s="1"/>
  <c r="H85" i="29"/>
  <c r="H84" i="29"/>
  <c r="H100" i="29"/>
  <c r="E11" i="24"/>
  <c r="G17" i="24"/>
  <c r="G15" i="24"/>
  <c r="G14" i="24"/>
  <c r="F77" i="23"/>
  <c r="F73" i="23"/>
  <c r="F32" i="23"/>
  <c r="E143" i="22"/>
  <c r="E142" i="22"/>
  <c r="E141" i="22"/>
  <c r="G141" i="22" s="1"/>
  <c r="E140" i="22"/>
  <c r="E139" i="22"/>
  <c r="E138" i="22"/>
  <c r="E137" i="22"/>
  <c r="E136" i="22"/>
  <c r="E135" i="22"/>
  <c r="E157" i="22"/>
  <c r="E156" i="22"/>
  <c r="E155" i="22"/>
  <c r="G155" i="22" s="1"/>
  <c r="E154" i="22"/>
  <c r="E153" i="22"/>
  <c r="E152" i="22"/>
  <c r="E151" i="22"/>
  <c r="E150" i="22"/>
  <c r="E149" i="22"/>
  <c r="E127" i="22"/>
  <c r="AD89" i="22"/>
  <c r="AD88" i="22"/>
  <c r="AD87" i="22"/>
  <c r="AD86" i="22"/>
  <c r="AD85" i="22"/>
  <c r="Y89" i="22"/>
  <c r="Y88" i="22"/>
  <c r="Y87" i="22"/>
  <c r="Y86" i="22"/>
  <c r="Y85" i="22"/>
  <c r="T89" i="22"/>
  <c r="T88" i="22"/>
  <c r="T87" i="22"/>
  <c r="T86" i="22"/>
  <c r="T85" i="22"/>
  <c r="O89" i="22"/>
  <c r="O88" i="22"/>
  <c r="O87" i="22"/>
  <c r="O86" i="22"/>
  <c r="O85" i="22"/>
  <c r="J89" i="22"/>
  <c r="J88" i="22"/>
  <c r="J87" i="22"/>
  <c r="J86" i="22"/>
  <c r="J85" i="22"/>
  <c r="AH127" i="22"/>
  <c r="AG127" i="22"/>
  <c r="AF127" i="22"/>
  <c r="AE127" i="22"/>
  <c r="AD127" i="22"/>
  <c r="AC127" i="22"/>
  <c r="AB127" i="22"/>
  <c r="AA127" i="22"/>
  <c r="Z127" i="22"/>
  <c r="Y127" i="22"/>
  <c r="X127" i="22"/>
  <c r="W127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I127" i="22"/>
  <c r="H127" i="22"/>
  <c r="G127" i="22"/>
  <c r="F127" i="22"/>
  <c r="T98" i="63" l="1"/>
  <c r="S101" i="63"/>
  <c r="W97" i="63"/>
  <c r="M70" i="29"/>
  <c r="M71" i="29"/>
  <c r="M69" i="29"/>
  <c r="M68" i="29"/>
  <c r="M67" i="29"/>
  <c r="M66" i="29"/>
  <c r="M65" i="29"/>
  <c r="M63" i="29"/>
  <c r="H86" i="29"/>
  <c r="F81" i="22"/>
  <c r="G81" i="22" s="1"/>
  <c r="H81" i="22" s="1"/>
  <c r="I81" i="22" s="1"/>
  <c r="J81" i="22" s="1"/>
  <c r="K81" i="22" s="1"/>
  <c r="L81" i="22" s="1"/>
  <c r="M81" i="22" s="1"/>
  <c r="N81" i="22" s="1"/>
  <c r="O81" i="22" s="1"/>
  <c r="P81" i="22" s="1"/>
  <c r="Q81" i="22" s="1"/>
  <c r="R81" i="22" s="1"/>
  <c r="S81" i="22" s="1"/>
  <c r="T81" i="22" s="1"/>
  <c r="U81" i="22" s="1"/>
  <c r="V81" i="22" s="1"/>
  <c r="W81" i="22" s="1"/>
  <c r="X81" i="22" s="1"/>
  <c r="Y81" i="22" s="1"/>
  <c r="Z81" i="22" s="1"/>
  <c r="AA81" i="22" s="1"/>
  <c r="AB81" i="22" s="1"/>
  <c r="AC81" i="22" s="1"/>
  <c r="AD81" i="22" s="1"/>
  <c r="AE81" i="22" s="1"/>
  <c r="AF81" i="22" s="1"/>
  <c r="AG81" i="22" s="1"/>
  <c r="AH81" i="22" s="1"/>
  <c r="G59" i="22"/>
  <c r="F64" i="22" s="1"/>
  <c r="G58" i="22"/>
  <c r="E64" i="22" s="1"/>
  <c r="G50" i="22"/>
  <c r="G51" i="22" s="1"/>
  <c r="G34" i="67"/>
  <c r="F35" i="67"/>
  <c r="D23" i="67"/>
  <c r="D25" i="67" s="1"/>
  <c r="D27" i="67" s="1"/>
  <c r="I18" i="22"/>
  <c r="I17" i="22"/>
  <c r="I16" i="22"/>
  <c r="I15" i="22"/>
  <c r="I12" i="22"/>
  <c r="I11" i="22"/>
  <c r="I9" i="22"/>
  <c r="H17" i="22"/>
  <c r="H16" i="22"/>
  <c r="H15" i="22"/>
  <c r="H12" i="22"/>
  <c r="H11" i="22"/>
  <c r="H9" i="22"/>
  <c r="O18" i="22"/>
  <c r="N18" i="22"/>
  <c r="O17" i="22"/>
  <c r="N17" i="22"/>
  <c r="O16" i="22"/>
  <c r="N16" i="22"/>
  <c r="O15" i="22"/>
  <c r="N15" i="22"/>
  <c r="O12" i="22"/>
  <c r="N12" i="22"/>
  <c r="O11" i="22"/>
  <c r="N11" i="22"/>
  <c r="O9" i="22"/>
  <c r="N9" i="22"/>
  <c r="J18" i="22"/>
  <c r="J17" i="22"/>
  <c r="J16" i="22"/>
  <c r="J15" i="22"/>
  <c r="J12" i="22"/>
  <c r="J11" i="22"/>
  <c r="J9" i="22"/>
  <c r="H18" i="22"/>
  <c r="C28" i="22"/>
  <c r="C31" i="22" s="1"/>
  <c r="C27" i="22"/>
  <c r="C29" i="22" s="1"/>
  <c r="C30" i="22" s="1"/>
  <c r="C32" i="22" s="1"/>
  <c r="P12" i="22"/>
  <c r="P18" i="22"/>
  <c r="P17" i="22"/>
  <c r="P16" i="22"/>
  <c r="P15" i="22"/>
  <c r="P9" i="22"/>
  <c r="P11" i="22"/>
  <c r="U98" i="63" l="1"/>
  <c r="T101" i="63"/>
  <c r="X97" i="63"/>
  <c r="AC86" i="22"/>
  <c r="M86" i="22"/>
  <c r="U86" i="22"/>
  <c r="M88" i="22"/>
  <c r="AC88" i="22"/>
  <c r="U88" i="22"/>
  <c r="M89" i="22"/>
  <c r="AC89" i="22"/>
  <c r="U89" i="22"/>
  <c r="U85" i="22"/>
  <c r="M85" i="22"/>
  <c r="AC85" i="22"/>
  <c r="E88" i="22"/>
  <c r="E89" i="22"/>
  <c r="E86" i="22"/>
  <c r="E87" i="22"/>
  <c r="H19" i="22"/>
  <c r="D26" i="22" s="1"/>
  <c r="E85" i="22"/>
  <c r="M87" i="22"/>
  <c r="AC87" i="22"/>
  <c r="U87" i="22"/>
  <c r="H34" i="67"/>
  <c r="I34" i="67" s="1"/>
  <c r="G36" i="67"/>
  <c r="G37" i="67"/>
  <c r="M72" i="29"/>
  <c r="G64" i="22"/>
  <c r="G60" i="22"/>
  <c r="F65" i="22"/>
  <c r="F66" i="22" s="1"/>
  <c r="E65" i="22"/>
  <c r="I19" i="22"/>
  <c r="E26" i="22" s="1"/>
  <c r="G35" i="67"/>
  <c r="J19" i="22"/>
  <c r="F26" i="22" s="1"/>
  <c r="P19" i="22"/>
  <c r="F34" i="22" s="1"/>
  <c r="N19" i="22"/>
  <c r="O19" i="22"/>
  <c r="E33" i="22" s="1"/>
  <c r="F38" i="67"/>
  <c r="V98" i="63" l="1"/>
  <c r="U101" i="63"/>
  <c r="Y97" i="63"/>
  <c r="D33" i="22"/>
  <c r="D28" i="22"/>
  <c r="H35" i="67"/>
  <c r="E10" i="41"/>
  <c r="E144" i="18"/>
  <c r="E11" i="15" s="1"/>
  <c r="I37" i="67"/>
  <c r="I36" i="67"/>
  <c r="H36" i="67"/>
  <c r="H37" i="67"/>
  <c r="J34" i="67"/>
  <c r="E66" i="22"/>
  <c r="G66" i="22" s="1"/>
  <c r="G65" i="22"/>
  <c r="G67" i="22" s="1"/>
  <c r="F67" i="22"/>
  <c r="I35" i="67"/>
  <c r="G33" i="22"/>
  <c r="E31" i="22"/>
  <c r="E28" i="22"/>
  <c r="F32" i="22"/>
  <c r="G32" i="22" s="1"/>
  <c r="F29" i="22"/>
  <c r="G29" i="22" s="1"/>
  <c r="F27" i="22"/>
  <c r="G27" i="22" s="1"/>
  <c r="F30" i="22"/>
  <c r="G30" i="22" s="1"/>
  <c r="G34" i="22"/>
  <c r="D31" i="22"/>
  <c r="G26" i="22"/>
  <c r="E73" i="22" s="1"/>
  <c r="W98" i="63" l="1"/>
  <c r="V101" i="63"/>
  <c r="Z97" i="63"/>
  <c r="H38" i="67"/>
  <c r="J36" i="67"/>
  <c r="J37" i="67"/>
  <c r="K34" i="67"/>
  <c r="I38" i="67"/>
  <c r="E67" i="22"/>
  <c r="J35" i="67"/>
  <c r="G28" i="22"/>
  <c r="G31" i="22"/>
  <c r="X98" i="63" l="1"/>
  <c r="W101" i="63"/>
  <c r="AA97" i="63"/>
  <c r="G10" i="41"/>
  <c r="G144" i="18"/>
  <c r="G11" i="15" s="1"/>
  <c r="H10" i="41"/>
  <c r="H144" i="18"/>
  <c r="H11" i="15" s="1"/>
  <c r="K36" i="67"/>
  <c r="K37" i="67"/>
  <c r="L34" i="67"/>
  <c r="J38" i="67"/>
  <c r="K35" i="67"/>
  <c r="Y98" i="63" l="1"/>
  <c r="X101" i="63"/>
  <c r="AB97" i="63"/>
  <c r="I10" i="41"/>
  <c r="I144" i="18"/>
  <c r="I11" i="15" s="1"/>
  <c r="L36" i="67"/>
  <c r="L37" i="67"/>
  <c r="M34" i="67"/>
  <c r="K38" i="67"/>
  <c r="L35" i="67"/>
  <c r="Z98" i="63" l="1"/>
  <c r="Y101" i="63"/>
  <c r="AC97" i="63"/>
  <c r="J10" i="41"/>
  <c r="J144" i="18"/>
  <c r="J11" i="15" s="1"/>
  <c r="M37" i="67"/>
  <c r="M36" i="67"/>
  <c r="L38" i="67"/>
  <c r="N34" i="67"/>
  <c r="M35" i="67"/>
  <c r="AA98" i="63" l="1"/>
  <c r="Z101" i="63"/>
  <c r="AD97" i="63"/>
  <c r="K10" i="41"/>
  <c r="K144" i="18"/>
  <c r="K11" i="15" s="1"/>
  <c r="N36" i="67"/>
  <c r="N37" i="67"/>
  <c r="O34" i="67"/>
  <c r="M38" i="67"/>
  <c r="AB98" i="63" l="1"/>
  <c r="AA101" i="63"/>
  <c r="AE97" i="63"/>
  <c r="L10" i="41"/>
  <c r="L144" i="18"/>
  <c r="L11" i="15" s="1"/>
  <c r="P34" i="67"/>
  <c r="O35" i="67"/>
  <c r="AC98" i="63" l="1"/>
  <c r="AB101" i="63"/>
  <c r="AF97" i="63"/>
  <c r="P36" i="67"/>
  <c r="P37" i="67"/>
  <c r="Q34" i="67"/>
  <c r="P35" i="67"/>
  <c r="AD98" i="63" l="1"/>
  <c r="AC101" i="63"/>
  <c r="AG97" i="63"/>
  <c r="P38" i="67"/>
  <c r="Q37" i="67"/>
  <c r="Q36" i="67"/>
  <c r="R34" i="67"/>
  <c r="Q35" i="67"/>
  <c r="AE98" i="63" l="1"/>
  <c r="AD101" i="63"/>
  <c r="AH97" i="63"/>
  <c r="O10" i="41"/>
  <c r="O144" i="18"/>
  <c r="O11" i="15" s="1"/>
  <c r="R37" i="67"/>
  <c r="R36" i="67"/>
  <c r="S34" i="67"/>
  <c r="Q38" i="67"/>
  <c r="R35" i="67"/>
  <c r="AF98" i="63" l="1"/>
  <c r="AE101" i="63"/>
  <c r="AI97" i="63"/>
  <c r="P10" i="41"/>
  <c r="P144" i="18"/>
  <c r="P11" i="15" s="1"/>
  <c r="S36" i="67"/>
  <c r="S37" i="67"/>
  <c r="R38" i="67"/>
  <c r="T34" i="67"/>
  <c r="S35" i="67"/>
  <c r="AG98" i="63" l="1"/>
  <c r="AF101" i="63"/>
  <c r="Q10" i="41"/>
  <c r="Q144" i="18"/>
  <c r="Q11" i="15" s="1"/>
  <c r="T37" i="67"/>
  <c r="T36" i="67"/>
  <c r="U34" i="67"/>
  <c r="S38" i="67"/>
  <c r="T35" i="67"/>
  <c r="AH98" i="63" l="1"/>
  <c r="AG101" i="63"/>
  <c r="R10" i="41"/>
  <c r="R144" i="18"/>
  <c r="R11" i="15" s="1"/>
  <c r="U37" i="67"/>
  <c r="U36" i="67"/>
  <c r="T38" i="67"/>
  <c r="V34" i="67"/>
  <c r="U35" i="67"/>
  <c r="AI98" i="63" l="1"/>
  <c r="AH101" i="63"/>
  <c r="S10" i="41"/>
  <c r="S144" i="18"/>
  <c r="S11" i="15" s="1"/>
  <c r="V37" i="67"/>
  <c r="V36" i="67"/>
  <c r="U38" i="67"/>
  <c r="W34" i="67"/>
  <c r="E98" i="63" l="1"/>
  <c r="AI101" i="63"/>
  <c r="T10" i="41"/>
  <c r="T144" i="18"/>
  <c r="T11" i="15" s="1"/>
  <c r="W36" i="67"/>
  <c r="W37" i="67"/>
  <c r="X34" i="67"/>
  <c r="W35" i="67"/>
  <c r="W38" i="67" l="1"/>
  <c r="V144" i="18" s="1"/>
  <c r="V11" i="15" s="1"/>
  <c r="X36" i="67"/>
  <c r="X37" i="67"/>
  <c r="Y34" i="67"/>
  <c r="X35" i="67"/>
  <c r="V10" i="41" l="1"/>
  <c r="X38" i="67"/>
  <c r="Z34" i="67"/>
  <c r="Y35" i="67"/>
  <c r="W10" i="41" l="1"/>
  <c r="W144" i="18"/>
  <c r="W11" i="15" s="1"/>
  <c r="Z36" i="67"/>
  <c r="Z37" i="67"/>
  <c r="AA34" i="67"/>
  <c r="Z35" i="67"/>
  <c r="AA36" i="67" l="1"/>
  <c r="AA37" i="67"/>
  <c r="Z38" i="67"/>
  <c r="AB34" i="67"/>
  <c r="AA35" i="67"/>
  <c r="Y10" i="41" l="1"/>
  <c r="Y144" i="18"/>
  <c r="Y11" i="15" s="1"/>
  <c r="AB36" i="67"/>
  <c r="AB37" i="67"/>
  <c r="AA38" i="67"/>
  <c r="AC34" i="67"/>
  <c r="AB35" i="67"/>
  <c r="Z10" i="41" l="1"/>
  <c r="Z144" i="18"/>
  <c r="Z11" i="15" s="1"/>
  <c r="AC37" i="67"/>
  <c r="AC36" i="67"/>
  <c r="AB38" i="67"/>
  <c r="AD34" i="67"/>
  <c r="AC35" i="67"/>
  <c r="AA10" i="41" l="1"/>
  <c r="AA144" i="18"/>
  <c r="AA11" i="15" s="1"/>
  <c r="AD37" i="67"/>
  <c r="AD36" i="67"/>
  <c r="AC38" i="67"/>
  <c r="AE34" i="67"/>
  <c r="AB10" i="41" l="1"/>
  <c r="AB144" i="18"/>
  <c r="AB11" i="15" s="1"/>
  <c r="AE36" i="67"/>
  <c r="AE37" i="67"/>
  <c r="AF34" i="67"/>
  <c r="AE35" i="67"/>
  <c r="AF36" i="67" l="1"/>
  <c r="AF37" i="67"/>
  <c r="AG34" i="67"/>
  <c r="AE38" i="67"/>
  <c r="AF35" i="67"/>
  <c r="AD10" i="41" l="1"/>
  <c r="AD144" i="18"/>
  <c r="AD11" i="15" s="1"/>
  <c r="AF38" i="67"/>
  <c r="AG36" i="67"/>
  <c r="AG37" i="67"/>
  <c r="AH34" i="67"/>
  <c r="AG35" i="67"/>
  <c r="AE10" i="41" l="1"/>
  <c r="AE144" i="18"/>
  <c r="AE11" i="15" s="1"/>
  <c r="AH36" i="67"/>
  <c r="AH37" i="67"/>
  <c r="AG38" i="67"/>
  <c r="AI34" i="67"/>
  <c r="AI35" i="67" s="1"/>
  <c r="AH35" i="67"/>
  <c r="AF10" i="41" l="1"/>
  <c r="AF144" i="18"/>
  <c r="AF11" i="15" s="1"/>
  <c r="AI36" i="67"/>
  <c r="AI37" i="67"/>
  <c r="AH38" i="67"/>
  <c r="AG10" i="41" l="1"/>
  <c r="AG144" i="18"/>
  <c r="AG11" i="15" s="1"/>
  <c r="AI38" i="67"/>
  <c r="AH10" i="41" l="1"/>
  <c r="AH144" i="18"/>
  <c r="AH11" i="15" s="1"/>
  <c r="M19" i="22" l="1"/>
  <c r="L19" i="22"/>
  <c r="K19" i="22"/>
  <c r="D90" i="52"/>
  <c r="C90" i="52"/>
  <c r="D53" i="4" l="1"/>
  <c r="C53" i="4"/>
  <c r="C37" i="4"/>
  <c r="C36" i="4"/>
  <c r="C35" i="4"/>
  <c r="C34" i="4"/>
  <c r="C32" i="4"/>
  <c r="C33" i="4"/>
  <c r="C31" i="4"/>
  <c r="C30" i="4"/>
  <c r="C29" i="4"/>
  <c r="H146" i="29"/>
  <c r="H147" i="29"/>
  <c r="H148" i="29"/>
  <c r="H149" i="29"/>
  <c r="H150" i="29"/>
  <c r="H152" i="29"/>
  <c r="H144" i="29"/>
  <c r="G151" i="29"/>
  <c r="H145" i="29"/>
  <c r="I152" i="29"/>
  <c r="H99" i="29"/>
  <c r="I151" i="29" s="1"/>
  <c r="J151" i="29" s="1"/>
  <c r="K151" i="29" s="1"/>
  <c r="L151" i="29" s="1"/>
  <c r="M151" i="29" s="1"/>
  <c r="N151" i="29" s="1"/>
  <c r="O151" i="29" s="1"/>
  <c r="P151" i="29" s="1"/>
  <c r="Q151" i="29" s="1"/>
  <c r="R151" i="29" s="1"/>
  <c r="S151" i="29" s="1"/>
  <c r="T151" i="29" s="1"/>
  <c r="U151" i="29" s="1"/>
  <c r="V151" i="29" s="1"/>
  <c r="W151" i="29" s="1"/>
  <c r="X151" i="29" s="1"/>
  <c r="Y151" i="29" s="1"/>
  <c r="Z151" i="29" s="1"/>
  <c r="AA151" i="29" s="1"/>
  <c r="AB151" i="29" s="1"/>
  <c r="AC151" i="29" s="1"/>
  <c r="AD151" i="29" s="1"/>
  <c r="AE151" i="29" s="1"/>
  <c r="AF151" i="29" s="1"/>
  <c r="AG151" i="29" s="1"/>
  <c r="AH151" i="29" s="1"/>
  <c r="AI151" i="29" s="1"/>
  <c r="AJ151" i="29" s="1"/>
  <c r="H98" i="29"/>
  <c r="I150" i="29" s="1"/>
  <c r="J150" i="29" s="1"/>
  <c r="K150" i="29" s="1"/>
  <c r="L150" i="29" s="1"/>
  <c r="M150" i="29" s="1"/>
  <c r="N150" i="29" s="1"/>
  <c r="O150" i="29" s="1"/>
  <c r="P150" i="29" s="1"/>
  <c r="Q150" i="29" s="1"/>
  <c r="R150" i="29" s="1"/>
  <c r="S150" i="29" s="1"/>
  <c r="T150" i="29" s="1"/>
  <c r="U150" i="29" s="1"/>
  <c r="V150" i="29" s="1"/>
  <c r="W150" i="29" s="1"/>
  <c r="X150" i="29" s="1"/>
  <c r="Y150" i="29" s="1"/>
  <c r="Z150" i="29" s="1"/>
  <c r="AA150" i="29" s="1"/>
  <c r="AB150" i="29" s="1"/>
  <c r="AC150" i="29" s="1"/>
  <c r="AD150" i="29" s="1"/>
  <c r="AE150" i="29" s="1"/>
  <c r="AF150" i="29" s="1"/>
  <c r="AG150" i="29" s="1"/>
  <c r="AH150" i="29" s="1"/>
  <c r="AI150" i="29" s="1"/>
  <c r="AJ150" i="29" s="1"/>
  <c r="H97" i="29"/>
  <c r="I149" i="29" s="1"/>
  <c r="J149" i="29" s="1"/>
  <c r="K149" i="29" s="1"/>
  <c r="L149" i="29" s="1"/>
  <c r="M149" i="29" s="1"/>
  <c r="N149" i="29" s="1"/>
  <c r="O149" i="29" s="1"/>
  <c r="P149" i="29" s="1"/>
  <c r="Q149" i="29" s="1"/>
  <c r="R149" i="29" s="1"/>
  <c r="S149" i="29" s="1"/>
  <c r="T149" i="29" s="1"/>
  <c r="U149" i="29" s="1"/>
  <c r="V149" i="29" s="1"/>
  <c r="W149" i="29" s="1"/>
  <c r="X149" i="29" s="1"/>
  <c r="Y149" i="29" s="1"/>
  <c r="Z149" i="29" s="1"/>
  <c r="AA149" i="29" s="1"/>
  <c r="AB149" i="29" s="1"/>
  <c r="AC149" i="29" s="1"/>
  <c r="AD149" i="29" s="1"/>
  <c r="AE149" i="29" s="1"/>
  <c r="AF149" i="29" s="1"/>
  <c r="AG149" i="29" s="1"/>
  <c r="AH149" i="29" s="1"/>
  <c r="AI149" i="29" s="1"/>
  <c r="AJ149" i="29" s="1"/>
  <c r="H96" i="29"/>
  <c r="H95" i="29"/>
  <c r="I147" i="29" s="1"/>
  <c r="J147" i="29" s="1"/>
  <c r="K147" i="29" s="1"/>
  <c r="L147" i="29" s="1"/>
  <c r="M147" i="29" s="1"/>
  <c r="N147" i="29" s="1"/>
  <c r="O147" i="29" s="1"/>
  <c r="P147" i="29" s="1"/>
  <c r="Q147" i="29" s="1"/>
  <c r="R147" i="29" s="1"/>
  <c r="S147" i="29" s="1"/>
  <c r="T147" i="29" s="1"/>
  <c r="U147" i="29" s="1"/>
  <c r="V147" i="29" s="1"/>
  <c r="W147" i="29" s="1"/>
  <c r="X147" i="29" s="1"/>
  <c r="Y147" i="29" s="1"/>
  <c r="Z147" i="29" s="1"/>
  <c r="AA147" i="29" s="1"/>
  <c r="AB147" i="29" s="1"/>
  <c r="AC147" i="29" s="1"/>
  <c r="AD147" i="29" s="1"/>
  <c r="AE147" i="29" s="1"/>
  <c r="AF147" i="29" s="1"/>
  <c r="AG147" i="29" s="1"/>
  <c r="AH147" i="29" s="1"/>
  <c r="AI147" i="29" s="1"/>
  <c r="AJ147" i="29" s="1"/>
  <c r="H94" i="29"/>
  <c r="I146" i="29" s="1"/>
  <c r="J146" i="29" s="1"/>
  <c r="K146" i="29" s="1"/>
  <c r="L146" i="29" s="1"/>
  <c r="M146" i="29" s="1"/>
  <c r="N146" i="29" s="1"/>
  <c r="O146" i="29" s="1"/>
  <c r="P146" i="29" s="1"/>
  <c r="Q146" i="29" s="1"/>
  <c r="R146" i="29" s="1"/>
  <c r="S146" i="29" s="1"/>
  <c r="T146" i="29" s="1"/>
  <c r="U146" i="29" s="1"/>
  <c r="V146" i="29" s="1"/>
  <c r="W146" i="29" s="1"/>
  <c r="X146" i="29" s="1"/>
  <c r="Y146" i="29" s="1"/>
  <c r="Z146" i="29" s="1"/>
  <c r="AA146" i="29" s="1"/>
  <c r="AB146" i="29" s="1"/>
  <c r="AC146" i="29" s="1"/>
  <c r="AD146" i="29" s="1"/>
  <c r="AE146" i="29" s="1"/>
  <c r="AF146" i="29" s="1"/>
  <c r="AG146" i="29" s="1"/>
  <c r="AH146" i="29" s="1"/>
  <c r="AI146" i="29" s="1"/>
  <c r="AJ146" i="29" s="1"/>
  <c r="H93" i="29"/>
  <c r="I145" i="29" s="1"/>
  <c r="J145" i="29" s="1"/>
  <c r="K145" i="29" s="1"/>
  <c r="L145" i="29" s="1"/>
  <c r="M145" i="29" s="1"/>
  <c r="N145" i="29" s="1"/>
  <c r="O145" i="29" s="1"/>
  <c r="P145" i="29" s="1"/>
  <c r="Q145" i="29" s="1"/>
  <c r="R145" i="29" s="1"/>
  <c r="S145" i="29" s="1"/>
  <c r="T145" i="29" s="1"/>
  <c r="U145" i="29" s="1"/>
  <c r="V145" i="29" s="1"/>
  <c r="W145" i="29" s="1"/>
  <c r="X145" i="29" s="1"/>
  <c r="Y145" i="29" s="1"/>
  <c r="Z145" i="29" s="1"/>
  <c r="AA145" i="29" s="1"/>
  <c r="AB145" i="29" s="1"/>
  <c r="AC145" i="29" s="1"/>
  <c r="AD145" i="29" s="1"/>
  <c r="AE145" i="29" s="1"/>
  <c r="AF145" i="29" s="1"/>
  <c r="AG145" i="29" s="1"/>
  <c r="AH145" i="29" s="1"/>
  <c r="AI145" i="29" s="1"/>
  <c r="AJ145" i="29" s="1"/>
  <c r="H92" i="29"/>
  <c r="I144" i="29" s="1"/>
  <c r="H143" i="29"/>
  <c r="F43" i="22"/>
  <c r="F42" i="22"/>
  <c r="G390" i="17"/>
  <c r="H390" i="17" s="1"/>
  <c r="I390" i="17" s="1"/>
  <c r="J390" i="17" s="1"/>
  <c r="K390" i="17" s="1"/>
  <c r="L390" i="17" s="1"/>
  <c r="M390" i="17" s="1"/>
  <c r="N390" i="17" s="1"/>
  <c r="O390" i="17" s="1"/>
  <c r="P390" i="17" s="1"/>
  <c r="Q390" i="17" s="1"/>
  <c r="R390" i="17" s="1"/>
  <c r="S390" i="17" s="1"/>
  <c r="T390" i="17" s="1"/>
  <c r="U390" i="17" s="1"/>
  <c r="V390" i="17" s="1"/>
  <c r="W390" i="17" s="1"/>
  <c r="X390" i="17" s="1"/>
  <c r="Y390" i="17" s="1"/>
  <c r="Z390" i="17" s="1"/>
  <c r="AA390" i="17" s="1"/>
  <c r="AB390" i="17" s="1"/>
  <c r="AC390" i="17" s="1"/>
  <c r="AD390" i="17" s="1"/>
  <c r="AE390" i="17" s="1"/>
  <c r="AF390" i="17" s="1"/>
  <c r="AG390" i="17" s="1"/>
  <c r="AH390" i="17" s="1"/>
  <c r="AI390" i="17" s="1"/>
  <c r="G375" i="17"/>
  <c r="H375" i="17" s="1"/>
  <c r="I375" i="17" s="1"/>
  <c r="J375" i="17" s="1"/>
  <c r="K375" i="17" s="1"/>
  <c r="L375" i="17" s="1"/>
  <c r="M375" i="17" s="1"/>
  <c r="N375" i="17" s="1"/>
  <c r="O375" i="17" s="1"/>
  <c r="P375" i="17" s="1"/>
  <c r="Q375" i="17" s="1"/>
  <c r="R375" i="17" s="1"/>
  <c r="S375" i="17" s="1"/>
  <c r="T375" i="17" s="1"/>
  <c r="U375" i="17" s="1"/>
  <c r="V375" i="17" s="1"/>
  <c r="W375" i="17" s="1"/>
  <c r="X375" i="17" s="1"/>
  <c r="Y375" i="17" s="1"/>
  <c r="Z375" i="17" s="1"/>
  <c r="AA375" i="17" s="1"/>
  <c r="AB375" i="17" s="1"/>
  <c r="AC375" i="17" s="1"/>
  <c r="AD375" i="17" s="1"/>
  <c r="AE375" i="17" s="1"/>
  <c r="AF375" i="17" s="1"/>
  <c r="AG375" i="17" s="1"/>
  <c r="AH375" i="17" s="1"/>
  <c r="AI375" i="17" s="1"/>
  <c r="G360" i="17"/>
  <c r="H360" i="17" s="1"/>
  <c r="I360" i="17" s="1"/>
  <c r="J360" i="17" s="1"/>
  <c r="K360" i="17" s="1"/>
  <c r="L360" i="17" s="1"/>
  <c r="M360" i="17" s="1"/>
  <c r="N360" i="17" s="1"/>
  <c r="O360" i="17" s="1"/>
  <c r="P360" i="17" s="1"/>
  <c r="Q360" i="17" s="1"/>
  <c r="R360" i="17" s="1"/>
  <c r="S360" i="17" s="1"/>
  <c r="T360" i="17" s="1"/>
  <c r="U360" i="17" s="1"/>
  <c r="V360" i="17" s="1"/>
  <c r="W360" i="17" s="1"/>
  <c r="X360" i="17" s="1"/>
  <c r="Y360" i="17" s="1"/>
  <c r="Z360" i="17" s="1"/>
  <c r="AA360" i="17" s="1"/>
  <c r="AB360" i="17" s="1"/>
  <c r="AC360" i="17" s="1"/>
  <c r="AD360" i="17" s="1"/>
  <c r="AE360" i="17" s="1"/>
  <c r="AF360" i="17" s="1"/>
  <c r="AG360" i="17" s="1"/>
  <c r="AH360" i="17" s="1"/>
  <c r="AI360" i="17" s="1"/>
  <c r="G345" i="17"/>
  <c r="H345" i="17" s="1"/>
  <c r="I345" i="17" s="1"/>
  <c r="J345" i="17" s="1"/>
  <c r="K345" i="17" s="1"/>
  <c r="L345" i="17" s="1"/>
  <c r="M345" i="17" s="1"/>
  <c r="N345" i="17" s="1"/>
  <c r="O345" i="17" s="1"/>
  <c r="P345" i="17" s="1"/>
  <c r="Q345" i="17" s="1"/>
  <c r="R345" i="17" s="1"/>
  <c r="S345" i="17" s="1"/>
  <c r="T345" i="17" s="1"/>
  <c r="U345" i="17" s="1"/>
  <c r="V345" i="17" s="1"/>
  <c r="W345" i="17" s="1"/>
  <c r="X345" i="17" s="1"/>
  <c r="Y345" i="17" s="1"/>
  <c r="Z345" i="17" s="1"/>
  <c r="AA345" i="17" s="1"/>
  <c r="AB345" i="17" s="1"/>
  <c r="AC345" i="17" s="1"/>
  <c r="AD345" i="17" s="1"/>
  <c r="AE345" i="17" s="1"/>
  <c r="AF345" i="17" s="1"/>
  <c r="AG345" i="17" s="1"/>
  <c r="AH345" i="17" s="1"/>
  <c r="AI345" i="17" s="1"/>
  <c r="G330" i="17"/>
  <c r="H330" i="17" s="1"/>
  <c r="I330" i="17" s="1"/>
  <c r="J330" i="17" s="1"/>
  <c r="K330" i="17" s="1"/>
  <c r="L330" i="17" s="1"/>
  <c r="M330" i="17" s="1"/>
  <c r="N330" i="17" s="1"/>
  <c r="O330" i="17" s="1"/>
  <c r="P330" i="17" s="1"/>
  <c r="Q330" i="17" s="1"/>
  <c r="R330" i="17" s="1"/>
  <c r="S330" i="17" s="1"/>
  <c r="T330" i="17" s="1"/>
  <c r="U330" i="17" s="1"/>
  <c r="V330" i="17" s="1"/>
  <c r="W330" i="17" s="1"/>
  <c r="X330" i="17" s="1"/>
  <c r="Y330" i="17" s="1"/>
  <c r="Z330" i="17" s="1"/>
  <c r="AA330" i="17" s="1"/>
  <c r="AB330" i="17" s="1"/>
  <c r="AC330" i="17" s="1"/>
  <c r="AD330" i="17" s="1"/>
  <c r="AE330" i="17" s="1"/>
  <c r="AF330" i="17" s="1"/>
  <c r="AG330" i="17" s="1"/>
  <c r="AH330" i="17" s="1"/>
  <c r="AI330" i="17" s="1"/>
  <c r="G315" i="17"/>
  <c r="H315" i="17" s="1"/>
  <c r="I315" i="17" s="1"/>
  <c r="J315" i="17" s="1"/>
  <c r="K315" i="17" s="1"/>
  <c r="L315" i="17" s="1"/>
  <c r="M315" i="17" s="1"/>
  <c r="N315" i="17" s="1"/>
  <c r="O315" i="17" s="1"/>
  <c r="P315" i="17" s="1"/>
  <c r="Q315" i="17" s="1"/>
  <c r="R315" i="17" s="1"/>
  <c r="S315" i="17" s="1"/>
  <c r="T315" i="17" s="1"/>
  <c r="U315" i="17" s="1"/>
  <c r="V315" i="17" s="1"/>
  <c r="W315" i="17" s="1"/>
  <c r="X315" i="17" s="1"/>
  <c r="Y315" i="17" s="1"/>
  <c r="Z315" i="17" s="1"/>
  <c r="AA315" i="17" s="1"/>
  <c r="AB315" i="17" s="1"/>
  <c r="AC315" i="17" s="1"/>
  <c r="AD315" i="17" s="1"/>
  <c r="AE315" i="17" s="1"/>
  <c r="AF315" i="17" s="1"/>
  <c r="AG315" i="17" s="1"/>
  <c r="AH315" i="17" s="1"/>
  <c r="AI315" i="17" s="1"/>
  <c r="G300" i="17"/>
  <c r="H300" i="17" s="1"/>
  <c r="I300" i="17" s="1"/>
  <c r="J300" i="17" s="1"/>
  <c r="K300" i="17" s="1"/>
  <c r="L300" i="17" s="1"/>
  <c r="M300" i="17" s="1"/>
  <c r="N300" i="17" s="1"/>
  <c r="O300" i="17" s="1"/>
  <c r="P300" i="17" s="1"/>
  <c r="Q300" i="17" s="1"/>
  <c r="R300" i="17" s="1"/>
  <c r="S300" i="17" s="1"/>
  <c r="T300" i="17" s="1"/>
  <c r="U300" i="17" s="1"/>
  <c r="V300" i="17" s="1"/>
  <c r="W300" i="17" s="1"/>
  <c r="X300" i="17" s="1"/>
  <c r="Y300" i="17" s="1"/>
  <c r="Z300" i="17" s="1"/>
  <c r="AA300" i="17" s="1"/>
  <c r="AB300" i="17" s="1"/>
  <c r="AC300" i="17" s="1"/>
  <c r="AD300" i="17" s="1"/>
  <c r="AE300" i="17" s="1"/>
  <c r="AF300" i="17" s="1"/>
  <c r="AG300" i="17" s="1"/>
  <c r="AH300" i="17" s="1"/>
  <c r="AI300" i="17" s="1"/>
  <c r="G285" i="17"/>
  <c r="H285" i="17" s="1"/>
  <c r="I285" i="17" s="1"/>
  <c r="J285" i="17" s="1"/>
  <c r="K285" i="17" s="1"/>
  <c r="L285" i="17" s="1"/>
  <c r="M285" i="17" s="1"/>
  <c r="N285" i="17" s="1"/>
  <c r="O285" i="17" s="1"/>
  <c r="P285" i="17" s="1"/>
  <c r="Q285" i="17" s="1"/>
  <c r="R285" i="17" s="1"/>
  <c r="S285" i="17" s="1"/>
  <c r="T285" i="17" s="1"/>
  <c r="U285" i="17" s="1"/>
  <c r="V285" i="17" s="1"/>
  <c r="W285" i="17" s="1"/>
  <c r="X285" i="17" s="1"/>
  <c r="Y285" i="17" s="1"/>
  <c r="Z285" i="17" s="1"/>
  <c r="AA285" i="17" s="1"/>
  <c r="AB285" i="17" s="1"/>
  <c r="AC285" i="17" s="1"/>
  <c r="AD285" i="17" s="1"/>
  <c r="AE285" i="17" s="1"/>
  <c r="AF285" i="17" s="1"/>
  <c r="AG285" i="17" s="1"/>
  <c r="AH285" i="17" s="1"/>
  <c r="AI285" i="17" s="1"/>
  <c r="G270" i="17"/>
  <c r="H270" i="17" s="1"/>
  <c r="I270" i="17" s="1"/>
  <c r="J270" i="17" s="1"/>
  <c r="K270" i="17" s="1"/>
  <c r="L270" i="17" s="1"/>
  <c r="M270" i="17" s="1"/>
  <c r="N270" i="17" s="1"/>
  <c r="O270" i="17" s="1"/>
  <c r="P270" i="17" s="1"/>
  <c r="Q270" i="17" s="1"/>
  <c r="R270" i="17" s="1"/>
  <c r="S270" i="17" s="1"/>
  <c r="T270" i="17" s="1"/>
  <c r="U270" i="17" s="1"/>
  <c r="V270" i="17" s="1"/>
  <c r="W270" i="17" s="1"/>
  <c r="X270" i="17" s="1"/>
  <c r="Y270" i="17" s="1"/>
  <c r="Z270" i="17" s="1"/>
  <c r="AA270" i="17" s="1"/>
  <c r="AB270" i="17" s="1"/>
  <c r="AC270" i="17" s="1"/>
  <c r="AD270" i="17" s="1"/>
  <c r="AE270" i="17" s="1"/>
  <c r="AF270" i="17" s="1"/>
  <c r="AG270" i="17" s="1"/>
  <c r="AH270" i="17" s="1"/>
  <c r="AI270" i="17" s="1"/>
  <c r="G250" i="17"/>
  <c r="H250" i="17" s="1"/>
  <c r="I250" i="17" s="1"/>
  <c r="J250" i="17" s="1"/>
  <c r="K250" i="17" s="1"/>
  <c r="L250" i="17" s="1"/>
  <c r="M250" i="17" s="1"/>
  <c r="N250" i="17" s="1"/>
  <c r="O250" i="17" s="1"/>
  <c r="P250" i="17" s="1"/>
  <c r="Q250" i="17" s="1"/>
  <c r="R250" i="17" s="1"/>
  <c r="S250" i="17" s="1"/>
  <c r="T250" i="17" s="1"/>
  <c r="U250" i="17" s="1"/>
  <c r="V250" i="17" s="1"/>
  <c r="W250" i="17" s="1"/>
  <c r="X250" i="17" s="1"/>
  <c r="Y250" i="17" s="1"/>
  <c r="Z250" i="17" s="1"/>
  <c r="AA250" i="17" s="1"/>
  <c r="AB250" i="17" s="1"/>
  <c r="AC250" i="17" s="1"/>
  <c r="AD250" i="17" s="1"/>
  <c r="AE250" i="17" s="1"/>
  <c r="AF250" i="17" s="1"/>
  <c r="AG250" i="17" s="1"/>
  <c r="AH250" i="17" s="1"/>
  <c r="AI250" i="17" s="1"/>
  <c r="G235" i="17"/>
  <c r="H235" i="17" s="1"/>
  <c r="I235" i="17" s="1"/>
  <c r="J235" i="17" s="1"/>
  <c r="K235" i="17" s="1"/>
  <c r="L235" i="17" s="1"/>
  <c r="M235" i="17" s="1"/>
  <c r="N235" i="17" s="1"/>
  <c r="O235" i="17" s="1"/>
  <c r="P235" i="17" s="1"/>
  <c r="Q235" i="17" s="1"/>
  <c r="R235" i="17" s="1"/>
  <c r="S235" i="17" s="1"/>
  <c r="T235" i="17" s="1"/>
  <c r="U235" i="17" s="1"/>
  <c r="V235" i="17" s="1"/>
  <c r="W235" i="17" s="1"/>
  <c r="X235" i="17" s="1"/>
  <c r="Y235" i="17" s="1"/>
  <c r="Z235" i="17" s="1"/>
  <c r="AA235" i="17" s="1"/>
  <c r="AB235" i="17" s="1"/>
  <c r="AC235" i="17" s="1"/>
  <c r="AD235" i="17" s="1"/>
  <c r="AE235" i="17" s="1"/>
  <c r="AF235" i="17" s="1"/>
  <c r="AG235" i="17" s="1"/>
  <c r="AH235" i="17" s="1"/>
  <c r="AI235" i="17" s="1"/>
  <c r="G220" i="17"/>
  <c r="H220" i="17" s="1"/>
  <c r="I220" i="17" s="1"/>
  <c r="J220" i="17" s="1"/>
  <c r="K220" i="17" s="1"/>
  <c r="L220" i="17" s="1"/>
  <c r="M220" i="17" s="1"/>
  <c r="N220" i="17" s="1"/>
  <c r="O220" i="17" s="1"/>
  <c r="P220" i="17" s="1"/>
  <c r="Q220" i="17" s="1"/>
  <c r="R220" i="17" s="1"/>
  <c r="S220" i="17" s="1"/>
  <c r="T220" i="17" s="1"/>
  <c r="U220" i="17" s="1"/>
  <c r="V220" i="17" s="1"/>
  <c r="W220" i="17" s="1"/>
  <c r="X220" i="17" s="1"/>
  <c r="Y220" i="17" s="1"/>
  <c r="Z220" i="17" s="1"/>
  <c r="AA220" i="17" s="1"/>
  <c r="AB220" i="17" s="1"/>
  <c r="AC220" i="17" s="1"/>
  <c r="AD220" i="17" s="1"/>
  <c r="AE220" i="17" s="1"/>
  <c r="AF220" i="17" s="1"/>
  <c r="AG220" i="17" s="1"/>
  <c r="AH220" i="17" s="1"/>
  <c r="AI220" i="17" s="1"/>
  <c r="G205" i="17"/>
  <c r="H205" i="17" s="1"/>
  <c r="I205" i="17" s="1"/>
  <c r="J205" i="17" s="1"/>
  <c r="K205" i="17" s="1"/>
  <c r="L205" i="17" s="1"/>
  <c r="M205" i="17" s="1"/>
  <c r="N205" i="17" s="1"/>
  <c r="O205" i="17" s="1"/>
  <c r="P205" i="17" s="1"/>
  <c r="Q205" i="17" s="1"/>
  <c r="R205" i="17" s="1"/>
  <c r="S205" i="17" s="1"/>
  <c r="T205" i="17" s="1"/>
  <c r="U205" i="17" s="1"/>
  <c r="V205" i="17" s="1"/>
  <c r="W205" i="17" s="1"/>
  <c r="X205" i="17" s="1"/>
  <c r="Y205" i="17" s="1"/>
  <c r="Z205" i="17" s="1"/>
  <c r="AA205" i="17" s="1"/>
  <c r="AB205" i="17" s="1"/>
  <c r="AC205" i="17" s="1"/>
  <c r="AD205" i="17" s="1"/>
  <c r="AE205" i="17" s="1"/>
  <c r="AF205" i="17" s="1"/>
  <c r="AG205" i="17" s="1"/>
  <c r="AH205" i="17" s="1"/>
  <c r="AI205" i="17" s="1"/>
  <c r="G190" i="17"/>
  <c r="H190" i="17" s="1"/>
  <c r="I190" i="17" s="1"/>
  <c r="J190" i="17" s="1"/>
  <c r="K190" i="17" s="1"/>
  <c r="L190" i="17" s="1"/>
  <c r="M190" i="17" s="1"/>
  <c r="N190" i="17" s="1"/>
  <c r="O190" i="17" s="1"/>
  <c r="P190" i="17" s="1"/>
  <c r="Q190" i="17" s="1"/>
  <c r="R190" i="17" s="1"/>
  <c r="S190" i="17" s="1"/>
  <c r="T190" i="17" s="1"/>
  <c r="U190" i="17" s="1"/>
  <c r="V190" i="17" s="1"/>
  <c r="W190" i="17" s="1"/>
  <c r="X190" i="17" s="1"/>
  <c r="Y190" i="17" s="1"/>
  <c r="Z190" i="17" s="1"/>
  <c r="AA190" i="17" s="1"/>
  <c r="AB190" i="17" s="1"/>
  <c r="AC190" i="17" s="1"/>
  <c r="AD190" i="17" s="1"/>
  <c r="AE190" i="17" s="1"/>
  <c r="AF190" i="17" s="1"/>
  <c r="AG190" i="17" s="1"/>
  <c r="AH190" i="17" s="1"/>
  <c r="AI190" i="17" s="1"/>
  <c r="G175" i="17"/>
  <c r="H175" i="17" s="1"/>
  <c r="I175" i="17" s="1"/>
  <c r="J175" i="17" s="1"/>
  <c r="K175" i="17" s="1"/>
  <c r="L175" i="17" s="1"/>
  <c r="M175" i="17" s="1"/>
  <c r="N175" i="17" s="1"/>
  <c r="O175" i="17" s="1"/>
  <c r="P175" i="17" s="1"/>
  <c r="Q175" i="17" s="1"/>
  <c r="R175" i="17" s="1"/>
  <c r="S175" i="17" s="1"/>
  <c r="T175" i="17" s="1"/>
  <c r="U175" i="17" s="1"/>
  <c r="V175" i="17" s="1"/>
  <c r="W175" i="17" s="1"/>
  <c r="X175" i="17" s="1"/>
  <c r="Y175" i="17" s="1"/>
  <c r="Z175" i="17" s="1"/>
  <c r="AA175" i="17" s="1"/>
  <c r="AB175" i="17" s="1"/>
  <c r="AC175" i="17" s="1"/>
  <c r="AD175" i="17" s="1"/>
  <c r="AE175" i="17" s="1"/>
  <c r="AF175" i="17" s="1"/>
  <c r="AG175" i="17" s="1"/>
  <c r="AH175" i="17" s="1"/>
  <c r="AI175" i="17" s="1"/>
  <c r="G160" i="17"/>
  <c r="H160" i="17" s="1"/>
  <c r="I160" i="17" s="1"/>
  <c r="J160" i="17" s="1"/>
  <c r="K160" i="17" s="1"/>
  <c r="L160" i="17" s="1"/>
  <c r="M160" i="17" s="1"/>
  <c r="N160" i="17" s="1"/>
  <c r="O160" i="17" s="1"/>
  <c r="P160" i="17" s="1"/>
  <c r="Q160" i="17" s="1"/>
  <c r="R160" i="17" s="1"/>
  <c r="S160" i="17" s="1"/>
  <c r="T160" i="17" s="1"/>
  <c r="U160" i="17" s="1"/>
  <c r="V160" i="17" s="1"/>
  <c r="W160" i="17" s="1"/>
  <c r="X160" i="17" s="1"/>
  <c r="Y160" i="17" s="1"/>
  <c r="Z160" i="17" s="1"/>
  <c r="AA160" i="17" s="1"/>
  <c r="AB160" i="17" s="1"/>
  <c r="AC160" i="17" s="1"/>
  <c r="AD160" i="17" s="1"/>
  <c r="AE160" i="17" s="1"/>
  <c r="AF160" i="17" s="1"/>
  <c r="AG160" i="17" s="1"/>
  <c r="AH160" i="17" s="1"/>
  <c r="AI160" i="17" s="1"/>
  <c r="G145" i="17"/>
  <c r="H145" i="17" s="1"/>
  <c r="I145" i="17" s="1"/>
  <c r="J145" i="17" s="1"/>
  <c r="K145" i="17" s="1"/>
  <c r="L145" i="17" s="1"/>
  <c r="M145" i="17" s="1"/>
  <c r="N145" i="17" s="1"/>
  <c r="O145" i="17" s="1"/>
  <c r="P145" i="17" s="1"/>
  <c r="Q145" i="17" s="1"/>
  <c r="R145" i="17" s="1"/>
  <c r="S145" i="17" s="1"/>
  <c r="T145" i="17" s="1"/>
  <c r="U145" i="17" s="1"/>
  <c r="V145" i="17" s="1"/>
  <c r="W145" i="17" s="1"/>
  <c r="X145" i="17" s="1"/>
  <c r="Y145" i="17" s="1"/>
  <c r="Z145" i="17" s="1"/>
  <c r="AA145" i="17" s="1"/>
  <c r="AB145" i="17" s="1"/>
  <c r="AC145" i="17" s="1"/>
  <c r="AD145" i="17" s="1"/>
  <c r="AE145" i="17" s="1"/>
  <c r="AF145" i="17" s="1"/>
  <c r="AG145" i="17" s="1"/>
  <c r="AH145" i="17" s="1"/>
  <c r="AI145" i="17" s="1"/>
  <c r="G130" i="17"/>
  <c r="H130" i="17" s="1"/>
  <c r="I130" i="17" s="1"/>
  <c r="J130" i="17" s="1"/>
  <c r="K130" i="17" s="1"/>
  <c r="L130" i="17" s="1"/>
  <c r="M130" i="17" s="1"/>
  <c r="N130" i="17" s="1"/>
  <c r="O130" i="17" s="1"/>
  <c r="P130" i="17" s="1"/>
  <c r="Q130" i="17" s="1"/>
  <c r="R130" i="17" s="1"/>
  <c r="S130" i="17" s="1"/>
  <c r="T130" i="17" s="1"/>
  <c r="U130" i="17" s="1"/>
  <c r="V130" i="17" s="1"/>
  <c r="W130" i="17" s="1"/>
  <c r="X130" i="17" s="1"/>
  <c r="Y130" i="17" s="1"/>
  <c r="Z130" i="17" s="1"/>
  <c r="AA130" i="17" s="1"/>
  <c r="AB130" i="17" s="1"/>
  <c r="AC130" i="17" s="1"/>
  <c r="AD130" i="17" s="1"/>
  <c r="AE130" i="17" s="1"/>
  <c r="AF130" i="17" s="1"/>
  <c r="AG130" i="17" s="1"/>
  <c r="AH130" i="17" s="1"/>
  <c r="AI130" i="17" s="1"/>
  <c r="H151" i="29" l="1"/>
  <c r="G153" i="29"/>
  <c r="H101" i="29"/>
  <c r="I148" i="29"/>
  <c r="J148" i="29" s="1"/>
  <c r="K148" i="29" s="1"/>
  <c r="L148" i="29" s="1"/>
  <c r="M148" i="29" s="1"/>
  <c r="N148" i="29" s="1"/>
  <c r="O148" i="29" s="1"/>
  <c r="P148" i="29" s="1"/>
  <c r="Q148" i="29" s="1"/>
  <c r="R148" i="29" s="1"/>
  <c r="S148" i="29" s="1"/>
  <c r="T148" i="29" s="1"/>
  <c r="U148" i="29" s="1"/>
  <c r="V148" i="29" s="1"/>
  <c r="W148" i="29" s="1"/>
  <c r="X148" i="29" s="1"/>
  <c r="Y148" i="29" s="1"/>
  <c r="Z148" i="29" s="1"/>
  <c r="AA148" i="29" s="1"/>
  <c r="AB148" i="29" s="1"/>
  <c r="AC148" i="29" s="1"/>
  <c r="AD148" i="29" s="1"/>
  <c r="AE148" i="29" s="1"/>
  <c r="AF148" i="29" s="1"/>
  <c r="AG148" i="29" s="1"/>
  <c r="AH148" i="29" s="1"/>
  <c r="AI148" i="29" s="1"/>
  <c r="AJ148" i="29" s="1"/>
  <c r="J152" i="29"/>
  <c r="K152" i="29" s="1"/>
  <c r="L152" i="29" s="1"/>
  <c r="M152" i="29" s="1"/>
  <c r="N152" i="29" s="1"/>
  <c r="O152" i="29" s="1"/>
  <c r="P152" i="29" s="1"/>
  <c r="Q152" i="29" s="1"/>
  <c r="R152" i="29" s="1"/>
  <c r="S152" i="29" s="1"/>
  <c r="T152" i="29" s="1"/>
  <c r="U152" i="29" s="1"/>
  <c r="V152" i="29" s="1"/>
  <c r="W152" i="29" s="1"/>
  <c r="X152" i="29" s="1"/>
  <c r="Y152" i="29" s="1"/>
  <c r="Z152" i="29" s="1"/>
  <c r="AA152" i="29" s="1"/>
  <c r="AB152" i="29" s="1"/>
  <c r="AC152" i="29" s="1"/>
  <c r="AD152" i="29" s="1"/>
  <c r="AE152" i="29" s="1"/>
  <c r="AF152" i="29" s="1"/>
  <c r="AG152" i="29" s="1"/>
  <c r="AH152" i="29" s="1"/>
  <c r="AI152" i="29" s="1"/>
  <c r="AJ152" i="29" s="1"/>
  <c r="J144" i="29"/>
  <c r="K144" i="29" s="1"/>
  <c r="L144" i="29" s="1"/>
  <c r="M144" i="29" s="1"/>
  <c r="N144" i="29" s="1"/>
  <c r="O144" i="29" s="1"/>
  <c r="P144" i="29" s="1"/>
  <c r="Q144" i="29" s="1"/>
  <c r="R144" i="29" s="1"/>
  <c r="S144" i="29" s="1"/>
  <c r="T144" i="29" s="1"/>
  <c r="U144" i="29" s="1"/>
  <c r="V144" i="29" s="1"/>
  <c r="W144" i="29" s="1"/>
  <c r="X144" i="29" s="1"/>
  <c r="Y144" i="29" s="1"/>
  <c r="Z144" i="29" s="1"/>
  <c r="AA144" i="29" s="1"/>
  <c r="AB144" i="29" s="1"/>
  <c r="AC144" i="29" s="1"/>
  <c r="AD144" i="29" s="1"/>
  <c r="AE144" i="29" s="1"/>
  <c r="AF144" i="29" s="1"/>
  <c r="AG144" i="29" s="1"/>
  <c r="AH144" i="29" s="1"/>
  <c r="AI144" i="29" s="1"/>
  <c r="AJ144" i="29" s="1"/>
  <c r="I143" i="29"/>
  <c r="E23" i="67"/>
  <c r="N35" i="67" s="1"/>
  <c r="F44" i="22"/>
  <c r="C104" i="4"/>
  <c r="C103" i="4"/>
  <c r="C102" i="4"/>
  <c r="C101" i="4"/>
  <c r="C95" i="4"/>
  <c r="C94" i="4"/>
  <c r="C93" i="4"/>
  <c r="C92" i="4"/>
  <c r="I153" i="29" l="1"/>
  <c r="I174" i="29" s="1"/>
  <c r="N38" i="67"/>
  <c r="F152" i="29"/>
  <c r="J143" i="29"/>
  <c r="E74" i="22"/>
  <c r="C69" i="4"/>
  <c r="C76" i="4"/>
  <c r="C75" i="4"/>
  <c r="C74" i="4"/>
  <c r="C73" i="4"/>
  <c r="C72" i="4"/>
  <c r="C71" i="4"/>
  <c r="C70" i="4"/>
  <c r="C68" i="4"/>
  <c r="C67" i="4"/>
  <c r="C66" i="4"/>
  <c r="C65" i="4"/>
  <c r="C64" i="4"/>
  <c r="C63" i="4"/>
  <c r="C62" i="4"/>
  <c r="C61" i="4"/>
  <c r="C60" i="4"/>
  <c r="D71" i="17"/>
  <c r="C71" i="17"/>
  <c r="D50" i="22" l="1"/>
  <c r="E25" i="67"/>
  <c r="M10" i="41"/>
  <c r="M144" i="18"/>
  <c r="M11" i="15" s="1"/>
  <c r="E77" i="22"/>
  <c r="K143" i="29"/>
  <c r="V35" i="67" l="1"/>
  <c r="D51" i="22"/>
  <c r="E27" i="67"/>
  <c r="AD35" i="67" s="1"/>
  <c r="AD38" i="67" s="1"/>
  <c r="L143" i="29"/>
  <c r="AC10" i="41" l="1"/>
  <c r="AC144" i="18"/>
  <c r="AC11" i="15" s="1"/>
  <c r="V38" i="67"/>
  <c r="E35" i="67"/>
  <c r="E28" i="67"/>
  <c r="M143" i="29"/>
  <c r="N44" i="23"/>
  <c r="K44" i="23"/>
  <c r="H44" i="23"/>
  <c r="N43" i="23"/>
  <c r="K43" i="23"/>
  <c r="H43" i="23"/>
  <c r="N42" i="23"/>
  <c r="K42" i="23"/>
  <c r="H42" i="23"/>
  <c r="F26" i="67" s="1"/>
  <c r="Y36" i="67" s="1"/>
  <c r="Y38" i="67" s="1"/>
  <c r="X10" i="41" l="1"/>
  <c r="X144" i="18"/>
  <c r="X11" i="15" s="1"/>
  <c r="U10" i="41"/>
  <c r="U144" i="18"/>
  <c r="U11" i="15" s="1"/>
  <c r="N143" i="29"/>
  <c r="N45" i="23"/>
  <c r="H45" i="23"/>
  <c r="K45" i="23"/>
  <c r="J51" i="23" s="1"/>
  <c r="G51" i="23" l="1"/>
  <c r="G52" i="23" s="1"/>
  <c r="M51" i="23"/>
  <c r="S65" i="23" s="1"/>
  <c r="P64" i="23"/>
  <c r="J52" i="23"/>
  <c r="O143" i="29"/>
  <c r="N51" i="23"/>
  <c r="M52" i="23" l="1"/>
  <c r="P143" i="29"/>
  <c r="Q143" i="29" l="1"/>
  <c r="E52" i="1"/>
  <c r="E53" i="1"/>
  <c r="E55" i="1"/>
  <c r="E56" i="1"/>
  <c r="E57" i="1"/>
  <c r="E58" i="1" s="1"/>
  <c r="E51" i="1"/>
  <c r="J23" i="66"/>
  <c r="J25" i="66" s="1"/>
  <c r="I23" i="66"/>
  <c r="H23" i="66"/>
  <c r="G23" i="66"/>
  <c r="F23" i="66"/>
  <c r="E23" i="66"/>
  <c r="D22" i="66"/>
  <c r="D23" i="66" s="1"/>
  <c r="J20" i="66"/>
  <c r="I20" i="66"/>
  <c r="I25" i="66" s="1"/>
  <c r="H20" i="66"/>
  <c r="G20" i="66"/>
  <c r="F20" i="66"/>
  <c r="E20" i="66"/>
  <c r="D19" i="66"/>
  <c r="D20" i="66" s="1"/>
  <c r="J17" i="66"/>
  <c r="I17" i="66"/>
  <c r="H17" i="66"/>
  <c r="H25" i="66" s="1"/>
  <c r="G17" i="66"/>
  <c r="F17" i="66"/>
  <c r="E17" i="66"/>
  <c r="D16" i="66"/>
  <c r="D17" i="66" s="1"/>
  <c r="J14" i="66"/>
  <c r="I14" i="66"/>
  <c r="H14" i="66"/>
  <c r="G14" i="66"/>
  <c r="F14" i="66"/>
  <c r="E14" i="66"/>
  <c r="D13" i="66"/>
  <c r="D14" i="66" s="1"/>
  <c r="J11" i="66"/>
  <c r="I11" i="66"/>
  <c r="H11" i="66"/>
  <c r="G11" i="66"/>
  <c r="F11" i="66"/>
  <c r="E11" i="66"/>
  <c r="D10" i="66"/>
  <c r="D11" i="66" s="1"/>
  <c r="J8" i="66"/>
  <c r="I8" i="66"/>
  <c r="H8" i="66"/>
  <c r="G8" i="66"/>
  <c r="F8" i="66"/>
  <c r="E8" i="66"/>
  <c r="D7" i="66"/>
  <c r="D8" i="66" s="1"/>
  <c r="J5" i="66"/>
  <c r="I5" i="66"/>
  <c r="H5" i="66"/>
  <c r="G5" i="66"/>
  <c r="F5" i="66"/>
  <c r="E5" i="66"/>
  <c r="D4" i="66"/>
  <c r="D5" i="66" s="1"/>
  <c r="E59" i="1" l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R143" i="29"/>
  <c r="E25" i="66"/>
  <c r="G25" i="66"/>
  <c r="D25" i="66"/>
  <c r="F25" i="66"/>
  <c r="S143" i="29" l="1"/>
  <c r="D34" i="66"/>
  <c r="D36" i="66"/>
  <c r="D38" i="66"/>
  <c r="D37" i="66"/>
  <c r="D35" i="66"/>
  <c r="D32" i="66"/>
  <c r="D33" i="66"/>
  <c r="T143" i="29" l="1"/>
  <c r="G22" i="24"/>
  <c r="G23" i="24"/>
  <c r="K23" i="24"/>
  <c r="K24" i="24" s="1"/>
  <c r="K25" i="24" s="1"/>
  <c r="E24" i="24"/>
  <c r="E26" i="24" s="1"/>
  <c r="F24" i="24"/>
  <c r="F26" i="24" s="1"/>
  <c r="G25" i="24"/>
  <c r="F40" i="24" l="1"/>
  <c r="U143" i="29"/>
  <c r="G32" i="24"/>
  <c r="G31" i="24"/>
  <c r="V143" i="29" l="1"/>
  <c r="W143" i="29" l="1"/>
  <c r="G29" i="65"/>
  <c r="G30" i="65"/>
  <c r="G31" i="65"/>
  <c r="G32" i="65"/>
  <c r="G28" i="65"/>
  <c r="D16" i="65"/>
  <c r="E46" i="65" s="1"/>
  <c r="F52" i="65"/>
  <c r="G52" i="65" s="1"/>
  <c r="H52" i="65" s="1"/>
  <c r="I52" i="65" s="1"/>
  <c r="J52" i="65" s="1"/>
  <c r="K52" i="65" s="1"/>
  <c r="L52" i="65" s="1"/>
  <c r="M52" i="65" s="1"/>
  <c r="N52" i="65" s="1"/>
  <c r="O52" i="65" s="1"/>
  <c r="P52" i="65" s="1"/>
  <c r="Q52" i="65" s="1"/>
  <c r="R52" i="65" s="1"/>
  <c r="S52" i="65" s="1"/>
  <c r="T52" i="65" s="1"/>
  <c r="U52" i="65" s="1"/>
  <c r="V52" i="65" s="1"/>
  <c r="W52" i="65" s="1"/>
  <c r="X52" i="65" s="1"/>
  <c r="Y52" i="65" s="1"/>
  <c r="Z52" i="65" s="1"/>
  <c r="AA52" i="65" s="1"/>
  <c r="AB52" i="65" s="1"/>
  <c r="AC52" i="65" s="1"/>
  <c r="AD52" i="65" s="1"/>
  <c r="AE52" i="65" s="1"/>
  <c r="AF52" i="65" s="1"/>
  <c r="AG52" i="65" s="1"/>
  <c r="AH52" i="65" s="1"/>
  <c r="AI52" i="65" s="1"/>
  <c r="AJ52" i="65" s="1"/>
  <c r="AK52" i="65" s="1"/>
  <c r="AL52" i="65" s="1"/>
  <c r="AM52" i="65" s="1"/>
  <c r="F45" i="65"/>
  <c r="H8" i="63"/>
  <c r="H9" i="63" s="1"/>
  <c r="H10" i="63" s="1"/>
  <c r="G18" i="26"/>
  <c r="G33" i="65" l="1"/>
  <c r="X143" i="29"/>
  <c r="G45" i="65"/>
  <c r="G47" i="65" s="1"/>
  <c r="F47" i="65"/>
  <c r="D37" i="65"/>
  <c r="E47" i="65" s="1"/>
  <c r="F46" i="65"/>
  <c r="G97" i="63"/>
  <c r="G101" i="63" s="1"/>
  <c r="H97" i="63"/>
  <c r="H101" i="63" s="1"/>
  <c r="I97" i="63"/>
  <c r="I101" i="63" s="1"/>
  <c r="J97" i="63"/>
  <c r="J101" i="63" s="1"/>
  <c r="Y143" i="29" l="1"/>
  <c r="G46" i="65"/>
  <c r="H45" i="65"/>
  <c r="E97" i="63"/>
  <c r="F48" i="65"/>
  <c r="E48" i="65"/>
  <c r="D38" i="65"/>
  <c r="E99" i="63"/>
  <c r="F9" i="28"/>
  <c r="F8" i="28"/>
  <c r="G39" i="29"/>
  <c r="G37" i="29" s="1"/>
  <c r="G34" i="29" s="1"/>
  <c r="G49" i="29"/>
  <c r="E19" i="25"/>
  <c r="F10" i="28" l="1"/>
  <c r="F32" i="28" s="1"/>
  <c r="G54" i="29"/>
  <c r="Z143" i="29"/>
  <c r="I45" i="65"/>
  <c r="H47" i="65"/>
  <c r="H46" i="65"/>
  <c r="G48" i="65"/>
  <c r="D39" i="65"/>
  <c r="AA143" i="29" l="1"/>
  <c r="H48" i="65"/>
  <c r="J45" i="65"/>
  <c r="I46" i="65"/>
  <c r="I47" i="65"/>
  <c r="AB143" i="29" l="1"/>
  <c r="K45" i="65"/>
  <c r="J47" i="65"/>
  <c r="J46" i="65"/>
  <c r="I48" i="65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D89" i="17"/>
  <c r="D88" i="17"/>
  <c r="AC143" i="29" l="1"/>
  <c r="L45" i="65"/>
  <c r="K46" i="65"/>
  <c r="K47" i="65"/>
  <c r="J48" i="65"/>
  <c r="I29" i="60"/>
  <c r="J29" i="60"/>
  <c r="H29" i="60"/>
  <c r="G29" i="60"/>
  <c r="D43" i="17" l="1"/>
  <c r="D42" i="17"/>
  <c r="D41" i="17"/>
  <c r="AD143" i="29"/>
  <c r="M45" i="65"/>
  <c r="L46" i="65"/>
  <c r="L47" i="65"/>
  <c r="K48" i="65"/>
  <c r="E71" i="17"/>
  <c r="AE143" i="29" l="1"/>
  <c r="N45" i="65"/>
  <c r="M46" i="65"/>
  <c r="M47" i="65"/>
  <c r="L48" i="65"/>
  <c r="I28" i="60"/>
  <c r="G28" i="60"/>
  <c r="E15" i="60"/>
  <c r="F15" i="60" s="1"/>
  <c r="E14" i="60"/>
  <c r="F14" i="60" s="1"/>
  <c r="C52" i="60" l="1"/>
  <c r="C9" i="17" s="1"/>
  <c r="E52" i="60"/>
  <c r="F53" i="60"/>
  <c r="E53" i="60"/>
  <c r="D8" i="17" s="1"/>
  <c r="D53" i="60"/>
  <c r="C53" i="60"/>
  <c r="AF143" i="29"/>
  <c r="M48" i="65"/>
  <c r="O45" i="65"/>
  <c r="N46" i="65"/>
  <c r="N47" i="65"/>
  <c r="D25" i="6"/>
  <c r="D10" i="17" l="1"/>
  <c r="D9" i="17"/>
  <c r="D15" i="17"/>
  <c r="D14" i="17"/>
  <c r="D13" i="17"/>
  <c r="D12" i="17"/>
  <c r="D11" i="17"/>
  <c r="AG143" i="29"/>
  <c r="N48" i="65"/>
  <c r="P45" i="65"/>
  <c r="O46" i="65"/>
  <c r="O47" i="65"/>
  <c r="AH143" i="29" l="1"/>
  <c r="O48" i="65"/>
  <c r="Q45" i="65"/>
  <c r="P47" i="65"/>
  <c r="P46" i="65"/>
  <c r="C39" i="4"/>
  <c r="C38" i="4"/>
  <c r="C51" i="4" s="1"/>
  <c r="AI143" i="29" l="1"/>
  <c r="P48" i="65"/>
  <c r="R45" i="65"/>
  <c r="Q46" i="65"/>
  <c r="Q47" i="65"/>
  <c r="AJ143" i="29" l="1"/>
  <c r="Q48" i="65"/>
  <c r="S45" i="65"/>
  <c r="R47" i="65"/>
  <c r="R46" i="65"/>
  <c r="R48" i="65" l="1"/>
  <c r="T45" i="65"/>
  <c r="S46" i="65"/>
  <c r="S47" i="65"/>
  <c r="F245" i="13"/>
  <c r="S48" i="65" l="1"/>
  <c r="U45" i="65"/>
  <c r="T46" i="65"/>
  <c r="T47" i="65"/>
  <c r="H27" i="63"/>
  <c r="H26" i="63"/>
  <c r="H25" i="63"/>
  <c r="H24" i="63"/>
  <c r="H22" i="63"/>
  <c r="H21" i="63"/>
  <c r="H20" i="63"/>
  <c r="H19" i="63"/>
  <c r="H18" i="63"/>
  <c r="H17" i="63"/>
  <c r="G105" i="63"/>
  <c r="H105" i="63" s="1"/>
  <c r="I105" i="63" s="1"/>
  <c r="J105" i="63" s="1"/>
  <c r="K105" i="63" s="1"/>
  <c r="L105" i="63" s="1"/>
  <c r="M105" i="63" s="1"/>
  <c r="N105" i="63" s="1"/>
  <c r="O105" i="63" s="1"/>
  <c r="P105" i="63" s="1"/>
  <c r="Q105" i="63" s="1"/>
  <c r="R105" i="63" s="1"/>
  <c r="S105" i="63" s="1"/>
  <c r="T105" i="63" s="1"/>
  <c r="U105" i="63" s="1"/>
  <c r="V105" i="63" s="1"/>
  <c r="W105" i="63" s="1"/>
  <c r="X105" i="63" s="1"/>
  <c r="Y105" i="63" s="1"/>
  <c r="Z105" i="63" s="1"/>
  <c r="AA105" i="63" s="1"/>
  <c r="AB105" i="63" s="1"/>
  <c r="AC105" i="63" s="1"/>
  <c r="AD105" i="63" s="1"/>
  <c r="AE105" i="63" s="1"/>
  <c r="AF105" i="63" s="1"/>
  <c r="AG105" i="63" s="1"/>
  <c r="AH105" i="63" s="1"/>
  <c r="AI105" i="63" s="1"/>
  <c r="AJ105" i="63" s="1"/>
  <c r="AK105" i="63" s="1"/>
  <c r="AL105" i="63" s="1"/>
  <c r="AM105" i="63" s="1"/>
  <c r="AN105" i="63" s="1"/>
  <c r="G94" i="63"/>
  <c r="H94" i="63" s="1"/>
  <c r="L20" i="28"/>
  <c r="G108" i="29"/>
  <c r="F108" i="29"/>
  <c r="H156" i="29"/>
  <c r="H111" i="29"/>
  <c r="I111" i="29" s="1"/>
  <c r="J111" i="29" s="1"/>
  <c r="K111" i="29" s="1"/>
  <c r="L111" i="29" s="1"/>
  <c r="M111" i="29" s="1"/>
  <c r="N111" i="29" s="1"/>
  <c r="O111" i="29" s="1"/>
  <c r="P111" i="29" s="1"/>
  <c r="Q111" i="29" s="1"/>
  <c r="R111" i="29" s="1"/>
  <c r="S111" i="29" s="1"/>
  <c r="T111" i="29" s="1"/>
  <c r="U111" i="29" s="1"/>
  <c r="V111" i="29" s="1"/>
  <c r="W111" i="29" s="1"/>
  <c r="X111" i="29" s="1"/>
  <c r="Y111" i="29" s="1"/>
  <c r="Z111" i="29" s="1"/>
  <c r="AA111" i="29" s="1"/>
  <c r="AB111" i="29" s="1"/>
  <c r="AC111" i="29" s="1"/>
  <c r="AD111" i="29" s="1"/>
  <c r="AE111" i="29" s="1"/>
  <c r="AF111" i="29" s="1"/>
  <c r="AG111" i="29" s="1"/>
  <c r="AH111" i="29" s="1"/>
  <c r="AI111" i="29" s="1"/>
  <c r="AJ111" i="29" s="1"/>
  <c r="G12" i="29"/>
  <c r="G10" i="29" s="1"/>
  <c r="H28" i="63" l="1"/>
  <c r="G166" i="29"/>
  <c r="AF166" i="29"/>
  <c r="X166" i="29"/>
  <c r="P166" i="29"/>
  <c r="H166" i="29"/>
  <c r="AE166" i="29"/>
  <c r="W166" i="29"/>
  <c r="O166" i="29"/>
  <c r="AD166" i="29"/>
  <c r="V166" i="29"/>
  <c r="N166" i="29"/>
  <c r="AC166" i="29"/>
  <c r="U166" i="29"/>
  <c r="M166" i="29"/>
  <c r="AJ166" i="29"/>
  <c r="AB166" i="29"/>
  <c r="T166" i="29"/>
  <c r="L166" i="29"/>
  <c r="AI166" i="29"/>
  <c r="AA166" i="29"/>
  <c r="S166" i="29"/>
  <c r="K166" i="29"/>
  <c r="AH166" i="29"/>
  <c r="Z166" i="29"/>
  <c r="R166" i="29"/>
  <c r="J166" i="29"/>
  <c r="AG166" i="29"/>
  <c r="Y166" i="29"/>
  <c r="Q166" i="29"/>
  <c r="I166" i="29"/>
  <c r="T48" i="65"/>
  <c r="V45" i="65"/>
  <c r="U46" i="65"/>
  <c r="U47" i="65"/>
  <c r="I94" i="63"/>
  <c r="I156" i="29"/>
  <c r="I162" i="29" l="1"/>
  <c r="I165" i="29"/>
  <c r="I157" i="29"/>
  <c r="I160" i="29"/>
  <c r="I163" i="29"/>
  <c r="I158" i="29"/>
  <c r="I161" i="29"/>
  <c r="I164" i="29"/>
  <c r="I159" i="29"/>
  <c r="AB163" i="29"/>
  <c r="AB158" i="29"/>
  <c r="AB161" i="29"/>
  <c r="AB164" i="29"/>
  <c r="AB159" i="29"/>
  <c r="AB162" i="29"/>
  <c r="AB165" i="29"/>
  <c r="AB157" i="29"/>
  <c r="AB160" i="29"/>
  <c r="M158" i="29"/>
  <c r="M161" i="29"/>
  <c r="M164" i="29"/>
  <c r="M159" i="29"/>
  <c r="M162" i="29"/>
  <c r="M165" i="29"/>
  <c r="M157" i="29"/>
  <c r="M160" i="29"/>
  <c r="M163" i="29"/>
  <c r="P159" i="29"/>
  <c r="P162" i="29"/>
  <c r="P165" i="29"/>
  <c r="P157" i="29"/>
  <c r="P160" i="29"/>
  <c r="P163" i="29"/>
  <c r="P158" i="29"/>
  <c r="P161" i="29"/>
  <c r="P164" i="29"/>
  <c r="W164" i="29"/>
  <c r="W159" i="29"/>
  <c r="W162" i="29"/>
  <c r="W165" i="29"/>
  <c r="W157" i="29"/>
  <c r="W160" i="29"/>
  <c r="W163" i="29"/>
  <c r="W158" i="29"/>
  <c r="W161" i="29"/>
  <c r="H159" i="29"/>
  <c r="H162" i="29"/>
  <c r="H165" i="29"/>
  <c r="H157" i="29"/>
  <c r="H160" i="29"/>
  <c r="H163" i="29"/>
  <c r="H158" i="29"/>
  <c r="H161" i="29"/>
  <c r="H164" i="29"/>
  <c r="Y162" i="29"/>
  <c r="Y165" i="29"/>
  <c r="Y157" i="29"/>
  <c r="Y160" i="29"/>
  <c r="Y163" i="29"/>
  <c r="Y158" i="29"/>
  <c r="Y161" i="29"/>
  <c r="Y164" i="29"/>
  <c r="Y159" i="29"/>
  <c r="AG162" i="29"/>
  <c r="AG165" i="29"/>
  <c r="AG157" i="29"/>
  <c r="AG160" i="29"/>
  <c r="AG163" i="29"/>
  <c r="AG158" i="29"/>
  <c r="AG161" i="29"/>
  <c r="AG164" i="29"/>
  <c r="AG159" i="29"/>
  <c r="N161" i="29"/>
  <c r="N164" i="29"/>
  <c r="N159" i="29"/>
  <c r="N162" i="29"/>
  <c r="N165" i="29"/>
  <c r="N157" i="29"/>
  <c r="N160" i="29"/>
  <c r="N163" i="29"/>
  <c r="N158" i="29"/>
  <c r="X159" i="29"/>
  <c r="X162" i="29"/>
  <c r="X165" i="29"/>
  <c r="X157" i="29"/>
  <c r="X160" i="29"/>
  <c r="X163" i="29"/>
  <c r="X158" i="29"/>
  <c r="X161" i="29"/>
  <c r="X164" i="29"/>
  <c r="Z165" i="29"/>
  <c r="Z157" i="29"/>
  <c r="Z160" i="29"/>
  <c r="Z163" i="29"/>
  <c r="Z158" i="29"/>
  <c r="Z161" i="29"/>
  <c r="Z164" i="29"/>
  <c r="Z159" i="29"/>
  <c r="Z162" i="29"/>
  <c r="AJ163" i="29"/>
  <c r="AJ158" i="29"/>
  <c r="AJ161" i="29"/>
  <c r="AJ164" i="29"/>
  <c r="AJ159" i="29"/>
  <c r="AJ162" i="29"/>
  <c r="AJ165" i="29"/>
  <c r="AJ157" i="29"/>
  <c r="AJ160" i="29"/>
  <c r="AE164" i="29"/>
  <c r="AE159" i="29"/>
  <c r="AE162" i="29"/>
  <c r="AE165" i="29"/>
  <c r="AE157" i="29"/>
  <c r="AE160" i="29"/>
  <c r="AE163" i="29"/>
  <c r="AE158" i="29"/>
  <c r="AE161" i="29"/>
  <c r="S160" i="29"/>
  <c r="S163" i="29"/>
  <c r="S158" i="29"/>
  <c r="S161" i="29"/>
  <c r="S164" i="29"/>
  <c r="S159" i="29"/>
  <c r="S162" i="29"/>
  <c r="S165" i="29"/>
  <c r="S157" i="29"/>
  <c r="AC158" i="29"/>
  <c r="AC161" i="29"/>
  <c r="AC164" i="29"/>
  <c r="AC159" i="29"/>
  <c r="AC162" i="29"/>
  <c r="AC165" i="29"/>
  <c r="AC157" i="29"/>
  <c r="AC160" i="29"/>
  <c r="AC163" i="29"/>
  <c r="J165" i="29"/>
  <c r="J157" i="29"/>
  <c r="J160" i="29"/>
  <c r="J163" i="29"/>
  <c r="J158" i="29"/>
  <c r="J161" i="29"/>
  <c r="J164" i="29"/>
  <c r="J159" i="29"/>
  <c r="J162" i="29"/>
  <c r="L163" i="29"/>
  <c r="L158" i="29"/>
  <c r="L161" i="29"/>
  <c r="L164" i="29"/>
  <c r="L159" i="29"/>
  <c r="L162" i="29"/>
  <c r="L165" i="29"/>
  <c r="L157" i="29"/>
  <c r="L160" i="29"/>
  <c r="V161" i="29"/>
  <c r="V164" i="29"/>
  <c r="V159" i="29"/>
  <c r="V162" i="29"/>
  <c r="V165" i="29"/>
  <c r="V157" i="29"/>
  <c r="V160" i="29"/>
  <c r="V163" i="29"/>
  <c r="V158" i="29"/>
  <c r="AF159" i="29"/>
  <c r="AF162" i="29"/>
  <c r="AF165" i="29"/>
  <c r="AF157" i="29"/>
  <c r="AF160" i="29"/>
  <c r="AF163" i="29"/>
  <c r="AF158" i="29"/>
  <c r="AF161" i="29"/>
  <c r="AF164" i="29"/>
  <c r="O164" i="29"/>
  <c r="O159" i="29"/>
  <c r="O162" i="29"/>
  <c r="O165" i="29"/>
  <c r="O157" i="29"/>
  <c r="O160" i="29"/>
  <c r="O163" i="29"/>
  <c r="O158" i="29"/>
  <c r="O161" i="29"/>
  <c r="AH165" i="29"/>
  <c r="AH157" i="29"/>
  <c r="AH160" i="29"/>
  <c r="AH163" i="29"/>
  <c r="AH158" i="29"/>
  <c r="AH161" i="29"/>
  <c r="AH164" i="29"/>
  <c r="AH159" i="29"/>
  <c r="AH162" i="29"/>
  <c r="K160" i="29"/>
  <c r="K163" i="29"/>
  <c r="K158" i="29"/>
  <c r="K161" i="29"/>
  <c r="K164" i="29"/>
  <c r="K159" i="29"/>
  <c r="K162" i="29"/>
  <c r="K165" i="29"/>
  <c r="K157" i="29"/>
  <c r="Q162" i="29"/>
  <c r="Q165" i="29"/>
  <c r="Q157" i="29"/>
  <c r="Q160" i="29"/>
  <c r="Q163" i="29"/>
  <c r="Q158" i="29"/>
  <c r="Q161" i="29"/>
  <c r="Q164" i="29"/>
  <c r="Q159" i="29"/>
  <c r="U158" i="29"/>
  <c r="U161" i="29"/>
  <c r="U164" i="29"/>
  <c r="U159" i="29"/>
  <c r="U162" i="29"/>
  <c r="U165" i="29"/>
  <c r="U157" i="29"/>
  <c r="U160" i="29"/>
  <c r="U163" i="29"/>
  <c r="AA160" i="29"/>
  <c r="AA163" i="29"/>
  <c r="AA158" i="29"/>
  <c r="AA161" i="29"/>
  <c r="AA164" i="29"/>
  <c r="AA159" i="29"/>
  <c r="AA162" i="29"/>
  <c r="AA165" i="29"/>
  <c r="AA157" i="29"/>
  <c r="AI160" i="29"/>
  <c r="AI163" i="29"/>
  <c r="AI158" i="29"/>
  <c r="AI161" i="29"/>
  <c r="AI164" i="29"/>
  <c r="AI159" i="29"/>
  <c r="AI162" i="29"/>
  <c r="AI165" i="29"/>
  <c r="AI157" i="29"/>
  <c r="R165" i="29"/>
  <c r="R157" i="29"/>
  <c r="R160" i="29"/>
  <c r="R163" i="29"/>
  <c r="R158" i="29"/>
  <c r="R161" i="29"/>
  <c r="R164" i="29"/>
  <c r="R159" i="29"/>
  <c r="R162" i="29"/>
  <c r="T163" i="29"/>
  <c r="T158" i="29"/>
  <c r="T161" i="29"/>
  <c r="T164" i="29"/>
  <c r="T159" i="29"/>
  <c r="T162" i="29"/>
  <c r="T165" i="29"/>
  <c r="T157" i="29"/>
  <c r="T160" i="29"/>
  <c r="AD161" i="29"/>
  <c r="AD164" i="29"/>
  <c r="AD159" i="29"/>
  <c r="AD162" i="29"/>
  <c r="AD165" i="29"/>
  <c r="AD157" i="29"/>
  <c r="AD160" i="29"/>
  <c r="AD163" i="29"/>
  <c r="AD158" i="29"/>
  <c r="G175" i="29"/>
  <c r="G160" i="29"/>
  <c r="G159" i="29"/>
  <c r="G158" i="29"/>
  <c r="G165" i="29"/>
  <c r="G157" i="29"/>
  <c r="G164" i="29"/>
  <c r="G163" i="29"/>
  <c r="G162" i="29"/>
  <c r="G161" i="29"/>
  <c r="H29" i="63"/>
  <c r="U48" i="65"/>
  <c r="W45" i="65"/>
  <c r="V47" i="65"/>
  <c r="V46" i="65"/>
  <c r="J94" i="63"/>
  <c r="J156" i="29"/>
  <c r="H31" i="63" l="1"/>
  <c r="F95" i="63" s="1"/>
  <c r="F101" i="63" s="1"/>
  <c r="V48" i="65"/>
  <c r="X45" i="65"/>
  <c r="W46" i="65"/>
  <c r="W47" i="65"/>
  <c r="K94" i="63"/>
  <c r="L94" i="63" s="1"/>
  <c r="K156" i="29"/>
  <c r="F246" i="13" l="1"/>
  <c r="W48" i="65"/>
  <c r="Y45" i="65"/>
  <c r="X46" i="65"/>
  <c r="X47" i="65"/>
  <c r="M94" i="63"/>
  <c r="L156" i="29"/>
  <c r="F144" i="29" l="1"/>
  <c r="X48" i="65"/>
  <c r="Z45" i="65"/>
  <c r="Y47" i="65"/>
  <c r="Y46" i="65"/>
  <c r="N94" i="63"/>
  <c r="M156" i="29"/>
  <c r="Y48" i="65" l="1"/>
  <c r="AA45" i="65"/>
  <c r="Z47" i="65"/>
  <c r="Z46" i="65"/>
  <c r="O94" i="63"/>
  <c r="N156" i="29"/>
  <c r="Z48" i="65" l="1"/>
  <c r="AB45" i="65"/>
  <c r="AA46" i="65"/>
  <c r="AA47" i="65"/>
  <c r="P94" i="63"/>
  <c r="O156" i="29"/>
  <c r="AA48" i="65" l="1"/>
  <c r="AC45" i="65"/>
  <c r="AB46" i="65"/>
  <c r="AB47" i="65"/>
  <c r="Q94" i="63"/>
  <c r="P156" i="29"/>
  <c r="AB48" i="65" l="1"/>
  <c r="AD45" i="65"/>
  <c r="AC46" i="65"/>
  <c r="AC47" i="65"/>
  <c r="R94" i="63"/>
  <c r="Q156" i="29"/>
  <c r="AC48" i="65" l="1"/>
  <c r="AE45" i="65"/>
  <c r="AD46" i="65"/>
  <c r="AD47" i="65"/>
  <c r="S94" i="63"/>
  <c r="R156" i="29"/>
  <c r="AD48" i="65" l="1"/>
  <c r="AF45" i="65"/>
  <c r="AE47" i="65"/>
  <c r="AE46" i="65"/>
  <c r="T94" i="63"/>
  <c r="S156" i="29"/>
  <c r="AE48" i="65" l="1"/>
  <c r="AG45" i="65"/>
  <c r="AF47" i="65"/>
  <c r="AF46" i="65"/>
  <c r="U94" i="63"/>
  <c r="T156" i="29"/>
  <c r="AF48" i="65" l="1"/>
  <c r="AH45" i="65"/>
  <c r="AG46" i="65"/>
  <c r="AG47" i="65"/>
  <c r="V94" i="63"/>
  <c r="U156" i="29"/>
  <c r="AG48" i="65" l="1"/>
  <c r="AI45" i="65"/>
  <c r="AH46" i="65"/>
  <c r="AH47" i="65"/>
  <c r="W94" i="63"/>
  <c r="V156" i="29"/>
  <c r="AH48" i="65" l="1"/>
  <c r="AJ45" i="65"/>
  <c r="AI47" i="65"/>
  <c r="AI46" i="65"/>
  <c r="X94" i="63"/>
  <c r="W156" i="29"/>
  <c r="AI48" i="65" l="1"/>
  <c r="AK45" i="65"/>
  <c r="AJ46" i="65"/>
  <c r="AJ47" i="65"/>
  <c r="Y94" i="63"/>
  <c r="X156" i="29"/>
  <c r="AJ48" i="65" l="1"/>
  <c r="AL45" i="65"/>
  <c r="AK47" i="65"/>
  <c r="AK46" i="65"/>
  <c r="Z94" i="63"/>
  <c r="Y156" i="29"/>
  <c r="AK48" i="65" l="1"/>
  <c r="AM45" i="65"/>
  <c r="AL47" i="65"/>
  <c r="AL46" i="65"/>
  <c r="AA94" i="63"/>
  <c r="Z156" i="29"/>
  <c r="AL48" i="65" l="1"/>
  <c r="AM47" i="65"/>
  <c r="D47" i="65" s="1"/>
  <c r="AM46" i="65"/>
  <c r="D46" i="65" s="1"/>
  <c r="AB94" i="63"/>
  <c r="AA156" i="29"/>
  <c r="D48" i="65" l="1"/>
  <c r="AM48" i="65"/>
  <c r="AC94" i="63"/>
  <c r="AB156" i="29"/>
  <c r="AD94" i="63" l="1"/>
  <c r="AC156" i="29"/>
  <c r="AE94" i="63" l="1"/>
  <c r="AD156" i="29"/>
  <c r="AF94" i="63" l="1"/>
  <c r="AE156" i="29"/>
  <c r="AG94" i="63" l="1"/>
  <c r="AF156" i="29"/>
  <c r="AH94" i="63" l="1"/>
  <c r="AG156" i="29"/>
  <c r="AI94" i="63" l="1"/>
  <c r="AH156" i="29"/>
  <c r="AJ94" i="63" l="1"/>
  <c r="AI156" i="29"/>
  <c r="AK94" i="63" l="1"/>
  <c r="AJ156" i="29"/>
  <c r="AL94" i="63" l="1"/>
  <c r="AM94" i="63" l="1"/>
  <c r="AN94" i="63" l="1"/>
  <c r="E95" i="63" l="1"/>
  <c r="E101" i="63" l="1"/>
  <c r="F107" i="22"/>
  <c r="G107" i="22" s="1"/>
  <c r="H107" i="22" s="1"/>
  <c r="I107" i="22" s="1"/>
  <c r="J107" i="22" s="1"/>
  <c r="K107" i="22" s="1"/>
  <c r="L107" i="22" s="1"/>
  <c r="M107" i="22" s="1"/>
  <c r="N107" i="22" s="1"/>
  <c r="O107" i="22" s="1"/>
  <c r="P107" i="22" s="1"/>
  <c r="Q107" i="22" s="1"/>
  <c r="R107" i="22" s="1"/>
  <c r="S107" i="22" s="1"/>
  <c r="T107" i="22" s="1"/>
  <c r="U107" i="22" s="1"/>
  <c r="V107" i="22" s="1"/>
  <c r="W107" i="22" s="1"/>
  <c r="X107" i="22" s="1"/>
  <c r="Y107" i="22" s="1"/>
  <c r="Z107" i="22" s="1"/>
  <c r="AA107" i="22" s="1"/>
  <c r="AB107" i="22" s="1"/>
  <c r="AC107" i="22" s="1"/>
  <c r="AD107" i="22" s="1"/>
  <c r="AE107" i="22" s="1"/>
  <c r="AF107" i="22" s="1"/>
  <c r="AG107" i="22" s="1"/>
  <c r="AH107" i="22" s="1"/>
  <c r="F72" i="22"/>
  <c r="F73" i="22" l="1"/>
  <c r="F76" i="22"/>
  <c r="F75" i="22"/>
  <c r="F74" i="22"/>
  <c r="G72" i="22"/>
  <c r="G73" i="22" l="1"/>
  <c r="G76" i="22"/>
  <c r="G74" i="22"/>
  <c r="G75" i="22"/>
  <c r="H72" i="22"/>
  <c r="H73" i="22" l="1"/>
  <c r="H76" i="22"/>
  <c r="H75" i="22"/>
  <c r="I72" i="22"/>
  <c r="H74" i="22"/>
  <c r="I73" i="22" l="1"/>
  <c r="I76" i="22"/>
  <c r="J72" i="22"/>
  <c r="J76" i="22" s="1"/>
  <c r="I74" i="22"/>
  <c r="I75" i="22"/>
  <c r="J74" i="22" l="1"/>
  <c r="J73" i="22"/>
  <c r="K72" i="22"/>
  <c r="K76" i="22" s="1"/>
  <c r="J75" i="22"/>
  <c r="L72" i="22" l="1"/>
  <c r="M72" i="22" s="1"/>
  <c r="K73" i="22"/>
  <c r="K75" i="22"/>
  <c r="K74" i="22"/>
  <c r="L74" i="22"/>
  <c r="L75" i="22"/>
  <c r="M73" i="22" l="1"/>
  <c r="M76" i="22"/>
  <c r="L73" i="22"/>
  <c r="L76" i="22"/>
  <c r="M74" i="22"/>
  <c r="M75" i="22"/>
  <c r="N72" i="22"/>
  <c r="N73" i="22" l="1"/>
  <c r="N76" i="22"/>
  <c r="N74" i="22"/>
  <c r="N75" i="22"/>
  <c r="O72" i="22"/>
  <c r="O73" i="22" l="1"/>
  <c r="O76" i="22"/>
  <c r="O74" i="22"/>
  <c r="O75" i="22"/>
  <c r="P72" i="22"/>
  <c r="P73" i="22" l="1"/>
  <c r="P76" i="22"/>
  <c r="P74" i="22"/>
  <c r="P75" i="22"/>
  <c r="Q72" i="22"/>
  <c r="Q73" i="22" l="1"/>
  <c r="Q76" i="22"/>
  <c r="Q74" i="22"/>
  <c r="Q75" i="22"/>
  <c r="R72" i="22"/>
  <c r="R73" i="22" l="1"/>
  <c r="R76" i="22"/>
  <c r="R74" i="22"/>
  <c r="R75" i="22"/>
  <c r="S72" i="22"/>
  <c r="S73" i="22" l="1"/>
  <c r="S76" i="22"/>
  <c r="S74" i="22"/>
  <c r="S75" i="22"/>
  <c r="T72" i="22"/>
  <c r="T73" i="22" l="1"/>
  <c r="T76" i="22"/>
  <c r="T74" i="22"/>
  <c r="T75" i="22"/>
  <c r="U72" i="22"/>
  <c r="U73" i="22" l="1"/>
  <c r="U76" i="22"/>
  <c r="U74" i="22"/>
  <c r="U75" i="22"/>
  <c r="V72" i="22"/>
  <c r="V73" i="22" l="1"/>
  <c r="V76" i="22"/>
  <c r="V74" i="22"/>
  <c r="V75" i="22"/>
  <c r="W72" i="22"/>
  <c r="W73" i="22" l="1"/>
  <c r="W76" i="22"/>
  <c r="W74" i="22"/>
  <c r="W75" i="22"/>
  <c r="X72" i="22"/>
  <c r="X73" i="22" l="1"/>
  <c r="X76" i="22"/>
  <c r="X74" i="22"/>
  <c r="X75" i="22"/>
  <c r="Y72" i="22"/>
  <c r="Y73" i="22" l="1"/>
  <c r="Y76" i="22"/>
  <c r="Y74" i="22"/>
  <c r="Y75" i="22"/>
  <c r="Z72" i="22"/>
  <c r="Z73" i="22" l="1"/>
  <c r="Z76" i="22"/>
  <c r="Z74" i="22"/>
  <c r="Z75" i="22"/>
  <c r="AA72" i="22"/>
  <c r="AA73" i="22" l="1"/>
  <c r="AA76" i="22"/>
  <c r="AA74" i="22"/>
  <c r="AA75" i="22"/>
  <c r="AB72" i="22"/>
  <c r="AB73" i="22" l="1"/>
  <c r="AB76" i="22"/>
  <c r="AB74" i="22"/>
  <c r="AB75" i="22"/>
  <c r="AC72" i="22"/>
  <c r="AC73" i="22" l="1"/>
  <c r="AC76" i="22"/>
  <c r="AC74" i="22"/>
  <c r="AC75" i="22"/>
  <c r="AD72" i="22"/>
  <c r="AD73" i="22" l="1"/>
  <c r="AD76" i="22"/>
  <c r="AD74" i="22"/>
  <c r="AD75" i="22"/>
  <c r="AE72" i="22"/>
  <c r="AE73" i="22" l="1"/>
  <c r="AE76" i="22"/>
  <c r="AE74" i="22"/>
  <c r="AE75" i="22"/>
  <c r="AF72" i="22"/>
  <c r="AF73" i="22" l="1"/>
  <c r="AF76" i="22"/>
  <c r="AF74" i="22"/>
  <c r="AF75" i="22"/>
  <c r="AG72" i="22"/>
  <c r="AG73" i="22" l="1"/>
  <c r="AG76" i="22"/>
  <c r="AG74" i="22"/>
  <c r="AG75" i="22"/>
  <c r="AH72" i="22"/>
  <c r="AH73" i="22" l="1"/>
  <c r="AH76" i="22"/>
  <c r="AH74" i="22"/>
  <c r="AH75" i="22"/>
  <c r="D76" i="22" l="1"/>
  <c r="D74" i="22"/>
  <c r="Q45" i="17"/>
  <c r="P45" i="17"/>
  <c r="Q20" i="17"/>
  <c r="P20" i="17"/>
  <c r="D75" i="22" l="1"/>
  <c r="F215" i="13"/>
  <c r="G88" i="1"/>
  <c r="G87" i="1"/>
  <c r="G86" i="1"/>
  <c r="G85" i="1"/>
  <c r="F50" i="61"/>
  <c r="D46" i="61"/>
  <c r="E45" i="61"/>
  <c r="E44" i="61"/>
  <c r="E43" i="61"/>
  <c r="E42" i="61"/>
  <c r="G17" i="61"/>
  <c r="G6" i="61"/>
  <c r="D61" i="61" l="1"/>
  <c r="G91" i="1" s="1"/>
  <c r="G83" i="1"/>
  <c r="G89" i="1"/>
  <c r="E46" i="61"/>
  <c r="G92" i="1" s="1"/>
  <c r="F205" i="13" s="1"/>
  <c r="I30" i="60" l="1"/>
  <c r="I31" i="60"/>
  <c r="I32" i="60"/>
  <c r="I33" i="60"/>
  <c r="I34" i="60"/>
  <c r="I35" i="60"/>
  <c r="I36" i="60"/>
  <c r="J30" i="60"/>
  <c r="J31" i="60"/>
  <c r="J32" i="60"/>
  <c r="J33" i="60"/>
  <c r="J34" i="60"/>
  <c r="J35" i="60"/>
  <c r="J36" i="60"/>
  <c r="J28" i="60"/>
  <c r="H30" i="60"/>
  <c r="H36" i="60"/>
  <c r="H35" i="60"/>
  <c r="H34" i="60"/>
  <c r="H33" i="60"/>
  <c r="H32" i="60"/>
  <c r="H31" i="60"/>
  <c r="H28" i="60"/>
  <c r="G30" i="60"/>
  <c r="G31" i="60"/>
  <c r="G32" i="60"/>
  <c r="G33" i="60"/>
  <c r="G34" i="60"/>
  <c r="G35" i="60"/>
  <c r="G36" i="60"/>
  <c r="E22" i="60"/>
  <c r="F22" i="60" s="1"/>
  <c r="E21" i="60"/>
  <c r="F21" i="60" s="1"/>
  <c r="E20" i="60"/>
  <c r="F20" i="60" s="1"/>
  <c r="F58" i="60" s="1"/>
  <c r="E19" i="60"/>
  <c r="F19" i="60" s="1"/>
  <c r="C57" i="60" s="1"/>
  <c r="E18" i="60"/>
  <c r="F18" i="60" s="1"/>
  <c r="E17" i="60"/>
  <c r="E16" i="60"/>
  <c r="F16" i="60" s="1"/>
  <c r="F17" i="60" l="1"/>
  <c r="C55" i="60" s="1"/>
  <c r="D60" i="60"/>
  <c r="C60" i="60"/>
  <c r="D54" i="60"/>
  <c r="C54" i="60"/>
  <c r="F57" i="60"/>
  <c r="H33" i="17" s="1"/>
  <c r="N33" i="17" s="1"/>
  <c r="D57" i="60"/>
  <c r="E57" i="60"/>
  <c r="H8" i="17" s="1"/>
  <c r="N8" i="17" s="1"/>
  <c r="I33" i="17"/>
  <c r="C58" i="60"/>
  <c r="D58" i="60"/>
  <c r="E58" i="60"/>
  <c r="I8" i="17" s="1"/>
  <c r="D59" i="60"/>
  <c r="F59" i="60"/>
  <c r="J33" i="17" s="1"/>
  <c r="C59" i="60"/>
  <c r="E59" i="60"/>
  <c r="J8" i="17" s="1"/>
  <c r="D33" i="17"/>
  <c r="C56" i="60"/>
  <c r="F56" i="60"/>
  <c r="G33" i="17" s="1"/>
  <c r="D56" i="60"/>
  <c r="E56" i="60"/>
  <c r="G8" i="17" s="1"/>
  <c r="F52" i="60"/>
  <c r="C33" i="17" s="1"/>
  <c r="F60" i="60"/>
  <c r="K33" i="17" s="1"/>
  <c r="F54" i="60"/>
  <c r="E33" i="17" s="1"/>
  <c r="D52" i="60"/>
  <c r="E55" i="60"/>
  <c r="F8" i="17" s="1"/>
  <c r="D55" i="60"/>
  <c r="E60" i="60"/>
  <c r="K8" i="17" s="1"/>
  <c r="E54" i="60"/>
  <c r="E8" i="17" s="1"/>
  <c r="J37" i="60"/>
  <c r="I37" i="60"/>
  <c r="M8" i="17" l="1"/>
  <c r="F55" i="60"/>
  <c r="F33" i="17" s="1"/>
  <c r="C38" i="17"/>
  <c r="C37" i="17"/>
  <c r="C39" i="17"/>
  <c r="C40" i="17"/>
  <c r="C34" i="17"/>
  <c r="C35" i="17"/>
  <c r="C36" i="17"/>
  <c r="C14" i="17"/>
  <c r="C13" i="17"/>
  <c r="C15" i="17"/>
  <c r="C12" i="17"/>
  <c r="C10" i="17"/>
  <c r="C11" i="17"/>
  <c r="D37" i="17"/>
  <c r="D38" i="17"/>
  <c r="D34" i="17"/>
  <c r="D36" i="17"/>
  <c r="D39" i="17"/>
  <c r="D35" i="17"/>
  <c r="D40" i="17"/>
  <c r="K13" i="17"/>
  <c r="K14" i="17"/>
  <c r="K10" i="17"/>
  <c r="K11" i="17"/>
  <c r="K15" i="17"/>
  <c r="K9" i="17"/>
  <c r="K12" i="17"/>
  <c r="F35" i="17"/>
  <c r="F36" i="17"/>
  <c r="F37" i="17"/>
  <c r="F38" i="17"/>
  <c r="F39" i="17"/>
  <c r="F40" i="17"/>
  <c r="F34" i="17"/>
  <c r="G35" i="17"/>
  <c r="G38" i="17"/>
  <c r="G39" i="17"/>
  <c r="G40" i="17"/>
  <c r="G36" i="17"/>
  <c r="G34" i="17"/>
  <c r="G37" i="17"/>
  <c r="J9" i="17"/>
  <c r="J15" i="17"/>
  <c r="J14" i="17"/>
  <c r="J10" i="17"/>
  <c r="J11" i="17"/>
  <c r="J12" i="17"/>
  <c r="J13" i="17"/>
  <c r="H34" i="17"/>
  <c r="N34" i="17" s="1"/>
  <c r="H35" i="17"/>
  <c r="H37" i="17"/>
  <c r="H38" i="17"/>
  <c r="H39" i="17"/>
  <c r="H36" i="17"/>
  <c r="H40" i="17"/>
  <c r="G11" i="17"/>
  <c r="G12" i="17"/>
  <c r="G15" i="17"/>
  <c r="G10" i="17"/>
  <c r="G13" i="17"/>
  <c r="G14" i="17"/>
  <c r="G9" i="17"/>
  <c r="J39" i="17"/>
  <c r="J40" i="17"/>
  <c r="J38" i="17"/>
  <c r="J34" i="17"/>
  <c r="J35" i="17"/>
  <c r="J36" i="17"/>
  <c r="J37" i="17"/>
  <c r="I40" i="17"/>
  <c r="I34" i="17"/>
  <c r="I36" i="17"/>
  <c r="I39" i="17"/>
  <c r="I35" i="17"/>
  <c r="I37" i="17"/>
  <c r="I38" i="17"/>
  <c r="E13" i="17"/>
  <c r="E14" i="17"/>
  <c r="E10" i="17"/>
  <c r="E15" i="17"/>
  <c r="E11" i="17"/>
  <c r="E9" i="17"/>
  <c r="E12" i="17"/>
  <c r="I10" i="17"/>
  <c r="I13" i="17"/>
  <c r="I14" i="17"/>
  <c r="I11" i="17"/>
  <c r="I12" i="17"/>
  <c r="I15" i="17"/>
  <c r="I9" i="17"/>
  <c r="E36" i="17"/>
  <c r="E37" i="17"/>
  <c r="E38" i="17"/>
  <c r="E40" i="17"/>
  <c r="E34" i="17"/>
  <c r="E39" i="17"/>
  <c r="E35" i="17"/>
  <c r="K36" i="17"/>
  <c r="K37" i="17"/>
  <c r="K40" i="17"/>
  <c r="K38" i="17"/>
  <c r="K34" i="17"/>
  <c r="K39" i="17"/>
  <c r="K35" i="17"/>
  <c r="H10" i="17"/>
  <c r="H11" i="17"/>
  <c r="H12" i="17"/>
  <c r="H15" i="17"/>
  <c r="H9" i="17"/>
  <c r="N9" i="17" s="1"/>
  <c r="H13" i="17"/>
  <c r="H14" i="17"/>
  <c r="F12" i="17"/>
  <c r="F13" i="17"/>
  <c r="F14" i="17"/>
  <c r="F11" i="17"/>
  <c r="F15" i="17"/>
  <c r="F9" i="17"/>
  <c r="F10" i="17"/>
  <c r="G8" i="28"/>
  <c r="G9" i="28"/>
  <c r="M9" i="17" l="1"/>
  <c r="C20" i="17"/>
  <c r="E20" i="17"/>
  <c r="I44" i="26"/>
  <c r="H44" i="26"/>
  <c r="G44" i="26"/>
  <c r="K25" i="28"/>
  <c r="J25" i="28"/>
  <c r="I25" i="28"/>
  <c r="L24" i="28"/>
  <c r="L23" i="28"/>
  <c r="L22" i="28"/>
  <c r="L21" i="28"/>
  <c r="M34" i="17"/>
  <c r="M41" i="17"/>
  <c r="M42" i="17"/>
  <c r="M43" i="17"/>
  <c r="M33" i="17"/>
  <c r="G19" i="22"/>
  <c r="L25" i="28" l="1"/>
  <c r="G10" i="28"/>
  <c r="G32" i="28"/>
  <c r="E29" i="38"/>
  <c r="E198" i="6"/>
  <c r="D198" i="6"/>
  <c r="E197" i="6"/>
  <c r="D197" i="6"/>
  <c r="E195" i="6"/>
  <c r="F34" i="38" l="1"/>
  <c r="F33" i="38"/>
  <c r="H33" i="28"/>
  <c r="I33" i="28" s="1"/>
  <c r="J33" i="28" s="1"/>
  <c r="K33" i="28" s="1"/>
  <c r="L33" i="28" s="1"/>
  <c r="M33" i="28" s="1"/>
  <c r="N33" i="28" s="1"/>
  <c r="O33" i="28" s="1"/>
  <c r="P33" i="28" s="1"/>
  <c r="Q33" i="28" s="1"/>
  <c r="R33" i="28" s="1"/>
  <c r="S33" i="28" s="1"/>
  <c r="T33" i="28" s="1"/>
  <c r="U33" i="28" s="1"/>
  <c r="V33" i="28" s="1"/>
  <c r="W33" i="28" s="1"/>
  <c r="X33" i="28" s="1"/>
  <c r="Y33" i="28" s="1"/>
  <c r="Z33" i="28" s="1"/>
  <c r="AA33" i="28" s="1"/>
  <c r="AB33" i="28" s="1"/>
  <c r="AC33" i="28" s="1"/>
  <c r="AD33" i="28" s="1"/>
  <c r="AE33" i="28" s="1"/>
  <c r="AF33" i="28" s="1"/>
  <c r="AG33" i="28" s="1"/>
  <c r="AH33" i="28" s="1"/>
  <c r="AI33" i="28" s="1"/>
  <c r="L80" i="28"/>
  <c r="H53" i="28" s="1"/>
  <c r="I53" i="28" s="1"/>
  <c r="J53" i="28" s="1"/>
  <c r="K53" i="28" s="1"/>
  <c r="L53" i="28" s="1"/>
  <c r="M53" i="28" s="1"/>
  <c r="N53" i="28" s="1"/>
  <c r="O53" i="28" s="1"/>
  <c r="P53" i="28" s="1"/>
  <c r="Q53" i="28" s="1"/>
  <c r="R53" i="28" s="1"/>
  <c r="S53" i="28" s="1"/>
  <c r="T53" i="28" s="1"/>
  <c r="U53" i="28" s="1"/>
  <c r="V53" i="28" s="1"/>
  <c r="W53" i="28" s="1"/>
  <c r="X53" i="28" s="1"/>
  <c r="Y53" i="28" s="1"/>
  <c r="Z53" i="28" s="1"/>
  <c r="AA53" i="28" s="1"/>
  <c r="AB53" i="28" s="1"/>
  <c r="AC53" i="28" s="1"/>
  <c r="AD53" i="28" s="1"/>
  <c r="AE53" i="28" s="1"/>
  <c r="AF53" i="28" s="1"/>
  <c r="AG53" i="28" s="1"/>
  <c r="AH53" i="28" s="1"/>
  <c r="AI53" i="28" s="1"/>
  <c r="L84" i="28"/>
  <c r="H57" i="28" s="1"/>
  <c r="I57" i="28" s="1"/>
  <c r="J57" i="28" s="1"/>
  <c r="K57" i="28" s="1"/>
  <c r="L57" i="28" s="1"/>
  <c r="M57" i="28" s="1"/>
  <c r="N57" i="28" s="1"/>
  <c r="O57" i="28" s="1"/>
  <c r="P57" i="28" s="1"/>
  <c r="Q57" i="28" s="1"/>
  <c r="R57" i="28" s="1"/>
  <c r="S57" i="28" s="1"/>
  <c r="T57" i="28" s="1"/>
  <c r="U57" i="28" s="1"/>
  <c r="V57" i="28" s="1"/>
  <c r="W57" i="28" s="1"/>
  <c r="X57" i="28" s="1"/>
  <c r="Y57" i="28" s="1"/>
  <c r="Z57" i="28" s="1"/>
  <c r="AA57" i="28" s="1"/>
  <c r="AB57" i="28" s="1"/>
  <c r="AC57" i="28" s="1"/>
  <c r="AD57" i="28" s="1"/>
  <c r="AE57" i="28" s="1"/>
  <c r="AF57" i="28" s="1"/>
  <c r="AG57" i="28" s="1"/>
  <c r="AH57" i="28" s="1"/>
  <c r="AI57" i="28" s="1"/>
  <c r="J32" i="28"/>
  <c r="K32" i="28" s="1"/>
  <c r="L32" i="28" s="1"/>
  <c r="M32" i="28" s="1"/>
  <c r="N32" i="28" s="1"/>
  <c r="O32" i="28" s="1"/>
  <c r="P32" i="28" s="1"/>
  <c r="Q32" i="28" s="1"/>
  <c r="R32" i="28" s="1"/>
  <c r="S32" i="28" s="1"/>
  <c r="T32" i="28" s="1"/>
  <c r="U32" i="28" s="1"/>
  <c r="V32" i="28" s="1"/>
  <c r="W32" i="28" s="1"/>
  <c r="X32" i="28" s="1"/>
  <c r="Y32" i="28" s="1"/>
  <c r="Z32" i="28" s="1"/>
  <c r="AA32" i="28" s="1"/>
  <c r="AB32" i="28" s="1"/>
  <c r="AC32" i="28" s="1"/>
  <c r="AD32" i="28" s="1"/>
  <c r="AE32" i="28" s="1"/>
  <c r="AF32" i="28" s="1"/>
  <c r="AG32" i="28" s="1"/>
  <c r="AH32" i="28" s="1"/>
  <c r="AI32" i="28" s="1"/>
  <c r="I32" i="28"/>
  <c r="F41" i="38"/>
  <c r="F42" i="38" s="1"/>
  <c r="H24" i="28"/>
  <c r="H23" i="28"/>
  <c r="H22" i="28"/>
  <c r="H21" i="28"/>
  <c r="H20" i="28"/>
  <c r="G25" i="28"/>
  <c r="F25" i="28"/>
  <c r="E25" i="28"/>
  <c r="G39" i="39"/>
  <c r="G38" i="39"/>
  <c r="F49" i="39" s="1"/>
  <c r="G108" i="23" l="1"/>
  <c r="L52" i="23"/>
  <c r="N32" i="23"/>
  <c r="N37" i="23" s="1"/>
  <c r="M32" i="23"/>
  <c r="N36" i="23" s="1"/>
  <c r="L32" i="23"/>
  <c r="N35" i="23" s="1"/>
  <c r="G95" i="23"/>
  <c r="I51" i="23"/>
  <c r="I52" i="23" s="1"/>
  <c r="I32" i="23"/>
  <c r="J32" i="23"/>
  <c r="K32" i="23"/>
  <c r="K37" i="23" s="1"/>
  <c r="K35" i="23" l="1"/>
  <c r="H108" i="23"/>
  <c r="N38" i="23"/>
  <c r="K36" i="23"/>
  <c r="H95" i="23"/>
  <c r="M50" i="23" l="1"/>
  <c r="M55" i="23" s="1"/>
  <c r="I143" i="23"/>
  <c r="I139" i="23"/>
  <c r="K38" i="23"/>
  <c r="J50" i="23" s="1"/>
  <c r="F65" i="23"/>
  <c r="I108" i="23"/>
  <c r="I95" i="23"/>
  <c r="F64" i="23" l="1"/>
  <c r="H139" i="23"/>
  <c r="H143" i="23"/>
  <c r="F115" i="23"/>
  <c r="F111" i="23"/>
  <c r="J55" i="23"/>
  <c r="J108" i="23"/>
  <c r="J95" i="23"/>
  <c r="F102" i="23" l="1"/>
  <c r="F98" i="23"/>
  <c r="K108" i="23"/>
  <c r="K95" i="23"/>
  <c r="L108" i="23" l="1"/>
  <c r="L95" i="23"/>
  <c r="M108" i="23" l="1"/>
  <c r="M95" i="23"/>
  <c r="N108" i="23" l="1"/>
  <c r="N95" i="23"/>
  <c r="O108" i="23" l="1"/>
  <c r="O95" i="23"/>
  <c r="P108" i="23" l="1"/>
  <c r="P95" i="23"/>
  <c r="Q108" i="23" l="1"/>
  <c r="Q95" i="23"/>
  <c r="R108" i="23" l="1"/>
  <c r="R95" i="23"/>
  <c r="S108" i="23" l="1"/>
  <c r="S95" i="23"/>
  <c r="T108" i="23" l="1"/>
  <c r="T95" i="23"/>
  <c r="U108" i="23" l="1"/>
  <c r="U95" i="23"/>
  <c r="V108" i="23" l="1"/>
  <c r="V95" i="23"/>
  <c r="W108" i="23" l="1"/>
  <c r="W95" i="23"/>
  <c r="X108" i="23" l="1"/>
  <c r="X95" i="23"/>
  <c r="Y108" i="23" l="1"/>
  <c r="Y95" i="23"/>
  <c r="Z108" i="23" l="1"/>
  <c r="Z95" i="23"/>
  <c r="AA108" i="23" l="1"/>
  <c r="AA95" i="23"/>
  <c r="AB108" i="23" l="1"/>
  <c r="AB95" i="23"/>
  <c r="AC108" i="23" l="1"/>
  <c r="AC95" i="23"/>
  <c r="AD108" i="23" l="1"/>
  <c r="AD95" i="23"/>
  <c r="AE108" i="23" l="1"/>
  <c r="AE95" i="23"/>
  <c r="AF108" i="23" l="1"/>
  <c r="AF95" i="23"/>
  <c r="AG108" i="23" l="1"/>
  <c r="AG95" i="23"/>
  <c r="AH108" i="23" l="1"/>
  <c r="AH95" i="23"/>
  <c r="AI108" i="23" l="1"/>
  <c r="AI95" i="23"/>
  <c r="AJ108" i="23" l="1"/>
  <c r="AJ95" i="23"/>
  <c r="AK108" i="23" l="1"/>
  <c r="AK95" i="23"/>
  <c r="AL108" i="23" l="1"/>
  <c r="AL95" i="23"/>
  <c r="AM108" i="23" l="1"/>
  <c r="AM95" i="23"/>
  <c r="AN108" i="23" l="1"/>
  <c r="AN95" i="23"/>
  <c r="E193" i="6" l="1"/>
  <c r="F193" i="6" s="1"/>
  <c r="G193" i="6" s="1"/>
  <c r="H193" i="6" s="1"/>
  <c r="I193" i="6" s="1"/>
  <c r="J193" i="6" s="1"/>
  <c r="K193" i="6" s="1"/>
  <c r="L193" i="6" s="1"/>
  <c r="M193" i="6" s="1"/>
  <c r="N193" i="6" s="1"/>
  <c r="O193" i="6" s="1"/>
  <c r="P193" i="6" s="1"/>
  <c r="Q193" i="6" s="1"/>
  <c r="R193" i="6" s="1"/>
  <c r="S193" i="6" s="1"/>
  <c r="T193" i="6" s="1"/>
  <c r="U193" i="6" s="1"/>
  <c r="V193" i="6" s="1"/>
  <c r="W193" i="6" s="1"/>
  <c r="X193" i="6" s="1"/>
  <c r="Y193" i="6" s="1"/>
  <c r="Z193" i="6" s="1"/>
  <c r="AA193" i="6" s="1"/>
  <c r="AB193" i="6" s="1"/>
  <c r="AC193" i="6" s="1"/>
  <c r="AD193" i="6" s="1"/>
  <c r="AE193" i="6" s="1"/>
  <c r="AF193" i="6" s="1"/>
  <c r="AG193" i="6" s="1"/>
  <c r="E208" i="6"/>
  <c r="F208" i="6" s="1"/>
  <c r="G208" i="6" s="1"/>
  <c r="H208" i="6" s="1"/>
  <c r="I208" i="6" s="1"/>
  <c r="J208" i="6" s="1"/>
  <c r="K208" i="6" s="1"/>
  <c r="L208" i="6" s="1"/>
  <c r="M208" i="6" s="1"/>
  <c r="N208" i="6" s="1"/>
  <c r="O208" i="6" s="1"/>
  <c r="P208" i="6" s="1"/>
  <c r="Q208" i="6" s="1"/>
  <c r="R208" i="6" s="1"/>
  <c r="S208" i="6" s="1"/>
  <c r="T208" i="6" s="1"/>
  <c r="U208" i="6" s="1"/>
  <c r="V208" i="6" s="1"/>
  <c r="W208" i="6" s="1"/>
  <c r="X208" i="6" s="1"/>
  <c r="Y208" i="6" s="1"/>
  <c r="Z208" i="6" s="1"/>
  <c r="AA208" i="6" s="1"/>
  <c r="AB208" i="6" s="1"/>
  <c r="AC208" i="6" s="1"/>
  <c r="AD208" i="6" s="1"/>
  <c r="AE208" i="6" s="1"/>
  <c r="AF208" i="6" s="1"/>
  <c r="AG208" i="6" s="1"/>
  <c r="D9" i="28" l="1"/>
  <c r="D8" i="28"/>
  <c r="G7" i="29"/>
  <c r="F3" i="13" l="1"/>
  <c r="I20" i="48" l="1"/>
  <c r="I25" i="48" s="1"/>
  <c r="I27" i="48" s="1"/>
  <c r="L18" i="48"/>
  <c r="K18" i="48"/>
  <c r="J18" i="48"/>
  <c r="E83" i="48" l="1"/>
  <c r="H25" i="28"/>
  <c r="F33" i="28" s="1"/>
  <c r="K80" i="28" l="1"/>
  <c r="F53" i="28" s="1"/>
  <c r="K84" i="28"/>
  <c r="F57" i="28" s="1"/>
  <c r="G57" i="28" s="1"/>
  <c r="G33" i="28"/>
  <c r="E33" i="28"/>
  <c r="G53" i="28" l="1"/>
  <c r="F39" i="24"/>
  <c r="F41" i="24" s="1"/>
  <c r="F58" i="13" l="1"/>
  <c r="D94" i="4" s="1"/>
  <c r="J33" i="26" l="1"/>
  <c r="G11" i="55" l="1"/>
  <c r="H11" i="55" s="1"/>
  <c r="I11" i="55" s="1"/>
  <c r="J11" i="55" s="1"/>
  <c r="K11" i="55" s="1"/>
  <c r="L11" i="55" s="1"/>
  <c r="M11" i="55" s="1"/>
  <c r="N11" i="55" s="1"/>
  <c r="O11" i="55" s="1"/>
  <c r="P11" i="55" s="1"/>
  <c r="Q11" i="55" s="1"/>
  <c r="R11" i="55" s="1"/>
  <c r="S11" i="55" s="1"/>
  <c r="T11" i="55" s="1"/>
  <c r="U11" i="55" s="1"/>
  <c r="V11" i="55" s="1"/>
  <c r="W11" i="55" s="1"/>
  <c r="X11" i="55" s="1"/>
  <c r="Y11" i="55" s="1"/>
  <c r="Z11" i="55" s="1"/>
  <c r="AA11" i="55" s="1"/>
  <c r="AB11" i="55" s="1"/>
  <c r="AC11" i="55" s="1"/>
  <c r="AD11" i="55" s="1"/>
  <c r="AE11" i="55" s="1"/>
  <c r="AF11" i="55" s="1"/>
  <c r="AG11" i="55" s="1"/>
  <c r="AH11" i="55" s="1"/>
  <c r="AI11" i="55" s="1"/>
  <c r="G17" i="40" l="1"/>
  <c r="G16" i="40"/>
  <c r="G15" i="40"/>
  <c r="G14" i="40"/>
  <c r="G12" i="40"/>
  <c r="G11" i="40"/>
  <c r="G10" i="40"/>
  <c r="G9" i="40"/>
  <c r="G8" i="40"/>
  <c r="G7" i="40"/>
  <c r="F90" i="32" l="1"/>
  <c r="I46" i="53"/>
  <c r="J46" i="53" s="1"/>
  <c r="H46" i="53"/>
  <c r="H43" i="53" s="1"/>
  <c r="G46" i="53"/>
  <c r="G43" i="53" s="1"/>
  <c r="F31" i="53"/>
  <c r="C94" i="53"/>
  <c r="CU93" i="53"/>
  <c r="CT93" i="53"/>
  <c r="G87" i="53"/>
  <c r="E84" i="53"/>
  <c r="E85" i="53" s="1"/>
  <c r="E86" i="53" s="1"/>
  <c r="F83" i="53"/>
  <c r="CB93" i="53" s="1"/>
  <c r="CC93" i="53" s="1"/>
  <c r="G81" i="53"/>
  <c r="E78" i="53"/>
  <c r="E79" i="53" s="1"/>
  <c r="E80" i="53" s="1"/>
  <c r="F77" i="53"/>
  <c r="BL93" i="53" s="1"/>
  <c r="BM93" i="53" s="1"/>
  <c r="G65" i="53"/>
  <c r="G66" i="53" s="1"/>
  <c r="G59" i="53"/>
  <c r="F55" i="53"/>
  <c r="E59" i="53" s="1"/>
  <c r="P34" i="53"/>
  <c r="J34" i="53"/>
  <c r="H34" i="53"/>
  <c r="AJ23" i="53"/>
  <c r="AJ31" i="53" s="1"/>
  <c r="AI23" i="53"/>
  <c r="AI31" i="53" s="1"/>
  <c r="AH23" i="53"/>
  <c r="AH31" i="53" s="1"/>
  <c r="AG23" i="53"/>
  <c r="AG31" i="53" s="1"/>
  <c r="AF23" i="53"/>
  <c r="AF31" i="53" s="1"/>
  <c r="AE23" i="53"/>
  <c r="AE31" i="53" s="1"/>
  <c r="AD23" i="53"/>
  <c r="AD31" i="53" s="1"/>
  <c r="AC23" i="53"/>
  <c r="AC31" i="53" s="1"/>
  <c r="AB23" i="53"/>
  <c r="AB31" i="53" s="1"/>
  <c r="AA23" i="53"/>
  <c r="AA31" i="53" s="1"/>
  <c r="Z23" i="53"/>
  <c r="Z31" i="53" s="1"/>
  <c r="Y23" i="53"/>
  <c r="Y31" i="53" s="1"/>
  <c r="X23" i="53"/>
  <c r="X31" i="53" s="1"/>
  <c r="W23" i="53"/>
  <c r="W31" i="53" s="1"/>
  <c r="V23" i="53"/>
  <c r="V31" i="53" s="1"/>
  <c r="U23" i="53"/>
  <c r="U31" i="53" s="1"/>
  <c r="T23" i="53"/>
  <c r="T31" i="53" s="1"/>
  <c r="S23" i="53"/>
  <c r="S31" i="53" s="1"/>
  <c r="R23" i="53"/>
  <c r="R31" i="53" s="1"/>
  <c r="Q23" i="53"/>
  <c r="Q31" i="53" s="1"/>
  <c r="P23" i="53"/>
  <c r="P31" i="53" s="1"/>
  <c r="O23" i="53"/>
  <c r="O31" i="53" s="1"/>
  <c r="N23" i="53"/>
  <c r="N31" i="53" s="1"/>
  <c r="M23" i="53"/>
  <c r="M31" i="53" s="1"/>
  <c r="L23" i="53"/>
  <c r="L31" i="53" s="1"/>
  <c r="K23" i="53"/>
  <c r="K31" i="53" s="1"/>
  <c r="J23" i="53"/>
  <c r="J31" i="53" s="1"/>
  <c r="I23" i="53"/>
  <c r="I31" i="53" s="1"/>
  <c r="H23" i="53"/>
  <c r="H31" i="53" s="1"/>
  <c r="G23" i="53"/>
  <c r="G31" i="53" s="1"/>
  <c r="AJ20" i="53"/>
  <c r="AJ42" i="53" s="1"/>
  <c r="AI20" i="53"/>
  <c r="AI42" i="53" s="1"/>
  <c r="AH20" i="53"/>
  <c r="AH42" i="53" s="1"/>
  <c r="AG20" i="53"/>
  <c r="AG42" i="53" s="1"/>
  <c r="AF20" i="53"/>
  <c r="AF42" i="53" s="1"/>
  <c r="AE20" i="53"/>
  <c r="AE42" i="53" s="1"/>
  <c r="AD20" i="53"/>
  <c r="AD42" i="53" s="1"/>
  <c r="AC20" i="53"/>
  <c r="AC42" i="53" s="1"/>
  <c r="AB20" i="53"/>
  <c r="AB42" i="53" s="1"/>
  <c r="AA20" i="53"/>
  <c r="AA42" i="53" s="1"/>
  <c r="Z20" i="53"/>
  <c r="Z42" i="53" s="1"/>
  <c r="Y20" i="53"/>
  <c r="Y42" i="53" s="1"/>
  <c r="X20" i="53"/>
  <c r="X42" i="53" s="1"/>
  <c r="W20" i="53"/>
  <c r="W42" i="53" s="1"/>
  <c r="V20" i="53"/>
  <c r="V42" i="53" s="1"/>
  <c r="U20" i="53"/>
  <c r="U42" i="53" s="1"/>
  <c r="T20" i="53"/>
  <c r="T42" i="53" s="1"/>
  <c r="S20" i="53"/>
  <c r="S42" i="53" s="1"/>
  <c r="R20" i="53"/>
  <c r="R42" i="53" s="1"/>
  <c r="O20" i="53"/>
  <c r="O42" i="53" s="1"/>
  <c r="N20" i="53"/>
  <c r="N42" i="53" s="1"/>
  <c r="M20" i="53"/>
  <c r="M42" i="53" s="1"/>
  <c r="L20" i="53"/>
  <c r="L42" i="53" s="1"/>
  <c r="I43" i="53" l="1"/>
  <c r="AT94" i="53" s="1"/>
  <c r="P42" i="15"/>
  <c r="X42" i="15"/>
  <c r="AF42" i="15"/>
  <c r="W42" i="15"/>
  <c r="Q42" i="15"/>
  <c r="Y42" i="15"/>
  <c r="AG42" i="15"/>
  <c r="AE42" i="15"/>
  <c r="J42" i="15"/>
  <c r="R42" i="15"/>
  <c r="Z42" i="15"/>
  <c r="AH42" i="15"/>
  <c r="F34" i="53"/>
  <c r="K42" i="15"/>
  <c r="S42" i="15"/>
  <c r="AA42" i="15"/>
  <c r="L42" i="15"/>
  <c r="T42" i="15"/>
  <c r="AB42" i="15"/>
  <c r="M42" i="15"/>
  <c r="U42" i="15"/>
  <c r="AC42" i="15"/>
  <c r="V42" i="15"/>
  <c r="AD42" i="15"/>
  <c r="J43" i="53"/>
  <c r="BJ94" i="53" s="1"/>
  <c r="K46" i="53"/>
  <c r="N94" i="53"/>
  <c r="F84" i="53"/>
  <c r="F85" i="53" s="1"/>
  <c r="CJ94" i="53" s="1"/>
  <c r="F59" i="53"/>
  <c r="D94" i="53" s="1"/>
  <c r="E60" i="53"/>
  <c r="E61" i="53" s="1"/>
  <c r="E62" i="53" s="1"/>
  <c r="E63" i="53" s="1"/>
  <c r="E64" i="53" s="1"/>
  <c r="E65" i="53" s="1"/>
  <c r="E66" i="53" s="1"/>
  <c r="E67" i="53" s="1"/>
  <c r="E68" i="53" s="1"/>
  <c r="E69" i="53" s="1"/>
  <c r="E70" i="53" s="1"/>
  <c r="E71" i="53" s="1"/>
  <c r="E72" i="53" s="1"/>
  <c r="E73" i="53" s="1"/>
  <c r="AD94" i="53"/>
  <c r="V94" i="53"/>
  <c r="Z94" i="53"/>
  <c r="R94" i="53"/>
  <c r="G67" i="53"/>
  <c r="J94" i="53"/>
  <c r="AH94" i="53"/>
  <c r="AP94" i="53"/>
  <c r="C95" i="53"/>
  <c r="F94" i="53"/>
  <c r="AL94" i="53"/>
  <c r="F78" i="53"/>
  <c r="BL94" i="53"/>
  <c r="CB94" i="53"/>
  <c r="AX94" i="53" l="1"/>
  <c r="BB94" i="53"/>
  <c r="BF94" i="53"/>
  <c r="L46" i="53"/>
  <c r="K43" i="53"/>
  <c r="BN94" i="53" s="1"/>
  <c r="BM94" i="53" s="1"/>
  <c r="BO94" i="53" s="1"/>
  <c r="BN95" i="53" s="1"/>
  <c r="CJ93" i="53"/>
  <c r="CK93" i="53" s="1"/>
  <c r="F86" i="53"/>
  <c r="CN93" i="53" s="1"/>
  <c r="CO93" i="53" s="1"/>
  <c r="CF94" i="53"/>
  <c r="CF93" i="53"/>
  <c r="CG93" i="53" s="1"/>
  <c r="BL95" i="53"/>
  <c r="CB95" i="53"/>
  <c r="C96" i="53"/>
  <c r="D96" i="53" s="1"/>
  <c r="CF95" i="53"/>
  <c r="BP95" i="53"/>
  <c r="D95" i="53"/>
  <c r="CJ95" i="53"/>
  <c r="G68" i="53"/>
  <c r="F79" i="53"/>
  <c r="BT95" i="53" s="1"/>
  <c r="BP93" i="53"/>
  <c r="BQ93" i="53" s="1"/>
  <c r="BP94" i="53"/>
  <c r="E94" i="53"/>
  <c r="D93" i="53"/>
  <c r="F60" i="53"/>
  <c r="BM95" i="53" l="1"/>
  <c r="BO95" i="53" s="1"/>
  <c r="BN96" i="53" s="1"/>
  <c r="L43" i="53"/>
  <c r="M46" i="53"/>
  <c r="CN95" i="53"/>
  <c r="CN94" i="53"/>
  <c r="H93" i="53"/>
  <c r="I93" i="53" s="1"/>
  <c r="F61" i="53"/>
  <c r="L96" i="53" s="1"/>
  <c r="H94" i="53"/>
  <c r="H95" i="53"/>
  <c r="E93" i="53"/>
  <c r="F80" i="53"/>
  <c r="BX96" i="53" s="1"/>
  <c r="BT93" i="53"/>
  <c r="BU93" i="53" s="1"/>
  <c r="BT94" i="53"/>
  <c r="CN96" i="53"/>
  <c r="CF96" i="53"/>
  <c r="BP96" i="53"/>
  <c r="C97" i="53"/>
  <c r="CJ96" i="53"/>
  <c r="CB96" i="53"/>
  <c r="BT96" i="53"/>
  <c r="BL96" i="53"/>
  <c r="H96" i="53"/>
  <c r="G94" i="53"/>
  <c r="G75" i="53"/>
  <c r="M43" i="53" l="1"/>
  <c r="N46" i="53"/>
  <c r="BV94" i="53"/>
  <c r="BU94" i="53" s="1"/>
  <c r="BW94" i="53" s="1"/>
  <c r="BZ94" i="53"/>
  <c r="BR94" i="53"/>
  <c r="BQ94" i="53" s="1"/>
  <c r="BS94" i="53" s="1"/>
  <c r="BM96" i="53"/>
  <c r="BO96" i="53" s="1"/>
  <c r="BN97" i="53" s="1"/>
  <c r="BX93" i="53"/>
  <c r="BY93" i="53" s="1"/>
  <c r="BX94" i="53"/>
  <c r="BX95" i="53"/>
  <c r="I94" i="53"/>
  <c r="F95" i="53"/>
  <c r="CJ97" i="53"/>
  <c r="BX97" i="53"/>
  <c r="BT97" i="53"/>
  <c r="D97" i="53"/>
  <c r="CF97" i="53"/>
  <c r="L97" i="53"/>
  <c r="C98" i="53"/>
  <c r="CB97" i="53"/>
  <c r="BP97" i="53"/>
  <c r="CN97" i="53"/>
  <c r="BL97" i="53"/>
  <c r="H97" i="53"/>
  <c r="L93" i="53"/>
  <c r="F62" i="53"/>
  <c r="L94" i="53"/>
  <c r="M94" i="53" s="1"/>
  <c r="O94" i="53" s="1"/>
  <c r="L95" i="53"/>
  <c r="BY94" i="53" l="1"/>
  <c r="CA94" i="53" s="1"/>
  <c r="BZ95" i="53" s="1"/>
  <c r="BY95" i="53" s="1"/>
  <c r="CA95" i="53" s="1"/>
  <c r="BV95" i="53"/>
  <c r="BU95" i="53" s="1"/>
  <c r="BW95" i="53" s="1"/>
  <c r="BV96" i="53" s="1"/>
  <c r="BU96" i="53" s="1"/>
  <c r="BW96" i="53" s="1"/>
  <c r="BR95" i="53"/>
  <c r="BQ95" i="53" s="1"/>
  <c r="BS95" i="53" s="1"/>
  <c r="BR96" i="53" s="1"/>
  <c r="BQ96" i="53" s="1"/>
  <c r="BS96" i="53" s="1"/>
  <c r="BR97" i="53" s="1"/>
  <c r="BQ97" i="53" s="1"/>
  <c r="BS97" i="53" s="1"/>
  <c r="BR98" i="53" s="1"/>
  <c r="BM97" i="53"/>
  <c r="BO97" i="53" s="1"/>
  <c r="BN98" i="53" s="1"/>
  <c r="O46" i="53"/>
  <c r="N43" i="53"/>
  <c r="N95" i="53"/>
  <c r="M95" i="53" s="1"/>
  <c r="O95" i="53" s="1"/>
  <c r="F63" i="53"/>
  <c r="T98" i="53" s="1"/>
  <c r="P93" i="53"/>
  <c r="Q93" i="53" s="1"/>
  <c r="P94" i="53"/>
  <c r="Q94" i="53" s="1"/>
  <c r="S94" i="53" s="1"/>
  <c r="P95" i="53"/>
  <c r="P96" i="53"/>
  <c r="M93" i="53"/>
  <c r="K94" i="53"/>
  <c r="P97" i="53"/>
  <c r="CJ98" i="53"/>
  <c r="CB98" i="53"/>
  <c r="BT98" i="53"/>
  <c r="BL98" i="53"/>
  <c r="P98" i="53"/>
  <c r="H98" i="53"/>
  <c r="C99" i="53"/>
  <c r="CN98" i="53"/>
  <c r="CF98" i="53"/>
  <c r="BX98" i="53"/>
  <c r="BP98" i="53"/>
  <c r="L98" i="53"/>
  <c r="D98" i="53"/>
  <c r="E95" i="53"/>
  <c r="BM98" i="53" l="1"/>
  <c r="BO98" i="53" s="1"/>
  <c r="BN99" i="53" s="1"/>
  <c r="O43" i="53"/>
  <c r="P46" i="53"/>
  <c r="BQ98" i="53"/>
  <c r="BS98" i="53" s="1"/>
  <c r="BR99" i="53" s="1"/>
  <c r="R95" i="53"/>
  <c r="Q95" i="53" s="1"/>
  <c r="S95" i="53" s="1"/>
  <c r="BZ96" i="53"/>
  <c r="BY96" i="53" s="1"/>
  <c r="CA96" i="53" s="1"/>
  <c r="N96" i="53"/>
  <c r="M96" i="53" s="1"/>
  <c r="O96" i="53" s="1"/>
  <c r="J95" i="53"/>
  <c r="G95" i="53"/>
  <c r="F64" i="53"/>
  <c r="X99" i="53" s="1"/>
  <c r="T93" i="53"/>
  <c r="U93" i="53" s="1"/>
  <c r="T94" i="53"/>
  <c r="T95" i="53"/>
  <c r="T96" i="53"/>
  <c r="T97" i="53"/>
  <c r="BV97" i="53"/>
  <c r="BU97" i="53" s="1"/>
  <c r="BW97" i="53" s="1"/>
  <c r="CJ99" i="53"/>
  <c r="CB99" i="53"/>
  <c r="BT99" i="53"/>
  <c r="BL99" i="53"/>
  <c r="P99" i="53"/>
  <c r="H99" i="53"/>
  <c r="C100" i="53"/>
  <c r="CN99" i="53"/>
  <c r="CF99" i="53"/>
  <c r="BX99" i="53"/>
  <c r="BP99" i="53"/>
  <c r="T99" i="53"/>
  <c r="L99" i="53"/>
  <c r="D99" i="53"/>
  <c r="BM99" i="53" l="1"/>
  <c r="BO99" i="53" s="1"/>
  <c r="BN100" i="53" s="1"/>
  <c r="BQ99" i="53"/>
  <c r="BS99" i="53" s="1"/>
  <c r="BR100" i="53" s="1"/>
  <c r="Q46" i="53"/>
  <c r="P43" i="53"/>
  <c r="CD94" i="53" s="1"/>
  <c r="CC94" i="53" s="1"/>
  <c r="CE94" i="53" s="1"/>
  <c r="CD95" i="53" s="1"/>
  <c r="CC95" i="53" s="1"/>
  <c r="CE95" i="53" s="1"/>
  <c r="CD96" i="53" s="1"/>
  <c r="CC96" i="53" s="1"/>
  <c r="CE96" i="53" s="1"/>
  <c r="CD97" i="53" s="1"/>
  <c r="CC97" i="53" s="1"/>
  <c r="CE97" i="53" s="1"/>
  <c r="CD98" i="53" s="1"/>
  <c r="CC98" i="53" s="1"/>
  <c r="CE98" i="53" s="1"/>
  <c r="CD99" i="53" s="1"/>
  <c r="CC99" i="53" s="1"/>
  <c r="CE99" i="53" s="1"/>
  <c r="CD100" i="53" s="1"/>
  <c r="R96" i="53"/>
  <c r="Q96" i="53" s="1"/>
  <c r="S96" i="53" s="1"/>
  <c r="N97" i="53"/>
  <c r="M97" i="53" s="1"/>
  <c r="O97" i="53" s="1"/>
  <c r="BZ97" i="53"/>
  <c r="BY97" i="53" s="1"/>
  <c r="CA97" i="53" s="1"/>
  <c r="F96" i="53"/>
  <c r="BV98" i="53"/>
  <c r="BU98" i="53" s="1"/>
  <c r="BW98" i="53" s="1"/>
  <c r="I95" i="53"/>
  <c r="CJ100" i="53"/>
  <c r="CB100" i="53"/>
  <c r="BT100" i="53"/>
  <c r="BL100" i="53"/>
  <c r="X100" i="53"/>
  <c r="P100" i="53"/>
  <c r="H100" i="53"/>
  <c r="C101" i="53"/>
  <c r="CN100" i="53"/>
  <c r="CF100" i="53"/>
  <c r="BX100" i="53"/>
  <c r="BP100" i="53"/>
  <c r="T100" i="53"/>
  <c r="L100" i="53"/>
  <c r="D100" i="53"/>
  <c r="U94" i="53"/>
  <c r="X93" i="53"/>
  <c r="F65" i="53"/>
  <c r="X94" i="53"/>
  <c r="Y94" i="53" s="1"/>
  <c r="AA94" i="53" s="1"/>
  <c r="X95" i="53"/>
  <c r="X96" i="53"/>
  <c r="X97" i="53"/>
  <c r="X98" i="53"/>
  <c r="BM100" i="53" l="1"/>
  <c r="BO100" i="53" s="1"/>
  <c r="BN101" i="53" s="1"/>
  <c r="BQ100" i="53"/>
  <c r="BS100" i="53" s="1"/>
  <c r="BR101" i="53" s="1"/>
  <c r="CC100" i="53"/>
  <c r="CE100" i="53" s="1"/>
  <c r="CD101" i="53" s="1"/>
  <c r="R46" i="53"/>
  <c r="Q43" i="53"/>
  <c r="Z95" i="53"/>
  <c r="Y95" i="53" s="1"/>
  <c r="AA95" i="53" s="1"/>
  <c r="R97" i="53"/>
  <c r="Q97" i="53" s="1"/>
  <c r="S97" i="53" s="1"/>
  <c r="BZ98" i="53"/>
  <c r="BY98" i="53" s="1"/>
  <c r="CA98" i="53" s="1"/>
  <c r="K95" i="53"/>
  <c r="N98" i="53"/>
  <c r="M98" i="53" s="1"/>
  <c r="O98" i="53" s="1"/>
  <c r="C102" i="53"/>
  <c r="CN101" i="53"/>
  <c r="CF101" i="53"/>
  <c r="BX101" i="53"/>
  <c r="BP101" i="53"/>
  <c r="AB101" i="53"/>
  <c r="T101" i="53"/>
  <c r="L101" i="53"/>
  <c r="D101" i="53"/>
  <c r="CJ101" i="53"/>
  <c r="X101" i="53"/>
  <c r="CB101" i="53"/>
  <c r="P101" i="53"/>
  <c r="BL101" i="53"/>
  <c r="BT101" i="53"/>
  <c r="H101" i="53"/>
  <c r="F66" i="53"/>
  <c r="AF101" i="53" s="1"/>
  <c r="AB93" i="53"/>
  <c r="AC93" i="53" s="1"/>
  <c r="AB94" i="53"/>
  <c r="AC94" i="53" s="1"/>
  <c r="AE94" i="53" s="1"/>
  <c r="AD95" i="53" s="1"/>
  <c r="AB95" i="53"/>
  <c r="AB96" i="53"/>
  <c r="AB97" i="53"/>
  <c r="AB98" i="53"/>
  <c r="AB99" i="53"/>
  <c r="BV99" i="53"/>
  <c r="BU99" i="53" s="1"/>
  <c r="BW99" i="53" s="1"/>
  <c r="E96" i="53"/>
  <c r="W94" i="53"/>
  <c r="Y93" i="53"/>
  <c r="AB100" i="53"/>
  <c r="BM101" i="53" l="1"/>
  <c r="BO101" i="53" s="1"/>
  <c r="BN102" i="53" s="1"/>
  <c r="CC101" i="53"/>
  <c r="CE101" i="53" s="1"/>
  <c r="CD102" i="53" s="1"/>
  <c r="BQ101" i="53"/>
  <c r="BS101" i="53" s="1"/>
  <c r="BR102" i="53" s="1"/>
  <c r="CP94" i="53"/>
  <c r="CO94" i="53" s="1"/>
  <c r="CQ94" i="53" s="1"/>
  <c r="CP95" i="53" s="1"/>
  <c r="CO95" i="53" s="1"/>
  <c r="CQ95" i="53" s="1"/>
  <c r="CP96" i="53" s="1"/>
  <c r="CO96" i="53" s="1"/>
  <c r="CQ96" i="53" s="1"/>
  <c r="CP97" i="53" s="1"/>
  <c r="CO97" i="53" s="1"/>
  <c r="CQ97" i="53" s="1"/>
  <c r="CP98" i="53" s="1"/>
  <c r="CO98" i="53" s="1"/>
  <c r="CQ98" i="53" s="1"/>
  <c r="CP99" i="53" s="1"/>
  <c r="CO99" i="53" s="1"/>
  <c r="CQ99" i="53" s="1"/>
  <c r="CP100" i="53" s="1"/>
  <c r="CO100" i="53" s="1"/>
  <c r="CQ100" i="53" s="1"/>
  <c r="CP101" i="53" s="1"/>
  <c r="CO101" i="53" s="1"/>
  <c r="CQ101" i="53" s="1"/>
  <c r="CP102" i="53" s="1"/>
  <c r="CL94" i="53"/>
  <c r="CK94" i="53" s="1"/>
  <c r="CM94" i="53" s="1"/>
  <c r="CL95" i="53" s="1"/>
  <c r="CK95" i="53" s="1"/>
  <c r="CM95" i="53" s="1"/>
  <c r="CL96" i="53" s="1"/>
  <c r="CK96" i="53" s="1"/>
  <c r="CM96" i="53" s="1"/>
  <c r="CL97" i="53" s="1"/>
  <c r="CK97" i="53" s="1"/>
  <c r="CM97" i="53" s="1"/>
  <c r="CL98" i="53" s="1"/>
  <c r="CK98" i="53" s="1"/>
  <c r="CM98" i="53" s="1"/>
  <c r="CL99" i="53" s="1"/>
  <c r="CK99" i="53" s="1"/>
  <c r="CM99" i="53" s="1"/>
  <c r="CL100" i="53" s="1"/>
  <c r="CK100" i="53" s="1"/>
  <c r="CM100" i="53" s="1"/>
  <c r="CL101" i="53" s="1"/>
  <c r="CK101" i="53" s="1"/>
  <c r="CM101" i="53" s="1"/>
  <c r="CH94" i="53"/>
  <c r="S46" i="53"/>
  <c r="R43" i="53"/>
  <c r="N99" i="53"/>
  <c r="M99" i="53" s="1"/>
  <c r="O99" i="53" s="1"/>
  <c r="R98" i="53"/>
  <c r="Q98" i="53" s="1"/>
  <c r="S98" i="53" s="1"/>
  <c r="BZ99" i="53"/>
  <c r="BY99" i="53" s="1"/>
  <c r="CA99" i="53" s="1"/>
  <c r="Z96" i="53"/>
  <c r="Y96" i="53" s="1"/>
  <c r="AA96" i="53" s="1"/>
  <c r="BV100" i="53"/>
  <c r="BU100" i="53" s="1"/>
  <c r="BW100" i="53" s="1"/>
  <c r="C103" i="53"/>
  <c r="CN102" i="53"/>
  <c r="CF102" i="53"/>
  <c r="BX102" i="53"/>
  <c r="BP102" i="53"/>
  <c r="AB102" i="53"/>
  <c r="T102" i="53"/>
  <c r="L102" i="53"/>
  <c r="D102" i="53"/>
  <c r="CJ102" i="53"/>
  <c r="CB102" i="53"/>
  <c r="BT102" i="53"/>
  <c r="BL102" i="53"/>
  <c r="AF102" i="53"/>
  <c r="X102" i="53"/>
  <c r="P102" i="53"/>
  <c r="H102" i="53"/>
  <c r="J96" i="53"/>
  <c r="AF93" i="53"/>
  <c r="F67" i="53"/>
  <c r="AF94" i="53"/>
  <c r="AG94" i="53" s="1"/>
  <c r="AF95" i="53"/>
  <c r="AF96" i="53"/>
  <c r="AF97" i="53"/>
  <c r="AF98" i="53"/>
  <c r="AF99" i="53"/>
  <c r="AF100" i="53"/>
  <c r="V95" i="53"/>
  <c r="G96" i="53"/>
  <c r="AC95" i="53"/>
  <c r="AE95" i="53" s="1"/>
  <c r="CC102" i="53" l="1"/>
  <c r="CE102" i="53" s="1"/>
  <c r="CD103" i="53" s="1"/>
  <c r="BM102" i="53"/>
  <c r="BO102" i="53" s="1"/>
  <c r="BN103" i="53" s="1"/>
  <c r="BQ102" i="53"/>
  <c r="BS102" i="53" s="1"/>
  <c r="BR103" i="53" s="1"/>
  <c r="T46" i="53"/>
  <c r="S43" i="53"/>
  <c r="CT94" i="53"/>
  <c r="CG94" i="53"/>
  <c r="CI94" i="53" s="1"/>
  <c r="CH95" i="53" s="1"/>
  <c r="CG95" i="53" s="1"/>
  <c r="CI95" i="53" s="1"/>
  <c r="CH96" i="53" s="1"/>
  <c r="CG96" i="53" s="1"/>
  <c r="CI96" i="53" s="1"/>
  <c r="CH97" i="53" s="1"/>
  <c r="CG97" i="53" s="1"/>
  <c r="CI97" i="53" s="1"/>
  <c r="CH98" i="53" s="1"/>
  <c r="CG98" i="53" s="1"/>
  <c r="CI98" i="53" s="1"/>
  <c r="CH99" i="53" s="1"/>
  <c r="CG99" i="53" s="1"/>
  <c r="CI99" i="53" s="1"/>
  <c r="CH100" i="53" s="1"/>
  <c r="CG100" i="53" s="1"/>
  <c r="CI100" i="53" s="1"/>
  <c r="CH101" i="53" s="1"/>
  <c r="CG101" i="53" s="1"/>
  <c r="CI101" i="53" s="1"/>
  <c r="CH102" i="53" s="1"/>
  <c r="CG102" i="53" s="1"/>
  <c r="CI102" i="53" s="1"/>
  <c r="CO102" i="53"/>
  <c r="CQ102" i="53" s="1"/>
  <c r="CP103" i="53" s="1"/>
  <c r="Z97" i="53"/>
  <c r="Y97" i="53" s="1"/>
  <c r="AA97" i="53" s="1"/>
  <c r="BZ100" i="53"/>
  <c r="BY100" i="53" s="1"/>
  <c r="CA100" i="53" s="1"/>
  <c r="BV101" i="53"/>
  <c r="BU101" i="53" s="1"/>
  <c r="BW101" i="53" s="1"/>
  <c r="CL102" i="53"/>
  <c r="CK102" i="53" s="1"/>
  <c r="CM102" i="53" s="1"/>
  <c r="N100" i="53"/>
  <c r="M100" i="53" s="1"/>
  <c r="O100" i="53" s="1"/>
  <c r="AI94" i="53"/>
  <c r="AD96" i="53"/>
  <c r="AC96" i="53" s="1"/>
  <c r="AE96" i="53" s="1"/>
  <c r="F68" i="53"/>
  <c r="AJ93" i="53"/>
  <c r="AK93" i="53" s="1"/>
  <c r="AJ94" i="53"/>
  <c r="AK94" i="53" s="1"/>
  <c r="AM94" i="53" s="1"/>
  <c r="AL95" i="53" s="1"/>
  <c r="AJ95" i="53"/>
  <c r="AJ96" i="53"/>
  <c r="AJ97" i="53"/>
  <c r="AJ98" i="53"/>
  <c r="AJ99" i="53"/>
  <c r="AJ100" i="53"/>
  <c r="AJ101" i="53"/>
  <c r="U95" i="53"/>
  <c r="AG93" i="53"/>
  <c r="R99" i="53"/>
  <c r="Q99" i="53" s="1"/>
  <c r="S99" i="53" s="1"/>
  <c r="F97" i="53"/>
  <c r="AJ102" i="53"/>
  <c r="C104" i="53"/>
  <c r="CN103" i="53"/>
  <c r="CF103" i="53"/>
  <c r="BX103" i="53"/>
  <c r="BP103" i="53"/>
  <c r="AJ103" i="53"/>
  <c r="AB103" i="53"/>
  <c r="T103" i="53"/>
  <c r="L103" i="53"/>
  <c r="D103" i="53"/>
  <c r="CJ103" i="53"/>
  <c r="CB103" i="53"/>
  <c r="BT103" i="53"/>
  <c r="BL103" i="53"/>
  <c r="AN103" i="53"/>
  <c r="AF103" i="53"/>
  <c r="X103" i="53"/>
  <c r="P103" i="53"/>
  <c r="H103" i="53"/>
  <c r="I96" i="53"/>
  <c r="CC103" i="53" l="1"/>
  <c r="CE103" i="53" s="1"/>
  <c r="CD104" i="53" s="1"/>
  <c r="BM103" i="53"/>
  <c r="BO103" i="53" s="1"/>
  <c r="BN104" i="53" s="1"/>
  <c r="BQ103" i="53"/>
  <c r="BS103" i="53" s="1"/>
  <c r="BR104" i="53" s="1"/>
  <c r="T43" i="53"/>
  <c r="U46" i="53"/>
  <c r="CO103" i="53"/>
  <c r="CQ103" i="53" s="1"/>
  <c r="CP104" i="53" s="1"/>
  <c r="CH103" i="53"/>
  <c r="CG103" i="53" s="1"/>
  <c r="CI103" i="53" s="1"/>
  <c r="AD97" i="53"/>
  <c r="AC97" i="53" s="1"/>
  <c r="AE97" i="53" s="1"/>
  <c r="Z98" i="53"/>
  <c r="Y98" i="53" s="1"/>
  <c r="AA98" i="53" s="1"/>
  <c r="N101" i="53"/>
  <c r="M101" i="53" s="1"/>
  <c r="O101" i="53" s="1"/>
  <c r="CL103" i="53"/>
  <c r="CK103" i="53" s="1"/>
  <c r="CM103" i="53" s="1"/>
  <c r="R100" i="53"/>
  <c r="Q100" i="53" s="1"/>
  <c r="S100" i="53" s="1"/>
  <c r="E97" i="53"/>
  <c r="BZ101" i="53"/>
  <c r="BY101" i="53" s="1"/>
  <c r="CA101" i="53" s="1"/>
  <c r="K96" i="53"/>
  <c r="F69" i="53"/>
  <c r="AR104" i="53" s="1"/>
  <c r="AN93" i="53"/>
  <c r="AO93" i="53" s="1"/>
  <c r="AN94" i="53"/>
  <c r="AN95" i="53"/>
  <c r="AN96" i="53"/>
  <c r="AN97" i="53"/>
  <c r="AN98" i="53"/>
  <c r="AN99" i="53"/>
  <c r="AN100" i="53"/>
  <c r="AN101" i="53"/>
  <c r="AN102" i="53"/>
  <c r="AH95" i="53"/>
  <c r="W95" i="53"/>
  <c r="C105" i="53"/>
  <c r="CN104" i="53"/>
  <c r="CF104" i="53"/>
  <c r="BX104" i="53"/>
  <c r="BP104" i="53"/>
  <c r="AJ104" i="53"/>
  <c r="AB104" i="53"/>
  <c r="T104" i="53"/>
  <c r="L104" i="53"/>
  <c r="D104" i="53"/>
  <c r="CJ104" i="53"/>
  <c r="CB104" i="53"/>
  <c r="BT104" i="53"/>
  <c r="BL104" i="53"/>
  <c r="AN104" i="53"/>
  <c r="AF104" i="53"/>
  <c r="X104" i="53"/>
  <c r="P104" i="53"/>
  <c r="H104" i="53"/>
  <c r="AK95" i="53"/>
  <c r="AM95" i="53" s="1"/>
  <c r="BV102" i="53"/>
  <c r="BU102" i="53" s="1"/>
  <c r="BW102" i="53" s="1"/>
  <c r="BM104" i="53" l="1"/>
  <c r="BO104" i="53" s="1"/>
  <c r="BN105" i="53" s="1"/>
  <c r="CC104" i="53"/>
  <c r="CE104" i="53" s="1"/>
  <c r="CD105" i="53" s="1"/>
  <c r="CO104" i="53"/>
  <c r="CQ104" i="53" s="1"/>
  <c r="CP105" i="53" s="1"/>
  <c r="BQ104" i="53"/>
  <c r="BS104" i="53" s="1"/>
  <c r="BR105" i="53" s="1"/>
  <c r="V46" i="53"/>
  <c r="U43" i="53"/>
  <c r="CL104" i="53"/>
  <c r="CK104" i="53" s="1"/>
  <c r="CM104" i="53" s="1"/>
  <c r="R101" i="53"/>
  <c r="Q101" i="53" s="1"/>
  <c r="S101" i="53" s="1"/>
  <c r="N102" i="53"/>
  <c r="M102" i="53" s="1"/>
  <c r="O102" i="53" s="1"/>
  <c r="Z99" i="53"/>
  <c r="Y99" i="53" s="1"/>
  <c r="AA99" i="53" s="1"/>
  <c r="CH104" i="53"/>
  <c r="CG104" i="53" s="1"/>
  <c r="CI104" i="53" s="1"/>
  <c r="AD98" i="53"/>
  <c r="AC98" i="53" s="1"/>
  <c r="AE98" i="53" s="1"/>
  <c r="BZ102" i="53"/>
  <c r="BY102" i="53" s="1"/>
  <c r="CA102" i="53" s="1"/>
  <c r="BV103" i="53"/>
  <c r="BU103" i="53" s="1"/>
  <c r="BW103" i="53" s="1"/>
  <c r="G97" i="53"/>
  <c r="AO94" i="53"/>
  <c r="AL96" i="53"/>
  <c r="AK96" i="53" s="1"/>
  <c r="AM96" i="53" s="1"/>
  <c r="CJ105" i="53"/>
  <c r="CB105" i="53"/>
  <c r="BT105" i="53"/>
  <c r="BL105" i="53"/>
  <c r="AN105" i="53"/>
  <c r="AF105" i="53"/>
  <c r="X105" i="53"/>
  <c r="P105" i="53"/>
  <c r="H105" i="53"/>
  <c r="AR105" i="53"/>
  <c r="C106" i="53"/>
  <c r="AJ105" i="53"/>
  <c r="CN105" i="53"/>
  <c r="AB105" i="53"/>
  <c r="CF105" i="53"/>
  <c r="T105" i="53"/>
  <c r="BX105" i="53"/>
  <c r="L105" i="53"/>
  <c r="BP105" i="53"/>
  <c r="D105" i="53"/>
  <c r="F70" i="53"/>
  <c r="AV105" i="53" s="1"/>
  <c r="AR93" i="53"/>
  <c r="AR94" i="53"/>
  <c r="AS94" i="53" s="1"/>
  <c r="AU94" i="53" s="1"/>
  <c r="AR95" i="53"/>
  <c r="AR96" i="53"/>
  <c r="AR97" i="53"/>
  <c r="AR98" i="53"/>
  <c r="AR99" i="53"/>
  <c r="AR100" i="53"/>
  <c r="AR101" i="53"/>
  <c r="AR102" i="53"/>
  <c r="AR103" i="53"/>
  <c r="V96" i="53"/>
  <c r="J97" i="53"/>
  <c r="AG95" i="53"/>
  <c r="BM105" i="53" l="1"/>
  <c r="BO105" i="53" s="1"/>
  <c r="BN106" i="53" s="1"/>
  <c r="BQ105" i="53"/>
  <c r="BS105" i="53" s="1"/>
  <c r="BR106" i="53" s="1"/>
  <c r="CC105" i="53"/>
  <c r="CE105" i="53" s="1"/>
  <c r="CD106" i="53" s="1"/>
  <c r="CO105" i="53"/>
  <c r="CQ105" i="53" s="1"/>
  <c r="CP106" i="53" s="1"/>
  <c r="W46" i="53"/>
  <c r="V43" i="53"/>
  <c r="AL97" i="53"/>
  <c r="AK97" i="53" s="1"/>
  <c r="AM97" i="53" s="1"/>
  <c r="Z100" i="53"/>
  <c r="Y100" i="53" s="1"/>
  <c r="AA100" i="53" s="1"/>
  <c r="R102" i="53"/>
  <c r="Q102" i="53" s="1"/>
  <c r="S102" i="53" s="1"/>
  <c r="CL105" i="53"/>
  <c r="CK105" i="53" s="1"/>
  <c r="CM105" i="53" s="1"/>
  <c r="CH105" i="53"/>
  <c r="CG105" i="53" s="1"/>
  <c r="CI105" i="53" s="1"/>
  <c r="AT95" i="53"/>
  <c r="AS95" i="53" s="1"/>
  <c r="AU95" i="53" s="1"/>
  <c r="N103" i="53"/>
  <c r="M103" i="53" s="1"/>
  <c r="O103" i="53" s="1"/>
  <c r="F98" i="53"/>
  <c r="BZ103" i="53"/>
  <c r="BY103" i="53" s="1"/>
  <c r="CA103" i="53" s="1"/>
  <c r="AD99" i="53"/>
  <c r="AC99" i="53" s="1"/>
  <c r="AE99" i="53" s="1"/>
  <c r="AV93" i="53"/>
  <c r="AW93" i="53" s="1"/>
  <c r="F71" i="53"/>
  <c r="AZ106" i="53" s="1"/>
  <c r="AV94" i="53"/>
  <c r="AW94" i="53" s="1"/>
  <c r="AY94" i="53" s="1"/>
  <c r="AV95" i="53"/>
  <c r="AV96" i="53"/>
  <c r="AV97" i="53"/>
  <c r="AV98" i="53"/>
  <c r="AV99" i="53"/>
  <c r="AV100" i="53"/>
  <c r="AV101" i="53"/>
  <c r="AV102" i="53"/>
  <c r="AV103" i="53"/>
  <c r="AV104" i="53"/>
  <c r="AQ94" i="53"/>
  <c r="U96" i="53"/>
  <c r="CJ106" i="53"/>
  <c r="CB106" i="53"/>
  <c r="BT106" i="53"/>
  <c r="BL106" i="53"/>
  <c r="AV106" i="53"/>
  <c r="AN106" i="53"/>
  <c r="AF106" i="53"/>
  <c r="X106" i="53"/>
  <c r="P106" i="53"/>
  <c r="H106" i="53"/>
  <c r="C107" i="53"/>
  <c r="CN106" i="53"/>
  <c r="CF106" i="53"/>
  <c r="BX106" i="53"/>
  <c r="BP106" i="53"/>
  <c r="AR106" i="53"/>
  <c r="AJ106" i="53"/>
  <c r="AB106" i="53"/>
  <c r="T106" i="53"/>
  <c r="L106" i="53"/>
  <c r="D106" i="53"/>
  <c r="BV104" i="53"/>
  <c r="BU104" i="53" s="1"/>
  <c r="BW104" i="53" s="1"/>
  <c r="AI95" i="53"/>
  <c r="I97" i="53"/>
  <c r="AS93" i="53"/>
  <c r="BM106" i="53" l="1"/>
  <c r="BO106" i="53" s="1"/>
  <c r="BN107" i="53" s="1"/>
  <c r="BQ106" i="53"/>
  <c r="BS106" i="53" s="1"/>
  <c r="BR107" i="53" s="1"/>
  <c r="CC106" i="53"/>
  <c r="CE106" i="53" s="1"/>
  <c r="CD107" i="53" s="1"/>
  <c r="CO106" i="53"/>
  <c r="CQ106" i="53" s="1"/>
  <c r="CP107" i="53" s="1"/>
  <c r="X46" i="53"/>
  <c r="W43" i="53"/>
  <c r="N104" i="53"/>
  <c r="M104" i="53" s="1"/>
  <c r="O104" i="53" s="1"/>
  <c r="CL106" i="53"/>
  <c r="CK106" i="53" s="1"/>
  <c r="CM106" i="53" s="1"/>
  <c r="AT96" i="53"/>
  <c r="AS96" i="53" s="1"/>
  <c r="AU96" i="53" s="1"/>
  <c r="BV105" i="53"/>
  <c r="BU105" i="53" s="1"/>
  <c r="BW105" i="53" s="1"/>
  <c r="Z101" i="53"/>
  <c r="Y101" i="53" s="1"/>
  <c r="AA101" i="53" s="1"/>
  <c r="AX95" i="53"/>
  <c r="AW95" i="53" s="1"/>
  <c r="AY95" i="53" s="1"/>
  <c r="CH106" i="53"/>
  <c r="CG106" i="53" s="1"/>
  <c r="CI106" i="53" s="1"/>
  <c r="AL98" i="53"/>
  <c r="AK98" i="53" s="1"/>
  <c r="AM98" i="53" s="1"/>
  <c r="AD100" i="53"/>
  <c r="AC100" i="53" s="1"/>
  <c r="AE100" i="53" s="1"/>
  <c r="R103" i="53"/>
  <c r="Q103" i="53" s="1"/>
  <c r="S103" i="53" s="1"/>
  <c r="W96" i="53"/>
  <c r="K97" i="53"/>
  <c r="CJ107" i="53"/>
  <c r="CB107" i="53"/>
  <c r="BT107" i="53"/>
  <c r="BL107" i="53"/>
  <c r="AV107" i="53"/>
  <c r="AN107" i="53"/>
  <c r="AF107" i="53"/>
  <c r="X107" i="53"/>
  <c r="P107" i="53"/>
  <c r="H107" i="53"/>
  <c r="C108" i="53"/>
  <c r="CN107" i="53"/>
  <c r="CF107" i="53"/>
  <c r="BX107" i="53"/>
  <c r="BP107" i="53"/>
  <c r="AZ107" i="53"/>
  <c r="AR107" i="53"/>
  <c r="AJ107" i="53"/>
  <c r="AB107" i="53"/>
  <c r="T107" i="53"/>
  <c r="L107" i="53"/>
  <c r="D107" i="53"/>
  <c r="BZ104" i="53"/>
  <c r="BY104" i="53" s="1"/>
  <c r="CA104" i="53" s="1"/>
  <c r="AH96" i="53"/>
  <c r="AP95" i="53"/>
  <c r="F72" i="53"/>
  <c r="AZ93" i="53"/>
  <c r="BA93" i="53" s="1"/>
  <c r="AZ94" i="53"/>
  <c r="AZ95" i="53"/>
  <c r="AZ96" i="53"/>
  <c r="AZ97" i="53"/>
  <c r="AZ98" i="53"/>
  <c r="AZ99" i="53"/>
  <c r="AZ100" i="53"/>
  <c r="AZ101" i="53"/>
  <c r="AZ102" i="53"/>
  <c r="AZ103" i="53"/>
  <c r="AZ104" i="53"/>
  <c r="AZ105" i="53"/>
  <c r="E98" i="53"/>
  <c r="BM107" i="53" l="1"/>
  <c r="BO107" i="53" s="1"/>
  <c r="BN108" i="53" s="1"/>
  <c r="BQ107" i="53"/>
  <c r="BS107" i="53" s="1"/>
  <c r="BR108" i="53" s="1"/>
  <c r="CC107" i="53"/>
  <c r="CE107" i="53" s="1"/>
  <c r="CD108" i="53" s="1"/>
  <c r="CO107" i="53"/>
  <c r="CQ107" i="53" s="1"/>
  <c r="CP108" i="53" s="1"/>
  <c r="Y46" i="53"/>
  <c r="X43" i="53"/>
  <c r="BZ105" i="53"/>
  <c r="BY105" i="53" s="1"/>
  <c r="CA105" i="53" s="1"/>
  <c r="AX96" i="53"/>
  <c r="AW96" i="53" s="1"/>
  <c r="AY96" i="53" s="1"/>
  <c r="Z102" i="53"/>
  <c r="Y102" i="53" s="1"/>
  <c r="AA102" i="53" s="1"/>
  <c r="CL107" i="53"/>
  <c r="CK107" i="53" s="1"/>
  <c r="CM107" i="53" s="1"/>
  <c r="AT97" i="53"/>
  <c r="AS97" i="53" s="1"/>
  <c r="AU97" i="53" s="1"/>
  <c r="CH107" i="53"/>
  <c r="CG107" i="53" s="1"/>
  <c r="CI107" i="53" s="1"/>
  <c r="CH108" i="53" s="1"/>
  <c r="AD101" i="53"/>
  <c r="AC101" i="53" s="1"/>
  <c r="AE101" i="53" s="1"/>
  <c r="AL99" i="53"/>
  <c r="AK99" i="53" s="1"/>
  <c r="AM99" i="53" s="1"/>
  <c r="N105" i="53"/>
  <c r="M105" i="53" s="1"/>
  <c r="O105" i="53" s="1"/>
  <c r="R104" i="53"/>
  <c r="Q104" i="53" s="1"/>
  <c r="S104" i="53" s="1"/>
  <c r="BV106" i="53"/>
  <c r="BU106" i="53" s="1"/>
  <c r="BW106" i="53" s="1"/>
  <c r="AO95" i="53"/>
  <c r="G98" i="53"/>
  <c r="BA94" i="53"/>
  <c r="CJ108" i="53"/>
  <c r="CB108" i="53"/>
  <c r="BT108" i="53"/>
  <c r="BL108" i="53"/>
  <c r="BD108" i="53"/>
  <c r="AV108" i="53"/>
  <c r="AN108" i="53"/>
  <c r="AF108" i="53"/>
  <c r="X108" i="53"/>
  <c r="P108" i="53"/>
  <c r="H108" i="53"/>
  <c r="C109" i="53"/>
  <c r="CN108" i="53"/>
  <c r="CF108" i="53"/>
  <c r="BX108" i="53"/>
  <c r="BP108" i="53"/>
  <c r="AZ108" i="53"/>
  <c r="AR108" i="53"/>
  <c r="AJ108" i="53"/>
  <c r="AB108" i="53"/>
  <c r="T108" i="53"/>
  <c r="L108" i="53"/>
  <c r="D108" i="53"/>
  <c r="V97" i="53"/>
  <c r="F73" i="53"/>
  <c r="BD93" i="53"/>
  <c r="BD94" i="53"/>
  <c r="BE94" i="53" s="1"/>
  <c r="BG94" i="53" s="1"/>
  <c r="BD95" i="53"/>
  <c r="BD96" i="53"/>
  <c r="BD97" i="53"/>
  <c r="BD98" i="53"/>
  <c r="BD99" i="53"/>
  <c r="BD100" i="53"/>
  <c r="BD101" i="53"/>
  <c r="BD102" i="53"/>
  <c r="BD103" i="53"/>
  <c r="BD104" i="53"/>
  <c r="BD105" i="53"/>
  <c r="BD106" i="53"/>
  <c r="AG96" i="53"/>
  <c r="BD107" i="53"/>
  <c r="J98" i="53"/>
  <c r="BM108" i="53" l="1"/>
  <c r="BO108" i="53" s="1"/>
  <c r="BN109" i="53" s="1"/>
  <c r="BQ108" i="53"/>
  <c r="BS108" i="53" s="1"/>
  <c r="BR109" i="53" s="1"/>
  <c r="CC108" i="53"/>
  <c r="CE108" i="53" s="1"/>
  <c r="CD109" i="53" s="1"/>
  <c r="CO108" i="53"/>
  <c r="CQ108" i="53" s="1"/>
  <c r="CP109" i="53" s="1"/>
  <c r="Z46" i="53"/>
  <c r="Y43" i="53"/>
  <c r="CG108" i="53"/>
  <c r="CI108" i="53" s="1"/>
  <c r="CH109" i="53" s="1"/>
  <c r="R105" i="53"/>
  <c r="Q105" i="53" s="1"/>
  <c r="S105" i="53" s="1"/>
  <c r="CL108" i="53"/>
  <c r="CK108" i="53" s="1"/>
  <c r="CM108" i="53" s="1"/>
  <c r="AD102" i="53"/>
  <c r="AC102" i="53" s="1"/>
  <c r="AE102" i="53" s="1"/>
  <c r="Z103" i="53"/>
  <c r="Y103" i="53" s="1"/>
  <c r="AA103" i="53" s="1"/>
  <c r="BF95" i="53"/>
  <c r="BE95" i="53" s="1"/>
  <c r="BG95" i="53" s="1"/>
  <c r="BE93" i="53"/>
  <c r="BH93" i="53"/>
  <c r="BI93" i="53" s="1"/>
  <c r="BH94" i="53"/>
  <c r="BH95" i="53"/>
  <c r="BH96" i="53"/>
  <c r="CR96" i="53" s="1"/>
  <c r="BH97" i="53"/>
  <c r="BH98" i="53"/>
  <c r="BH99" i="53"/>
  <c r="BH100" i="53"/>
  <c r="CR100" i="53" s="1"/>
  <c r="BH101" i="53"/>
  <c r="CR101" i="53" s="1"/>
  <c r="BH102" i="53"/>
  <c r="BH103" i="53"/>
  <c r="BH104" i="53"/>
  <c r="CR104" i="53" s="1"/>
  <c r="BH105" i="53"/>
  <c r="CR105" i="53" s="1"/>
  <c r="G35" i="53" s="1"/>
  <c r="BH106" i="53"/>
  <c r="BH107" i="53"/>
  <c r="AQ95" i="53"/>
  <c r="AL100" i="53"/>
  <c r="AK100" i="53" s="1"/>
  <c r="AM100" i="53" s="1"/>
  <c r="AT98" i="53"/>
  <c r="AS98" i="53" s="1"/>
  <c r="AU98" i="53" s="1"/>
  <c r="AX97" i="53"/>
  <c r="AW97" i="53" s="1"/>
  <c r="AY97" i="53" s="1"/>
  <c r="BC94" i="53"/>
  <c r="N106" i="53"/>
  <c r="M106" i="53" s="1"/>
  <c r="O106" i="53" s="1"/>
  <c r="I98" i="53"/>
  <c r="C110" i="53"/>
  <c r="CN109" i="53"/>
  <c r="CF109" i="53"/>
  <c r="BX109" i="53"/>
  <c r="BP109" i="53"/>
  <c r="BH109" i="53"/>
  <c r="AZ109" i="53"/>
  <c r="AR109" i="53"/>
  <c r="AJ109" i="53"/>
  <c r="AB109" i="53"/>
  <c r="T109" i="53"/>
  <c r="L109" i="53"/>
  <c r="D109" i="53"/>
  <c r="AV109" i="53"/>
  <c r="AN109" i="53"/>
  <c r="AF109" i="53"/>
  <c r="CJ109" i="53"/>
  <c r="X109" i="53"/>
  <c r="BD109" i="53"/>
  <c r="CB109" i="53"/>
  <c r="P109" i="53"/>
  <c r="BT109" i="53"/>
  <c r="H109" i="53"/>
  <c r="BL109" i="53"/>
  <c r="AI96" i="53"/>
  <c r="F99" i="53"/>
  <c r="BV107" i="53"/>
  <c r="BU107" i="53" s="1"/>
  <c r="BW107" i="53" s="1"/>
  <c r="BZ106" i="53"/>
  <c r="BY106" i="53" s="1"/>
  <c r="CA106" i="53" s="1"/>
  <c r="U97" i="53"/>
  <c r="BH108" i="53"/>
  <c r="BM109" i="53" l="1"/>
  <c r="BO109" i="53" s="1"/>
  <c r="BN110" i="53" s="1"/>
  <c r="BQ109" i="53"/>
  <c r="BS109" i="53" s="1"/>
  <c r="BR110" i="53" s="1"/>
  <c r="CC109" i="53"/>
  <c r="CE109" i="53" s="1"/>
  <c r="CD110" i="53" s="1"/>
  <c r="CO109" i="53"/>
  <c r="CQ109" i="53" s="1"/>
  <c r="CP110" i="53" s="1"/>
  <c r="Z43" i="53"/>
  <c r="AA46" i="53"/>
  <c r="CS93" i="53"/>
  <c r="BZ107" i="53"/>
  <c r="BY107" i="53" s="1"/>
  <c r="CA107" i="53" s="1"/>
  <c r="N107" i="53"/>
  <c r="M107" i="53" s="1"/>
  <c r="O107" i="53" s="1"/>
  <c r="CL109" i="53"/>
  <c r="CK109" i="53" s="1"/>
  <c r="CM109" i="53" s="1"/>
  <c r="BF96" i="53"/>
  <c r="BE96" i="53" s="1"/>
  <c r="BG96" i="53" s="1"/>
  <c r="AT99" i="53"/>
  <c r="AS99" i="53" s="1"/>
  <c r="AU99" i="53" s="1"/>
  <c r="AD103" i="53"/>
  <c r="AC103" i="53" s="1"/>
  <c r="AE103" i="53" s="1"/>
  <c r="R106" i="53"/>
  <c r="Q106" i="53" s="1"/>
  <c r="S106" i="53" s="1"/>
  <c r="W97" i="53"/>
  <c r="BV108" i="53"/>
  <c r="BU108" i="53" s="1"/>
  <c r="BW108" i="53" s="1"/>
  <c r="BB95" i="53"/>
  <c r="CR108" i="53"/>
  <c r="AP96" i="53"/>
  <c r="CG109" i="53"/>
  <c r="CI109" i="53" s="1"/>
  <c r="CH110" i="53" s="1"/>
  <c r="CR93" i="53"/>
  <c r="E99" i="53"/>
  <c r="C111" i="53"/>
  <c r="CN110" i="53"/>
  <c r="CF110" i="53"/>
  <c r="BX110" i="53"/>
  <c r="BP110" i="53"/>
  <c r="BH110" i="53"/>
  <c r="AZ110" i="53"/>
  <c r="AR110" i="53"/>
  <c r="AJ110" i="53"/>
  <c r="AB110" i="53"/>
  <c r="T110" i="53"/>
  <c r="L110" i="53"/>
  <c r="D110" i="53"/>
  <c r="CJ110" i="53"/>
  <c r="CB110" i="53"/>
  <c r="BT110" i="53"/>
  <c r="BL110" i="53"/>
  <c r="BD110" i="53"/>
  <c r="AV110" i="53"/>
  <c r="AN110" i="53"/>
  <c r="AF110" i="53"/>
  <c r="X110" i="53"/>
  <c r="P110" i="53"/>
  <c r="H110" i="53"/>
  <c r="AX98" i="53"/>
  <c r="AW98" i="53" s="1"/>
  <c r="AY98" i="53" s="1"/>
  <c r="CR102" i="53"/>
  <c r="CR98" i="53"/>
  <c r="BI94" i="53"/>
  <c r="CR94" i="53"/>
  <c r="CR103" i="53"/>
  <c r="K98" i="53"/>
  <c r="CR95" i="53"/>
  <c r="CR106" i="53"/>
  <c r="AH97" i="53"/>
  <c r="CR97" i="53"/>
  <c r="CR107" i="53"/>
  <c r="CR99" i="53"/>
  <c r="CR109" i="53"/>
  <c r="AL101" i="53"/>
  <c r="AK101" i="53" s="1"/>
  <c r="AM101" i="53" s="1"/>
  <c r="Z104" i="53"/>
  <c r="Y104" i="53" s="1"/>
  <c r="AA104" i="53" s="1"/>
  <c r="BM110" i="53" l="1"/>
  <c r="BO110" i="53" s="1"/>
  <c r="BN111" i="53" s="1"/>
  <c r="BQ110" i="53"/>
  <c r="BS110" i="53" s="1"/>
  <c r="BR111" i="53" s="1"/>
  <c r="CC110" i="53"/>
  <c r="CE110" i="53" s="1"/>
  <c r="CD111" i="53" s="1"/>
  <c r="CO110" i="53"/>
  <c r="CQ110" i="53" s="1"/>
  <c r="CP111" i="53" s="1"/>
  <c r="AB46" i="53"/>
  <c r="AA43" i="53"/>
  <c r="BV109" i="53"/>
  <c r="BU109" i="53" s="1"/>
  <c r="BW109" i="53" s="1"/>
  <c r="BZ108" i="53"/>
  <c r="BY108" i="53" s="1"/>
  <c r="CA108" i="53" s="1"/>
  <c r="R107" i="53"/>
  <c r="Q107" i="53" s="1"/>
  <c r="S107" i="53" s="1"/>
  <c r="AD104" i="53"/>
  <c r="AC104" i="53" s="1"/>
  <c r="AE104" i="53" s="1"/>
  <c r="AT100" i="53"/>
  <c r="AS100" i="53" s="1"/>
  <c r="AU100" i="53" s="1"/>
  <c r="Z105" i="53"/>
  <c r="Y105" i="53" s="1"/>
  <c r="AA105" i="53" s="1"/>
  <c r="N108" i="53"/>
  <c r="M108" i="53" s="1"/>
  <c r="O108" i="53" s="1"/>
  <c r="AX99" i="53"/>
  <c r="AW99" i="53" s="1"/>
  <c r="AY99" i="53" s="1"/>
  <c r="CL110" i="53"/>
  <c r="CK110" i="53" s="1"/>
  <c r="CM110" i="53" s="1"/>
  <c r="CL111" i="53" s="1"/>
  <c r="BK94" i="53"/>
  <c r="CS94" i="53"/>
  <c r="BA95" i="53"/>
  <c r="BF97" i="53"/>
  <c r="BE97" i="53" s="1"/>
  <c r="BG97" i="53" s="1"/>
  <c r="AL102" i="53"/>
  <c r="AK102" i="53" s="1"/>
  <c r="AM102" i="53" s="1"/>
  <c r="J99" i="53"/>
  <c r="V98" i="53"/>
  <c r="AG97" i="53"/>
  <c r="CR110" i="53"/>
  <c r="G99" i="53"/>
  <c r="AO96" i="53"/>
  <c r="CG110" i="53"/>
  <c r="CI110" i="53" s="1"/>
  <c r="CH111" i="53" s="1"/>
  <c r="C112" i="53"/>
  <c r="CN111" i="53"/>
  <c r="CF111" i="53"/>
  <c r="BX111" i="53"/>
  <c r="BP111" i="53"/>
  <c r="BH111" i="53"/>
  <c r="AZ111" i="53"/>
  <c r="AR111" i="53"/>
  <c r="AJ111" i="53"/>
  <c r="AB111" i="53"/>
  <c r="T111" i="53"/>
  <c r="L111" i="53"/>
  <c r="D111" i="53"/>
  <c r="CJ111" i="53"/>
  <c r="CB111" i="53"/>
  <c r="BT111" i="53"/>
  <c r="BL111" i="53"/>
  <c r="BD111" i="53"/>
  <c r="AV111" i="53"/>
  <c r="AN111" i="53"/>
  <c r="AF111" i="53"/>
  <c r="X111" i="53"/>
  <c r="P111" i="53"/>
  <c r="H111" i="53"/>
  <c r="BM111" i="53" l="1"/>
  <c r="BO111" i="53" s="1"/>
  <c r="BN112" i="53" s="1"/>
  <c r="BQ111" i="53"/>
  <c r="BS111" i="53" s="1"/>
  <c r="BR112" i="53" s="1"/>
  <c r="CC111" i="53"/>
  <c r="CE111" i="53" s="1"/>
  <c r="CD112" i="53" s="1"/>
  <c r="CO111" i="53"/>
  <c r="CQ111" i="53" s="1"/>
  <c r="CP112" i="53" s="1"/>
  <c r="AB43" i="53"/>
  <c r="AC46" i="53"/>
  <c r="CG111" i="53"/>
  <c r="CI111" i="53" s="1"/>
  <c r="CH112" i="53" s="1"/>
  <c r="R108" i="53"/>
  <c r="Q108" i="53" s="1"/>
  <c r="S108" i="53" s="1"/>
  <c r="Z106" i="53"/>
  <c r="Y106" i="53" s="1"/>
  <c r="AA106" i="53" s="1"/>
  <c r="BZ109" i="53"/>
  <c r="BY109" i="53" s="1"/>
  <c r="CA109" i="53" s="1"/>
  <c r="N109" i="53"/>
  <c r="M109" i="53" s="1"/>
  <c r="O109" i="53" s="1"/>
  <c r="U98" i="53"/>
  <c r="AD105" i="53"/>
  <c r="AC105" i="53" s="1"/>
  <c r="AE105" i="53" s="1"/>
  <c r="BC95" i="53"/>
  <c r="CR111" i="53"/>
  <c r="I99" i="53"/>
  <c r="AQ96" i="53"/>
  <c r="AL103" i="53"/>
  <c r="AK103" i="53" s="1"/>
  <c r="AM103" i="53" s="1"/>
  <c r="AX100" i="53"/>
  <c r="AW100" i="53" s="1"/>
  <c r="AY100" i="53" s="1"/>
  <c r="F100" i="53"/>
  <c r="AI97" i="53"/>
  <c r="BJ95" i="53"/>
  <c r="CU94" i="53"/>
  <c r="BF98" i="53"/>
  <c r="BE98" i="53" s="1"/>
  <c r="BG98" i="53" s="1"/>
  <c r="AT101" i="53"/>
  <c r="AS101" i="53" s="1"/>
  <c r="AU101" i="53" s="1"/>
  <c r="BV110" i="53"/>
  <c r="BU110" i="53" s="1"/>
  <c r="BW110" i="53" s="1"/>
  <c r="CK111" i="53"/>
  <c r="CM111" i="53" s="1"/>
  <c r="CL112" i="53" s="1"/>
  <c r="C113" i="53"/>
  <c r="CN112" i="53"/>
  <c r="CF112" i="53"/>
  <c r="BX112" i="53"/>
  <c r="BP112" i="53"/>
  <c r="BH112" i="53"/>
  <c r="AZ112" i="53"/>
  <c r="AR112" i="53"/>
  <c r="AJ112" i="53"/>
  <c r="AB112" i="53"/>
  <c r="T112" i="53"/>
  <c r="L112" i="53"/>
  <c r="D112" i="53"/>
  <c r="CJ112" i="53"/>
  <c r="CB112" i="53"/>
  <c r="BT112" i="53"/>
  <c r="BL112" i="53"/>
  <c r="BD112" i="53"/>
  <c r="AV112" i="53"/>
  <c r="AN112" i="53"/>
  <c r="AF112" i="53"/>
  <c r="X112" i="53"/>
  <c r="P112" i="53"/>
  <c r="H112" i="53"/>
  <c r="BM112" i="53" l="1"/>
  <c r="BO112" i="53" s="1"/>
  <c r="BN113" i="53" s="1"/>
  <c r="BQ112" i="53"/>
  <c r="BS112" i="53" s="1"/>
  <c r="BR113" i="53" s="1"/>
  <c r="CC112" i="53"/>
  <c r="CE112" i="53" s="1"/>
  <c r="CD113" i="53" s="1"/>
  <c r="CO112" i="53"/>
  <c r="CQ112" i="53" s="1"/>
  <c r="CP113" i="53" s="1"/>
  <c r="AD46" i="53"/>
  <c r="AC43" i="53"/>
  <c r="CG112" i="53"/>
  <c r="CI112" i="53" s="1"/>
  <c r="CH113" i="53" s="1"/>
  <c r="AD106" i="53"/>
  <c r="AC106" i="53" s="1"/>
  <c r="AE106" i="53" s="1"/>
  <c r="BF99" i="53"/>
  <c r="BE99" i="53" s="1"/>
  <c r="BG99" i="53" s="1"/>
  <c r="Z107" i="53"/>
  <c r="Y107" i="53" s="1"/>
  <c r="AA107" i="53" s="1"/>
  <c r="K99" i="53"/>
  <c r="E100" i="53"/>
  <c r="AL104" i="53"/>
  <c r="AK104" i="53" s="1"/>
  <c r="AM104" i="53" s="1"/>
  <c r="N110" i="53"/>
  <c r="M110" i="53" s="1"/>
  <c r="O110" i="53" s="1"/>
  <c r="CR112" i="53"/>
  <c r="BV111" i="53"/>
  <c r="BU111" i="53" s="1"/>
  <c r="BW111" i="53" s="1"/>
  <c r="BZ110" i="53"/>
  <c r="BY110" i="53" s="1"/>
  <c r="CA110" i="53" s="1"/>
  <c r="AP97" i="53"/>
  <c r="BI95" i="53"/>
  <c r="CT95" i="53"/>
  <c r="AT102" i="53"/>
  <c r="AS102" i="53" s="1"/>
  <c r="AU102" i="53" s="1"/>
  <c r="AH98" i="53"/>
  <c r="CK112" i="53"/>
  <c r="CM112" i="53" s="1"/>
  <c r="CJ113" i="53"/>
  <c r="CB113" i="53"/>
  <c r="BT113" i="53"/>
  <c r="BL113" i="53"/>
  <c r="BD113" i="53"/>
  <c r="AV113" i="53"/>
  <c r="AN113" i="53"/>
  <c r="AF113" i="53"/>
  <c r="X113" i="53"/>
  <c r="P113" i="53"/>
  <c r="H113" i="53"/>
  <c r="AR113" i="53"/>
  <c r="C114" i="53"/>
  <c r="AJ113" i="53"/>
  <c r="CN113" i="53"/>
  <c r="AB113" i="53"/>
  <c r="CF113" i="53"/>
  <c r="T113" i="53"/>
  <c r="AZ113" i="53"/>
  <c r="BX113" i="53"/>
  <c r="L113" i="53"/>
  <c r="BP113" i="53"/>
  <c r="D113" i="53"/>
  <c r="BH113" i="53"/>
  <c r="AX101" i="53"/>
  <c r="AW101" i="53" s="1"/>
  <c r="AY101" i="53" s="1"/>
  <c r="W98" i="53"/>
  <c r="R109" i="53"/>
  <c r="Q109" i="53" s="1"/>
  <c r="S109" i="53" s="1"/>
  <c r="BB96" i="53"/>
  <c r="BM113" i="53" l="1"/>
  <c r="BO113" i="53" s="1"/>
  <c r="BN114" i="53" s="1"/>
  <c r="BQ113" i="53"/>
  <c r="BS113" i="53" s="1"/>
  <c r="BR114" i="53" s="1"/>
  <c r="CC113" i="53"/>
  <c r="CE113" i="53" s="1"/>
  <c r="CD114" i="53" s="1"/>
  <c r="CO113" i="53"/>
  <c r="CQ113" i="53" s="1"/>
  <c r="CP114" i="53" s="1"/>
  <c r="AE46" i="53"/>
  <c r="AD43" i="53"/>
  <c r="CG113" i="53"/>
  <c r="CI113" i="53" s="1"/>
  <c r="CH114" i="53" s="1"/>
  <c r="AL105" i="53"/>
  <c r="AK105" i="53" s="1"/>
  <c r="AM105" i="53" s="1"/>
  <c r="CL113" i="53"/>
  <c r="CK113" i="53" s="1"/>
  <c r="CM113" i="53" s="1"/>
  <c r="Z108" i="53"/>
  <c r="Y108" i="53" s="1"/>
  <c r="AA108" i="53" s="1"/>
  <c r="N111" i="53"/>
  <c r="M111" i="53" s="1"/>
  <c r="O111" i="53" s="1"/>
  <c r="BZ111" i="53"/>
  <c r="BY111" i="53" s="1"/>
  <c r="CA111" i="53" s="1"/>
  <c r="R110" i="53"/>
  <c r="Q110" i="53" s="1"/>
  <c r="S110" i="53" s="1"/>
  <c r="AD107" i="53"/>
  <c r="AC107" i="53" s="1"/>
  <c r="AE107" i="53" s="1"/>
  <c r="BA96" i="53"/>
  <c r="V99" i="53"/>
  <c r="AG98" i="53"/>
  <c r="BV112" i="53"/>
  <c r="BU112" i="53" s="1"/>
  <c r="BW112" i="53" s="1"/>
  <c r="AT103" i="53"/>
  <c r="AS103" i="53" s="1"/>
  <c r="AU103" i="53" s="1"/>
  <c r="AX102" i="53"/>
  <c r="AW102" i="53" s="1"/>
  <c r="AY102" i="53" s="1"/>
  <c r="AO97" i="53"/>
  <c r="BF100" i="53"/>
  <c r="BE100" i="53" s="1"/>
  <c r="BG100" i="53" s="1"/>
  <c r="J100" i="53"/>
  <c r="CR113" i="53"/>
  <c r="BK95" i="53"/>
  <c r="CS95" i="53"/>
  <c r="G100" i="53"/>
  <c r="CJ114" i="53"/>
  <c r="CB114" i="53"/>
  <c r="BT114" i="53"/>
  <c r="BL114" i="53"/>
  <c r="BD114" i="53"/>
  <c r="AV114" i="53"/>
  <c r="AN114" i="53"/>
  <c r="AF114" i="53"/>
  <c r="X114" i="53"/>
  <c r="P114" i="53"/>
  <c r="H114" i="53"/>
  <c r="C115" i="53"/>
  <c r="CN114" i="53"/>
  <c r="CF114" i="53"/>
  <c r="BX114" i="53"/>
  <c r="BP114" i="53"/>
  <c r="BH114" i="53"/>
  <c r="AZ114" i="53"/>
  <c r="AR114" i="53"/>
  <c r="AJ114" i="53"/>
  <c r="AB114" i="53"/>
  <c r="T114" i="53"/>
  <c r="L114" i="53"/>
  <c r="D114" i="53"/>
  <c r="BM114" i="53" l="1"/>
  <c r="BO114" i="53" s="1"/>
  <c r="BN115" i="53" s="1"/>
  <c r="BQ114" i="53"/>
  <c r="BS114" i="53" s="1"/>
  <c r="BR115" i="53" s="1"/>
  <c r="CC114" i="53"/>
  <c r="CE114" i="53" s="1"/>
  <c r="CD115" i="53" s="1"/>
  <c r="CO114" i="53"/>
  <c r="CQ114" i="53" s="1"/>
  <c r="CP115" i="53" s="1"/>
  <c r="AF46" i="53"/>
  <c r="AE43" i="53"/>
  <c r="CG114" i="53"/>
  <c r="CI114" i="53" s="1"/>
  <c r="CH115" i="53" s="1"/>
  <c r="BZ112" i="53"/>
  <c r="BY112" i="53" s="1"/>
  <c r="CA112" i="53" s="1"/>
  <c r="CL114" i="53"/>
  <c r="CK114" i="53" s="1"/>
  <c r="CM114" i="53" s="1"/>
  <c r="AL106" i="53"/>
  <c r="AK106" i="53" s="1"/>
  <c r="AM106" i="53" s="1"/>
  <c r="CJ115" i="53"/>
  <c r="CB115" i="53"/>
  <c r="BT115" i="53"/>
  <c r="BL115" i="53"/>
  <c r="BD115" i="53"/>
  <c r="AV115" i="53"/>
  <c r="AN115" i="53"/>
  <c r="AF115" i="53"/>
  <c r="X115" i="53"/>
  <c r="P115" i="53"/>
  <c r="H115" i="53"/>
  <c r="C116" i="53"/>
  <c r="CN115" i="53"/>
  <c r="CF115" i="53"/>
  <c r="BX115" i="53"/>
  <c r="BP115" i="53"/>
  <c r="BH115" i="53"/>
  <c r="AZ115" i="53"/>
  <c r="AR115" i="53"/>
  <c r="AJ115" i="53"/>
  <c r="AB115" i="53"/>
  <c r="T115" i="53"/>
  <c r="L115" i="53"/>
  <c r="D115" i="53"/>
  <c r="AX103" i="53"/>
  <c r="AW103" i="53" s="1"/>
  <c r="AY103" i="53" s="1"/>
  <c r="U99" i="53"/>
  <c r="F101" i="53"/>
  <c r="I100" i="53"/>
  <c r="CR114" i="53"/>
  <c r="BJ96" i="53"/>
  <c r="CU95" i="53"/>
  <c r="R111" i="53"/>
  <c r="Q111" i="53" s="1"/>
  <c r="S111" i="53" s="1"/>
  <c r="AI98" i="53"/>
  <c r="AD108" i="53"/>
  <c r="AC108" i="53" s="1"/>
  <c r="AE108" i="53" s="1"/>
  <c r="AT104" i="53"/>
  <c r="AS104" i="53" s="1"/>
  <c r="AU104" i="53" s="1"/>
  <c r="BV113" i="53"/>
  <c r="BU113" i="53" s="1"/>
  <c r="BW113" i="53" s="1"/>
  <c r="N112" i="53"/>
  <c r="M112" i="53" s="1"/>
  <c r="O112" i="53" s="1"/>
  <c r="AQ97" i="53"/>
  <c r="BF101" i="53"/>
  <c r="BE101" i="53" s="1"/>
  <c r="BG101" i="53" s="1"/>
  <c r="BC96" i="53"/>
  <c r="Z109" i="53"/>
  <c r="Y109" i="53" s="1"/>
  <c r="AA109" i="53" s="1"/>
  <c r="BM115" i="53" l="1"/>
  <c r="BO115" i="53" s="1"/>
  <c r="BN116" i="53" s="1"/>
  <c r="BQ115" i="53"/>
  <c r="BS115" i="53" s="1"/>
  <c r="BR116" i="53" s="1"/>
  <c r="CC115" i="53"/>
  <c r="CE115" i="53" s="1"/>
  <c r="CD116" i="53" s="1"/>
  <c r="CO115" i="53"/>
  <c r="CQ115" i="53" s="1"/>
  <c r="CP116" i="53" s="1"/>
  <c r="AG46" i="53"/>
  <c r="AF43" i="53"/>
  <c r="CG115" i="53"/>
  <c r="CI115" i="53" s="1"/>
  <c r="CH116" i="53" s="1"/>
  <c r="BF102" i="53"/>
  <c r="BE102" i="53" s="1"/>
  <c r="BG102" i="53" s="1"/>
  <c r="N113" i="53"/>
  <c r="M113" i="53" s="1"/>
  <c r="O113" i="53" s="1"/>
  <c r="CL115" i="53"/>
  <c r="CK115" i="53" s="1"/>
  <c r="CM115" i="53" s="1"/>
  <c r="Z110" i="53"/>
  <c r="Y110" i="53" s="1"/>
  <c r="AA110" i="53" s="1"/>
  <c r="BI96" i="53"/>
  <c r="CT96" i="53"/>
  <c r="CJ116" i="53"/>
  <c r="CB116" i="53"/>
  <c r="BT116" i="53"/>
  <c r="BL116" i="53"/>
  <c r="BD116" i="53"/>
  <c r="AV116" i="53"/>
  <c r="AN116" i="53"/>
  <c r="AF116" i="53"/>
  <c r="X116" i="53"/>
  <c r="P116" i="53"/>
  <c r="H116" i="53"/>
  <c r="C117" i="53"/>
  <c r="CN116" i="53"/>
  <c r="CF116" i="53"/>
  <c r="BX116" i="53"/>
  <c r="BP116" i="53"/>
  <c r="BH116" i="53"/>
  <c r="AZ116" i="53"/>
  <c r="AR116" i="53"/>
  <c r="AJ116" i="53"/>
  <c r="AB116" i="53"/>
  <c r="T116" i="53"/>
  <c r="L116" i="53"/>
  <c r="D116" i="53"/>
  <c r="AD109" i="53"/>
  <c r="AC109" i="53" s="1"/>
  <c r="AE109" i="53" s="1"/>
  <c r="AT105" i="53"/>
  <c r="AS105" i="53" s="1"/>
  <c r="AU105" i="53" s="1"/>
  <c r="BV114" i="53"/>
  <c r="BU114" i="53" s="1"/>
  <c r="BW114" i="53" s="1"/>
  <c r="AP98" i="53"/>
  <c r="BB97" i="53"/>
  <c r="AH99" i="53"/>
  <c r="W99" i="53"/>
  <c r="AL107" i="53"/>
  <c r="AK107" i="53" s="1"/>
  <c r="AM107" i="53" s="1"/>
  <c r="CR115" i="53"/>
  <c r="BZ113" i="53"/>
  <c r="BY113" i="53" s="1"/>
  <c r="CA113" i="53" s="1"/>
  <c r="E101" i="53"/>
  <c r="R112" i="53"/>
  <c r="Q112" i="53" s="1"/>
  <c r="S112" i="53" s="1"/>
  <c r="AX104" i="53"/>
  <c r="AW104" i="53" s="1"/>
  <c r="AY104" i="53" s="1"/>
  <c r="K100" i="53"/>
  <c r="BM116" i="53" l="1"/>
  <c r="BO116" i="53" s="1"/>
  <c r="BN117" i="53" s="1"/>
  <c r="BQ116" i="53"/>
  <c r="BS116" i="53" s="1"/>
  <c r="BR117" i="53" s="1"/>
  <c r="CC116" i="53"/>
  <c r="CE116" i="53" s="1"/>
  <c r="CD117" i="53" s="1"/>
  <c r="CO116" i="53"/>
  <c r="CQ116" i="53" s="1"/>
  <c r="CP117" i="53" s="1"/>
  <c r="AH46" i="53"/>
  <c r="AG43" i="53"/>
  <c r="CG116" i="53"/>
  <c r="CI116" i="53" s="1"/>
  <c r="CH117" i="53" s="1"/>
  <c r="R113" i="53"/>
  <c r="Q113" i="53" s="1"/>
  <c r="S113" i="53" s="1"/>
  <c r="BV115" i="53"/>
  <c r="BU115" i="53" s="1"/>
  <c r="BW115" i="53" s="1"/>
  <c r="AD110" i="53"/>
  <c r="AC110" i="53" s="1"/>
  <c r="AE110" i="53" s="1"/>
  <c r="CL116" i="53"/>
  <c r="CK116" i="53" s="1"/>
  <c r="CM116" i="53" s="1"/>
  <c r="N114" i="53"/>
  <c r="M114" i="53" s="1"/>
  <c r="O114" i="53" s="1"/>
  <c r="AL108" i="53"/>
  <c r="AK108" i="53" s="1"/>
  <c r="AM108" i="53" s="1"/>
  <c r="BF103" i="53"/>
  <c r="BE103" i="53" s="1"/>
  <c r="BG103" i="53" s="1"/>
  <c r="G101" i="53"/>
  <c r="C118" i="53"/>
  <c r="CN117" i="53"/>
  <c r="CF117" i="53"/>
  <c r="BX117" i="53"/>
  <c r="BP117" i="53"/>
  <c r="BH117" i="53"/>
  <c r="AZ117" i="53"/>
  <c r="AR117" i="53"/>
  <c r="AJ117" i="53"/>
  <c r="AB117" i="53"/>
  <c r="T117" i="53"/>
  <c r="L117" i="53"/>
  <c r="D117" i="53"/>
  <c r="AN117" i="53"/>
  <c r="AV117" i="53"/>
  <c r="AF117" i="53"/>
  <c r="CJ117" i="53"/>
  <c r="X117" i="53"/>
  <c r="CB117" i="53"/>
  <c r="P117" i="53"/>
  <c r="BT117" i="53"/>
  <c r="H117" i="53"/>
  <c r="BL117" i="53"/>
  <c r="BD117" i="53"/>
  <c r="BA97" i="53"/>
  <c r="V100" i="53"/>
  <c r="AT106" i="53"/>
  <c r="AS106" i="53" s="1"/>
  <c r="AU106" i="53" s="1"/>
  <c r="Z111" i="53"/>
  <c r="Y111" i="53" s="1"/>
  <c r="AA111" i="53" s="1"/>
  <c r="J101" i="53"/>
  <c r="AX105" i="53"/>
  <c r="AW105" i="53" s="1"/>
  <c r="AY105" i="53" s="1"/>
  <c r="AO98" i="53"/>
  <c r="CR116" i="53"/>
  <c r="CS96" i="53"/>
  <c r="BK96" i="53"/>
  <c r="BZ114" i="53"/>
  <c r="BY114" i="53" s="1"/>
  <c r="CA114" i="53" s="1"/>
  <c r="AG99" i="53"/>
  <c r="BM117" i="53" l="1"/>
  <c r="BO117" i="53" s="1"/>
  <c r="BN118" i="53" s="1"/>
  <c r="BQ117" i="53"/>
  <c r="BS117" i="53" s="1"/>
  <c r="BR118" i="53" s="1"/>
  <c r="CC117" i="53"/>
  <c r="CE117" i="53" s="1"/>
  <c r="CD118" i="53" s="1"/>
  <c r="CO117" i="53"/>
  <c r="CQ117" i="53" s="1"/>
  <c r="CP118" i="53" s="1"/>
  <c r="AI46" i="53"/>
  <c r="AH43" i="53"/>
  <c r="CG117" i="53"/>
  <c r="CI117" i="53" s="1"/>
  <c r="AL109" i="53"/>
  <c r="AK109" i="53" s="1"/>
  <c r="AM109" i="53" s="1"/>
  <c r="N115" i="53"/>
  <c r="M115" i="53" s="1"/>
  <c r="O115" i="53" s="1"/>
  <c r="CL117" i="53"/>
  <c r="CK117" i="53" s="1"/>
  <c r="CM117" i="53" s="1"/>
  <c r="BV116" i="53"/>
  <c r="BU116" i="53" s="1"/>
  <c r="BW116" i="53" s="1"/>
  <c r="R114" i="53"/>
  <c r="Q114" i="53" s="1"/>
  <c r="S114" i="53" s="1"/>
  <c r="AI99" i="53"/>
  <c r="AX106" i="53"/>
  <c r="AW106" i="53" s="1"/>
  <c r="AY106" i="53" s="1"/>
  <c r="Z112" i="53"/>
  <c r="Y112" i="53" s="1"/>
  <c r="AA112" i="53" s="1"/>
  <c r="U100" i="53"/>
  <c r="C119" i="53"/>
  <c r="CN118" i="53"/>
  <c r="CF118" i="53"/>
  <c r="BX118" i="53"/>
  <c r="BP118" i="53"/>
  <c r="BH118" i="53"/>
  <c r="AZ118" i="53"/>
  <c r="AR118" i="53"/>
  <c r="AJ118" i="53"/>
  <c r="AB118" i="53"/>
  <c r="T118" i="53"/>
  <c r="L118" i="53"/>
  <c r="D118" i="53"/>
  <c r="CJ118" i="53"/>
  <c r="CB118" i="53"/>
  <c r="BT118" i="53"/>
  <c r="BL118" i="53"/>
  <c r="BD118" i="53"/>
  <c r="AV118" i="53"/>
  <c r="AN118" i="53"/>
  <c r="AF118" i="53"/>
  <c r="X118" i="53"/>
  <c r="P118" i="53"/>
  <c r="H118" i="53"/>
  <c r="BZ115" i="53"/>
  <c r="BY115" i="53" s="1"/>
  <c r="CA115" i="53" s="1"/>
  <c r="BF104" i="53"/>
  <c r="BE104" i="53" s="1"/>
  <c r="BG104" i="53" s="1"/>
  <c r="CR117" i="53"/>
  <c r="H35" i="53" s="1"/>
  <c r="BJ97" i="53"/>
  <c r="CU96" i="53"/>
  <c r="AT107" i="53"/>
  <c r="AS107" i="53" s="1"/>
  <c r="AU107" i="53" s="1"/>
  <c r="F102" i="53"/>
  <c r="AD111" i="53"/>
  <c r="AC111" i="53" s="1"/>
  <c r="AE111" i="53" s="1"/>
  <c r="BC97" i="53"/>
  <c r="AQ98" i="53"/>
  <c r="I101" i="53"/>
  <c r="BM118" i="53" l="1"/>
  <c r="BO118" i="53" s="1"/>
  <c r="BN119" i="53" s="1"/>
  <c r="BQ118" i="53"/>
  <c r="BS118" i="53" s="1"/>
  <c r="BR119" i="53" s="1"/>
  <c r="CC118" i="53"/>
  <c r="CE118" i="53" s="1"/>
  <c r="CD119" i="53" s="1"/>
  <c r="CO118" i="53"/>
  <c r="CQ118" i="53" s="1"/>
  <c r="CP119" i="53" s="1"/>
  <c r="AJ46" i="53"/>
  <c r="AJ43" i="53" s="1"/>
  <c r="AI43" i="53"/>
  <c r="CH118" i="53"/>
  <c r="CG118" i="53" s="1"/>
  <c r="CI118" i="53" s="1"/>
  <c r="CH119" i="53" s="1"/>
  <c r="CL118" i="53"/>
  <c r="CK118" i="53" s="1"/>
  <c r="CM118" i="53" s="1"/>
  <c r="CL119" i="53" s="1"/>
  <c r="AL110" i="53"/>
  <c r="AK110" i="53" s="1"/>
  <c r="AM110" i="53" s="1"/>
  <c r="R115" i="53"/>
  <c r="Q115" i="53" s="1"/>
  <c r="S115" i="53" s="1"/>
  <c r="BZ116" i="53"/>
  <c r="BY116" i="53" s="1"/>
  <c r="CA116" i="53" s="1"/>
  <c r="N116" i="53"/>
  <c r="M116" i="53" s="1"/>
  <c r="O116" i="53" s="1"/>
  <c r="AD112" i="53"/>
  <c r="AC112" i="53" s="1"/>
  <c r="AE112" i="53" s="1"/>
  <c r="BI97" i="53"/>
  <c r="CT97" i="53"/>
  <c r="Z113" i="53"/>
  <c r="Y113" i="53" s="1"/>
  <c r="AA113" i="53" s="1"/>
  <c r="BV117" i="53"/>
  <c r="BU117" i="53" s="1"/>
  <c r="BW117" i="53" s="1"/>
  <c r="H37" i="53"/>
  <c r="W100" i="53"/>
  <c r="K101" i="53"/>
  <c r="C120" i="53"/>
  <c r="CN119" i="53"/>
  <c r="CF119" i="53"/>
  <c r="BX119" i="53"/>
  <c r="BP119" i="53"/>
  <c r="BH119" i="53"/>
  <c r="AZ119" i="53"/>
  <c r="AR119" i="53"/>
  <c r="AJ119" i="53"/>
  <c r="AB119" i="53"/>
  <c r="T119" i="53"/>
  <c r="L119" i="53"/>
  <c r="D119" i="53"/>
  <c r="CJ119" i="53"/>
  <c r="CB119" i="53"/>
  <c r="BT119" i="53"/>
  <c r="BL119" i="53"/>
  <c r="BD119" i="53"/>
  <c r="AV119" i="53"/>
  <c r="AN119" i="53"/>
  <c r="AF119" i="53"/>
  <c r="X119" i="53"/>
  <c r="P119" i="53"/>
  <c r="H119" i="53"/>
  <c r="AX107" i="53"/>
  <c r="AW107" i="53" s="1"/>
  <c r="AY107" i="53" s="1"/>
  <c r="AP99" i="53"/>
  <c r="AT108" i="53"/>
  <c r="AS108" i="53" s="1"/>
  <c r="AU108" i="53" s="1"/>
  <c r="E102" i="53"/>
  <c r="BB98" i="53"/>
  <c r="BF105" i="53"/>
  <c r="BE105" i="53" s="1"/>
  <c r="BG105" i="53" s="1"/>
  <c r="AH100" i="53"/>
  <c r="CR118" i="53"/>
  <c r="BM119" i="53" l="1"/>
  <c r="BO119" i="53" s="1"/>
  <c r="BN120" i="53" s="1"/>
  <c r="CC119" i="53"/>
  <c r="CE119" i="53" s="1"/>
  <c r="CD120" i="53" s="1"/>
  <c r="BQ119" i="53"/>
  <c r="BS119" i="53" s="1"/>
  <c r="BR120" i="53" s="1"/>
  <c r="CO119" i="53"/>
  <c r="CQ119" i="53" s="1"/>
  <c r="CP120" i="53" s="1"/>
  <c r="CG119" i="53"/>
  <c r="CI119" i="53" s="1"/>
  <c r="CH120" i="53" s="1"/>
  <c r="CK119" i="53"/>
  <c r="CM119" i="53" s="1"/>
  <c r="CL120" i="53" s="1"/>
  <c r="AD113" i="53"/>
  <c r="AC113" i="53" s="1"/>
  <c r="AE113" i="53" s="1"/>
  <c r="AX108" i="53"/>
  <c r="AW108" i="53" s="1"/>
  <c r="AY108" i="53" s="1"/>
  <c r="BV118" i="53"/>
  <c r="BU118" i="53" s="1"/>
  <c r="BW118" i="53" s="1"/>
  <c r="AL111" i="53"/>
  <c r="AK111" i="53" s="1"/>
  <c r="AM111" i="53" s="1"/>
  <c r="AO99" i="53"/>
  <c r="Z114" i="53"/>
  <c r="Y114" i="53" s="1"/>
  <c r="AA114" i="53" s="1"/>
  <c r="N117" i="53"/>
  <c r="M117" i="53" s="1"/>
  <c r="O117" i="53" s="1"/>
  <c r="C121" i="53"/>
  <c r="CN120" i="53"/>
  <c r="CF120" i="53"/>
  <c r="BX120" i="53"/>
  <c r="BP120" i="53"/>
  <c r="BH120" i="53"/>
  <c r="AZ120" i="53"/>
  <c r="AR120" i="53"/>
  <c r="AJ120" i="53"/>
  <c r="AB120" i="53"/>
  <c r="T120" i="53"/>
  <c r="L120" i="53"/>
  <c r="D120" i="53"/>
  <c r="CJ120" i="53"/>
  <c r="CB120" i="53"/>
  <c r="BT120" i="53"/>
  <c r="BL120" i="53"/>
  <c r="BD120" i="53"/>
  <c r="AV120" i="53"/>
  <c r="AN120" i="53"/>
  <c r="AF120" i="53"/>
  <c r="X120" i="53"/>
  <c r="P120" i="53"/>
  <c r="H120" i="53"/>
  <c r="BF106" i="53"/>
  <c r="BE106" i="53" s="1"/>
  <c r="BG106" i="53" s="1"/>
  <c r="J102" i="53"/>
  <c r="CS97" i="53"/>
  <c r="BK97" i="53"/>
  <c r="R116" i="53"/>
  <c r="Q116" i="53" s="1"/>
  <c r="S116" i="53" s="1"/>
  <c r="BZ117" i="53"/>
  <c r="BY117" i="53" s="1"/>
  <c r="CA117" i="53" s="1"/>
  <c r="AG100" i="53"/>
  <c r="CR119" i="53"/>
  <c r="BA98" i="53"/>
  <c r="AT109" i="53"/>
  <c r="AS109" i="53" s="1"/>
  <c r="AU109" i="53" s="1"/>
  <c r="G102" i="53"/>
  <c r="V101" i="53"/>
  <c r="BM120" i="53" l="1"/>
  <c r="BO120" i="53" s="1"/>
  <c r="BN121" i="53" s="1"/>
  <c r="BQ120" i="53"/>
  <c r="BS120" i="53" s="1"/>
  <c r="BR121" i="53" s="1"/>
  <c r="CC120" i="53"/>
  <c r="CE120" i="53" s="1"/>
  <c r="CD121" i="53" s="1"/>
  <c r="CO120" i="53"/>
  <c r="CQ120" i="53" s="1"/>
  <c r="CP121" i="53" s="1"/>
  <c r="CG120" i="53"/>
  <c r="CI120" i="53" s="1"/>
  <c r="CH121" i="53" s="1"/>
  <c r="CK120" i="53"/>
  <c r="CM120" i="53" s="1"/>
  <c r="CL121" i="53" s="1"/>
  <c r="BF107" i="53"/>
  <c r="BE107" i="53" s="1"/>
  <c r="BG107" i="53" s="1"/>
  <c r="Z115" i="53"/>
  <c r="Y115" i="53" s="1"/>
  <c r="AA115" i="53" s="1"/>
  <c r="AD114" i="53"/>
  <c r="AC114" i="53" s="1"/>
  <c r="AE114" i="53" s="1"/>
  <c r="BZ118" i="53"/>
  <c r="BY118" i="53" s="1"/>
  <c r="CA118" i="53" s="1"/>
  <c r="AL112" i="53"/>
  <c r="AK112" i="53" s="1"/>
  <c r="AM112" i="53" s="1"/>
  <c r="AX109" i="53"/>
  <c r="AW109" i="53" s="1"/>
  <c r="AY109" i="53" s="1"/>
  <c r="F103" i="53"/>
  <c r="I102" i="53"/>
  <c r="CR120" i="53"/>
  <c r="BV119" i="53"/>
  <c r="BU119" i="53" s="1"/>
  <c r="BW119" i="53" s="1"/>
  <c r="U101" i="53"/>
  <c r="BJ98" i="53"/>
  <c r="CU97" i="53"/>
  <c r="AT110" i="53"/>
  <c r="AS110" i="53" s="1"/>
  <c r="AU110" i="53" s="1"/>
  <c r="N118" i="53"/>
  <c r="M118" i="53" s="1"/>
  <c r="O118" i="53" s="1"/>
  <c r="R117" i="53"/>
  <c r="Q117" i="53" s="1"/>
  <c r="S117" i="53" s="1"/>
  <c r="BC98" i="53"/>
  <c r="AI100" i="53"/>
  <c r="CJ121" i="53"/>
  <c r="CB121" i="53"/>
  <c r="BT121" i="53"/>
  <c r="BL121" i="53"/>
  <c r="BD121" i="53"/>
  <c r="AV121" i="53"/>
  <c r="AN121" i="53"/>
  <c r="AF121" i="53"/>
  <c r="X121" i="53"/>
  <c r="P121" i="53"/>
  <c r="H121" i="53"/>
  <c r="C122" i="53"/>
  <c r="AJ121" i="53"/>
  <c r="AR121" i="53"/>
  <c r="CN121" i="53"/>
  <c r="AB121" i="53"/>
  <c r="CF121" i="53"/>
  <c r="T121" i="53"/>
  <c r="BX121" i="53"/>
  <c r="L121" i="53"/>
  <c r="BP121" i="53"/>
  <c r="D121" i="53"/>
  <c r="BH121" i="53"/>
  <c r="AZ121" i="53"/>
  <c r="AQ99" i="53"/>
  <c r="BM121" i="53" l="1"/>
  <c r="BO121" i="53" s="1"/>
  <c r="BN122" i="53" s="1"/>
  <c r="BQ121" i="53"/>
  <c r="BS121" i="53" s="1"/>
  <c r="BR122" i="53" s="1"/>
  <c r="CC121" i="53"/>
  <c r="CE121" i="53" s="1"/>
  <c r="CD122" i="53" s="1"/>
  <c r="CO121" i="53"/>
  <c r="CQ121" i="53" s="1"/>
  <c r="CP122" i="53" s="1"/>
  <c r="CG121" i="53"/>
  <c r="CI121" i="53" s="1"/>
  <c r="CH122" i="53" s="1"/>
  <c r="CK121" i="53"/>
  <c r="CM121" i="53" s="1"/>
  <c r="CL122" i="53" s="1"/>
  <c r="BF108" i="53"/>
  <c r="BE108" i="53" s="1"/>
  <c r="BG108" i="53" s="1"/>
  <c r="AL113" i="53"/>
  <c r="AK113" i="53" s="1"/>
  <c r="AM113" i="53" s="1"/>
  <c r="AD115" i="53"/>
  <c r="AC115" i="53" s="1"/>
  <c r="AE115" i="53" s="1"/>
  <c r="AH101" i="53"/>
  <c r="CJ122" i="53"/>
  <c r="CB122" i="53"/>
  <c r="BT122" i="53"/>
  <c r="BL122" i="53"/>
  <c r="BD122" i="53"/>
  <c r="AV122" i="53"/>
  <c r="AN122" i="53"/>
  <c r="AF122" i="53"/>
  <c r="X122" i="53"/>
  <c r="P122" i="53"/>
  <c r="H122" i="53"/>
  <c r="C123" i="53"/>
  <c r="CN122" i="53"/>
  <c r="CF122" i="53"/>
  <c r="BX122" i="53"/>
  <c r="BP122" i="53"/>
  <c r="BH122" i="53"/>
  <c r="AZ122" i="53"/>
  <c r="AR122" i="53"/>
  <c r="AJ122" i="53"/>
  <c r="AB122" i="53"/>
  <c r="T122" i="53"/>
  <c r="L122" i="53"/>
  <c r="D122" i="53"/>
  <c r="AT111" i="53"/>
  <c r="AS111" i="53" s="1"/>
  <c r="AU111" i="53" s="1"/>
  <c r="E103" i="53"/>
  <c r="N119" i="53"/>
  <c r="M119" i="53" s="1"/>
  <c r="O119" i="53" s="1"/>
  <c r="R118" i="53"/>
  <c r="Q118" i="53" s="1"/>
  <c r="S118" i="53" s="1"/>
  <c r="BI98" i="53"/>
  <c r="CT98" i="53"/>
  <c r="BB99" i="53"/>
  <c r="BZ119" i="53"/>
  <c r="BY119" i="53" s="1"/>
  <c r="CA119" i="53" s="1"/>
  <c r="AP100" i="53"/>
  <c r="CR121" i="53"/>
  <c r="K102" i="53"/>
  <c r="AX110" i="53"/>
  <c r="AW110" i="53" s="1"/>
  <c r="AY110" i="53" s="1"/>
  <c r="BV120" i="53"/>
  <c r="BU120" i="53" s="1"/>
  <c r="BW120" i="53" s="1"/>
  <c r="W101" i="53"/>
  <c r="Z116" i="53"/>
  <c r="Y116" i="53" s="1"/>
  <c r="AA116" i="53" s="1"/>
  <c r="BM122" i="53" l="1"/>
  <c r="BO122" i="53" s="1"/>
  <c r="BN123" i="53" s="1"/>
  <c r="BQ122" i="53"/>
  <c r="BS122" i="53" s="1"/>
  <c r="BR123" i="53" s="1"/>
  <c r="CC122" i="53"/>
  <c r="CE122" i="53" s="1"/>
  <c r="CD123" i="53" s="1"/>
  <c r="CO122" i="53"/>
  <c r="CQ122" i="53" s="1"/>
  <c r="CP123" i="53" s="1"/>
  <c r="CG122" i="53"/>
  <c r="CI122" i="53" s="1"/>
  <c r="CH123" i="53" s="1"/>
  <c r="CK122" i="53"/>
  <c r="CM122" i="53" s="1"/>
  <c r="CL123" i="53" s="1"/>
  <c r="BV121" i="53"/>
  <c r="BU121" i="53" s="1"/>
  <c r="BW121" i="53" s="1"/>
  <c r="AD116" i="53"/>
  <c r="AC116" i="53" s="1"/>
  <c r="AE116" i="53" s="1"/>
  <c r="AT112" i="53"/>
  <c r="AS112" i="53" s="1"/>
  <c r="AU112" i="53" s="1"/>
  <c r="R119" i="53"/>
  <c r="Q119" i="53" s="1"/>
  <c r="S119" i="53" s="1"/>
  <c r="BZ120" i="53"/>
  <c r="BY120" i="53" s="1"/>
  <c r="CA120" i="53" s="1"/>
  <c r="AL114" i="53"/>
  <c r="AK114" i="53" s="1"/>
  <c r="AM114" i="53" s="1"/>
  <c r="CJ123" i="53"/>
  <c r="CB123" i="53"/>
  <c r="BT123" i="53"/>
  <c r="BL123" i="53"/>
  <c r="BD123" i="53"/>
  <c r="AV123" i="53"/>
  <c r="AN123" i="53"/>
  <c r="AF123" i="53"/>
  <c r="X123" i="53"/>
  <c r="P123" i="53"/>
  <c r="H123" i="53"/>
  <c r="C124" i="53"/>
  <c r="CN123" i="53"/>
  <c r="CF123" i="53"/>
  <c r="BX123" i="53"/>
  <c r="BP123" i="53"/>
  <c r="BH123" i="53"/>
  <c r="AZ123" i="53"/>
  <c r="AR123" i="53"/>
  <c r="AJ123" i="53"/>
  <c r="AB123" i="53"/>
  <c r="T123" i="53"/>
  <c r="L123" i="53"/>
  <c r="D123" i="53"/>
  <c r="Z117" i="53"/>
  <c r="Y117" i="53" s="1"/>
  <c r="AA117" i="53" s="1"/>
  <c r="BF109" i="53"/>
  <c r="BE109" i="53" s="1"/>
  <c r="BG109" i="53" s="1"/>
  <c r="AO100" i="53"/>
  <c r="G103" i="53"/>
  <c r="AG101" i="53"/>
  <c r="J103" i="53"/>
  <c r="BA99" i="53"/>
  <c r="N120" i="53"/>
  <c r="M120" i="53" s="1"/>
  <c r="O120" i="53" s="1"/>
  <c r="V102" i="53"/>
  <c r="BK98" i="53"/>
  <c r="CS98" i="53"/>
  <c r="CR122" i="53"/>
  <c r="AX111" i="53"/>
  <c r="AW111" i="53" s="1"/>
  <c r="AY111" i="53" s="1"/>
  <c r="BM123" i="53" l="1"/>
  <c r="BO123" i="53" s="1"/>
  <c r="BN124" i="53" s="1"/>
  <c r="BQ123" i="53"/>
  <c r="BS123" i="53" s="1"/>
  <c r="BR124" i="53" s="1"/>
  <c r="CC123" i="53"/>
  <c r="CE123" i="53" s="1"/>
  <c r="CD124" i="53" s="1"/>
  <c r="CO123" i="53"/>
  <c r="CQ123" i="53" s="1"/>
  <c r="CP124" i="53" s="1"/>
  <c r="CK123" i="53"/>
  <c r="CM123" i="53" s="1"/>
  <c r="CL124" i="53" s="1"/>
  <c r="CG123" i="53"/>
  <c r="CI123" i="53" s="1"/>
  <c r="CH124" i="53" s="1"/>
  <c r="N121" i="53"/>
  <c r="M121" i="53" s="1"/>
  <c r="O121" i="53" s="1"/>
  <c r="BZ121" i="53"/>
  <c r="BY121" i="53" s="1"/>
  <c r="CA121" i="53" s="1"/>
  <c r="Z118" i="53"/>
  <c r="Y118" i="53" s="1"/>
  <c r="AA118" i="53" s="1"/>
  <c r="AX112" i="53"/>
  <c r="AW112" i="53" s="1"/>
  <c r="AY112" i="53" s="1"/>
  <c r="BV122" i="53"/>
  <c r="BU122" i="53" s="1"/>
  <c r="BW122" i="53" s="1"/>
  <c r="AT113" i="53"/>
  <c r="AS113" i="53" s="1"/>
  <c r="AU113" i="53" s="1"/>
  <c r="R120" i="53"/>
  <c r="Q120" i="53" s="1"/>
  <c r="S120" i="53" s="1"/>
  <c r="F104" i="53"/>
  <c r="U102" i="53"/>
  <c r="AI101" i="53"/>
  <c r="CR123" i="53"/>
  <c r="BF110" i="53"/>
  <c r="BE110" i="53" s="1"/>
  <c r="BG110" i="53" s="1"/>
  <c r="AL115" i="53"/>
  <c r="AK115" i="53" s="1"/>
  <c r="AM115" i="53" s="1"/>
  <c r="AQ100" i="53"/>
  <c r="CJ124" i="53"/>
  <c r="CB124" i="53"/>
  <c r="BT124" i="53"/>
  <c r="BL124" i="53"/>
  <c r="BD124" i="53"/>
  <c r="AV124" i="53"/>
  <c r="AN124" i="53"/>
  <c r="AF124" i="53"/>
  <c r="X124" i="53"/>
  <c r="P124" i="53"/>
  <c r="H124" i="53"/>
  <c r="C125" i="53"/>
  <c r="CN124" i="53"/>
  <c r="CF124" i="53"/>
  <c r="BX124" i="53"/>
  <c r="BP124" i="53"/>
  <c r="BH124" i="53"/>
  <c r="AZ124" i="53"/>
  <c r="AR124" i="53"/>
  <c r="AJ124" i="53"/>
  <c r="AB124" i="53"/>
  <c r="T124" i="53"/>
  <c r="L124" i="53"/>
  <c r="D124" i="53"/>
  <c r="AD117" i="53"/>
  <c r="AC117" i="53" s="1"/>
  <c r="AE117" i="53" s="1"/>
  <c r="BJ99" i="53"/>
  <c r="CU98" i="53"/>
  <c r="BC99" i="53"/>
  <c r="I103" i="53"/>
  <c r="BM124" i="53" l="1"/>
  <c r="BO124" i="53" s="1"/>
  <c r="BN125" i="53" s="1"/>
  <c r="BQ124" i="53"/>
  <c r="BS124" i="53" s="1"/>
  <c r="BR125" i="53" s="1"/>
  <c r="CC124" i="53"/>
  <c r="CE124" i="53" s="1"/>
  <c r="CD125" i="53" s="1"/>
  <c r="CO124" i="53"/>
  <c r="CQ124" i="53" s="1"/>
  <c r="CP125" i="53" s="1"/>
  <c r="CK124" i="53"/>
  <c r="CM124" i="53" s="1"/>
  <c r="CL125" i="53" s="1"/>
  <c r="CG124" i="53"/>
  <c r="CI124" i="53" s="1"/>
  <c r="CH125" i="53" s="1"/>
  <c r="BV123" i="53"/>
  <c r="BU123" i="53" s="1"/>
  <c r="BW123" i="53" s="1"/>
  <c r="AL116" i="53"/>
  <c r="AK116" i="53" s="1"/>
  <c r="AM116" i="53" s="1"/>
  <c r="N122" i="53"/>
  <c r="M122" i="53" s="1"/>
  <c r="O122" i="53" s="1"/>
  <c r="W102" i="53"/>
  <c r="CR124" i="53"/>
  <c r="E104" i="53"/>
  <c r="R121" i="53"/>
  <c r="Q121" i="53" s="1"/>
  <c r="S121" i="53" s="1"/>
  <c r="Z119" i="53"/>
  <c r="Y119" i="53" s="1"/>
  <c r="AA119" i="53" s="1"/>
  <c r="AX113" i="53"/>
  <c r="AW113" i="53" s="1"/>
  <c r="AY113" i="53" s="1"/>
  <c r="BI99" i="53"/>
  <c r="CT99" i="53"/>
  <c r="AH102" i="53"/>
  <c r="BB100" i="53"/>
  <c r="AD118" i="53"/>
  <c r="AC118" i="53" s="1"/>
  <c r="AE118" i="53" s="1"/>
  <c r="AT114" i="53"/>
  <c r="AS114" i="53" s="1"/>
  <c r="AU114" i="53" s="1"/>
  <c r="C126" i="53"/>
  <c r="CN125" i="53"/>
  <c r="CF125" i="53"/>
  <c r="BX125" i="53"/>
  <c r="BP125" i="53"/>
  <c r="BH125" i="53"/>
  <c r="AZ125" i="53"/>
  <c r="AR125" i="53"/>
  <c r="AJ125" i="53"/>
  <c r="AB125" i="53"/>
  <c r="T125" i="53"/>
  <c r="L125" i="53"/>
  <c r="D125" i="53"/>
  <c r="AF125" i="53"/>
  <c r="CJ125" i="53"/>
  <c r="X125" i="53"/>
  <c r="CB125" i="53"/>
  <c r="P125" i="53"/>
  <c r="BT125" i="53"/>
  <c r="H125" i="53"/>
  <c r="BL125" i="53"/>
  <c r="BD125" i="53"/>
  <c r="AV125" i="53"/>
  <c r="AN125" i="53"/>
  <c r="AP101" i="53"/>
  <c r="BF111" i="53"/>
  <c r="BE111" i="53" s="1"/>
  <c r="BG111" i="53" s="1"/>
  <c r="BZ122" i="53"/>
  <c r="BY122" i="53" s="1"/>
  <c r="CA122" i="53" s="1"/>
  <c r="K103" i="53"/>
  <c r="BM125" i="53" l="1"/>
  <c r="BO125" i="53" s="1"/>
  <c r="BN126" i="53" s="1"/>
  <c r="BQ125" i="53"/>
  <c r="BS125" i="53" s="1"/>
  <c r="BR126" i="53" s="1"/>
  <c r="CC125" i="53"/>
  <c r="CE125" i="53" s="1"/>
  <c r="CD126" i="53" s="1"/>
  <c r="CO125" i="53"/>
  <c r="CQ125" i="53" s="1"/>
  <c r="CP126" i="53" s="1"/>
  <c r="CK125" i="53"/>
  <c r="CM125" i="53" s="1"/>
  <c r="CL126" i="53" s="1"/>
  <c r="CG125" i="53"/>
  <c r="CI125" i="53" s="1"/>
  <c r="CH126" i="53" s="1"/>
  <c r="R122" i="53"/>
  <c r="Q122" i="53" s="1"/>
  <c r="S122" i="53" s="1"/>
  <c r="BZ123" i="53"/>
  <c r="BY123" i="53" s="1"/>
  <c r="CA123" i="53" s="1"/>
  <c r="AT115" i="53"/>
  <c r="AS115" i="53" s="1"/>
  <c r="AU115" i="53" s="1"/>
  <c r="BA100" i="53"/>
  <c r="AX114" i="53"/>
  <c r="AW114" i="53" s="1"/>
  <c r="AY114" i="53" s="1"/>
  <c r="V103" i="53"/>
  <c r="BF112" i="53"/>
  <c r="BE112" i="53" s="1"/>
  <c r="BG112" i="53" s="1"/>
  <c r="AD119" i="53"/>
  <c r="AC119" i="53" s="1"/>
  <c r="AE119" i="53" s="1"/>
  <c r="AG102" i="53"/>
  <c r="Z120" i="53"/>
  <c r="Y120" i="53" s="1"/>
  <c r="AA120" i="53" s="1"/>
  <c r="G104" i="53"/>
  <c r="C127" i="53"/>
  <c r="CN126" i="53"/>
  <c r="CF126" i="53"/>
  <c r="BX126" i="53"/>
  <c r="BP126" i="53"/>
  <c r="BH126" i="53"/>
  <c r="AZ126" i="53"/>
  <c r="AR126" i="53"/>
  <c r="AJ126" i="53"/>
  <c r="AB126" i="53"/>
  <c r="T126" i="53"/>
  <c r="L126" i="53"/>
  <c r="D126" i="53"/>
  <c r="CJ126" i="53"/>
  <c r="CB126" i="53"/>
  <c r="BT126" i="53"/>
  <c r="BL126" i="53"/>
  <c r="BD126" i="53"/>
  <c r="AV126" i="53"/>
  <c r="AN126" i="53"/>
  <c r="AF126" i="53"/>
  <c r="X126" i="53"/>
  <c r="P126" i="53"/>
  <c r="H126" i="53"/>
  <c r="N123" i="53"/>
  <c r="M123" i="53" s="1"/>
  <c r="O123" i="53" s="1"/>
  <c r="AL117" i="53"/>
  <c r="AK117" i="53" s="1"/>
  <c r="AM117" i="53" s="1"/>
  <c r="CR125" i="53"/>
  <c r="J104" i="53"/>
  <c r="AO101" i="53"/>
  <c r="BV124" i="53"/>
  <c r="BU124" i="53" s="1"/>
  <c r="BW124" i="53" s="1"/>
  <c r="CS99" i="53"/>
  <c r="BK99" i="53"/>
  <c r="BM126" i="53" l="1"/>
  <c r="BO126" i="53" s="1"/>
  <c r="BN127" i="53" s="1"/>
  <c r="BQ126" i="53"/>
  <c r="BS126" i="53" s="1"/>
  <c r="BR127" i="53" s="1"/>
  <c r="CC126" i="53"/>
  <c r="CE126" i="53" s="1"/>
  <c r="CD127" i="53" s="1"/>
  <c r="CO126" i="53"/>
  <c r="CQ126" i="53" s="1"/>
  <c r="CP127" i="53" s="1"/>
  <c r="CK126" i="53"/>
  <c r="CM126" i="53" s="1"/>
  <c r="CL127" i="53" s="1"/>
  <c r="CG126" i="53"/>
  <c r="CI126" i="53" s="1"/>
  <c r="CH127" i="53" s="1"/>
  <c r="BZ124" i="53"/>
  <c r="BY124" i="53" s="1"/>
  <c r="CA124" i="53" s="1"/>
  <c r="Z121" i="53"/>
  <c r="Y121" i="53" s="1"/>
  <c r="AA121" i="53" s="1"/>
  <c r="AL118" i="53"/>
  <c r="AK118" i="53" s="1"/>
  <c r="AM118" i="53" s="1"/>
  <c r="AD120" i="53"/>
  <c r="AC120" i="53" s="1"/>
  <c r="AE120" i="53" s="1"/>
  <c r="BC100" i="53"/>
  <c r="BV125" i="53"/>
  <c r="BU125" i="53" s="1"/>
  <c r="BW125" i="53" s="1"/>
  <c r="N124" i="53"/>
  <c r="M124" i="53" s="1"/>
  <c r="O124" i="53" s="1"/>
  <c r="C128" i="53"/>
  <c r="CN127" i="53"/>
  <c r="CF127" i="53"/>
  <c r="BX127" i="53"/>
  <c r="BP127" i="53"/>
  <c r="BH127" i="53"/>
  <c r="AZ127" i="53"/>
  <c r="AR127" i="53"/>
  <c r="AJ127" i="53"/>
  <c r="AB127" i="53"/>
  <c r="T127" i="53"/>
  <c r="L127" i="53"/>
  <c r="D127" i="53"/>
  <c r="CJ127" i="53"/>
  <c r="CB127" i="53"/>
  <c r="BT127" i="53"/>
  <c r="BL127" i="53"/>
  <c r="BD127" i="53"/>
  <c r="AV127" i="53"/>
  <c r="AN127" i="53"/>
  <c r="AF127" i="53"/>
  <c r="X127" i="53"/>
  <c r="P127" i="53"/>
  <c r="H127" i="53"/>
  <c r="R123" i="53"/>
  <c r="Q123" i="53" s="1"/>
  <c r="S123" i="53" s="1"/>
  <c r="I104" i="53"/>
  <c r="AI102" i="53"/>
  <c r="AT116" i="53"/>
  <c r="AS116" i="53" s="1"/>
  <c r="AU116" i="53" s="1"/>
  <c r="AQ101" i="53"/>
  <c r="F105" i="53"/>
  <c r="AX115" i="53"/>
  <c r="AW115" i="53" s="1"/>
  <c r="AY115" i="53" s="1"/>
  <c r="CR126" i="53"/>
  <c r="U103" i="53"/>
  <c r="BJ100" i="53"/>
  <c r="CU99" i="53"/>
  <c r="BF113" i="53"/>
  <c r="BE113" i="53" s="1"/>
  <c r="BG113" i="53" s="1"/>
  <c r="BM127" i="53" l="1"/>
  <c r="BO127" i="53" s="1"/>
  <c r="BN128" i="53" s="1"/>
  <c r="BQ127" i="53"/>
  <c r="BS127" i="53" s="1"/>
  <c r="BR128" i="53" s="1"/>
  <c r="CC127" i="53"/>
  <c r="CE127" i="53" s="1"/>
  <c r="CD128" i="53" s="1"/>
  <c r="CO127" i="53"/>
  <c r="CQ127" i="53" s="1"/>
  <c r="CP128" i="53" s="1"/>
  <c r="CK127" i="53"/>
  <c r="CM127" i="53" s="1"/>
  <c r="CL128" i="53" s="1"/>
  <c r="CG127" i="53"/>
  <c r="CI127" i="53" s="1"/>
  <c r="CH128" i="53" s="1"/>
  <c r="Z122" i="53"/>
  <c r="Y122" i="53" s="1"/>
  <c r="AA122" i="53" s="1"/>
  <c r="AT117" i="53"/>
  <c r="AS117" i="53" s="1"/>
  <c r="AU117" i="53" s="1"/>
  <c r="N125" i="53"/>
  <c r="M125" i="53" s="1"/>
  <c r="O125" i="53" s="1"/>
  <c r="BZ125" i="53"/>
  <c r="BY125" i="53" s="1"/>
  <c r="CA125" i="53" s="1"/>
  <c r="AD121" i="53"/>
  <c r="AC121" i="53" s="1"/>
  <c r="AE121" i="53" s="1"/>
  <c r="AX116" i="53"/>
  <c r="AW116" i="53" s="1"/>
  <c r="AY116" i="53" s="1"/>
  <c r="K104" i="53"/>
  <c r="BF114" i="53"/>
  <c r="BE114" i="53" s="1"/>
  <c r="BG114" i="53" s="1"/>
  <c r="AP102" i="53"/>
  <c r="E105" i="53"/>
  <c r="AH103" i="53"/>
  <c r="CR127" i="53"/>
  <c r="AL119" i="53"/>
  <c r="AK119" i="53" s="1"/>
  <c r="AM119" i="53" s="1"/>
  <c r="BI100" i="53"/>
  <c r="CT100" i="53"/>
  <c r="R124" i="53"/>
  <c r="Q124" i="53" s="1"/>
  <c r="S124" i="53" s="1"/>
  <c r="BV126" i="53"/>
  <c r="BU126" i="53" s="1"/>
  <c r="BW126" i="53" s="1"/>
  <c r="W103" i="53"/>
  <c r="C129" i="53"/>
  <c r="CN128" i="53"/>
  <c r="CF128" i="53"/>
  <c r="BX128" i="53"/>
  <c r="BP128" i="53"/>
  <c r="BH128" i="53"/>
  <c r="AZ128" i="53"/>
  <c r="AR128" i="53"/>
  <c r="AJ128" i="53"/>
  <c r="AB128" i="53"/>
  <c r="T128" i="53"/>
  <c r="L128" i="53"/>
  <c r="D128" i="53"/>
  <c r="CJ128" i="53"/>
  <c r="CB128" i="53"/>
  <c r="BT128" i="53"/>
  <c r="BL128" i="53"/>
  <c r="BD128" i="53"/>
  <c r="AV128" i="53"/>
  <c r="AN128" i="53"/>
  <c r="AF128" i="53"/>
  <c r="X128" i="53"/>
  <c r="P128" i="53"/>
  <c r="H128" i="53"/>
  <c r="BB101" i="53"/>
  <c r="BM128" i="53" l="1"/>
  <c r="BO128" i="53" s="1"/>
  <c r="BN129" i="53" s="1"/>
  <c r="BQ128" i="53"/>
  <c r="BS128" i="53" s="1"/>
  <c r="BR129" i="53" s="1"/>
  <c r="CC128" i="53"/>
  <c r="CE128" i="53" s="1"/>
  <c r="CD129" i="53" s="1"/>
  <c r="CO128" i="53"/>
  <c r="CQ128" i="53" s="1"/>
  <c r="CP129" i="53" s="1"/>
  <c r="CK128" i="53"/>
  <c r="CM128" i="53" s="1"/>
  <c r="CL129" i="53" s="1"/>
  <c r="CG128" i="53"/>
  <c r="CI128" i="53" s="1"/>
  <c r="CH129" i="53" s="1"/>
  <c r="AX117" i="53"/>
  <c r="AW117" i="53" s="1"/>
  <c r="AY117" i="53" s="1"/>
  <c r="BZ126" i="53"/>
  <c r="BY126" i="53" s="1"/>
  <c r="CA126" i="53" s="1"/>
  <c r="BV127" i="53"/>
  <c r="BU127" i="53" s="1"/>
  <c r="BW127" i="53" s="1"/>
  <c r="BF115" i="53"/>
  <c r="BE115" i="53" s="1"/>
  <c r="BG115" i="53" s="1"/>
  <c r="AT118" i="53"/>
  <c r="AS118" i="53" s="1"/>
  <c r="AU118" i="53" s="1"/>
  <c r="AO102" i="53"/>
  <c r="AG103" i="53"/>
  <c r="Z123" i="53"/>
  <c r="Y123" i="53" s="1"/>
  <c r="AA123" i="53" s="1"/>
  <c r="V104" i="53"/>
  <c r="CR128" i="53"/>
  <c r="J105" i="53"/>
  <c r="R125" i="53"/>
  <c r="Q125" i="53" s="1"/>
  <c r="S125" i="53" s="1"/>
  <c r="N126" i="53"/>
  <c r="M126" i="53" s="1"/>
  <c r="O126" i="53" s="1"/>
  <c r="CS100" i="53"/>
  <c r="BK100" i="53"/>
  <c r="CJ129" i="53"/>
  <c r="CB129" i="53"/>
  <c r="BT129" i="53"/>
  <c r="BL129" i="53"/>
  <c r="BD129" i="53"/>
  <c r="AV129" i="53"/>
  <c r="AN129" i="53"/>
  <c r="AF129" i="53"/>
  <c r="X129" i="53"/>
  <c r="P129" i="53"/>
  <c r="H129" i="53"/>
  <c r="CN129" i="53"/>
  <c r="AB129" i="53"/>
  <c r="CF129" i="53"/>
  <c r="T129" i="53"/>
  <c r="BX129" i="53"/>
  <c r="L129" i="53"/>
  <c r="BP129" i="53"/>
  <c r="D129" i="53"/>
  <c r="AJ129" i="53"/>
  <c r="BH129" i="53"/>
  <c r="C130" i="53"/>
  <c r="AZ129" i="53"/>
  <c r="AR129" i="53"/>
  <c r="AL120" i="53"/>
  <c r="AK120" i="53" s="1"/>
  <c r="AM120" i="53" s="1"/>
  <c r="BA101" i="53"/>
  <c r="AD122" i="53"/>
  <c r="AC122" i="53" s="1"/>
  <c r="AE122" i="53" s="1"/>
  <c r="G105" i="53"/>
  <c r="BM129" i="53" l="1"/>
  <c r="BO129" i="53" s="1"/>
  <c r="BN130" i="53" s="1"/>
  <c r="BQ129" i="53"/>
  <c r="BS129" i="53" s="1"/>
  <c r="BR130" i="53" s="1"/>
  <c r="CC129" i="53"/>
  <c r="CE129" i="53" s="1"/>
  <c r="CD130" i="53" s="1"/>
  <c r="CO129" i="53"/>
  <c r="CQ129" i="53" s="1"/>
  <c r="CP130" i="53" s="1"/>
  <c r="CK129" i="53"/>
  <c r="CM129" i="53" s="1"/>
  <c r="CL130" i="53" s="1"/>
  <c r="CG129" i="53"/>
  <c r="CI129" i="53" s="1"/>
  <c r="CH130" i="53" s="1"/>
  <c r="Z124" i="53"/>
  <c r="Y124" i="53" s="1"/>
  <c r="AA124" i="53" s="1"/>
  <c r="AX118" i="53"/>
  <c r="AW118" i="53" s="1"/>
  <c r="AY118" i="53" s="1"/>
  <c r="N127" i="53"/>
  <c r="M127" i="53" s="1"/>
  <c r="O127" i="53" s="1"/>
  <c r="R126" i="53"/>
  <c r="Q126" i="53" s="1"/>
  <c r="S126" i="53" s="1"/>
  <c r="BF116" i="53"/>
  <c r="BE116" i="53" s="1"/>
  <c r="BG116" i="53" s="1"/>
  <c r="BV128" i="53"/>
  <c r="BU128" i="53" s="1"/>
  <c r="BW128" i="53" s="1"/>
  <c r="AT119" i="53"/>
  <c r="AS119" i="53" s="1"/>
  <c r="AU119" i="53" s="1"/>
  <c r="AI103" i="53"/>
  <c r="CJ130" i="53"/>
  <c r="CB130" i="53"/>
  <c r="BT130" i="53"/>
  <c r="BL130" i="53"/>
  <c r="BD130" i="53"/>
  <c r="AV130" i="53"/>
  <c r="AN130" i="53"/>
  <c r="AF130" i="53"/>
  <c r="X130" i="53"/>
  <c r="P130" i="53"/>
  <c r="H130" i="53"/>
  <c r="C131" i="53"/>
  <c r="CN130" i="53"/>
  <c r="CF130" i="53"/>
  <c r="BX130" i="53"/>
  <c r="BP130" i="53"/>
  <c r="BH130" i="53"/>
  <c r="AZ130" i="53"/>
  <c r="AR130" i="53"/>
  <c r="AJ130" i="53"/>
  <c r="AB130" i="53"/>
  <c r="T130" i="53"/>
  <c r="L130" i="53"/>
  <c r="D130" i="53"/>
  <c r="AD123" i="53"/>
  <c r="AC123" i="53" s="1"/>
  <c r="AE123" i="53" s="1"/>
  <c r="BC101" i="53"/>
  <c r="CR129" i="53"/>
  <c r="I35" i="53" s="1"/>
  <c r="U104" i="53"/>
  <c r="F106" i="53"/>
  <c r="AL121" i="53"/>
  <c r="AK121" i="53" s="1"/>
  <c r="AM121" i="53" s="1"/>
  <c r="I105" i="53"/>
  <c r="AQ102" i="53"/>
  <c r="BZ127" i="53"/>
  <c r="BY127" i="53" s="1"/>
  <c r="CA127" i="53" s="1"/>
  <c r="BJ101" i="53"/>
  <c r="CU100" i="53"/>
  <c r="BM130" i="53" l="1"/>
  <c r="BO130" i="53" s="1"/>
  <c r="BN131" i="53" s="1"/>
  <c r="BQ130" i="53"/>
  <c r="BS130" i="53" s="1"/>
  <c r="BR131" i="53" s="1"/>
  <c r="CC130" i="53"/>
  <c r="CE130" i="53" s="1"/>
  <c r="CD131" i="53" s="1"/>
  <c r="CO130" i="53"/>
  <c r="CQ130" i="53" s="1"/>
  <c r="CP131" i="53" s="1"/>
  <c r="CK130" i="53"/>
  <c r="CM130" i="53" s="1"/>
  <c r="CL131" i="53" s="1"/>
  <c r="CG130" i="53"/>
  <c r="CI130" i="53" s="1"/>
  <c r="CH131" i="53" s="1"/>
  <c r="AT120" i="53"/>
  <c r="AS120" i="53" s="1"/>
  <c r="AU120" i="53" s="1"/>
  <c r="Z125" i="53"/>
  <c r="Y125" i="53" s="1"/>
  <c r="AA125" i="53" s="1"/>
  <c r="BV129" i="53"/>
  <c r="BU129" i="53" s="1"/>
  <c r="BW129" i="53" s="1"/>
  <c r="BZ128" i="53"/>
  <c r="BY128" i="53" s="1"/>
  <c r="CA128" i="53" s="1"/>
  <c r="AD124" i="53"/>
  <c r="AC124" i="53" s="1"/>
  <c r="AE124" i="53" s="1"/>
  <c r="BF117" i="53"/>
  <c r="BE117" i="53" s="1"/>
  <c r="BG117" i="53" s="1"/>
  <c r="R127" i="53"/>
  <c r="Q127" i="53" s="1"/>
  <c r="S127" i="53" s="1"/>
  <c r="N128" i="53"/>
  <c r="M128" i="53" s="1"/>
  <c r="O128" i="53" s="1"/>
  <c r="AL122" i="53"/>
  <c r="AK122" i="53" s="1"/>
  <c r="AM122" i="53" s="1"/>
  <c r="E106" i="53"/>
  <c r="BI101" i="53"/>
  <c r="CT101" i="53"/>
  <c r="CR130" i="53"/>
  <c r="K105" i="53"/>
  <c r="W104" i="53"/>
  <c r="AX119" i="53"/>
  <c r="AW119" i="53" s="1"/>
  <c r="AY119" i="53" s="1"/>
  <c r="CJ131" i="53"/>
  <c r="CB131" i="53"/>
  <c r="BT131" i="53"/>
  <c r="BL131" i="53"/>
  <c r="BD131" i="53"/>
  <c r="AV131" i="53"/>
  <c r="AN131" i="53"/>
  <c r="AF131" i="53"/>
  <c r="X131" i="53"/>
  <c r="P131" i="53"/>
  <c r="H131" i="53"/>
  <c r="C132" i="53"/>
  <c r="CN131" i="53"/>
  <c r="CF131" i="53"/>
  <c r="BX131" i="53"/>
  <c r="BP131" i="53"/>
  <c r="BH131" i="53"/>
  <c r="AZ131" i="53"/>
  <c r="AR131" i="53"/>
  <c r="AJ131" i="53"/>
  <c r="AB131" i="53"/>
  <c r="T131" i="53"/>
  <c r="L131" i="53"/>
  <c r="D131" i="53"/>
  <c r="I36" i="53"/>
  <c r="G46" i="15" s="1"/>
  <c r="I37" i="53"/>
  <c r="AH104" i="53"/>
  <c r="AP103" i="53"/>
  <c r="BB102" i="53"/>
  <c r="BM131" i="53" l="1"/>
  <c r="BO131" i="53" s="1"/>
  <c r="BN132" i="53" s="1"/>
  <c r="BQ131" i="53"/>
  <c r="BS131" i="53" s="1"/>
  <c r="BR132" i="53" s="1"/>
  <c r="CC131" i="53"/>
  <c r="CE131" i="53" s="1"/>
  <c r="CD132" i="53" s="1"/>
  <c r="CO131" i="53"/>
  <c r="CQ131" i="53" s="1"/>
  <c r="CP132" i="53" s="1"/>
  <c r="CK131" i="53"/>
  <c r="CM131" i="53" s="1"/>
  <c r="CL132" i="53" s="1"/>
  <c r="CG131" i="53"/>
  <c r="CI131" i="53" s="1"/>
  <c r="CH132" i="53" s="1"/>
  <c r="BF118" i="53"/>
  <c r="BE118" i="53" s="1"/>
  <c r="BG118" i="53" s="1"/>
  <c r="BZ129" i="53"/>
  <c r="BY129" i="53" s="1"/>
  <c r="CA129" i="53" s="1"/>
  <c r="N129" i="53"/>
  <c r="M129" i="53" s="1"/>
  <c r="O129" i="53" s="1"/>
  <c r="Z126" i="53"/>
  <c r="Y126" i="53" s="1"/>
  <c r="AA126" i="53" s="1"/>
  <c r="AD125" i="53"/>
  <c r="AC125" i="53" s="1"/>
  <c r="AE125" i="53" s="1"/>
  <c r="AX120" i="53"/>
  <c r="AW120" i="53" s="1"/>
  <c r="AY120" i="53" s="1"/>
  <c r="J106" i="53"/>
  <c r="CS101" i="53"/>
  <c r="BK101" i="53"/>
  <c r="CJ132" i="53"/>
  <c r="CB132" i="53"/>
  <c r="BT132" i="53"/>
  <c r="BL132" i="53"/>
  <c r="BD132" i="53"/>
  <c r="AV132" i="53"/>
  <c r="AN132" i="53"/>
  <c r="AF132" i="53"/>
  <c r="X132" i="53"/>
  <c r="P132" i="53"/>
  <c r="H132" i="53"/>
  <c r="C133" i="53"/>
  <c r="CN132" i="53"/>
  <c r="CF132" i="53"/>
  <c r="BX132" i="53"/>
  <c r="BP132" i="53"/>
  <c r="BH132" i="53"/>
  <c r="AZ132" i="53"/>
  <c r="AR132" i="53"/>
  <c r="AJ132" i="53"/>
  <c r="AB132" i="53"/>
  <c r="T132" i="53"/>
  <c r="L132" i="53"/>
  <c r="D132" i="53"/>
  <c r="AL123" i="53"/>
  <c r="AK123" i="53" s="1"/>
  <c r="AM123" i="53" s="1"/>
  <c r="AT121" i="53"/>
  <c r="AS121" i="53" s="1"/>
  <c r="AU121" i="53" s="1"/>
  <c r="AG104" i="53"/>
  <c r="AO103" i="53"/>
  <c r="CR131" i="53"/>
  <c r="R128" i="53"/>
  <c r="Q128" i="53" s="1"/>
  <c r="S128" i="53" s="1"/>
  <c r="BA102" i="53"/>
  <c r="G106" i="53"/>
  <c r="V105" i="53"/>
  <c r="BV130" i="53"/>
  <c r="BU130" i="53" s="1"/>
  <c r="BW130" i="53" s="1"/>
  <c r="BM132" i="53" l="1"/>
  <c r="BO132" i="53" s="1"/>
  <c r="BN133" i="53" s="1"/>
  <c r="BQ132" i="53"/>
  <c r="BS132" i="53" s="1"/>
  <c r="BR133" i="53" s="1"/>
  <c r="CC132" i="53"/>
  <c r="CE132" i="53" s="1"/>
  <c r="CD133" i="53" s="1"/>
  <c r="CO132" i="53"/>
  <c r="CQ132" i="53" s="1"/>
  <c r="CP133" i="53" s="1"/>
  <c r="CK132" i="53"/>
  <c r="CM132" i="53" s="1"/>
  <c r="CL133" i="53" s="1"/>
  <c r="CG132" i="53"/>
  <c r="CI132" i="53" s="1"/>
  <c r="CH133" i="53" s="1"/>
  <c r="AD126" i="53"/>
  <c r="AC126" i="53" s="1"/>
  <c r="AE126" i="53" s="1"/>
  <c r="N130" i="53"/>
  <c r="M130" i="53" s="1"/>
  <c r="O130" i="53" s="1"/>
  <c r="BV131" i="53"/>
  <c r="BU131" i="53" s="1"/>
  <c r="BW131" i="53" s="1"/>
  <c r="AT122" i="53"/>
  <c r="AS122" i="53" s="1"/>
  <c r="AU122" i="53" s="1"/>
  <c r="AX121" i="53"/>
  <c r="AW121" i="53" s="1"/>
  <c r="AY121" i="53" s="1"/>
  <c r="AL124" i="53"/>
  <c r="AK124" i="53" s="1"/>
  <c r="AM124" i="53" s="1"/>
  <c r="Z127" i="53"/>
  <c r="Y127" i="53" s="1"/>
  <c r="AA127" i="53" s="1"/>
  <c r="BF119" i="53"/>
  <c r="BE119" i="53" s="1"/>
  <c r="BG119" i="53" s="1"/>
  <c r="AQ103" i="53"/>
  <c r="I106" i="53"/>
  <c r="C134" i="53"/>
  <c r="CN133" i="53"/>
  <c r="CF133" i="53"/>
  <c r="BX133" i="53"/>
  <c r="BP133" i="53"/>
  <c r="BH133" i="53"/>
  <c r="AZ133" i="53"/>
  <c r="AR133" i="53"/>
  <c r="AJ133" i="53"/>
  <c r="AB133" i="53"/>
  <c r="T133" i="53"/>
  <c r="L133" i="53"/>
  <c r="D133" i="53"/>
  <c r="CJ133" i="53"/>
  <c r="X133" i="53"/>
  <c r="CB133" i="53"/>
  <c r="P133" i="53"/>
  <c r="BT133" i="53"/>
  <c r="H133" i="53"/>
  <c r="BL133" i="53"/>
  <c r="BM133" i="53" s="1"/>
  <c r="BO133" i="53" s="1"/>
  <c r="BN134" i="53" s="1"/>
  <c r="BD133" i="53"/>
  <c r="AV133" i="53"/>
  <c r="AN133" i="53"/>
  <c r="AF133" i="53"/>
  <c r="BJ102" i="53"/>
  <c r="CU101" i="53"/>
  <c r="U105" i="53"/>
  <c r="BC102" i="53"/>
  <c r="BZ130" i="53"/>
  <c r="BY130" i="53" s="1"/>
  <c r="CA130" i="53" s="1"/>
  <c r="R129" i="53"/>
  <c r="Q129" i="53" s="1"/>
  <c r="S129" i="53" s="1"/>
  <c r="AI104" i="53"/>
  <c r="F107" i="53"/>
  <c r="CR132" i="53"/>
  <c r="CC133" i="53" l="1"/>
  <c r="CE133" i="53" s="1"/>
  <c r="CD134" i="53" s="1"/>
  <c r="BQ133" i="53"/>
  <c r="BS133" i="53" s="1"/>
  <c r="BR134" i="53" s="1"/>
  <c r="CO133" i="53"/>
  <c r="CQ133" i="53" s="1"/>
  <c r="CP134" i="53" s="1"/>
  <c r="CK133" i="53"/>
  <c r="CM133" i="53" s="1"/>
  <c r="CL134" i="53" s="1"/>
  <c r="CG133" i="53"/>
  <c r="CI133" i="53" s="1"/>
  <c r="CH134" i="53" s="1"/>
  <c r="AX122" i="53"/>
  <c r="AW122" i="53" s="1"/>
  <c r="AY122" i="53" s="1"/>
  <c r="AT123" i="53"/>
  <c r="AS123" i="53" s="1"/>
  <c r="AU123" i="53" s="1"/>
  <c r="BV132" i="53"/>
  <c r="BU132" i="53" s="1"/>
  <c r="BW132" i="53" s="1"/>
  <c r="R130" i="53"/>
  <c r="Q130" i="53" s="1"/>
  <c r="S130" i="53" s="1"/>
  <c r="BZ131" i="53"/>
  <c r="BY131" i="53" s="1"/>
  <c r="CA131" i="53" s="1"/>
  <c r="BF120" i="53"/>
  <c r="BE120" i="53" s="1"/>
  <c r="BG120" i="53" s="1"/>
  <c r="Z128" i="53"/>
  <c r="Y128" i="53" s="1"/>
  <c r="AA128" i="53" s="1"/>
  <c r="AD127" i="53"/>
  <c r="AC127" i="53" s="1"/>
  <c r="AE127" i="53" s="1"/>
  <c r="E107" i="53"/>
  <c r="CR133" i="53"/>
  <c r="AP104" i="53"/>
  <c r="AL125" i="53"/>
  <c r="AK125" i="53" s="1"/>
  <c r="AM125" i="53" s="1"/>
  <c r="N131" i="53"/>
  <c r="M131" i="53" s="1"/>
  <c r="O131" i="53" s="1"/>
  <c r="BI102" i="53"/>
  <c r="CT102" i="53"/>
  <c r="AH105" i="53"/>
  <c r="C135" i="53"/>
  <c r="CN134" i="53"/>
  <c r="CF134" i="53"/>
  <c r="BX134" i="53"/>
  <c r="BP134" i="53"/>
  <c r="BQ134" i="53" s="1"/>
  <c r="BS134" i="53" s="1"/>
  <c r="BR135" i="53" s="1"/>
  <c r="BH134" i="53"/>
  <c r="AZ134" i="53"/>
  <c r="AR134" i="53"/>
  <c r="AJ134" i="53"/>
  <c r="AB134" i="53"/>
  <c r="T134" i="53"/>
  <c r="L134" i="53"/>
  <c r="D134" i="53"/>
  <c r="CJ134" i="53"/>
  <c r="CB134" i="53"/>
  <c r="BT134" i="53"/>
  <c r="BL134" i="53"/>
  <c r="BM134" i="53" s="1"/>
  <c r="BO134" i="53" s="1"/>
  <c r="BN135" i="53" s="1"/>
  <c r="BD134" i="53"/>
  <c r="AV134" i="53"/>
  <c r="AN134" i="53"/>
  <c r="AF134" i="53"/>
  <c r="X134" i="53"/>
  <c r="P134" i="53"/>
  <c r="H134" i="53"/>
  <c r="BB103" i="53"/>
  <c r="W105" i="53"/>
  <c r="K106" i="53"/>
  <c r="CC134" i="53" l="1"/>
  <c r="CE134" i="53" s="1"/>
  <c r="CD135" i="53" s="1"/>
  <c r="CO134" i="53"/>
  <c r="CQ134" i="53" s="1"/>
  <c r="CP135" i="53" s="1"/>
  <c r="CK134" i="53"/>
  <c r="CM134" i="53" s="1"/>
  <c r="CL135" i="53" s="1"/>
  <c r="CG134" i="53"/>
  <c r="CI134" i="53" s="1"/>
  <c r="CH135" i="53" s="1"/>
  <c r="BF121" i="53"/>
  <c r="BE121" i="53" s="1"/>
  <c r="BG121" i="53" s="1"/>
  <c r="Z129" i="53"/>
  <c r="Y129" i="53" s="1"/>
  <c r="AA129" i="53" s="1"/>
  <c r="AL126" i="53"/>
  <c r="AK126" i="53" s="1"/>
  <c r="AM126" i="53" s="1"/>
  <c r="R131" i="53"/>
  <c r="Q131" i="53" s="1"/>
  <c r="S131" i="53" s="1"/>
  <c r="AT124" i="53"/>
  <c r="AS124" i="53" s="1"/>
  <c r="AU124" i="53" s="1"/>
  <c r="BZ132" i="53"/>
  <c r="BY132" i="53" s="1"/>
  <c r="CA132" i="53" s="1"/>
  <c r="AD128" i="53"/>
  <c r="AC128" i="53" s="1"/>
  <c r="AE128" i="53" s="1"/>
  <c r="AX123" i="53"/>
  <c r="AW123" i="53" s="1"/>
  <c r="AY123" i="53" s="1"/>
  <c r="CS102" i="53"/>
  <c r="BK102" i="53"/>
  <c r="AO104" i="53"/>
  <c r="C136" i="53"/>
  <c r="CN135" i="53"/>
  <c r="CF135" i="53"/>
  <c r="BX135" i="53"/>
  <c r="BP135" i="53"/>
  <c r="BQ135" i="53" s="1"/>
  <c r="BS135" i="53" s="1"/>
  <c r="BR136" i="53" s="1"/>
  <c r="BH135" i="53"/>
  <c r="AZ135" i="53"/>
  <c r="AR135" i="53"/>
  <c r="AJ135" i="53"/>
  <c r="AB135" i="53"/>
  <c r="T135" i="53"/>
  <c r="L135" i="53"/>
  <c r="D135" i="53"/>
  <c r="CJ135" i="53"/>
  <c r="CB135" i="53"/>
  <c r="BT135" i="53"/>
  <c r="BL135" i="53"/>
  <c r="BM135" i="53" s="1"/>
  <c r="BO135" i="53" s="1"/>
  <c r="BN136" i="53" s="1"/>
  <c r="BD135" i="53"/>
  <c r="AV135" i="53"/>
  <c r="AN135" i="53"/>
  <c r="AF135" i="53"/>
  <c r="X135" i="53"/>
  <c r="P135" i="53"/>
  <c r="H135" i="53"/>
  <c r="BV133" i="53"/>
  <c r="BU133" i="53" s="1"/>
  <c r="BW133" i="53" s="1"/>
  <c r="G107" i="53"/>
  <c r="J107" i="53"/>
  <c r="CR134" i="53"/>
  <c r="N132" i="53"/>
  <c r="M132" i="53" s="1"/>
  <c r="O132" i="53" s="1"/>
  <c r="BA103" i="53"/>
  <c r="V106" i="53"/>
  <c r="AG105" i="53"/>
  <c r="CC135" i="53" l="1"/>
  <c r="CE135" i="53" s="1"/>
  <c r="CD136" i="53" s="1"/>
  <c r="CO135" i="53"/>
  <c r="CQ135" i="53" s="1"/>
  <c r="CP136" i="53" s="1"/>
  <c r="CK135" i="53"/>
  <c r="CM135" i="53" s="1"/>
  <c r="CL136" i="53" s="1"/>
  <c r="CG135" i="53"/>
  <c r="CI135" i="53" s="1"/>
  <c r="CH136" i="53" s="1"/>
  <c r="AD129" i="53"/>
  <c r="AC129" i="53" s="1"/>
  <c r="AE129" i="53" s="1"/>
  <c r="AT125" i="53"/>
  <c r="AS125" i="53" s="1"/>
  <c r="AU125" i="53" s="1"/>
  <c r="R132" i="53"/>
  <c r="Q132" i="53" s="1"/>
  <c r="S132" i="53" s="1"/>
  <c r="Z130" i="53"/>
  <c r="Y130" i="53" s="1"/>
  <c r="AA130" i="53" s="1"/>
  <c r="BZ133" i="53"/>
  <c r="BY133" i="53" s="1"/>
  <c r="CA133" i="53" s="1"/>
  <c r="N133" i="53"/>
  <c r="M133" i="53" s="1"/>
  <c r="O133" i="53" s="1"/>
  <c r="BV134" i="53"/>
  <c r="BU134" i="53" s="1"/>
  <c r="BW134" i="53" s="1"/>
  <c r="AX124" i="53"/>
  <c r="AW124" i="53" s="1"/>
  <c r="AY124" i="53" s="1"/>
  <c r="BF122" i="53"/>
  <c r="BE122" i="53" s="1"/>
  <c r="BG122" i="53" s="1"/>
  <c r="C137" i="53"/>
  <c r="CN136" i="53"/>
  <c r="CF136" i="53"/>
  <c r="BX136" i="53"/>
  <c r="BP136" i="53"/>
  <c r="BQ136" i="53" s="1"/>
  <c r="BS136" i="53" s="1"/>
  <c r="BR137" i="53" s="1"/>
  <c r="BH136" i="53"/>
  <c r="AZ136" i="53"/>
  <c r="AR136" i="53"/>
  <c r="AJ136" i="53"/>
  <c r="AB136" i="53"/>
  <c r="T136" i="53"/>
  <c r="L136" i="53"/>
  <c r="D136" i="53"/>
  <c r="CJ136" i="53"/>
  <c r="CB136" i="53"/>
  <c r="BT136" i="53"/>
  <c r="BL136" i="53"/>
  <c r="BM136" i="53" s="1"/>
  <c r="BO136" i="53" s="1"/>
  <c r="BN137" i="53" s="1"/>
  <c r="BD136" i="53"/>
  <c r="AV136" i="53"/>
  <c r="AN136" i="53"/>
  <c r="AF136" i="53"/>
  <c r="X136" i="53"/>
  <c r="P136" i="53"/>
  <c r="H136" i="53"/>
  <c r="AL127" i="53"/>
  <c r="AK127" i="53" s="1"/>
  <c r="AM127" i="53" s="1"/>
  <c r="F108" i="53"/>
  <c r="U106" i="53"/>
  <c r="AQ104" i="53"/>
  <c r="I107" i="53"/>
  <c r="CR135" i="53"/>
  <c r="BJ103" i="53"/>
  <c r="CU102" i="53"/>
  <c r="BC103" i="53"/>
  <c r="AI105" i="53"/>
  <c r="CC136" i="53" l="1"/>
  <c r="CE136" i="53" s="1"/>
  <c r="CD137" i="53" s="1"/>
  <c r="CO136" i="53"/>
  <c r="CQ136" i="53" s="1"/>
  <c r="CP137" i="53" s="1"/>
  <c r="CK136" i="53"/>
  <c r="CM136" i="53" s="1"/>
  <c r="CL137" i="53" s="1"/>
  <c r="CG136" i="53"/>
  <c r="CI136" i="53" s="1"/>
  <c r="CH137" i="53" s="1"/>
  <c r="BZ134" i="53"/>
  <c r="BY134" i="53" s="1"/>
  <c r="CA134" i="53" s="1"/>
  <c r="AL128" i="53"/>
  <c r="AK128" i="53" s="1"/>
  <c r="AM128" i="53" s="1"/>
  <c r="Z131" i="53"/>
  <c r="Y131" i="53" s="1"/>
  <c r="AA131" i="53" s="1"/>
  <c r="R133" i="53"/>
  <c r="Q133" i="53" s="1"/>
  <c r="S133" i="53" s="1"/>
  <c r="N134" i="53"/>
  <c r="M134" i="53" s="1"/>
  <c r="O134" i="53" s="1"/>
  <c r="AT126" i="53"/>
  <c r="AS126" i="53" s="1"/>
  <c r="AU126" i="53" s="1"/>
  <c r="BF123" i="53"/>
  <c r="BE123" i="53" s="1"/>
  <c r="BG123" i="53" s="1"/>
  <c r="BV135" i="53"/>
  <c r="BU135" i="53" s="1"/>
  <c r="BW135" i="53" s="1"/>
  <c r="AX125" i="53"/>
  <c r="AW125" i="53" s="1"/>
  <c r="AY125" i="53" s="1"/>
  <c r="CJ137" i="53"/>
  <c r="CB137" i="53"/>
  <c r="BT137" i="53"/>
  <c r="BL137" i="53"/>
  <c r="BM137" i="53" s="1"/>
  <c r="BO137" i="53" s="1"/>
  <c r="BN138" i="53" s="1"/>
  <c r="BD137" i="53"/>
  <c r="AV137" i="53"/>
  <c r="AN137" i="53"/>
  <c r="AF137" i="53"/>
  <c r="X137" i="53"/>
  <c r="P137" i="53"/>
  <c r="H137" i="53"/>
  <c r="CF137" i="53"/>
  <c r="T137" i="53"/>
  <c r="BX137" i="53"/>
  <c r="L137" i="53"/>
  <c r="BP137" i="53"/>
  <c r="BQ137" i="53" s="1"/>
  <c r="BS137" i="53" s="1"/>
  <c r="BR138" i="53" s="1"/>
  <c r="D137" i="53"/>
  <c r="AB137" i="53"/>
  <c r="BH137" i="53"/>
  <c r="AZ137" i="53"/>
  <c r="AR137" i="53"/>
  <c r="CN137" i="53"/>
  <c r="C138" i="53"/>
  <c r="AJ137" i="53"/>
  <c r="BB104" i="53"/>
  <c r="W106" i="53"/>
  <c r="K107" i="53"/>
  <c r="AP105" i="53"/>
  <c r="CR136" i="53"/>
  <c r="AH106" i="53"/>
  <c r="BI103" i="53"/>
  <c r="CT103" i="53"/>
  <c r="E108" i="53"/>
  <c r="AD130" i="53"/>
  <c r="AC130" i="53" s="1"/>
  <c r="AE130" i="53" s="1"/>
  <c r="CC137" i="53" l="1"/>
  <c r="CE137" i="53" s="1"/>
  <c r="CD138" i="53" s="1"/>
  <c r="CO137" i="53"/>
  <c r="CQ137" i="53" s="1"/>
  <c r="CP138" i="53" s="1"/>
  <c r="CK137" i="53"/>
  <c r="CM137" i="53" s="1"/>
  <c r="CL138" i="53" s="1"/>
  <c r="CG137" i="53"/>
  <c r="CI137" i="53" s="1"/>
  <c r="CH138" i="53" s="1"/>
  <c r="AD131" i="53"/>
  <c r="AC131" i="53" s="1"/>
  <c r="AE131" i="53" s="1"/>
  <c r="R134" i="53"/>
  <c r="Q134" i="53" s="1"/>
  <c r="S134" i="53" s="1"/>
  <c r="Z132" i="53"/>
  <c r="Y132" i="53" s="1"/>
  <c r="AA132" i="53" s="1"/>
  <c r="AT127" i="53"/>
  <c r="AS127" i="53" s="1"/>
  <c r="AU127" i="53" s="1"/>
  <c r="AX126" i="53"/>
  <c r="AW126" i="53" s="1"/>
  <c r="AY126" i="53" s="1"/>
  <c r="AL129" i="53"/>
  <c r="AK129" i="53" s="1"/>
  <c r="AM129" i="53" s="1"/>
  <c r="BV136" i="53"/>
  <c r="BU136" i="53" s="1"/>
  <c r="BW136" i="53" s="1"/>
  <c r="BF124" i="53"/>
  <c r="BE124" i="53" s="1"/>
  <c r="BG124" i="53" s="1"/>
  <c r="AO105" i="53"/>
  <c r="BA104" i="53"/>
  <c r="CR137" i="53"/>
  <c r="BK103" i="53"/>
  <c r="CS103" i="53"/>
  <c r="J108" i="53"/>
  <c r="V107" i="53"/>
  <c r="CJ138" i="53"/>
  <c r="CB138" i="53"/>
  <c r="BT138" i="53"/>
  <c r="BL138" i="53"/>
  <c r="BM138" i="53" s="1"/>
  <c r="BO138" i="53" s="1"/>
  <c r="BN139" i="53" s="1"/>
  <c r="BD138" i="53"/>
  <c r="AV138" i="53"/>
  <c r="AN138" i="53"/>
  <c r="AF138" i="53"/>
  <c r="X138" i="53"/>
  <c r="P138" i="53"/>
  <c r="H138" i="53"/>
  <c r="C139" i="53"/>
  <c r="CN138" i="53"/>
  <c r="CF138" i="53"/>
  <c r="BX138" i="53"/>
  <c r="BP138" i="53"/>
  <c r="BQ138" i="53" s="1"/>
  <c r="BS138" i="53" s="1"/>
  <c r="BR139" i="53" s="1"/>
  <c r="BH138" i="53"/>
  <c r="AZ138" i="53"/>
  <c r="AR138" i="53"/>
  <c r="AJ138" i="53"/>
  <c r="AB138" i="53"/>
  <c r="T138" i="53"/>
  <c r="L138" i="53"/>
  <c r="D138" i="53"/>
  <c r="G108" i="53"/>
  <c r="N135" i="53"/>
  <c r="M135" i="53" s="1"/>
  <c r="O135" i="53" s="1"/>
  <c r="BZ135" i="53"/>
  <c r="BY135" i="53" s="1"/>
  <c r="CA135" i="53" s="1"/>
  <c r="AG106" i="53"/>
  <c r="CC138" i="53" l="1"/>
  <c r="CE138" i="53" s="1"/>
  <c r="CD139" i="53" s="1"/>
  <c r="CO138" i="53"/>
  <c r="CQ138" i="53" s="1"/>
  <c r="CP139" i="53" s="1"/>
  <c r="CK138" i="53"/>
  <c r="CM138" i="53" s="1"/>
  <c r="CL139" i="53" s="1"/>
  <c r="CG138" i="53"/>
  <c r="CI138" i="53" s="1"/>
  <c r="CH139" i="53" s="1"/>
  <c r="AX127" i="53"/>
  <c r="AW127" i="53" s="1"/>
  <c r="AY127" i="53" s="1"/>
  <c r="R135" i="53"/>
  <c r="Q135" i="53" s="1"/>
  <c r="S135" i="53" s="1"/>
  <c r="AL130" i="53"/>
  <c r="AK130" i="53" s="1"/>
  <c r="AM130" i="53" s="1"/>
  <c r="N136" i="53"/>
  <c r="M136" i="53" s="1"/>
  <c r="O136" i="53" s="1"/>
  <c r="BF125" i="53"/>
  <c r="BE125" i="53" s="1"/>
  <c r="BG125" i="53" s="1"/>
  <c r="BZ136" i="53"/>
  <c r="BY136" i="53" s="1"/>
  <c r="CA136" i="53" s="1"/>
  <c r="AT128" i="53"/>
  <c r="AS128" i="53" s="1"/>
  <c r="AU128" i="53" s="1"/>
  <c r="BV137" i="53"/>
  <c r="BU137" i="53" s="1"/>
  <c r="BW137" i="53" s="1"/>
  <c r="I108" i="53"/>
  <c r="BC104" i="53"/>
  <c r="Z133" i="53"/>
  <c r="Y133" i="53" s="1"/>
  <c r="AA133" i="53" s="1"/>
  <c r="CJ139" i="53"/>
  <c r="CB139" i="53"/>
  <c r="BT139" i="53"/>
  <c r="BL139" i="53"/>
  <c r="BM139" i="53" s="1"/>
  <c r="BO139" i="53" s="1"/>
  <c r="BN140" i="53" s="1"/>
  <c r="BD139" i="53"/>
  <c r="AV139" i="53"/>
  <c r="AN139" i="53"/>
  <c r="AF139" i="53"/>
  <c r="X139" i="53"/>
  <c r="P139" i="53"/>
  <c r="H139" i="53"/>
  <c r="C140" i="53"/>
  <c r="CN139" i="53"/>
  <c r="CF139" i="53"/>
  <c r="BX139" i="53"/>
  <c r="BP139" i="53"/>
  <c r="BQ139" i="53" s="1"/>
  <c r="BS139" i="53" s="1"/>
  <c r="BR140" i="53" s="1"/>
  <c r="BH139" i="53"/>
  <c r="AZ139" i="53"/>
  <c r="AR139" i="53"/>
  <c r="AJ139" i="53"/>
  <c r="AB139" i="53"/>
  <c r="T139" i="53"/>
  <c r="L139" i="53"/>
  <c r="D139" i="53"/>
  <c r="BJ104" i="53"/>
  <c r="CU103" i="53"/>
  <c r="U107" i="53"/>
  <c r="AD132" i="53"/>
  <c r="AC132" i="53" s="1"/>
  <c r="AE132" i="53" s="1"/>
  <c r="AI106" i="53"/>
  <c r="F109" i="53"/>
  <c r="CR138" i="53"/>
  <c r="AQ105" i="53"/>
  <c r="CC139" i="53" l="1"/>
  <c r="CE139" i="53" s="1"/>
  <c r="CD140" i="53" s="1"/>
  <c r="CO139" i="53"/>
  <c r="CQ139" i="53" s="1"/>
  <c r="CP140" i="53" s="1"/>
  <c r="CK139" i="53"/>
  <c r="CM139" i="53" s="1"/>
  <c r="CL140" i="53" s="1"/>
  <c r="CG139" i="53"/>
  <c r="CI139" i="53" s="1"/>
  <c r="CH140" i="53" s="1"/>
  <c r="BF126" i="53"/>
  <c r="BE126" i="53" s="1"/>
  <c r="BG126" i="53" s="1"/>
  <c r="N137" i="53"/>
  <c r="M137" i="53" s="1"/>
  <c r="O137" i="53" s="1"/>
  <c r="Z134" i="53"/>
  <c r="Y134" i="53" s="1"/>
  <c r="AA134" i="53" s="1"/>
  <c r="AL131" i="53"/>
  <c r="AK131" i="53" s="1"/>
  <c r="AM131" i="53" s="1"/>
  <c r="R136" i="53"/>
  <c r="Q136" i="53" s="1"/>
  <c r="S136" i="53" s="1"/>
  <c r="AT129" i="53"/>
  <c r="AS129" i="53" s="1"/>
  <c r="AU129" i="53" s="1"/>
  <c r="BZ137" i="53"/>
  <c r="BY137" i="53" s="1"/>
  <c r="CA137" i="53" s="1"/>
  <c r="AD133" i="53"/>
  <c r="AC133" i="53" s="1"/>
  <c r="AE133" i="53" s="1"/>
  <c r="BV138" i="53"/>
  <c r="BU138" i="53" s="1"/>
  <c r="BW138" i="53" s="1"/>
  <c r="BB105" i="53"/>
  <c r="W107" i="53"/>
  <c r="AH107" i="53"/>
  <c r="CJ140" i="53"/>
  <c r="CB140" i="53"/>
  <c r="BT140" i="53"/>
  <c r="BL140" i="53"/>
  <c r="BM140" i="53" s="1"/>
  <c r="BO140" i="53" s="1"/>
  <c r="BN141" i="53" s="1"/>
  <c r="BD140" i="53"/>
  <c r="AV140" i="53"/>
  <c r="AN140" i="53"/>
  <c r="AF140" i="53"/>
  <c r="X140" i="53"/>
  <c r="P140" i="53"/>
  <c r="H140" i="53"/>
  <c r="C141" i="53"/>
  <c r="CN140" i="53"/>
  <c r="CF140" i="53"/>
  <c r="BX140" i="53"/>
  <c r="BP140" i="53"/>
  <c r="BQ140" i="53" s="1"/>
  <c r="BS140" i="53" s="1"/>
  <c r="BR141" i="53" s="1"/>
  <c r="BH140" i="53"/>
  <c r="AZ140" i="53"/>
  <c r="AR140" i="53"/>
  <c r="AJ140" i="53"/>
  <c r="AB140" i="53"/>
  <c r="T140" i="53"/>
  <c r="L140" i="53"/>
  <c r="D140" i="53"/>
  <c r="K108" i="53"/>
  <c r="E109" i="53"/>
  <c r="BI104" i="53"/>
  <c r="CT104" i="53"/>
  <c r="AX128" i="53"/>
  <c r="AW128" i="53" s="1"/>
  <c r="AY128" i="53" s="1"/>
  <c r="AP106" i="53"/>
  <c r="CR139" i="53"/>
  <c r="CC140" i="53" l="1"/>
  <c r="CE140" i="53" s="1"/>
  <c r="CD141" i="53" s="1"/>
  <c r="CO140" i="53"/>
  <c r="CQ140" i="53" s="1"/>
  <c r="CP141" i="53" s="1"/>
  <c r="CK140" i="53"/>
  <c r="CM140" i="53" s="1"/>
  <c r="CL141" i="53" s="1"/>
  <c r="CG140" i="53"/>
  <c r="CI140" i="53" s="1"/>
  <c r="CH141" i="53" s="1"/>
  <c r="AL132" i="53"/>
  <c r="AK132" i="53" s="1"/>
  <c r="AM132" i="53" s="1"/>
  <c r="AT130" i="53"/>
  <c r="AS130" i="53" s="1"/>
  <c r="AU130" i="53" s="1"/>
  <c r="AX129" i="53"/>
  <c r="AW129" i="53" s="1"/>
  <c r="AY129" i="53" s="1"/>
  <c r="Z135" i="53"/>
  <c r="Y135" i="53" s="1"/>
  <c r="AA135" i="53" s="1"/>
  <c r="N138" i="53"/>
  <c r="M138" i="53" s="1"/>
  <c r="O138" i="53" s="1"/>
  <c r="R137" i="53"/>
  <c r="Q137" i="53" s="1"/>
  <c r="S137" i="53" s="1"/>
  <c r="BV139" i="53"/>
  <c r="BU139" i="53" s="1"/>
  <c r="BW139" i="53" s="1"/>
  <c r="BZ138" i="53"/>
  <c r="BY138" i="53" s="1"/>
  <c r="CA138" i="53" s="1"/>
  <c r="AD134" i="53"/>
  <c r="AC134" i="53" s="1"/>
  <c r="AE134" i="53" s="1"/>
  <c r="AG107" i="53"/>
  <c r="BA105" i="53"/>
  <c r="G109" i="53"/>
  <c r="CR140" i="53"/>
  <c r="V108" i="53"/>
  <c r="J109" i="53"/>
  <c r="AO106" i="53"/>
  <c r="C142" i="53"/>
  <c r="CN141" i="53"/>
  <c r="CF141" i="53"/>
  <c r="BX141" i="53"/>
  <c r="BP141" i="53"/>
  <c r="BQ141" i="53" s="1"/>
  <c r="BS141" i="53" s="1"/>
  <c r="BR142" i="53" s="1"/>
  <c r="BH141" i="53"/>
  <c r="AZ141" i="53"/>
  <c r="AR141" i="53"/>
  <c r="AJ141" i="53"/>
  <c r="AB141" i="53"/>
  <c r="T141" i="53"/>
  <c r="L141" i="53"/>
  <c r="D141" i="53"/>
  <c r="CB141" i="53"/>
  <c r="P141" i="53"/>
  <c r="BT141" i="53"/>
  <c r="H141" i="53"/>
  <c r="CJ141" i="53"/>
  <c r="BL141" i="53"/>
  <c r="BM141" i="53" s="1"/>
  <c r="BO141" i="53" s="1"/>
  <c r="BN142" i="53" s="1"/>
  <c r="BD141" i="53"/>
  <c r="AV141" i="53"/>
  <c r="AN141" i="53"/>
  <c r="AF141" i="53"/>
  <c r="X141" i="53"/>
  <c r="BF127" i="53"/>
  <c r="BE127" i="53" s="1"/>
  <c r="BG127" i="53" s="1"/>
  <c r="CS104" i="53"/>
  <c r="BK104" i="53"/>
  <c r="CC141" i="53" l="1"/>
  <c r="CE141" i="53" s="1"/>
  <c r="CD142" i="53" s="1"/>
  <c r="CO141" i="53"/>
  <c r="CQ141" i="53" s="1"/>
  <c r="CP142" i="53" s="1"/>
  <c r="CK141" i="53"/>
  <c r="CM141" i="53" s="1"/>
  <c r="CL142" i="53" s="1"/>
  <c r="CG141" i="53"/>
  <c r="CI141" i="53" s="1"/>
  <c r="CH142" i="53" s="1"/>
  <c r="N139" i="53"/>
  <c r="M139" i="53" s="1"/>
  <c r="O139" i="53" s="1"/>
  <c r="R138" i="53"/>
  <c r="Q138" i="53" s="1"/>
  <c r="S138" i="53" s="1"/>
  <c r="Z136" i="53"/>
  <c r="Y136" i="53" s="1"/>
  <c r="AA136" i="53" s="1"/>
  <c r="AX130" i="53"/>
  <c r="AW130" i="53" s="1"/>
  <c r="AY130" i="53" s="1"/>
  <c r="BV140" i="53"/>
  <c r="BU140" i="53" s="1"/>
  <c r="BW140" i="53" s="1"/>
  <c r="AT131" i="53"/>
  <c r="AS131" i="53" s="1"/>
  <c r="AU131" i="53" s="1"/>
  <c r="BF128" i="53"/>
  <c r="BE128" i="53" s="1"/>
  <c r="BG128" i="53" s="1"/>
  <c r="AD135" i="53"/>
  <c r="AC135" i="53" s="1"/>
  <c r="AE135" i="53" s="1"/>
  <c r="BZ139" i="53"/>
  <c r="BY139" i="53" s="1"/>
  <c r="CA139" i="53" s="1"/>
  <c r="CR141" i="53"/>
  <c r="J35" i="53" s="1"/>
  <c r="I109" i="53"/>
  <c r="U108" i="53"/>
  <c r="AI107" i="53"/>
  <c r="AQ106" i="53"/>
  <c r="C143" i="53"/>
  <c r="CN142" i="53"/>
  <c r="CF142" i="53"/>
  <c r="BX142" i="53"/>
  <c r="BP142" i="53"/>
  <c r="BQ142" i="53" s="1"/>
  <c r="BS142" i="53" s="1"/>
  <c r="BR143" i="53" s="1"/>
  <c r="BH142" i="53"/>
  <c r="AZ142" i="53"/>
  <c r="AR142" i="53"/>
  <c r="AJ142" i="53"/>
  <c r="AB142" i="53"/>
  <c r="T142" i="53"/>
  <c r="L142" i="53"/>
  <c r="D142" i="53"/>
  <c r="CJ142" i="53"/>
  <c r="CB142" i="53"/>
  <c r="BT142" i="53"/>
  <c r="BL142" i="53"/>
  <c r="BM142" i="53" s="1"/>
  <c r="BO142" i="53" s="1"/>
  <c r="BN143" i="53" s="1"/>
  <c r="BD142" i="53"/>
  <c r="AV142" i="53"/>
  <c r="AN142" i="53"/>
  <c r="AF142" i="53"/>
  <c r="X142" i="53"/>
  <c r="P142" i="53"/>
  <c r="H142" i="53"/>
  <c r="F110" i="53"/>
  <c r="BJ105" i="53"/>
  <c r="CU104" i="53"/>
  <c r="AL133" i="53"/>
  <c r="AK133" i="53" s="1"/>
  <c r="AM133" i="53" s="1"/>
  <c r="BC105" i="53"/>
  <c r="CC142" i="53" l="1"/>
  <c r="CE142" i="53" s="1"/>
  <c r="CD143" i="53" s="1"/>
  <c r="CO142" i="53"/>
  <c r="CQ142" i="53" s="1"/>
  <c r="CP143" i="53" s="1"/>
  <c r="CK142" i="53"/>
  <c r="CM142" i="53" s="1"/>
  <c r="CL143" i="53" s="1"/>
  <c r="CG142" i="53"/>
  <c r="CI142" i="53" s="1"/>
  <c r="CH143" i="53" s="1"/>
  <c r="AL134" i="53"/>
  <c r="AK134" i="53" s="1"/>
  <c r="AM134" i="53" s="1"/>
  <c r="BF129" i="53"/>
  <c r="BE129" i="53" s="1"/>
  <c r="BG129" i="53" s="1"/>
  <c r="BV141" i="53"/>
  <c r="BU141" i="53" s="1"/>
  <c r="BW141" i="53" s="1"/>
  <c r="AX131" i="53"/>
  <c r="AW131" i="53" s="1"/>
  <c r="AY131" i="53" s="1"/>
  <c r="AT132" i="53"/>
  <c r="AS132" i="53" s="1"/>
  <c r="AU132" i="53" s="1"/>
  <c r="BZ140" i="53"/>
  <c r="BY140" i="53" s="1"/>
  <c r="CA140" i="53" s="1"/>
  <c r="R139" i="53"/>
  <c r="Q139" i="53" s="1"/>
  <c r="S139" i="53" s="1"/>
  <c r="AD136" i="53"/>
  <c r="AC136" i="53" s="1"/>
  <c r="AE136" i="53" s="1"/>
  <c r="N140" i="53"/>
  <c r="M140" i="53" s="1"/>
  <c r="O140" i="53" s="1"/>
  <c r="BI105" i="53"/>
  <c r="CT105" i="53"/>
  <c r="G26" i="53" s="1"/>
  <c r="E45" i="15" s="1"/>
  <c r="AP107" i="53"/>
  <c r="W108" i="53"/>
  <c r="K109" i="53"/>
  <c r="Z137" i="53"/>
  <c r="Y137" i="53" s="1"/>
  <c r="AA137" i="53" s="1"/>
  <c r="C144" i="53"/>
  <c r="CN143" i="53"/>
  <c r="CF143" i="53"/>
  <c r="BX143" i="53"/>
  <c r="BP143" i="53"/>
  <c r="BQ143" i="53" s="1"/>
  <c r="BS143" i="53" s="1"/>
  <c r="BR144" i="53" s="1"/>
  <c r="BH143" i="53"/>
  <c r="AZ143" i="53"/>
  <c r="AR143" i="53"/>
  <c r="AJ143" i="53"/>
  <c r="AB143" i="53"/>
  <c r="T143" i="53"/>
  <c r="L143" i="53"/>
  <c r="D143" i="53"/>
  <c r="CJ143" i="53"/>
  <c r="CB143" i="53"/>
  <c r="BT143" i="53"/>
  <c r="BL143" i="53"/>
  <c r="BM143" i="53" s="1"/>
  <c r="BO143" i="53" s="1"/>
  <c r="BN144" i="53" s="1"/>
  <c r="BD143" i="53"/>
  <c r="AV143" i="53"/>
  <c r="AN143" i="53"/>
  <c r="AF143" i="53"/>
  <c r="X143" i="53"/>
  <c r="P143" i="53"/>
  <c r="H143" i="53"/>
  <c r="E110" i="53"/>
  <c r="J37" i="53"/>
  <c r="AH108" i="53"/>
  <c r="BB106" i="53"/>
  <c r="CR142" i="53"/>
  <c r="CC143" i="53" l="1"/>
  <c r="CE143" i="53" s="1"/>
  <c r="CD144" i="53" s="1"/>
  <c r="CO143" i="53"/>
  <c r="CQ143" i="53" s="1"/>
  <c r="CP144" i="53" s="1"/>
  <c r="CK143" i="53"/>
  <c r="CM143" i="53" s="1"/>
  <c r="CL144" i="53" s="1"/>
  <c r="CG143" i="53"/>
  <c r="CI143" i="53" s="1"/>
  <c r="CH144" i="53" s="1"/>
  <c r="AT133" i="53"/>
  <c r="AS133" i="53" s="1"/>
  <c r="AU133" i="53" s="1"/>
  <c r="N141" i="53"/>
  <c r="M141" i="53" s="1"/>
  <c r="O141" i="53" s="1"/>
  <c r="AD137" i="53"/>
  <c r="AC137" i="53" s="1"/>
  <c r="AE137" i="53" s="1"/>
  <c r="Z138" i="53"/>
  <c r="Y138" i="53" s="1"/>
  <c r="AA138" i="53" s="1"/>
  <c r="R140" i="53"/>
  <c r="Q140" i="53" s="1"/>
  <c r="S140" i="53" s="1"/>
  <c r="AX132" i="53"/>
  <c r="AW132" i="53" s="1"/>
  <c r="AY132" i="53" s="1"/>
  <c r="AL135" i="53"/>
  <c r="AK135" i="53" s="1"/>
  <c r="AM135" i="53" s="1"/>
  <c r="CR143" i="53"/>
  <c r="J110" i="53"/>
  <c r="AO107" i="53"/>
  <c r="BV142" i="53"/>
  <c r="BU142" i="53" s="1"/>
  <c r="BW142" i="53" s="1"/>
  <c r="AG108" i="53"/>
  <c r="C145" i="53"/>
  <c r="CN144" i="53"/>
  <c r="CF144" i="53"/>
  <c r="BX144" i="53"/>
  <c r="BP144" i="53"/>
  <c r="BQ144" i="53" s="1"/>
  <c r="BS144" i="53" s="1"/>
  <c r="BR145" i="53" s="1"/>
  <c r="BH144" i="53"/>
  <c r="AZ144" i="53"/>
  <c r="AR144" i="53"/>
  <c r="AJ144" i="53"/>
  <c r="AB144" i="53"/>
  <c r="T144" i="53"/>
  <c r="L144" i="53"/>
  <c r="D144" i="53"/>
  <c r="CJ144" i="53"/>
  <c r="CB144" i="53"/>
  <c r="CC144" i="53" s="1"/>
  <c r="CE144" i="53" s="1"/>
  <c r="CD145" i="53" s="1"/>
  <c r="BT144" i="53"/>
  <c r="BL144" i="53"/>
  <c r="BM144" i="53" s="1"/>
  <c r="BO144" i="53" s="1"/>
  <c r="BN145" i="53" s="1"/>
  <c r="BD144" i="53"/>
  <c r="AV144" i="53"/>
  <c r="AN144" i="53"/>
  <c r="AF144" i="53"/>
  <c r="X144" i="53"/>
  <c r="P144" i="53"/>
  <c r="H144" i="53"/>
  <c r="BZ141" i="53"/>
  <c r="BY141" i="53" s="1"/>
  <c r="CA141" i="53" s="1"/>
  <c r="BF130" i="53"/>
  <c r="BE130" i="53" s="1"/>
  <c r="BG130" i="53" s="1"/>
  <c r="V109" i="53"/>
  <c r="BK105" i="53"/>
  <c r="CS105" i="53"/>
  <c r="G25" i="53" s="1"/>
  <c r="BA106" i="53"/>
  <c r="G110" i="53"/>
  <c r="CO144" i="53" l="1"/>
  <c r="CQ144" i="53" s="1"/>
  <c r="CP145" i="53" s="1"/>
  <c r="CK144" i="53"/>
  <c r="CM144" i="53" s="1"/>
  <c r="CL145" i="53" s="1"/>
  <c r="CG144" i="53"/>
  <c r="CI144" i="53" s="1"/>
  <c r="CH145" i="53" s="1"/>
  <c r="AX133" i="53"/>
  <c r="AW133" i="53" s="1"/>
  <c r="AY133" i="53" s="1"/>
  <c r="R141" i="53"/>
  <c r="Q141" i="53" s="1"/>
  <c r="S141" i="53" s="1"/>
  <c r="Z139" i="53"/>
  <c r="Y139" i="53" s="1"/>
  <c r="AA139" i="53" s="1"/>
  <c r="N142" i="53"/>
  <c r="M142" i="53" s="1"/>
  <c r="O142" i="53" s="1"/>
  <c r="AL136" i="53"/>
  <c r="AK136" i="53" s="1"/>
  <c r="AM136" i="53" s="1"/>
  <c r="AT134" i="53"/>
  <c r="AS134" i="53" s="1"/>
  <c r="AU134" i="53" s="1"/>
  <c r="CR144" i="53"/>
  <c r="BC106" i="53"/>
  <c r="AQ107" i="53"/>
  <c r="AI108" i="53"/>
  <c r="AD138" i="53"/>
  <c r="AC138" i="53" s="1"/>
  <c r="AE138" i="53" s="1"/>
  <c r="BV143" i="53"/>
  <c r="BU143" i="53" s="1"/>
  <c r="BW143" i="53" s="1"/>
  <c r="BZ142" i="53"/>
  <c r="BY142" i="53" s="1"/>
  <c r="CA142" i="53" s="1"/>
  <c r="CJ145" i="53"/>
  <c r="CB145" i="53"/>
  <c r="CC145" i="53" s="1"/>
  <c r="CE145" i="53" s="1"/>
  <c r="CD146" i="53" s="1"/>
  <c r="BT145" i="53"/>
  <c r="BL145" i="53"/>
  <c r="BM145" i="53" s="1"/>
  <c r="BO145" i="53" s="1"/>
  <c r="BN146" i="53" s="1"/>
  <c r="BD145" i="53"/>
  <c r="AV145" i="53"/>
  <c r="AN145" i="53"/>
  <c r="AF145" i="53"/>
  <c r="X145" i="53"/>
  <c r="P145" i="53"/>
  <c r="H145" i="53"/>
  <c r="BX145" i="53"/>
  <c r="L145" i="53"/>
  <c r="BP145" i="53"/>
  <c r="BQ145" i="53" s="1"/>
  <c r="BS145" i="53" s="1"/>
  <c r="BR146" i="53" s="1"/>
  <c r="D145" i="53"/>
  <c r="CF145" i="53"/>
  <c r="BH145" i="53"/>
  <c r="AZ145" i="53"/>
  <c r="AR145" i="53"/>
  <c r="T145" i="53"/>
  <c r="C146" i="53"/>
  <c r="AJ145" i="53"/>
  <c r="CN145" i="53"/>
  <c r="AB145" i="53"/>
  <c r="I110" i="53"/>
  <c r="BF131" i="53"/>
  <c r="BE131" i="53" s="1"/>
  <c r="BG131" i="53" s="1"/>
  <c r="F111" i="53"/>
  <c r="U109" i="53"/>
  <c r="BJ106" i="53"/>
  <c r="CU105" i="53"/>
  <c r="CO145" i="53" l="1"/>
  <c r="CQ145" i="53" s="1"/>
  <c r="CP146" i="53" s="1"/>
  <c r="CK145" i="53"/>
  <c r="CM145" i="53" s="1"/>
  <c r="CL146" i="53" s="1"/>
  <c r="CG145" i="53"/>
  <c r="CI145" i="53" s="1"/>
  <c r="CH146" i="53" s="1"/>
  <c r="AL137" i="53"/>
  <c r="AK137" i="53" s="1"/>
  <c r="AM137" i="53" s="1"/>
  <c r="N143" i="53"/>
  <c r="M143" i="53" s="1"/>
  <c r="O143" i="53" s="1"/>
  <c r="AT135" i="53"/>
  <c r="AS135" i="53" s="1"/>
  <c r="AU135" i="53" s="1"/>
  <c r="BZ143" i="53"/>
  <c r="BY143" i="53" s="1"/>
  <c r="CA143" i="53" s="1"/>
  <c r="Z140" i="53"/>
  <c r="Y140" i="53" s="1"/>
  <c r="AA140" i="53" s="1"/>
  <c r="BV144" i="53"/>
  <c r="BU144" i="53" s="1"/>
  <c r="BW144" i="53" s="1"/>
  <c r="R142" i="53"/>
  <c r="Q142" i="53" s="1"/>
  <c r="S142" i="53" s="1"/>
  <c r="AD139" i="53"/>
  <c r="AC139" i="53" s="1"/>
  <c r="AE139" i="53" s="1"/>
  <c r="AX134" i="53"/>
  <c r="AW134" i="53" s="1"/>
  <c r="AY134" i="53" s="1"/>
  <c r="CR145" i="53"/>
  <c r="AP108" i="53"/>
  <c r="CJ146" i="53"/>
  <c r="CB146" i="53"/>
  <c r="CC146" i="53" s="1"/>
  <c r="CE146" i="53" s="1"/>
  <c r="CD147" i="53" s="1"/>
  <c r="BT146" i="53"/>
  <c r="BL146" i="53"/>
  <c r="BM146" i="53" s="1"/>
  <c r="BO146" i="53" s="1"/>
  <c r="BN147" i="53" s="1"/>
  <c r="BD146" i="53"/>
  <c r="CN146" i="53"/>
  <c r="BP146" i="53"/>
  <c r="BQ146" i="53" s="1"/>
  <c r="BS146" i="53" s="1"/>
  <c r="BR147" i="53" s="1"/>
  <c r="AV146" i="53"/>
  <c r="AN146" i="53"/>
  <c r="AF146" i="53"/>
  <c r="X146" i="53"/>
  <c r="P146" i="53"/>
  <c r="H146" i="53"/>
  <c r="CF146" i="53"/>
  <c r="C147" i="53"/>
  <c r="BX146" i="53"/>
  <c r="AZ146" i="53"/>
  <c r="AR146" i="53"/>
  <c r="AJ146" i="53"/>
  <c r="AB146" i="53"/>
  <c r="T146" i="53"/>
  <c r="L146" i="53"/>
  <c r="D146" i="53"/>
  <c r="BH146" i="53"/>
  <c r="BF132" i="53"/>
  <c r="BE132" i="53" s="1"/>
  <c r="BG132" i="53" s="1"/>
  <c r="BI106" i="53"/>
  <c r="CT106" i="53"/>
  <c r="E111" i="53"/>
  <c r="K110" i="53"/>
  <c r="W109" i="53"/>
  <c r="AH109" i="53"/>
  <c r="BB107" i="53"/>
  <c r="CO146" i="53" l="1"/>
  <c r="CQ146" i="53" s="1"/>
  <c r="CP147" i="53" s="1"/>
  <c r="CK146" i="53"/>
  <c r="CM146" i="53" s="1"/>
  <c r="CL147" i="53" s="1"/>
  <c r="CG146" i="53"/>
  <c r="CI146" i="53" s="1"/>
  <c r="CH147" i="53" s="1"/>
  <c r="BV145" i="53"/>
  <c r="BU145" i="53" s="1"/>
  <c r="BW145" i="53" s="1"/>
  <c r="BZ144" i="53"/>
  <c r="BY144" i="53" s="1"/>
  <c r="CA144" i="53" s="1"/>
  <c r="Z141" i="53"/>
  <c r="Y141" i="53" s="1"/>
  <c r="AA141" i="53" s="1"/>
  <c r="AX135" i="53"/>
  <c r="AW135" i="53" s="1"/>
  <c r="AY135" i="53" s="1"/>
  <c r="N144" i="53"/>
  <c r="M144" i="53" s="1"/>
  <c r="O144" i="53" s="1"/>
  <c r="BF133" i="53"/>
  <c r="BE133" i="53" s="1"/>
  <c r="BG133" i="53" s="1"/>
  <c r="AD140" i="53"/>
  <c r="AC140" i="53" s="1"/>
  <c r="AE140" i="53" s="1"/>
  <c r="R143" i="53"/>
  <c r="Q143" i="53" s="1"/>
  <c r="S143" i="53" s="1"/>
  <c r="G111" i="53"/>
  <c r="CR146" i="53"/>
  <c r="CJ147" i="53"/>
  <c r="CB147" i="53"/>
  <c r="CC147" i="53" s="1"/>
  <c r="CE147" i="53" s="1"/>
  <c r="CD148" i="53" s="1"/>
  <c r="BT147" i="53"/>
  <c r="BL147" i="53"/>
  <c r="BM147" i="53" s="1"/>
  <c r="BO147" i="53" s="1"/>
  <c r="BN148" i="53" s="1"/>
  <c r="BD147" i="53"/>
  <c r="AV147" i="53"/>
  <c r="AN147" i="53"/>
  <c r="AF147" i="53"/>
  <c r="X147" i="53"/>
  <c r="P147" i="53"/>
  <c r="H147" i="53"/>
  <c r="C148" i="53"/>
  <c r="CN147" i="53"/>
  <c r="CF147" i="53"/>
  <c r="BX147" i="53"/>
  <c r="BP147" i="53"/>
  <c r="BQ147" i="53" s="1"/>
  <c r="BS147" i="53" s="1"/>
  <c r="BR148" i="53" s="1"/>
  <c r="BH147" i="53"/>
  <c r="AZ147" i="53"/>
  <c r="AR147" i="53"/>
  <c r="AJ147" i="53"/>
  <c r="AB147" i="53"/>
  <c r="T147" i="53"/>
  <c r="L147" i="53"/>
  <c r="D147" i="53"/>
  <c r="AT136" i="53"/>
  <c r="AS136" i="53" s="1"/>
  <c r="AU136" i="53" s="1"/>
  <c r="V110" i="53"/>
  <c r="AO108" i="53"/>
  <c r="BK106" i="53"/>
  <c r="CS106" i="53"/>
  <c r="BA107" i="53"/>
  <c r="J111" i="53"/>
  <c r="AL138" i="53"/>
  <c r="AK138" i="53" s="1"/>
  <c r="AM138" i="53" s="1"/>
  <c r="AG109" i="53"/>
  <c r="CO147" i="53" l="1"/>
  <c r="CQ147" i="53" s="1"/>
  <c r="CP148" i="53" s="1"/>
  <c r="CG147" i="53"/>
  <c r="CI147" i="53" s="1"/>
  <c r="CH148" i="53" s="1"/>
  <c r="CK147" i="53"/>
  <c r="CM147" i="53" s="1"/>
  <c r="CL148" i="53" s="1"/>
  <c r="AL139" i="53"/>
  <c r="AK139" i="53" s="1"/>
  <c r="AM139" i="53" s="1"/>
  <c r="N145" i="53"/>
  <c r="M145" i="53" s="1"/>
  <c r="O145" i="53" s="1"/>
  <c r="R144" i="53"/>
  <c r="Q144" i="53" s="1"/>
  <c r="S144" i="53" s="1"/>
  <c r="BF134" i="53"/>
  <c r="BE134" i="53" s="1"/>
  <c r="BG134" i="53" s="1"/>
  <c r="AX136" i="53"/>
  <c r="AW136" i="53" s="1"/>
  <c r="AY136" i="53" s="1"/>
  <c r="AT137" i="53"/>
  <c r="AS137" i="53" s="1"/>
  <c r="AU137" i="53" s="1"/>
  <c r="BV146" i="53"/>
  <c r="BU146" i="53" s="1"/>
  <c r="BW146" i="53" s="1"/>
  <c r="CJ148" i="53"/>
  <c r="CB148" i="53"/>
  <c r="CC148" i="53" s="1"/>
  <c r="CE148" i="53" s="1"/>
  <c r="CD149" i="53" s="1"/>
  <c r="BT148" i="53"/>
  <c r="BL148" i="53"/>
  <c r="BM148" i="53" s="1"/>
  <c r="BO148" i="53" s="1"/>
  <c r="BN149" i="53" s="1"/>
  <c r="BD148" i="53"/>
  <c r="AV148" i="53"/>
  <c r="AN148" i="53"/>
  <c r="AF148" i="53"/>
  <c r="X148" i="53"/>
  <c r="P148" i="53"/>
  <c r="H148" i="53"/>
  <c r="C149" i="53"/>
  <c r="CN148" i="53"/>
  <c r="CF148" i="53"/>
  <c r="BX148" i="53"/>
  <c r="BP148" i="53"/>
  <c r="BQ148" i="53" s="1"/>
  <c r="BS148" i="53" s="1"/>
  <c r="BR149" i="53" s="1"/>
  <c r="BH148" i="53"/>
  <c r="AZ148" i="53"/>
  <c r="AR148" i="53"/>
  <c r="AJ148" i="53"/>
  <c r="AB148" i="53"/>
  <c r="T148" i="53"/>
  <c r="L148" i="53"/>
  <c r="D148" i="53"/>
  <c r="AD141" i="53"/>
  <c r="AC141" i="53" s="1"/>
  <c r="AE141" i="53" s="1"/>
  <c r="Z142" i="53"/>
  <c r="Y142" i="53" s="1"/>
  <c r="AA142" i="53" s="1"/>
  <c r="U110" i="53"/>
  <c r="BZ145" i="53"/>
  <c r="BY145" i="53" s="1"/>
  <c r="CA145" i="53" s="1"/>
  <c r="BJ107" i="53"/>
  <c r="CU106" i="53"/>
  <c r="I111" i="53"/>
  <c r="AQ108" i="53"/>
  <c r="AI109" i="53"/>
  <c r="CR147" i="53"/>
  <c r="F112" i="53"/>
  <c r="BC107" i="53"/>
  <c r="CO148" i="53" l="1"/>
  <c r="CQ148" i="53" s="1"/>
  <c r="CP149" i="53" s="1"/>
  <c r="CG148" i="53"/>
  <c r="CI148" i="53" s="1"/>
  <c r="CH149" i="53" s="1"/>
  <c r="CK148" i="53"/>
  <c r="CM148" i="53" s="1"/>
  <c r="CL149" i="53" s="1"/>
  <c r="BF135" i="53"/>
  <c r="BE135" i="53" s="1"/>
  <c r="BG135" i="53" s="1"/>
  <c r="BV147" i="53"/>
  <c r="BU147" i="53" s="1"/>
  <c r="BW147" i="53" s="1"/>
  <c r="BZ146" i="53"/>
  <c r="BY146" i="53" s="1"/>
  <c r="CA146" i="53" s="1"/>
  <c r="R145" i="53"/>
  <c r="Q145" i="53" s="1"/>
  <c r="S145" i="53" s="1"/>
  <c r="AD142" i="53"/>
  <c r="AC142" i="53" s="1"/>
  <c r="AE142" i="53" s="1"/>
  <c r="AT138" i="53"/>
  <c r="AS138" i="53" s="1"/>
  <c r="AU138" i="53" s="1"/>
  <c r="AX137" i="53"/>
  <c r="AW137" i="53" s="1"/>
  <c r="AY137" i="53" s="1"/>
  <c r="Z143" i="53"/>
  <c r="Y143" i="53" s="1"/>
  <c r="AA143" i="53" s="1"/>
  <c r="AL140" i="53"/>
  <c r="AK140" i="53" s="1"/>
  <c r="AM140" i="53" s="1"/>
  <c r="CR148" i="53"/>
  <c r="E112" i="53"/>
  <c r="K111" i="53"/>
  <c r="CJ149" i="53"/>
  <c r="CB149" i="53"/>
  <c r="CC149" i="53" s="1"/>
  <c r="CE149" i="53" s="1"/>
  <c r="CD150" i="53" s="1"/>
  <c r="BT149" i="53"/>
  <c r="BL149" i="53"/>
  <c r="BM149" i="53" s="1"/>
  <c r="BO149" i="53" s="1"/>
  <c r="BN150" i="53" s="1"/>
  <c r="BD149" i="53"/>
  <c r="AV149" i="53"/>
  <c r="AN149" i="53"/>
  <c r="AF149" i="53"/>
  <c r="X149" i="53"/>
  <c r="P149" i="53"/>
  <c r="H149" i="53"/>
  <c r="C150" i="53"/>
  <c r="CN149" i="53"/>
  <c r="CF149" i="53"/>
  <c r="BX149" i="53"/>
  <c r="BP149" i="53"/>
  <c r="BQ149" i="53" s="1"/>
  <c r="BS149" i="53" s="1"/>
  <c r="BR150" i="53" s="1"/>
  <c r="BH149" i="53"/>
  <c r="AZ149" i="53"/>
  <c r="AR149" i="53"/>
  <c r="AJ149" i="53"/>
  <c r="AB149" i="53"/>
  <c r="T149" i="53"/>
  <c r="L149" i="53"/>
  <c r="D149" i="53"/>
  <c r="N146" i="53"/>
  <c r="M146" i="53" s="1"/>
  <c r="O146" i="53" s="1"/>
  <c r="AP109" i="53"/>
  <c r="W110" i="53"/>
  <c r="BB108" i="53"/>
  <c r="AH110" i="53"/>
  <c r="BI107" i="53"/>
  <c r="CT107" i="53"/>
  <c r="CO149" i="53" l="1"/>
  <c r="CQ149" i="53" s="1"/>
  <c r="CP150" i="53" s="1"/>
  <c r="CK149" i="53"/>
  <c r="CM149" i="53" s="1"/>
  <c r="CL150" i="53" s="1"/>
  <c r="CG149" i="53"/>
  <c r="CI149" i="53" s="1"/>
  <c r="CH150" i="53" s="1"/>
  <c r="AX138" i="53"/>
  <c r="AW138" i="53" s="1"/>
  <c r="AY138" i="53" s="1"/>
  <c r="AD143" i="53"/>
  <c r="AC143" i="53" s="1"/>
  <c r="AE143" i="53" s="1"/>
  <c r="AL141" i="53"/>
  <c r="AK141" i="53" s="1"/>
  <c r="AM141" i="53" s="1"/>
  <c r="BV148" i="53"/>
  <c r="BU148" i="53" s="1"/>
  <c r="BW148" i="53" s="1"/>
  <c r="AT139" i="53"/>
  <c r="AS139" i="53" s="1"/>
  <c r="AU139" i="53" s="1"/>
  <c r="R146" i="53"/>
  <c r="Q146" i="53" s="1"/>
  <c r="S146" i="53" s="1"/>
  <c r="Z144" i="53"/>
  <c r="Y144" i="53" s="1"/>
  <c r="AA144" i="53" s="1"/>
  <c r="BF136" i="53"/>
  <c r="BE136" i="53" s="1"/>
  <c r="BG136" i="53" s="1"/>
  <c r="V111" i="53"/>
  <c r="J112" i="53"/>
  <c r="AG110" i="53"/>
  <c r="BZ147" i="53"/>
  <c r="BY147" i="53" s="1"/>
  <c r="CA147" i="53" s="1"/>
  <c r="CR149" i="53"/>
  <c r="AO109" i="53"/>
  <c r="G112" i="53"/>
  <c r="N147" i="53"/>
  <c r="M147" i="53" s="1"/>
  <c r="O147" i="53" s="1"/>
  <c r="BA108" i="53"/>
  <c r="CS107" i="53"/>
  <c r="BK107" i="53"/>
  <c r="C151" i="53"/>
  <c r="CN150" i="53"/>
  <c r="CF150" i="53"/>
  <c r="BX150" i="53"/>
  <c r="BP150" i="53"/>
  <c r="BQ150" i="53" s="1"/>
  <c r="BS150" i="53" s="1"/>
  <c r="BR151" i="53" s="1"/>
  <c r="BH150" i="53"/>
  <c r="AZ150" i="53"/>
  <c r="AR150" i="53"/>
  <c r="AJ150" i="53"/>
  <c r="AB150" i="53"/>
  <c r="T150" i="53"/>
  <c r="L150" i="53"/>
  <c r="D150" i="53"/>
  <c r="BD150" i="53"/>
  <c r="AV150" i="53"/>
  <c r="AN150" i="53"/>
  <c r="AF150" i="53"/>
  <c r="CJ150" i="53"/>
  <c r="X150" i="53"/>
  <c r="CB150" i="53"/>
  <c r="CC150" i="53" s="1"/>
  <c r="CE150" i="53" s="1"/>
  <c r="CD151" i="53" s="1"/>
  <c r="P150" i="53"/>
  <c r="BT150" i="53"/>
  <c r="H150" i="53"/>
  <c r="BL150" i="53"/>
  <c r="BM150" i="53" s="1"/>
  <c r="BO150" i="53" s="1"/>
  <c r="BN151" i="53" s="1"/>
  <c r="CO150" i="53" l="1"/>
  <c r="CQ150" i="53" s="1"/>
  <c r="CP151" i="53" s="1"/>
  <c r="CG150" i="53"/>
  <c r="CI150" i="53" s="1"/>
  <c r="CH151" i="53" s="1"/>
  <c r="CK150" i="53"/>
  <c r="CM150" i="53" s="1"/>
  <c r="CL151" i="53" s="1"/>
  <c r="AT140" i="53"/>
  <c r="AS140" i="53" s="1"/>
  <c r="AU140" i="53" s="1"/>
  <c r="BV149" i="53"/>
  <c r="BU149" i="53" s="1"/>
  <c r="BW149" i="53" s="1"/>
  <c r="AL142" i="53"/>
  <c r="AK142" i="53" s="1"/>
  <c r="AM142" i="53" s="1"/>
  <c r="R147" i="53"/>
  <c r="Q147" i="53" s="1"/>
  <c r="S147" i="53" s="1"/>
  <c r="BZ148" i="53"/>
  <c r="BY148" i="53" s="1"/>
  <c r="CA148" i="53" s="1"/>
  <c r="AD144" i="53"/>
  <c r="AC144" i="53" s="1"/>
  <c r="AE144" i="53" s="1"/>
  <c r="Z145" i="53"/>
  <c r="Y145" i="53" s="1"/>
  <c r="AA145" i="53" s="1"/>
  <c r="N148" i="53"/>
  <c r="M148" i="53" s="1"/>
  <c r="O148" i="53" s="1"/>
  <c r="BF137" i="53"/>
  <c r="BE137" i="53" s="1"/>
  <c r="BG137" i="53" s="1"/>
  <c r="BC108" i="53"/>
  <c r="I112" i="53"/>
  <c r="BJ108" i="53"/>
  <c r="CU107" i="53"/>
  <c r="AQ109" i="53"/>
  <c r="AI110" i="53"/>
  <c r="CR150" i="53"/>
  <c r="C152" i="53"/>
  <c r="CN151" i="53"/>
  <c r="CF151" i="53"/>
  <c r="BX151" i="53"/>
  <c r="BP151" i="53"/>
  <c r="BQ151" i="53" s="1"/>
  <c r="BS151" i="53" s="1"/>
  <c r="BR152" i="53" s="1"/>
  <c r="BH151" i="53"/>
  <c r="AZ151" i="53"/>
  <c r="AR151" i="53"/>
  <c r="AJ151" i="53"/>
  <c r="AB151" i="53"/>
  <c r="T151" i="53"/>
  <c r="L151" i="53"/>
  <c r="D151" i="53"/>
  <c r="CJ151" i="53"/>
  <c r="CB151" i="53"/>
  <c r="CC151" i="53" s="1"/>
  <c r="CE151" i="53" s="1"/>
  <c r="CD152" i="53" s="1"/>
  <c r="BT151" i="53"/>
  <c r="BL151" i="53"/>
  <c r="BM151" i="53" s="1"/>
  <c r="BO151" i="53" s="1"/>
  <c r="BN152" i="53" s="1"/>
  <c r="BD151" i="53"/>
  <c r="AV151" i="53"/>
  <c r="AN151" i="53"/>
  <c r="AF151" i="53"/>
  <c r="X151" i="53"/>
  <c r="P151" i="53"/>
  <c r="H151" i="53"/>
  <c r="F113" i="53"/>
  <c r="AX139" i="53"/>
  <c r="AW139" i="53" s="1"/>
  <c r="AY139" i="53" s="1"/>
  <c r="U111" i="53"/>
  <c r="CO151" i="53" l="1"/>
  <c r="CQ151" i="53" s="1"/>
  <c r="CP152" i="53" s="1"/>
  <c r="CG151" i="53"/>
  <c r="CI151" i="53" s="1"/>
  <c r="CH152" i="53" s="1"/>
  <c r="CK151" i="53"/>
  <c r="CM151" i="53" s="1"/>
  <c r="CL152" i="53" s="1"/>
  <c r="Z146" i="53"/>
  <c r="Y146" i="53" s="1"/>
  <c r="AA146" i="53" s="1"/>
  <c r="R148" i="53"/>
  <c r="Q148" i="53" s="1"/>
  <c r="S148" i="53" s="1"/>
  <c r="AX140" i="53"/>
  <c r="AW140" i="53" s="1"/>
  <c r="AY140" i="53" s="1"/>
  <c r="AL143" i="53"/>
  <c r="AK143" i="53" s="1"/>
  <c r="AM143" i="53" s="1"/>
  <c r="AD145" i="53"/>
  <c r="AC145" i="53" s="1"/>
  <c r="AE145" i="53" s="1"/>
  <c r="BZ149" i="53"/>
  <c r="BY149" i="53" s="1"/>
  <c r="CA149" i="53" s="1"/>
  <c r="BV150" i="53"/>
  <c r="BU150" i="53" s="1"/>
  <c r="BW150" i="53" s="1"/>
  <c r="N149" i="53"/>
  <c r="M149" i="53" s="1"/>
  <c r="O149" i="53" s="1"/>
  <c r="BF138" i="53"/>
  <c r="BE138" i="53" s="1"/>
  <c r="BG138" i="53" s="1"/>
  <c r="AT141" i="53"/>
  <c r="AS141" i="53" s="1"/>
  <c r="AU141" i="53" s="1"/>
  <c r="CR151" i="53"/>
  <c r="AH111" i="53"/>
  <c r="BI108" i="53"/>
  <c r="CT108" i="53"/>
  <c r="AP110" i="53"/>
  <c r="BB109" i="53"/>
  <c r="E113" i="53"/>
  <c r="W111" i="53"/>
  <c r="C153" i="53"/>
  <c r="CN152" i="53"/>
  <c r="CF152" i="53"/>
  <c r="BX152" i="53"/>
  <c r="BP152" i="53"/>
  <c r="BQ152" i="53" s="1"/>
  <c r="BS152" i="53" s="1"/>
  <c r="BR153" i="53" s="1"/>
  <c r="BH152" i="53"/>
  <c r="AZ152" i="53"/>
  <c r="AR152" i="53"/>
  <c r="AJ152" i="53"/>
  <c r="AB152" i="53"/>
  <c r="T152" i="53"/>
  <c r="L152" i="53"/>
  <c r="D152" i="53"/>
  <c r="CJ152" i="53"/>
  <c r="CB152" i="53"/>
  <c r="CC152" i="53" s="1"/>
  <c r="CE152" i="53" s="1"/>
  <c r="CD153" i="53" s="1"/>
  <c r="BT152" i="53"/>
  <c r="BL152" i="53"/>
  <c r="BM152" i="53" s="1"/>
  <c r="BO152" i="53" s="1"/>
  <c r="BN153" i="53" s="1"/>
  <c r="BD152" i="53"/>
  <c r="AV152" i="53"/>
  <c r="AN152" i="53"/>
  <c r="AF152" i="53"/>
  <c r="X152" i="53"/>
  <c r="P152" i="53"/>
  <c r="H152" i="53"/>
  <c r="K112" i="53"/>
  <c r="CK152" i="53" l="1"/>
  <c r="CM152" i="53" s="1"/>
  <c r="CL153" i="53" s="1"/>
  <c r="CO152" i="53"/>
  <c r="CQ152" i="53" s="1"/>
  <c r="CP153" i="53" s="1"/>
  <c r="CG152" i="53"/>
  <c r="CI152" i="53" s="1"/>
  <c r="CH153" i="53" s="1"/>
  <c r="AL144" i="53"/>
  <c r="AK144" i="53" s="1"/>
  <c r="AM144" i="53" s="1"/>
  <c r="AD146" i="53"/>
  <c r="AC146" i="53" s="1"/>
  <c r="AE146" i="53" s="1"/>
  <c r="BF139" i="53"/>
  <c r="BE139" i="53" s="1"/>
  <c r="BG139" i="53" s="1"/>
  <c r="BV151" i="53"/>
  <c r="BU151" i="53" s="1"/>
  <c r="BW151" i="53" s="1"/>
  <c r="AT142" i="53"/>
  <c r="AS142" i="53" s="1"/>
  <c r="AU142" i="53" s="1"/>
  <c r="N150" i="53"/>
  <c r="M150" i="53" s="1"/>
  <c r="O150" i="53" s="1"/>
  <c r="AG111" i="53"/>
  <c r="C154" i="53"/>
  <c r="CN153" i="53"/>
  <c r="CF153" i="53"/>
  <c r="BX153" i="53"/>
  <c r="BP153" i="53"/>
  <c r="BQ153" i="53" s="1"/>
  <c r="BS153" i="53" s="1"/>
  <c r="BR154" i="53" s="1"/>
  <c r="BH153" i="53"/>
  <c r="AZ153" i="53"/>
  <c r="AR153" i="53"/>
  <c r="AJ153" i="53"/>
  <c r="AB153" i="53"/>
  <c r="T153" i="53"/>
  <c r="L153" i="53"/>
  <c r="D153" i="53"/>
  <c r="CJ153" i="53"/>
  <c r="CB153" i="53"/>
  <c r="CC153" i="53" s="1"/>
  <c r="CE153" i="53" s="1"/>
  <c r="CD154" i="53" s="1"/>
  <c r="BT153" i="53"/>
  <c r="BL153" i="53"/>
  <c r="BM153" i="53" s="1"/>
  <c r="BO153" i="53" s="1"/>
  <c r="BN154" i="53" s="1"/>
  <c r="BD153" i="53"/>
  <c r="AV153" i="53"/>
  <c r="AN153" i="53"/>
  <c r="AF153" i="53"/>
  <c r="X153" i="53"/>
  <c r="P153" i="53"/>
  <c r="H153" i="53"/>
  <c r="AX141" i="53"/>
  <c r="AW141" i="53" s="1"/>
  <c r="AY141" i="53" s="1"/>
  <c r="BA109" i="53"/>
  <c r="CS108" i="53"/>
  <c r="BK108" i="53"/>
  <c r="V112" i="53"/>
  <c r="BZ150" i="53"/>
  <c r="BY150" i="53" s="1"/>
  <c r="CA150" i="53" s="1"/>
  <c r="R149" i="53"/>
  <c r="Q149" i="53" s="1"/>
  <c r="S149" i="53" s="1"/>
  <c r="J113" i="53"/>
  <c r="CR152" i="53"/>
  <c r="G113" i="53"/>
  <c r="AO110" i="53"/>
  <c r="Z147" i="53"/>
  <c r="Y147" i="53" s="1"/>
  <c r="AA147" i="53" s="1"/>
  <c r="CK153" i="53" l="1"/>
  <c r="CM153" i="53" s="1"/>
  <c r="CL154" i="53" s="1"/>
  <c r="CO153" i="53"/>
  <c r="CQ153" i="53" s="1"/>
  <c r="CP154" i="53" s="1"/>
  <c r="CG153" i="53"/>
  <c r="CI153" i="53" s="1"/>
  <c r="CH154" i="53" s="1"/>
  <c r="N151" i="53"/>
  <c r="M151" i="53" s="1"/>
  <c r="O151" i="53" s="1"/>
  <c r="BV152" i="53"/>
  <c r="BU152" i="53" s="1"/>
  <c r="BW152" i="53" s="1"/>
  <c r="AT143" i="53"/>
  <c r="AS143" i="53" s="1"/>
  <c r="AU143" i="53" s="1"/>
  <c r="Z148" i="53"/>
  <c r="Y148" i="53" s="1"/>
  <c r="AA148" i="53" s="1"/>
  <c r="AX142" i="53"/>
  <c r="AW142" i="53" s="1"/>
  <c r="AY142" i="53" s="1"/>
  <c r="BZ151" i="53"/>
  <c r="BY151" i="53" s="1"/>
  <c r="CA151" i="53" s="1"/>
  <c r="AL145" i="53"/>
  <c r="AK145" i="53" s="1"/>
  <c r="AM145" i="53" s="1"/>
  <c r="AQ110" i="53"/>
  <c r="BC109" i="53"/>
  <c r="AI111" i="53"/>
  <c r="U112" i="53"/>
  <c r="CR153" i="53"/>
  <c r="K35" i="53" s="1"/>
  <c r="BF140" i="53"/>
  <c r="BE140" i="53" s="1"/>
  <c r="BG140" i="53" s="1"/>
  <c r="I113" i="53"/>
  <c r="R150" i="53"/>
  <c r="Q150" i="53" s="1"/>
  <c r="S150" i="53" s="1"/>
  <c r="AD147" i="53"/>
  <c r="AC147" i="53" s="1"/>
  <c r="AE147" i="53" s="1"/>
  <c r="F114" i="53"/>
  <c r="BJ109" i="53"/>
  <c r="CU108" i="53"/>
  <c r="CJ154" i="53"/>
  <c r="CB154" i="53"/>
  <c r="CC154" i="53" s="1"/>
  <c r="CE154" i="53" s="1"/>
  <c r="CD155" i="53" s="1"/>
  <c r="BT154" i="53"/>
  <c r="BL154" i="53"/>
  <c r="BM154" i="53" s="1"/>
  <c r="BO154" i="53" s="1"/>
  <c r="BN155" i="53" s="1"/>
  <c r="BD154" i="53"/>
  <c r="AV154" i="53"/>
  <c r="AN154" i="53"/>
  <c r="AF154" i="53"/>
  <c r="X154" i="53"/>
  <c r="P154" i="53"/>
  <c r="H154" i="53"/>
  <c r="AZ154" i="53"/>
  <c r="AR154" i="53"/>
  <c r="C155" i="53"/>
  <c r="AJ154" i="53"/>
  <c r="CN154" i="53"/>
  <c r="AB154" i="53"/>
  <c r="CF154" i="53"/>
  <c r="T154" i="53"/>
  <c r="BX154" i="53"/>
  <c r="L154" i="53"/>
  <c r="BP154" i="53"/>
  <c r="BQ154" i="53" s="1"/>
  <c r="BS154" i="53" s="1"/>
  <c r="BR155" i="53" s="1"/>
  <c r="D154" i="53"/>
  <c r="BH154" i="53"/>
  <c r="CK154" i="53" l="1"/>
  <c r="CM154" i="53" s="1"/>
  <c r="CL155" i="53" s="1"/>
  <c r="CO154" i="53"/>
  <c r="CQ154" i="53" s="1"/>
  <c r="CP155" i="53" s="1"/>
  <c r="CG154" i="53"/>
  <c r="CI154" i="53" s="1"/>
  <c r="CH155" i="53" s="1"/>
  <c r="AD148" i="53"/>
  <c r="AC148" i="53" s="1"/>
  <c r="AE148" i="53" s="1"/>
  <c r="AX143" i="53"/>
  <c r="AW143" i="53" s="1"/>
  <c r="AY143" i="53" s="1"/>
  <c r="R151" i="53"/>
  <c r="Q151" i="53" s="1"/>
  <c r="S151" i="53" s="1"/>
  <c r="Z149" i="53"/>
  <c r="Y149" i="53" s="1"/>
  <c r="AA149" i="53" s="1"/>
  <c r="AL146" i="53"/>
  <c r="AK146" i="53" s="1"/>
  <c r="AM146" i="53" s="1"/>
  <c r="BZ152" i="53"/>
  <c r="BY152" i="53" s="1"/>
  <c r="CA152" i="53" s="1"/>
  <c r="BI109" i="53"/>
  <c r="CT109" i="53"/>
  <c r="K113" i="53"/>
  <c r="BF141" i="53"/>
  <c r="BE141" i="53" s="1"/>
  <c r="BG141" i="53" s="1"/>
  <c r="AH112" i="53"/>
  <c r="E114" i="53"/>
  <c r="AT144" i="53"/>
  <c r="AS144" i="53" s="1"/>
  <c r="AU144" i="53" s="1"/>
  <c r="K36" i="53"/>
  <c r="I46" i="15" s="1"/>
  <c r="K37" i="53"/>
  <c r="BB110" i="53"/>
  <c r="BV153" i="53"/>
  <c r="BU153" i="53" s="1"/>
  <c r="BW153" i="53" s="1"/>
  <c r="CR154" i="53"/>
  <c r="AP111" i="53"/>
  <c r="N152" i="53"/>
  <c r="M152" i="53" s="1"/>
  <c r="O152" i="53" s="1"/>
  <c r="CJ155" i="53"/>
  <c r="CB155" i="53"/>
  <c r="CC155" i="53" s="1"/>
  <c r="CE155" i="53" s="1"/>
  <c r="CD156" i="53" s="1"/>
  <c r="BT155" i="53"/>
  <c r="BL155" i="53"/>
  <c r="BM155" i="53" s="1"/>
  <c r="BO155" i="53" s="1"/>
  <c r="BN156" i="53" s="1"/>
  <c r="BD155" i="53"/>
  <c r="AV155" i="53"/>
  <c r="AN155" i="53"/>
  <c r="AF155" i="53"/>
  <c r="X155" i="53"/>
  <c r="P155" i="53"/>
  <c r="H155" i="53"/>
  <c r="C156" i="53"/>
  <c r="CN155" i="53"/>
  <c r="CF155" i="53"/>
  <c r="BX155" i="53"/>
  <c r="BP155" i="53"/>
  <c r="BQ155" i="53" s="1"/>
  <c r="BS155" i="53" s="1"/>
  <c r="BR156" i="53" s="1"/>
  <c r="BH155" i="53"/>
  <c r="AZ155" i="53"/>
  <c r="AR155" i="53"/>
  <c r="AJ155" i="53"/>
  <c r="AB155" i="53"/>
  <c r="T155" i="53"/>
  <c r="L155" i="53"/>
  <c r="D155" i="53"/>
  <c r="W112" i="53"/>
  <c r="CK155" i="53" l="1"/>
  <c r="CM155" i="53" s="1"/>
  <c r="CL156" i="53" s="1"/>
  <c r="CO155" i="53"/>
  <c r="CQ155" i="53" s="1"/>
  <c r="CP156" i="53" s="1"/>
  <c r="CG155" i="53"/>
  <c r="CI155" i="53" s="1"/>
  <c r="CH156" i="53" s="1"/>
  <c r="AL147" i="53"/>
  <c r="AK147" i="53" s="1"/>
  <c r="AM147" i="53" s="1"/>
  <c r="Z150" i="53"/>
  <c r="Y150" i="53" s="1"/>
  <c r="AA150" i="53" s="1"/>
  <c r="BZ153" i="53"/>
  <c r="BY153" i="53" s="1"/>
  <c r="CA153" i="53" s="1"/>
  <c r="R152" i="53"/>
  <c r="Q152" i="53" s="1"/>
  <c r="S152" i="53" s="1"/>
  <c r="BV154" i="53"/>
  <c r="BU154" i="53" s="1"/>
  <c r="BW154" i="53" s="1"/>
  <c r="BF142" i="53"/>
  <c r="BE142" i="53" s="1"/>
  <c r="BG142" i="53" s="1"/>
  <c r="AX144" i="53"/>
  <c r="AW144" i="53" s="1"/>
  <c r="AY144" i="53" s="1"/>
  <c r="AD149" i="53"/>
  <c r="AC149" i="53" s="1"/>
  <c r="AE149" i="53" s="1"/>
  <c r="AT145" i="53"/>
  <c r="AS145" i="53" s="1"/>
  <c r="AU145" i="53" s="1"/>
  <c r="AG112" i="53"/>
  <c r="BK109" i="53"/>
  <c r="CS109" i="53"/>
  <c r="CJ156" i="53"/>
  <c r="CB156" i="53"/>
  <c r="CC156" i="53" s="1"/>
  <c r="CE156" i="53" s="1"/>
  <c r="CD157" i="53" s="1"/>
  <c r="BT156" i="53"/>
  <c r="BL156" i="53"/>
  <c r="BM156" i="53" s="1"/>
  <c r="BO156" i="53" s="1"/>
  <c r="BN157" i="53" s="1"/>
  <c r="BD156" i="53"/>
  <c r="AV156" i="53"/>
  <c r="AN156" i="53"/>
  <c r="AF156" i="53"/>
  <c r="X156" i="53"/>
  <c r="P156" i="53"/>
  <c r="H156" i="53"/>
  <c r="C157" i="53"/>
  <c r="CN156" i="53"/>
  <c r="CF156" i="53"/>
  <c r="BX156" i="53"/>
  <c r="BP156" i="53"/>
  <c r="BQ156" i="53" s="1"/>
  <c r="BS156" i="53" s="1"/>
  <c r="BR157" i="53" s="1"/>
  <c r="BH156" i="53"/>
  <c r="AZ156" i="53"/>
  <c r="AR156" i="53"/>
  <c r="AJ156" i="53"/>
  <c r="AB156" i="53"/>
  <c r="T156" i="53"/>
  <c r="L156" i="53"/>
  <c r="D156" i="53"/>
  <c r="BA110" i="53"/>
  <c r="N153" i="53"/>
  <c r="M153" i="53" s="1"/>
  <c r="O153" i="53" s="1"/>
  <c r="G114" i="53"/>
  <c r="V113" i="53"/>
  <c r="CR155" i="53"/>
  <c r="AO111" i="53"/>
  <c r="J114" i="53"/>
  <c r="CK156" i="53" l="1"/>
  <c r="CM156" i="53" s="1"/>
  <c r="CL157" i="53" s="1"/>
  <c r="CO156" i="53"/>
  <c r="CQ156" i="53" s="1"/>
  <c r="CP157" i="53" s="1"/>
  <c r="CG156" i="53"/>
  <c r="CI156" i="53" s="1"/>
  <c r="CH157" i="53" s="1"/>
  <c r="R153" i="53"/>
  <c r="Q153" i="53" s="1"/>
  <c r="S153" i="53" s="1"/>
  <c r="BZ154" i="53"/>
  <c r="BY154" i="53" s="1"/>
  <c r="CA154" i="53" s="1"/>
  <c r="BF143" i="53"/>
  <c r="BE143" i="53" s="1"/>
  <c r="BG143" i="53" s="1"/>
  <c r="Z151" i="53"/>
  <c r="Y151" i="53" s="1"/>
  <c r="AA151" i="53" s="1"/>
  <c r="AX145" i="53"/>
  <c r="AW145" i="53" s="1"/>
  <c r="AY145" i="53" s="1"/>
  <c r="AT146" i="53"/>
  <c r="AS146" i="53" s="1"/>
  <c r="AU146" i="53" s="1"/>
  <c r="BV155" i="53"/>
  <c r="BU155" i="53" s="1"/>
  <c r="BW155" i="53" s="1"/>
  <c r="AD150" i="53"/>
  <c r="AC150" i="53" s="1"/>
  <c r="AE150" i="53" s="1"/>
  <c r="F115" i="53"/>
  <c r="CJ157" i="53"/>
  <c r="CB157" i="53"/>
  <c r="CC157" i="53" s="1"/>
  <c r="CE157" i="53" s="1"/>
  <c r="CD158" i="53" s="1"/>
  <c r="BT157" i="53"/>
  <c r="BL157" i="53"/>
  <c r="BM157" i="53" s="1"/>
  <c r="BO157" i="53" s="1"/>
  <c r="BN158" i="53" s="1"/>
  <c r="BD157" i="53"/>
  <c r="AV157" i="53"/>
  <c r="AN157" i="53"/>
  <c r="AF157" i="53"/>
  <c r="X157" i="53"/>
  <c r="P157" i="53"/>
  <c r="H157" i="53"/>
  <c r="C158" i="53"/>
  <c r="CN157" i="53"/>
  <c r="CF157" i="53"/>
  <c r="BX157" i="53"/>
  <c r="BP157" i="53"/>
  <c r="BQ157" i="53" s="1"/>
  <c r="BS157" i="53" s="1"/>
  <c r="BR158" i="53" s="1"/>
  <c r="BH157" i="53"/>
  <c r="AZ157" i="53"/>
  <c r="AR157" i="53"/>
  <c r="AJ157" i="53"/>
  <c r="AB157" i="53"/>
  <c r="T157" i="53"/>
  <c r="L157" i="53"/>
  <c r="D157" i="53"/>
  <c r="BJ110" i="53"/>
  <c r="CU109" i="53"/>
  <c r="AI112" i="53"/>
  <c r="N154" i="53"/>
  <c r="M154" i="53" s="1"/>
  <c r="O154" i="53" s="1"/>
  <c r="U113" i="53"/>
  <c r="CR156" i="53"/>
  <c r="I114" i="53"/>
  <c r="AQ111" i="53"/>
  <c r="AL148" i="53"/>
  <c r="AK148" i="53" s="1"/>
  <c r="AM148" i="53" s="1"/>
  <c r="BC110" i="53"/>
  <c r="CK157" i="53" l="1"/>
  <c r="CM157" i="53" s="1"/>
  <c r="CL158" i="53" s="1"/>
  <c r="CO157" i="53"/>
  <c r="CQ157" i="53" s="1"/>
  <c r="CP158" i="53" s="1"/>
  <c r="CG157" i="53"/>
  <c r="CI157" i="53" s="1"/>
  <c r="CH158" i="53" s="1"/>
  <c r="N155" i="53"/>
  <c r="M155" i="53" s="1"/>
  <c r="O155" i="53" s="1"/>
  <c r="Z152" i="53"/>
  <c r="Y152" i="53" s="1"/>
  <c r="AA152" i="53" s="1"/>
  <c r="BF144" i="53"/>
  <c r="BE144" i="53" s="1"/>
  <c r="BG144" i="53" s="1"/>
  <c r="BZ155" i="53"/>
  <c r="BY155" i="53" s="1"/>
  <c r="CA155" i="53" s="1"/>
  <c r="AT147" i="53"/>
  <c r="AS147" i="53" s="1"/>
  <c r="AU147" i="53" s="1"/>
  <c r="AL149" i="53"/>
  <c r="AK149" i="53" s="1"/>
  <c r="AM149" i="53" s="1"/>
  <c r="AD151" i="53"/>
  <c r="AC151" i="53" s="1"/>
  <c r="AE151" i="53" s="1"/>
  <c r="BV156" i="53"/>
  <c r="BU156" i="53" s="1"/>
  <c r="BW156" i="53" s="1"/>
  <c r="CR157" i="53"/>
  <c r="AH113" i="53"/>
  <c r="BI110" i="53"/>
  <c r="CT110" i="53"/>
  <c r="C159" i="53"/>
  <c r="CN158" i="53"/>
  <c r="CF158" i="53"/>
  <c r="BX158" i="53"/>
  <c r="BP158" i="53"/>
  <c r="BQ158" i="53" s="1"/>
  <c r="BS158" i="53" s="1"/>
  <c r="BR159" i="53" s="1"/>
  <c r="BH158" i="53"/>
  <c r="AZ158" i="53"/>
  <c r="AR158" i="53"/>
  <c r="AJ158" i="53"/>
  <c r="AB158" i="53"/>
  <c r="T158" i="53"/>
  <c r="L158" i="53"/>
  <c r="D158" i="53"/>
  <c r="AV158" i="53"/>
  <c r="AN158" i="53"/>
  <c r="AF158" i="53"/>
  <c r="CJ158" i="53"/>
  <c r="X158" i="53"/>
  <c r="CB158" i="53"/>
  <c r="CC158" i="53" s="1"/>
  <c r="CE158" i="53" s="1"/>
  <c r="CD159" i="53" s="1"/>
  <c r="P158" i="53"/>
  <c r="BT158" i="53"/>
  <c r="H158" i="53"/>
  <c r="BL158" i="53"/>
  <c r="BM158" i="53" s="1"/>
  <c r="BO158" i="53" s="1"/>
  <c r="BN159" i="53" s="1"/>
  <c r="BD158" i="53"/>
  <c r="AP112" i="53"/>
  <c r="W113" i="53"/>
  <c r="AX146" i="53"/>
  <c r="AW146" i="53" s="1"/>
  <c r="AY146" i="53" s="1"/>
  <c r="R154" i="53"/>
  <c r="Q154" i="53" s="1"/>
  <c r="S154" i="53" s="1"/>
  <c r="K114" i="53"/>
  <c r="BB111" i="53"/>
  <c r="E115" i="53"/>
  <c r="CK158" i="53" l="1"/>
  <c r="CM158" i="53" s="1"/>
  <c r="CL159" i="53" s="1"/>
  <c r="CO158" i="53"/>
  <c r="CQ158" i="53" s="1"/>
  <c r="CP159" i="53" s="1"/>
  <c r="CG158" i="53"/>
  <c r="CI158" i="53" s="1"/>
  <c r="CH159" i="53" s="1"/>
  <c r="BZ156" i="53"/>
  <c r="BY156" i="53" s="1"/>
  <c r="CA156" i="53" s="1"/>
  <c r="BV157" i="53"/>
  <c r="BU157" i="53" s="1"/>
  <c r="BW157" i="53" s="1"/>
  <c r="AT148" i="53"/>
  <c r="AS148" i="53" s="1"/>
  <c r="AU148" i="53" s="1"/>
  <c r="AD152" i="53"/>
  <c r="AC152" i="53" s="1"/>
  <c r="AE152" i="53" s="1"/>
  <c r="BA111" i="53"/>
  <c r="AG113" i="53"/>
  <c r="BF145" i="53"/>
  <c r="BE145" i="53" s="1"/>
  <c r="BG145" i="53" s="1"/>
  <c r="J115" i="53"/>
  <c r="C160" i="53"/>
  <c r="CN159" i="53"/>
  <c r="CF159" i="53"/>
  <c r="BX159" i="53"/>
  <c r="BP159" i="53"/>
  <c r="BQ159" i="53" s="1"/>
  <c r="BS159" i="53" s="1"/>
  <c r="BR160" i="53" s="1"/>
  <c r="BH159" i="53"/>
  <c r="AZ159" i="53"/>
  <c r="AR159" i="53"/>
  <c r="AJ159" i="53"/>
  <c r="AB159" i="53"/>
  <c r="T159" i="53"/>
  <c r="L159" i="53"/>
  <c r="D159" i="53"/>
  <c r="CJ159" i="53"/>
  <c r="CK159" i="53" s="1"/>
  <c r="CM159" i="53" s="1"/>
  <c r="CL160" i="53" s="1"/>
  <c r="CB159" i="53"/>
  <c r="CC159" i="53" s="1"/>
  <c r="CE159" i="53" s="1"/>
  <c r="CD160" i="53" s="1"/>
  <c r="BT159" i="53"/>
  <c r="BL159" i="53"/>
  <c r="BM159" i="53" s="1"/>
  <c r="BO159" i="53" s="1"/>
  <c r="BN160" i="53" s="1"/>
  <c r="BD159" i="53"/>
  <c r="AV159" i="53"/>
  <c r="AN159" i="53"/>
  <c r="AF159" i="53"/>
  <c r="X159" i="53"/>
  <c r="P159" i="53"/>
  <c r="H159" i="53"/>
  <c r="V114" i="53"/>
  <c r="G115" i="53"/>
  <c r="AL150" i="53"/>
  <c r="AK150" i="53" s="1"/>
  <c r="AM150" i="53" s="1"/>
  <c r="Z153" i="53"/>
  <c r="Y153" i="53" s="1"/>
  <c r="AA153" i="53" s="1"/>
  <c r="R155" i="53"/>
  <c r="Q155" i="53" s="1"/>
  <c r="S155" i="53" s="1"/>
  <c r="AX147" i="53"/>
  <c r="AW147" i="53" s="1"/>
  <c r="AY147" i="53" s="1"/>
  <c r="CS110" i="53"/>
  <c r="BK110" i="53"/>
  <c r="N156" i="53"/>
  <c r="M156" i="53" s="1"/>
  <c r="O156" i="53" s="1"/>
  <c r="AO112" i="53"/>
  <c r="CR158" i="53"/>
  <c r="CO159" i="53" l="1"/>
  <c r="CQ159" i="53" s="1"/>
  <c r="CP160" i="53" s="1"/>
  <c r="CG159" i="53"/>
  <c r="CI159" i="53" s="1"/>
  <c r="CH160" i="53" s="1"/>
  <c r="AX148" i="53"/>
  <c r="AW148" i="53" s="1"/>
  <c r="AY148" i="53" s="1"/>
  <c r="AD153" i="53"/>
  <c r="AC153" i="53" s="1"/>
  <c r="AE153" i="53" s="1"/>
  <c r="AL151" i="53"/>
  <c r="AK151" i="53" s="1"/>
  <c r="AM151" i="53" s="1"/>
  <c r="R156" i="53"/>
  <c r="Q156" i="53" s="1"/>
  <c r="S156" i="53" s="1"/>
  <c r="AT149" i="53"/>
  <c r="AS149" i="53" s="1"/>
  <c r="AU149" i="53" s="1"/>
  <c r="N157" i="53"/>
  <c r="M157" i="53" s="1"/>
  <c r="O157" i="53" s="1"/>
  <c r="CR159" i="53"/>
  <c r="F116" i="53"/>
  <c r="I115" i="53"/>
  <c r="BJ111" i="53"/>
  <c r="CU110" i="53"/>
  <c r="BF146" i="53"/>
  <c r="BE146" i="53" s="1"/>
  <c r="BG146" i="53" s="1"/>
  <c r="BV158" i="53"/>
  <c r="BU158" i="53" s="1"/>
  <c r="BW158" i="53" s="1"/>
  <c r="Z154" i="53"/>
  <c r="Y154" i="53" s="1"/>
  <c r="AA154" i="53" s="1"/>
  <c r="C161" i="53"/>
  <c r="CN160" i="53"/>
  <c r="CF160" i="53"/>
  <c r="BX160" i="53"/>
  <c r="BP160" i="53"/>
  <c r="BQ160" i="53" s="1"/>
  <c r="BS160" i="53" s="1"/>
  <c r="BR161" i="53" s="1"/>
  <c r="BH160" i="53"/>
  <c r="AZ160" i="53"/>
  <c r="AR160" i="53"/>
  <c r="AJ160" i="53"/>
  <c r="AB160" i="53"/>
  <c r="T160" i="53"/>
  <c r="L160" i="53"/>
  <c r="CJ160" i="53"/>
  <c r="CK160" i="53" s="1"/>
  <c r="CM160" i="53" s="1"/>
  <c r="CL161" i="53" s="1"/>
  <c r="CB160" i="53"/>
  <c r="CC160" i="53" s="1"/>
  <c r="CE160" i="53" s="1"/>
  <c r="CD161" i="53" s="1"/>
  <c r="BT160" i="53"/>
  <c r="BL160" i="53"/>
  <c r="BM160" i="53" s="1"/>
  <c r="BO160" i="53" s="1"/>
  <c r="BN161" i="53" s="1"/>
  <c r="BD160" i="53"/>
  <c r="AV160" i="53"/>
  <c r="AN160" i="53"/>
  <c r="AF160" i="53"/>
  <c r="X160" i="53"/>
  <c r="P160" i="53"/>
  <c r="H160" i="53"/>
  <c r="U114" i="53"/>
  <c r="BZ157" i="53"/>
  <c r="BY157" i="53" s="1"/>
  <c r="CA157" i="53" s="1"/>
  <c r="AQ112" i="53"/>
  <c r="AI113" i="53"/>
  <c r="BC111" i="53"/>
  <c r="CO160" i="53" l="1"/>
  <c r="CQ160" i="53" s="1"/>
  <c r="CP161" i="53" s="1"/>
  <c r="CG160" i="53"/>
  <c r="CI160" i="53" s="1"/>
  <c r="CH161" i="53" s="1"/>
  <c r="R157" i="53"/>
  <c r="Q157" i="53" s="1"/>
  <c r="S157" i="53" s="1"/>
  <c r="AD154" i="53"/>
  <c r="AC154" i="53" s="1"/>
  <c r="AE154" i="53" s="1"/>
  <c r="N158" i="53"/>
  <c r="M158" i="53" s="1"/>
  <c r="O158" i="53" s="1"/>
  <c r="W114" i="53"/>
  <c r="BB112" i="53"/>
  <c r="AP113" i="53"/>
  <c r="Z155" i="53"/>
  <c r="Y155" i="53" s="1"/>
  <c r="AA155" i="53" s="1"/>
  <c r="AL152" i="53"/>
  <c r="AK152" i="53" s="1"/>
  <c r="AM152" i="53" s="1"/>
  <c r="BV159" i="53"/>
  <c r="BU159" i="53" s="1"/>
  <c r="BW159" i="53" s="1"/>
  <c r="BI111" i="53"/>
  <c r="CT111" i="53"/>
  <c r="AH114" i="53"/>
  <c r="BZ158" i="53"/>
  <c r="BY158" i="53" s="1"/>
  <c r="CA158" i="53" s="1"/>
  <c r="BF147" i="53"/>
  <c r="BE147" i="53" s="1"/>
  <c r="BG147" i="53" s="1"/>
  <c r="K115" i="53"/>
  <c r="E116" i="53"/>
  <c r="AT150" i="53"/>
  <c r="AS150" i="53" s="1"/>
  <c r="AU150" i="53" s="1"/>
  <c r="AX149" i="53"/>
  <c r="AW149" i="53" s="1"/>
  <c r="AY149" i="53" s="1"/>
  <c r="C162" i="53"/>
  <c r="CN161" i="53"/>
  <c r="CF161" i="53"/>
  <c r="BX161" i="53"/>
  <c r="BP161" i="53"/>
  <c r="BQ161" i="53" s="1"/>
  <c r="BS161" i="53" s="1"/>
  <c r="BR162" i="53" s="1"/>
  <c r="BH161" i="53"/>
  <c r="AZ161" i="53"/>
  <c r="AR161" i="53"/>
  <c r="AJ161" i="53"/>
  <c r="AB161" i="53"/>
  <c r="T161" i="53"/>
  <c r="L161" i="53"/>
  <c r="CJ161" i="53"/>
  <c r="CK161" i="53" s="1"/>
  <c r="CM161" i="53" s="1"/>
  <c r="CL162" i="53" s="1"/>
  <c r="CB161" i="53"/>
  <c r="CC161" i="53" s="1"/>
  <c r="CE161" i="53" s="1"/>
  <c r="CD162" i="53" s="1"/>
  <c r="BT161" i="53"/>
  <c r="BL161" i="53"/>
  <c r="BM161" i="53" s="1"/>
  <c r="BO161" i="53" s="1"/>
  <c r="BN162" i="53" s="1"/>
  <c r="BD161" i="53"/>
  <c r="AV161" i="53"/>
  <c r="AN161" i="53"/>
  <c r="AF161" i="53"/>
  <c r="X161" i="53"/>
  <c r="P161" i="53"/>
  <c r="H161" i="53"/>
  <c r="CO161" i="53" l="1"/>
  <c r="CQ161" i="53" s="1"/>
  <c r="CP162" i="53" s="1"/>
  <c r="CG161" i="53"/>
  <c r="CI161" i="53" s="1"/>
  <c r="CH162" i="53" s="1"/>
  <c r="Z156" i="53"/>
  <c r="Y156" i="53" s="1"/>
  <c r="AA156" i="53" s="1"/>
  <c r="N159" i="53"/>
  <c r="M159" i="53" s="1"/>
  <c r="O159" i="53" s="1"/>
  <c r="AD155" i="53"/>
  <c r="AC155" i="53" s="1"/>
  <c r="AE155" i="53" s="1"/>
  <c r="AX150" i="53"/>
  <c r="AW150" i="53" s="1"/>
  <c r="AY150" i="53" s="1"/>
  <c r="BV160" i="53"/>
  <c r="BU160" i="53" s="1"/>
  <c r="BW160" i="53" s="1"/>
  <c r="BF148" i="53"/>
  <c r="BE148" i="53" s="1"/>
  <c r="BG148" i="53" s="1"/>
  <c r="AL153" i="53"/>
  <c r="AK153" i="53" s="1"/>
  <c r="AM153" i="53" s="1"/>
  <c r="G116" i="53"/>
  <c r="BZ159" i="53"/>
  <c r="BY159" i="53" s="1"/>
  <c r="CA159" i="53" s="1"/>
  <c r="V115" i="53"/>
  <c r="BK111" i="53"/>
  <c r="CS111" i="53"/>
  <c r="J116" i="53"/>
  <c r="AO113" i="53"/>
  <c r="BA112" i="53"/>
  <c r="AT151" i="53"/>
  <c r="AS151" i="53" s="1"/>
  <c r="AU151" i="53" s="1"/>
  <c r="R158" i="53"/>
  <c r="Q158" i="53" s="1"/>
  <c r="S158" i="53" s="1"/>
  <c r="CJ162" i="53"/>
  <c r="CK162" i="53" s="1"/>
  <c r="CM162" i="53" s="1"/>
  <c r="CL163" i="53" s="1"/>
  <c r="CB162" i="53"/>
  <c r="CC162" i="53" s="1"/>
  <c r="CE162" i="53" s="1"/>
  <c r="CD163" i="53" s="1"/>
  <c r="BT162" i="53"/>
  <c r="BL162" i="53"/>
  <c r="BM162" i="53" s="1"/>
  <c r="BO162" i="53" s="1"/>
  <c r="BN163" i="53" s="1"/>
  <c r="BD162" i="53"/>
  <c r="AV162" i="53"/>
  <c r="AN162" i="53"/>
  <c r="AF162" i="53"/>
  <c r="X162" i="53"/>
  <c r="P162" i="53"/>
  <c r="H162" i="53"/>
  <c r="AR162" i="53"/>
  <c r="C163" i="53"/>
  <c r="AJ162" i="53"/>
  <c r="CN162" i="53"/>
  <c r="AB162" i="53"/>
  <c r="CF162" i="53"/>
  <c r="T162" i="53"/>
  <c r="BX162" i="53"/>
  <c r="L162" i="53"/>
  <c r="BP162" i="53"/>
  <c r="BQ162" i="53" s="1"/>
  <c r="BS162" i="53" s="1"/>
  <c r="BR163" i="53" s="1"/>
  <c r="BH162" i="53"/>
  <c r="AZ162" i="53"/>
  <c r="AG114" i="53"/>
  <c r="CO162" i="53" l="1"/>
  <c r="CQ162" i="53" s="1"/>
  <c r="CP163" i="53" s="1"/>
  <c r="CG162" i="53"/>
  <c r="CI162" i="53" s="1"/>
  <c r="CH163" i="53" s="1"/>
  <c r="BV161" i="53"/>
  <c r="BU161" i="53" s="1"/>
  <c r="BW161" i="53" s="1"/>
  <c r="AL154" i="53"/>
  <c r="AK154" i="53" s="1"/>
  <c r="AM154" i="53" s="1"/>
  <c r="AX151" i="53"/>
  <c r="AW151" i="53" s="1"/>
  <c r="AY151" i="53" s="1"/>
  <c r="AD156" i="53"/>
  <c r="AC156" i="53" s="1"/>
  <c r="AE156" i="53" s="1"/>
  <c r="BF149" i="53"/>
  <c r="BE149" i="53" s="1"/>
  <c r="BG149" i="53" s="1"/>
  <c r="R159" i="53"/>
  <c r="Q159" i="53" s="1"/>
  <c r="S159" i="53" s="1"/>
  <c r="BZ160" i="53"/>
  <c r="BY160" i="53" s="1"/>
  <c r="CA160" i="53" s="1"/>
  <c r="N160" i="53"/>
  <c r="M160" i="53" s="1"/>
  <c r="O160" i="53" s="1"/>
  <c r="AT152" i="53"/>
  <c r="AS152" i="53" s="1"/>
  <c r="AU152" i="53" s="1"/>
  <c r="I116" i="53"/>
  <c r="CJ163" i="53"/>
  <c r="CK163" i="53" s="1"/>
  <c r="CM163" i="53" s="1"/>
  <c r="CL164" i="53" s="1"/>
  <c r="CB163" i="53"/>
  <c r="CC163" i="53" s="1"/>
  <c r="CE163" i="53" s="1"/>
  <c r="CD164" i="53" s="1"/>
  <c r="BT163" i="53"/>
  <c r="BL163" i="53"/>
  <c r="BM163" i="53" s="1"/>
  <c r="BO163" i="53" s="1"/>
  <c r="BN164" i="53" s="1"/>
  <c r="BD163" i="53"/>
  <c r="AV163" i="53"/>
  <c r="AN163" i="53"/>
  <c r="AF163" i="53"/>
  <c r="X163" i="53"/>
  <c r="P163" i="53"/>
  <c r="C164" i="53"/>
  <c r="CN163" i="53"/>
  <c r="CF163" i="53"/>
  <c r="BX163" i="53"/>
  <c r="BP163" i="53"/>
  <c r="BQ163" i="53" s="1"/>
  <c r="BS163" i="53" s="1"/>
  <c r="BR164" i="53" s="1"/>
  <c r="BH163" i="53"/>
  <c r="AZ163" i="53"/>
  <c r="AR163" i="53"/>
  <c r="AJ163" i="53"/>
  <c r="AB163" i="53"/>
  <c r="T163" i="53"/>
  <c r="L163" i="53"/>
  <c r="U115" i="53"/>
  <c r="AI114" i="53"/>
  <c r="BC112" i="53"/>
  <c r="BJ112" i="53"/>
  <c r="CU111" i="53"/>
  <c r="F117" i="53"/>
  <c r="Z157" i="53"/>
  <c r="Y157" i="53" s="1"/>
  <c r="AA157" i="53" s="1"/>
  <c r="AQ113" i="53"/>
  <c r="CO163" i="53" l="1"/>
  <c r="CQ163" i="53" s="1"/>
  <c r="CP164" i="53" s="1"/>
  <c r="CG163" i="53"/>
  <c r="CI163" i="53" s="1"/>
  <c r="CH164" i="53" s="1"/>
  <c r="BZ161" i="53"/>
  <c r="BY161" i="53" s="1"/>
  <c r="CA161" i="53" s="1"/>
  <c r="BF150" i="53"/>
  <c r="BE150" i="53" s="1"/>
  <c r="BG150" i="53" s="1"/>
  <c r="N161" i="53"/>
  <c r="M161" i="53" s="1"/>
  <c r="O161" i="53" s="1"/>
  <c r="AD157" i="53"/>
  <c r="AC157" i="53" s="1"/>
  <c r="AE157" i="53" s="1"/>
  <c r="Z158" i="53"/>
  <c r="Y158" i="53" s="1"/>
  <c r="AA158" i="53" s="1"/>
  <c r="R160" i="53"/>
  <c r="Q160" i="53" s="1"/>
  <c r="S160" i="53" s="1"/>
  <c r="AX152" i="53"/>
  <c r="AW152" i="53" s="1"/>
  <c r="AY152" i="53" s="1"/>
  <c r="AL155" i="53"/>
  <c r="AK155" i="53" s="1"/>
  <c r="AM155" i="53" s="1"/>
  <c r="BV162" i="53"/>
  <c r="BU162" i="53" s="1"/>
  <c r="BW162" i="53" s="1"/>
  <c r="AP114" i="53"/>
  <c r="K116" i="53"/>
  <c r="AH115" i="53"/>
  <c r="AT153" i="53"/>
  <c r="AS153" i="53" s="1"/>
  <c r="AU153" i="53" s="1"/>
  <c r="E117" i="53"/>
  <c r="BI112" i="53"/>
  <c r="CT112" i="53"/>
  <c r="W115" i="53"/>
  <c r="BB113" i="53"/>
  <c r="CJ164" i="53"/>
  <c r="CK164" i="53" s="1"/>
  <c r="CM164" i="53" s="1"/>
  <c r="CL165" i="53" s="1"/>
  <c r="CB164" i="53"/>
  <c r="CC164" i="53" s="1"/>
  <c r="CE164" i="53" s="1"/>
  <c r="CD165" i="53" s="1"/>
  <c r="BT164" i="53"/>
  <c r="BL164" i="53"/>
  <c r="BM164" i="53" s="1"/>
  <c r="BO164" i="53" s="1"/>
  <c r="BN165" i="53" s="1"/>
  <c r="BD164" i="53"/>
  <c r="AV164" i="53"/>
  <c r="AN164" i="53"/>
  <c r="AF164" i="53"/>
  <c r="X164" i="53"/>
  <c r="P164" i="53"/>
  <c r="C165" i="53"/>
  <c r="CN164" i="53"/>
  <c r="CF164" i="53"/>
  <c r="BX164" i="53"/>
  <c r="BP164" i="53"/>
  <c r="BQ164" i="53" s="1"/>
  <c r="BS164" i="53" s="1"/>
  <c r="BR165" i="53" s="1"/>
  <c r="BH164" i="53"/>
  <c r="AZ164" i="53"/>
  <c r="AR164" i="53"/>
  <c r="AJ164" i="53"/>
  <c r="AB164" i="53"/>
  <c r="T164" i="53"/>
  <c r="L164" i="53"/>
  <c r="CO164" i="53" l="1"/>
  <c r="CQ164" i="53" s="1"/>
  <c r="CP165" i="53" s="1"/>
  <c r="CG164" i="53"/>
  <c r="CI164" i="53" s="1"/>
  <c r="CH165" i="53" s="1"/>
  <c r="AX153" i="53"/>
  <c r="AW153" i="53" s="1"/>
  <c r="AY153" i="53" s="1"/>
  <c r="Z159" i="53"/>
  <c r="Y159" i="53" s="1"/>
  <c r="AA159" i="53" s="1"/>
  <c r="N162" i="53"/>
  <c r="M162" i="53" s="1"/>
  <c r="O162" i="53" s="1"/>
  <c r="R161" i="53"/>
  <c r="Q161" i="53" s="1"/>
  <c r="S161" i="53" s="1"/>
  <c r="AD158" i="53"/>
  <c r="AC158" i="53" s="1"/>
  <c r="AE158" i="53" s="1"/>
  <c r="BF151" i="53"/>
  <c r="BE151" i="53" s="1"/>
  <c r="BG151" i="53" s="1"/>
  <c r="BV163" i="53"/>
  <c r="BU163" i="53" s="1"/>
  <c r="BW163" i="53" s="1"/>
  <c r="AL156" i="53"/>
  <c r="AK156" i="53" s="1"/>
  <c r="AM156" i="53" s="1"/>
  <c r="BK112" i="53"/>
  <c r="CS112" i="53"/>
  <c r="CJ165" i="53"/>
  <c r="CK165" i="53" s="1"/>
  <c r="CM165" i="53" s="1"/>
  <c r="CL166" i="53" s="1"/>
  <c r="CB165" i="53"/>
  <c r="CC165" i="53" s="1"/>
  <c r="CE165" i="53" s="1"/>
  <c r="CD166" i="53" s="1"/>
  <c r="BT165" i="53"/>
  <c r="BL165" i="53"/>
  <c r="BM165" i="53" s="1"/>
  <c r="BO165" i="53" s="1"/>
  <c r="BN166" i="53" s="1"/>
  <c r="BD165" i="53"/>
  <c r="AV165" i="53"/>
  <c r="AN165" i="53"/>
  <c r="AF165" i="53"/>
  <c r="X165" i="53"/>
  <c r="P165" i="53"/>
  <c r="C166" i="53"/>
  <c r="CN165" i="53"/>
  <c r="CF165" i="53"/>
  <c r="BX165" i="53"/>
  <c r="BP165" i="53"/>
  <c r="BQ165" i="53" s="1"/>
  <c r="BS165" i="53" s="1"/>
  <c r="BR166" i="53" s="1"/>
  <c r="BH165" i="53"/>
  <c r="AZ165" i="53"/>
  <c r="AR165" i="53"/>
  <c r="AJ165" i="53"/>
  <c r="AB165" i="53"/>
  <c r="T165" i="53"/>
  <c r="L165" i="53"/>
  <c r="BA113" i="53"/>
  <c r="AT154" i="53"/>
  <c r="AS154" i="53" s="1"/>
  <c r="AU154" i="53" s="1"/>
  <c r="AG115" i="53"/>
  <c r="V116" i="53"/>
  <c r="AO114" i="53"/>
  <c r="BZ162" i="53"/>
  <c r="BY162" i="53" s="1"/>
  <c r="CA162" i="53" s="1"/>
  <c r="G117" i="53"/>
  <c r="J117" i="53"/>
  <c r="CO165" i="53" l="1"/>
  <c r="CQ165" i="53" s="1"/>
  <c r="CP166" i="53" s="1"/>
  <c r="CG165" i="53"/>
  <c r="CI165" i="53" s="1"/>
  <c r="CH166" i="53" s="1"/>
  <c r="AD159" i="53"/>
  <c r="AC159" i="53" s="1"/>
  <c r="AE159" i="53" s="1"/>
  <c r="R162" i="53"/>
  <c r="Q162" i="53" s="1"/>
  <c r="S162" i="53" s="1"/>
  <c r="BF152" i="53"/>
  <c r="BE152" i="53" s="1"/>
  <c r="BG152" i="53" s="1"/>
  <c r="Z160" i="53"/>
  <c r="Y160" i="53" s="1"/>
  <c r="AA160" i="53" s="1"/>
  <c r="BV164" i="53"/>
  <c r="BU164" i="53" s="1"/>
  <c r="BW164" i="53" s="1"/>
  <c r="AT155" i="53"/>
  <c r="AS155" i="53" s="1"/>
  <c r="AU155" i="53" s="1"/>
  <c r="AL157" i="53"/>
  <c r="AK157" i="53" s="1"/>
  <c r="AM157" i="53" s="1"/>
  <c r="AX154" i="53"/>
  <c r="AW154" i="53" s="1"/>
  <c r="AY154" i="53" s="1"/>
  <c r="BC113" i="53"/>
  <c r="N163" i="53"/>
  <c r="M163" i="53" s="1"/>
  <c r="O163" i="53" s="1"/>
  <c r="BZ163" i="53"/>
  <c r="BY163" i="53" s="1"/>
  <c r="CA163" i="53" s="1"/>
  <c r="C167" i="53"/>
  <c r="CN166" i="53"/>
  <c r="CF166" i="53"/>
  <c r="BX166" i="53"/>
  <c r="BP166" i="53"/>
  <c r="BQ166" i="53" s="1"/>
  <c r="BS166" i="53" s="1"/>
  <c r="BR167" i="53" s="1"/>
  <c r="BH166" i="53"/>
  <c r="AZ166" i="53"/>
  <c r="AR166" i="53"/>
  <c r="AJ166" i="53"/>
  <c r="AB166" i="53"/>
  <c r="T166" i="53"/>
  <c r="AN166" i="53"/>
  <c r="AF166" i="53"/>
  <c r="CJ166" i="53"/>
  <c r="CK166" i="53" s="1"/>
  <c r="CM166" i="53" s="1"/>
  <c r="CL167" i="53" s="1"/>
  <c r="X166" i="53"/>
  <c r="CB166" i="53"/>
  <c r="CC166" i="53" s="1"/>
  <c r="CE166" i="53" s="1"/>
  <c r="CD167" i="53" s="1"/>
  <c r="P166" i="53"/>
  <c r="BT166" i="53"/>
  <c r="BL166" i="53"/>
  <c r="BM166" i="53" s="1"/>
  <c r="BO166" i="53" s="1"/>
  <c r="BN167" i="53" s="1"/>
  <c r="BD166" i="53"/>
  <c r="AV166" i="53"/>
  <c r="U116" i="53"/>
  <c r="F118" i="53"/>
  <c r="BJ113" i="53"/>
  <c r="CU112" i="53"/>
  <c r="AI115" i="53"/>
  <c r="I117" i="53"/>
  <c r="AQ114" i="53"/>
  <c r="CO166" i="53" l="1"/>
  <c r="CQ166" i="53" s="1"/>
  <c r="CP167" i="53" s="1"/>
  <c r="CG166" i="53"/>
  <c r="CI166" i="53" s="1"/>
  <c r="CH167" i="53" s="1"/>
  <c r="BF153" i="53"/>
  <c r="BE153" i="53" s="1"/>
  <c r="BG153" i="53" s="1"/>
  <c r="AX155" i="53"/>
  <c r="AW155" i="53" s="1"/>
  <c r="AY155" i="53" s="1"/>
  <c r="AL158" i="53"/>
  <c r="AK158" i="53" s="1"/>
  <c r="AM158" i="53" s="1"/>
  <c r="BV165" i="53"/>
  <c r="BU165" i="53" s="1"/>
  <c r="BW165" i="53" s="1"/>
  <c r="Z161" i="53"/>
  <c r="Y161" i="53" s="1"/>
  <c r="AA161" i="53" s="1"/>
  <c r="BB114" i="53"/>
  <c r="AP115" i="53"/>
  <c r="BZ164" i="53"/>
  <c r="BY164" i="53" s="1"/>
  <c r="CA164" i="53" s="1"/>
  <c r="AT156" i="53"/>
  <c r="AS156" i="53" s="1"/>
  <c r="AU156" i="53" s="1"/>
  <c r="R163" i="53"/>
  <c r="Q163" i="53" s="1"/>
  <c r="S163" i="53" s="1"/>
  <c r="AH116" i="53"/>
  <c r="E118" i="53"/>
  <c r="BI113" i="53"/>
  <c r="CT113" i="53"/>
  <c r="C168" i="53"/>
  <c r="CN167" i="53"/>
  <c r="CF167" i="53"/>
  <c r="BX167" i="53"/>
  <c r="BP167" i="53"/>
  <c r="BQ167" i="53" s="1"/>
  <c r="BS167" i="53" s="1"/>
  <c r="BR168" i="53" s="1"/>
  <c r="BH167" i="53"/>
  <c r="AZ167" i="53"/>
  <c r="AR167" i="53"/>
  <c r="AJ167" i="53"/>
  <c r="AB167" i="53"/>
  <c r="T167" i="53"/>
  <c r="CJ167" i="53"/>
  <c r="CK167" i="53" s="1"/>
  <c r="CM167" i="53" s="1"/>
  <c r="CL168" i="53" s="1"/>
  <c r="CB167" i="53"/>
  <c r="CC167" i="53" s="1"/>
  <c r="CE167" i="53" s="1"/>
  <c r="CD168" i="53" s="1"/>
  <c r="BT167" i="53"/>
  <c r="BL167" i="53"/>
  <c r="BM167" i="53" s="1"/>
  <c r="BO167" i="53" s="1"/>
  <c r="BN168" i="53" s="1"/>
  <c r="BD167" i="53"/>
  <c r="AV167" i="53"/>
  <c r="AN167" i="53"/>
  <c r="AF167" i="53"/>
  <c r="X167" i="53"/>
  <c r="P167" i="53"/>
  <c r="N164" i="53"/>
  <c r="M164" i="53" s="1"/>
  <c r="O164" i="53" s="1"/>
  <c r="N165" i="53" s="1"/>
  <c r="M165" i="53" s="1"/>
  <c r="W116" i="53"/>
  <c r="AD160" i="53"/>
  <c r="AC160" i="53" s="1"/>
  <c r="AE160" i="53" s="1"/>
  <c r="K117" i="53"/>
  <c r="CO167" i="53" l="1"/>
  <c r="CQ167" i="53" s="1"/>
  <c r="CP168" i="53" s="1"/>
  <c r="CG167" i="53"/>
  <c r="CI167" i="53" s="1"/>
  <c r="CH168" i="53" s="1"/>
  <c r="AT157" i="53"/>
  <c r="AS157" i="53" s="1"/>
  <c r="AU157" i="53" s="1"/>
  <c r="Z162" i="53"/>
  <c r="Y162" i="53" s="1"/>
  <c r="AA162" i="53" s="1"/>
  <c r="BZ165" i="53"/>
  <c r="BY165" i="53" s="1"/>
  <c r="CA165" i="53" s="1"/>
  <c r="BV166" i="53"/>
  <c r="BU166" i="53" s="1"/>
  <c r="BW166" i="53" s="1"/>
  <c r="AD161" i="53"/>
  <c r="AC161" i="53" s="1"/>
  <c r="AE161" i="53" s="1"/>
  <c r="BF154" i="53"/>
  <c r="BE154" i="53" s="1"/>
  <c r="BG154" i="53" s="1"/>
  <c r="G118" i="53"/>
  <c r="AO115" i="53"/>
  <c r="J118" i="53"/>
  <c r="AL159" i="53"/>
  <c r="AK159" i="53" s="1"/>
  <c r="AM159" i="53" s="1"/>
  <c r="C169" i="53"/>
  <c r="CN168" i="53"/>
  <c r="CF168" i="53"/>
  <c r="BX168" i="53"/>
  <c r="BP168" i="53"/>
  <c r="BQ168" i="53" s="1"/>
  <c r="BS168" i="53" s="1"/>
  <c r="BR169" i="53" s="1"/>
  <c r="BH168" i="53"/>
  <c r="AZ168" i="53"/>
  <c r="AR168" i="53"/>
  <c r="AJ168" i="53"/>
  <c r="AB168" i="53"/>
  <c r="T168" i="53"/>
  <c r="CJ168" i="53"/>
  <c r="CK168" i="53" s="1"/>
  <c r="CM168" i="53" s="1"/>
  <c r="CL169" i="53" s="1"/>
  <c r="CB168" i="53"/>
  <c r="CC168" i="53" s="1"/>
  <c r="CE168" i="53" s="1"/>
  <c r="CD169" i="53" s="1"/>
  <c r="BT168" i="53"/>
  <c r="BL168" i="53"/>
  <c r="BM168" i="53" s="1"/>
  <c r="BO168" i="53" s="1"/>
  <c r="BN169" i="53" s="1"/>
  <c r="BD168" i="53"/>
  <c r="AV168" i="53"/>
  <c r="AN168" i="53"/>
  <c r="AF168" i="53"/>
  <c r="X168" i="53"/>
  <c r="P168" i="53"/>
  <c r="V117" i="53"/>
  <c r="AG116" i="53"/>
  <c r="AX156" i="53"/>
  <c r="AW156" i="53" s="1"/>
  <c r="AY156" i="53" s="1"/>
  <c r="R164" i="53"/>
  <c r="Q164" i="53" s="1"/>
  <c r="S164" i="53" s="1"/>
  <c r="BK113" i="53"/>
  <c r="CS113" i="53"/>
  <c r="BA114" i="53"/>
  <c r="CO168" i="53" l="1"/>
  <c r="CQ168" i="53" s="1"/>
  <c r="CP169" i="53" s="1"/>
  <c r="CG168" i="53"/>
  <c r="CI168" i="53" s="1"/>
  <c r="CH169" i="53" s="1"/>
  <c r="BF155" i="53"/>
  <c r="BE155" i="53" s="1"/>
  <c r="BG155" i="53" s="1"/>
  <c r="AD162" i="53"/>
  <c r="AC162" i="53" s="1"/>
  <c r="AE162" i="53" s="1"/>
  <c r="BV167" i="53"/>
  <c r="BU167" i="53" s="1"/>
  <c r="BW167" i="53" s="1"/>
  <c r="AL160" i="53"/>
  <c r="AK160" i="53" s="1"/>
  <c r="AM160" i="53" s="1"/>
  <c r="Z163" i="53"/>
  <c r="Y163" i="53" s="1"/>
  <c r="AA163" i="53" s="1"/>
  <c r="AT158" i="53"/>
  <c r="AS158" i="53" s="1"/>
  <c r="AU158" i="53" s="1"/>
  <c r="AQ115" i="53"/>
  <c r="F119" i="53"/>
  <c r="BZ166" i="53"/>
  <c r="BY166" i="53" s="1"/>
  <c r="CA166" i="53" s="1"/>
  <c r="AX157" i="53"/>
  <c r="AW157" i="53" s="1"/>
  <c r="AY157" i="53" s="1"/>
  <c r="U117" i="53"/>
  <c r="C170" i="53"/>
  <c r="CN169" i="53"/>
  <c r="CF169" i="53"/>
  <c r="BX169" i="53"/>
  <c r="BP169" i="53"/>
  <c r="BQ169" i="53" s="1"/>
  <c r="BS169" i="53" s="1"/>
  <c r="BR170" i="53" s="1"/>
  <c r="BH169" i="53"/>
  <c r="AZ169" i="53"/>
  <c r="AR169" i="53"/>
  <c r="AJ169" i="53"/>
  <c r="AB169" i="53"/>
  <c r="T169" i="53"/>
  <c r="CJ169" i="53"/>
  <c r="CK169" i="53" s="1"/>
  <c r="CM169" i="53" s="1"/>
  <c r="CL170" i="53" s="1"/>
  <c r="CB169" i="53"/>
  <c r="CC169" i="53" s="1"/>
  <c r="CE169" i="53" s="1"/>
  <c r="CD170" i="53" s="1"/>
  <c r="BT169" i="53"/>
  <c r="BL169" i="53"/>
  <c r="BM169" i="53" s="1"/>
  <c r="BO169" i="53" s="1"/>
  <c r="BN170" i="53" s="1"/>
  <c r="BD169" i="53"/>
  <c r="AV169" i="53"/>
  <c r="AN169" i="53"/>
  <c r="AF169" i="53"/>
  <c r="X169" i="53"/>
  <c r="I118" i="53"/>
  <c r="BC114" i="53"/>
  <c r="R165" i="53"/>
  <c r="Q165" i="53" s="1"/>
  <c r="S165" i="53" s="1"/>
  <c r="AI116" i="53"/>
  <c r="BJ114" i="53"/>
  <c r="CU113" i="53"/>
  <c r="CO169" i="53" l="1"/>
  <c r="CQ169" i="53" s="1"/>
  <c r="CP170" i="53" s="1"/>
  <c r="CG169" i="53"/>
  <c r="CI169" i="53" s="1"/>
  <c r="CH170" i="53" s="1"/>
  <c r="BV168" i="53"/>
  <c r="BU168" i="53" s="1"/>
  <c r="BW168" i="53" s="1"/>
  <c r="Z164" i="53"/>
  <c r="Y164" i="53" s="1"/>
  <c r="AA164" i="53" s="1"/>
  <c r="AX158" i="53"/>
  <c r="AW158" i="53" s="1"/>
  <c r="AY158" i="53" s="1"/>
  <c r="AT159" i="53"/>
  <c r="AS159" i="53" s="1"/>
  <c r="AU159" i="53" s="1"/>
  <c r="R166" i="53"/>
  <c r="Q166" i="53" s="1"/>
  <c r="S166" i="53" s="1"/>
  <c r="AL161" i="53"/>
  <c r="AK161" i="53" s="1"/>
  <c r="AM161" i="53" s="1"/>
  <c r="BZ167" i="53"/>
  <c r="BY167" i="53" s="1"/>
  <c r="CA167" i="53" s="1"/>
  <c r="AD163" i="53"/>
  <c r="AC163" i="53" s="1"/>
  <c r="AE163" i="53" s="1"/>
  <c r="AP116" i="53"/>
  <c r="W117" i="53"/>
  <c r="AH117" i="53"/>
  <c r="E119" i="53"/>
  <c r="BI114" i="53"/>
  <c r="CT114" i="53"/>
  <c r="CJ170" i="53"/>
  <c r="CK170" i="53" s="1"/>
  <c r="CM170" i="53" s="1"/>
  <c r="CL171" i="53" s="1"/>
  <c r="CB170" i="53"/>
  <c r="CC170" i="53" s="1"/>
  <c r="CE170" i="53" s="1"/>
  <c r="CD171" i="53" s="1"/>
  <c r="BT170" i="53"/>
  <c r="BL170" i="53"/>
  <c r="BM170" i="53" s="1"/>
  <c r="BO170" i="53" s="1"/>
  <c r="BN171" i="53" s="1"/>
  <c r="BD170" i="53"/>
  <c r="AV170" i="53"/>
  <c r="AN170" i="53"/>
  <c r="AF170" i="53"/>
  <c r="X170" i="53"/>
  <c r="C171" i="53"/>
  <c r="AJ170" i="53"/>
  <c r="CN170" i="53"/>
  <c r="AB170" i="53"/>
  <c r="CF170" i="53"/>
  <c r="T170" i="53"/>
  <c r="BX170" i="53"/>
  <c r="BP170" i="53"/>
  <c r="BQ170" i="53" s="1"/>
  <c r="BS170" i="53" s="1"/>
  <c r="BR171" i="53" s="1"/>
  <c r="BH170" i="53"/>
  <c r="AZ170" i="53"/>
  <c r="AR170" i="53"/>
  <c r="BF156" i="53"/>
  <c r="BE156" i="53" s="1"/>
  <c r="BG156" i="53" s="1"/>
  <c r="BB115" i="53"/>
  <c r="K118" i="53"/>
  <c r="CO170" i="53" l="1"/>
  <c r="CQ170" i="53" s="1"/>
  <c r="CP171" i="53" s="1"/>
  <c r="CG170" i="53"/>
  <c r="CI170" i="53" s="1"/>
  <c r="CH171" i="53" s="1"/>
  <c r="AD164" i="53"/>
  <c r="AC164" i="53" s="1"/>
  <c r="AE164" i="53" s="1"/>
  <c r="AL162" i="53"/>
  <c r="AK162" i="53" s="1"/>
  <c r="AM162" i="53" s="1"/>
  <c r="R167" i="53"/>
  <c r="Q167" i="53" s="1"/>
  <c r="S167" i="53" s="1"/>
  <c r="R168" i="53" s="1"/>
  <c r="Q168" i="53" s="1"/>
  <c r="AT160" i="53"/>
  <c r="AS160" i="53" s="1"/>
  <c r="AU160" i="53" s="1"/>
  <c r="BZ168" i="53"/>
  <c r="BY168" i="53" s="1"/>
  <c r="CA168" i="53" s="1"/>
  <c r="AX159" i="53"/>
  <c r="AW159" i="53" s="1"/>
  <c r="AY159" i="53" s="1"/>
  <c r="BF157" i="53"/>
  <c r="BE157" i="53" s="1"/>
  <c r="BG157" i="53" s="1"/>
  <c r="Z165" i="53"/>
  <c r="Y165" i="53" s="1"/>
  <c r="AA165" i="53" s="1"/>
  <c r="BV169" i="53"/>
  <c r="BU169" i="53" s="1"/>
  <c r="BW169" i="53" s="1"/>
  <c r="CS114" i="53"/>
  <c r="BK114" i="53"/>
  <c r="G119" i="53"/>
  <c r="J119" i="53"/>
  <c r="CJ171" i="53"/>
  <c r="CK171" i="53" s="1"/>
  <c r="CM171" i="53" s="1"/>
  <c r="CL172" i="53" s="1"/>
  <c r="CB171" i="53"/>
  <c r="CC171" i="53" s="1"/>
  <c r="CE171" i="53" s="1"/>
  <c r="CD172" i="53" s="1"/>
  <c r="BT171" i="53"/>
  <c r="BL171" i="53"/>
  <c r="BM171" i="53" s="1"/>
  <c r="BO171" i="53" s="1"/>
  <c r="BN172" i="53" s="1"/>
  <c r="BD171" i="53"/>
  <c r="AV171" i="53"/>
  <c r="AN171" i="53"/>
  <c r="AF171" i="53"/>
  <c r="X171" i="53"/>
  <c r="C172" i="53"/>
  <c r="CN171" i="53"/>
  <c r="CF171" i="53"/>
  <c r="BX171" i="53"/>
  <c r="BP171" i="53"/>
  <c r="BQ171" i="53" s="1"/>
  <c r="BS171" i="53" s="1"/>
  <c r="BR172" i="53" s="1"/>
  <c r="BH171" i="53"/>
  <c r="AZ171" i="53"/>
  <c r="AR171" i="53"/>
  <c r="AJ171" i="53"/>
  <c r="AB171" i="53"/>
  <c r="T171" i="53"/>
  <c r="BA115" i="53"/>
  <c r="AO116" i="53"/>
  <c r="V118" i="53"/>
  <c r="AG117" i="53"/>
  <c r="CO171" i="53" l="1"/>
  <c r="CQ171" i="53" s="1"/>
  <c r="CP172" i="53" s="1"/>
  <c r="CG171" i="53"/>
  <c r="CI171" i="53" s="1"/>
  <c r="CH172" i="53" s="1"/>
  <c r="AT161" i="53"/>
  <c r="AS161" i="53" s="1"/>
  <c r="AU161" i="53" s="1"/>
  <c r="BF158" i="53"/>
  <c r="BE158" i="53" s="1"/>
  <c r="BG158" i="53" s="1"/>
  <c r="AL163" i="53"/>
  <c r="AK163" i="53" s="1"/>
  <c r="AM163" i="53" s="1"/>
  <c r="AX160" i="53"/>
  <c r="AW160" i="53" s="1"/>
  <c r="AY160" i="53" s="1"/>
  <c r="BV170" i="53"/>
  <c r="BU170" i="53" s="1"/>
  <c r="BW170" i="53" s="1"/>
  <c r="BZ169" i="53"/>
  <c r="BY169" i="53" s="1"/>
  <c r="CA169" i="53" s="1"/>
  <c r="Z166" i="53"/>
  <c r="Y166" i="53" s="1"/>
  <c r="AA166" i="53" s="1"/>
  <c r="U118" i="53"/>
  <c r="I119" i="53"/>
  <c r="F120" i="53"/>
  <c r="BC115" i="53"/>
  <c r="BJ115" i="53"/>
  <c r="CU114" i="53"/>
  <c r="AQ116" i="53"/>
  <c r="CJ172" i="53"/>
  <c r="CK172" i="53" s="1"/>
  <c r="CM172" i="53" s="1"/>
  <c r="CL173" i="53" s="1"/>
  <c r="CB172" i="53"/>
  <c r="CC172" i="53" s="1"/>
  <c r="CE172" i="53" s="1"/>
  <c r="CD173" i="53" s="1"/>
  <c r="BT172" i="53"/>
  <c r="BL172" i="53"/>
  <c r="BM172" i="53" s="1"/>
  <c r="BO172" i="53" s="1"/>
  <c r="BN173" i="53" s="1"/>
  <c r="BD172" i="53"/>
  <c r="AV172" i="53"/>
  <c r="AN172" i="53"/>
  <c r="AF172" i="53"/>
  <c r="X172" i="53"/>
  <c r="C173" i="53"/>
  <c r="CN172" i="53"/>
  <c r="CF172" i="53"/>
  <c r="BX172" i="53"/>
  <c r="BP172" i="53"/>
  <c r="BQ172" i="53" s="1"/>
  <c r="BS172" i="53" s="1"/>
  <c r="BR173" i="53" s="1"/>
  <c r="BH172" i="53"/>
  <c r="AZ172" i="53"/>
  <c r="AR172" i="53"/>
  <c r="AJ172" i="53"/>
  <c r="AB172" i="53"/>
  <c r="AD165" i="53"/>
  <c r="AC165" i="53" s="1"/>
  <c r="AE165" i="53" s="1"/>
  <c r="AI117" i="53"/>
  <c r="CO172" i="53" l="1"/>
  <c r="CQ172" i="53" s="1"/>
  <c r="CP173" i="53" s="1"/>
  <c r="CG172" i="53"/>
  <c r="CI172" i="53" s="1"/>
  <c r="CH173" i="53" s="1"/>
  <c r="BZ170" i="53"/>
  <c r="BY170" i="53" s="1"/>
  <c r="CA170" i="53" s="1"/>
  <c r="BV171" i="53"/>
  <c r="BU171" i="53" s="1"/>
  <c r="BW171" i="53" s="1"/>
  <c r="AX161" i="53"/>
  <c r="AW161" i="53" s="1"/>
  <c r="AY161" i="53" s="1"/>
  <c r="Z167" i="53"/>
  <c r="Y167" i="53" s="1"/>
  <c r="AA167" i="53" s="1"/>
  <c r="AT162" i="53"/>
  <c r="AS162" i="53" s="1"/>
  <c r="AU162" i="53" s="1"/>
  <c r="E120" i="53"/>
  <c r="AP117" i="53"/>
  <c r="W118" i="53"/>
  <c r="AL164" i="53"/>
  <c r="AK164" i="53" s="1"/>
  <c r="AM164" i="53" s="1"/>
  <c r="BB116" i="53"/>
  <c r="AD166" i="53"/>
  <c r="AC166" i="53" s="1"/>
  <c r="AE166" i="53" s="1"/>
  <c r="BF159" i="53"/>
  <c r="BE159" i="53" s="1"/>
  <c r="BG159" i="53" s="1"/>
  <c r="CJ173" i="53"/>
  <c r="CK173" i="53" s="1"/>
  <c r="CM173" i="53" s="1"/>
  <c r="CL174" i="53" s="1"/>
  <c r="CB173" i="53"/>
  <c r="CC173" i="53" s="1"/>
  <c r="CE173" i="53" s="1"/>
  <c r="CD174" i="53" s="1"/>
  <c r="BT173" i="53"/>
  <c r="BL173" i="53"/>
  <c r="BM173" i="53" s="1"/>
  <c r="BO173" i="53" s="1"/>
  <c r="BN174" i="53" s="1"/>
  <c r="BD173" i="53"/>
  <c r="AV173" i="53"/>
  <c r="AN173" i="53"/>
  <c r="AF173" i="53"/>
  <c r="X173" i="53"/>
  <c r="C174" i="53"/>
  <c r="CN173" i="53"/>
  <c r="CF173" i="53"/>
  <c r="CG173" i="53" s="1"/>
  <c r="CI173" i="53" s="1"/>
  <c r="CH174" i="53" s="1"/>
  <c r="BX173" i="53"/>
  <c r="BP173" i="53"/>
  <c r="BQ173" i="53" s="1"/>
  <c r="BS173" i="53" s="1"/>
  <c r="BR174" i="53" s="1"/>
  <c r="BH173" i="53"/>
  <c r="AZ173" i="53"/>
  <c r="AR173" i="53"/>
  <c r="AJ173" i="53"/>
  <c r="AB173" i="53"/>
  <c r="K119" i="53"/>
  <c r="AH118" i="53"/>
  <c r="BI115" i="53"/>
  <c r="CT115" i="53"/>
  <c r="CO173" i="53" l="1"/>
  <c r="CQ173" i="53" s="1"/>
  <c r="CP174" i="53" s="1"/>
  <c r="AD167" i="53"/>
  <c r="AC167" i="53" s="1"/>
  <c r="AE167" i="53" s="1"/>
  <c r="AT163" i="53"/>
  <c r="AS163" i="53" s="1"/>
  <c r="AU163" i="53" s="1"/>
  <c r="Z168" i="53"/>
  <c r="Y168" i="53" s="1"/>
  <c r="AA168" i="53" s="1"/>
  <c r="BZ171" i="53"/>
  <c r="BY171" i="53" s="1"/>
  <c r="CA171" i="53" s="1"/>
  <c r="G120" i="53"/>
  <c r="BK115" i="53"/>
  <c r="CS115" i="53"/>
  <c r="V119" i="53"/>
  <c r="AG118" i="53"/>
  <c r="AX162" i="53"/>
  <c r="AW162" i="53" s="1"/>
  <c r="AY162" i="53" s="1"/>
  <c r="C175" i="53"/>
  <c r="CN174" i="53"/>
  <c r="CF174" i="53"/>
  <c r="CG174" i="53" s="1"/>
  <c r="CI174" i="53" s="1"/>
  <c r="CH175" i="53" s="1"/>
  <c r="BX174" i="53"/>
  <c r="BP174" i="53"/>
  <c r="BQ174" i="53" s="1"/>
  <c r="BS174" i="53" s="1"/>
  <c r="BR175" i="53" s="1"/>
  <c r="BH174" i="53"/>
  <c r="AZ174" i="53"/>
  <c r="AR174" i="53"/>
  <c r="AJ174" i="53"/>
  <c r="AB174" i="53"/>
  <c r="AF174" i="53"/>
  <c r="CJ174" i="53"/>
  <c r="CK174" i="53" s="1"/>
  <c r="CM174" i="53" s="1"/>
  <c r="CL175" i="53" s="1"/>
  <c r="X174" i="53"/>
  <c r="CB174" i="53"/>
  <c r="CC174" i="53" s="1"/>
  <c r="CE174" i="53" s="1"/>
  <c r="CD175" i="53" s="1"/>
  <c r="BT174" i="53"/>
  <c r="BL174" i="53"/>
  <c r="BM174" i="53" s="1"/>
  <c r="BO174" i="53" s="1"/>
  <c r="BN175" i="53" s="1"/>
  <c r="BD174" i="53"/>
  <c r="AV174" i="53"/>
  <c r="AN174" i="53"/>
  <c r="BF160" i="53"/>
  <c r="BE160" i="53" s="1"/>
  <c r="BG160" i="53" s="1"/>
  <c r="BA116" i="53"/>
  <c r="BV172" i="53"/>
  <c r="BU172" i="53" s="1"/>
  <c r="BW172" i="53" s="1"/>
  <c r="J120" i="53"/>
  <c r="AL165" i="53"/>
  <c r="AK165" i="53" s="1"/>
  <c r="AM165" i="53" s="1"/>
  <c r="AO117" i="53"/>
  <c r="CO174" i="53" l="1"/>
  <c r="CQ174" i="53" s="1"/>
  <c r="CP175" i="53" s="1"/>
  <c r="AX163" i="53"/>
  <c r="AW163" i="53" s="1"/>
  <c r="AY163" i="53" s="1"/>
  <c r="AL166" i="53"/>
  <c r="AK166" i="53" s="1"/>
  <c r="AM166" i="53" s="1"/>
  <c r="BZ172" i="53"/>
  <c r="BY172" i="53" s="1"/>
  <c r="CA172" i="53" s="1"/>
  <c r="BV173" i="53"/>
  <c r="BU173" i="53" s="1"/>
  <c r="BW173" i="53" s="1"/>
  <c r="C176" i="53"/>
  <c r="CN175" i="53"/>
  <c r="CF175" i="53"/>
  <c r="CG175" i="53" s="1"/>
  <c r="CI175" i="53" s="1"/>
  <c r="CH176" i="53" s="1"/>
  <c r="BX175" i="53"/>
  <c r="BP175" i="53"/>
  <c r="BQ175" i="53" s="1"/>
  <c r="BS175" i="53" s="1"/>
  <c r="BR176" i="53" s="1"/>
  <c r="BH175" i="53"/>
  <c r="AZ175" i="53"/>
  <c r="AR175" i="53"/>
  <c r="AJ175" i="53"/>
  <c r="AB175" i="53"/>
  <c r="CJ175" i="53"/>
  <c r="CK175" i="53" s="1"/>
  <c r="CM175" i="53" s="1"/>
  <c r="CL176" i="53" s="1"/>
  <c r="CB175" i="53"/>
  <c r="CC175" i="53" s="1"/>
  <c r="CE175" i="53" s="1"/>
  <c r="CD176" i="53" s="1"/>
  <c r="BT175" i="53"/>
  <c r="BL175" i="53"/>
  <c r="BM175" i="53" s="1"/>
  <c r="BO175" i="53" s="1"/>
  <c r="BN176" i="53" s="1"/>
  <c r="BD175" i="53"/>
  <c r="AV175" i="53"/>
  <c r="AN175" i="53"/>
  <c r="AF175" i="53"/>
  <c r="U119" i="53"/>
  <c r="Z169" i="53"/>
  <c r="Y169" i="53" s="1"/>
  <c r="AA169" i="53" s="1"/>
  <c r="BJ116" i="53"/>
  <c r="CU115" i="53"/>
  <c r="BC116" i="53"/>
  <c r="F121" i="53"/>
  <c r="AT164" i="53"/>
  <c r="AS164" i="53" s="1"/>
  <c r="AU164" i="53" s="1"/>
  <c r="BF161" i="53"/>
  <c r="BE161" i="53" s="1"/>
  <c r="BG161" i="53" s="1"/>
  <c r="I120" i="53"/>
  <c r="AQ117" i="53"/>
  <c r="AI118" i="53"/>
  <c r="AD168" i="53"/>
  <c r="AC168" i="53" s="1"/>
  <c r="AE168" i="53" s="1"/>
  <c r="CO175" i="53" l="1"/>
  <c r="CQ175" i="53" s="1"/>
  <c r="CP176" i="53" s="1"/>
  <c r="AT165" i="53"/>
  <c r="AS165" i="53" s="1"/>
  <c r="AU165" i="53" s="1"/>
  <c r="BV174" i="53"/>
  <c r="BU174" i="53" s="1"/>
  <c r="BW174" i="53" s="1"/>
  <c r="AX164" i="53"/>
  <c r="AW164" i="53" s="1"/>
  <c r="AY164" i="53" s="1"/>
  <c r="W119" i="53"/>
  <c r="BI116" i="53"/>
  <c r="CT116" i="53"/>
  <c r="C177" i="53"/>
  <c r="CN176" i="53"/>
  <c r="CO176" i="53" s="1"/>
  <c r="CQ176" i="53" s="1"/>
  <c r="CP177" i="53" s="1"/>
  <c r="CF176" i="53"/>
  <c r="CG176" i="53" s="1"/>
  <c r="CI176" i="53" s="1"/>
  <c r="CH177" i="53" s="1"/>
  <c r="BX176" i="53"/>
  <c r="BP176" i="53"/>
  <c r="BQ176" i="53" s="1"/>
  <c r="BS176" i="53" s="1"/>
  <c r="BR177" i="53" s="1"/>
  <c r="BH176" i="53"/>
  <c r="AZ176" i="53"/>
  <c r="AR176" i="53"/>
  <c r="AJ176" i="53"/>
  <c r="AB176" i="53"/>
  <c r="CJ176" i="53"/>
  <c r="CK176" i="53" s="1"/>
  <c r="CM176" i="53" s="1"/>
  <c r="CL177" i="53" s="1"/>
  <c r="CB176" i="53"/>
  <c r="CC176" i="53" s="1"/>
  <c r="CE176" i="53" s="1"/>
  <c r="CD177" i="53" s="1"/>
  <c r="BT176" i="53"/>
  <c r="BL176" i="53"/>
  <c r="BM176" i="53" s="1"/>
  <c r="BO176" i="53" s="1"/>
  <c r="BN177" i="53" s="1"/>
  <c r="BD176" i="53"/>
  <c r="AV176" i="53"/>
  <c r="AN176" i="53"/>
  <c r="AF176" i="53"/>
  <c r="BZ173" i="53"/>
  <c r="BY173" i="53" s="1"/>
  <c r="CA173" i="53" s="1"/>
  <c r="K120" i="53"/>
  <c r="BF162" i="53"/>
  <c r="BE162" i="53" s="1"/>
  <c r="BG162" i="53" s="1"/>
  <c r="E121" i="53"/>
  <c r="Z170" i="53"/>
  <c r="Y170" i="53" s="1"/>
  <c r="AA170" i="53" s="1"/>
  <c r="AL167" i="53"/>
  <c r="AK167" i="53" s="1"/>
  <c r="AM167" i="53" s="1"/>
  <c r="AD169" i="53"/>
  <c r="AC169" i="53" s="1"/>
  <c r="AE169" i="53" s="1"/>
  <c r="AH119" i="53"/>
  <c r="BB117" i="53"/>
  <c r="AP118" i="53"/>
  <c r="BF163" i="53" l="1"/>
  <c r="BE163" i="53" s="1"/>
  <c r="BG163" i="53" s="1"/>
  <c r="AD170" i="53"/>
  <c r="AC170" i="53" s="1"/>
  <c r="AE170" i="53" s="1"/>
  <c r="AX165" i="53"/>
  <c r="AW165" i="53" s="1"/>
  <c r="AY165" i="53" s="1"/>
  <c r="BV175" i="53"/>
  <c r="BU175" i="53" s="1"/>
  <c r="BW175" i="53" s="1"/>
  <c r="Z171" i="53"/>
  <c r="Y171" i="53" s="1"/>
  <c r="AA171" i="53" s="1"/>
  <c r="AT166" i="53"/>
  <c r="AS166" i="53" s="1"/>
  <c r="AU166" i="53" s="1"/>
  <c r="BA117" i="53"/>
  <c r="BZ174" i="53"/>
  <c r="BY174" i="53" s="1"/>
  <c r="CA174" i="53" s="1"/>
  <c r="C178" i="53"/>
  <c r="CN177" i="53"/>
  <c r="CO177" i="53" s="1"/>
  <c r="CQ177" i="53" s="1"/>
  <c r="CP178" i="53" s="1"/>
  <c r="CF177" i="53"/>
  <c r="CG177" i="53" s="1"/>
  <c r="CI177" i="53" s="1"/>
  <c r="CH178" i="53" s="1"/>
  <c r="BX177" i="53"/>
  <c r="BP177" i="53"/>
  <c r="BQ177" i="53" s="1"/>
  <c r="BS177" i="53" s="1"/>
  <c r="BR178" i="53" s="1"/>
  <c r="BH177" i="53"/>
  <c r="AZ177" i="53"/>
  <c r="AR177" i="53"/>
  <c r="AJ177" i="53"/>
  <c r="AB177" i="53"/>
  <c r="CJ177" i="53"/>
  <c r="CK177" i="53" s="1"/>
  <c r="CM177" i="53" s="1"/>
  <c r="CL178" i="53" s="1"/>
  <c r="CB177" i="53"/>
  <c r="CC177" i="53" s="1"/>
  <c r="CE177" i="53" s="1"/>
  <c r="CD178" i="53" s="1"/>
  <c r="BT177" i="53"/>
  <c r="BL177" i="53"/>
  <c r="BM177" i="53" s="1"/>
  <c r="BO177" i="53" s="1"/>
  <c r="BN178" i="53" s="1"/>
  <c r="BD177" i="53"/>
  <c r="AV177" i="53"/>
  <c r="AN177" i="53"/>
  <c r="AF177" i="53"/>
  <c r="J121" i="53"/>
  <c r="G121" i="53"/>
  <c r="AO118" i="53"/>
  <c r="AL168" i="53"/>
  <c r="AK168" i="53" s="1"/>
  <c r="AM168" i="53" s="1"/>
  <c r="AG119" i="53"/>
  <c r="CS116" i="53"/>
  <c r="BK116" i="53"/>
  <c r="V120" i="53"/>
  <c r="AT167" i="53" l="1"/>
  <c r="AS167" i="53" s="1"/>
  <c r="AU167" i="53" s="1"/>
  <c r="BV176" i="53"/>
  <c r="BU176" i="53" s="1"/>
  <c r="BW176" i="53" s="1"/>
  <c r="AX166" i="53"/>
  <c r="AW166" i="53" s="1"/>
  <c r="AY166" i="53" s="1"/>
  <c r="Z172" i="53"/>
  <c r="Y172" i="53" s="1"/>
  <c r="AA172" i="53" s="1"/>
  <c r="BZ175" i="53"/>
  <c r="BY175" i="53" s="1"/>
  <c r="CA175" i="53" s="1"/>
  <c r="AL169" i="53"/>
  <c r="AK169" i="53" s="1"/>
  <c r="AM169" i="53" s="1"/>
  <c r="BC117" i="53"/>
  <c r="CJ178" i="53"/>
  <c r="CK178" i="53" s="1"/>
  <c r="CM178" i="53" s="1"/>
  <c r="CL179" i="53" s="1"/>
  <c r="CB178" i="53"/>
  <c r="CC178" i="53" s="1"/>
  <c r="CE178" i="53" s="1"/>
  <c r="CD179" i="53" s="1"/>
  <c r="BT178" i="53"/>
  <c r="BL178" i="53"/>
  <c r="BM178" i="53" s="1"/>
  <c r="BO178" i="53" s="1"/>
  <c r="BN179" i="53" s="1"/>
  <c r="BD178" i="53"/>
  <c r="AV178" i="53"/>
  <c r="AN178" i="53"/>
  <c r="AF178" i="53"/>
  <c r="CN178" i="53"/>
  <c r="CO178" i="53" s="1"/>
  <c r="CQ178" i="53" s="1"/>
  <c r="CP179" i="53" s="1"/>
  <c r="CF178" i="53"/>
  <c r="CG178" i="53" s="1"/>
  <c r="CI178" i="53" s="1"/>
  <c r="CH179" i="53" s="1"/>
  <c r="BX178" i="53"/>
  <c r="BP178" i="53"/>
  <c r="BQ178" i="53" s="1"/>
  <c r="BS178" i="53" s="1"/>
  <c r="BR179" i="53" s="1"/>
  <c r="BH178" i="53"/>
  <c r="AZ178" i="53"/>
  <c r="AR178" i="53"/>
  <c r="C179" i="53"/>
  <c r="AJ178" i="53"/>
  <c r="AD171" i="53"/>
  <c r="AC171" i="53" s="1"/>
  <c r="AE171" i="53" s="1"/>
  <c r="I121" i="53"/>
  <c r="BJ117" i="53"/>
  <c r="CU116" i="53"/>
  <c r="U120" i="53"/>
  <c r="AI119" i="53"/>
  <c r="AQ118" i="53"/>
  <c r="BF164" i="53"/>
  <c r="BE164" i="53" s="1"/>
  <c r="BG164" i="53" s="1"/>
  <c r="F122" i="53"/>
  <c r="AL170" i="53" l="1"/>
  <c r="AK170" i="53" s="1"/>
  <c r="AM170" i="53" s="1"/>
  <c r="BZ176" i="53"/>
  <c r="BY176" i="53" s="1"/>
  <c r="CA176" i="53" s="1"/>
  <c r="Z173" i="53"/>
  <c r="Y173" i="53" s="1"/>
  <c r="AA173" i="53" s="1"/>
  <c r="Z174" i="53" s="1"/>
  <c r="Y174" i="53" s="1"/>
  <c r="BF165" i="53"/>
  <c r="BE165" i="53" s="1"/>
  <c r="BG165" i="53" s="1"/>
  <c r="AX167" i="53"/>
  <c r="AW167" i="53" s="1"/>
  <c r="AY167" i="53" s="1"/>
  <c r="BV177" i="53"/>
  <c r="BU177" i="53" s="1"/>
  <c r="BW177" i="53" s="1"/>
  <c r="AT168" i="53"/>
  <c r="AS168" i="53" s="1"/>
  <c r="AU168" i="53" s="1"/>
  <c r="K121" i="53"/>
  <c r="AP119" i="53"/>
  <c r="E122" i="53"/>
  <c r="AH120" i="53"/>
  <c r="BI117" i="53"/>
  <c r="CT117" i="53"/>
  <c r="CJ179" i="53"/>
  <c r="CK179" i="53" s="1"/>
  <c r="CM179" i="53" s="1"/>
  <c r="CL180" i="53" s="1"/>
  <c r="CB179" i="53"/>
  <c r="CC179" i="53" s="1"/>
  <c r="CE179" i="53" s="1"/>
  <c r="CD180" i="53" s="1"/>
  <c r="BT179" i="53"/>
  <c r="BL179" i="53"/>
  <c r="BM179" i="53" s="1"/>
  <c r="BO179" i="53" s="1"/>
  <c r="BN180" i="53" s="1"/>
  <c r="BD179" i="53"/>
  <c r="AV179" i="53"/>
  <c r="AN179" i="53"/>
  <c r="AF179" i="53"/>
  <c r="C180" i="53"/>
  <c r="CN179" i="53"/>
  <c r="CO179" i="53" s="1"/>
  <c r="CQ179" i="53" s="1"/>
  <c r="CP180" i="53" s="1"/>
  <c r="CF179" i="53"/>
  <c r="CG179" i="53" s="1"/>
  <c r="CI179" i="53" s="1"/>
  <c r="CH180" i="53" s="1"/>
  <c r="BX179" i="53"/>
  <c r="BP179" i="53"/>
  <c r="BQ179" i="53" s="1"/>
  <c r="BS179" i="53" s="1"/>
  <c r="BR180" i="53" s="1"/>
  <c r="BH179" i="53"/>
  <c r="AZ179" i="53"/>
  <c r="AR179" i="53"/>
  <c r="AJ179" i="53"/>
  <c r="AD172" i="53"/>
  <c r="AC172" i="53" s="1"/>
  <c r="AE172" i="53" s="1"/>
  <c r="BB118" i="53"/>
  <c r="W120" i="53"/>
  <c r="BV178" i="53" l="1"/>
  <c r="BU178" i="53" s="1"/>
  <c r="BW178" i="53" s="1"/>
  <c r="AX168" i="53"/>
  <c r="AW168" i="53" s="1"/>
  <c r="AY168" i="53" s="1"/>
  <c r="BF166" i="53"/>
  <c r="BE166" i="53" s="1"/>
  <c r="BG166" i="53" s="1"/>
  <c r="AT169" i="53"/>
  <c r="AS169" i="53" s="1"/>
  <c r="AU169" i="53" s="1"/>
  <c r="BZ177" i="53"/>
  <c r="BY177" i="53" s="1"/>
  <c r="CA177" i="53" s="1"/>
  <c r="AD173" i="53"/>
  <c r="AC173" i="53" s="1"/>
  <c r="AE173" i="53" s="1"/>
  <c r="AL171" i="53"/>
  <c r="AK171" i="53" s="1"/>
  <c r="AM171" i="53" s="1"/>
  <c r="G122" i="53"/>
  <c r="V121" i="53"/>
  <c r="CJ180" i="53"/>
  <c r="CK180" i="53" s="1"/>
  <c r="CM180" i="53" s="1"/>
  <c r="CL181" i="53" s="1"/>
  <c r="CB180" i="53"/>
  <c r="CC180" i="53" s="1"/>
  <c r="CE180" i="53" s="1"/>
  <c r="CD181" i="53" s="1"/>
  <c r="BT180" i="53"/>
  <c r="BL180" i="53"/>
  <c r="BM180" i="53" s="1"/>
  <c r="BO180" i="53" s="1"/>
  <c r="BN181" i="53" s="1"/>
  <c r="BD180" i="53"/>
  <c r="AV180" i="53"/>
  <c r="AN180" i="53"/>
  <c r="AF180" i="53"/>
  <c r="C181" i="53"/>
  <c r="CN180" i="53"/>
  <c r="CO180" i="53" s="1"/>
  <c r="CQ180" i="53" s="1"/>
  <c r="CP181" i="53" s="1"/>
  <c r="CF180" i="53"/>
  <c r="CG180" i="53" s="1"/>
  <c r="CI180" i="53" s="1"/>
  <c r="CH181" i="53" s="1"/>
  <c r="BX180" i="53"/>
  <c r="BP180" i="53"/>
  <c r="BQ180" i="53" s="1"/>
  <c r="BS180" i="53" s="1"/>
  <c r="BR181" i="53" s="1"/>
  <c r="BH180" i="53"/>
  <c r="AZ180" i="53"/>
  <c r="AR180" i="53"/>
  <c r="AJ180" i="53"/>
  <c r="CS117" i="53"/>
  <c r="BK117" i="53"/>
  <c r="AO119" i="53"/>
  <c r="J122" i="53"/>
  <c r="BA118" i="53"/>
  <c r="AG120" i="53"/>
  <c r="BZ178" i="53" l="1"/>
  <c r="BY178" i="53" s="1"/>
  <c r="CA178" i="53" s="1"/>
  <c r="AT170" i="53"/>
  <c r="AS170" i="53" s="1"/>
  <c r="AU170" i="53" s="1"/>
  <c r="AL172" i="53"/>
  <c r="AK172" i="53" s="1"/>
  <c r="AM172" i="53" s="1"/>
  <c r="F123" i="53"/>
  <c r="BC118" i="53"/>
  <c r="CJ181" i="53"/>
  <c r="CK181" i="53" s="1"/>
  <c r="CM181" i="53" s="1"/>
  <c r="CL182" i="53" s="1"/>
  <c r="CB181" i="53"/>
  <c r="CC181" i="53" s="1"/>
  <c r="CE181" i="53" s="1"/>
  <c r="CD182" i="53" s="1"/>
  <c r="BT181" i="53"/>
  <c r="BL181" i="53"/>
  <c r="BM181" i="53" s="1"/>
  <c r="BO181" i="53" s="1"/>
  <c r="BN182" i="53" s="1"/>
  <c r="BD181" i="53"/>
  <c r="AV181" i="53"/>
  <c r="AN181" i="53"/>
  <c r="C182" i="53"/>
  <c r="CN181" i="53"/>
  <c r="CO181" i="53" s="1"/>
  <c r="CQ181" i="53" s="1"/>
  <c r="CP182" i="53" s="1"/>
  <c r="CF181" i="53"/>
  <c r="CG181" i="53" s="1"/>
  <c r="CI181" i="53" s="1"/>
  <c r="CH182" i="53" s="1"/>
  <c r="BX181" i="53"/>
  <c r="BP181" i="53"/>
  <c r="BQ181" i="53" s="1"/>
  <c r="BS181" i="53" s="1"/>
  <c r="BR182" i="53" s="1"/>
  <c r="BH181" i="53"/>
  <c r="AZ181" i="53"/>
  <c r="AR181" i="53"/>
  <c r="AJ181" i="53"/>
  <c r="BF167" i="53"/>
  <c r="BE167" i="53" s="1"/>
  <c r="BG167" i="53" s="1"/>
  <c r="AI120" i="53"/>
  <c r="I122" i="53"/>
  <c r="AD174" i="53"/>
  <c r="AC174" i="53" s="1"/>
  <c r="AE174" i="53" s="1"/>
  <c r="AX169" i="53"/>
  <c r="AW169" i="53" s="1"/>
  <c r="AY169" i="53" s="1"/>
  <c r="BJ118" i="53"/>
  <c r="CU117" i="53"/>
  <c r="U121" i="53"/>
  <c r="BV179" i="53"/>
  <c r="BU179" i="53" s="1"/>
  <c r="BW179" i="53" s="1"/>
  <c r="AQ119" i="53"/>
  <c r="AX170" i="53" l="1"/>
  <c r="AW170" i="53" s="1"/>
  <c r="AY170" i="53" s="1"/>
  <c r="AD175" i="53"/>
  <c r="AC175" i="53" s="1"/>
  <c r="AE175" i="53" s="1"/>
  <c r="BV180" i="53"/>
  <c r="BU180" i="53" s="1"/>
  <c r="BW180" i="53" s="1"/>
  <c r="AT171" i="53"/>
  <c r="AS171" i="53" s="1"/>
  <c r="AU171" i="53" s="1"/>
  <c r="BZ179" i="53"/>
  <c r="BY179" i="53" s="1"/>
  <c r="CA179" i="53" s="1"/>
  <c r="W121" i="53"/>
  <c r="E123" i="53"/>
  <c r="AL173" i="53"/>
  <c r="AK173" i="53" s="1"/>
  <c r="AM173" i="53" s="1"/>
  <c r="C183" i="53"/>
  <c r="CN182" i="53"/>
  <c r="CO182" i="53" s="1"/>
  <c r="CQ182" i="53" s="1"/>
  <c r="CP183" i="53" s="1"/>
  <c r="CF182" i="53"/>
  <c r="CG182" i="53" s="1"/>
  <c r="CI182" i="53" s="1"/>
  <c r="CH183" i="53" s="1"/>
  <c r="BX182" i="53"/>
  <c r="BP182" i="53"/>
  <c r="BQ182" i="53" s="1"/>
  <c r="BS182" i="53" s="1"/>
  <c r="BR183" i="53" s="1"/>
  <c r="BH182" i="53"/>
  <c r="AZ182" i="53"/>
  <c r="AR182" i="53"/>
  <c r="AJ182" i="53"/>
  <c r="CJ182" i="53"/>
  <c r="CK182" i="53" s="1"/>
  <c r="CM182" i="53" s="1"/>
  <c r="CL183" i="53" s="1"/>
  <c r="CB182" i="53"/>
  <c r="CC182" i="53" s="1"/>
  <c r="CE182" i="53" s="1"/>
  <c r="CD183" i="53" s="1"/>
  <c r="BT182" i="53"/>
  <c r="BL182" i="53"/>
  <c r="BM182" i="53" s="1"/>
  <c r="BO182" i="53" s="1"/>
  <c r="BN183" i="53" s="1"/>
  <c r="BD182" i="53"/>
  <c r="AV182" i="53"/>
  <c r="AN182" i="53"/>
  <c r="BI118" i="53"/>
  <c r="CT118" i="53"/>
  <c r="K122" i="53"/>
  <c r="BB119" i="53"/>
  <c r="BF168" i="53"/>
  <c r="BE168" i="53" s="1"/>
  <c r="BG168" i="53" s="1"/>
  <c r="AP120" i="53"/>
  <c r="AH121" i="53"/>
  <c r="AT172" i="53" l="1"/>
  <c r="AS172" i="53" s="1"/>
  <c r="AU172" i="53" s="1"/>
  <c r="BV181" i="53"/>
  <c r="BU181" i="53" s="1"/>
  <c r="BW181" i="53" s="1"/>
  <c r="AD176" i="53"/>
  <c r="AC176" i="53" s="1"/>
  <c r="AE176" i="53" s="1"/>
  <c r="AD177" i="53" s="1"/>
  <c r="AC177" i="53" s="1"/>
  <c r="BZ180" i="53"/>
  <c r="BY180" i="53" s="1"/>
  <c r="CA180" i="53" s="1"/>
  <c r="AL174" i="53"/>
  <c r="AK174" i="53" s="1"/>
  <c r="AM174" i="53" s="1"/>
  <c r="BF169" i="53"/>
  <c r="BE169" i="53" s="1"/>
  <c r="BG169" i="53" s="1"/>
  <c r="AO120" i="53"/>
  <c r="AG121" i="53"/>
  <c r="V122" i="53"/>
  <c r="J123" i="53"/>
  <c r="CS118" i="53"/>
  <c r="BK118" i="53"/>
  <c r="BA119" i="53"/>
  <c r="C184" i="53"/>
  <c r="CN183" i="53"/>
  <c r="CO183" i="53" s="1"/>
  <c r="CQ183" i="53" s="1"/>
  <c r="CP184" i="53" s="1"/>
  <c r="CF183" i="53"/>
  <c r="CG183" i="53" s="1"/>
  <c r="CI183" i="53" s="1"/>
  <c r="CH184" i="53" s="1"/>
  <c r="BX183" i="53"/>
  <c r="BP183" i="53"/>
  <c r="BQ183" i="53" s="1"/>
  <c r="BS183" i="53" s="1"/>
  <c r="BR184" i="53" s="1"/>
  <c r="BH183" i="53"/>
  <c r="AZ183" i="53"/>
  <c r="AR183" i="53"/>
  <c r="AJ183" i="53"/>
  <c r="CJ183" i="53"/>
  <c r="CK183" i="53" s="1"/>
  <c r="CM183" i="53" s="1"/>
  <c r="CL184" i="53" s="1"/>
  <c r="CB183" i="53"/>
  <c r="CC183" i="53" s="1"/>
  <c r="CE183" i="53" s="1"/>
  <c r="CD184" i="53" s="1"/>
  <c r="BT183" i="53"/>
  <c r="BL183" i="53"/>
  <c r="BM183" i="53" s="1"/>
  <c r="BO183" i="53" s="1"/>
  <c r="BN184" i="53" s="1"/>
  <c r="BD183" i="53"/>
  <c r="AV183" i="53"/>
  <c r="AN183" i="53"/>
  <c r="G123" i="53"/>
  <c r="AX171" i="53"/>
  <c r="AW171" i="53" s="1"/>
  <c r="AY171" i="53" s="1"/>
  <c r="BF170" i="53" l="1"/>
  <c r="BE170" i="53" s="1"/>
  <c r="BG170" i="53" s="1"/>
  <c r="BZ181" i="53"/>
  <c r="BY181" i="53" s="1"/>
  <c r="CA181" i="53" s="1"/>
  <c r="AL175" i="53"/>
  <c r="AK175" i="53" s="1"/>
  <c r="AM175" i="53" s="1"/>
  <c r="BV182" i="53"/>
  <c r="BU182" i="53" s="1"/>
  <c r="BW182" i="53" s="1"/>
  <c r="AT173" i="53"/>
  <c r="AS173" i="53" s="1"/>
  <c r="AU173" i="53" s="1"/>
  <c r="BC119" i="53"/>
  <c r="U122" i="53"/>
  <c r="AX172" i="53"/>
  <c r="AW172" i="53" s="1"/>
  <c r="AY172" i="53" s="1"/>
  <c r="BJ119" i="53"/>
  <c r="CU118" i="53"/>
  <c r="C185" i="53"/>
  <c r="CN184" i="53"/>
  <c r="CO184" i="53" s="1"/>
  <c r="CQ184" i="53" s="1"/>
  <c r="CP185" i="53" s="1"/>
  <c r="CF184" i="53"/>
  <c r="CG184" i="53" s="1"/>
  <c r="CI184" i="53" s="1"/>
  <c r="CH185" i="53" s="1"/>
  <c r="BX184" i="53"/>
  <c r="BP184" i="53"/>
  <c r="BQ184" i="53" s="1"/>
  <c r="BS184" i="53" s="1"/>
  <c r="BR185" i="53" s="1"/>
  <c r="BH184" i="53"/>
  <c r="AZ184" i="53"/>
  <c r="AR184" i="53"/>
  <c r="CJ184" i="53"/>
  <c r="CK184" i="53" s="1"/>
  <c r="CM184" i="53" s="1"/>
  <c r="CL185" i="53" s="1"/>
  <c r="CB184" i="53"/>
  <c r="CC184" i="53" s="1"/>
  <c r="CE184" i="53" s="1"/>
  <c r="CD185" i="53" s="1"/>
  <c r="BT184" i="53"/>
  <c r="BL184" i="53"/>
  <c r="BM184" i="53" s="1"/>
  <c r="BO184" i="53" s="1"/>
  <c r="BN185" i="53" s="1"/>
  <c r="BD184" i="53"/>
  <c r="AV184" i="53"/>
  <c r="AN184" i="53"/>
  <c r="AI121" i="53"/>
  <c r="F124" i="53"/>
  <c r="AQ120" i="53"/>
  <c r="I123" i="53"/>
  <c r="BV183" i="53" l="1"/>
  <c r="BU183" i="53" s="1"/>
  <c r="BW183" i="53" s="1"/>
  <c r="AX173" i="53"/>
  <c r="AW173" i="53" s="1"/>
  <c r="AY173" i="53" s="1"/>
  <c r="E124" i="53"/>
  <c r="C186" i="53"/>
  <c r="CN185" i="53"/>
  <c r="CO185" i="53" s="1"/>
  <c r="CQ185" i="53" s="1"/>
  <c r="CP186" i="53" s="1"/>
  <c r="CF185" i="53"/>
  <c r="CG185" i="53" s="1"/>
  <c r="CI185" i="53" s="1"/>
  <c r="CH186" i="53" s="1"/>
  <c r="BX185" i="53"/>
  <c r="BP185" i="53"/>
  <c r="BQ185" i="53" s="1"/>
  <c r="BS185" i="53" s="1"/>
  <c r="BR186" i="53" s="1"/>
  <c r="BH185" i="53"/>
  <c r="AZ185" i="53"/>
  <c r="AR185" i="53"/>
  <c r="CJ185" i="53"/>
  <c r="CK185" i="53" s="1"/>
  <c r="CM185" i="53" s="1"/>
  <c r="CL186" i="53" s="1"/>
  <c r="CB185" i="53"/>
  <c r="CC185" i="53" s="1"/>
  <c r="CE185" i="53" s="1"/>
  <c r="CD186" i="53" s="1"/>
  <c r="BT185" i="53"/>
  <c r="BL185" i="53"/>
  <c r="BM185" i="53" s="1"/>
  <c r="BO185" i="53" s="1"/>
  <c r="BN186" i="53" s="1"/>
  <c r="BD185" i="53"/>
  <c r="AV185" i="53"/>
  <c r="AN185" i="53"/>
  <c r="W122" i="53"/>
  <c r="AL176" i="53"/>
  <c r="AK176" i="53" s="1"/>
  <c r="AM176" i="53" s="1"/>
  <c r="AP121" i="53"/>
  <c r="BB120" i="53"/>
  <c r="AH122" i="53"/>
  <c r="BZ182" i="53"/>
  <c r="BY182" i="53" s="1"/>
  <c r="CA182" i="53" s="1"/>
  <c r="K123" i="53"/>
  <c r="BI119" i="53"/>
  <c r="CT119" i="53"/>
  <c r="AT174" i="53"/>
  <c r="AS174" i="53" s="1"/>
  <c r="AU174" i="53" s="1"/>
  <c r="BF171" i="53"/>
  <c r="BE171" i="53" s="1"/>
  <c r="BG171" i="53" s="1"/>
  <c r="BZ183" i="53" l="1"/>
  <c r="BY183" i="53" s="1"/>
  <c r="CA183" i="53" s="1"/>
  <c r="AT175" i="53"/>
  <c r="AS175" i="53" s="1"/>
  <c r="AU175" i="53" s="1"/>
  <c r="BV184" i="53"/>
  <c r="BU184" i="53" s="1"/>
  <c r="BW184" i="53" s="1"/>
  <c r="V123" i="53"/>
  <c r="CJ186" i="53"/>
  <c r="CK186" i="53" s="1"/>
  <c r="CM186" i="53" s="1"/>
  <c r="CL187" i="53" s="1"/>
  <c r="CB186" i="53"/>
  <c r="CC186" i="53" s="1"/>
  <c r="CE186" i="53" s="1"/>
  <c r="CD187" i="53" s="1"/>
  <c r="BT186" i="53"/>
  <c r="BL186" i="53"/>
  <c r="BM186" i="53" s="1"/>
  <c r="BO186" i="53" s="1"/>
  <c r="BN187" i="53" s="1"/>
  <c r="BD186" i="53"/>
  <c r="AV186" i="53"/>
  <c r="AN186" i="53"/>
  <c r="CF186" i="53"/>
  <c r="CG186" i="53" s="1"/>
  <c r="CI186" i="53" s="1"/>
  <c r="CH187" i="53" s="1"/>
  <c r="BX186" i="53"/>
  <c r="BP186" i="53"/>
  <c r="BQ186" i="53" s="1"/>
  <c r="BS186" i="53" s="1"/>
  <c r="BR187" i="53" s="1"/>
  <c r="BH186" i="53"/>
  <c r="AZ186" i="53"/>
  <c r="AR186" i="53"/>
  <c r="C187" i="53"/>
  <c r="CN186" i="53"/>
  <c r="CO186" i="53" s="1"/>
  <c r="CQ186" i="53" s="1"/>
  <c r="CP187" i="53" s="1"/>
  <c r="G124" i="53"/>
  <c r="BA120" i="53"/>
  <c r="AX174" i="53"/>
  <c r="AW174" i="53" s="1"/>
  <c r="AY174" i="53" s="1"/>
  <c r="BF172" i="53"/>
  <c r="BE172" i="53" s="1"/>
  <c r="BG172" i="53" s="1"/>
  <c r="AO121" i="53"/>
  <c r="BK119" i="53"/>
  <c r="CS119" i="53"/>
  <c r="AG122" i="53"/>
  <c r="AL177" i="53"/>
  <c r="AK177" i="53" s="1"/>
  <c r="AM177" i="53" s="1"/>
  <c r="J124" i="53"/>
  <c r="BF173" i="53" l="1"/>
  <c r="BE173" i="53" s="1"/>
  <c r="BG173" i="53" s="1"/>
  <c r="AL178" i="53"/>
  <c r="AK178" i="53" s="1"/>
  <c r="AM178" i="53" s="1"/>
  <c r="U123" i="53"/>
  <c r="BV185" i="53"/>
  <c r="BU185" i="53" s="1"/>
  <c r="BW185" i="53" s="1"/>
  <c r="AI122" i="53"/>
  <c r="I124" i="53"/>
  <c r="AX175" i="53"/>
  <c r="AW175" i="53" s="1"/>
  <c r="AY175" i="53" s="1"/>
  <c r="AT176" i="53"/>
  <c r="AS176" i="53" s="1"/>
  <c r="AU176" i="53" s="1"/>
  <c r="BJ120" i="53"/>
  <c r="CU119" i="53"/>
  <c r="CJ187" i="53"/>
  <c r="CK187" i="53" s="1"/>
  <c r="CM187" i="53" s="1"/>
  <c r="CL188" i="53" s="1"/>
  <c r="CB187" i="53"/>
  <c r="CC187" i="53" s="1"/>
  <c r="CE187" i="53" s="1"/>
  <c r="CD188" i="53" s="1"/>
  <c r="BT187" i="53"/>
  <c r="BL187" i="53"/>
  <c r="BM187" i="53" s="1"/>
  <c r="BO187" i="53" s="1"/>
  <c r="BN188" i="53" s="1"/>
  <c r="BD187" i="53"/>
  <c r="AV187" i="53"/>
  <c r="C188" i="53"/>
  <c r="CN187" i="53"/>
  <c r="CO187" i="53" s="1"/>
  <c r="CQ187" i="53" s="1"/>
  <c r="CP188" i="53" s="1"/>
  <c r="CF187" i="53"/>
  <c r="CG187" i="53" s="1"/>
  <c r="CI187" i="53" s="1"/>
  <c r="CH188" i="53" s="1"/>
  <c r="BX187" i="53"/>
  <c r="BP187" i="53"/>
  <c r="BQ187" i="53" s="1"/>
  <c r="BS187" i="53" s="1"/>
  <c r="BR188" i="53" s="1"/>
  <c r="BH187" i="53"/>
  <c r="AZ187" i="53"/>
  <c r="AR187" i="53"/>
  <c r="F125" i="53"/>
  <c r="BZ184" i="53"/>
  <c r="BY184" i="53" s="1"/>
  <c r="CA184" i="53" s="1"/>
  <c r="BC120" i="53"/>
  <c r="AQ121" i="53"/>
  <c r="BV186" i="53" l="1"/>
  <c r="BU186" i="53" s="1"/>
  <c r="BW186" i="53" s="1"/>
  <c r="AL179" i="53"/>
  <c r="AK179" i="53" s="1"/>
  <c r="AM179" i="53" s="1"/>
  <c r="BF174" i="53"/>
  <c r="BE174" i="53" s="1"/>
  <c r="BG174" i="53" s="1"/>
  <c r="BI120" i="53"/>
  <c r="CT120" i="53"/>
  <c r="AP122" i="53"/>
  <c r="AT177" i="53"/>
  <c r="AS177" i="53" s="1"/>
  <c r="AU177" i="53" s="1"/>
  <c r="W123" i="53"/>
  <c r="K124" i="53"/>
  <c r="AX176" i="53"/>
  <c r="AW176" i="53" s="1"/>
  <c r="AY176" i="53" s="1"/>
  <c r="AH123" i="53"/>
  <c r="BB121" i="53"/>
  <c r="BZ185" i="53"/>
  <c r="BY185" i="53" s="1"/>
  <c r="CA185" i="53" s="1"/>
  <c r="CJ188" i="53"/>
  <c r="CK188" i="53" s="1"/>
  <c r="CM188" i="53" s="1"/>
  <c r="CL189" i="53" s="1"/>
  <c r="CB188" i="53"/>
  <c r="CC188" i="53" s="1"/>
  <c r="CE188" i="53" s="1"/>
  <c r="CD189" i="53" s="1"/>
  <c r="BT188" i="53"/>
  <c r="BL188" i="53"/>
  <c r="BM188" i="53" s="1"/>
  <c r="BO188" i="53" s="1"/>
  <c r="BN189" i="53" s="1"/>
  <c r="BD188" i="53"/>
  <c r="AV188" i="53"/>
  <c r="C189" i="53"/>
  <c r="CN188" i="53"/>
  <c r="CO188" i="53" s="1"/>
  <c r="CQ188" i="53" s="1"/>
  <c r="CP189" i="53" s="1"/>
  <c r="CF188" i="53"/>
  <c r="CG188" i="53" s="1"/>
  <c r="CI188" i="53" s="1"/>
  <c r="CH189" i="53" s="1"/>
  <c r="BX188" i="53"/>
  <c r="BP188" i="53"/>
  <c r="BQ188" i="53" s="1"/>
  <c r="BS188" i="53" s="1"/>
  <c r="BR189" i="53" s="1"/>
  <c r="BH188" i="53"/>
  <c r="AZ188" i="53"/>
  <c r="AR188" i="53"/>
  <c r="E125" i="53"/>
  <c r="BZ186" i="53" l="1"/>
  <c r="BY186" i="53" s="1"/>
  <c r="CA186" i="53" s="1"/>
  <c r="AL180" i="53"/>
  <c r="AK180" i="53" s="1"/>
  <c r="AM180" i="53" s="1"/>
  <c r="V124" i="53"/>
  <c r="AO122" i="53"/>
  <c r="AG123" i="53"/>
  <c r="BF175" i="53"/>
  <c r="BE175" i="53" s="1"/>
  <c r="BG175" i="53" s="1"/>
  <c r="CJ189" i="53"/>
  <c r="CK189" i="53" s="1"/>
  <c r="CM189" i="53" s="1"/>
  <c r="CL190" i="53" s="1"/>
  <c r="CB189" i="53"/>
  <c r="CC189" i="53" s="1"/>
  <c r="CE189" i="53" s="1"/>
  <c r="CD190" i="53" s="1"/>
  <c r="BT189" i="53"/>
  <c r="BL189" i="53"/>
  <c r="BM189" i="53" s="1"/>
  <c r="BD189" i="53"/>
  <c r="AV189" i="53"/>
  <c r="C190" i="53"/>
  <c r="CN189" i="53"/>
  <c r="CO189" i="53" s="1"/>
  <c r="CQ189" i="53" s="1"/>
  <c r="CP190" i="53" s="1"/>
  <c r="CF189" i="53"/>
  <c r="CG189" i="53" s="1"/>
  <c r="CI189" i="53" s="1"/>
  <c r="CH190" i="53" s="1"/>
  <c r="BX189" i="53"/>
  <c r="BP189" i="53"/>
  <c r="BQ189" i="53" s="1"/>
  <c r="BS189" i="53" s="1"/>
  <c r="BR190" i="53" s="1"/>
  <c r="BH189" i="53"/>
  <c r="AZ189" i="53"/>
  <c r="AR189" i="53"/>
  <c r="AX177" i="53"/>
  <c r="AW177" i="53" s="1"/>
  <c r="AY177" i="53" s="1"/>
  <c r="AT178" i="53"/>
  <c r="AS178" i="53" s="1"/>
  <c r="AU178" i="53" s="1"/>
  <c r="G125" i="53"/>
  <c r="J125" i="53"/>
  <c r="BV187" i="53"/>
  <c r="BU187" i="53" s="1"/>
  <c r="BW187" i="53" s="1"/>
  <c r="BA121" i="53"/>
  <c r="BK120" i="53"/>
  <c r="CS120" i="53"/>
  <c r="AX178" i="53" l="1"/>
  <c r="AW178" i="53" s="1"/>
  <c r="AY178" i="53" s="1"/>
  <c r="AT179" i="53"/>
  <c r="AS179" i="53" s="1"/>
  <c r="AU179" i="53" s="1"/>
  <c r="BV188" i="53"/>
  <c r="BU188" i="53" s="1"/>
  <c r="BW188" i="53" s="1"/>
  <c r="C191" i="53"/>
  <c r="CN190" i="53"/>
  <c r="CO190" i="53" s="1"/>
  <c r="CQ190" i="53" s="1"/>
  <c r="CP191" i="53" s="1"/>
  <c r="CF190" i="53"/>
  <c r="CG190" i="53" s="1"/>
  <c r="CI190" i="53" s="1"/>
  <c r="CH191" i="53" s="1"/>
  <c r="BX190" i="53"/>
  <c r="BP190" i="53"/>
  <c r="BQ190" i="53" s="1"/>
  <c r="BS190" i="53" s="1"/>
  <c r="BR191" i="53" s="1"/>
  <c r="BH190" i="53"/>
  <c r="AZ190" i="53"/>
  <c r="CB190" i="53"/>
  <c r="CC190" i="53" s="1"/>
  <c r="CE190" i="53" s="1"/>
  <c r="CD191" i="53" s="1"/>
  <c r="BT190" i="53"/>
  <c r="BD190" i="53"/>
  <c r="AV190" i="53"/>
  <c r="CJ190" i="53"/>
  <c r="CK190" i="53" s="1"/>
  <c r="CM190" i="53" s="1"/>
  <c r="CL191" i="53" s="1"/>
  <c r="BF176" i="53"/>
  <c r="BE176" i="53" s="1"/>
  <c r="BG176" i="53" s="1"/>
  <c r="U124" i="53"/>
  <c r="BC121" i="53"/>
  <c r="F126" i="53"/>
  <c r="AI123" i="53"/>
  <c r="AL181" i="53"/>
  <c r="AK181" i="53" s="1"/>
  <c r="AM181" i="53" s="1"/>
  <c r="BJ121" i="53"/>
  <c r="CU120" i="53"/>
  <c r="I125" i="53"/>
  <c r="AQ122" i="53"/>
  <c r="BZ187" i="53"/>
  <c r="BY187" i="53" s="1"/>
  <c r="CA187" i="53" s="1"/>
  <c r="BF177" i="53" l="1"/>
  <c r="BE177" i="53" s="1"/>
  <c r="BG177" i="53" s="1"/>
  <c r="BV189" i="53"/>
  <c r="BU189" i="53" s="1"/>
  <c r="BW189" i="53" s="1"/>
  <c r="AX179" i="53"/>
  <c r="AW179" i="53" s="1"/>
  <c r="AY179" i="53" s="1"/>
  <c r="BZ188" i="53"/>
  <c r="BY188" i="53" s="1"/>
  <c r="CA188" i="53" s="1"/>
  <c r="AP123" i="53"/>
  <c r="C192" i="53"/>
  <c r="CN191" i="53"/>
  <c r="CO191" i="53" s="1"/>
  <c r="CQ191" i="53" s="1"/>
  <c r="CP192" i="53" s="1"/>
  <c r="CF191" i="53"/>
  <c r="CG191" i="53" s="1"/>
  <c r="CI191" i="53" s="1"/>
  <c r="CH192" i="53" s="1"/>
  <c r="BX191" i="53"/>
  <c r="BP191" i="53"/>
  <c r="BQ191" i="53" s="1"/>
  <c r="BS191" i="53" s="1"/>
  <c r="BR192" i="53" s="1"/>
  <c r="BH191" i="53"/>
  <c r="AZ191" i="53"/>
  <c r="CJ191" i="53"/>
  <c r="CK191" i="53" s="1"/>
  <c r="CM191" i="53" s="1"/>
  <c r="CL192" i="53" s="1"/>
  <c r="CB191" i="53"/>
  <c r="CC191" i="53" s="1"/>
  <c r="CE191" i="53" s="1"/>
  <c r="CD192" i="53" s="1"/>
  <c r="BT191" i="53"/>
  <c r="BD191" i="53"/>
  <c r="AV191" i="53"/>
  <c r="AT180" i="53"/>
  <c r="AS180" i="53" s="1"/>
  <c r="AU180" i="53" s="1"/>
  <c r="AL182" i="53"/>
  <c r="AK182" i="53" s="1"/>
  <c r="AM182" i="53" s="1"/>
  <c r="AL183" i="53" s="1"/>
  <c r="AK183" i="53" s="1"/>
  <c r="BB122" i="53"/>
  <c r="BI121" i="53"/>
  <c r="CT121" i="53"/>
  <c r="E126" i="53"/>
  <c r="K125" i="53"/>
  <c r="AH124" i="53"/>
  <c r="W124" i="53"/>
  <c r="BZ189" i="53" l="1"/>
  <c r="BY189" i="53" s="1"/>
  <c r="CA189" i="53" s="1"/>
  <c r="BF178" i="53"/>
  <c r="BE178" i="53" s="1"/>
  <c r="BG178" i="53" s="1"/>
  <c r="G126" i="53"/>
  <c r="AX180" i="53"/>
  <c r="AW180" i="53" s="1"/>
  <c r="AY180" i="53" s="1"/>
  <c r="C193" i="53"/>
  <c r="CN192" i="53"/>
  <c r="CO192" i="53" s="1"/>
  <c r="CQ192" i="53" s="1"/>
  <c r="CP193" i="53" s="1"/>
  <c r="CF192" i="53"/>
  <c r="CG192" i="53" s="1"/>
  <c r="CI192" i="53" s="1"/>
  <c r="CH193" i="53" s="1"/>
  <c r="BX192" i="53"/>
  <c r="BP192" i="53"/>
  <c r="BQ192" i="53" s="1"/>
  <c r="BH192" i="53"/>
  <c r="AZ192" i="53"/>
  <c r="CJ192" i="53"/>
  <c r="CK192" i="53" s="1"/>
  <c r="CM192" i="53" s="1"/>
  <c r="CL193" i="53" s="1"/>
  <c r="CB192" i="53"/>
  <c r="CC192" i="53" s="1"/>
  <c r="CE192" i="53" s="1"/>
  <c r="CD193" i="53" s="1"/>
  <c r="BT192" i="53"/>
  <c r="BD192" i="53"/>
  <c r="AV192" i="53"/>
  <c r="BV190" i="53"/>
  <c r="BU190" i="53" s="1"/>
  <c r="BW190" i="53" s="1"/>
  <c r="CS121" i="53"/>
  <c r="BK121" i="53"/>
  <c r="AT181" i="53"/>
  <c r="AS181" i="53" s="1"/>
  <c r="AU181" i="53" s="1"/>
  <c r="BA122" i="53"/>
  <c r="V125" i="53"/>
  <c r="AG124" i="53"/>
  <c r="J126" i="53"/>
  <c r="AO123" i="53"/>
  <c r="BV191" i="53" l="1"/>
  <c r="BU191" i="53" s="1"/>
  <c r="BW191" i="53" s="1"/>
  <c r="AT182" i="53"/>
  <c r="AS182" i="53" s="1"/>
  <c r="AU182" i="53" s="1"/>
  <c r="AX181" i="53"/>
  <c r="AW181" i="53" s="1"/>
  <c r="AY181" i="53" s="1"/>
  <c r="BC122" i="53"/>
  <c r="I126" i="53"/>
  <c r="BF179" i="53"/>
  <c r="BE179" i="53" s="1"/>
  <c r="BG179" i="53" s="1"/>
  <c r="F127" i="53"/>
  <c r="AQ123" i="53"/>
  <c r="BZ190" i="53"/>
  <c r="BY190" i="53" s="1"/>
  <c r="CA190" i="53" s="1"/>
  <c r="AI124" i="53"/>
  <c r="BJ122" i="53"/>
  <c r="CU121" i="53"/>
  <c r="U125" i="53"/>
  <c r="C194" i="53"/>
  <c r="CN193" i="53"/>
  <c r="CO193" i="53" s="1"/>
  <c r="CQ193" i="53" s="1"/>
  <c r="CP194" i="53" s="1"/>
  <c r="CF193" i="53"/>
  <c r="CG193" i="53" s="1"/>
  <c r="CI193" i="53" s="1"/>
  <c r="CH194" i="53" s="1"/>
  <c r="BX193" i="53"/>
  <c r="BH193" i="53"/>
  <c r="AZ193" i="53"/>
  <c r="CJ193" i="53"/>
  <c r="CK193" i="53" s="1"/>
  <c r="CM193" i="53" s="1"/>
  <c r="CL194" i="53" s="1"/>
  <c r="CB193" i="53"/>
  <c r="CC193" i="53" s="1"/>
  <c r="CE193" i="53" s="1"/>
  <c r="CD194" i="53" s="1"/>
  <c r="BT193" i="53"/>
  <c r="BD193" i="53"/>
  <c r="BV192" i="53" l="1"/>
  <c r="BU192" i="53" s="1"/>
  <c r="BW192" i="53" s="1"/>
  <c r="AX182" i="53"/>
  <c r="AW182" i="53" s="1"/>
  <c r="AY182" i="53" s="1"/>
  <c r="BI122" i="53"/>
  <c r="CT122" i="53"/>
  <c r="E127" i="53"/>
  <c r="AH125" i="53"/>
  <c r="AT183" i="53"/>
  <c r="AS183" i="53" s="1"/>
  <c r="AU183" i="53" s="1"/>
  <c r="C195" i="53"/>
  <c r="CJ194" i="53"/>
  <c r="CK194" i="53" s="1"/>
  <c r="CM194" i="53" s="1"/>
  <c r="CL195" i="53" s="1"/>
  <c r="CB194" i="53"/>
  <c r="CC194" i="53" s="1"/>
  <c r="CE194" i="53" s="1"/>
  <c r="CD195" i="53" s="1"/>
  <c r="BT194" i="53"/>
  <c r="BD194" i="53"/>
  <c r="BX194" i="53"/>
  <c r="BH194" i="53"/>
  <c r="AZ194" i="53"/>
  <c r="CN194" i="53"/>
  <c r="CO194" i="53" s="1"/>
  <c r="CQ194" i="53" s="1"/>
  <c r="CP195" i="53" s="1"/>
  <c r="CF194" i="53"/>
  <c r="CG194" i="53" s="1"/>
  <c r="CI194" i="53" s="1"/>
  <c r="CH195" i="53" s="1"/>
  <c r="BZ191" i="53"/>
  <c r="BY191" i="53" s="1"/>
  <c r="CA191" i="53" s="1"/>
  <c r="BF180" i="53"/>
  <c r="BE180" i="53" s="1"/>
  <c r="BG180" i="53" s="1"/>
  <c r="K126" i="53"/>
  <c r="W125" i="53"/>
  <c r="AP124" i="53"/>
  <c r="BB123" i="53"/>
  <c r="BF181" i="53" l="1"/>
  <c r="BE181" i="53" s="1"/>
  <c r="BG181" i="53" s="1"/>
  <c r="BZ192" i="53"/>
  <c r="BY192" i="53" s="1"/>
  <c r="CA192" i="53" s="1"/>
  <c r="BV193" i="53"/>
  <c r="BU193" i="53" s="1"/>
  <c r="BW193" i="53" s="1"/>
  <c r="AX183" i="53"/>
  <c r="AW183" i="53" s="1"/>
  <c r="AY183" i="53" s="1"/>
  <c r="AG125" i="53"/>
  <c r="AO124" i="53"/>
  <c r="V126" i="53"/>
  <c r="G127" i="53"/>
  <c r="C196" i="53"/>
  <c r="CN195" i="53"/>
  <c r="CO195" i="53" s="1"/>
  <c r="CQ195" i="53" s="1"/>
  <c r="CP196" i="53" s="1"/>
  <c r="CF195" i="53"/>
  <c r="CG195" i="53" s="1"/>
  <c r="CI195" i="53" s="1"/>
  <c r="CH196" i="53" s="1"/>
  <c r="BX195" i="53"/>
  <c r="BH195" i="53"/>
  <c r="AZ195" i="53"/>
  <c r="CJ195" i="53"/>
  <c r="CK195" i="53" s="1"/>
  <c r="CM195" i="53" s="1"/>
  <c r="CL196" i="53" s="1"/>
  <c r="BT195" i="53"/>
  <c r="CB195" i="53"/>
  <c r="CC195" i="53" s="1"/>
  <c r="CE195" i="53" s="1"/>
  <c r="CD196" i="53" s="1"/>
  <c r="BD195" i="53"/>
  <c r="AT184" i="53"/>
  <c r="AS184" i="53" s="1"/>
  <c r="AU184" i="53" s="1"/>
  <c r="BA123" i="53"/>
  <c r="J127" i="53"/>
  <c r="BK122" i="53"/>
  <c r="CS122" i="53"/>
  <c r="AX184" i="53" l="1"/>
  <c r="AW184" i="53" s="1"/>
  <c r="AY184" i="53" s="1"/>
  <c r="AT185" i="53"/>
  <c r="AS185" i="53" s="1"/>
  <c r="AU185" i="53" s="1"/>
  <c r="BZ193" i="53"/>
  <c r="BY193" i="53" s="1"/>
  <c r="CA193" i="53" s="1"/>
  <c r="BF182" i="53"/>
  <c r="BE182" i="53" s="1"/>
  <c r="BG182" i="53" s="1"/>
  <c r="U126" i="53"/>
  <c r="C197" i="53"/>
  <c r="CN196" i="53"/>
  <c r="CO196" i="53" s="1"/>
  <c r="CQ196" i="53" s="1"/>
  <c r="CP197" i="53" s="1"/>
  <c r="CF196" i="53"/>
  <c r="CG196" i="53" s="1"/>
  <c r="CI196" i="53" s="1"/>
  <c r="CH197" i="53" s="1"/>
  <c r="BX196" i="53"/>
  <c r="BH196" i="53"/>
  <c r="CJ196" i="53"/>
  <c r="CK196" i="53" s="1"/>
  <c r="CM196" i="53" s="1"/>
  <c r="CL197" i="53" s="1"/>
  <c r="CB196" i="53"/>
  <c r="CC196" i="53" s="1"/>
  <c r="CE196" i="53" s="1"/>
  <c r="CD197" i="53" s="1"/>
  <c r="BD196" i="53"/>
  <c r="AQ124" i="53"/>
  <c r="BV194" i="53"/>
  <c r="BU194" i="53" s="1"/>
  <c r="BW194" i="53" s="1"/>
  <c r="BV195" i="53" s="1"/>
  <c r="BU195" i="53" s="1"/>
  <c r="F128" i="53"/>
  <c r="AI125" i="53"/>
  <c r="I127" i="53"/>
  <c r="BJ123" i="53"/>
  <c r="CU122" i="53"/>
  <c r="BC123" i="53"/>
  <c r="BF183" i="53" l="1"/>
  <c r="BE183" i="53" s="1"/>
  <c r="BG183" i="53" s="1"/>
  <c r="AX185" i="53"/>
  <c r="AW185" i="53" s="1"/>
  <c r="AY185" i="53" s="1"/>
  <c r="BZ194" i="53"/>
  <c r="BY194" i="53" s="1"/>
  <c r="CA194" i="53" s="1"/>
  <c r="AH126" i="53"/>
  <c r="K127" i="53"/>
  <c r="CJ197" i="53"/>
  <c r="CK197" i="53" s="1"/>
  <c r="CM197" i="53" s="1"/>
  <c r="CL198" i="53" s="1"/>
  <c r="CB197" i="53"/>
  <c r="CC197" i="53" s="1"/>
  <c r="CE197" i="53" s="1"/>
  <c r="CD198" i="53" s="1"/>
  <c r="BD197" i="53"/>
  <c r="BH197" i="53"/>
  <c r="C198" i="53"/>
  <c r="CN197" i="53"/>
  <c r="CO197" i="53" s="1"/>
  <c r="CQ197" i="53" s="1"/>
  <c r="CP198" i="53" s="1"/>
  <c r="CF197" i="53"/>
  <c r="CG197" i="53" s="1"/>
  <c r="CI197" i="53" s="1"/>
  <c r="CH198" i="53" s="1"/>
  <c r="BX197" i="53"/>
  <c r="AT186" i="53"/>
  <c r="AS186" i="53" s="1"/>
  <c r="AU186" i="53" s="1"/>
  <c r="BI123" i="53"/>
  <c r="CT123" i="53"/>
  <c r="AP125" i="53"/>
  <c r="BB124" i="53"/>
  <c r="E128" i="53"/>
  <c r="W126" i="53"/>
  <c r="BZ195" i="53" l="1"/>
  <c r="BY195" i="53" s="1"/>
  <c r="CA195" i="53" s="1"/>
  <c r="AX186" i="53"/>
  <c r="AW186" i="53" s="1"/>
  <c r="AY186" i="53" s="1"/>
  <c r="BF184" i="53"/>
  <c r="BE184" i="53" s="1"/>
  <c r="BG184" i="53" s="1"/>
  <c r="AT187" i="53"/>
  <c r="AS187" i="53" s="1"/>
  <c r="AU187" i="53" s="1"/>
  <c r="J128" i="53"/>
  <c r="CJ198" i="53"/>
  <c r="CK198" i="53" s="1"/>
  <c r="CM198" i="53" s="1"/>
  <c r="CL199" i="53" s="1"/>
  <c r="CB198" i="53"/>
  <c r="CC198" i="53" s="1"/>
  <c r="CE198" i="53" s="1"/>
  <c r="CD199" i="53" s="1"/>
  <c r="BD198" i="53"/>
  <c r="C199" i="53"/>
  <c r="CN198" i="53"/>
  <c r="CO198" i="53" s="1"/>
  <c r="CQ198" i="53" s="1"/>
  <c r="CP199" i="53" s="1"/>
  <c r="CF198" i="53"/>
  <c r="CG198" i="53" s="1"/>
  <c r="CI198" i="53" s="1"/>
  <c r="CH199" i="53" s="1"/>
  <c r="BX198" i="53"/>
  <c r="BH198" i="53"/>
  <c r="BA124" i="53"/>
  <c r="AG126" i="53"/>
  <c r="V127" i="53"/>
  <c r="AO125" i="53"/>
  <c r="G128" i="53"/>
  <c r="CS123" i="53"/>
  <c r="BK123" i="53"/>
  <c r="AT188" i="53" l="1"/>
  <c r="AS188" i="53" s="1"/>
  <c r="AU188" i="53" s="1"/>
  <c r="AT189" i="53" s="1"/>
  <c r="AS189" i="53" s="1"/>
  <c r="BF185" i="53"/>
  <c r="BE185" i="53" s="1"/>
  <c r="BG185" i="53" s="1"/>
  <c r="AX187" i="53"/>
  <c r="AW187" i="53" s="1"/>
  <c r="AY187" i="53" s="1"/>
  <c r="BJ124" i="53"/>
  <c r="CU123" i="53"/>
  <c r="AQ125" i="53"/>
  <c r="BC124" i="53"/>
  <c r="CJ199" i="53"/>
  <c r="CK199" i="53" s="1"/>
  <c r="CM199" i="53" s="1"/>
  <c r="CL200" i="53" s="1"/>
  <c r="CB199" i="53"/>
  <c r="CC199" i="53" s="1"/>
  <c r="CE199" i="53" s="1"/>
  <c r="CD200" i="53" s="1"/>
  <c r="C200" i="53"/>
  <c r="CN199" i="53"/>
  <c r="CO199" i="53" s="1"/>
  <c r="CQ199" i="53" s="1"/>
  <c r="CP200" i="53" s="1"/>
  <c r="CF199" i="53"/>
  <c r="CG199" i="53" s="1"/>
  <c r="CI199" i="53" s="1"/>
  <c r="CH200" i="53" s="1"/>
  <c r="BH199" i="53"/>
  <c r="U127" i="53"/>
  <c r="F129" i="53"/>
  <c r="I128" i="53"/>
  <c r="BZ196" i="53"/>
  <c r="BY196" i="53" s="1"/>
  <c r="CA196" i="53" s="1"/>
  <c r="AI126" i="53"/>
  <c r="BZ197" i="53" l="1"/>
  <c r="BY197" i="53" s="1"/>
  <c r="CA197" i="53" s="1"/>
  <c r="BZ198" i="53" s="1"/>
  <c r="BY198" i="53" s="1"/>
  <c r="BI124" i="53"/>
  <c r="CT124" i="53"/>
  <c r="AH127" i="53"/>
  <c r="AX188" i="53"/>
  <c r="AW188" i="53" s="1"/>
  <c r="AY188" i="53" s="1"/>
  <c r="W127" i="53"/>
  <c r="CJ200" i="53"/>
  <c r="CK200" i="53" s="1"/>
  <c r="CM200" i="53" s="1"/>
  <c r="CL201" i="53" s="1"/>
  <c r="CB200" i="53"/>
  <c r="CC200" i="53" s="1"/>
  <c r="CE200" i="53" s="1"/>
  <c r="CD201" i="53" s="1"/>
  <c r="C201" i="53"/>
  <c r="CN200" i="53"/>
  <c r="CO200" i="53" s="1"/>
  <c r="CQ200" i="53" s="1"/>
  <c r="CP201" i="53" s="1"/>
  <c r="CF200" i="53"/>
  <c r="CG200" i="53" s="1"/>
  <c r="CI200" i="53" s="1"/>
  <c r="CH201" i="53" s="1"/>
  <c r="BH200" i="53"/>
  <c r="BB125" i="53"/>
  <c r="K128" i="53"/>
  <c r="BF186" i="53"/>
  <c r="BE186" i="53" s="1"/>
  <c r="BG186" i="53" s="1"/>
  <c r="AP126" i="53"/>
  <c r="E129" i="53"/>
  <c r="BF187" i="53" l="1"/>
  <c r="BE187" i="53" s="1"/>
  <c r="BG187" i="53" s="1"/>
  <c r="AX189" i="53"/>
  <c r="AW189" i="53" s="1"/>
  <c r="AY189" i="53" s="1"/>
  <c r="AG127" i="53"/>
  <c r="BA125" i="53"/>
  <c r="C202" i="53"/>
  <c r="CN201" i="53"/>
  <c r="CO201" i="53" s="1"/>
  <c r="CQ201" i="53" s="1"/>
  <c r="CP202" i="53" s="1"/>
  <c r="CF201" i="53"/>
  <c r="CG201" i="53" s="1"/>
  <c r="CI201" i="53" s="1"/>
  <c r="CH202" i="53" s="1"/>
  <c r="BH201" i="53"/>
  <c r="CJ201" i="53"/>
  <c r="CK201" i="53" s="1"/>
  <c r="CM201" i="53" s="1"/>
  <c r="CL202" i="53" s="1"/>
  <c r="CB201" i="53"/>
  <c r="CC201" i="53" s="1"/>
  <c r="CE201" i="53" s="1"/>
  <c r="CD202" i="53" s="1"/>
  <c r="V128" i="53"/>
  <c r="CS124" i="53"/>
  <c r="BK124" i="53"/>
  <c r="G129" i="53"/>
  <c r="J129" i="53"/>
  <c r="AO126" i="53"/>
  <c r="AX190" i="53" l="1"/>
  <c r="AW190" i="53" s="1"/>
  <c r="AY190" i="53" s="1"/>
  <c r="AI127" i="53"/>
  <c r="AQ126" i="53"/>
  <c r="BC125" i="53"/>
  <c r="F130" i="53"/>
  <c r="I129" i="53"/>
  <c r="C203" i="53"/>
  <c r="CN202" i="53"/>
  <c r="CO202" i="53" s="1"/>
  <c r="CQ202" i="53" s="1"/>
  <c r="CP203" i="53" s="1"/>
  <c r="CF202" i="53"/>
  <c r="CG202" i="53" s="1"/>
  <c r="CI202" i="53" s="1"/>
  <c r="CH203" i="53" s="1"/>
  <c r="CJ202" i="53"/>
  <c r="CK202" i="53" s="1"/>
  <c r="CM202" i="53" s="1"/>
  <c r="CL203" i="53" s="1"/>
  <c r="CB202" i="53"/>
  <c r="CC202" i="53" s="1"/>
  <c r="CE202" i="53" s="1"/>
  <c r="CD203" i="53" s="1"/>
  <c r="BF188" i="53"/>
  <c r="BE188" i="53" s="1"/>
  <c r="BG188" i="53" s="1"/>
  <c r="U128" i="53"/>
  <c r="BJ125" i="53"/>
  <c r="CU124" i="53"/>
  <c r="BF189" i="53" l="1"/>
  <c r="BE189" i="53" s="1"/>
  <c r="BG189" i="53" s="1"/>
  <c r="AX191" i="53"/>
  <c r="AW191" i="53" s="1"/>
  <c r="AY191" i="53" s="1"/>
  <c r="AX192" i="53" s="1"/>
  <c r="AW192" i="53" s="1"/>
  <c r="AP127" i="53"/>
  <c r="W128" i="53"/>
  <c r="E130" i="53"/>
  <c r="BI125" i="53"/>
  <c r="CT125" i="53"/>
  <c r="C204" i="53"/>
  <c r="CN203" i="53"/>
  <c r="CO203" i="53" s="1"/>
  <c r="CQ203" i="53" s="1"/>
  <c r="CP204" i="53" s="1"/>
  <c r="CF203" i="53"/>
  <c r="CG203" i="53" s="1"/>
  <c r="CI203" i="53" s="1"/>
  <c r="CH204" i="53" s="1"/>
  <c r="CJ203" i="53"/>
  <c r="CK203" i="53" s="1"/>
  <c r="CM203" i="53" s="1"/>
  <c r="CL204" i="53" s="1"/>
  <c r="CB203" i="53"/>
  <c r="CC203" i="53" s="1"/>
  <c r="CE203" i="53" s="1"/>
  <c r="CD204" i="53" s="1"/>
  <c r="AH128" i="53"/>
  <c r="BB126" i="53"/>
  <c r="K129" i="53"/>
  <c r="G130" i="53" l="1"/>
  <c r="J130" i="53"/>
  <c r="V129" i="53"/>
  <c r="BA126" i="53"/>
  <c r="C205" i="53"/>
  <c r="CN204" i="53"/>
  <c r="CO204" i="53" s="1"/>
  <c r="CQ204" i="53" s="1"/>
  <c r="CP205" i="53" s="1"/>
  <c r="CF204" i="53"/>
  <c r="CG204" i="53" s="1"/>
  <c r="CI204" i="53" s="1"/>
  <c r="CH205" i="53" s="1"/>
  <c r="CJ204" i="53"/>
  <c r="CK204" i="53" s="1"/>
  <c r="CM204" i="53" s="1"/>
  <c r="CL205" i="53" s="1"/>
  <c r="CB204" i="53"/>
  <c r="CC204" i="53" s="1"/>
  <c r="CE204" i="53" s="1"/>
  <c r="CD205" i="53" s="1"/>
  <c r="BF190" i="53"/>
  <c r="BE190" i="53" s="1"/>
  <c r="BG190" i="53" s="1"/>
  <c r="CS125" i="53"/>
  <c r="BK125" i="53"/>
  <c r="AG128" i="53"/>
  <c r="AO127" i="53"/>
  <c r="CJ205" i="53" l="1"/>
  <c r="CK205" i="53" s="1"/>
  <c r="CM205" i="53" s="1"/>
  <c r="CL206" i="53" s="1"/>
  <c r="CB205" i="53"/>
  <c r="CC205" i="53" s="1"/>
  <c r="CE205" i="53" s="1"/>
  <c r="CD206" i="53" s="1"/>
  <c r="C206" i="53"/>
  <c r="CN205" i="53"/>
  <c r="CO205" i="53" s="1"/>
  <c r="CQ205" i="53" s="1"/>
  <c r="CP206" i="53" s="1"/>
  <c r="CF205" i="53"/>
  <c r="CG205" i="53" s="1"/>
  <c r="CI205" i="53" s="1"/>
  <c r="CH206" i="53" s="1"/>
  <c r="AQ127" i="53"/>
  <c r="BC126" i="53"/>
  <c r="I130" i="53"/>
  <c r="U129" i="53"/>
  <c r="AI128" i="53"/>
  <c r="BJ126" i="53"/>
  <c r="CU125" i="53"/>
  <c r="F131" i="53"/>
  <c r="BF191" i="53"/>
  <c r="BE191" i="53" s="1"/>
  <c r="BG191" i="53" s="1"/>
  <c r="BI126" i="53" l="1"/>
  <c r="CT126" i="53"/>
  <c r="BF192" i="53"/>
  <c r="BE192" i="53" s="1"/>
  <c r="BG192" i="53" s="1"/>
  <c r="AH129" i="53"/>
  <c r="CJ206" i="53"/>
  <c r="CK206" i="53" s="1"/>
  <c r="CM206" i="53" s="1"/>
  <c r="CL207" i="53" s="1"/>
  <c r="CB206" i="53"/>
  <c r="CC206" i="53" s="1"/>
  <c r="CE206" i="53" s="1"/>
  <c r="CD207" i="53" s="1"/>
  <c r="C207" i="53"/>
  <c r="CN206" i="53"/>
  <c r="CO206" i="53" s="1"/>
  <c r="CQ206" i="53" s="1"/>
  <c r="CP207" i="53" s="1"/>
  <c r="CF206" i="53"/>
  <c r="CG206" i="53" s="1"/>
  <c r="CI206" i="53" s="1"/>
  <c r="CH207" i="53" s="1"/>
  <c r="W129" i="53"/>
  <c r="BB127" i="53"/>
  <c r="E131" i="53"/>
  <c r="K130" i="53"/>
  <c r="AP128" i="53"/>
  <c r="BF193" i="53" l="1"/>
  <c r="BE193" i="53" s="1"/>
  <c r="BG193" i="53" s="1"/>
  <c r="BA127" i="53"/>
  <c r="AO128" i="53"/>
  <c r="V130" i="53"/>
  <c r="J131" i="53"/>
  <c r="CJ207" i="53"/>
  <c r="CK207" i="53" s="1"/>
  <c r="CM207" i="53" s="1"/>
  <c r="CL208" i="53" s="1"/>
  <c r="CB207" i="53"/>
  <c r="CC207" i="53" s="1"/>
  <c r="CE207" i="53" s="1"/>
  <c r="CD208" i="53" s="1"/>
  <c r="C208" i="53"/>
  <c r="CN207" i="53"/>
  <c r="CO207" i="53" s="1"/>
  <c r="CQ207" i="53" s="1"/>
  <c r="CP208" i="53" s="1"/>
  <c r="CF207" i="53"/>
  <c r="CG207" i="53" s="1"/>
  <c r="CI207" i="53" s="1"/>
  <c r="CH208" i="53" s="1"/>
  <c r="G131" i="53"/>
  <c r="AG129" i="53"/>
  <c r="CS126" i="53"/>
  <c r="BK126" i="53"/>
  <c r="BC127" i="53" l="1"/>
  <c r="I131" i="53"/>
  <c r="CJ208" i="53"/>
  <c r="CK208" i="53" s="1"/>
  <c r="CM208" i="53" s="1"/>
  <c r="CL209" i="53" s="1"/>
  <c r="CB208" i="53"/>
  <c r="CC208" i="53" s="1"/>
  <c r="CE208" i="53" s="1"/>
  <c r="CD209" i="53" s="1"/>
  <c r="C209" i="53"/>
  <c r="CN208" i="53"/>
  <c r="CO208" i="53" s="1"/>
  <c r="CQ208" i="53" s="1"/>
  <c r="CP209" i="53" s="1"/>
  <c r="CF208" i="53"/>
  <c r="CG208" i="53" s="1"/>
  <c r="CI208" i="53" s="1"/>
  <c r="CH209" i="53" s="1"/>
  <c r="U130" i="53"/>
  <c r="BJ127" i="53"/>
  <c r="CU126" i="53"/>
  <c r="AI129" i="53"/>
  <c r="BF194" i="53"/>
  <c r="BE194" i="53" s="1"/>
  <c r="BG194" i="53" s="1"/>
  <c r="F132" i="53"/>
  <c r="AQ128" i="53"/>
  <c r="BF195" i="53" l="1"/>
  <c r="BE195" i="53" s="1"/>
  <c r="BG195" i="53" s="1"/>
  <c r="AH130" i="53"/>
  <c r="AP129" i="53"/>
  <c r="BI127" i="53"/>
  <c r="CT127" i="53"/>
  <c r="K131" i="53"/>
  <c r="E132" i="53"/>
  <c r="BB128" i="53"/>
  <c r="W130" i="53"/>
  <c r="C210" i="53"/>
  <c r="CN209" i="53"/>
  <c r="CO209" i="53" s="1"/>
  <c r="CQ209" i="53" s="1"/>
  <c r="CP210" i="53" s="1"/>
  <c r="CF209" i="53"/>
  <c r="CG209" i="53" s="1"/>
  <c r="CI209" i="53" s="1"/>
  <c r="CH210" i="53" s="1"/>
  <c r="CJ209" i="53"/>
  <c r="CK209" i="53" s="1"/>
  <c r="CM209" i="53" s="1"/>
  <c r="CL210" i="53" s="1"/>
  <c r="CB209" i="53"/>
  <c r="CC209" i="53" s="1"/>
  <c r="CE209" i="53" s="1"/>
  <c r="CD210" i="53" s="1"/>
  <c r="J132" i="53" l="1"/>
  <c r="V131" i="53"/>
  <c r="CS127" i="53"/>
  <c r="BK127" i="53"/>
  <c r="C211" i="53"/>
  <c r="CN210" i="53"/>
  <c r="CO210" i="53" s="1"/>
  <c r="CQ210" i="53" s="1"/>
  <c r="CP211" i="53" s="1"/>
  <c r="CF210" i="53"/>
  <c r="CG210" i="53" s="1"/>
  <c r="CI210" i="53" s="1"/>
  <c r="CH211" i="53" s="1"/>
  <c r="CJ210" i="53"/>
  <c r="CK210" i="53" s="1"/>
  <c r="CM210" i="53" s="1"/>
  <c r="CL211" i="53" s="1"/>
  <c r="CB210" i="53"/>
  <c r="CC210" i="53" s="1"/>
  <c r="CE210" i="53" s="1"/>
  <c r="CD211" i="53" s="1"/>
  <c r="BA128" i="53"/>
  <c r="AG130" i="53"/>
  <c r="G132" i="53"/>
  <c r="AO129" i="53"/>
  <c r="BF196" i="53"/>
  <c r="BE196" i="53" s="1"/>
  <c r="BG196" i="53" s="1"/>
  <c r="BF197" i="53" l="1"/>
  <c r="BE197" i="53" s="1"/>
  <c r="BG197" i="53" s="1"/>
  <c r="BF198" i="53" s="1"/>
  <c r="BE198" i="53" s="1"/>
  <c r="U131" i="53"/>
  <c r="C212" i="53"/>
  <c r="CN211" i="53"/>
  <c r="CO211" i="53" s="1"/>
  <c r="CQ211" i="53" s="1"/>
  <c r="CP212" i="53" s="1"/>
  <c r="CF211" i="53"/>
  <c r="CG211" i="53" s="1"/>
  <c r="CI211" i="53" s="1"/>
  <c r="CH212" i="53" s="1"/>
  <c r="CJ211" i="53"/>
  <c r="CK211" i="53" s="1"/>
  <c r="CM211" i="53" s="1"/>
  <c r="CL212" i="53" s="1"/>
  <c r="CB211" i="53"/>
  <c r="CC211" i="53" s="1"/>
  <c r="CE211" i="53" s="1"/>
  <c r="CD212" i="53" s="1"/>
  <c r="BC128" i="53"/>
  <c r="BJ128" i="53"/>
  <c r="CU127" i="53"/>
  <c r="AI130" i="53"/>
  <c r="I132" i="53"/>
  <c r="AQ129" i="53"/>
  <c r="F133" i="53"/>
  <c r="BI128" i="53" l="1"/>
  <c r="CT128" i="53"/>
  <c r="AP130" i="53"/>
  <c r="BB129" i="53"/>
  <c r="C213" i="53"/>
  <c r="CN212" i="53"/>
  <c r="CO212" i="53" s="1"/>
  <c r="CQ212" i="53" s="1"/>
  <c r="CP213" i="53" s="1"/>
  <c r="CF212" i="53"/>
  <c r="CG212" i="53" s="1"/>
  <c r="CI212" i="53" s="1"/>
  <c r="CH213" i="53" s="1"/>
  <c r="CJ212" i="53"/>
  <c r="CK212" i="53" s="1"/>
  <c r="CM212" i="53" s="1"/>
  <c r="CL213" i="53" s="1"/>
  <c r="CB212" i="53"/>
  <c r="CC212" i="53" s="1"/>
  <c r="CE212" i="53" s="1"/>
  <c r="CD213" i="53" s="1"/>
  <c r="K132" i="53"/>
  <c r="W131" i="53"/>
  <c r="E133" i="53"/>
  <c r="AH131" i="53"/>
  <c r="AG131" i="53" l="1"/>
  <c r="J133" i="53"/>
  <c r="G133" i="53"/>
  <c r="BA129" i="53"/>
  <c r="AO130" i="53"/>
  <c r="V132" i="53"/>
  <c r="CJ213" i="53"/>
  <c r="CK213" i="53" s="1"/>
  <c r="CM213" i="53" s="1"/>
  <c r="CL214" i="53" s="1"/>
  <c r="CB213" i="53"/>
  <c r="CC213" i="53" s="1"/>
  <c r="CE213" i="53" s="1"/>
  <c r="CD214" i="53" s="1"/>
  <c r="C214" i="53"/>
  <c r="CN213" i="53"/>
  <c r="CO213" i="53" s="1"/>
  <c r="CQ213" i="53" s="1"/>
  <c r="CP214" i="53" s="1"/>
  <c r="CF213" i="53"/>
  <c r="CG213" i="53" s="1"/>
  <c r="CI213" i="53" s="1"/>
  <c r="CH214" i="53" s="1"/>
  <c r="BK128" i="53"/>
  <c r="CS128" i="53"/>
  <c r="U132" i="53" l="1"/>
  <c r="BC129" i="53"/>
  <c r="F134" i="53"/>
  <c r="AQ130" i="53"/>
  <c r="I133" i="53"/>
  <c r="CJ214" i="53"/>
  <c r="CK214" i="53" s="1"/>
  <c r="CM214" i="53" s="1"/>
  <c r="CL215" i="53" s="1"/>
  <c r="CB214" i="53"/>
  <c r="CC214" i="53" s="1"/>
  <c r="CE214" i="53" s="1"/>
  <c r="CD215" i="53" s="1"/>
  <c r="C215" i="53"/>
  <c r="CN214" i="53"/>
  <c r="CO214" i="53" s="1"/>
  <c r="CQ214" i="53" s="1"/>
  <c r="CP215" i="53" s="1"/>
  <c r="CF214" i="53"/>
  <c r="CG214" i="53" s="1"/>
  <c r="CI214" i="53" s="1"/>
  <c r="CH215" i="53" s="1"/>
  <c r="BJ129" i="53"/>
  <c r="CU128" i="53"/>
  <c r="AI131" i="53"/>
  <c r="BI129" i="53" l="1"/>
  <c r="CT129" i="53"/>
  <c r="I26" i="53" s="1"/>
  <c r="G45" i="15" s="1"/>
  <c r="CJ215" i="53"/>
  <c r="CK215" i="53" s="1"/>
  <c r="CM215" i="53" s="1"/>
  <c r="CL216" i="53" s="1"/>
  <c r="CB215" i="53"/>
  <c r="CC215" i="53" s="1"/>
  <c r="CE215" i="53" s="1"/>
  <c r="CD216" i="53" s="1"/>
  <c r="C216" i="53"/>
  <c r="CN215" i="53"/>
  <c r="CO215" i="53" s="1"/>
  <c r="CQ215" i="53" s="1"/>
  <c r="CP216" i="53" s="1"/>
  <c r="CF215" i="53"/>
  <c r="CG215" i="53" s="1"/>
  <c r="CI215" i="53" s="1"/>
  <c r="CH216" i="53" s="1"/>
  <c r="K133" i="53"/>
  <c r="AP131" i="53"/>
  <c r="BB130" i="53"/>
  <c r="E134" i="53"/>
  <c r="AH132" i="53"/>
  <c r="W132" i="53"/>
  <c r="BA130" i="53" l="1"/>
  <c r="AO131" i="53"/>
  <c r="J134" i="53"/>
  <c r="CJ216" i="53"/>
  <c r="CK216" i="53" s="1"/>
  <c r="CM216" i="53" s="1"/>
  <c r="CL217" i="53" s="1"/>
  <c r="CB216" i="53"/>
  <c r="CC216" i="53" s="1"/>
  <c r="CE216" i="53" s="1"/>
  <c r="CD217" i="53" s="1"/>
  <c r="C217" i="53"/>
  <c r="CN216" i="53"/>
  <c r="CO216" i="53" s="1"/>
  <c r="CQ216" i="53" s="1"/>
  <c r="CP217" i="53" s="1"/>
  <c r="CF216" i="53"/>
  <c r="CG216" i="53" s="1"/>
  <c r="CI216" i="53" s="1"/>
  <c r="CH217" i="53" s="1"/>
  <c r="V133" i="53"/>
  <c r="AG132" i="53"/>
  <c r="G134" i="53"/>
  <c r="BK129" i="53"/>
  <c r="CS129" i="53"/>
  <c r="I25" i="53" s="1"/>
  <c r="AQ131" i="53" l="1"/>
  <c r="AI132" i="53"/>
  <c r="U133" i="53"/>
  <c r="BJ130" i="53"/>
  <c r="CU129" i="53"/>
  <c r="C218" i="53"/>
  <c r="CN217" i="53"/>
  <c r="CO217" i="53" s="1"/>
  <c r="CQ217" i="53" s="1"/>
  <c r="CP218" i="53" s="1"/>
  <c r="CF217" i="53"/>
  <c r="CG217" i="53" s="1"/>
  <c r="CI217" i="53" s="1"/>
  <c r="CH218" i="53" s="1"/>
  <c r="CJ217" i="53"/>
  <c r="CK217" i="53" s="1"/>
  <c r="CM217" i="53" s="1"/>
  <c r="CL218" i="53" s="1"/>
  <c r="CB217" i="53"/>
  <c r="CC217" i="53" s="1"/>
  <c r="CE217" i="53" s="1"/>
  <c r="CD218" i="53" s="1"/>
  <c r="BC130" i="53"/>
  <c r="F135" i="53"/>
  <c r="I134" i="53"/>
  <c r="AH133" i="53" l="1"/>
  <c r="BI130" i="53"/>
  <c r="CT130" i="53"/>
  <c r="AP132" i="53"/>
  <c r="C219" i="53"/>
  <c r="CN218" i="53"/>
  <c r="CO218" i="53" s="1"/>
  <c r="CQ218" i="53" s="1"/>
  <c r="CP219" i="53" s="1"/>
  <c r="CF218" i="53"/>
  <c r="CG218" i="53" s="1"/>
  <c r="CI218" i="53" s="1"/>
  <c r="CH219" i="53" s="1"/>
  <c r="CJ218" i="53"/>
  <c r="CK218" i="53" s="1"/>
  <c r="CM218" i="53" s="1"/>
  <c r="CL219" i="53" s="1"/>
  <c r="CB218" i="53"/>
  <c r="CC218" i="53" s="1"/>
  <c r="CE218" i="53" s="1"/>
  <c r="CD219" i="53" s="1"/>
  <c r="BB131" i="53"/>
  <c r="K134" i="53"/>
  <c r="W133" i="53"/>
  <c r="E135" i="53"/>
  <c r="AO132" i="53" l="1"/>
  <c r="CS130" i="53"/>
  <c r="BK130" i="53"/>
  <c r="J135" i="53"/>
  <c r="G135" i="53"/>
  <c r="C220" i="53"/>
  <c r="CN219" i="53"/>
  <c r="CO219" i="53" s="1"/>
  <c r="CQ219" i="53" s="1"/>
  <c r="CP220" i="53" s="1"/>
  <c r="CF219" i="53"/>
  <c r="CG219" i="53" s="1"/>
  <c r="CI219" i="53" s="1"/>
  <c r="CH220" i="53" s="1"/>
  <c r="CJ219" i="53"/>
  <c r="CK219" i="53" s="1"/>
  <c r="CM219" i="53" s="1"/>
  <c r="CL220" i="53" s="1"/>
  <c r="CB219" i="53"/>
  <c r="CC219" i="53" s="1"/>
  <c r="CE219" i="53" s="1"/>
  <c r="CD220" i="53" s="1"/>
  <c r="V134" i="53"/>
  <c r="BA131" i="53"/>
  <c r="AG133" i="53"/>
  <c r="C221" i="53" l="1"/>
  <c r="CN220" i="53"/>
  <c r="CO220" i="53" s="1"/>
  <c r="CQ220" i="53" s="1"/>
  <c r="CP221" i="53" s="1"/>
  <c r="CF220" i="53"/>
  <c r="CG220" i="53" s="1"/>
  <c r="CI220" i="53" s="1"/>
  <c r="CH221" i="53" s="1"/>
  <c r="CJ220" i="53"/>
  <c r="CK220" i="53" s="1"/>
  <c r="CM220" i="53" s="1"/>
  <c r="CL221" i="53" s="1"/>
  <c r="CB220" i="53"/>
  <c r="CC220" i="53" s="1"/>
  <c r="CE220" i="53" s="1"/>
  <c r="CD221" i="53" s="1"/>
  <c r="BJ131" i="53"/>
  <c r="CU130" i="53"/>
  <c r="F136" i="53"/>
  <c r="U134" i="53"/>
  <c r="I135" i="53"/>
  <c r="AI133" i="53"/>
  <c r="BC131" i="53"/>
  <c r="AQ132" i="53"/>
  <c r="BI131" i="53" l="1"/>
  <c r="CT131" i="53"/>
  <c r="W134" i="53"/>
  <c r="AP133" i="53"/>
  <c r="E136" i="53"/>
  <c r="BB132" i="53"/>
  <c r="AH134" i="53"/>
  <c r="K135" i="53"/>
  <c r="CJ221" i="53"/>
  <c r="CK221" i="53" s="1"/>
  <c r="CM221" i="53" s="1"/>
  <c r="CL222" i="53" s="1"/>
  <c r="CB221" i="53"/>
  <c r="CC221" i="53" s="1"/>
  <c r="CE221" i="53" s="1"/>
  <c r="CD222" i="53" s="1"/>
  <c r="C222" i="53"/>
  <c r="CN221" i="53"/>
  <c r="CO221" i="53" s="1"/>
  <c r="CQ221" i="53" s="1"/>
  <c r="CP222" i="53" s="1"/>
  <c r="CF221" i="53"/>
  <c r="CG221" i="53" s="1"/>
  <c r="CI221" i="53" s="1"/>
  <c r="CH222" i="53" s="1"/>
  <c r="CJ222" i="53" l="1"/>
  <c r="CK222" i="53" s="1"/>
  <c r="CM222" i="53" s="1"/>
  <c r="CL223" i="53" s="1"/>
  <c r="CB222" i="53"/>
  <c r="CC222" i="53" s="1"/>
  <c r="CE222" i="53" s="1"/>
  <c r="CD223" i="53" s="1"/>
  <c r="C223" i="53"/>
  <c r="CN222" i="53"/>
  <c r="CO222" i="53" s="1"/>
  <c r="CQ222" i="53" s="1"/>
  <c r="CP223" i="53" s="1"/>
  <c r="CF222" i="53"/>
  <c r="CG222" i="53" s="1"/>
  <c r="CI222" i="53" s="1"/>
  <c r="CH223" i="53" s="1"/>
  <c r="AG134" i="53"/>
  <c r="AO133" i="53"/>
  <c r="V135" i="53"/>
  <c r="BA132" i="53"/>
  <c r="G136" i="53"/>
  <c r="J136" i="53"/>
  <c r="BK131" i="53"/>
  <c r="CS131" i="53"/>
  <c r="AI134" i="53" l="1"/>
  <c r="CJ223" i="53"/>
  <c r="CK223" i="53" s="1"/>
  <c r="CM223" i="53" s="1"/>
  <c r="CL224" i="53" s="1"/>
  <c r="CB223" i="53"/>
  <c r="CC223" i="53" s="1"/>
  <c r="CE223" i="53" s="1"/>
  <c r="CD224" i="53" s="1"/>
  <c r="C224" i="53"/>
  <c r="CN223" i="53"/>
  <c r="CO223" i="53" s="1"/>
  <c r="CQ223" i="53" s="1"/>
  <c r="CP224" i="53" s="1"/>
  <c r="CF223" i="53"/>
  <c r="CG223" i="53" s="1"/>
  <c r="CI223" i="53" s="1"/>
  <c r="CH224" i="53" s="1"/>
  <c r="F137" i="53"/>
  <c r="U135" i="53"/>
  <c r="I136" i="53"/>
  <c r="AQ133" i="53"/>
  <c r="BJ132" i="53"/>
  <c r="CU131" i="53"/>
  <c r="BC132" i="53"/>
  <c r="W135" i="53" l="1"/>
  <c r="BB133" i="53"/>
  <c r="CJ224" i="53"/>
  <c r="CK224" i="53" s="1"/>
  <c r="CM224" i="53" s="1"/>
  <c r="CL225" i="53" s="1"/>
  <c r="CB224" i="53"/>
  <c r="CC224" i="53" s="1"/>
  <c r="CE224" i="53" s="1"/>
  <c r="CD225" i="53" s="1"/>
  <c r="C225" i="53"/>
  <c r="CN224" i="53"/>
  <c r="CO224" i="53" s="1"/>
  <c r="CQ224" i="53" s="1"/>
  <c r="CP225" i="53" s="1"/>
  <c r="CF224" i="53"/>
  <c r="CG224" i="53" s="1"/>
  <c r="CI224" i="53" s="1"/>
  <c r="CH225" i="53" s="1"/>
  <c r="AH135" i="53"/>
  <c r="K136" i="53"/>
  <c r="AP134" i="53"/>
  <c r="E137" i="53"/>
  <c r="BI132" i="53"/>
  <c r="CT132" i="53"/>
  <c r="BK132" i="53" l="1"/>
  <c r="CS132" i="53"/>
  <c r="G137" i="53"/>
  <c r="AG135" i="53"/>
  <c r="C226" i="53"/>
  <c r="CN225" i="53"/>
  <c r="CO225" i="53" s="1"/>
  <c r="CQ225" i="53" s="1"/>
  <c r="CP226" i="53" s="1"/>
  <c r="CF225" i="53"/>
  <c r="CG225" i="53" s="1"/>
  <c r="CI225" i="53" s="1"/>
  <c r="CH226" i="53" s="1"/>
  <c r="CJ225" i="53"/>
  <c r="CK225" i="53" s="1"/>
  <c r="CM225" i="53" s="1"/>
  <c r="CL226" i="53" s="1"/>
  <c r="CB225" i="53"/>
  <c r="CC225" i="53" s="1"/>
  <c r="CE225" i="53" s="1"/>
  <c r="CD226" i="53" s="1"/>
  <c r="BA133" i="53"/>
  <c r="AO134" i="53"/>
  <c r="V136" i="53"/>
  <c r="J137" i="53"/>
  <c r="AI135" i="53" l="1"/>
  <c r="F138" i="53"/>
  <c r="I137" i="53"/>
  <c r="C227" i="53"/>
  <c r="CN226" i="53"/>
  <c r="CO226" i="53" s="1"/>
  <c r="CQ226" i="53" s="1"/>
  <c r="CP227" i="53" s="1"/>
  <c r="CF226" i="53"/>
  <c r="CG226" i="53" s="1"/>
  <c r="CI226" i="53" s="1"/>
  <c r="CH227" i="53" s="1"/>
  <c r="CJ226" i="53"/>
  <c r="CK226" i="53" s="1"/>
  <c r="CM226" i="53" s="1"/>
  <c r="CL227" i="53" s="1"/>
  <c r="CB226" i="53"/>
  <c r="CC226" i="53" s="1"/>
  <c r="CE226" i="53" s="1"/>
  <c r="CD227" i="53" s="1"/>
  <c r="U136" i="53"/>
  <c r="AQ134" i="53"/>
  <c r="BJ133" i="53"/>
  <c r="CU132" i="53"/>
  <c r="BC133" i="53"/>
  <c r="AP135" i="53" l="1"/>
  <c r="K137" i="53"/>
  <c r="E138" i="53"/>
  <c r="BB134" i="53"/>
  <c r="AH136" i="53"/>
  <c r="W136" i="53"/>
  <c r="C228" i="53"/>
  <c r="CN227" i="53"/>
  <c r="CO227" i="53" s="1"/>
  <c r="CQ227" i="53" s="1"/>
  <c r="CP228" i="53" s="1"/>
  <c r="CF227" i="53"/>
  <c r="CG227" i="53" s="1"/>
  <c r="CI227" i="53" s="1"/>
  <c r="CH228" i="53" s="1"/>
  <c r="CJ227" i="53"/>
  <c r="CK227" i="53" s="1"/>
  <c r="CM227" i="53" s="1"/>
  <c r="CL228" i="53" s="1"/>
  <c r="CB227" i="53"/>
  <c r="CC227" i="53" s="1"/>
  <c r="CE227" i="53" s="1"/>
  <c r="CD228" i="53" s="1"/>
  <c r="BI133" i="53"/>
  <c r="CT133" i="53"/>
  <c r="AG136" i="53" l="1"/>
  <c r="J138" i="53"/>
  <c r="C229" i="53"/>
  <c r="CN228" i="53"/>
  <c r="CO228" i="53" s="1"/>
  <c r="CQ228" i="53" s="1"/>
  <c r="CP229" i="53" s="1"/>
  <c r="CF228" i="53"/>
  <c r="CG228" i="53" s="1"/>
  <c r="CI228" i="53" s="1"/>
  <c r="CH229" i="53" s="1"/>
  <c r="CJ228" i="53"/>
  <c r="CK228" i="53" s="1"/>
  <c r="CM228" i="53" s="1"/>
  <c r="CL229" i="53" s="1"/>
  <c r="CB228" i="53"/>
  <c r="CC228" i="53" s="1"/>
  <c r="CE228" i="53" s="1"/>
  <c r="CD229" i="53" s="1"/>
  <c r="BA134" i="53"/>
  <c r="BK133" i="53"/>
  <c r="CS133" i="53"/>
  <c r="V137" i="53"/>
  <c r="G138" i="53"/>
  <c r="AO135" i="53"/>
  <c r="I138" i="53" l="1"/>
  <c r="AQ135" i="53"/>
  <c r="CJ229" i="53"/>
  <c r="CK229" i="53" s="1"/>
  <c r="CM229" i="53" s="1"/>
  <c r="CL230" i="53" s="1"/>
  <c r="CB229" i="53"/>
  <c r="CC229" i="53" s="1"/>
  <c r="CE229" i="53" s="1"/>
  <c r="CD230" i="53" s="1"/>
  <c r="CN229" i="53"/>
  <c r="CO229" i="53" s="1"/>
  <c r="CQ229" i="53" s="1"/>
  <c r="CP230" i="53" s="1"/>
  <c r="CF229" i="53"/>
  <c r="CG229" i="53" s="1"/>
  <c r="CI229" i="53" s="1"/>
  <c r="CH230" i="53" s="1"/>
  <c r="C230" i="53"/>
  <c r="AI136" i="53"/>
  <c r="U137" i="53"/>
  <c r="BJ134" i="53"/>
  <c r="CU133" i="53"/>
  <c r="F139" i="53"/>
  <c r="BC134" i="53"/>
  <c r="W137" i="53" l="1"/>
  <c r="AH137" i="53"/>
  <c r="AP136" i="53"/>
  <c r="CJ230" i="53"/>
  <c r="CK230" i="53" s="1"/>
  <c r="CM230" i="53" s="1"/>
  <c r="CL231" i="53" s="1"/>
  <c r="CB230" i="53"/>
  <c r="CC230" i="53" s="1"/>
  <c r="CE230" i="53" s="1"/>
  <c r="CD231" i="53" s="1"/>
  <c r="C231" i="53"/>
  <c r="CN230" i="53"/>
  <c r="CO230" i="53" s="1"/>
  <c r="CQ230" i="53" s="1"/>
  <c r="CP231" i="53" s="1"/>
  <c r="CF230" i="53"/>
  <c r="CG230" i="53" s="1"/>
  <c r="CI230" i="53" s="1"/>
  <c r="CH231" i="53" s="1"/>
  <c r="K138" i="53"/>
  <c r="E139" i="53"/>
  <c r="BI134" i="53"/>
  <c r="CT134" i="53"/>
  <c r="BB135" i="53"/>
  <c r="AO136" i="53" l="1"/>
  <c r="AG137" i="53"/>
  <c r="CS134" i="53"/>
  <c r="BK134" i="53"/>
  <c r="V138" i="53"/>
  <c r="G139" i="53"/>
  <c r="J139" i="53"/>
  <c r="BA135" i="53"/>
  <c r="CJ231" i="53"/>
  <c r="CK231" i="53" s="1"/>
  <c r="CM231" i="53" s="1"/>
  <c r="CL232" i="53" s="1"/>
  <c r="CB231" i="53"/>
  <c r="CC231" i="53" s="1"/>
  <c r="CE231" i="53" s="1"/>
  <c r="CD232" i="53" s="1"/>
  <c r="C232" i="53"/>
  <c r="CN231" i="53"/>
  <c r="CO231" i="53" s="1"/>
  <c r="CQ231" i="53" s="1"/>
  <c r="CP232" i="53" s="1"/>
  <c r="CF231" i="53"/>
  <c r="CG231" i="53" s="1"/>
  <c r="CI231" i="53" s="1"/>
  <c r="CH232" i="53" s="1"/>
  <c r="BJ135" i="53" l="1"/>
  <c r="CU134" i="53"/>
  <c r="I139" i="53"/>
  <c r="F140" i="53"/>
  <c r="AI137" i="53"/>
  <c r="CJ232" i="53"/>
  <c r="CK232" i="53" s="1"/>
  <c r="CM232" i="53" s="1"/>
  <c r="CL233" i="53" s="1"/>
  <c r="CB232" i="53"/>
  <c r="CC232" i="53" s="1"/>
  <c r="CE232" i="53" s="1"/>
  <c r="CD233" i="53" s="1"/>
  <c r="C233" i="53"/>
  <c r="CN232" i="53"/>
  <c r="CO232" i="53" s="1"/>
  <c r="CQ232" i="53" s="1"/>
  <c r="CP233" i="53" s="1"/>
  <c r="CF232" i="53"/>
  <c r="CG232" i="53" s="1"/>
  <c r="CI232" i="53" s="1"/>
  <c r="CH233" i="53" s="1"/>
  <c r="BC135" i="53"/>
  <c r="U138" i="53"/>
  <c r="AQ136" i="53"/>
  <c r="E140" i="53" l="1"/>
  <c r="C234" i="53"/>
  <c r="CN233" i="53"/>
  <c r="CO233" i="53" s="1"/>
  <c r="CQ233" i="53" s="1"/>
  <c r="CP234" i="53" s="1"/>
  <c r="CF233" i="53"/>
  <c r="CG233" i="53" s="1"/>
  <c r="CI233" i="53" s="1"/>
  <c r="CH234" i="53" s="1"/>
  <c r="CJ233" i="53"/>
  <c r="CK233" i="53" s="1"/>
  <c r="CM233" i="53" s="1"/>
  <c r="CL234" i="53" s="1"/>
  <c r="CB233" i="53"/>
  <c r="CC233" i="53" s="1"/>
  <c r="CE233" i="53" s="1"/>
  <c r="CD234" i="53" s="1"/>
  <c r="BB136" i="53"/>
  <c r="K139" i="53"/>
  <c r="AP137" i="53"/>
  <c r="AH138" i="53"/>
  <c r="W138" i="53"/>
  <c r="BI135" i="53"/>
  <c r="CT135" i="53"/>
  <c r="C235" i="53" l="1"/>
  <c r="CN234" i="53"/>
  <c r="CO234" i="53" s="1"/>
  <c r="CQ234" i="53" s="1"/>
  <c r="CP235" i="53" s="1"/>
  <c r="CF234" i="53"/>
  <c r="CG234" i="53" s="1"/>
  <c r="CI234" i="53" s="1"/>
  <c r="CH235" i="53" s="1"/>
  <c r="CJ234" i="53"/>
  <c r="CK234" i="53" s="1"/>
  <c r="CM234" i="53" s="1"/>
  <c r="CL235" i="53" s="1"/>
  <c r="CB234" i="53"/>
  <c r="CC234" i="53" s="1"/>
  <c r="CE234" i="53" s="1"/>
  <c r="CD235" i="53" s="1"/>
  <c r="V139" i="53"/>
  <c r="BK135" i="53"/>
  <c r="CS135" i="53"/>
  <c r="BA136" i="53"/>
  <c r="G140" i="53"/>
  <c r="J140" i="53"/>
  <c r="AG138" i="53"/>
  <c r="AO137" i="53"/>
  <c r="U139" i="53" l="1"/>
  <c r="AI138" i="53"/>
  <c r="BJ136" i="53"/>
  <c r="CU135" i="53"/>
  <c r="I140" i="53"/>
  <c r="F141" i="53"/>
  <c r="AQ137" i="53"/>
  <c r="BC136" i="53"/>
  <c r="C236" i="53"/>
  <c r="CN235" i="53"/>
  <c r="CO235" i="53" s="1"/>
  <c r="CQ235" i="53" s="1"/>
  <c r="CP236" i="53" s="1"/>
  <c r="CF235" i="53"/>
  <c r="CG235" i="53" s="1"/>
  <c r="CI235" i="53" s="1"/>
  <c r="CH236" i="53" s="1"/>
  <c r="CJ235" i="53"/>
  <c r="CK235" i="53" s="1"/>
  <c r="CM235" i="53" s="1"/>
  <c r="CL236" i="53" s="1"/>
  <c r="CB235" i="53"/>
  <c r="CC235" i="53" s="1"/>
  <c r="CE235" i="53" s="1"/>
  <c r="CD236" i="53" s="1"/>
  <c r="E141" i="53" l="1"/>
  <c r="C237" i="53"/>
  <c r="CN236" i="53"/>
  <c r="CO236" i="53" s="1"/>
  <c r="CQ236" i="53" s="1"/>
  <c r="CP237" i="53" s="1"/>
  <c r="CF236" i="53"/>
  <c r="CG236" i="53" s="1"/>
  <c r="CI236" i="53" s="1"/>
  <c r="CH237" i="53" s="1"/>
  <c r="CJ236" i="53"/>
  <c r="CK236" i="53" s="1"/>
  <c r="CM236" i="53" s="1"/>
  <c r="CL237" i="53" s="1"/>
  <c r="CB236" i="53"/>
  <c r="CC236" i="53" s="1"/>
  <c r="CE236" i="53" s="1"/>
  <c r="CD237" i="53" s="1"/>
  <c r="BB137" i="53"/>
  <c r="K140" i="53"/>
  <c r="BI136" i="53"/>
  <c r="CT136" i="53"/>
  <c r="AH139" i="53"/>
  <c r="AP138" i="53"/>
  <c r="W139" i="53"/>
  <c r="AO138" i="53" l="1"/>
  <c r="J141" i="53"/>
  <c r="V140" i="53"/>
  <c r="CJ237" i="53"/>
  <c r="CK237" i="53" s="1"/>
  <c r="CM237" i="53" s="1"/>
  <c r="CL238" i="53" s="1"/>
  <c r="CB237" i="53"/>
  <c r="CC237" i="53" s="1"/>
  <c r="CE237" i="53" s="1"/>
  <c r="CD238" i="53" s="1"/>
  <c r="CF237" i="53"/>
  <c r="CG237" i="53" s="1"/>
  <c r="CI237" i="53" s="1"/>
  <c r="CH238" i="53" s="1"/>
  <c r="C238" i="53"/>
  <c r="CN237" i="53"/>
  <c r="CO237" i="53" s="1"/>
  <c r="CQ237" i="53" s="1"/>
  <c r="CP238" i="53" s="1"/>
  <c r="BA137" i="53"/>
  <c r="G141" i="53"/>
  <c r="CS136" i="53"/>
  <c r="BK136" i="53"/>
  <c r="AG139" i="53"/>
  <c r="U140" i="53" l="1"/>
  <c r="I141" i="53"/>
  <c r="CJ238" i="53"/>
  <c r="CK238" i="53" s="1"/>
  <c r="CM238" i="53" s="1"/>
  <c r="CL239" i="53" s="1"/>
  <c r="CB238" i="53"/>
  <c r="CC238" i="53" s="1"/>
  <c r="CE238" i="53" s="1"/>
  <c r="CD239" i="53" s="1"/>
  <c r="C239" i="53"/>
  <c r="CN238" i="53"/>
  <c r="CO238" i="53" s="1"/>
  <c r="CQ238" i="53" s="1"/>
  <c r="CP239" i="53" s="1"/>
  <c r="CF238" i="53"/>
  <c r="CG238" i="53" s="1"/>
  <c r="CI238" i="53" s="1"/>
  <c r="CH239" i="53" s="1"/>
  <c r="F142" i="53"/>
  <c r="AQ138" i="53"/>
  <c r="AI139" i="53"/>
  <c r="BC137" i="53"/>
  <c r="BJ137" i="53"/>
  <c r="CU136" i="53"/>
  <c r="E142" i="53" l="1"/>
  <c r="AH140" i="53"/>
  <c r="CJ239" i="53"/>
  <c r="CK239" i="53" s="1"/>
  <c r="CM239" i="53" s="1"/>
  <c r="CL240" i="53" s="1"/>
  <c r="CB239" i="53"/>
  <c r="CC239" i="53" s="1"/>
  <c r="CE239" i="53" s="1"/>
  <c r="CD240" i="53" s="1"/>
  <c r="C240" i="53"/>
  <c r="CN239" i="53"/>
  <c r="CO239" i="53" s="1"/>
  <c r="CQ239" i="53" s="1"/>
  <c r="CP240" i="53" s="1"/>
  <c r="CF239" i="53"/>
  <c r="CG239" i="53" s="1"/>
  <c r="CI239" i="53" s="1"/>
  <c r="CH240" i="53" s="1"/>
  <c r="AP139" i="53"/>
  <c r="K141" i="53"/>
  <c r="BB138" i="53"/>
  <c r="BI137" i="53"/>
  <c r="CT137" i="53"/>
  <c r="W140" i="53"/>
  <c r="AG140" i="53" l="1"/>
  <c r="J142" i="53"/>
  <c r="G142" i="53"/>
  <c r="V141" i="53"/>
  <c r="BA138" i="53"/>
  <c r="CS137" i="53"/>
  <c r="BK137" i="53"/>
  <c r="AO139" i="53"/>
  <c r="CJ240" i="53"/>
  <c r="CK240" i="53" s="1"/>
  <c r="CM240" i="53" s="1"/>
  <c r="CL241" i="53" s="1"/>
  <c r="CB240" i="53"/>
  <c r="CC240" i="53" s="1"/>
  <c r="CE240" i="53" s="1"/>
  <c r="CD241" i="53" s="1"/>
  <c r="C241" i="53"/>
  <c r="CN240" i="53"/>
  <c r="CO240" i="53" s="1"/>
  <c r="CQ240" i="53" s="1"/>
  <c r="CP241" i="53" s="1"/>
  <c r="CF240" i="53"/>
  <c r="CG240" i="53" s="1"/>
  <c r="CI240" i="53" s="1"/>
  <c r="CH241" i="53" s="1"/>
  <c r="BC138" i="53" l="1"/>
  <c r="C242" i="53"/>
  <c r="CN241" i="53"/>
  <c r="CO241" i="53" s="1"/>
  <c r="CQ241" i="53" s="1"/>
  <c r="CP242" i="53" s="1"/>
  <c r="CF241" i="53"/>
  <c r="CG241" i="53" s="1"/>
  <c r="CI241" i="53" s="1"/>
  <c r="CH242" i="53" s="1"/>
  <c r="CB241" i="53"/>
  <c r="CC241" i="53" s="1"/>
  <c r="CE241" i="53" s="1"/>
  <c r="CD242" i="53" s="1"/>
  <c r="CJ241" i="53"/>
  <c r="CK241" i="53" s="1"/>
  <c r="CM241" i="53" s="1"/>
  <c r="CL242" i="53" s="1"/>
  <c r="I142" i="53"/>
  <c r="AQ139" i="53"/>
  <c r="U141" i="53"/>
  <c r="BJ138" i="53"/>
  <c r="CU137" i="53"/>
  <c r="F143" i="53"/>
  <c r="AI140" i="53"/>
  <c r="E143" i="53" l="1"/>
  <c r="C243" i="53"/>
  <c r="CN242" i="53"/>
  <c r="CO242" i="53" s="1"/>
  <c r="CQ242" i="53" s="1"/>
  <c r="CP243" i="53" s="1"/>
  <c r="CF242" i="53"/>
  <c r="CG242" i="53" s="1"/>
  <c r="CI242" i="53" s="1"/>
  <c r="CH243" i="53" s="1"/>
  <c r="CJ242" i="53"/>
  <c r="CK242" i="53" s="1"/>
  <c r="CM242" i="53" s="1"/>
  <c r="CL243" i="53" s="1"/>
  <c r="CB242" i="53"/>
  <c r="CC242" i="53" s="1"/>
  <c r="CE242" i="53" s="1"/>
  <c r="CD243" i="53" s="1"/>
  <c r="W141" i="53"/>
  <c r="AP140" i="53"/>
  <c r="AH141" i="53"/>
  <c r="BI138" i="53"/>
  <c r="CT138" i="53"/>
  <c r="K142" i="53"/>
  <c r="BB139" i="53"/>
  <c r="BA139" i="53" l="1"/>
  <c r="J143" i="53"/>
  <c r="AO140" i="53"/>
  <c r="V142" i="53"/>
  <c r="C244" i="53"/>
  <c r="CN243" i="53"/>
  <c r="CO243" i="53" s="1"/>
  <c r="CQ243" i="53" s="1"/>
  <c r="CP244" i="53" s="1"/>
  <c r="CF243" i="53"/>
  <c r="CG243" i="53" s="1"/>
  <c r="CI243" i="53" s="1"/>
  <c r="CH244" i="53" s="1"/>
  <c r="CJ243" i="53"/>
  <c r="CK243" i="53" s="1"/>
  <c r="CM243" i="53" s="1"/>
  <c r="CL244" i="53" s="1"/>
  <c r="CB243" i="53"/>
  <c r="CC243" i="53" s="1"/>
  <c r="CE243" i="53" s="1"/>
  <c r="CD244" i="53" s="1"/>
  <c r="AG141" i="53"/>
  <c r="CS138" i="53"/>
  <c r="BK138" i="53"/>
  <c r="G143" i="53"/>
  <c r="AQ140" i="53" l="1"/>
  <c r="BJ139" i="53"/>
  <c r="CU138" i="53"/>
  <c r="C245" i="53"/>
  <c r="CN244" i="53"/>
  <c r="CO244" i="53" s="1"/>
  <c r="CQ244" i="53" s="1"/>
  <c r="CP245" i="53" s="1"/>
  <c r="CF244" i="53"/>
  <c r="CG244" i="53" s="1"/>
  <c r="CI244" i="53" s="1"/>
  <c r="CH245" i="53" s="1"/>
  <c r="CJ244" i="53"/>
  <c r="CK244" i="53" s="1"/>
  <c r="CM244" i="53" s="1"/>
  <c r="CL245" i="53" s="1"/>
  <c r="CB244" i="53"/>
  <c r="CC244" i="53" s="1"/>
  <c r="CE244" i="53" s="1"/>
  <c r="CD245" i="53" s="1"/>
  <c r="I143" i="53"/>
  <c r="AI141" i="53"/>
  <c r="U142" i="53"/>
  <c r="F144" i="53"/>
  <c r="BC139" i="53"/>
  <c r="AH142" i="53" l="1"/>
  <c r="CJ245" i="53"/>
  <c r="CK245" i="53" s="1"/>
  <c r="CM245" i="53" s="1"/>
  <c r="CL246" i="53" s="1"/>
  <c r="CB245" i="53"/>
  <c r="CC245" i="53" s="1"/>
  <c r="CE245" i="53" s="1"/>
  <c r="CD246" i="53" s="1"/>
  <c r="C246" i="53"/>
  <c r="CN245" i="53"/>
  <c r="CO245" i="53" s="1"/>
  <c r="CQ245" i="53" s="1"/>
  <c r="CP246" i="53" s="1"/>
  <c r="CF245" i="53"/>
  <c r="CG245" i="53" s="1"/>
  <c r="CI245" i="53" s="1"/>
  <c r="CH246" i="53" s="1"/>
  <c r="K143" i="53"/>
  <c r="BB140" i="53"/>
  <c r="W142" i="53"/>
  <c r="BI139" i="53"/>
  <c r="CT139" i="53"/>
  <c r="E144" i="53"/>
  <c r="AP141" i="53"/>
  <c r="G144" i="53" l="1"/>
  <c r="BA140" i="53"/>
  <c r="C247" i="53"/>
  <c r="CN246" i="53"/>
  <c r="CO246" i="53" s="1"/>
  <c r="CQ246" i="53" s="1"/>
  <c r="CP247" i="53" s="1"/>
  <c r="CF246" i="53"/>
  <c r="CG246" i="53" s="1"/>
  <c r="CI246" i="53" s="1"/>
  <c r="CH247" i="53" s="1"/>
  <c r="CJ246" i="53"/>
  <c r="CK246" i="53" s="1"/>
  <c r="CM246" i="53" s="1"/>
  <c r="CL247" i="53" s="1"/>
  <c r="CB246" i="53"/>
  <c r="CC246" i="53" s="1"/>
  <c r="CE246" i="53" s="1"/>
  <c r="CD247" i="53" s="1"/>
  <c r="J144" i="53"/>
  <c r="AO141" i="53"/>
  <c r="CS139" i="53"/>
  <c r="BK139" i="53"/>
  <c r="V143" i="53"/>
  <c r="AG142" i="53"/>
  <c r="I144" i="53" l="1"/>
  <c r="U143" i="53"/>
  <c r="CJ247" i="53"/>
  <c r="CK247" i="53" s="1"/>
  <c r="CM247" i="53" s="1"/>
  <c r="CL248" i="53" s="1"/>
  <c r="CB247" i="53"/>
  <c r="CC247" i="53" s="1"/>
  <c r="CE247" i="53" s="1"/>
  <c r="CD248" i="53" s="1"/>
  <c r="CF247" i="53"/>
  <c r="CG247" i="53" s="1"/>
  <c r="CI247" i="53" s="1"/>
  <c r="CH248" i="53" s="1"/>
  <c r="C248" i="53"/>
  <c r="CN247" i="53"/>
  <c r="CO247" i="53" s="1"/>
  <c r="CQ247" i="53" s="1"/>
  <c r="CP248" i="53" s="1"/>
  <c r="BJ140" i="53"/>
  <c r="CU139" i="53"/>
  <c r="BC140" i="53"/>
  <c r="AI142" i="53"/>
  <c r="F145" i="53"/>
  <c r="AQ141" i="53"/>
  <c r="BI140" i="53" l="1"/>
  <c r="CT140" i="53"/>
  <c r="AH143" i="53"/>
  <c r="CJ248" i="53"/>
  <c r="CK248" i="53" s="1"/>
  <c r="CM248" i="53" s="1"/>
  <c r="CL249" i="53" s="1"/>
  <c r="CB248" i="53"/>
  <c r="CC248" i="53" s="1"/>
  <c r="CE248" i="53" s="1"/>
  <c r="CD249" i="53" s="1"/>
  <c r="C249" i="53"/>
  <c r="CN248" i="53"/>
  <c r="CO248" i="53" s="1"/>
  <c r="CQ248" i="53" s="1"/>
  <c r="CP249" i="53" s="1"/>
  <c r="CF248" i="53"/>
  <c r="CG248" i="53" s="1"/>
  <c r="CI248" i="53" s="1"/>
  <c r="CH249" i="53" s="1"/>
  <c r="W143" i="53"/>
  <c r="AP142" i="53"/>
  <c r="BB141" i="53"/>
  <c r="E145" i="53"/>
  <c r="K144" i="53"/>
  <c r="BA141" i="53" l="1"/>
  <c r="J145" i="53"/>
  <c r="AG143" i="53"/>
  <c r="AO142" i="53"/>
  <c r="G145" i="53"/>
  <c r="V144" i="53"/>
  <c r="CJ249" i="53"/>
  <c r="CK249" i="53" s="1"/>
  <c r="CM249" i="53" s="1"/>
  <c r="CL250" i="53" s="1"/>
  <c r="CB249" i="53"/>
  <c r="CC249" i="53" s="1"/>
  <c r="CE249" i="53" s="1"/>
  <c r="CD250" i="53" s="1"/>
  <c r="C250" i="53"/>
  <c r="CN249" i="53"/>
  <c r="CO249" i="53" s="1"/>
  <c r="CQ249" i="53" s="1"/>
  <c r="CP250" i="53" s="1"/>
  <c r="CF249" i="53"/>
  <c r="CG249" i="53" s="1"/>
  <c r="CI249" i="53" s="1"/>
  <c r="CH250" i="53" s="1"/>
  <c r="CS140" i="53"/>
  <c r="BK140" i="53"/>
  <c r="U144" i="53" l="1"/>
  <c r="F146" i="53"/>
  <c r="I145" i="53"/>
  <c r="BC141" i="53"/>
  <c r="AQ142" i="53"/>
  <c r="CJ250" i="53"/>
  <c r="CK250" i="53" s="1"/>
  <c r="CM250" i="53" s="1"/>
  <c r="CL251" i="53" s="1"/>
  <c r="CB250" i="53"/>
  <c r="CC250" i="53" s="1"/>
  <c r="CE250" i="53" s="1"/>
  <c r="CD251" i="53" s="1"/>
  <c r="C251" i="53"/>
  <c r="CN250" i="53"/>
  <c r="CO250" i="53" s="1"/>
  <c r="CQ250" i="53" s="1"/>
  <c r="CP251" i="53" s="1"/>
  <c r="CF250" i="53"/>
  <c r="CG250" i="53" s="1"/>
  <c r="CI250" i="53" s="1"/>
  <c r="CH251" i="53" s="1"/>
  <c r="AI143" i="53"/>
  <c r="BJ141" i="53"/>
  <c r="CU140" i="53"/>
  <c r="K145" i="53" l="1"/>
  <c r="C252" i="53"/>
  <c r="CN251" i="53"/>
  <c r="CO251" i="53" s="1"/>
  <c r="CQ251" i="53" s="1"/>
  <c r="CP252" i="53" s="1"/>
  <c r="CF251" i="53"/>
  <c r="CG251" i="53" s="1"/>
  <c r="CI251" i="53" s="1"/>
  <c r="CH252" i="53" s="1"/>
  <c r="CJ251" i="53"/>
  <c r="CK251" i="53" s="1"/>
  <c r="CM251" i="53" s="1"/>
  <c r="CL252" i="53" s="1"/>
  <c r="CB251" i="53"/>
  <c r="CC251" i="53" s="1"/>
  <c r="CE251" i="53" s="1"/>
  <c r="CD252" i="53" s="1"/>
  <c r="AP143" i="53"/>
  <c r="E146" i="53"/>
  <c r="BB142" i="53"/>
  <c r="BI141" i="53"/>
  <c r="CT141" i="53"/>
  <c r="J26" i="53" s="1"/>
  <c r="H45" i="15" s="1"/>
  <c r="AH144" i="53"/>
  <c r="W144" i="53"/>
  <c r="G146" i="53" l="1"/>
  <c r="V145" i="53"/>
  <c r="CS141" i="53"/>
  <c r="J25" i="53" s="1"/>
  <c r="BK141" i="53"/>
  <c r="AG144" i="53"/>
  <c r="AO143" i="53"/>
  <c r="J146" i="53"/>
  <c r="BA142" i="53"/>
  <c r="C253" i="53"/>
  <c r="CN252" i="53"/>
  <c r="CO252" i="53" s="1"/>
  <c r="CQ252" i="53" s="1"/>
  <c r="CP253" i="53" s="1"/>
  <c r="CF252" i="53"/>
  <c r="CG252" i="53" s="1"/>
  <c r="CI252" i="53" s="1"/>
  <c r="CH253" i="53" s="1"/>
  <c r="CJ252" i="53"/>
  <c r="CK252" i="53" s="1"/>
  <c r="CM252" i="53" s="1"/>
  <c r="CL253" i="53" s="1"/>
  <c r="CB252" i="53"/>
  <c r="CC252" i="53" s="1"/>
  <c r="CE252" i="53" s="1"/>
  <c r="CD253" i="53" s="1"/>
  <c r="AI144" i="53" l="1"/>
  <c r="C254" i="53"/>
  <c r="CN253" i="53"/>
  <c r="CO253" i="53" s="1"/>
  <c r="CQ253" i="53" s="1"/>
  <c r="CP254" i="53" s="1"/>
  <c r="CF253" i="53"/>
  <c r="CG253" i="53" s="1"/>
  <c r="CI253" i="53" s="1"/>
  <c r="CH254" i="53" s="1"/>
  <c r="CJ253" i="53"/>
  <c r="CK253" i="53" s="1"/>
  <c r="CM253" i="53" s="1"/>
  <c r="CL254" i="53" s="1"/>
  <c r="CB253" i="53"/>
  <c r="CC253" i="53" s="1"/>
  <c r="CE253" i="53" s="1"/>
  <c r="CD254" i="53" s="1"/>
  <c r="BJ142" i="53"/>
  <c r="CU141" i="53"/>
  <c r="I146" i="53"/>
  <c r="BC142" i="53"/>
  <c r="AQ143" i="53"/>
  <c r="U145" i="53"/>
  <c r="F147" i="53"/>
  <c r="BB143" i="53" l="1"/>
  <c r="W145" i="53"/>
  <c r="C255" i="53"/>
  <c r="CN254" i="53"/>
  <c r="CO254" i="53" s="1"/>
  <c r="CQ254" i="53" s="1"/>
  <c r="CP255" i="53" s="1"/>
  <c r="CF254" i="53"/>
  <c r="CG254" i="53" s="1"/>
  <c r="CI254" i="53" s="1"/>
  <c r="CH255" i="53" s="1"/>
  <c r="CJ254" i="53"/>
  <c r="CK254" i="53" s="1"/>
  <c r="CM254" i="53" s="1"/>
  <c r="CL255" i="53" s="1"/>
  <c r="CB254" i="53"/>
  <c r="CC254" i="53" s="1"/>
  <c r="CE254" i="53" s="1"/>
  <c r="CD255" i="53" s="1"/>
  <c r="K146" i="53"/>
  <c r="E147" i="53"/>
  <c r="BI142" i="53"/>
  <c r="CT142" i="53"/>
  <c r="AP144" i="53"/>
  <c r="AH145" i="53"/>
  <c r="CJ255" i="53" l="1"/>
  <c r="CK255" i="53" s="1"/>
  <c r="CM255" i="53" s="1"/>
  <c r="CL256" i="53" s="1"/>
  <c r="CB255" i="53"/>
  <c r="CC255" i="53" s="1"/>
  <c r="CE255" i="53" s="1"/>
  <c r="CD256" i="53" s="1"/>
  <c r="C256" i="53"/>
  <c r="CN255" i="53"/>
  <c r="CO255" i="53" s="1"/>
  <c r="CQ255" i="53" s="1"/>
  <c r="CP256" i="53" s="1"/>
  <c r="CF255" i="53"/>
  <c r="CG255" i="53" s="1"/>
  <c r="CI255" i="53" s="1"/>
  <c r="CH256" i="53" s="1"/>
  <c r="V146" i="53"/>
  <c r="AO144" i="53"/>
  <c r="BK142" i="53"/>
  <c r="CS142" i="53"/>
  <c r="BA143" i="53"/>
  <c r="G147" i="53"/>
  <c r="AG145" i="53"/>
  <c r="J147" i="53"/>
  <c r="CJ256" i="53" l="1"/>
  <c r="CK256" i="53" s="1"/>
  <c r="CM256" i="53" s="1"/>
  <c r="CL257" i="53" s="1"/>
  <c r="CB256" i="53"/>
  <c r="CC256" i="53" s="1"/>
  <c r="CE256" i="53" s="1"/>
  <c r="CD257" i="53" s="1"/>
  <c r="C257" i="53"/>
  <c r="CN256" i="53"/>
  <c r="CO256" i="53" s="1"/>
  <c r="CQ256" i="53" s="1"/>
  <c r="CP257" i="53" s="1"/>
  <c r="CF256" i="53"/>
  <c r="CG256" i="53" s="1"/>
  <c r="CI256" i="53" s="1"/>
  <c r="CH257" i="53" s="1"/>
  <c r="BJ143" i="53"/>
  <c r="CU142" i="53"/>
  <c r="BC143" i="53"/>
  <c r="AI145" i="53"/>
  <c r="F148" i="53"/>
  <c r="I147" i="53"/>
  <c r="U146" i="53"/>
  <c r="AQ144" i="53"/>
  <c r="BI143" i="53" l="1"/>
  <c r="CT143" i="53"/>
  <c r="CJ257" i="53"/>
  <c r="CK257" i="53" s="1"/>
  <c r="CM257" i="53" s="1"/>
  <c r="CL258" i="53" s="1"/>
  <c r="CB257" i="53"/>
  <c r="CC257" i="53" s="1"/>
  <c r="CE257" i="53" s="1"/>
  <c r="CD258" i="53" s="1"/>
  <c r="C258" i="53"/>
  <c r="CN257" i="53"/>
  <c r="CO257" i="53" s="1"/>
  <c r="CQ257" i="53" s="1"/>
  <c r="CP258" i="53" s="1"/>
  <c r="CF257" i="53"/>
  <c r="CG257" i="53" s="1"/>
  <c r="CI257" i="53" s="1"/>
  <c r="CH258" i="53" s="1"/>
  <c r="E148" i="53"/>
  <c r="AP145" i="53"/>
  <c r="W146" i="53"/>
  <c r="BB144" i="53"/>
  <c r="K147" i="53"/>
  <c r="AH146" i="53"/>
  <c r="V147" i="53" l="1"/>
  <c r="G148" i="53"/>
  <c r="AG146" i="53"/>
  <c r="CJ258" i="53"/>
  <c r="CK258" i="53" s="1"/>
  <c r="CM258" i="53" s="1"/>
  <c r="CL259" i="53" s="1"/>
  <c r="CB258" i="53"/>
  <c r="CC258" i="53" s="1"/>
  <c r="CE258" i="53" s="1"/>
  <c r="CD259" i="53" s="1"/>
  <c r="C259" i="53"/>
  <c r="CN258" i="53"/>
  <c r="CO258" i="53" s="1"/>
  <c r="CQ258" i="53" s="1"/>
  <c r="CP259" i="53" s="1"/>
  <c r="CF258" i="53"/>
  <c r="CG258" i="53" s="1"/>
  <c r="CI258" i="53" s="1"/>
  <c r="CH259" i="53" s="1"/>
  <c r="AO145" i="53"/>
  <c r="J148" i="53"/>
  <c r="BA144" i="53"/>
  <c r="BK143" i="53"/>
  <c r="CS143" i="53"/>
  <c r="I148" i="53" l="1"/>
  <c r="BJ144" i="53"/>
  <c r="CU143" i="53"/>
  <c r="C260" i="53"/>
  <c r="CN259" i="53"/>
  <c r="CO259" i="53" s="1"/>
  <c r="CQ259" i="53" s="1"/>
  <c r="CP260" i="53" s="1"/>
  <c r="CF259" i="53"/>
  <c r="CG259" i="53" s="1"/>
  <c r="CI259" i="53" s="1"/>
  <c r="CH260" i="53" s="1"/>
  <c r="CJ259" i="53"/>
  <c r="CK259" i="53" s="1"/>
  <c r="CM259" i="53" s="1"/>
  <c r="CL260" i="53" s="1"/>
  <c r="CB259" i="53"/>
  <c r="CC259" i="53" s="1"/>
  <c r="CE259" i="53" s="1"/>
  <c r="CD260" i="53" s="1"/>
  <c r="AI146" i="53"/>
  <c r="AQ145" i="53"/>
  <c r="BC144" i="53"/>
  <c r="F149" i="53"/>
  <c r="U147" i="53"/>
  <c r="BI144" i="53" l="1"/>
  <c r="CT144" i="53"/>
  <c r="C261" i="53"/>
  <c r="CN260" i="53"/>
  <c r="CO260" i="53" s="1"/>
  <c r="CQ260" i="53" s="1"/>
  <c r="CP261" i="53" s="1"/>
  <c r="CF260" i="53"/>
  <c r="CG260" i="53" s="1"/>
  <c r="CI260" i="53" s="1"/>
  <c r="CH261" i="53" s="1"/>
  <c r="CJ260" i="53"/>
  <c r="CK260" i="53" s="1"/>
  <c r="CM260" i="53" s="1"/>
  <c r="CL261" i="53" s="1"/>
  <c r="CB260" i="53"/>
  <c r="CC260" i="53" s="1"/>
  <c r="CE260" i="53" s="1"/>
  <c r="CD261" i="53" s="1"/>
  <c r="BB145" i="53"/>
  <c r="K148" i="53"/>
  <c r="AP146" i="53"/>
  <c r="W147" i="53"/>
  <c r="AH147" i="53"/>
  <c r="E149" i="53"/>
  <c r="AG147" i="53" l="1"/>
  <c r="G149" i="53"/>
  <c r="V148" i="53"/>
  <c r="C262" i="53"/>
  <c r="CN261" i="53"/>
  <c r="CO261" i="53" s="1"/>
  <c r="CQ261" i="53" s="1"/>
  <c r="CP262" i="53" s="1"/>
  <c r="CF261" i="53"/>
  <c r="CG261" i="53" s="1"/>
  <c r="CI261" i="53" s="1"/>
  <c r="CH262" i="53" s="1"/>
  <c r="CJ261" i="53"/>
  <c r="CK261" i="53" s="1"/>
  <c r="CM261" i="53" s="1"/>
  <c r="CL262" i="53" s="1"/>
  <c r="CB261" i="53"/>
  <c r="CC261" i="53" s="1"/>
  <c r="J149" i="53"/>
  <c r="AO146" i="53"/>
  <c r="BA145" i="53"/>
  <c r="BK144" i="53"/>
  <c r="CS144" i="53"/>
  <c r="F150" i="53" l="1"/>
  <c r="AQ146" i="53"/>
  <c r="AI147" i="53"/>
  <c r="C263" i="53"/>
  <c r="CN262" i="53"/>
  <c r="CO262" i="53" s="1"/>
  <c r="CQ262" i="53" s="1"/>
  <c r="CP263" i="53" s="1"/>
  <c r="CF262" i="53"/>
  <c r="CG262" i="53" s="1"/>
  <c r="CI262" i="53" s="1"/>
  <c r="CH263" i="53" s="1"/>
  <c r="CJ262" i="53"/>
  <c r="CK262" i="53" s="1"/>
  <c r="CM262" i="53" s="1"/>
  <c r="CL263" i="53" s="1"/>
  <c r="BJ145" i="53"/>
  <c r="CU144" i="53"/>
  <c r="I149" i="53"/>
  <c r="BC145" i="53"/>
  <c r="U148" i="53"/>
  <c r="K149" i="53" l="1"/>
  <c r="AH148" i="53"/>
  <c r="AP147" i="53"/>
  <c r="BI145" i="53"/>
  <c r="CT145" i="53"/>
  <c r="W148" i="53"/>
  <c r="BB146" i="53"/>
  <c r="CJ263" i="53"/>
  <c r="CK263" i="53" s="1"/>
  <c r="CM263" i="53" s="1"/>
  <c r="CL264" i="53" s="1"/>
  <c r="C264" i="53"/>
  <c r="CN263" i="53"/>
  <c r="CO263" i="53" s="1"/>
  <c r="CQ263" i="53" s="1"/>
  <c r="CP264" i="53" s="1"/>
  <c r="CF263" i="53"/>
  <c r="CG263" i="53" s="1"/>
  <c r="CI263" i="53" s="1"/>
  <c r="CH264" i="53" s="1"/>
  <c r="E150" i="53"/>
  <c r="AO147" i="53" l="1"/>
  <c r="CJ264" i="53"/>
  <c r="CK264" i="53" s="1"/>
  <c r="CM264" i="53" s="1"/>
  <c r="CL265" i="53" s="1"/>
  <c r="C265" i="53"/>
  <c r="CN264" i="53"/>
  <c r="CO264" i="53" s="1"/>
  <c r="CQ264" i="53" s="1"/>
  <c r="CP265" i="53" s="1"/>
  <c r="CF264" i="53"/>
  <c r="CG264" i="53" s="1"/>
  <c r="BA146" i="53"/>
  <c r="V149" i="53"/>
  <c r="G150" i="53"/>
  <c r="CS145" i="53"/>
  <c r="BK145" i="53"/>
  <c r="AG148" i="53"/>
  <c r="J150" i="53"/>
  <c r="AI148" i="53" l="1"/>
  <c r="BJ146" i="53"/>
  <c r="CU145" i="53"/>
  <c r="U149" i="53"/>
  <c r="BC146" i="53"/>
  <c r="CJ265" i="53"/>
  <c r="CK265" i="53" s="1"/>
  <c r="CM265" i="53" s="1"/>
  <c r="CL266" i="53" s="1"/>
  <c r="C266" i="53"/>
  <c r="CN265" i="53"/>
  <c r="CO265" i="53" s="1"/>
  <c r="CQ265" i="53" s="1"/>
  <c r="CP266" i="53" s="1"/>
  <c r="F151" i="53"/>
  <c r="AQ147" i="53"/>
  <c r="I150" i="53"/>
  <c r="W149" i="53" l="1"/>
  <c r="E151" i="53"/>
  <c r="CJ266" i="53"/>
  <c r="CK266" i="53" s="1"/>
  <c r="CM266" i="53" s="1"/>
  <c r="CL267" i="53" s="1"/>
  <c r="C267" i="53"/>
  <c r="CN266" i="53"/>
  <c r="CO266" i="53" s="1"/>
  <c r="CQ266" i="53" s="1"/>
  <c r="CP267" i="53" s="1"/>
  <c r="BB147" i="53"/>
  <c r="BI146" i="53"/>
  <c r="CT146" i="53"/>
  <c r="K150" i="53"/>
  <c r="AP148" i="53"/>
  <c r="AH149" i="53"/>
  <c r="AO148" i="53" l="1"/>
  <c r="BA147" i="53"/>
  <c r="C268" i="53"/>
  <c r="CN267" i="53"/>
  <c r="CO267" i="53" s="1"/>
  <c r="CQ267" i="53" s="1"/>
  <c r="CP268" i="53" s="1"/>
  <c r="CJ267" i="53"/>
  <c r="CK267" i="53" s="1"/>
  <c r="G151" i="53"/>
  <c r="AG149" i="53"/>
  <c r="J151" i="53"/>
  <c r="V150" i="53"/>
  <c r="CS146" i="53"/>
  <c r="BK146" i="53"/>
  <c r="U150" i="53" l="1"/>
  <c r="BC147" i="53"/>
  <c r="C269" i="53"/>
  <c r="CN268" i="53"/>
  <c r="CO268" i="53" s="1"/>
  <c r="CQ268" i="53" s="1"/>
  <c r="CP269" i="53" s="1"/>
  <c r="I151" i="53"/>
  <c r="BJ147" i="53"/>
  <c r="CU146" i="53"/>
  <c r="AQ148" i="53"/>
  <c r="AI149" i="53"/>
  <c r="F152" i="53"/>
  <c r="C270" i="53" l="1"/>
  <c r="CN269" i="53"/>
  <c r="CO269" i="53" s="1"/>
  <c r="CQ269" i="53" s="1"/>
  <c r="CP270" i="53" s="1"/>
  <c r="AH150" i="53"/>
  <c r="K151" i="53"/>
  <c r="AP149" i="53"/>
  <c r="BB148" i="53"/>
  <c r="E152" i="53"/>
  <c r="BI147" i="53"/>
  <c r="CT147" i="53"/>
  <c r="W150" i="53"/>
  <c r="G152" i="53" l="1"/>
  <c r="AG150" i="53"/>
  <c r="AO149" i="53"/>
  <c r="V151" i="53"/>
  <c r="BA148" i="53"/>
  <c r="J152" i="53"/>
  <c r="BK147" i="53"/>
  <c r="CS147" i="53"/>
  <c r="C271" i="53"/>
  <c r="CN270" i="53"/>
  <c r="CO270" i="53" s="1"/>
  <c r="I152" i="53" l="1"/>
  <c r="BC148" i="53"/>
  <c r="AQ149" i="53"/>
  <c r="C272" i="53"/>
  <c r="BJ148" i="53"/>
  <c r="CU147" i="53"/>
  <c r="U151" i="53"/>
  <c r="AI150" i="53"/>
  <c r="F153" i="53"/>
  <c r="AH151" i="53" l="1"/>
  <c r="W151" i="53"/>
  <c r="E153" i="53"/>
  <c r="BI148" i="53"/>
  <c r="CT148" i="53"/>
  <c r="C273" i="53"/>
  <c r="AP150" i="53"/>
  <c r="BB149" i="53"/>
  <c r="K152" i="53"/>
  <c r="BA149" i="53" l="1"/>
  <c r="C274" i="53"/>
  <c r="V152" i="53"/>
  <c r="AO150" i="53"/>
  <c r="J153" i="53"/>
  <c r="BK148" i="53"/>
  <c r="CS148" i="53"/>
  <c r="G153" i="53"/>
  <c r="AG151" i="53"/>
  <c r="F154" i="53" l="1"/>
  <c r="I153" i="53"/>
  <c r="AQ150" i="53"/>
  <c r="C275" i="53"/>
  <c r="AI151" i="53"/>
  <c r="BJ149" i="53"/>
  <c r="CU148" i="53"/>
  <c r="U152" i="53"/>
  <c r="BC149" i="53"/>
  <c r="W152" i="53" l="1"/>
  <c r="K153" i="53"/>
  <c r="BB150" i="53"/>
  <c r="E154" i="53"/>
  <c r="BI149" i="53"/>
  <c r="CT149" i="53"/>
  <c r="C276" i="53"/>
  <c r="AH152" i="53"/>
  <c r="AP151" i="53"/>
  <c r="BA150" i="53" l="1"/>
  <c r="C277" i="53"/>
  <c r="J154" i="53"/>
  <c r="AO151" i="53"/>
  <c r="CS149" i="53"/>
  <c r="BK149" i="53"/>
  <c r="G154" i="53"/>
  <c r="V153" i="53"/>
  <c r="AG152" i="53"/>
  <c r="U153" i="53" l="1"/>
  <c r="AQ151" i="53"/>
  <c r="C278" i="53"/>
  <c r="F155" i="53"/>
  <c r="I154" i="53"/>
  <c r="AI152" i="53"/>
  <c r="BJ150" i="53"/>
  <c r="CU149" i="53"/>
  <c r="BC150" i="53"/>
  <c r="BB151" i="53" l="1"/>
  <c r="K154" i="53"/>
  <c r="E155" i="53"/>
  <c r="C279" i="53"/>
  <c r="AP152" i="53"/>
  <c r="BI150" i="53"/>
  <c r="CT150" i="53"/>
  <c r="AH153" i="53"/>
  <c r="W153" i="53"/>
  <c r="AG153" i="53" l="1"/>
  <c r="C280" i="53"/>
  <c r="J155" i="53"/>
  <c r="CS150" i="53"/>
  <c r="BK150" i="53"/>
  <c r="V154" i="53"/>
  <c r="AO152" i="53"/>
  <c r="G155" i="53"/>
  <c r="BA151" i="53"/>
  <c r="AQ152" i="53" l="1"/>
  <c r="I155" i="53"/>
  <c r="C281" i="53"/>
  <c r="BJ151" i="53"/>
  <c r="CU150" i="53"/>
  <c r="BC151" i="53"/>
  <c r="F156" i="53"/>
  <c r="U154" i="53"/>
  <c r="AI153" i="53"/>
  <c r="E156" i="53" l="1"/>
  <c r="C282" i="53"/>
  <c r="K155" i="53"/>
  <c r="AP153" i="53"/>
  <c r="AH154" i="53"/>
  <c r="BB152" i="53"/>
  <c r="W154" i="53"/>
  <c r="BI151" i="53"/>
  <c r="CT151" i="53"/>
  <c r="AO153" i="53" l="1"/>
  <c r="BA152" i="53"/>
  <c r="J156" i="53"/>
  <c r="BK151" i="53"/>
  <c r="CS151" i="53"/>
  <c r="V155" i="53"/>
  <c r="G156" i="53"/>
  <c r="AG154" i="53"/>
  <c r="C283" i="53"/>
  <c r="F157" i="53" l="1"/>
  <c r="C284" i="53"/>
  <c r="I156" i="53"/>
  <c r="U155" i="53"/>
  <c r="AI154" i="53"/>
  <c r="BC152" i="53"/>
  <c r="BJ152" i="53"/>
  <c r="CU151" i="53"/>
  <c r="AQ153" i="53"/>
  <c r="AH155" i="53" l="1"/>
  <c r="C285" i="53"/>
  <c r="W155" i="53"/>
  <c r="AP154" i="53"/>
  <c r="BI152" i="53"/>
  <c r="CT152" i="53"/>
  <c r="K156" i="53"/>
  <c r="BB153" i="53"/>
  <c r="E157" i="53"/>
  <c r="AO154" i="53" l="1"/>
  <c r="V156" i="53"/>
  <c r="C286" i="53"/>
  <c r="G157" i="53"/>
  <c r="J157" i="53"/>
  <c r="BA153" i="53"/>
  <c r="CS152" i="53"/>
  <c r="BK152" i="53"/>
  <c r="AG155" i="53"/>
  <c r="BJ153" i="53" l="1"/>
  <c r="CU152" i="53"/>
  <c r="I157" i="53"/>
  <c r="F158" i="53"/>
  <c r="C287" i="53"/>
  <c r="U156" i="53"/>
  <c r="AI155" i="53"/>
  <c r="BC153" i="53"/>
  <c r="AQ154" i="53"/>
  <c r="BB154" i="53" l="1"/>
  <c r="E158" i="53"/>
  <c r="K157" i="53"/>
  <c r="W156" i="53"/>
  <c r="C288" i="53"/>
  <c r="AH156" i="53"/>
  <c r="AP155" i="53"/>
  <c r="BI153" i="53"/>
  <c r="CT153" i="53"/>
  <c r="K26" i="53" s="1"/>
  <c r="I45" i="15" s="1"/>
  <c r="G158" i="53" l="1"/>
  <c r="BK153" i="53"/>
  <c r="CS153" i="53"/>
  <c r="K25" i="53" s="1"/>
  <c r="AG156" i="53"/>
  <c r="C289" i="53"/>
  <c r="V157" i="53"/>
  <c r="AO155" i="53"/>
  <c r="J158" i="53"/>
  <c r="BA154" i="53"/>
  <c r="BJ154" i="53" l="1"/>
  <c r="CU153" i="53"/>
  <c r="F159" i="53"/>
  <c r="AQ155" i="53"/>
  <c r="U157" i="53"/>
  <c r="C290" i="53"/>
  <c r="BC154" i="53"/>
  <c r="I158" i="53"/>
  <c r="AI156" i="53"/>
  <c r="BI154" i="53" l="1"/>
  <c r="CT154" i="53"/>
  <c r="BB155" i="53"/>
  <c r="W157" i="53"/>
  <c r="AP156" i="53"/>
  <c r="AH157" i="53"/>
  <c r="C291" i="53"/>
  <c r="E159" i="53"/>
  <c r="K158" i="53"/>
  <c r="C292" i="53" l="1"/>
  <c r="AO156" i="53"/>
  <c r="V158" i="53"/>
  <c r="AG157" i="53"/>
  <c r="J159" i="53"/>
  <c r="BA155" i="53"/>
  <c r="BK154" i="53"/>
  <c r="CS154" i="53"/>
  <c r="AQ156" i="53" l="1"/>
  <c r="BC155" i="53"/>
  <c r="I159" i="53"/>
  <c r="AI157" i="53"/>
  <c r="U158" i="53"/>
  <c r="BJ155" i="53"/>
  <c r="CU154" i="53"/>
  <c r="C293" i="53"/>
  <c r="W158" i="53" l="1"/>
  <c r="C294" i="53"/>
  <c r="K159" i="53"/>
  <c r="BB156" i="53"/>
  <c r="AH158" i="53"/>
  <c r="BI155" i="53"/>
  <c r="CT155" i="53"/>
  <c r="AP157" i="53"/>
  <c r="AO157" i="53" l="1"/>
  <c r="BA156" i="53"/>
  <c r="C295" i="53"/>
  <c r="J160" i="53"/>
  <c r="CS155" i="53"/>
  <c r="BK155" i="53"/>
  <c r="V159" i="53"/>
  <c r="AG158" i="53"/>
  <c r="I160" i="53" l="1"/>
  <c r="C296" i="53"/>
  <c r="U159" i="53"/>
  <c r="BC156" i="53"/>
  <c r="AI158" i="53"/>
  <c r="BJ156" i="53"/>
  <c r="CU155" i="53"/>
  <c r="AQ157" i="53"/>
  <c r="W159" i="53" l="1"/>
  <c r="BB157" i="53"/>
  <c r="C297" i="53"/>
  <c r="BI156" i="53"/>
  <c r="CT156" i="53"/>
  <c r="AP158" i="53"/>
  <c r="K160" i="53"/>
  <c r="AH159" i="53"/>
  <c r="AG159" i="53" l="1"/>
  <c r="BA157" i="53"/>
  <c r="C298" i="53"/>
  <c r="V160" i="53"/>
  <c r="J161" i="53"/>
  <c r="AO158" i="53"/>
  <c r="CS156" i="53"/>
  <c r="BK156" i="53"/>
  <c r="C299" i="53" l="1"/>
  <c r="I161" i="53"/>
  <c r="AQ158" i="53"/>
  <c r="U160" i="53"/>
  <c r="BC157" i="53"/>
  <c r="BJ157" i="53"/>
  <c r="CU156" i="53"/>
  <c r="AI159" i="53"/>
  <c r="K161" i="53" l="1"/>
  <c r="BI157" i="53"/>
  <c r="CT157" i="53"/>
  <c r="C300" i="53"/>
  <c r="BB158" i="53"/>
  <c r="W160" i="53"/>
  <c r="AP159" i="53"/>
  <c r="AH160" i="53"/>
  <c r="V161" i="53" l="1"/>
  <c r="C301" i="53"/>
  <c r="BA158" i="53"/>
  <c r="CS157" i="53"/>
  <c r="BK157" i="53"/>
  <c r="J162" i="53"/>
  <c r="AG160" i="53"/>
  <c r="AO159" i="53"/>
  <c r="BJ158" i="53" l="1"/>
  <c r="CU157" i="53"/>
  <c r="C302" i="53"/>
  <c r="AI160" i="53"/>
  <c r="BC158" i="53"/>
  <c r="I162" i="53"/>
  <c r="AQ159" i="53"/>
  <c r="U161" i="53"/>
  <c r="W161" i="53" l="1"/>
  <c r="BB159" i="53"/>
  <c r="C303" i="53"/>
  <c r="AH161" i="53"/>
  <c r="AP160" i="53"/>
  <c r="BI158" i="53"/>
  <c r="CT158" i="53"/>
  <c r="BK158" i="53" l="1"/>
  <c r="CS158" i="53"/>
  <c r="AG161" i="53"/>
  <c r="C304" i="53"/>
  <c r="BA159" i="53"/>
  <c r="AO160" i="53"/>
  <c r="V162" i="53"/>
  <c r="U162" i="53" l="1"/>
  <c r="AQ160" i="53"/>
  <c r="BC159" i="53"/>
  <c r="C305" i="53"/>
  <c r="AI161" i="53"/>
  <c r="BJ159" i="53"/>
  <c r="CU158" i="53"/>
  <c r="AP161" i="53" l="1"/>
  <c r="BI159" i="53"/>
  <c r="CT159" i="53"/>
  <c r="C306" i="53"/>
  <c r="BB160" i="53"/>
  <c r="AH162" i="53"/>
  <c r="W162" i="53"/>
  <c r="V163" i="53" l="1"/>
  <c r="CS159" i="53"/>
  <c r="BK159" i="53"/>
  <c r="AO161" i="53"/>
  <c r="AG162" i="53"/>
  <c r="BA160" i="53"/>
  <c r="C307" i="53"/>
  <c r="AQ161" i="53" l="1"/>
  <c r="BC160" i="53"/>
  <c r="BJ160" i="53"/>
  <c r="C308" i="53"/>
  <c r="AI162" i="53"/>
  <c r="U163" i="53"/>
  <c r="BB161" i="53" l="1"/>
  <c r="C309" i="53"/>
  <c r="AH163" i="53"/>
  <c r="AP162" i="53"/>
  <c r="W163" i="53"/>
  <c r="BI160" i="53"/>
  <c r="C310" i="53" l="1"/>
  <c r="BK160" i="53"/>
  <c r="AG163" i="53"/>
  <c r="AO162" i="53"/>
  <c r="BA161" i="53"/>
  <c r="V164" i="53"/>
  <c r="BJ161" i="53" l="1"/>
  <c r="U164" i="53"/>
  <c r="AQ162" i="53"/>
  <c r="BC161" i="53"/>
  <c r="AI163" i="53"/>
  <c r="C311" i="53"/>
  <c r="AH164" i="53" l="1"/>
  <c r="C312" i="53"/>
  <c r="BB162" i="53"/>
  <c r="W164" i="53"/>
  <c r="AP163" i="53"/>
  <c r="BI161" i="53"/>
  <c r="V165" i="53" l="1"/>
  <c r="BA162" i="53"/>
  <c r="C313" i="53"/>
  <c r="AO163" i="53"/>
  <c r="BK161" i="53"/>
  <c r="AG164" i="53"/>
  <c r="AI164" i="53" l="1"/>
  <c r="U165" i="53"/>
  <c r="BJ162" i="53"/>
  <c r="AQ163" i="53"/>
  <c r="C314" i="53"/>
  <c r="BC162" i="53"/>
  <c r="W165" i="53" l="1"/>
  <c r="C315" i="53"/>
  <c r="AP164" i="53"/>
  <c r="AH165" i="53"/>
  <c r="BB163" i="53"/>
  <c r="BI162" i="53"/>
  <c r="C316" i="53" l="1"/>
  <c r="BK162" i="53"/>
  <c r="AG165" i="53"/>
  <c r="BA163" i="53"/>
  <c r="AO164" i="53"/>
  <c r="V166" i="53"/>
  <c r="BC163" i="53" l="1"/>
  <c r="AI165" i="53"/>
  <c r="U166" i="53"/>
  <c r="C317" i="53"/>
  <c r="BJ163" i="53"/>
  <c r="AQ164" i="53"/>
  <c r="BI163" i="53" l="1"/>
  <c r="W166" i="53"/>
  <c r="AH166" i="53"/>
  <c r="BB164" i="53"/>
  <c r="AP165" i="53"/>
  <c r="C318" i="53"/>
  <c r="AO165" i="53" l="1"/>
  <c r="AG166" i="53"/>
  <c r="BA164" i="53"/>
  <c r="V167" i="53"/>
  <c r="C319" i="53"/>
  <c r="BK163" i="53"/>
  <c r="BC164" i="53" l="1"/>
  <c r="C320" i="53"/>
  <c r="AI166" i="53"/>
  <c r="BJ164" i="53"/>
  <c r="U167" i="53"/>
  <c r="AQ165" i="53"/>
  <c r="AP166" i="53" l="1"/>
  <c r="AH167" i="53"/>
  <c r="C321" i="53"/>
  <c r="W167" i="53"/>
  <c r="BB165" i="53"/>
  <c r="BI164" i="53"/>
  <c r="AG167" i="53" l="1"/>
  <c r="BA165" i="53"/>
  <c r="C322" i="53"/>
  <c r="AO166" i="53"/>
  <c r="BK164" i="53"/>
  <c r="V168" i="53"/>
  <c r="BC165" i="53" l="1"/>
  <c r="AQ166" i="53"/>
  <c r="AI167" i="53"/>
  <c r="U168" i="53"/>
  <c r="BJ165" i="53"/>
  <c r="C323" i="53"/>
  <c r="C324" i="53" l="1"/>
  <c r="AP167" i="53"/>
  <c r="BI165" i="53"/>
  <c r="W168" i="53"/>
  <c r="BB166" i="53"/>
  <c r="AH168" i="53"/>
  <c r="AG168" i="53" l="1"/>
  <c r="AO167" i="53"/>
  <c r="C325" i="53"/>
  <c r="BA166" i="53"/>
  <c r="V169" i="53"/>
  <c r="BK165" i="53"/>
  <c r="BJ166" i="53" l="1"/>
  <c r="C326" i="53"/>
  <c r="AQ167" i="53"/>
  <c r="U169" i="53"/>
  <c r="BC166" i="53"/>
  <c r="AI168" i="53"/>
  <c r="C327" i="53" l="1"/>
  <c r="BB167" i="53"/>
  <c r="AP168" i="53"/>
  <c r="AH169" i="53"/>
  <c r="W169" i="53"/>
  <c r="BI166" i="53"/>
  <c r="BK166" i="53" l="1"/>
  <c r="V170" i="53"/>
  <c r="AO168" i="53"/>
  <c r="BA167" i="53"/>
  <c r="AG169" i="53"/>
  <c r="C328" i="53"/>
  <c r="AI169" i="53" l="1"/>
  <c r="U170" i="53"/>
  <c r="BC167" i="53"/>
  <c r="C329" i="53"/>
  <c r="AQ168" i="53"/>
  <c r="BJ167" i="53"/>
  <c r="W170" i="53" l="1"/>
  <c r="AH170" i="53"/>
  <c r="C330" i="53"/>
  <c r="BI167" i="53"/>
  <c r="AP169" i="53"/>
  <c r="BB168" i="53"/>
  <c r="AG170" i="53" l="1"/>
  <c r="V171" i="53"/>
  <c r="AO169" i="53"/>
  <c r="C331" i="53"/>
  <c r="BA168" i="53"/>
  <c r="BK167" i="53"/>
  <c r="AQ169" i="53" l="1"/>
  <c r="U171" i="53"/>
  <c r="BJ168" i="53"/>
  <c r="BC168" i="53"/>
  <c r="C332" i="53"/>
  <c r="AI170" i="53"/>
  <c r="C333" i="53" l="1"/>
  <c r="BB169" i="53"/>
  <c r="AP170" i="53"/>
  <c r="BI168" i="53"/>
  <c r="AH171" i="53"/>
  <c r="BK168" i="53" l="1"/>
  <c r="BA169" i="53"/>
  <c r="C334" i="53"/>
  <c r="AO170" i="53"/>
  <c r="AG171" i="53"/>
  <c r="AQ170" i="53" l="1"/>
  <c r="BC169" i="53"/>
  <c r="AI171" i="53"/>
  <c r="C335" i="53"/>
  <c r="BJ169" i="53"/>
  <c r="AH172" i="53" l="1"/>
  <c r="BB170" i="53"/>
  <c r="C336" i="53"/>
  <c r="BI169" i="53"/>
  <c r="AP171" i="53"/>
  <c r="C337" i="53" l="1"/>
  <c r="BK169" i="53"/>
  <c r="AO171" i="53"/>
  <c r="BA170" i="53"/>
  <c r="AG172" i="53"/>
  <c r="AI172" i="53" l="1"/>
  <c r="BC170" i="53"/>
  <c r="AQ171" i="53"/>
  <c r="BJ170" i="53"/>
  <c r="C338" i="53"/>
  <c r="AH173" i="53" l="1"/>
  <c r="BI170" i="53"/>
  <c r="AP172" i="53"/>
  <c r="C339" i="53"/>
  <c r="BB171" i="53"/>
  <c r="AO172" i="53" l="1"/>
  <c r="BK170" i="53"/>
  <c r="C340" i="53"/>
  <c r="BA171" i="53"/>
  <c r="AG173" i="53"/>
  <c r="BJ171" i="53" l="1"/>
  <c r="BC171" i="53"/>
  <c r="AQ172" i="53"/>
  <c r="C341" i="53"/>
  <c r="D340" i="53"/>
  <c r="AI173" i="53"/>
  <c r="BB172" i="53" l="1"/>
  <c r="BI171" i="53"/>
  <c r="C342" i="53"/>
  <c r="D341" i="53"/>
  <c r="AP173" i="53"/>
  <c r="AH174" i="53"/>
  <c r="BK171" i="53" l="1"/>
  <c r="AO173" i="53"/>
  <c r="C343" i="53"/>
  <c r="D342" i="53"/>
  <c r="AG174" i="53"/>
  <c r="BA172" i="53"/>
  <c r="AI174" i="53" l="1"/>
  <c r="C344" i="53"/>
  <c r="D343" i="53"/>
  <c r="H343" i="53"/>
  <c r="AQ173" i="53"/>
  <c r="BC172" i="53"/>
  <c r="BJ172" i="53"/>
  <c r="C345" i="53" l="1"/>
  <c r="D344" i="53"/>
  <c r="H344" i="53"/>
  <c r="AP174" i="53"/>
  <c r="BI172" i="53"/>
  <c r="BB173" i="53"/>
  <c r="AH175" i="53"/>
  <c r="BA173" i="53" l="1"/>
  <c r="BK172" i="53"/>
  <c r="AG175" i="53"/>
  <c r="AO174" i="53"/>
  <c r="C346" i="53"/>
  <c r="D345" i="53"/>
  <c r="H345" i="53"/>
  <c r="AI175" i="53" l="1"/>
  <c r="H346" i="53"/>
  <c r="C347" i="53"/>
  <c r="L346" i="53"/>
  <c r="D346" i="53"/>
  <c r="BJ173" i="53"/>
  <c r="AQ174" i="53"/>
  <c r="BC173" i="53"/>
  <c r="H347" i="53" l="1"/>
  <c r="C348" i="53"/>
  <c r="L347" i="53"/>
  <c r="D347" i="53"/>
  <c r="AP175" i="53"/>
  <c r="BI173" i="53"/>
  <c r="AH176" i="53"/>
  <c r="BB174" i="53"/>
  <c r="H348" i="53" l="1"/>
  <c r="C349" i="53"/>
  <c r="L348" i="53"/>
  <c r="D348" i="53"/>
  <c r="AO175" i="53"/>
  <c r="BA174" i="53"/>
  <c r="AG176" i="53"/>
  <c r="BK173" i="53"/>
  <c r="BC174" i="53" l="1"/>
  <c r="AQ175" i="53"/>
  <c r="P349" i="53"/>
  <c r="H349" i="53"/>
  <c r="C350" i="53"/>
  <c r="L349" i="53"/>
  <c r="D349" i="53"/>
  <c r="AI176" i="53"/>
  <c r="BJ174" i="53"/>
  <c r="C351" i="53" l="1"/>
  <c r="L350" i="53"/>
  <c r="D350" i="53"/>
  <c r="P350" i="53"/>
  <c r="H350" i="53"/>
  <c r="AP176" i="53"/>
  <c r="BI174" i="53"/>
  <c r="AH177" i="53"/>
  <c r="BB175" i="53"/>
  <c r="AO176" i="53" l="1"/>
  <c r="C352" i="53"/>
  <c r="L351" i="53"/>
  <c r="D351" i="53"/>
  <c r="P351" i="53"/>
  <c r="H351" i="53"/>
  <c r="AG177" i="53"/>
  <c r="BK174" i="53"/>
  <c r="BA175" i="53"/>
  <c r="BC175" i="53" l="1"/>
  <c r="BJ175" i="53"/>
  <c r="C353" i="53"/>
  <c r="T352" i="53"/>
  <c r="L352" i="53"/>
  <c r="D352" i="53"/>
  <c r="P352" i="53"/>
  <c r="H352" i="53"/>
  <c r="AI177" i="53"/>
  <c r="AQ176" i="53"/>
  <c r="BI175" i="53" l="1"/>
  <c r="AH178" i="53"/>
  <c r="C354" i="53"/>
  <c r="T353" i="53"/>
  <c r="L353" i="53"/>
  <c r="D353" i="53"/>
  <c r="P353" i="53"/>
  <c r="H353" i="53"/>
  <c r="AP177" i="53"/>
  <c r="BB176" i="53"/>
  <c r="AG178" i="53" l="1"/>
  <c r="BK175" i="53"/>
  <c r="BA176" i="53"/>
  <c r="P354" i="53"/>
  <c r="H354" i="53"/>
  <c r="C355" i="53"/>
  <c r="T354" i="53"/>
  <c r="L354" i="53"/>
  <c r="D354" i="53"/>
  <c r="AO177" i="53"/>
  <c r="BC176" i="53" l="1"/>
  <c r="BJ176" i="53"/>
  <c r="X355" i="53"/>
  <c r="P355" i="53"/>
  <c r="H355" i="53"/>
  <c r="C356" i="53"/>
  <c r="T355" i="53"/>
  <c r="L355" i="53"/>
  <c r="D355" i="53"/>
  <c r="AQ177" i="53"/>
  <c r="AI178" i="53"/>
  <c r="AP178" i="53" l="1"/>
  <c r="X356" i="53"/>
  <c r="P356" i="53"/>
  <c r="H356" i="53"/>
  <c r="C357" i="53"/>
  <c r="T356" i="53"/>
  <c r="L356" i="53"/>
  <c r="D356" i="53"/>
  <c r="AH179" i="53"/>
  <c r="BI176" i="53"/>
  <c r="BB177" i="53"/>
  <c r="BA177" i="53" l="1"/>
  <c r="BK176" i="53"/>
  <c r="X357" i="53"/>
  <c r="P357" i="53"/>
  <c r="H357" i="53"/>
  <c r="C358" i="53"/>
  <c r="T357" i="53"/>
  <c r="L357" i="53"/>
  <c r="D357" i="53"/>
  <c r="AG179" i="53"/>
  <c r="AO178" i="53"/>
  <c r="C359" i="53" l="1"/>
  <c r="AB358" i="53"/>
  <c r="T358" i="53"/>
  <c r="L358" i="53"/>
  <c r="D358" i="53"/>
  <c r="X358" i="53"/>
  <c r="P358" i="53"/>
  <c r="H358" i="53"/>
  <c r="BJ177" i="53"/>
  <c r="AQ178" i="53"/>
  <c r="BC177" i="53"/>
  <c r="AI179" i="53"/>
  <c r="C360" i="53" l="1"/>
  <c r="AB359" i="53"/>
  <c r="T359" i="53"/>
  <c r="L359" i="53"/>
  <c r="D359" i="53"/>
  <c r="X359" i="53"/>
  <c r="P359" i="53"/>
  <c r="H359" i="53"/>
  <c r="AP179" i="53"/>
  <c r="AH180" i="53"/>
  <c r="BB178" i="53"/>
  <c r="BI177" i="53"/>
  <c r="AO179" i="53" l="1"/>
  <c r="BK177" i="53"/>
  <c r="AG180" i="53"/>
  <c r="BA178" i="53"/>
  <c r="C361" i="53"/>
  <c r="AB360" i="53"/>
  <c r="T360" i="53"/>
  <c r="L360" i="53"/>
  <c r="D360" i="53"/>
  <c r="X360" i="53"/>
  <c r="P360" i="53"/>
  <c r="H360" i="53"/>
  <c r="C362" i="53" l="1"/>
  <c r="AB361" i="53"/>
  <c r="T361" i="53"/>
  <c r="L361" i="53"/>
  <c r="D361" i="53"/>
  <c r="AF361" i="53"/>
  <c r="X361" i="53"/>
  <c r="P361" i="53"/>
  <c r="H361" i="53"/>
  <c r="BC178" i="53"/>
  <c r="BJ178" i="53"/>
  <c r="AQ179" i="53"/>
  <c r="BB179" i="53" l="1"/>
  <c r="AP180" i="53"/>
  <c r="BI178" i="53"/>
  <c r="AF362" i="53"/>
  <c r="X362" i="53"/>
  <c r="P362" i="53"/>
  <c r="H362" i="53"/>
  <c r="C363" i="53"/>
  <c r="AB362" i="53"/>
  <c r="T362" i="53"/>
  <c r="L362" i="53"/>
  <c r="D362" i="53"/>
  <c r="AF363" i="53" l="1"/>
  <c r="X363" i="53"/>
  <c r="P363" i="53"/>
  <c r="H363" i="53"/>
  <c r="C364" i="53"/>
  <c r="AB363" i="53"/>
  <c r="T363" i="53"/>
  <c r="L363" i="53"/>
  <c r="D363" i="53"/>
  <c r="AO180" i="53"/>
  <c r="BA179" i="53"/>
  <c r="BK178" i="53"/>
  <c r="AQ180" i="53" l="1"/>
  <c r="AF364" i="53"/>
  <c r="X364" i="53"/>
  <c r="P364" i="53"/>
  <c r="H364" i="53"/>
  <c r="C365" i="53"/>
  <c r="AJ364" i="53"/>
  <c r="AB364" i="53"/>
  <c r="T364" i="53"/>
  <c r="L364" i="53"/>
  <c r="D364" i="53"/>
  <c r="BC179" i="53"/>
  <c r="BJ179" i="53"/>
  <c r="BB180" i="53" l="1"/>
  <c r="BI179" i="53"/>
  <c r="AF365" i="53"/>
  <c r="X365" i="53"/>
  <c r="P365" i="53"/>
  <c r="H365" i="53"/>
  <c r="C366" i="53"/>
  <c r="AJ365" i="53"/>
  <c r="AB365" i="53"/>
  <c r="T365" i="53"/>
  <c r="L365" i="53"/>
  <c r="D365" i="53"/>
  <c r="AP181" i="53"/>
  <c r="C367" i="53" l="1"/>
  <c r="AJ366" i="53"/>
  <c r="AB366" i="53"/>
  <c r="T366" i="53"/>
  <c r="L366" i="53"/>
  <c r="D366" i="53"/>
  <c r="AF366" i="53"/>
  <c r="X366" i="53"/>
  <c r="P366" i="53"/>
  <c r="H366" i="53"/>
  <c r="BK179" i="53"/>
  <c r="BA180" i="53"/>
  <c r="AO181" i="53"/>
  <c r="AN367" i="53" l="1"/>
  <c r="AF367" i="53"/>
  <c r="X367" i="53"/>
  <c r="P367" i="53"/>
  <c r="C368" i="53"/>
  <c r="L367" i="53"/>
  <c r="D367" i="53"/>
  <c r="T367" i="53"/>
  <c r="AB367" i="53"/>
  <c r="AJ367" i="53"/>
  <c r="H367" i="53"/>
  <c r="BC180" i="53"/>
  <c r="AQ181" i="53"/>
  <c r="BJ180" i="53"/>
  <c r="AP182" i="53" l="1"/>
  <c r="C369" i="53"/>
  <c r="AJ368" i="53"/>
  <c r="AB368" i="53"/>
  <c r="T368" i="53"/>
  <c r="L368" i="53"/>
  <c r="D368" i="53"/>
  <c r="X368" i="53"/>
  <c r="H368" i="53"/>
  <c r="AN368" i="53"/>
  <c r="P368" i="53"/>
  <c r="AF368" i="53"/>
  <c r="BI180" i="53"/>
  <c r="BB181" i="53"/>
  <c r="C370" i="53" l="1"/>
  <c r="AJ369" i="53"/>
  <c r="AB369" i="53"/>
  <c r="T369" i="53"/>
  <c r="L369" i="53"/>
  <c r="D369" i="53"/>
  <c r="AN369" i="53"/>
  <c r="AF369" i="53"/>
  <c r="X369" i="53"/>
  <c r="P369" i="53"/>
  <c r="H369" i="53"/>
  <c r="BK180" i="53"/>
  <c r="BA181" i="53"/>
  <c r="AO182" i="53"/>
  <c r="BJ181" i="53" l="1"/>
  <c r="C371" i="53"/>
  <c r="AR370" i="53"/>
  <c r="AJ370" i="53"/>
  <c r="AB370" i="53"/>
  <c r="T370" i="53"/>
  <c r="L370" i="53"/>
  <c r="D370" i="53"/>
  <c r="BL370" i="53"/>
  <c r="AN370" i="53"/>
  <c r="AF370" i="53"/>
  <c r="X370" i="53"/>
  <c r="P370" i="53"/>
  <c r="H370" i="53"/>
  <c r="BC181" i="53"/>
  <c r="AQ182" i="53"/>
  <c r="C372" i="53" l="1"/>
  <c r="AR371" i="53"/>
  <c r="AJ371" i="53"/>
  <c r="AB371" i="53"/>
  <c r="T371" i="53"/>
  <c r="L371" i="53"/>
  <c r="D371" i="53"/>
  <c r="BL371" i="53"/>
  <c r="AN371" i="53"/>
  <c r="AF371" i="53"/>
  <c r="X371" i="53"/>
  <c r="P371" i="53"/>
  <c r="H371" i="53"/>
  <c r="BB182" i="53"/>
  <c r="AP183" i="53"/>
  <c r="BI181" i="53"/>
  <c r="BA182" i="53" l="1"/>
  <c r="BL372" i="53"/>
  <c r="AN372" i="53"/>
  <c r="AF372" i="53"/>
  <c r="X372" i="53"/>
  <c r="P372" i="53"/>
  <c r="H372" i="53"/>
  <c r="AB372" i="53"/>
  <c r="T372" i="53"/>
  <c r="L372" i="53"/>
  <c r="D372" i="53"/>
  <c r="AR372" i="53"/>
  <c r="C373" i="53"/>
  <c r="AJ372" i="53"/>
  <c r="AO183" i="53"/>
  <c r="BK181" i="53"/>
  <c r="AQ183" i="53" l="1"/>
  <c r="BL373" i="53"/>
  <c r="AV373" i="53"/>
  <c r="AN373" i="53"/>
  <c r="AF373" i="53"/>
  <c r="X373" i="53"/>
  <c r="P373" i="53"/>
  <c r="H373" i="53"/>
  <c r="C374" i="53"/>
  <c r="BP373" i="53"/>
  <c r="AR373" i="53"/>
  <c r="AJ373" i="53"/>
  <c r="AB373" i="53"/>
  <c r="T373" i="53"/>
  <c r="L373" i="53"/>
  <c r="D373" i="53"/>
  <c r="BC182" i="53"/>
  <c r="BJ182" i="53"/>
  <c r="BI182" i="53" l="1"/>
  <c r="BL374" i="53"/>
  <c r="AV374" i="53"/>
  <c r="AN374" i="53"/>
  <c r="AF374" i="53"/>
  <c r="X374" i="53"/>
  <c r="P374" i="53"/>
  <c r="H374" i="53"/>
  <c r="C375" i="53"/>
  <c r="BP374" i="53"/>
  <c r="AR374" i="53"/>
  <c r="AJ374" i="53"/>
  <c r="AB374" i="53"/>
  <c r="T374" i="53"/>
  <c r="L374" i="53"/>
  <c r="D374" i="53"/>
  <c r="AP184" i="53"/>
  <c r="BB183" i="53"/>
  <c r="BA183" i="53" l="1"/>
  <c r="AO184" i="53"/>
  <c r="BL375" i="53"/>
  <c r="AV375" i="53"/>
  <c r="AN375" i="53"/>
  <c r="AF375" i="53"/>
  <c r="X375" i="53"/>
  <c r="P375" i="53"/>
  <c r="H375" i="53"/>
  <c r="C376" i="53"/>
  <c r="BP375" i="53"/>
  <c r="AR375" i="53"/>
  <c r="AJ375" i="53"/>
  <c r="AB375" i="53"/>
  <c r="T375" i="53"/>
  <c r="L375" i="53"/>
  <c r="D375" i="53"/>
  <c r="BK182" i="53"/>
  <c r="C377" i="53" l="1"/>
  <c r="BP376" i="53"/>
  <c r="AZ376" i="53"/>
  <c r="AR376" i="53"/>
  <c r="AJ376" i="53"/>
  <c r="AB376" i="53"/>
  <c r="T376" i="53"/>
  <c r="L376" i="53"/>
  <c r="D376" i="53"/>
  <c r="X376" i="53"/>
  <c r="P376" i="53"/>
  <c r="BT376" i="53"/>
  <c r="H376" i="53"/>
  <c r="BL376" i="53"/>
  <c r="AV376" i="53"/>
  <c r="AN376" i="53"/>
  <c r="AF376" i="53"/>
  <c r="AQ184" i="53"/>
  <c r="BC183" i="53"/>
  <c r="BJ183" i="53"/>
  <c r="BB184" i="53" l="1"/>
  <c r="C378" i="53"/>
  <c r="BP377" i="53"/>
  <c r="AZ377" i="53"/>
  <c r="AR377" i="53"/>
  <c r="AJ377" i="53"/>
  <c r="AB377" i="53"/>
  <c r="T377" i="53"/>
  <c r="L377" i="53"/>
  <c r="D377" i="53"/>
  <c r="BT377" i="53"/>
  <c r="BL377" i="53"/>
  <c r="AV377" i="53"/>
  <c r="AN377" i="53"/>
  <c r="AF377" i="53"/>
  <c r="X377" i="53"/>
  <c r="P377" i="53"/>
  <c r="H377" i="53"/>
  <c r="AP185" i="53"/>
  <c r="BI183" i="53"/>
  <c r="C379" i="53" l="1"/>
  <c r="BP378" i="53"/>
  <c r="AZ378" i="53"/>
  <c r="AR378" i="53"/>
  <c r="AJ378" i="53"/>
  <c r="AB378" i="53"/>
  <c r="T378" i="53"/>
  <c r="L378" i="53"/>
  <c r="D378" i="53"/>
  <c r="BT378" i="53"/>
  <c r="BL378" i="53"/>
  <c r="AV378" i="53"/>
  <c r="AN378" i="53"/>
  <c r="AF378" i="53"/>
  <c r="X378" i="53"/>
  <c r="P378" i="53"/>
  <c r="H378" i="53"/>
  <c r="AO185" i="53"/>
  <c r="BK183" i="53"/>
  <c r="BA184" i="53"/>
  <c r="AQ185" i="53" l="1"/>
  <c r="BJ184" i="53"/>
  <c r="BC184" i="53"/>
  <c r="AZ379" i="53"/>
  <c r="AR379" i="53"/>
  <c r="AJ379" i="53"/>
  <c r="AB379" i="53"/>
  <c r="T379" i="53"/>
  <c r="L379" i="53"/>
  <c r="D379" i="53"/>
  <c r="BP379" i="53"/>
  <c r="BX379" i="53"/>
  <c r="BL379" i="53"/>
  <c r="BD379" i="53"/>
  <c r="AV379" i="53"/>
  <c r="AN379" i="53"/>
  <c r="AF379" i="53"/>
  <c r="X379" i="53"/>
  <c r="P379" i="53"/>
  <c r="H379" i="53"/>
  <c r="BT379" i="53"/>
  <c r="C380" i="53"/>
  <c r="BI184" i="53" l="1"/>
  <c r="AP186" i="53"/>
  <c r="BT380" i="53"/>
  <c r="BL380" i="53"/>
  <c r="BD380" i="53"/>
  <c r="AV380" i="53"/>
  <c r="AN380" i="53"/>
  <c r="AF380" i="53"/>
  <c r="X380" i="53"/>
  <c r="P380" i="53"/>
  <c r="H380" i="53"/>
  <c r="C381" i="53"/>
  <c r="BX380" i="53"/>
  <c r="L380" i="53"/>
  <c r="AZ380" i="53"/>
  <c r="AJ380" i="53"/>
  <c r="BP380" i="53"/>
  <c r="T380" i="53"/>
  <c r="AR380" i="53"/>
  <c r="D380" i="53"/>
  <c r="AB380" i="53"/>
  <c r="BB185" i="53"/>
  <c r="BA185" i="53" l="1"/>
  <c r="AO186" i="53"/>
  <c r="BK184" i="53"/>
  <c r="BT381" i="53"/>
  <c r="BL381" i="53"/>
  <c r="BD381" i="53"/>
  <c r="AV381" i="53"/>
  <c r="AN381" i="53"/>
  <c r="AF381" i="53"/>
  <c r="X381" i="53"/>
  <c r="P381" i="53"/>
  <c r="H381" i="53"/>
  <c r="C382" i="53"/>
  <c r="BX381" i="53"/>
  <c r="BP381" i="53"/>
  <c r="AR381" i="53"/>
  <c r="T381" i="53"/>
  <c r="AJ381" i="53"/>
  <c r="L381" i="53"/>
  <c r="AZ381" i="53"/>
  <c r="AB381" i="53"/>
  <c r="D381" i="53"/>
  <c r="C383" i="53" l="1"/>
  <c r="BX382" i="53"/>
  <c r="BP382" i="53"/>
  <c r="BH382" i="53"/>
  <c r="AZ382" i="53"/>
  <c r="AR382" i="53"/>
  <c r="AJ382" i="53"/>
  <c r="AB382" i="53"/>
  <c r="T382" i="53"/>
  <c r="L382" i="53"/>
  <c r="D382" i="53"/>
  <c r="BL382" i="53"/>
  <c r="BD382" i="53"/>
  <c r="AV382" i="53"/>
  <c r="AN382" i="53"/>
  <c r="AF382" i="53"/>
  <c r="X382" i="53"/>
  <c r="P382" i="53"/>
  <c r="BT382" i="53"/>
  <c r="H382" i="53"/>
  <c r="BJ185" i="53"/>
  <c r="BC185" i="53"/>
  <c r="BI185" i="53" l="1"/>
  <c r="BB186" i="53"/>
  <c r="C384" i="53"/>
  <c r="BX383" i="53"/>
  <c r="BP383" i="53"/>
  <c r="BH383" i="53"/>
  <c r="AZ383" i="53"/>
  <c r="AR383" i="53"/>
  <c r="AJ383" i="53"/>
  <c r="AB383" i="53"/>
  <c r="T383" i="53"/>
  <c r="L383" i="53"/>
  <c r="D383" i="53"/>
  <c r="BT383" i="53"/>
  <c r="BL383" i="53"/>
  <c r="BD383" i="53"/>
  <c r="AV383" i="53"/>
  <c r="AN383" i="53"/>
  <c r="AF383" i="53"/>
  <c r="X383" i="53"/>
  <c r="P383" i="53"/>
  <c r="H383" i="53"/>
  <c r="BA186" i="53" l="1"/>
  <c r="C385" i="53"/>
  <c r="BX384" i="53"/>
  <c r="BP384" i="53"/>
  <c r="BH384" i="53"/>
  <c r="AZ384" i="53"/>
  <c r="AR384" i="53"/>
  <c r="AJ384" i="53"/>
  <c r="AB384" i="53"/>
  <c r="T384" i="53"/>
  <c r="L384" i="53"/>
  <c r="D384" i="53"/>
  <c r="BT384" i="53"/>
  <c r="BL384" i="53"/>
  <c r="BD384" i="53"/>
  <c r="AV384" i="53"/>
  <c r="AN384" i="53"/>
  <c r="AF384" i="53"/>
  <c r="X384" i="53"/>
  <c r="P384" i="53"/>
  <c r="H384" i="53"/>
  <c r="BK185" i="53"/>
  <c r="BJ186" i="53" l="1"/>
  <c r="C386" i="53"/>
  <c r="BX385" i="53"/>
  <c r="BP385" i="53"/>
  <c r="BH385" i="53"/>
  <c r="AZ385" i="53"/>
  <c r="AR385" i="53"/>
  <c r="AJ385" i="53"/>
  <c r="AB385" i="53"/>
  <c r="T385" i="53"/>
  <c r="L385" i="53"/>
  <c r="D385" i="53"/>
  <c r="BT385" i="53"/>
  <c r="BL385" i="53"/>
  <c r="BD385" i="53"/>
  <c r="AV385" i="53"/>
  <c r="AN385" i="53"/>
  <c r="AF385" i="53"/>
  <c r="X385" i="53"/>
  <c r="P385" i="53"/>
  <c r="H385" i="53"/>
  <c r="BC186" i="53"/>
  <c r="BB187" i="53" l="1"/>
  <c r="BT386" i="53"/>
  <c r="BL386" i="53"/>
  <c r="BD386" i="53"/>
  <c r="AV386" i="53"/>
  <c r="AN386" i="53"/>
  <c r="AF386" i="53"/>
  <c r="X386" i="53"/>
  <c r="P386" i="53"/>
  <c r="H386" i="53"/>
  <c r="BH386" i="53"/>
  <c r="AZ386" i="53"/>
  <c r="AR386" i="53"/>
  <c r="C387" i="53"/>
  <c r="AJ386" i="53"/>
  <c r="AB386" i="53"/>
  <c r="T386" i="53"/>
  <c r="BX386" i="53"/>
  <c r="L386" i="53"/>
  <c r="BP386" i="53"/>
  <c r="D386" i="53"/>
  <c r="BI186" i="53"/>
  <c r="BK186" i="53" l="1"/>
  <c r="BT387" i="53"/>
  <c r="BL387" i="53"/>
  <c r="BD387" i="53"/>
  <c r="AV387" i="53"/>
  <c r="AN387" i="53"/>
  <c r="AF387" i="53"/>
  <c r="X387" i="53"/>
  <c r="P387" i="53"/>
  <c r="H387" i="53"/>
  <c r="C388" i="53"/>
  <c r="BX387" i="53"/>
  <c r="BP387" i="53"/>
  <c r="BH387" i="53"/>
  <c r="AZ387" i="53"/>
  <c r="AR387" i="53"/>
  <c r="AJ387" i="53"/>
  <c r="AB387" i="53"/>
  <c r="T387" i="53"/>
  <c r="L387" i="53"/>
  <c r="D387" i="53"/>
  <c r="BA187" i="53"/>
  <c r="BC187" i="53" l="1"/>
  <c r="BT388" i="53"/>
  <c r="BL388" i="53"/>
  <c r="BD388" i="53"/>
  <c r="AV388" i="53"/>
  <c r="AN388" i="53"/>
  <c r="AF388" i="53"/>
  <c r="X388" i="53"/>
  <c r="P388" i="53"/>
  <c r="H388" i="53"/>
  <c r="C389" i="53"/>
  <c r="BX388" i="53"/>
  <c r="BP388" i="53"/>
  <c r="BH388" i="53"/>
  <c r="AZ388" i="53"/>
  <c r="AR388" i="53"/>
  <c r="AJ388" i="53"/>
  <c r="AB388" i="53"/>
  <c r="T388" i="53"/>
  <c r="L388" i="53"/>
  <c r="D388" i="53"/>
  <c r="BJ187" i="53"/>
  <c r="BI187" i="53" l="1"/>
  <c r="BT389" i="53"/>
  <c r="BL389" i="53"/>
  <c r="BD389" i="53"/>
  <c r="AV389" i="53"/>
  <c r="AN389" i="53"/>
  <c r="AF389" i="53"/>
  <c r="X389" i="53"/>
  <c r="P389" i="53"/>
  <c r="H389" i="53"/>
  <c r="C390" i="53"/>
  <c r="BX389" i="53"/>
  <c r="BP389" i="53"/>
  <c r="BH389" i="53"/>
  <c r="AZ389" i="53"/>
  <c r="AR389" i="53"/>
  <c r="AJ389" i="53"/>
  <c r="AB389" i="53"/>
  <c r="T389" i="53"/>
  <c r="L389" i="53"/>
  <c r="D389" i="53"/>
  <c r="BB188" i="53"/>
  <c r="BA188" i="53" l="1"/>
  <c r="C391" i="53"/>
  <c r="BX390" i="53"/>
  <c r="BP390" i="53"/>
  <c r="BH390" i="53"/>
  <c r="AZ390" i="53"/>
  <c r="AR390" i="53"/>
  <c r="AJ390" i="53"/>
  <c r="AB390" i="53"/>
  <c r="T390" i="53"/>
  <c r="L390" i="53"/>
  <c r="D390" i="53"/>
  <c r="BD390" i="53"/>
  <c r="AV390" i="53"/>
  <c r="AN390" i="53"/>
  <c r="AF390" i="53"/>
  <c r="X390" i="53"/>
  <c r="P390" i="53"/>
  <c r="BT390" i="53"/>
  <c r="H390" i="53"/>
  <c r="BL390" i="53"/>
  <c r="BK187" i="53"/>
  <c r="BJ188" i="53" l="1"/>
  <c r="C392" i="53"/>
  <c r="BX391" i="53"/>
  <c r="BP391" i="53"/>
  <c r="BH391" i="53"/>
  <c r="AZ391" i="53"/>
  <c r="AR391" i="53"/>
  <c r="AJ391" i="53"/>
  <c r="AB391" i="53"/>
  <c r="T391" i="53"/>
  <c r="L391" i="53"/>
  <c r="D391" i="53"/>
  <c r="BT391" i="53"/>
  <c r="BL391" i="53"/>
  <c r="BD391" i="53"/>
  <c r="AV391" i="53"/>
  <c r="AN391" i="53"/>
  <c r="AF391" i="53"/>
  <c r="X391" i="53"/>
  <c r="P391" i="53"/>
  <c r="H391" i="53"/>
  <c r="BC188" i="53"/>
  <c r="C393" i="53" l="1"/>
  <c r="BP392" i="53"/>
  <c r="BD392" i="53"/>
  <c r="AJ392" i="53"/>
  <c r="AB392" i="53"/>
  <c r="T392" i="53"/>
  <c r="L392" i="53"/>
  <c r="D392" i="53"/>
  <c r="BX392" i="53"/>
  <c r="AR392" i="53"/>
  <c r="BL392" i="53"/>
  <c r="AZ392" i="53"/>
  <c r="BT392" i="53"/>
  <c r="AN392" i="53"/>
  <c r="AF392" i="53"/>
  <c r="X392" i="53"/>
  <c r="P392" i="53"/>
  <c r="H392" i="53"/>
  <c r="BH392" i="53"/>
  <c r="AV392" i="53"/>
  <c r="BB189" i="53"/>
  <c r="BI188" i="53"/>
  <c r="BK188" i="53" l="1"/>
  <c r="BT393" i="53"/>
  <c r="BL393" i="53"/>
  <c r="BD393" i="53"/>
  <c r="AV393" i="53"/>
  <c r="AN393" i="53"/>
  <c r="AF393" i="53"/>
  <c r="X393" i="53"/>
  <c r="P393" i="53"/>
  <c r="H393" i="53"/>
  <c r="C394" i="53"/>
  <c r="BX393" i="53"/>
  <c r="AR393" i="53"/>
  <c r="L393" i="53"/>
  <c r="BP393" i="53"/>
  <c r="AJ393" i="53"/>
  <c r="D393" i="53"/>
  <c r="BH393" i="53"/>
  <c r="AB393" i="53"/>
  <c r="AZ393" i="53"/>
  <c r="T393" i="53"/>
  <c r="BA189" i="53"/>
  <c r="BC189" i="53" l="1"/>
  <c r="BT394" i="53"/>
  <c r="BL394" i="53"/>
  <c r="BD394" i="53"/>
  <c r="AV394" i="53"/>
  <c r="AN394" i="53"/>
  <c r="AF394" i="53"/>
  <c r="X394" i="53"/>
  <c r="P394" i="53"/>
  <c r="H394" i="53"/>
  <c r="C395" i="53"/>
  <c r="BX394" i="53"/>
  <c r="BP394" i="53"/>
  <c r="BH394" i="53"/>
  <c r="AZ394" i="53"/>
  <c r="AR394" i="53"/>
  <c r="AJ394" i="53"/>
  <c r="AB394" i="53"/>
  <c r="T394" i="53"/>
  <c r="L394" i="53"/>
  <c r="D394" i="53"/>
  <c r="BJ189" i="53"/>
  <c r="BI189" i="53" l="1"/>
  <c r="C396" i="53"/>
  <c r="BX395" i="53"/>
  <c r="BP395" i="53"/>
  <c r="BH395" i="53"/>
  <c r="AZ395" i="53"/>
  <c r="AR395" i="53"/>
  <c r="AJ395" i="53"/>
  <c r="AB395" i="53"/>
  <c r="T395" i="53"/>
  <c r="L395" i="53"/>
  <c r="D395" i="53"/>
  <c r="P395" i="53"/>
  <c r="BT395" i="53"/>
  <c r="H395" i="53"/>
  <c r="BL395" i="53"/>
  <c r="BD395" i="53"/>
  <c r="AV395" i="53"/>
  <c r="AN395" i="53"/>
  <c r="AF395" i="53"/>
  <c r="X395" i="53"/>
  <c r="BB190" i="53"/>
  <c r="C397" i="53" l="1"/>
  <c r="BX396" i="53"/>
  <c r="BP396" i="53"/>
  <c r="BH396" i="53"/>
  <c r="AZ396" i="53"/>
  <c r="AR396" i="53"/>
  <c r="AJ396" i="53"/>
  <c r="AB396" i="53"/>
  <c r="T396" i="53"/>
  <c r="L396" i="53"/>
  <c r="D396" i="53"/>
  <c r="BT396" i="53"/>
  <c r="BL396" i="53"/>
  <c r="BD396" i="53"/>
  <c r="AV396" i="53"/>
  <c r="AN396" i="53"/>
  <c r="AF396" i="53"/>
  <c r="X396" i="53"/>
  <c r="P396" i="53"/>
  <c r="H396" i="53"/>
  <c r="BA190" i="53"/>
  <c r="BK189" i="53"/>
  <c r="BC190" i="53" l="1"/>
  <c r="BJ190" i="53"/>
  <c r="C398" i="53"/>
  <c r="BX397" i="53"/>
  <c r="BP397" i="53"/>
  <c r="BH397" i="53"/>
  <c r="AZ397" i="53"/>
  <c r="AR397" i="53"/>
  <c r="AJ397" i="53"/>
  <c r="AB397" i="53"/>
  <c r="T397" i="53"/>
  <c r="L397" i="53"/>
  <c r="D397" i="53"/>
  <c r="BT397" i="53"/>
  <c r="BL397" i="53"/>
  <c r="BD397" i="53"/>
  <c r="AV397" i="53"/>
  <c r="AN397" i="53"/>
  <c r="AF397" i="53"/>
  <c r="X397" i="53"/>
  <c r="P397" i="53"/>
  <c r="H397" i="53"/>
  <c r="C399" i="53" l="1"/>
  <c r="BX398" i="53"/>
  <c r="BP398" i="53"/>
  <c r="BH398" i="53"/>
  <c r="AZ398" i="53"/>
  <c r="AR398" i="53"/>
  <c r="AJ398" i="53"/>
  <c r="AB398" i="53"/>
  <c r="T398" i="53"/>
  <c r="L398" i="53"/>
  <c r="D398" i="53"/>
  <c r="BT398" i="53"/>
  <c r="BL398" i="53"/>
  <c r="BD398" i="53"/>
  <c r="AV398" i="53"/>
  <c r="AN398" i="53"/>
  <c r="AF398" i="53"/>
  <c r="X398" i="53"/>
  <c r="P398" i="53"/>
  <c r="H398" i="53"/>
  <c r="BB191" i="53"/>
  <c r="BI190" i="53"/>
  <c r="BK190" i="53" l="1"/>
  <c r="BT399" i="53"/>
  <c r="BL399" i="53"/>
  <c r="BD399" i="53"/>
  <c r="AV399" i="53"/>
  <c r="AN399" i="53"/>
  <c r="AF399" i="53"/>
  <c r="X399" i="53"/>
  <c r="P399" i="53"/>
  <c r="H399" i="53"/>
  <c r="BX399" i="53"/>
  <c r="L399" i="53"/>
  <c r="BP399" i="53"/>
  <c r="D399" i="53"/>
  <c r="BH399" i="53"/>
  <c r="AZ399" i="53"/>
  <c r="AR399" i="53"/>
  <c r="C400" i="53"/>
  <c r="AJ399" i="53"/>
  <c r="AB399" i="53"/>
  <c r="T399" i="53"/>
  <c r="BA191" i="53"/>
  <c r="BT400" i="53" l="1"/>
  <c r="BL400" i="53"/>
  <c r="BD400" i="53"/>
  <c r="AV400" i="53"/>
  <c r="AN400" i="53"/>
  <c r="AF400" i="53"/>
  <c r="X400" i="53"/>
  <c r="P400" i="53"/>
  <c r="H400" i="53"/>
  <c r="C401" i="53"/>
  <c r="BX400" i="53"/>
  <c r="BP400" i="53"/>
  <c r="BH400" i="53"/>
  <c r="AZ400" i="53"/>
  <c r="AR400" i="53"/>
  <c r="AJ400" i="53"/>
  <c r="AB400" i="53"/>
  <c r="T400" i="53"/>
  <c r="L400" i="53"/>
  <c r="D400" i="53"/>
  <c r="BC191" i="53"/>
  <c r="BJ191" i="53"/>
  <c r="BB192" i="53" l="1"/>
  <c r="BT401" i="53"/>
  <c r="BL401" i="53"/>
  <c r="BD401" i="53"/>
  <c r="AV401" i="53"/>
  <c r="AN401" i="53"/>
  <c r="AF401" i="53"/>
  <c r="X401" i="53"/>
  <c r="P401" i="53"/>
  <c r="H401" i="53"/>
  <c r="C402" i="53"/>
  <c r="BX401" i="53"/>
  <c r="BP401" i="53"/>
  <c r="BH401" i="53"/>
  <c r="AZ401" i="53"/>
  <c r="AR401" i="53"/>
  <c r="AJ401" i="53"/>
  <c r="AB401" i="53"/>
  <c r="T401" i="53"/>
  <c r="L401" i="53"/>
  <c r="D401" i="53"/>
  <c r="BI191" i="53"/>
  <c r="BK191" i="53" l="1"/>
  <c r="BT402" i="53"/>
  <c r="BL402" i="53"/>
  <c r="BD402" i="53"/>
  <c r="AV402" i="53"/>
  <c r="AN402" i="53"/>
  <c r="AF402" i="53"/>
  <c r="X402" i="53"/>
  <c r="P402" i="53"/>
  <c r="H402" i="53"/>
  <c r="C403" i="53"/>
  <c r="BX402" i="53"/>
  <c r="BP402" i="53"/>
  <c r="BH402" i="53"/>
  <c r="AZ402" i="53"/>
  <c r="AR402" i="53"/>
  <c r="AJ402" i="53"/>
  <c r="AB402" i="53"/>
  <c r="T402" i="53"/>
  <c r="L402" i="53"/>
  <c r="D402" i="53"/>
  <c r="BA192" i="53"/>
  <c r="BC192" i="53" l="1"/>
  <c r="C404" i="53"/>
  <c r="BX403" i="53"/>
  <c r="BP403" i="53"/>
  <c r="BH403" i="53"/>
  <c r="AZ403" i="53"/>
  <c r="AR403" i="53"/>
  <c r="AJ403" i="53"/>
  <c r="AB403" i="53"/>
  <c r="T403" i="53"/>
  <c r="L403" i="53"/>
  <c r="D403" i="53"/>
  <c r="BT403" i="53"/>
  <c r="H403" i="53"/>
  <c r="BL403" i="53"/>
  <c r="BD403" i="53"/>
  <c r="AV403" i="53"/>
  <c r="AN403" i="53"/>
  <c r="AF403" i="53"/>
  <c r="X403" i="53"/>
  <c r="P403" i="53"/>
  <c r="BJ192" i="53"/>
  <c r="BT404" i="53" l="1"/>
  <c r="BL404" i="53"/>
  <c r="BD404" i="53"/>
  <c r="AV404" i="53"/>
  <c r="AN404" i="53"/>
  <c r="AF404" i="53"/>
  <c r="X404" i="53"/>
  <c r="BX404" i="53"/>
  <c r="AJ404" i="53"/>
  <c r="BH404" i="53"/>
  <c r="L404" i="53"/>
  <c r="D404" i="53"/>
  <c r="T404" i="53"/>
  <c r="C405" i="53"/>
  <c r="AR404" i="53"/>
  <c r="BP404" i="53"/>
  <c r="AB404" i="53"/>
  <c r="P404" i="53"/>
  <c r="H404" i="53"/>
  <c r="AZ404" i="53"/>
  <c r="BB193" i="53"/>
  <c r="BI192" i="53"/>
  <c r="BK192" i="53" l="1"/>
  <c r="BT405" i="53"/>
  <c r="BL405" i="53"/>
  <c r="BD405" i="53"/>
  <c r="AV405" i="53"/>
  <c r="AN405" i="53"/>
  <c r="AF405" i="53"/>
  <c r="X405" i="53"/>
  <c r="P405" i="53"/>
  <c r="H405" i="53"/>
  <c r="C406" i="53"/>
  <c r="BX405" i="53"/>
  <c r="BP405" i="53"/>
  <c r="BH405" i="53"/>
  <c r="AZ405" i="53"/>
  <c r="AR405" i="53"/>
  <c r="AJ405" i="53"/>
  <c r="AB405" i="53"/>
  <c r="T405" i="53"/>
  <c r="L405" i="53"/>
  <c r="D405" i="53"/>
  <c r="BA193" i="53"/>
  <c r="BC193" i="53" l="1"/>
  <c r="C407" i="53"/>
  <c r="BX406" i="53"/>
  <c r="BP406" i="53"/>
  <c r="BH406" i="53"/>
  <c r="AZ406" i="53"/>
  <c r="AR406" i="53"/>
  <c r="AJ406" i="53"/>
  <c r="AB406" i="53"/>
  <c r="T406" i="53"/>
  <c r="L406" i="53"/>
  <c r="D406" i="53"/>
  <c r="X406" i="53"/>
  <c r="P406" i="53"/>
  <c r="BT406" i="53"/>
  <c r="H406" i="53"/>
  <c r="BL406" i="53"/>
  <c r="BD406" i="53"/>
  <c r="AV406" i="53"/>
  <c r="AN406" i="53"/>
  <c r="AF406" i="53"/>
  <c r="BJ193" i="53"/>
  <c r="BI193" i="53" l="1"/>
  <c r="BB194" i="53"/>
  <c r="C408" i="53"/>
  <c r="BX407" i="53"/>
  <c r="BP407" i="53"/>
  <c r="BH407" i="53"/>
  <c r="AZ407" i="53"/>
  <c r="AR407" i="53"/>
  <c r="AJ407" i="53"/>
  <c r="AB407" i="53"/>
  <c r="T407" i="53"/>
  <c r="L407" i="53"/>
  <c r="D407" i="53"/>
  <c r="BT407" i="53"/>
  <c r="BL407" i="53"/>
  <c r="BD407" i="53"/>
  <c r="AV407" i="53"/>
  <c r="AN407" i="53"/>
  <c r="AF407" i="53"/>
  <c r="X407" i="53"/>
  <c r="P407" i="53"/>
  <c r="H407" i="53"/>
  <c r="BK193" i="53" l="1"/>
  <c r="BA194" i="53"/>
  <c r="C409" i="53"/>
  <c r="BX408" i="53"/>
  <c r="BP408" i="53"/>
  <c r="BH408" i="53"/>
  <c r="AZ408" i="53"/>
  <c r="AR408" i="53"/>
  <c r="AJ408" i="53"/>
  <c r="AB408" i="53"/>
  <c r="T408" i="53"/>
  <c r="L408" i="53"/>
  <c r="D408" i="53"/>
  <c r="BT408" i="53"/>
  <c r="BL408" i="53"/>
  <c r="BD408" i="53"/>
  <c r="AV408" i="53"/>
  <c r="AN408" i="53"/>
  <c r="AF408" i="53"/>
  <c r="X408" i="53"/>
  <c r="P408" i="53"/>
  <c r="H408" i="53"/>
  <c r="C410" i="53" l="1"/>
  <c r="BX409" i="53"/>
  <c r="BP409" i="53"/>
  <c r="BH409" i="53"/>
  <c r="AZ409" i="53"/>
  <c r="AR409" i="53"/>
  <c r="AJ409" i="53"/>
  <c r="AB409" i="53"/>
  <c r="T409" i="53"/>
  <c r="L409" i="53"/>
  <c r="D409" i="53"/>
  <c r="BT409" i="53"/>
  <c r="BL409" i="53"/>
  <c r="BD409" i="53"/>
  <c r="AV409" i="53"/>
  <c r="AN409" i="53"/>
  <c r="AF409" i="53"/>
  <c r="X409" i="53"/>
  <c r="P409" i="53"/>
  <c r="H409" i="53"/>
  <c r="BC194" i="53"/>
  <c r="BJ194" i="53"/>
  <c r="BI194" i="53" l="1"/>
  <c r="BB195" i="53"/>
  <c r="BT410" i="53"/>
  <c r="BL410" i="53"/>
  <c r="BD410" i="53"/>
  <c r="AV410" i="53"/>
  <c r="AN410" i="53"/>
  <c r="AF410" i="53"/>
  <c r="X410" i="53"/>
  <c r="P410" i="53"/>
  <c r="H410" i="53"/>
  <c r="T410" i="53"/>
  <c r="BX410" i="53"/>
  <c r="L410" i="53"/>
  <c r="BP410" i="53"/>
  <c r="D410" i="53"/>
  <c r="BH410" i="53"/>
  <c r="AZ410" i="53"/>
  <c r="AR410" i="53"/>
  <c r="C411" i="53"/>
  <c r="AJ410" i="53"/>
  <c r="AB410" i="53"/>
  <c r="BA195" i="53" l="1"/>
  <c r="BK194" i="53"/>
  <c r="BT411" i="53"/>
  <c r="BL411" i="53"/>
  <c r="BD411" i="53"/>
  <c r="AV411" i="53"/>
  <c r="AN411" i="53"/>
  <c r="AF411" i="53"/>
  <c r="X411" i="53"/>
  <c r="P411" i="53"/>
  <c r="H411" i="53"/>
  <c r="C412" i="53"/>
  <c r="BX411" i="53"/>
  <c r="BP411" i="53"/>
  <c r="BH411" i="53"/>
  <c r="AZ411" i="53"/>
  <c r="AR411" i="53"/>
  <c r="AJ411" i="53"/>
  <c r="AB411" i="53"/>
  <c r="T411" i="53"/>
  <c r="L411" i="53"/>
  <c r="D411" i="53"/>
  <c r="BT412" i="53" l="1"/>
  <c r="BL412" i="53"/>
  <c r="BD412" i="53"/>
  <c r="AV412" i="53"/>
  <c r="AN412" i="53"/>
  <c r="AF412" i="53"/>
  <c r="X412" i="53"/>
  <c r="P412" i="53"/>
  <c r="H412" i="53"/>
  <c r="C413" i="53"/>
  <c r="BX412" i="53"/>
  <c r="BP412" i="53"/>
  <c r="BH412" i="53"/>
  <c r="AZ412" i="53"/>
  <c r="AR412" i="53"/>
  <c r="AJ412" i="53"/>
  <c r="AB412" i="53"/>
  <c r="T412" i="53"/>
  <c r="L412" i="53"/>
  <c r="D412" i="53"/>
  <c r="BJ195" i="53"/>
  <c r="BI195" i="53" l="1"/>
  <c r="BT413" i="53"/>
  <c r="BL413" i="53"/>
  <c r="BD413" i="53"/>
  <c r="AV413" i="53"/>
  <c r="AN413" i="53"/>
  <c r="AF413" i="53"/>
  <c r="X413" i="53"/>
  <c r="P413" i="53"/>
  <c r="H413" i="53"/>
  <c r="C414" i="53"/>
  <c r="BX413" i="53"/>
  <c r="BP413" i="53"/>
  <c r="BH413" i="53"/>
  <c r="AZ413" i="53"/>
  <c r="AR413" i="53"/>
  <c r="AJ413" i="53"/>
  <c r="AB413" i="53"/>
  <c r="T413" i="53"/>
  <c r="L413" i="53"/>
  <c r="D413" i="53"/>
  <c r="C415" i="53" l="1"/>
  <c r="BX414" i="53"/>
  <c r="BP414" i="53"/>
  <c r="BH414" i="53"/>
  <c r="AZ414" i="53"/>
  <c r="AR414" i="53"/>
  <c r="AJ414" i="53"/>
  <c r="AB414" i="53"/>
  <c r="T414" i="53"/>
  <c r="L414" i="53"/>
  <c r="D414" i="53"/>
  <c r="P414" i="53"/>
  <c r="BT414" i="53"/>
  <c r="H414" i="53"/>
  <c r="BL414" i="53"/>
  <c r="BD414" i="53"/>
  <c r="AV414" i="53"/>
  <c r="AN414" i="53"/>
  <c r="AF414" i="53"/>
  <c r="X414" i="53"/>
  <c r="BK195" i="53"/>
  <c r="BJ196" i="53" l="1"/>
  <c r="C416" i="53"/>
  <c r="BX415" i="53"/>
  <c r="BP415" i="53"/>
  <c r="BH415" i="53"/>
  <c r="AZ415" i="53"/>
  <c r="AR415" i="53"/>
  <c r="AJ415" i="53"/>
  <c r="AB415" i="53"/>
  <c r="T415" i="53"/>
  <c r="L415" i="53"/>
  <c r="D415" i="53"/>
  <c r="BT415" i="53"/>
  <c r="BL415" i="53"/>
  <c r="BD415" i="53"/>
  <c r="AV415" i="53"/>
  <c r="AN415" i="53"/>
  <c r="AF415" i="53"/>
  <c r="X415" i="53"/>
  <c r="P415" i="53"/>
  <c r="H415" i="53"/>
  <c r="BI196" i="53" l="1"/>
  <c r="BX416" i="53"/>
  <c r="BP416" i="53"/>
  <c r="BH416" i="53"/>
  <c r="AZ416" i="53"/>
  <c r="AR416" i="53"/>
  <c r="AJ416" i="53"/>
  <c r="AB416" i="53"/>
  <c r="T416" i="53"/>
  <c r="L416" i="53"/>
  <c r="D416" i="53"/>
  <c r="C417" i="53"/>
  <c r="BT416" i="53"/>
  <c r="BL416" i="53"/>
  <c r="BD416" i="53"/>
  <c r="AV416" i="53"/>
  <c r="AN416" i="53"/>
  <c r="AF416" i="53"/>
  <c r="X416" i="53"/>
  <c r="P416" i="53"/>
  <c r="H416" i="53"/>
  <c r="BT417" i="53" l="1"/>
  <c r="BL417" i="53"/>
  <c r="BD417" i="53"/>
  <c r="AV417" i="53"/>
  <c r="AN417" i="53"/>
  <c r="AF417" i="53"/>
  <c r="X417" i="53"/>
  <c r="C418" i="53"/>
  <c r="BX417" i="53"/>
  <c r="BP417" i="53"/>
  <c r="BH417" i="53"/>
  <c r="AZ417" i="53"/>
  <c r="AR417" i="53"/>
  <c r="AJ417" i="53"/>
  <c r="P417" i="53"/>
  <c r="D417" i="53"/>
  <c r="AB417" i="53"/>
  <c r="L417" i="53"/>
  <c r="H417" i="53"/>
  <c r="T417" i="53"/>
  <c r="BK196" i="53"/>
  <c r="BT418" i="53" l="1"/>
  <c r="BL418" i="53"/>
  <c r="BD418" i="53"/>
  <c r="AV418" i="53"/>
  <c r="AN418" i="53"/>
  <c r="AF418" i="53"/>
  <c r="X418" i="53"/>
  <c r="P418" i="53"/>
  <c r="H418" i="53"/>
  <c r="C419" i="53"/>
  <c r="BX418" i="53"/>
  <c r="BP418" i="53"/>
  <c r="BH418" i="53"/>
  <c r="AZ418" i="53"/>
  <c r="AR418" i="53"/>
  <c r="AJ418" i="53"/>
  <c r="AB418" i="53"/>
  <c r="T418" i="53"/>
  <c r="L418" i="53"/>
  <c r="D418" i="53"/>
  <c r="BJ197" i="53"/>
  <c r="BT419" i="53" l="1"/>
  <c r="BL419" i="53"/>
  <c r="BD419" i="53"/>
  <c r="AV419" i="53"/>
  <c r="AN419" i="53"/>
  <c r="AF419" i="53"/>
  <c r="X419" i="53"/>
  <c r="P419" i="53"/>
  <c r="H419" i="53"/>
  <c r="C420" i="53"/>
  <c r="BX419" i="53"/>
  <c r="BP419" i="53"/>
  <c r="BH419" i="53"/>
  <c r="AZ419" i="53"/>
  <c r="AR419" i="53"/>
  <c r="AJ419" i="53"/>
  <c r="AB419" i="53"/>
  <c r="T419" i="53"/>
  <c r="L419" i="53"/>
  <c r="D419" i="53"/>
  <c r="BI197" i="53"/>
  <c r="BK197" i="53" l="1"/>
  <c r="C421" i="53"/>
  <c r="BX420" i="53"/>
  <c r="BP420" i="53"/>
  <c r="BH420" i="53"/>
  <c r="AZ420" i="53"/>
  <c r="AR420" i="53"/>
  <c r="AJ420" i="53"/>
  <c r="AB420" i="53"/>
  <c r="T420" i="53"/>
  <c r="L420" i="53"/>
  <c r="D420" i="53"/>
  <c r="P420" i="53"/>
  <c r="BT420" i="53"/>
  <c r="H420" i="53"/>
  <c r="BL420" i="53"/>
  <c r="BD420" i="53"/>
  <c r="AV420" i="53"/>
  <c r="AN420" i="53"/>
  <c r="AF420" i="53"/>
  <c r="X420" i="53"/>
  <c r="BJ198" i="53" l="1"/>
  <c r="C422" i="53"/>
  <c r="BX421" i="53"/>
  <c r="BP421" i="53"/>
  <c r="BH421" i="53"/>
  <c r="AZ421" i="53"/>
  <c r="AR421" i="53"/>
  <c r="AJ421" i="53"/>
  <c r="AB421" i="53"/>
  <c r="T421" i="53"/>
  <c r="L421" i="53"/>
  <c r="D421" i="53"/>
  <c r="BT421" i="53"/>
  <c r="BL421" i="53"/>
  <c r="BD421" i="53"/>
  <c r="AV421" i="53"/>
  <c r="AN421" i="53"/>
  <c r="AF421" i="53"/>
  <c r="X421" i="53"/>
  <c r="P421" i="53"/>
  <c r="H421" i="53"/>
  <c r="BI198" i="53" l="1"/>
  <c r="C423" i="53"/>
  <c r="BX422" i="53"/>
  <c r="BP422" i="53"/>
  <c r="BH422" i="53"/>
  <c r="AZ422" i="53"/>
  <c r="AR422" i="53"/>
  <c r="AJ422" i="53"/>
  <c r="AB422" i="53"/>
  <c r="T422" i="53"/>
  <c r="L422" i="53"/>
  <c r="D422" i="53"/>
  <c r="BT422" i="53"/>
  <c r="BL422" i="53"/>
  <c r="BD422" i="53"/>
  <c r="AV422" i="53"/>
  <c r="AN422" i="53"/>
  <c r="AF422" i="53"/>
  <c r="X422" i="53"/>
  <c r="P422" i="53"/>
  <c r="H422" i="53"/>
  <c r="C424" i="53" l="1"/>
  <c r="BX423" i="53"/>
  <c r="BP423" i="53"/>
  <c r="BH423" i="53"/>
  <c r="AZ423" i="53"/>
  <c r="AR423" i="53"/>
  <c r="AJ423" i="53"/>
  <c r="AB423" i="53"/>
  <c r="T423" i="53"/>
  <c r="L423" i="53"/>
  <c r="D423" i="53"/>
  <c r="BT423" i="53"/>
  <c r="BL423" i="53"/>
  <c r="BD423" i="53"/>
  <c r="AV423" i="53"/>
  <c r="AN423" i="53"/>
  <c r="AF423" i="53"/>
  <c r="X423" i="53"/>
  <c r="P423" i="53"/>
  <c r="H423" i="53"/>
  <c r="BK198" i="53"/>
  <c r="BJ199" i="53" l="1"/>
  <c r="BT424" i="53"/>
  <c r="BL424" i="53"/>
  <c r="BD424" i="53"/>
  <c r="AV424" i="53"/>
  <c r="AN424" i="53"/>
  <c r="AF424" i="53"/>
  <c r="X424" i="53"/>
  <c r="P424" i="53"/>
  <c r="H424" i="53"/>
  <c r="BX424" i="53"/>
  <c r="L424" i="53"/>
  <c r="BP424" i="53"/>
  <c r="D424" i="53"/>
  <c r="BH424" i="53"/>
  <c r="AZ424" i="53"/>
  <c r="AR424" i="53"/>
  <c r="C425" i="53"/>
  <c r="AJ424" i="53"/>
  <c r="AB424" i="53"/>
  <c r="T424" i="53"/>
  <c r="BI199" i="53" l="1"/>
  <c r="BT425" i="53"/>
  <c r="BL425" i="53"/>
  <c r="BD425" i="53"/>
  <c r="AV425" i="53"/>
  <c r="AN425" i="53"/>
  <c r="AF425" i="53"/>
  <c r="X425" i="53"/>
  <c r="P425" i="53"/>
  <c r="H425" i="53"/>
  <c r="C426" i="53"/>
  <c r="BX425" i="53"/>
  <c r="BP425" i="53"/>
  <c r="BH425" i="53"/>
  <c r="AZ425" i="53"/>
  <c r="AR425" i="53"/>
  <c r="AJ425" i="53"/>
  <c r="AB425" i="53"/>
  <c r="T425" i="53"/>
  <c r="L425" i="53"/>
  <c r="D425" i="53"/>
  <c r="BT426" i="53" l="1"/>
  <c r="BL426" i="53"/>
  <c r="BD426" i="53"/>
  <c r="AV426" i="53"/>
  <c r="AN426" i="53"/>
  <c r="AF426" i="53"/>
  <c r="X426" i="53"/>
  <c r="P426" i="53"/>
  <c r="H426" i="53"/>
  <c r="C427" i="53"/>
  <c r="BX426" i="53"/>
  <c r="BP426" i="53"/>
  <c r="BH426" i="53"/>
  <c r="AZ426" i="53"/>
  <c r="AR426" i="53"/>
  <c r="AJ426" i="53"/>
  <c r="AB426" i="53"/>
  <c r="T426" i="53"/>
  <c r="L426" i="53"/>
  <c r="D426" i="53"/>
  <c r="BK199" i="53"/>
  <c r="BJ200" i="53" l="1"/>
  <c r="BT427" i="53"/>
  <c r="BL427" i="53"/>
  <c r="BD427" i="53"/>
  <c r="AV427" i="53"/>
  <c r="AN427" i="53"/>
  <c r="AF427" i="53"/>
  <c r="X427" i="53"/>
  <c r="P427" i="53"/>
  <c r="H427" i="53"/>
  <c r="C428" i="53"/>
  <c r="BX427" i="53"/>
  <c r="BP427" i="53"/>
  <c r="BH427" i="53"/>
  <c r="AZ427" i="53"/>
  <c r="AR427" i="53"/>
  <c r="AJ427" i="53"/>
  <c r="AB427" i="53"/>
  <c r="T427" i="53"/>
  <c r="L427" i="53"/>
  <c r="D427" i="53"/>
  <c r="BX428" i="53" l="1"/>
  <c r="BP428" i="53"/>
  <c r="BH428" i="53"/>
  <c r="AZ428" i="53"/>
  <c r="AR428" i="53"/>
  <c r="AJ428" i="53"/>
  <c r="AB428" i="53"/>
  <c r="T428" i="53"/>
  <c r="L428" i="53"/>
  <c r="D428" i="53"/>
  <c r="BT428" i="53"/>
  <c r="H428" i="53"/>
  <c r="BL428" i="53"/>
  <c r="BD428" i="53"/>
  <c r="AV428" i="53"/>
  <c r="AN428" i="53"/>
  <c r="C429" i="53"/>
  <c r="AF428" i="53"/>
  <c r="X428" i="53"/>
  <c r="P428" i="53"/>
  <c r="BI200" i="53"/>
  <c r="AR429" i="53" l="1"/>
  <c r="AF429" i="53"/>
  <c r="L429" i="53"/>
  <c r="BL429" i="53"/>
  <c r="BX429" i="53"/>
  <c r="AZ429" i="53"/>
  <c r="AN429" i="53"/>
  <c r="T429" i="53"/>
  <c r="H429" i="53"/>
  <c r="C430" i="53"/>
  <c r="BT429" i="53"/>
  <c r="BH429" i="53"/>
  <c r="AV429" i="53"/>
  <c r="AB429" i="53"/>
  <c r="P429" i="53"/>
  <c r="BD429" i="53"/>
  <c r="AJ429" i="53"/>
  <c r="X429" i="53"/>
  <c r="D429" i="53"/>
  <c r="BP429" i="53"/>
  <c r="BK200" i="53"/>
  <c r="BT430" i="53" l="1"/>
  <c r="BL430" i="53"/>
  <c r="BD430" i="53"/>
  <c r="AV430" i="53"/>
  <c r="AN430" i="53"/>
  <c r="AF430" i="53"/>
  <c r="X430" i="53"/>
  <c r="P430" i="53"/>
  <c r="H430" i="53"/>
  <c r="C431" i="53"/>
  <c r="BX430" i="53"/>
  <c r="BP430" i="53"/>
  <c r="BH430" i="53"/>
  <c r="AZ430" i="53"/>
  <c r="AR430" i="53"/>
  <c r="T430" i="53"/>
  <c r="D430" i="53"/>
  <c r="AB430" i="53"/>
  <c r="L430" i="53"/>
  <c r="AJ430" i="53"/>
  <c r="BJ201" i="53"/>
  <c r="BI201" i="53" l="1"/>
  <c r="BT431" i="53"/>
  <c r="BL431" i="53"/>
  <c r="BD431" i="53"/>
  <c r="AV431" i="53"/>
  <c r="AN431" i="53"/>
  <c r="AF431" i="53"/>
  <c r="X431" i="53"/>
  <c r="P431" i="53"/>
  <c r="H431" i="53"/>
  <c r="C432" i="53"/>
  <c r="BX431" i="53"/>
  <c r="BP431" i="53"/>
  <c r="BH431" i="53"/>
  <c r="AZ431" i="53"/>
  <c r="AR431" i="53"/>
  <c r="AJ431" i="53"/>
  <c r="AB431" i="53"/>
  <c r="T431" i="53"/>
  <c r="L431" i="53"/>
  <c r="D431" i="53"/>
  <c r="C433" i="53" l="1"/>
  <c r="BX432" i="53"/>
  <c r="BP432" i="53"/>
  <c r="BH432" i="53"/>
  <c r="AZ432" i="53"/>
  <c r="AR432" i="53"/>
  <c r="AJ432" i="53"/>
  <c r="AB432" i="53"/>
  <c r="T432" i="53"/>
  <c r="L432" i="53"/>
  <c r="D432" i="53"/>
  <c r="BT432" i="53"/>
  <c r="H432" i="53"/>
  <c r="BL432" i="53"/>
  <c r="BD432" i="53"/>
  <c r="AV432" i="53"/>
  <c r="AN432" i="53"/>
  <c r="AF432" i="53"/>
  <c r="X432" i="53"/>
  <c r="P432" i="53"/>
  <c r="C434" i="53" l="1"/>
  <c r="BX433" i="53"/>
  <c r="BP433" i="53"/>
  <c r="BH433" i="53"/>
  <c r="AZ433" i="53"/>
  <c r="AR433" i="53"/>
  <c r="AJ433" i="53"/>
  <c r="AB433" i="53"/>
  <c r="T433" i="53"/>
  <c r="L433" i="53"/>
  <c r="D433" i="53"/>
  <c r="BT433" i="53"/>
  <c r="BL433" i="53"/>
  <c r="BD433" i="53"/>
  <c r="AV433" i="53"/>
  <c r="AN433" i="53"/>
  <c r="AF433" i="53"/>
  <c r="X433" i="53"/>
  <c r="P433" i="53"/>
  <c r="H433" i="53"/>
  <c r="C435" i="53" l="1"/>
  <c r="BX434" i="53"/>
  <c r="BP434" i="53"/>
  <c r="BH434" i="53"/>
  <c r="AZ434" i="53"/>
  <c r="AR434" i="53"/>
  <c r="AJ434" i="53"/>
  <c r="AB434" i="53"/>
  <c r="T434" i="53"/>
  <c r="L434" i="53"/>
  <c r="D434" i="53"/>
  <c r="BT434" i="53"/>
  <c r="BL434" i="53"/>
  <c r="BD434" i="53"/>
  <c r="AV434" i="53"/>
  <c r="AN434" i="53"/>
  <c r="AF434" i="53"/>
  <c r="X434" i="53"/>
  <c r="P434" i="53"/>
  <c r="H434" i="53"/>
  <c r="BX435" i="53" l="1"/>
  <c r="BP435" i="53"/>
  <c r="BH435" i="53"/>
  <c r="AZ435" i="53"/>
  <c r="AR435" i="53"/>
  <c r="AJ435" i="53"/>
  <c r="AB435" i="53"/>
  <c r="T435" i="53"/>
  <c r="L435" i="53"/>
  <c r="D435" i="53"/>
  <c r="BT435" i="53"/>
  <c r="BL435" i="53"/>
  <c r="BD435" i="53"/>
  <c r="AV435" i="53"/>
  <c r="AN435" i="53"/>
  <c r="AF435" i="53"/>
  <c r="X435" i="53"/>
  <c r="P435" i="53"/>
  <c r="H435" i="53"/>
  <c r="C436" i="53"/>
  <c r="BT436" i="53" l="1"/>
  <c r="BL436" i="53"/>
  <c r="BD436" i="53"/>
  <c r="AV436" i="53"/>
  <c r="AN436" i="53"/>
  <c r="AF436" i="53"/>
  <c r="X436" i="53"/>
  <c r="P436" i="53"/>
  <c r="H436" i="53"/>
  <c r="C437" i="53"/>
  <c r="BX436" i="53"/>
  <c r="L436" i="53"/>
  <c r="AJ436" i="53"/>
  <c r="BH436" i="53"/>
  <c r="T436" i="53"/>
  <c r="AR436" i="53"/>
  <c r="BP436" i="53"/>
  <c r="D436" i="53"/>
  <c r="AB436" i="53"/>
  <c r="AZ436" i="53"/>
  <c r="C438" i="53" l="1"/>
  <c r="BX437" i="53"/>
  <c r="BP437" i="53"/>
  <c r="BH437" i="53"/>
  <c r="AZ437" i="53"/>
  <c r="AR437" i="53"/>
  <c r="AJ437" i="53"/>
  <c r="AB437" i="53"/>
  <c r="T437" i="53"/>
  <c r="L437" i="53"/>
  <c r="D437" i="53"/>
  <c r="X437" i="53"/>
  <c r="BT437" i="53"/>
  <c r="BL437" i="53"/>
  <c r="P437" i="53"/>
  <c r="BD437" i="53"/>
  <c r="AV437" i="53"/>
  <c r="H437" i="53"/>
  <c r="AN437" i="53"/>
  <c r="AF437" i="53"/>
  <c r="C439" i="53" l="1"/>
  <c r="BX438" i="53"/>
  <c r="BP438" i="53"/>
  <c r="BH438" i="53"/>
  <c r="AZ438" i="53"/>
  <c r="AR438" i="53"/>
  <c r="AJ438" i="53"/>
  <c r="AB438" i="53"/>
  <c r="T438" i="53"/>
  <c r="L438" i="53"/>
  <c r="D438" i="53"/>
  <c r="BT438" i="53"/>
  <c r="BL438" i="53"/>
  <c r="BD438" i="53"/>
  <c r="AV438" i="53"/>
  <c r="AN438" i="53"/>
  <c r="AF438" i="53"/>
  <c r="X438" i="53"/>
  <c r="P438" i="53"/>
  <c r="H438" i="53"/>
  <c r="C440" i="53" l="1"/>
  <c r="BX439" i="53"/>
  <c r="BP439" i="53"/>
  <c r="BH439" i="53"/>
  <c r="AZ439" i="53"/>
  <c r="AR439" i="53"/>
  <c r="AJ439" i="53"/>
  <c r="AB439" i="53"/>
  <c r="T439" i="53"/>
  <c r="L439" i="53"/>
  <c r="D439" i="53"/>
  <c r="BT439" i="53"/>
  <c r="BL439" i="53"/>
  <c r="BD439" i="53"/>
  <c r="AV439" i="53"/>
  <c r="AN439" i="53"/>
  <c r="AF439" i="53"/>
  <c r="X439" i="53"/>
  <c r="P439" i="53"/>
  <c r="H439" i="53"/>
  <c r="C441" i="53" l="1"/>
  <c r="BX440" i="53"/>
  <c r="BP440" i="53"/>
  <c r="BH440" i="53"/>
  <c r="AZ440" i="53"/>
  <c r="AR440" i="53"/>
  <c r="AJ440" i="53"/>
  <c r="AB440" i="53"/>
  <c r="T440" i="53"/>
  <c r="L440" i="53"/>
  <c r="D440" i="53"/>
  <c r="BT440" i="53"/>
  <c r="BL440" i="53"/>
  <c r="BD440" i="53"/>
  <c r="AV440" i="53"/>
  <c r="AN440" i="53"/>
  <c r="AF440" i="53"/>
  <c r="X440" i="53"/>
  <c r="P440" i="53"/>
  <c r="H440" i="53"/>
  <c r="BT441" i="53" l="1"/>
  <c r="BL441" i="53"/>
  <c r="BD441" i="53"/>
  <c r="AV441" i="53"/>
  <c r="AN441" i="53"/>
  <c r="AF441" i="53"/>
  <c r="X441" i="53"/>
  <c r="P441" i="53"/>
  <c r="H441" i="53"/>
  <c r="BX441" i="53"/>
  <c r="L441" i="53"/>
  <c r="BP441" i="53"/>
  <c r="D441" i="53"/>
  <c r="BH441" i="53"/>
  <c r="AZ441" i="53"/>
  <c r="AR441" i="53"/>
  <c r="C442" i="53"/>
  <c r="AJ441" i="53"/>
  <c r="AB441" i="53"/>
  <c r="T441" i="53"/>
  <c r="CB442" i="53" l="1"/>
  <c r="BT442" i="53"/>
  <c r="BL442" i="53"/>
  <c r="BD442" i="53"/>
  <c r="AV442" i="53"/>
  <c r="AN442" i="53"/>
  <c r="AF442" i="53"/>
  <c r="AJ442" i="53"/>
  <c r="BH442" i="53"/>
  <c r="C443" i="53"/>
  <c r="X442" i="53"/>
  <c r="P442" i="53"/>
  <c r="H442" i="53"/>
  <c r="AR442" i="53"/>
  <c r="BP442" i="53"/>
  <c r="AZ442" i="53"/>
  <c r="AB442" i="53"/>
  <c r="T442" i="53"/>
  <c r="L442" i="53"/>
  <c r="D442" i="53"/>
  <c r="BX442" i="53"/>
  <c r="CB443" i="53" l="1"/>
  <c r="BT443" i="53"/>
  <c r="BL443" i="53"/>
  <c r="BD443" i="53"/>
  <c r="AV443" i="53"/>
  <c r="AN443" i="53"/>
  <c r="AF443" i="53"/>
  <c r="X443" i="53"/>
  <c r="P443" i="53"/>
  <c r="H443" i="53"/>
  <c r="BX443" i="53"/>
  <c r="AZ443" i="53"/>
  <c r="AJ443" i="53"/>
  <c r="T443" i="53"/>
  <c r="D443" i="53"/>
  <c r="BP443" i="53"/>
  <c r="AR443" i="53"/>
  <c r="AB443" i="53"/>
  <c r="L443" i="53"/>
  <c r="BH443" i="53"/>
  <c r="C444" i="53"/>
  <c r="C445" i="53" l="1"/>
  <c r="BX444" i="53"/>
  <c r="BP444" i="53"/>
  <c r="BH444" i="53"/>
  <c r="AZ444" i="53"/>
  <c r="AR444" i="53"/>
  <c r="AJ444" i="53"/>
  <c r="AB444" i="53"/>
  <c r="T444" i="53"/>
  <c r="L444" i="53"/>
  <c r="D444" i="53"/>
  <c r="BD444" i="53"/>
  <c r="AV444" i="53"/>
  <c r="AN444" i="53"/>
  <c r="AF444" i="53"/>
  <c r="X444" i="53"/>
  <c r="CB444" i="53"/>
  <c r="P444" i="53"/>
  <c r="BT444" i="53"/>
  <c r="H444" i="53"/>
  <c r="BL444" i="53"/>
  <c r="C446" i="53" l="1"/>
  <c r="CF445" i="53"/>
  <c r="BX445" i="53"/>
  <c r="BP445" i="53"/>
  <c r="BH445" i="53"/>
  <c r="AZ445" i="53"/>
  <c r="AR445" i="53"/>
  <c r="AJ445" i="53"/>
  <c r="AB445" i="53"/>
  <c r="T445" i="53"/>
  <c r="L445" i="53"/>
  <c r="D445" i="53"/>
  <c r="CB445" i="53"/>
  <c r="BT445" i="53"/>
  <c r="BL445" i="53"/>
  <c r="BD445" i="53"/>
  <c r="AV445" i="53"/>
  <c r="AN445" i="53"/>
  <c r="AF445" i="53"/>
  <c r="X445" i="53"/>
  <c r="P445" i="53"/>
  <c r="H445" i="53"/>
  <c r="C447" i="53" l="1"/>
  <c r="CF446" i="53"/>
  <c r="BX446" i="53"/>
  <c r="BP446" i="53"/>
  <c r="BH446" i="53"/>
  <c r="AZ446" i="53"/>
  <c r="AR446" i="53"/>
  <c r="AJ446" i="53"/>
  <c r="AB446" i="53"/>
  <c r="T446" i="53"/>
  <c r="L446" i="53"/>
  <c r="D446" i="53"/>
  <c r="CB446" i="53"/>
  <c r="BT446" i="53"/>
  <c r="BL446" i="53"/>
  <c r="BD446" i="53"/>
  <c r="AV446" i="53"/>
  <c r="AN446" i="53"/>
  <c r="AF446" i="53"/>
  <c r="X446" i="53"/>
  <c r="P446" i="53"/>
  <c r="H446" i="53"/>
  <c r="CB447" i="53" l="1"/>
  <c r="BT447" i="53"/>
  <c r="BL447" i="53"/>
  <c r="BD447" i="53"/>
  <c r="AV447" i="53"/>
  <c r="AN447" i="53"/>
  <c r="AF447" i="53"/>
  <c r="X447" i="53"/>
  <c r="P447" i="53"/>
  <c r="H447" i="53"/>
  <c r="D447" i="53"/>
  <c r="CF447" i="53"/>
  <c r="AR447" i="53"/>
  <c r="AB447" i="53"/>
  <c r="BH447" i="53"/>
  <c r="C448" i="53"/>
  <c r="L447" i="53"/>
  <c r="BX447" i="53"/>
  <c r="AZ447" i="53"/>
  <c r="AJ447" i="53"/>
  <c r="T447" i="53"/>
  <c r="BP447" i="53"/>
  <c r="CJ448" i="53" l="1"/>
  <c r="CB448" i="53"/>
  <c r="BT448" i="53"/>
  <c r="BL448" i="53"/>
  <c r="BD448" i="53"/>
  <c r="AV448" i="53"/>
  <c r="AN448" i="53"/>
  <c r="AF448" i="53"/>
  <c r="X448" i="53"/>
  <c r="P448" i="53"/>
  <c r="H448" i="53"/>
  <c r="C449" i="53"/>
  <c r="CF448" i="53"/>
  <c r="BX448" i="53"/>
  <c r="BP448" i="53"/>
  <c r="BH448" i="53"/>
  <c r="AZ448" i="53"/>
  <c r="AR448" i="53"/>
  <c r="AJ448" i="53"/>
  <c r="AB448" i="53"/>
  <c r="T448" i="53"/>
  <c r="L448" i="53"/>
  <c r="D448" i="53"/>
  <c r="C450" i="53" l="1"/>
  <c r="CF449" i="53"/>
  <c r="BX449" i="53"/>
  <c r="BP449" i="53"/>
  <c r="BH449" i="53"/>
  <c r="AZ449" i="53"/>
  <c r="AR449" i="53"/>
  <c r="AJ449" i="53"/>
  <c r="AB449" i="53"/>
  <c r="T449" i="53"/>
  <c r="L449" i="53"/>
  <c r="D449" i="53"/>
  <c r="CJ449" i="53"/>
  <c r="X449" i="53"/>
  <c r="BL449" i="53"/>
  <c r="AN449" i="53"/>
  <c r="CB449" i="53"/>
  <c r="P449" i="53"/>
  <c r="BD449" i="53"/>
  <c r="AF449" i="53"/>
  <c r="BT449" i="53"/>
  <c r="H449" i="53"/>
  <c r="AV449" i="53"/>
  <c r="C451" i="53" l="1"/>
  <c r="CF450" i="53"/>
  <c r="BX450" i="53"/>
  <c r="BP450" i="53"/>
  <c r="BH450" i="53"/>
  <c r="AZ450" i="53"/>
  <c r="AR450" i="53"/>
  <c r="AJ450" i="53"/>
  <c r="AB450" i="53"/>
  <c r="T450" i="53"/>
  <c r="L450" i="53"/>
  <c r="D450" i="53"/>
  <c r="CJ450" i="53"/>
  <c r="CB450" i="53"/>
  <c r="BT450" i="53"/>
  <c r="BL450" i="53"/>
  <c r="BD450" i="53"/>
  <c r="AV450" i="53"/>
  <c r="AN450" i="53"/>
  <c r="AF450" i="53"/>
  <c r="H450" i="53"/>
  <c r="X450" i="53"/>
  <c r="P450" i="53"/>
  <c r="C452" i="53" l="1"/>
  <c r="CN451" i="53"/>
  <c r="CF451" i="53"/>
  <c r="BX451" i="53"/>
  <c r="BP451" i="53"/>
  <c r="BH451" i="53"/>
  <c r="AZ451" i="53"/>
  <c r="AR451" i="53"/>
  <c r="AJ451" i="53"/>
  <c r="AB451" i="53"/>
  <c r="T451" i="53"/>
  <c r="L451" i="53"/>
  <c r="D451" i="53"/>
  <c r="BL451" i="53"/>
  <c r="AF451" i="53"/>
  <c r="CJ451" i="53"/>
  <c r="BD451" i="53"/>
  <c r="X451" i="53"/>
  <c r="CB451" i="53"/>
  <c r="AV451" i="53"/>
  <c r="P451" i="53"/>
  <c r="BT451" i="53"/>
  <c r="AN451" i="53"/>
  <c r="H451" i="53"/>
  <c r="C453" i="53" l="1"/>
  <c r="CN452" i="53"/>
  <c r="CF452" i="53"/>
  <c r="BX452" i="53"/>
  <c r="BP452" i="53"/>
  <c r="BH452" i="53"/>
  <c r="AZ452" i="53"/>
  <c r="AR452" i="53"/>
  <c r="AJ452" i="53"/>
  <c r="AB452" i="53"/>
  <c r="T452" i="53"/>
  <c r="L452" i="53"/>
  <c r="D452" i="53"/>
  <c r="CJ452" i="53"/>
  <c r="CB452" i="53"/>
  <c r="BT452" i="53"/>
  <c r="BL452" i="53"/>
  <c r="BD452" i="53"/>
  <c r="AV452" i="53"/>
  <c r="AN452" i="53"/>
  <c r="AF452" i="53"/>
  <c r="X452" i="53"/>
  <c r="P452" i="53"/>
  <c r="H452" i="53"/>
  <c r="CR451" i="53"/>
  <c r="CR452" i="53" l="1"/>
  <c r="CJ453" i="53"/>
  <c r="CB453" i="53"/>
  <c r="BT453" i="53"/>
  <c r="BL453" i="53"/>
  <c r="BD453" i="53"/>
  <c r="AV453" i="53"/>
  <c r="AN453" i="53"/>
  <c r="AF453" i="53"/>
  <c r="X453" i="53"/>
  <c r="P453" i="53"/>
  <c r="H453" i="53"/>
  <c r="CN453" i="53"/>
  <c r="BH453" i="53"/>
  <c r="AB453" i="53"/>
  <c r="CF453" i="53"/>
  <c r="AZ453" i="53"/>
  <c r="T453" i="53"/>
  <c r="BX453" i="53"/>
  <c r="AR453" i="53"/>
  <c r="L453" i="53"/>
  <c r="BP453" i="53"/>
  <c r="AJ453" i="53"/>
  <c r="D453" i="53"/>
  <c r="CR453" i="53" l="1"/>
  <c r="G94" i="32" l="1"/>
  <c r="G80" i="32"/>
  <c r="AJ72" i="32"/>
  <c r="AI72" i="32"/>
  <c r="AH72" i="32"/>
  <c r="AG72" i="32"/>
  <c r="AF72" i="32"/>
  <c r="AE72" i="32"/>
  <c r="AD72" i="32"/>
  <c r="AC72" i="32"/>
  <c r="AB72" i="32"/>
  <c r="AA72" i="32"/>
  <c r="Z72" i="32"/>
  <c r="Y72" i="32"/>
  <c r="X72" i="32"/>
  <c r="W72" i="32"/>
  <c r="V72" i="32"/>
  <c r="U72" i="32"/>
  <c r="T72" i="32"/>
  <c r="S72" i="32"/>
  <c r="R72" i="32"/>
  <c r="Q72" i="32"/>
  <c r="P72" i="32"/>
  <c r="O72" i="32"/>
  <c r="N72" i="32"/>
  <c r="M72" i="32"/>
  <c r="L72" i="32"/>
  <c r="K72" i="32"/>
  <c r="J72" i="32"/>
  <c r="I72" i="32"/>
  <c r="H72" i="32"/>
  <c r="G72" i="32"/>
  <c r="C28" i="4" l="1"/>
  <c r="C48" i="4" s="1"/>
  <c r="C27" i="4"/>
  <c r="C47" i="4" s="1"/>
  <c r="C26" i="4"/>
  <c r="C46" i="4" s="1"/>
  <c r="C25" i="4"/>
  <c r="C45" i="4" s="1"/>
  <c r="C24" i="4"/>
  <c r="C44" i="4" s="1"/>
  <c r="C17" i="4"/>
  <c r="C16" i="4"/>
  <c r="C15" i="4"/>
  <c r="C14" i="4"/>
  <c r="C8" i="4"/>
  <c r="C7" i="4"/>
  <c r="H32" i="23" l="1"/>
  <c r="H37" i="23" l="1"/>
  <c r="F25" i="25"/>
  <c r="G46" i="38"/>
  <c r="H46" i="38" s="1"/>
  <c r="I46" i="38" s="1"/>
  <c r="J46" i="38" s="1"/>
  <c r="K46" i="38" s="1"/>
  <c r="L46" i="38" s="1"/>
  <c r="M46" i="38" s="1"/>
  <c r="N46" i="38" s="1"/>
  <c r="O46" i="38" s="1"/>
  <c r="P46" i="38" s="1"/>
  <c r="Q46" i="38" s="1"/>
  <c r="R46" i="38" s="1"/>
  <c r="S46" i="38" s="1"/>
  <c r="T46" i="38" s="1"/>
  <c r="U46" i="38" s="1"/>
  <c r="V46" i="38" s="1"/>
  <c r="W46" i="38" s="1"/>
  <c r="X46" i="38" s="1"/>
  <c r="Y46" i="38" s="1"/>
  <c r="Z46" i="38" s="1"/>
  <c r="AA46" i="38" s="1"/>
  <c r="AB46" i="38" s="1"/>
  <c r="AC46" i="38" s="1"/>
  <c r="AD46" i="38" s="1"/>
  <c r="AE46" i="38" s="1"/>
  <c r="AF46" i="38" s="1"/>
  <c r="AG46" i="38" s="1"/>
  <c r="AH46" i="38" s="1"/>
  <c r="AI46" i="38" s="1"/>
  <c r="AJ46" i="38" s="1"/>
  <c r="AK46" i="38" s="1"/>
  <c r="AL46" i="38" s="1"/>
  <c r="AM46" i="38" s="1"/>
  <c r="AN46" i="38" s="1"/>
  <c r="G39" i="38"/>
  <c r="G40" i="38" s="1"/>
  <c r="H39" i="38" l="1"/>
  <c r="H40" i="38" s="1"/>
  <c r="G41" i="38"/>
  <c r="H41" i="38"/>
  <c r="I39" i="38"/>
  <c r="H42" i="38" l="1"/>
  <c r="I40" i="38"/>
  <c r="I41" i="38"/>
  <c r="G42" i="38"/>
  <c r="J39" i="38"/>
  <c r="F134" i="13" l="1"/>
  <c r="H134" i="13"/>
  <c r="J40" i="38"/>
  <c r="J41" i="38"/>
  <c r="G134" i="13"/>
  <c r="I42" i="38"/>
  <c r="K39" i="38"/>
  <c r="I134" i="13" l="1"/>
  <c r="K40" i="38"/>
  <c r="K41" i="38"/>
  <c r="J42" i="38"/>
  <c r="L39" i="38"/>
  <c r="L41" i="38" l="1"/>
  <c r="L40" i="38"/>
  <c r="J134" i="13"/>
  <c r="M39" i="38"/>
  <c r="K42" i="38"/>
  <c r="K134" i="13" l="1"/>
  <c r="M41" i="38"/>
  <c r="M40" i="38"/>
  <c r="L42" i="38"/>
  <c r="N39" i="38"/>
  <c r="N40" i="38" l="1"/>
  <c r="N41" i="38"/>
  <c r="L134" i="13"/>
  <c r="O39" i="38"/>
  <c r="M42" i="38"/>
  <c r="M134" i="13" l="1"/>
  <c r="O40" i="38"/>
  <c r="O41" i="38"/>
  <c r="N42" i="38"/>
  <c r="P39" i="38"/>
  <c r="N134" i="13" l="1"/>
  <c r="P40" i="38"/>
  <c r="P41" i="38"/>
  <c r="O42" i="38"/>
  <c r="Q39" i="38"/>
  <c r="O134" i="13" l="1"/>
  <c r="Q40" i="38"/>
  <c r="Q41" i="38"/>
  <c r="P42" i="38"/>
  <c r="R39" i="38"/>
  <c r="P134" i="13" l="1"/>
  <c r="R40" i="38"/>
  <c r="R41" i="38"/>
  <c r="S39" i="38"/>
  <c r="Q42" i="38"/>
  <c r="Q134" i="13" l="1"/>
  <c r="S40" i="38"/>
  <c r="S41" i="38"/>
  <c r="T39" i="38"/>
  <c r="R42" i="38"/>
  <c r="R134" i="13" l="1"/>
  <c r="T41" i="38"/>
  <c r="T40" i="38"/>
  <c r="U39" i="38"/>
  <c r="S42" i="38"/>
  <c r="S134" i="13" l="1"/>
  <c r="U41" i="38"/>
  <c r="U40" i="38"/>
  <c r="V39" i="38"/>
  <c r="T42" i="38"/>
  <c r="T134" i="13" l="1"/>
  <c r="V40" i="38"/>
  <c r="V41" i="38"/>
  <c r="W39" i="38"/>
  <c r="U42" i="38"/>
  <c r="U134" i="13" l="1"/>
  <c r="W40" i="38"/>
  <c r="W41" i="38"/>
  <c r="X39" i="38"/>
  <c r="V42" i="38"/>
  <c r="V134" i="13" l="1"/>
  <c r="X40" i="38"/>
  <c r="X41" i="38"/>
  <c r="W42" i="38"/>
  <c r="Y39" i="38"/>
  <c r="Y40" i="38" l="1"/>
  <c r="Y41" i="38"/>
  <c r="W134" i="13"/>
  <c r="Z39" i="38"/>
  <c r="X42" i="38"/>
  <c r="X134" i="13" l="1"/>
  <c r="Y42" i="38"/>
  <c r="Z40" i="38"/>
  <c r="Z41" i="38"/>
  <c r="AA39" i="38"/>
  <c r="Y134" i="13" l="1"/>
  <c r="AA40" i="38"/>
  <c r="AA41" i="38"/>
  <c r="AB39" i="38"/>
  <c r="Z42" i="38"/>
  <c r="Z134" i="13" l="1"/>
  <c r="AB40" i="38"/>
  <c r="AB41" i="38"/>
  <c r="AA42" i="38"/>
  <c r="AC39" i="38"/>
  <c r="AC41" i="38" l="1"/>
  <c r="AC40" i="38"/>
  <c r="AA134" i="13"/>
  <c r="AB42" i="38"/>
  <c r="AD39" i="38"/>
  <c r="G38" i="28"/>
  <c r="H38" i="28" l="1"/>
  <c r="AD40" i="38"/>
  <c r="AD41" i="38"/>
  <c r="AB134" i="13"/>
  <c r="AC42" i="38"/>
  <c r="AE39" i="38"/>
  <c r="G54" i="39"/>
  <c r="H54" i="39" s="1"/>
  <c r="I54" i="39" s="1"/>
  <c r="J54" i="39" s="1"/>
  <c r="K54" i="39" s="1"/>
  <c r="L54" i="39" s="1"/>
  <c r="M54" i="39" s="1"/>
  <c r="N54" i="39" s="1"/>
  <c r="O54" i="39" s="1"/>
  <c r="P54" i="39" s="1"/>
  <c r="Q54" i="39" s="1"/>
  <c r="R54" i="39" s="1"/>
  <c r="S54" i="39" s="1"/>
  <c r="T54" i="39" s="1"/>
  <c r="U54" i="39" s="1"/>
  <c r="V54" i="39" s="1"/>
  <c r="W54" i="39" s="1"/>
  <c r="X54" i="39" s="1"/>
  <c r="Y54" i="39" s="1"/>
  <c r="Z54" i="39" s="1"/>
  <c r="AA54" i="39" s="1"/>
  <c r="AB54" i="39" s="1"/>
  <c r="AC54" i="39" s="1"/>
  <c r="AD54" i="39" s="1"/>
  <c r="AE54" i="39" s="1"/>
  <c r="AF54" i="39" s="1"/>
  <c r="AG54" i="39" s="1"/>
  <c r="AH54" i="39" s="1"/>
  <c r="AI54" i="39" s="1"/>
  <c r="AJ54" i="39" s="1"/>
  <c r="AK54" i="39" s="1"/>
  <c r="AL54" i="39" s="1"/>
  <c r="AM54" i="39" s="1"/>
  <c r="AN54" i="39" s="1"/>
  <c r="C48" i="39"/>
  <c r="G15" i="39"/>
  <c r="G16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1" i="39"/>
  <c r="G32" i="39"/>
  <c r="G14" i="39"/>
  <c r="G8" i="39"/>
  <c r="G11" i="39"/>
  <c r="G10" i="39"/>
  <c r="F30" i="40"/>
  <c r="G30" i="40" s="1"/>
  <c r="H30" i="40" s="1"/>
  <c r="I30" i="40" s="1"/>
  <c r="J30" i="40" s="1"/>
  <c r="K30" i="40" s="1"/>
  <c r="L30" i="40" s="1"/>
  <c r="M30" i="40" s="1"/>
  <c r="N30" i="40" s="1"/>
  <c r="O30" i="40" s="1"/>
  <c r="P30" i="40" s="1"/>
  <c r="Q30" i="40" s="1"/>
  <c r="R30" i="40" s="1"/>
  <c r="S30" i="40" s="1"/>
  <c r="T30" i="40" s="1"/>
  <c r="U30" i="40" s="1"/>
  <c r="V30" i="40" s="1"/>
  <c r="W30" i="40" s="1"/>
  <c r="X30" i="40" s="1"/>
  <c r="Y30" i="40" s="1"/>
  <c r="Z30" i="40" s="1"/>
  <c r="AA30" i="40" s="1"/>
  <c r="AB30" i="40" s="1"/>
  <c r="AC30" i="40" s="1"/>
  <c r="AD30" i="40" s="1"/>
  <c r="AE30" i="40" s="1"/>
  <c r="AF30" i="40" s="1"/>
  <c r="AG30" i="40" s="1"/>
  <c r="AH30" i="40" s="1"/>
  <c r="AI30" i="40" s="1"/>
  <c r="AJ30" i="40" s="1"/>
  <c r="AK30" i="40" s="1"/>
  <c r="AL30" i="40" s="1"/>
  <c r="AM30" i="40" s="1"/>
  <c r="G70" i="23"/>
  <c r="F46" i="39" l="1"/>
  <c r="I38" i="28"/>
  <c r="G33" i="39"/>
  <c r="F48" i="39" s="1"/>
  <c r="AE40" i="38"/>
  <c r="AE41" i="38"/>
  <c r="AC134" i="13"/>
  <c r="AF39" i="38"/>
  <c r="AD42" i="38"/>
  <c r="G12" i="39"/>
  <c r="F47" i="39" s="1"/>
  <c r="H70" i="23"/>
  <c r="G35" i="39" l="1"/>
  <c r="F50" i="39"/>
  <c r="AD134" i="13"/>
  <c r="J38" i="28"/>
  <c r="AF40" i="38"/>
  <c r="AF41" i="38"/>
  <c r="AE42" i="38"/>
  <c r="AG39" i="38"/>
  <c r="I70" i="23"/>
  <c r="K38" i="28" l="1"/>
  <c r="AE134" i="13"/>
  <c r="AG40" i="38"/>
  <c r="AG41" i="38"/>
  <c r="AH39" i="38"/>
  <c r="AF42" i="38"/>
  <c r="J70" i="23"/>
  <c r="AF134" i="13" l="1"/>
  <c r="L38" i="28"/>
  <c r="AG42" i="38"/>
  <c r="AH40" i="38"/>
  <c r="AH41" i="38"/>
  <c r="AI39" i="38"/>
  <c r="K70" i="23"/>
  <c r="AG134" i="13" l="1"/>
  <c r="M38" i="28"/>
  <c r="AI40" i="38"/>
  <c r="AI41" i="38"/>
  <c r="AJ39" i="38"/>
  <c r="AH42" i="38"/>
  <c r="L70" i="23"/>
  <c r="AH134" i="13" l="1"/>
  <c r="N38" i="28"/>
  <c r="AJ41" i="38"/>
  <c r="AJ40" i="38"/>
  <c r="AI42" i="38"/>
  <c r="AK39" i="38"/>
  <c r="M70" i="23"/>
  <c r="O38" i="28" l="1"/>
  <c r="AI134" i="13"/>
  <c r="AK40" i="38"/>
  <c r="AK41" i="38"/>
  <c r="AJ42" i="38"/>
  <c r="AL39" i="38"/>
  <c r="N70" i="23"/>
  <c r="P38" i="28" l="1"/>
  <c r="AL40" i="38"/>
  <c r="AL41" i="38"/>
  <c r="AM39" i="38"/>
  <c r="AK42" i="38"/>
  <c r="O70" i="23"/>
  <c r="Q38" i="28" l="1"/>
  <c r="AM40" i="38"/>
  <c r="AM41" i="38"/>
  <c r="AN39" i="38"/>
  <c r="AL42" i="38"/>
  <c r="P70" i="23"/>
  <c r="R38" i="28" l="1"/>
  <c r="AN40" i="38"/>
  <c r="E40" i="38" s="1"/>
  <c r="AN41" i="38"/>
  <c r="E41" i="38" s="1"/>
  <c r="AM42" i="38"/>
  <c r="Q70" i="23"/>
  <c r="E42" i="38" l="1"/>
  <c r="S38" i="28"/>
  <c r="AN42" i="38"/>
  <c r="R70" i="23"/>
  <c r="E134" i="13" l="1"/>
  <c r="T38" i="28"/>
  <c r="S70" i="23"/>
  <c r="D64" i="4" l="1"/>
  <c r="E287" i="13"/>
  <c r="U38" i="28"/>
  <c r="T70" i="23"/>
  <c r="V38" i="28" l="1"/>
  <c r="U70" i="23"/>
  <c r="W38" i="28" l="1"/>
  <c r="V70" i="23"/>
  <c r="X38" i="28" l="1"/>
  <c r="W70" i="23"/>
  <c r="Y38" i="28" l="1"/>
  <c r="X70" i="23"/>
  <c r="Z38" i="28" l="1"/>
  <c r="Y70" i="23"/>
  <c r="AA38" i="28" l="1"/>
  <c r="Z70" i="23"/>
  <c r="AB38" i="28" l="1"/>
  <c r="AA70" i="23"/>
  <c r="AC38" i="28" l="1"/>
  <c r="AB70" i="23"/>
  <c r="AD38" i="28" l="1"/>
  <c r="AC70" i="23"/>
  <c r="AE38" i="28" l="1"/>
  <c r="AD70" i="23"/>
  <c r="AF38" i="28" l="1"/>
  <c r="AE70" i="23"/>
  <c r="AG38" i="28" l="1"/>
  <c r="AF70" i="23"/>
  <c r="AH38" i="28" l="1"/>
  <c r="AG70" i="23"/>
  <c r="AI38" i="28" l="1"/>
  <c r="AH70" i="23"/>
  <c r="AI70" i="23" l="1"/>
  <c r="AJ70" i="23" l="1"/>
  <c r="AJ80" i="23" l="1"/>
  <c r="AK70" i="23"/>
  <c r="AL70" i="23" l="1"/>
  <c r="AM70" i="23" l="1"/>
  <c r="AK80" i="23"/>
  <c r="AN70" i="23" l="1"/>
  <c r="AL80" i="23"/>
  <c r="AM80" i="23" l="1"/>
  <c r="AN80" i="23" l="1"/>
  <c r="E237" i="6" l="1"/>
  <c r="F237" i="6" s="1"/>
  <c r="G237" i="6" s="1"/>
  <c r="H237" i="6" s="1"/>
  <c r="I237" i="6" s="1"/>
  <c r="J237" i="6" s="1"/>
  <c r="K237" i="6" s="1"/>
  <c r="L237" i="6" s="1"/>
  <c r="M237" i="6" s="1"/>
  <c r="N237" i="6" s="1"/>
  <c r="O237" i="6" s="1"/>
  <c r="P237" i="6" s="1"/>
  <c r="Q237" i="6" s="1"/>
  <c r="R237" i="6" s="1"/>
  <c r="S237" i="6" s="1"/>
  <c r="T237" i="6" s="1"/>
  <c r="U237" i="6" s="1"/>
  <c r="V237" i="6" s="1"/>
  <c r="W237" i="6" s="1"/>
  <c r="X237" i="6" s="1"/>
  <c r="Y237" i="6" s="1"/>
  <c r="Z237" i="6" s="1"/>
  <c r="AA237" i="6" s="1"/>
  <c r="AB237" i="6" s="1"/>
  <c r="AC237" i="6" s="1"/>
  <c r="AD237" i="6" s="1"/>
  <c r="AE237" i="6" s="1"/>
  <c r="AF237" i="6" s="1"/>
  <c r="AG237" i="6" s="1"/>
  <c r="E218" i="6"/>
  <c r="F218" i="6" s="1"/>
  <c r="G218" i="6" s="1"/>
  <c r="H218" i="6" s="1"/>
  <c r="I218" i="6" s="1"/>
  <c r="J218" i="6" s="1"/>
  <c r="K218" i="6" s="1"/>
  <c r="L218" i="6" s="1"/>
  <c r="M218" i="6" s="1"/>
  <c r="N218" i="6" s="1"/>
  <c r="O218" i="6" s="1"/>
  <c r="P218" i="6" s="1"/>
  <c r="Q218" i="6" s="1"/>
  <c r="R218" i="6" s="1"/>
  <c r="S218" i="6" s="1"/>
  <c r="T218" i="6" s="1"/>
  <c r="U218" i="6" s="1"/>
  <c r="V218" i="6" s="1"/>
  <c r="W218" i="6" s="1"/>
  <c r="X218" i="6" s="1"/>
  <c r="Y218" i="6" s="1"/>
  <c r="Z218" i="6" s="1"/>
  <c r="AA218" i="6" s="1"/>
  <c r="AB218" i="6" s="1"/>
  <c r="AC218" i="6" s="1"/>
  <c r="AD218" i="6" s="1"/>
  <c r="AE218" i="6" s="1"/>
  <c r="AF218" i="6" s="1"/>
  <c r="AG218" i="6" s="1"/>
  <c r="G22" i="29" l="1"/>
  <c r="E32" i="26"/>
  <c r="G32" i="23"/>
  <c r="D20" i="17"/>
  <c r="F19" i="22"/>
  <c r="E19" i="22"/>
  <c r="H37" i="25"/>
  <c r="O55" i="25"/>
  <c r="G24" i="67" l="1"/>
  <c r="G26" i="67"/>
  <c r="Y37" i="67" s="1"/>
  <c r="F30" i="25"/>
  <c r="F29" i="25"/>
  <c r="AP158" i="1"/>
  <c r="AO158" i="1"/>
  <c r="AN158" i="1"/>
  <c r="AM158" i="1"/>
  <c r="AL158" i="1"/>
  <c r="D33" i="6"/>
  <c r="D32" i="6"/>
  <c r="D31" i="6"/>
  <c r="D30" i="6"/>
  <c r="D29" i="6"/>
  <c r="D28" i="6"/>
  <c r="D27" i="6"/>
  <c r="D26" i="6"/>
  <c r="H130" i="29"/>
  <c r="H117" i="29"/>
  <c r="G28" i="67" l="1"/>
  <c r="O37" i="67"/>
  <c r="E37" i="67" s="1"/>
  <c r="H64" i="29"/>
  <c r="K68" i="29"/>
  <c r="K69" i="29"/>
  <c r="K67" i="29"/>
  <c r="K70" i="29"/>
  <c r="K64" i="29"/>
  <c r="K63" i="29"/>
  <c r="K65" i="29"/>
  <c r="K66" i="29"/>
  <c r="H71" i="29"/>
  <c r="H66" i="29"/>
  <c r="H67" i="29"/>
  <c r="H68" i="29"/>
  <c r="H69" i="29"/>
  <c r="H70" i="29"/>
  <c r="D35" i="6"/>
  <c r="G124" i="29"/>
  <c r="G123" i="29"/>
  <c r="G122" i="29"/>
  <c r="G126" i="29"/>
  <c r="G121" i="29"/>
  <c r="G120" i="29"/>
  <c r="G125" i="29"/>
  <c r="I117" i="29"/>
  <c r="H123" i="29"/>
  <c r="H120" i="29"/>
  <c r="H125" i="29"/>
  <c r="H118" i="29"/>
  <c r="H122" i="29"/>
  <c r="H126" i="29"/>
  <c r="H124" i="29"/>
  <c r="H121" i="29"/>
  <c r="H119" i="29"/>
  <c r="E25" i="25"/>
  <c r="F72" i="29"/>
  <c r="I72" i="29"/>
  <c r="I130" i="29"/>
  <c r="K72" i="29" l="1"/>
  <c r="K73" i="29" s="1"/>
  <c r="G127" i="29"/>
  <c r="G172" i="29" s="1"/>
  <c r="H72" i="29"/>
  <c r="J66" i="29"/>
  <c r="J67" i="29"/>
  <c r="J68" i="29"/>
  <c r="J63" i="29"/>
  <c r="J69" i="29"/>
  <c r="J65" i="29"/>
  <c r="J70" i="29"/>
  <c r="J64" i="29"/>
  <c r="J71" i="29"/>
  <c r="G66" i="29"/>
  <c r="O121" i="29" s="1"/>
  <c r="P121" i="29" s="1"/>
  <c r="Q121" i="29" s="1"/>
  <c r="R121" i="29" s="1"/>
  <c r="S121" i="29" s="1"/>
  <c r="T121" i="29" s="1"/>
  <c r="U121" i="29" s="1"/>
  <c r="V121" i="29" s="1"/>
  <c r="W121" i="29" s="1"/>
  <c r="X121" i="29" s="1"/>
  <c r="Y121" i="29" s="1"/>
  <c r="Z121" i="29" s="1"/>
  <c r="AA121" i="29" s="1"/>
  <c r="AB121" i="29" s="1"/>
  <c r="AC121" i="29" s="1"/>
  <c r="AD121" i="29" s="1"/>
  <c r="AE121" i="29" s="1"/>
  <c r="AF121" i="29" s="1"/>
  <c r="AG121" i="29" s="1"/>
  <c r="AH121" i="29" s="1"/>
  <c r="AI121" i="29" s="1"/>
  <c r="AJ121" i="29" s="1"/>
  <c r="G67" i="29"/>
  <c r="O122" i="29" s="1"/>
  <c r="P122" i="29" s="1"/>
  <c r="Q122" i="29" s="1"/>
  <c r="R122" i="29" s="1"/>
  <c r="S122" i="29" s="1"/>
  <c r="T122" i="29" s="1"/>
  <c r="U122" i="29" s="1"/>
  <c r="V122" i="29" s="1"/>
  <c r="W122" i="29" s="1"/>
  <c r="X122" i="29" s="1"/>
  <c r="Y122" i="29" s="1"/>
  <c r="Z122" i="29" s="1"/>
  <c r="AA122" i="29" s="1"/>
  <c r="AB122" i="29" s="1"/>
  <c r="AC122" i="29" s="1"/>
  <c r="AD122" i="29" s="1"/>
  <c r="AE122" i="29" s="1"/>
  <c r="AF122" i="29" s="1"/>
  <c r="AG122" i="29" s="1"/>
  <c r="AH122" i="29" s="1"/>
  <c r="AI122" i="29" s="1"/>
  <c r="AJ122" i="29" s="1"/>
  <c r="G68" i="29"/>
  <c r="O123" i="29" s="1"/>
  <c r="P123" i="29" s="1"/>
  <c r="Q123" i="29" s="1"/>
  <c r="R123" i="29" s="1"/>
  <c r="S123" i="29" s="1"/>
  <c r="T123" i="29" s="1"/>
  <c r="U123" i="29" s="1"/>
  <c r="V123" i="29" s="1"/>
  <c r="W123" i="29" s="1"/>
  <c r="X123" i="29" s="1"/>
  <c r="Y123" i="29" s="1"/>
  <c r="Z123" i="29" s="1"/>
  <c r="AA123" i="29" s="1"/>
  <c r="AB123" i="29" s="1"/>
  <c r="AC123" i="29" s="1"/>
  <c r="AD123" i="29" s="1"/>
  <c r="AE123" i="29" s="1"/>
  <c r="AF123" i="29" s="1"/>
  <c r="AG123" i="29" s="1"/>
  <c r="AH123" i="29" s="1"/>
  <c r="AI123" i="29" s="1"/>
  <c r="AJ123" i="29" s="1"/>
  <c r="G63" i="29"/>
  <c r="O118" i="29" s="1"/>
  <c r="G69" i="29"/>
  <c r="O124" i="29" s="1"/>
  <c r="P124" i="29" s="1"/>
  <c r="Q124" i="29" s="1"/>
  <c r="R124" i="29" s="1"/>
  <c r="S124" i="29" s="1"/>
  <c r="T124" i="29" s="1"/>
  <c r="U124" i="29" s="1"/>
  <c r="V124" i="29" s="1"/>
  <c r="W124" i="29" s="1"/>
  <c r="X124" i="29" s="1"/>
  <c r="Y124" i="29" s="1"/>
  <c r="Z124" i="29" s="1"/>
  <c r="AA124" i="29" s="1"/>
  <c r="AB124" i="29" s="1"/>
  <c r="AC124" i="29" s="1"/>
  <c r="AD124" i="29" s="1"/>
  <c r="AE124" i="29" s="1"/>
  <c r="AF124" i="29" s="1"/>
  <c r="AG124" i="29" s="1"/>
  <c r="AH124" i="29" s="1"/>
  <c r="AI124" i="29" s="1"/>
  <c r="AJ124" i="29" s="1"/>
  <c r="G70" i="29"/>
  <c r="O125" i="29" s="1"/>
  <c r="P125" i="29" s="1"/>
  <c r="Q125" i="29" s="1"/>
  <c r="R125" i="29" s="1"/>
  <c r="S125" i="29" s="1"/>
  <c r="T125" i="29" s="1"/>
  <c r="U125" i="29" s="1"/>
  <c r="V125" i="29" s="1"/>
  <c r="W125" i="29" s="1"/>
  <c r="X125" i="29" s="1"/>
  <c r="Y125" i="29" s="1"/>
  <c r="Z125" i="29" s="1"/>
  <c r="AA125" i="29" s="1"/>
  <c r="AB125" i="29" s="1"/>
  <c r="AC125" i="29" s="1"/>
  <c r="AD125" i="29" s="1"/>
  <c r="AE125" i="29" s="1"/>
  <c r="AF125" i="29" s="1"/>
  <c r="AG125" i="29" s="1"/>
  <c r="AH125" i="29" s="1"/>
  <c r="AI125" i="29" s="1"/>
  <c r="AJ125" i="29" s="1"/>
  <c r="G71" i="29"/>
  <c r="O126" i="29" s="1"/>
  <c r="P126" i="29" s="1"/>
  <c r="Q126" i="29" s="1"/>
  <c r="R126" i="29" s="1"/>
  <c r="S126" i="29" s="1"/>
  <c r="T126" i="29" s="1"/>
  <c r="U126" i="29" s="1"/>
  <c r="V126" i="29" s="1"/>
  <c r="W126" i="29" s="1"/>
  <c r="X126" i="29" s="1"/>
  <c r="Y126" i="29" s="1"/>
  <c r="Z126" i="29" s="1"/>
  <c r="AA126" i="29" s="1"/>
  <c r="AB126" i="29" s="1"/>
  <c r="AC126" i="29" s="1"/>
  <c r="AD126" i="29" s="1"/>
  <c r="AE126" i="29" s="1"/>
  <c r="AF126" i="29" s="1"/>
  <c r="AG126" i="29" s="1"/>
  <c r="AH126" i="29" s="1"/>
  <c r="AI126" i="29" s="1"/>
  <c r="AJ126" i="29" s="1"/>
  <c r="G64" i="29"/>
  <c r="O119" i="29" s="1"/>
  <c r="P119" i="29" s="1"/>
  <c r="Q119" i="29" s="1"/>
  <c r="R119" i="29" s="1"/>
  <c r="S119" i="29" s="1"/>
  <c r="T119" i="29" s="1"/>
  <c r="U119" i="29" s="1"/>
  <c r="V119" i="29" s="1"/>
  <c r="W119" i="29" s="1"/>
  <c r="X119" i="29" s="1"/>
  <c r="Y119" i="29" s="1"/>
  <c r="Z119" i="29" s="1"/>
  <c r="AA119" i="29" s="1"/>
  <c r="AB119" i="29" s="1"/>
  <c r="AC119" i="29" s="1"/>
  <c r="AD119" i="29" s="1"/>
  <c r="AE119" i="29" s="1"/>
  <c r="AF119" i="29" s="1"/>
  <c r="AG119" i="29" s="1"/>
  <c r="AH119" i="29" s="1"/>
  <c r="AI119" i="29" s="1"/>
  <c r="AJ119" i="29" s="1"/>
  <c r="G65" i="29"/>
  <c r="O120" i="29" s="1"/>
  <c r="P120" i="29" s="1"/>
  <c r="Q120" i="29" s="1"/>
  <c r="R120" i="29" s="1"/>
  <c r="S120" i="29" s="1"/>
  <c r="T120" i="29" s="1"/>
  <c r="U120" i="29" s="1"/>
  <c r="V120" i="29" s="1"/>
  <c r="W120" i="29" s="1"/>
  <c r="X120" i="29" s="1"/>
  <c r="Y120" i="29" s="1"/>
  <c r="Z120" i="29" s="1"/>
  <c r="AA120" i="29" s="1"/>
  <c r="AB120" i="29" s="1"/>
  <c r="AC120" i="29" s="1"/>
  <c r="AD120" i="29" s="1"/>
  <c r="AE120" i="29" s="1"/>
  <c r="AF120" i="29" s="1"/>
  <c r="AG120" i="29" s="1"/>
  <c r="AH120" i="29" s="1"/>
  <c r="AI120" i="29" s="1"/>
  <c r="AJ120" i="29" s="1"/>
  <c r="J117" i="29"/>
  <c r="I125" i="29"/>
  <c r="I126" i="29"/>
  <c r="I124" i="29"/>
  <c r="I123" i="29"/>
  <c r="I120" i="29"/>
  <c r="I122" i="29"/>
  <c r="I119" i="29"/>
  <c r="I118" i="29"/>
  <c r="I121" i="29"/>
  <c r="E27" i="25"/>
  <c r="E30" i="25"/>
  <c r="E28" i="25"/>
  <c r="E29" i="25"/>
  <c r="E26" i="25"/>
  <c r="J130" i="29"/>
  <c r="G51" i="26"/>
  <c r="H51" i="26" s="1"/>
  <c r="I51" i="26" s="1"/>
  <c r="J51" i="26" s="1"/>
  <c r="K51" i="26" s="1"/>
  <c r="L51" i="26" s="1"/>
  <c r="M51" i="26" s="1"/>
  <c r="N51" i="26" s="1"/>
  <c r="O51" i="26" s="1"/>
  <c r="P51" i="26" s="1"/>
  <c r="Q51" i="26" s="1"/>
  <c r="R51" i="26" s="1"/>
  <c r="S51" i="26" s="1"/>
  <c r="T51" i="26" s="1"/>
  <c r="U51" i="26" s="1"/>
  <c r="V51" i="26" s="1"/>
  <c r="W51" i="26" s="1"/>
  <c r="X51" i="26" s="1"/>
  <c r="Y51" i="26" s="1"/>
  <c r="Z51" i="26" s="1"/>
  <c r="AA51" i="26" s="1"/>
  <c r="AB51" i="26" s="1"/>
  <c r="AC51" i="26" s="1"/>
  <c r="AD51" i="26" s="1"/>
  <c r="AE51" i="26" s="1"/>
  <c r="AF51" i="26" s="1"/>
  <c r="AG51" i="26" s="1"/>
  <c r="AH51" i="26" s="1"/>
  <c r="AI51" i="26" s="1"/>
  <c r="AJ51" i="26" s="1"/>
  <c r="AK51" i="26" s="1"/>
  <c r="AL51" i="26" s="1"/>
  <c r="AM51" i="26" s="1"/>
  <c r="AN51" i="26" s="1"/>
  <c r="G134" i="29" l="1"/>
  <c r="G133" i="29"/>
  <c r="H134" i="29"/>
  <c r="I134" i="29" s="1"/>
  <c r="J134" i="29" s="1"/>
  <c r="K134" i="29" s="1"/>
  <c r="L134" i="29" s="1"/>
  <c r="M134" i="29" s="1"/>
  <c r="N134" i="29" s="1"/>
  <c r="G135" i="29"/>
  <c r="H135" i="29" s="1"/>
  <c r="I135" i="29" s="1"/>
  <c r="J135" i="29" s="1"/>
  <c r="K135" i="29" s="1"/>
  <c r="L135" i="29" s="1"/>
  <c r="M135" i="29" s="1"/>
  <c r="N135" i="29" s="1"/>
  <c r="G136" i="29"/>
  <c r="H136" i="29" s="1"/>
  <c r="I136" i="29" s="1"/>
  <c r="J136" i="29" s="1"/>
  <c r="K136" i="29" s="1"/>
  <c r="L136" i="29" s="1"/>
  <c r="M136" i="29" s="1"/>
  <c r="N136" i="29" s="1"/>
  <c r="H133" i="29"/>
  <c r="I133" i="29" s="1"/>
  <c r="J133" i="29" s="1"/>
  <c r="K133" i="29" s="1"/>
  <c r="L133" i="29" s="1"/>
  <c r="M133" i="29" s="1"/>
  <c r="N133" i="29" s="1"/>
  <c r="G137" i="29"/>
  <c r="H137" i="29" s="1"/>
  <c r="I137" i="29" s="1"/>
  <c r="J137" i="29" s="1"/>
  <c r="K137" i="29" s="1"/>
  <c r="L137" i="29" s="1"/>
  <c r="M137" i="29" s="1"/>
  <c r="N137" i="29" s="1"/>
  <c r="G138" i="29"/>
  <c r="H138" i="29" s="1"/>
  <c r="I138" i="29" s="1"/>
  <c r="J138" i="29" s="1"/>
  <c r="K138" i="29" s="1"/>
  <c r="L138" i="29" s="1"/>
  <c r="M138" i="29" s="1"/>
  <c r="N138" i="29" s="1"/>
  <c r="G139" i="29"/>
  <c r="H139" i="29" s="1"/>
  <c r="I139" i="29" s="1"/>
  <c r="J139" i="29" s="1"/>
  <c r="K139" i="29" s="1"/>
  <c r="L139" i="29" s="1"/>
  <c r="M139" i="29" s="1"/>
  <c r="N139" i="29" s="1"/>
  <c r="G132" i="29"/>
  <c r="H132" i="29" s="1"/>
  <c r="I132" i="29" s="1"/>
  <c r="J132" i="29" s="1"/>
  <c r="K132" i="29" s="1"/>
  <c r="L132" i="29" s="1"/>
  <c r="M132" i="29" s="1"/>
  <c r="N132" i="29" s="1"/>
  <c r="G131" i="29"/>
  <c r="H131" i="29" s="1"/>
  <c r="I131" i="29" s="1"/>
  <c r="J131" i="29" s="1"/>
  <c r="K131" i="29" s="1"/>
  <c r="L131" i="29" s="1"/>
  <c r="M131" i="29" s="1"/>
  <c r="N131" i="29" s="1"/>
  <c r="J72" i="29"/>
  <c r="G72" i="29"/>
  <c r="H73" i="29"/>
  <c r="K117" i="29"/>
  <c r="J125" i="29"/>
  <c r="J122" i="29"/>
  <c r="J119" i="29"/>
  <c r="J126" i="29"/>
  <c r="J121" i="29"/>
  <c r="J124" i="29"/>
  <c r="J123" i="29"/>
  <c r="J120" i="29"/>
  <c r="J118" i="29"/>
  <c r="K130" i="29"/>
  <c r="O136" i="29" l="1"/>
  <c r="P136" i="29" s="1"/>
  <c r="Q136" i="29" s="1"/>
  <c r="R136" i="29" s="1"/>
  <c r="S136" i="29" s="1"/>
  <c r="T136" i="29" s="1"/>
  <c r="U136" i="29" s="1"/>
  <c r="V136" i="29" s="1"/>
  <c r="W136" i="29" s="1"/>
  <c r="X136" i="29" s="1"/>
  <c r="Y136" i="29" s="1"/>
  <c r="Z136" i="29" s="1"/>
  <c r="AA136" i="29" s="1"/>
  <c r="AB136" i="29" s="1"/>
  <c r="AC136" i="29" s="1"/>
  <c r="AD136" i="29" s="1"/>
  <c r="AE136" i="29" s="1"/>
  <c r="AF136" i="29" s="1"/>
  <c r="AG136" i="29" s="1"/>
  <c r="AH136" i="29" s="1"/>
  <c r="AI136" i="29" s="1"/>
  <c r="AJ136" i="29" s="1"/>
  <c r="O137" i="29"/>
  <c r="P137" i="29" s="1"/>
  <c r="Q137" i="29" s="1"/>
  <c r="R137" i="29" s="1"/>
  <c r="S137" i="29" s="1"/>
  <c r="T137" i="29" s="1"/>
  <c r="U137" i="29" s="1"/>
  <c r="V137" i="29" s="1"/>
  <c r="W137" i="29" s="1"/>
  <c r="X137" i="29" s="1"/>
  <c r="Y137" i="29" s="1"/>
  <c r="Z137" i="29" s="1"/>
  <c r="AA137" i="29" s="1"/>
  <c r="AB137" i="29" s="1"/>
  <c r="AC137" i="29" s="1"/>
  <c r="AD137" i="29" s="1"/>
  <c r="AE137" i="29" s="1"/>
  <c r="AF137" i="29" s="1"/>
  <c r="AG137" i="29" s="1"/>
  <c r="AH137" i="29" s="1"/>
  <c r="AI137" i="29" s="1"/>
  <c r="AJ137" i="29" s="1"/>
  <c r="O138" i="29"/>
  <c r="P138" i="29" s="1"/>
  <c r="Q138" i="29" s="1"/>
  <c r="R138" i="29" s="1"/>
  <c r="S138" i="29" s="1"/>
  <c r="T138" i="29" s="1"/>
  <c r="U138" i="29" s="1"/>
  <c r="V138" i="29" s="1"/>
  <c r="W138" i="29" s="1"/>
  <c r="X138" i="29" s="1"/>
  <c r="Y138" i="29" s="1"/>
  <c r="Z138" i="29" s="1"/>
  <c r="AA138" i="29" s="1"/>
  <c r="AB138" i="29" s="1"/>
  <c r="AC138" i="29" s="1"/>
  <c r="AD138" i="29" s="1"/>
  <c r="AE138" i="29" s="1"/>
  <c r="AF138" i="29" s="1"/>
  <c r="AG138" i="29" s="1"/>
  <c r="AH138" i="29" s="1"/>
  <c r="AI138" i="29" s="1"/>
  <c r="AJ138" i="29" s="1"/>
  <c r="O135" i="29"/>
  <c r="P135" i="29" s="1"/>
  <c r="Q135" i="29" s="1"/>
  <c r="R135" i="29" s="1"/>
  <c r="S135" i="29" s="1"/>
  <c r="T135" i="29" s="1"/>
  <c r="U135" i="29" s="1"/>
  <c r="V135" i="29" s="1"/>
  <c r="W135" i="29" s="1"/>
  <c r="X135" i="29" s="1"/>
  <c r="Y135" i="29" s="1"/>
  <c r="Z135" i="29" s="1"/>
  <c r="AA135" i="29" s="1"/>
  <c r="AB135" i="29" s="1"/>
  <c r="AC135" i="29" s="1"/>
  <c r="AD135" i="29" s="1"/>
  <c r="AE135" i="29" s="1"/>
  <c r="AF135" i="29" s="1"/>
  <c r="AG135" i="29" s="1"/>
  <c r="AH135" i="29" s="1"/>
  <c r="AI135" i="29" s="1"/>
  <c r="AJ135" i="29" s="1"/>
  <c r="O139" i="29"/>
  <c r="P139" i="29" s="1"/>
  <c r="Q139" i="29" s="1"/>
  <c r="R139" i="29" s="1"/>
  <c r="S139" i="29" s="1"/>
  <c r="T139" i="29" s="1"/>
  <c r="U139" i="29" s="1"/>
  <c r="V139" i="29" s="1"/>
  <c r="W139" i="29" s="1"/>
  <c r="X139" i="29" s="1"/>
  <c r="Y139" i="29" s="1"/>
  <c r="Z139" i="29" s="1"/>
  <c r="AA139" i="29" s="1"/>
  <c r="AB139" i="29" s="1"/>
  <c r="AC139" i="29" s="1"/>
  <c r="AD139" i="29" s="1"/>
  <c r="AE139" i="29" s="1"/>
  <c r="AF139" i="29" s="1"/>
  <c r="AG139" i="29" s="1"/>
  <c r="AH139" i="29" s="1"/>
  <c r="AI139" i="29" s="1"/>
  <c r="AJ139" i="29" s="1"/>
  <c r="O132" i="29"/>
  <c r="P132" i="29" s="1"/>
  <c r="Q132" i="29" s="1"/>
  <c r="R132" i="29" s="1"/>
  <c r="S132" i="29" s="1"/>
  <c r="T132" i="29" s="1"/>
  <c r="U132" i="29" s="1"/>
  <c r="V132" i="29" s="1"/>
  <c r="W132" i="29" s="1"/>
  <c r="X132" i="29" s="1"/>
  <c r="Y132" i="29" s="1"/>
  <c r="Z132" i="29" s="1"/>
  <c r="AA132" i="29" s="1"/>
  <c r="AB132" i="29" s="1"/>
  <c r="AC132" i="29" s="1"/>
  <c r="AD132" i="29" s="1"/>
  <c r="AE132" i="29" s="1"/>
  <c r="AF132" i="29" s="1"/>
  <c r="AG132" i="29" s="1"/>
  <c r="AH132" i="29" s="1"/>
  <c r="AI132" i="29" s="1"/>
  <c r="AJ132" i="29" s="1"/>
  <c r="O131" i="29"/>
  <c r="P131" i="29" s="1"/>
  <c r="Q131" i="29" s="1"/>
  <c r="R131" i="29" s="1"/>
  <c r="S131" i="29" s="1"/>
  <c r="T131" i="29" s="1"/>
  <c r="U131" i="29" s="1"/>
  <c r="V131" i="29" s="1"/>
  <c r="W131" i="29" s="1"/>
  <c r="X131" i="29" s="1"/>
  <c r="Y131" i="29" s="1"/>
  <c r="Z131" i="29" s="1"/>
  <c r="AA131" i="29" s="1"/>
  <c r="AB131" i="29" s="1"/>
  <c r="AC131" i="29" s="1"/>
  <c r="AD131" i="29" s="1"/>
  <c r="AE131" i="29" s="1"/>
  <c r="AF131" i="29" s="1"/>
  <c r="AG131" i="29" s="1"/>
  <c r="AH131" i="29" s="1"/>
  <c r="AI131" i="29" s="1"/>
  <c r="AJ131" i="29" s="1"/>
  <c r="O133" i="29"/>
  <c r="P133" i="29" s="1"/>
  <c r="Q133" i="29" s="1"/>
  <c r="R133" i="29" s="1"/>
  <c r="S133" i="29" s="1"/>
  <c r="T133" i="29" s="1"/>
  <c r="U133" i="29" s="1"/>
  <c r="V133" i="29" s="1"/>
  <c r="W133" i="29" s="1"/>
  <c r="X133" i="29" s="1"/>
  <c r="Y133" i="29" s="1"/>
  <c r="Z133" i="29" s="1"/>
  <c r="AA133" i="29" s="1"/>
  <c r="AB133" i="29" s="1"/>
  <c r="AC133" i="29" s="1"/>
  <c r="AD133" i="29" s="1"/>
  <c r="AE133" i="29" s="1"/>
  <c r="AF133" i="29" s="1"/>
  <c r="AG133" i="29" s="1"/>
  <c r="AH133" i="29" s="1"/>
  <c r="AI133" i="29" s="1"/>
  <c r="AJ133" i="29" s="1"/>
  <c r="O134" i="29"/>
  <c r="P134" i="29" s="1"/>
  <c r="Q134" i="29" s="1"/>
  <c r="R134" i="29" s="1"/>
  <c r="S134" i="29" s="1"/>
  <c r="T134" i="29" s="1"/>
  <c r="U134" i="29" s="1"/>
  <c r="V134" i="29" s="1"/>
  <c r="W134" i="29" s="1"/>
  <c r="X134" i="29" s="1"/>
  <c r="Y134" i="29" s="1"/>
  <c r="Z134" i="29" s="1"/>
  <c r="AA134" i="29" s="1"/>
  <c r="AB134" i="29" s="1"/>
  <c r="AC134" i="29" s="1"/>
  <c r="AD134" i="29" s="1"/>
  <c r="AE134" i="29" s="1"/>
  <c r="AF134" i="29" s="1"/>
  <c r="AG134" i="29" s="1"/>
  <c r="AH134" i="29" s="1"/>
  <c r="AI134" i="29" s="1"/>
  <c r="AJ134" i="29" s="1"/>
  <c r="P118" i="29"/>
  <c r="Q118" i="29" s="1"/>
  <c r="R118" i="29" s="1"/>
  <c r="S118" i="29" s="1"/>
  <c r="T118" i="29" s="1"/>
  <c r="U118" i="29" s="1"/>
  <c r="V118" i="29" s="1"/>
  <c r="W118" i="29" s="1"/>
  <c r="X118" i="29" s="1"/>
  <c r="Y118" i="29" s="1"/>
  <c r="Z118" i="29" s="1"/>
  <c r="AA118" i="29" s="1"/>
  <c r="AB118" i="29" s="1"/>
  <c r="AC118" i="29" s="1"/>
  <c r="AD118" i="29" s="1"/>
  <c r="AE118" i="29" s="1"/>
  <c r="AF118" i="29" s="1"/>
  <c r="AG118" i="29" s="1"/>
  <c r="AH118" i="29" s="1"/>
  <c r="AI118" i="29" s="1"/>
  <c r="AJ118" i="29" s="1"/>
  <c r="L117" i="29"/>
  <c r="K125" i="29"/>
  <c r="K126" i="29"/>
  <c r="K122" i="29"/>
  <c r="K119" i="29"/>
  <c r="K118" i="29"/>
  <c r="K121" i="29"/>
  <c r="K124" i="29"/>
  <c r="K123" i="29"/>
  <c r="K120" i="29"/>
  <c r="G140" i="29"/>
  <c r="G173" i="29" s="1"/>
  <c r="I127" i="29"/>
  <c r="H127" i="29"/>
  <c r="H140" i="29"/>
  <c r="I140" i="29"/>
  <c r="J127" i="29"/>
  <c r="L130" i="29"/>
  <c r="J140" i="29"/>
  <c r="M117" i="29" l="1"/>
  <c r="L125" i="29"/>
  <c r="L126" i="29"/>
  <c r="L124" i="29"/>
  <c r="L118" i="29"/>
  <c r="L123" i="29"/>
  <c r="L120" i="29"/>
  <c r="L122" i="29"/>
  <c r="L121" i="29"/>
  <c r="L119" i="29"/>
  <c r="K127" i="29"/>
  <c r="G25" i="32"/>
  <c r="G24" i="32"/>
  <c r="K140" i="29"/>
  <c r="M130" i="29"/>
  <c r="N117" i="29" l="1"/>
  <c r="M125" i="29"/>
  <c r="M126" i="29"/>
  <c r="M124" i="29"/>
  <c r="M118" i="29"/>
  <c r="M121" i="29"/>
  <c r="M123" i="29"/>
  <c r="M120" i="29"/>
  <c r="M122" i="29"/>
  <c r="M119" i="29"/>
  <c r="L127" i="29"/>
  <c r="N130" i="29"/>
  <c r="L140" i="29"/>
  <c r="G33" i="27"/>
  <c r="H33" i="27" s="1"/>
  <c r="I33" i="27" s="1"/>
  <c r="J33" i="27" s="1"/>
  <c r="K33" i="27" s="1"/>
  <c r="L33" i="27" s="1"/>
  <c r="M33" i="27" s="1"/>
  <c r="N33" i="27" s="1"/>
  <c r="O33" i="27" s="1"/>
  <c r="P33" i="27" s="1"/>
  <c r="Q33" i="27" s="1"/>
  <c r="R33" i="27" s="1"/>
  <c r="S33" i="27" s="1"/>
  <c r="T33" i="27" s="1"/>
  <c r="U33" i="27" s="1"/>
  <c r="V33" i="27" s="1"/>
  <c r="W33" i="27" s="1"/>
  <c r="X33" i="27" s="1"/>
  <c r="Y33" i="27" s="1"/>
  <c r="Z33" i="27" s="1"/>
  <c r="AA33" i="27" s="1"/>
  <c r="AB33" i="27" s="1"/>
  <c r="AC33" i="27" s="1"/>
  <c r="AD33" i="27" s="1"/>
  <c r="AE33" i="27" s="1"/>
  <c r="AF33" i="27" s="1"/>
  <c r="AG33" i="27" s="1"/>
  <c r="AH33" i="27" s="1"/>
  <c r="AI33" i="27" s="1"/>
  <c r="AJ33" i="27" s="1"/>
  <c r="AK33" i="27" s="1"/>
  <c r="AL33" i="27" s="1"/>
  <c r="AM33" i="27" s="1"/>
  <c r="AN33" i="27" s="1"/>
  <c r="G64" i="28"/>
  <c r="H64" i="28" s="1"/>
  <c r="I64" i="28" s="1"/>
  <c r="J64" i="28" s="1"/>
  <c r="K64" i="28" s="1"/>
  <c r="L64" i="28" s="1"/>
  <c r="M64" i="28" s="1"/>
  <c r="N64" i="28" s="1"/>
  <c r="O64" i="28" s="1"/>
  <c r="P64" i="28" s="1"/>
  <c r="Q64" i="28" s="1"/>
  <c r="R64" i="28" s="1"/>
  <c r="S64" i="28" s="1"/>
  <c r="T64" i="28" s="1"/>
  <c r="U64" i="28" s="1"/>
  <c r="V64" i="28" s="1"/>
  <c r="W64" i="28" s="1"/>
  <c r="X64" i="28" s="1"/>
  <c r="Y64" i="28" s="1"/>
  <c r="Z64" i="28" s="1"/>
  <c r="AA64" i="28" s="1"/>
  <c r="AB64" i="28" s="1"/>
  <c r="AC64" i="28" s="1"/>
  <c r="AD64" i="28" s="1"/>
  <c r="AE64" i="28" s="1"/>
  <c r="AF64" i="28" s="1"/>
  <c r="AG64" i="28" s="1"/>
  <c r="AH64" i="28" s="1"/>
  <c r="AI64" i="28" s="1"/>
  <c r="G50" i="28"/>
  <c r="D10" i="28"/>
  <c r="M127" i="29" l="1"/>
  <c r="O117" i="29"/>
  <c r="N126" i="29"/>
  <c r="N124" i="29"/>
  <c r="N121" i="29"/>
  <c r="N122" i="29"/>
  <c r="N119" i="29"/>
  <c r="N125" i="29"/>
  <c r="N123" i="29"/>
  <c r="N120" i="29"/>
  <c r="N118" i="29"/>
  <c r="F118" i="29" s="1"/>
  <c r="O130" i="29"/>
  <c r="M140" i="29"/>
  <c r="H50" i="28"/>
  <c r="E10" i="28"/>
  <c r="D93" i="17"/>
  <c r="E11" i="26"/>
  <c r="AD45" i="28" l="1"/>
  <c r="V45" i="28"/>
  <c r="N45" i="28"/>
  <c r="AC41" i="28"/>
  <c r="AC66" i="28" s="1"/>
  <c r="AC106" i="13" s="1"/>
  <c r="U41" i="28"/>
  <c r="U66" i="28" s="1"/>
  <c r="U106" i="13" s="1"/>
  <c r="M41" i="28"/>
  <c r="M66" i="28" s="1"/>
  <c r="M106" i="13" s="1"/>
  <c r="AC45" i="28"/>
  <c r="U45" i="28"/>
  <c r="M45" i="28"/>
  <c r="M71" i="28" s="1"/>
  <c r="M111" i="13" s="1"/>
  <c r="AB41" i="28"/>
  <c r="AB66" i="28" s="1"/>
  <c r="AB106" i="13" s="1"/>
  <c r="T41" i="28"/>
  <c r="T66" i="28" s="1"/>
  <c r="T106" i="13" s="1"/>
  <c r="L41" i="28"/>
  <c r="L66" i="28" s="1"/>
  <c r="L106" i="13" s="1"/>
  <c r="T45" i="28"/>
  <c r="T71" i="28" s="1"/>
  <c r="T111" i="13" s="1"/>
  <c r="L45" i="28"/>
  <c r="L71" i="28" s="1"/>
  <c r="L111" i="13" s="1"/>
  <c r="AI41" i="28"/>
  <c r="AI66" i="28" s="1"/>
  <c r="AI106" i="13" s="1"/>
  <c r="S41" i="28"/>
  <c r="S66" i="28" s="1"/>
  <c r="S106" i="13" s="1"/>
  <c r="H45" i="28"/>
  <c r="AB45" i="28"/>
  <c r="AB71" i="28" s="1"/>
  <c r="AB111" i="13" s="1"/>
  <c r="AA41" i="28"/>
  <c r="AA66" i="28" s="1"/>
  <c r="AA106" i="13" s="1"/>
  <c r="K41" i="28"/>
  <c r="K66" i="28" s="1"/>
  <c r="K106" i="13" s="1"/>
  <c r="AI45" i="28"/>
  <c r="AI71" i="28" s="1"/>
  <c r="AI111" i="13" s="1"/>
  <c r="AA45" i="28"/>
  <c r="AA71" i="28" s="1"/>
  <c r="AA111" i="13" s="1"/>
  <c r="S45" i="28"/>
  <c r="S71" i="28" s="1"/>
  <c r="S111" i="13" s="1"/>
  <c r="K45" i="28"/>
  <c r="K71" i="28" s="1"/>
  <c r="K111" i="13" s="1"/>
  <c r="AH41" i="28"/>
  <c r="AH66" i="28" s="1"/>
  <c r="AH106" i="13" s="1"/>
  <c r="Z41" i="28"/>
  <c r="Z66" i="28" s="1"/>
  <c r="Z106" i="13" s="1"/>
  <c r="R41" i="28"/>
  <c r="R66" i="28" s="1"/>
  <c r="R106" i="13" s="1"/>
  <c r="J41" i="28"/>
  <c r="J66" i="28" s="1"/>
  <c r="J106" i="13" s="1"/>
  <c r="V41" i="28"/>
  <c r="V66" i="28" s="1"/>
  <c r="V106" i="13" s="1"/>
  <c r="AH45" i="28"/>
  <c r="AH71" i="28" s="1"/>
  <c r="AH111" i="13" s="1"/>
  <c r="Z45" i="28"/>
  <c r="Z71" i="28" s="1"/>
  <c r="Z111" i="13" s="1"/>
  <c r="R45" i="28"/>
  <c r="R71" i="28" s="1"/>
  <c r="R111" i="13" s="1"/>
  <c r="J45" i="28"/>
  <c r="AG41" i="28"/>
  <c r="AG66" i="28" s="1"/>
  <c r="AG106" i="13" s="1"/>
  <c r="Y41" i="28"/>
  <c r="Y66" i="28" s="1"/>
  <c r="Y106" i="13" s="1"/>
  <c r="Q41" i="28"/>
  <c r="Q66" i="28" s="1"/>
  <c r="Q106" i="13" s="1"/>
  <c r="I41" i="28"/>
  <c r="I66" i="28" s="1"/>
  <c r="I106" i="13" s="1"/>
  <c r="AE45" i="28"/>
  <c r="AE71" i="28" s="1"/>
  <c r="AE111" i="13" s="1"/>
  <c r="O45" i="28"/>
  <c r="O71" i="28" s="1"/>
  <c r="O111" i="13" s="1"/>
  <c r="N41" i="28"/>
  <c r="N66" i="28" s="1"/>
  <c r="N106" i="13" s="1"/>
  <c r="AG45" i="28"/>
  <c r="AG71" i="28" s="1"/>
  <c r="AG111" i="13" s="1"/>
  <c r="Y45" i="28"/>
  <c r="Y71" i="28" s="1"/>
  <c r="Y111" i="13" s="1"/>
  <c r="Q45" i="28"/>
  <c r="Q71" i="28" s="1"/>
  <c r="Q111" i="13" s="1"/>
  <c r="I45" i="28"/>
  <c r="AF41" i="28"/>
  <c r="AF66" i="28" s="1"/>
  <c r="AF106" i="13" s="1"/>
  <c r="X41" i="28"/>
  <c r="X66" i="28" s="1"/>
  <c r="X106" i="13" s="1"/>
  <c r="P41" i="28"/>
  <c r="P66" i="28" s="1"/>
  <c r="P106" i="13" s="1"/>
  <c r="AE41" i="28"/>
  <c r="AE66" i="28" s="1"/>
  <c r="AE106" i="13" s="1"/>
  <c r="W41" i="28"/>
  <c r="W66" i="28" s="1"/>
  <c r="W106" i="13" s="1"/>
  <c r="O41" i="28"/>
  <c r="O66" i="28" s="1"/>
  <c r="O106" i="13" s="1"/>
  <c r="W45" i="28"/>
  <c r="W71" i="28" s="1"/>
  <c r="W111" i="13" s="1"/>
  <c r="AD41" i="28"/>
  <c r="AD66" i="28" s="1"/>
  <c r="AD106" i="13" s="1"/>
  <c r="AF45" i="28"/>
  <c r="AF71" i="28" s="1"/>
  <c r="AF111" i="13" s="1"/>
  <c r="X45" i="28"/>
  <c r="X71" i="28" s="1"/>
  <c r="X111" i="13" s="1"/>
  <c r="P45" i="28"/>
  <c r="P71" i="28" s="1"/>
  <c r="P111" i="13" s="1"/>
  <c r="H41" i="28"/>
  <c r="H66" i="28" s="1"/>
  <c r="H106" i="13" s="1"/>
  <c r="AD71" i="28"/>
  <c r="AD111" i="13" s="1"/>
  <c r="V71" i="28"/>
  <c r="V111" i="13" s="1"/>
  <c r="N71" i="28"/>
  <c r="N111" i="13" s="1"/>
  <c r="AC71" i="28"/>
  <c r="AC111" i="13" s="1"/>
  <c r="U71" i="28"/>
  <c r="U111" i="13" s="1"/>
  <c r="F41" i="28"/>
  <c r="G41" i="28"/>
  <c r="G66" i="28" s="1"/>
  <c r="G106" i="13" s="1"/>
  <c r="F47" i="26"/>
  <c r="N127" i="29"/>
  <c r="P117" i="29"/>
  <c r="P130" i="29"/>
  <c r="N140" i="29"/>
  <c r="I50" i="28"/>
  <c r="F61" i="25"/>
  <c r="G61" i="25" s="1"/>
  <c r="H61" i="25" s="1"/>
  <c r="I61" i="25" s="1"/>
  <c r="J61" i="25" s="1"/>
  <c r="K61" i="25" s="1"/>
  <c r="L61" i="25" s="1"/>
  <c r="M61" i="25" s="1"/>
  <c r="N61" i="25" s="1"/>
  <c r="O61" i="25" s="1"/>
  <c r="P61" i="25" s="1"/>
  <c r="Q61" i="25" s="1"/>
  <c r="R61" i="25" s="1"/>
  <c r="S61" i="25" s="1"/>
  <c r="T61" i="25" s="1"/>
  <c r="U61" i="25" s="1"/>
  <c r="V61" i="25" s="1"/>
  <c r="W61" i="25" s="1"/>
  <c r="X61" i="25" s="1"/>
  <c r="Y61" i="25" s="1"/>
  <c r="Z61" i="25" s="1"/>
  <c r="AA61" i="25" s="1"/>
  <c r="AB61" i="25" s="1"/>
  <c r="AC61" i="25" s="1"/>
  <c r="AD61" i="25" s="1"/>
  <c r="AE61" i="25" s="1"/>
  <c r="AF61" i="25" s="1"/>
  <c r="AG61" i="25" s="1"/>
  <c r="AH61" i="25" s="1"/>
  <c r="AI61" i="25" s="1"/>
  <c r="AJ61" i="25" s="1"/>
  <c r="AK61" i="25" s="1"/>
  <c r="AL61" i="25" s="1"/>
  <c r="AM61" i="25" s="1"/>
  <c r="E24" i="25"/>
  <c r="G45" i="24"/>
  <c r="H45" i="24" s="1"/>
  <c r="I45" i="24" s="1"/>
  <c r="J45" i="24" s="1"/>
  <c r="K45" i="24" s="1"/>
  <c r="L45" i="24" s="1"/>
  <c r="M45" i="24" s="1"/>
  <c r="N45" i="24" s="1"/>
  <c r="O45" i="24" s="1"/>
  <c r="P45" i="24" s="1"/>
  <c r="Q45" i="24" s="1"/>
  <c r="R45" i="24" s="1"/>
  <c r="S45" i="24" s="1"/>
  <c r="T45" i="24" s="1"/>
  <c r="U45" i="24" s="1"/>
  <c r="V45" i="24" s="1"/>
  <c r="W45" i="24" s="1"/>
  <c r="X45" i="24" s="1"/>
  <c r="Y45" i="24" s="1"/>
  <c r="Z45" i="24" s="1"/>
  <c r="AA45" i="24" s="1"/>
  <c r="AB45" i="24" s="1"/>
  <c r="AC45" i="24" s="1"/>
  <c r="AD45" i="24" s="1"/>
  <c r="AE45" i="24" s="1"/>
  <c r="AF45" i="24" s="1"/>
  <c r="AG45" i="24" s="1"/>
  <c r="AH45" i="24" s="1"/>
  <c r="AI45" i="24" s="1"/>
  <c r="AJ45" i="24" s="1"/>
  <c r="AK45" i="24" s="1"/>
  <c r="AL45" i="24" s="1"/>
  <c r="AM45" i="24" s="1"/>
  <c r="AN45" i="24" s="1"/>
  <c r="G123" i="23"/>
  <c r="H123" i="23" s="1"/>
  <c r="I123" i="23" s="1"/>
  <c r="J123" i="23" s="1"/>
  <c r="K123" i="23" s="1"/>
  <c r="L123" i="23" s="1"/>
  <c r="M123" i="23" s="1"/>
  <c r="N123" i="23" s="1"/>
  <c r="O123" i="23" s="1"/>
  <c r="P123" i="23" s="1"/>
  <c r="Q123" i="23" s="1"/>
  <c r="R123" i="23" s="1"/>
  <c r="S123" i="23" s="1"/>
  <c r="T123" i="23" s="1"/>
  <c r="U123" i="23" s="1"/>
  <c r="V123" i="23" s="1"/>
  <c r="W123" i="23" s="1"/>
  <c r="X123" i="23" s="1"/>
  <c r="Y123" i="23" s="1"/>
  <c r="Z123" i="23" s="1"/>
  <c r="AA123" i="23" s="1"/>
  <c r="AB123" i="23" s="1"/>
  <c r="AC123" i="23" s="1"/>
  <c r="AD123" i="23" s="1"/>
  <c r="AE123" i="23" s="1"/>
  <c r="AF123" i="23" s="1"/>
  <c r="AG123" i="23" s="1"/>
  <c r="AH123" i="23" s="1"/>
  <c r="AI123" i="23" s="1"/>
  <c r="AJ123" i="23" s="1"/>
  <c r="AK123" i="23" s="1"/>
  <c r="AL123" i="23" s="1"/>
  <c r="AM123" i="23" s="1"/>
  <c r="AN123" i="23" s="1"/>
  <c r="F120" i="22"/>
  <c r="G120" i="22" s="1"/>
  <c r="H120" i="22" s="1"/>
  <c r="I120" i="22" s="1"/>
  <c r="J120" i="22" s="1"/>
  <c r="K120" i="22" s="1"/>
  <c r="L120" i="22" s="1"/>
  <c r="M120" i="22" s="1"/>
  <c r="N120" i="22" s="1"/>
  <c r="O120" i="22" s="1"/>
  <c r="P120" i="22" s="1"/>
  <c r="Q120" i="22" s="1"/>
  <c r="R120" i="22" s="1"/>
  <c r="S120" i="22" s="1"/>
  <c r="T120" i="22" s="1"/>
  <c r="U120" i="22" s="1"/>
  <c r="V120" i="22" s="1"/>
  <c r="W120" i="22" s="1"/>
  <c r="X120" i="22" s="1"/>
  <c r="Y120" i="22" s="1"/>
  <c r="Z120" i="22" s="1"/>
  <c r="AA120" i="22" s="1"/>
  <c r="AB120" i="22" s="1"/>
  <c r="AC120" i="22" s="1"/>
  <c r="AD120" i="22" s="1"/>
  <c r="AE120" i="22" s="1"/>
  <c r="AF120" i="22" s="1"/>
  <c r="AG120" i="22" s="1"/>
  <c r="AH120" i="22" s="1"/>
  <c r="G82" i="23"/>
  <c r="F51" i="23"/>
  <c r="F94" i="22"/>
  <c r="G94" i="22" s="1"/>
  <c r="H94" i="22" s="1"/>
  <c r="I94" i="22" s="1"/>
  <c r="J94" i="22" s="1"/>
  <c r="K94" i="22" s="1"/>
  <c r="L94" i="22" s="1"/>
  <c r="M94" i="22" s="1"/>
  <c r="N94" i="22" s="1"/>
  <c r="O94" i="22" s="1"/>
  <c r="P94" i="22" s="1"/>
  <c r="Q94" i="22" s="1"/>
  <c r="R94" i="22" s="1"/>
  <c r="S94" i="22" s="1"/>
  <c r="T94" i="22" s="1"/>
  <c r="U94" i="22" s="1"/>
  <c r="V94" i="22" s="1"/>
  <c r="W94" i="22" s="1"/>
  <c r="X94" i="22" s="1"/>
  <c r="Y94" i="22" s="1"/>
  <c r="Z94" i="22" s="1"/>
  <c r="AA94" i="22" s="1"/>
  <c r="AB94" i="22" s="1"/>
  <c r="AC94" i="22" s="1"/>
  <c r="AD94" i="22" s="1"/>
  <c r="AE94" i="22" s="1"/>
  <c r="AF94" i="22" s="1"/>
  <c r="AG94" i="22" s="1"/>
  <c r="AH94" i="22" s="1"/>
  <c r="F83" i="22"/>
  <c r="F66" i="28" l="1"/>
  <c r="F106" i="13" s="1"/>
  <c r="J71" i="28"/>
  <c r="J111" i="13" s="1"/>
  <c r="Q117" i="29"/>
  <c r="O127" i="29"/>
  <c r="O172" i="29" s="1"/>
  <c r="E41" i="28"/>
  <c r="F52" i="23"/>
  <c r="J80" i="23"/>
  <c r="T80" i="23"/>
  <c r="W80" i="23"/>
  <c r="AD80" i="23"/>
  <c r="AH80" i="23"/>
  <c r="H82" i="23"/>
  <c r="O140" i="29"/>
  <c r="Q130" i="29"/>
  <c r="J50" i="28"/>
  <c r="H36" i="23"/>
  <c r="G8" i="23"/>
  <c r="G83" i="22"/>
  <c r="R117" i="29" l="1"/>
  <c r="P127" i="29"/>
  <c r="H80" i="23"/>
  <c r="AC80" i="23"/>
  <c r="AG80" i="23"/>
  <c r="AA80" i="23"/>
  <c r="M80" i="23"/>
  <c r="AE80" i="23"/>
  <c r="S80" i="23"/>
  <c r="AI80" i="23"/>
  <c r="Q80" i="23"/>
  <c r="G80" i="23"/>
  <c r="L80" i="23"/>
  <c r="R80" i="23"/>
  <c r="N80" i="23"/>
  <c r="X80" i="23"/>
  <c r="V80" i="23"/>
  <c r="U80" i="23"/>
  <c r="K80" i="23"/>
  <c r="AF80" i="23"/>
  <c r="AB80" i="23"/>
  <c r="I80" i="23"/>
  <c r="I82" i="23"/>
  <c r="G10" i="23"/>
  <c r="H35" i="23"/>
  <c r="F24" i="67" s="1"/>
  <c r="R130" i="29"/>
  <c r="P140" i="29"/>
  <c r="K50" i="28"/>
  <c r="H83" i="22"/>
  <c r="F28" i="67" l="1"/>
  <c r="O36" i="67"/>
  <c r="E13" i="23"/>
  <c r="F62" i="23" s="1"/>
  <c r="H38" i="23"/>
  <c r="Q127" i="29"/>
  <c r="S117" i="29"/>
  <c r="J82" i="23"/>
  <c r="Q140" i="29"/>
  <c r="S130" i="29"/>
  <c r="L50" i="28"/>
  <c r="I83" i="22"/>
  <c r="O38" i="67" l="1"/>
  <c r="E36" i="67"/>
  <c r="E38" i="67" s="1"/>
  <c r="G143" i="23"/>
  <c r="G139" i="23"/>
  <c r="J14" i="23"/>
  <c r="F63" i="23"/>
  <c r="G55" i="23"/>
  <c r="R127" i="29"/>
  <c r="T117" i="29"/>
  <c r="K82" i="23"/>
  <c r="R140" i="29"/>
  <c r="T130" i="29"/>
  <c r="M50" i="28"/>
  <c r="J83" i="22"/>
  <c r="N10" i="41" l="1"/>
  <c r="N144" i="18"/>
  <c r="N11" i="15" s="1"/>
  <c r="Y73" i="23"/>
  <c r="Y77" i="23"/>
  <c r="O73" i="23"/>
  <c r="E73" i="23" s="1"/>
  <c r="O77" i="23"/>
  <c r="F66" i="23"/>
  <c r="F89" i="23"/>
  <c r="F130" i="23" s="1"/>
  <c r="F85" i="23"/>
  <c r="F125" i="23" s="1"/>
  <c r="U117" i="29"/>
  <c r="S127" i="29"/>
  <c r="L82" i="23"/>
  <c r="U130" i="29"/>
  <c r="S140" i="29"/>
  <c r="N50" i="28"/>
  <c r="K83" i="22"/>
  <c r="T127" i="29" l="1"/>
  <c r="V117" i="29"/>
  <c r="M82" i="23"/>
  <c r="T140" i="29"/>
  <c r="V130" i="29"/>
  <c r="O50" i="28"/>
  <c r="L83" i="22"/>
  <c r="W117" i="29" l="1"/>
  <c r="U127" i="29"/>
  <c r="N82" i="23"/>
  <c r="W130" i="29"/>
  <c r="U140" i="29"/>
  <c r="P50" i="28"/>
  <c r="M83" i="22"/>
  <c r="H77" i="22" l="1"/>
  <c r="J77" i="22"/>
  <c r="K77" i="22"/>
  <c r="G77" i="22"/>
  <c r="I77" i="22"/>
  <c r="X117" i="29"/>
  <c r="V127" i="29"/>
  <c r="O82" i="23"/>
  <c r="V140" i="29"/>
  <c r="X130" i="29"/>
  <c r="Q50" i="28"/>
  <c r="N83" i="22"/>
  <c r="F77" i="22" l="1"/>
  <c r="D73" i="22"/>
  <c r="L77" i="22"/>
  <c r="W127" i="29"/>
  <c r="Y117" i="29"/>
  <c r="P82" i="23"/>
  <c r="W140" i="29"/>
  <c r="Y130" i="29"/>
  <c r="R50" i="28"/>
  <c r="O83" i="22"/>
  <c r="M77" i="22" l="1"/>
  <c r="X127" i="29"/>
  <c r="Z117" i="29"/>
  <c r="Q82" i="23"/>
  <c r="X140" i="29"/>
  <c r="Z130" i="29"/>
  <c r="S50" i="28"/>
  <c r="P83" i="22"/>
  <c r="N77" i="22" l="1"/>
  <c r="AA117" i="29"/>
  <c r="Y127" i="29"/>
  <c r="R82" i="23"/>
  <c r="Y140" i="29"/>
  <c r="AA130" i="29"/>
  <c r="T50" i="28"/>
  <c r="Q83" i="22"/>
  <c r="O77" i="22" l="1"/>
  <c r="Z127" i="29"/>
  <c r="AB117" i="29"/>
  <c r="S82" i="23"/>
  <c r="Z140" i="29"/>
  <c r="AB130" i="29"/>
  <c r="U50" i="28"/>
  <c r="R83" i="22"/>
  <c r="P77" i="22" l="1"/>
  <c r="AA127" i="29"/>
  <c r="AC117" i="29"/>
  <c r="T82" i="23"/>
  <c r="AA140" i="29"/>
  <c r="AC130" i="29"/>
  <c r="V50" i="28"/>
  <c r="S83" i="22"/>
  <c r="Q77" i="22" l="1"/>
  <c r="AB127" i="29"/>
  <c r="AD117" i="29"/>
  <c r="U82" i="23"/>
  <c r="AB140" i="29"/>
  <c r="AD130" i="29"/>
  <c r="W50" i="28"/>
  <c r="T83" i="22"/>
  <c r="R77" i="22" l="1"/>
  <c r="AC127" i="29"/>
  <c r="AE117" i="29"/>
  <c r="V82" i="23"/>
  <c r="AE130" i="29"/>
  <c r="AC140" i="29"/>
  <c r="X50" i="28"/>
  <c r="U83" i="22"/>
  <c r="S77" i="22" l="1"/>
  <c r="AD127" i="29"/>
  <c r="AF117" i="29"/>
  <c r="W82" i="23"/>
  <c r="AD140" i="29"/>
  <c r="AF130" i="29"/>
  <c r="Y50" i="28"/>
  <c r="V83" i="22"/>
  <c r="T77" i="22" l="1"/>
  <c r="AG117" i="29"/>
  <c r="AE127" i="29"/>
  <c r="X82" i="23"/>
  <c r="AG130" i="29"/>
  <c r="AE140" i="29"/>
  <c r="Z50" i="28"/>
  <c r="W83" i="22"/>
  <c r="U77" i="22" l="1"/>
  <c r="AF127" i="29"/>
  <c r="AH117" i="29"/>
  <c r="Y82" i="23"/>
  <c r="AF140" i="29"/>
  <c r="AH130" i="29"/>
  <c r="AA50" i="28"/>
  <c r="X83" i="22"/>
  <c r="V77" i="22" l="1"/>
  <c r="AG127" i="29"/>
  <c r="AI117" i="29"/>
  <c r="Z82" i="23"/>
  <c r="AG140" i="29"/>
  <c r="AI130" i="29"/>
  <c r="AB50" i="28"/>
  <c r="Y83" i="22"/>
  <c r="W77" i="22" l="1"/>
  <c r="AJ117" i="29"/>
  <c r="AH127" i="29"/>
  <c r="AA82" i="23"/>
  <c r="AH140" i="29"/>
  <c r="AJ130" i="29"/>
  <c r="AC50" i="28"/>
  <c r="Z83" i="22"/>
  <c r="X77" i="22" l="1"/>
  <c r="AI127" i="29"/>
  <c r="F124" i="29"/>
  <c r="AB82" i="23"/>
  <c r="AI140" i="29"/>
  <c r="AD50" i="28"/>
  <c r="AA83" i="22"/>
  <c r="Y77" i="22" l="1"/>
  <c r="AJ127" i="29"/>
  <c r="AC82" i="23"/>
  <c r="AJ140" i="29"/>
  <c r="AE50" i="28"/>
  <c r="AB83" i="22"/>
  <c r="Z77" i="22" l="1"/>
  <c r="AD82" i="23"/>
  <c r="AF50" i="28"/>
  <c r="AC83" i="22"/>
  <c r="AA77" i="22" l="1"/>
  <c r="AE82" i="23"/>
  <c r="AG50" i="28"/>
  <c r="AD83" i="22"/>
  <c r="AB77" i="22" l="1"/>
  <c r="AF82" i="23"/>
  <c r="AH50" i="28"/>
  <c r="AE83" i="22"/>
  <c r="AC77" i="22" l="1"/>
  <c r="F138" i="29"/>
  <c r="F135" i="29"/>
  <c r="F132" i="29"/>
  <c r="F139" i="29"/>
  <c r="F137" i="29"/>
  <c r="F136" i="29"/>
  <c r="F134" i="29"/>
  <c r="F133" i="29"/>
  <c r="AG82" i="23"/>
  <c r="AI50" i="28"/>
  <c r="AF83" i="22"/>
  <c r="AD77" i="22" l="1"/>
  <c r="F122" i="29"/>
  <c r="F120" i="29"/>
  <c r="F123" i="29"/>
  <c r="F121" i="29"/>
  <c r="F126" i="29"/>
  <c r="F119" i="29"/>
  <c r="F125" i="29"/>
  <c r="AH82" i="23"/>
  <c r="F131" i="29"/>
  <c r="F140" i="29" s="1"/>
  <c r="AG83" i="22"/>
  <c r="F127" i="29" l="1"/>
  <c r="AE77" i="22"/>
  <c r="AI82" i="23"/>
  <c r="AH83" i="22"/>
  <c r="AF77" i="22" l="1"/>
  <c r="AJ82" i="23"/>
  <c r="AG77" i="22" l="1"/>
  <c r="AK82" i="23"/>
  <c r="AH77" i="22" l="1"/>
  <c r="AL82" i="23"/>
  <c r="AM82" i="23" l="1"/>
  <c r="AN82" i="23" l="1"/>
  <c r="K45" i="17" l="1"/>
  <c r="J42" i="17"/>
  <c r="D77" i="22" l="1"/>
  <c r="J43" i="17"/>
  <c r="N45" i="17"/>
  <c r="J16" i="17"/>
  <c r="I42" i="17"/>
  <c r="I16" i="17"/>
  <c r="I17" i="17"/>
  <c r="H45" i="17"/>
  <c r="F16" i="17"/>
  <c r="I43" i="17"/>
  <c r="F41" i="17"/>
  <c r="I18" i="17"/>
  <c r="I41" i="17"/>
  <c r="M45" i="17"/>
  <c r="F18" i="17"/>
  <c r="J17" i="17"/>
  <c r="F42" i="17"/>
  <c r="F17" i="17"/>
  <c r="J18" i="17"/>
  <c r="F43" i="17"/>
  <c r="J41" i="17"/>
  <c r="M20" i="17"/>
  <c r="N20" i="17"/>
  <c r="E64" i="17"/>
  <c r="E62" i="17"/>
  <c r="F62" i="17" s="1"/>
  <c r="E45" i="17"/>
  <c r="K20" i="17"/>
  <c r="F132" i="17" l="1"/>
  <c r="F139" i="17"/>
  <c r="F140" i="17"/>
  <c r="F138" i="17"/>
  <c r="F137" i="17"/>
  <c r="F141" i="17"/>
  <c r="F136" i="17"/>
  <c r="F135" i="17"/>
  <c r="F133" i="17"/>
  <c r="F134" i="17"/>
  <c r="F131" i="17"/>
  <c r="F20" i="17"/>
  <c r="C45" i="17"/>
  <c r="G20" i="17"/>
  <c r="H20" i="17"/>
  <c r="J45" i="17"/>
  <c r="J20" i="17"/>
  <c r="I20" i="17"/>
  <c r="D45" i="17"/>
  <c r="G45" i="17"/>
  <c r="I45" i="17"/>
  <c r="F45" i="17"/>
  <c r="F142" i="17" l="1"/>
  <c r="F143" i="17" s="1"/>
  <c r="G10" i="47"/>
  <c r="H10" i="47" l="1"/>
  <c r="I10" i="47" s="1"/>
  <c r="J10" i="47" s="1"/>
  <c r="K10" i="47" s="1"/>
  <c r="L10" i="47" s="1"/>
  <c r="M10" i="47" s="1"/>
  <c r="N10" i="47" s="1"/>
  <c r="O10" i="47" s="1"/>
  <c r="P10" i="47" s="1"/>
  <c r="Q10" i="47" s="1"/>
  <c r="R10" i="47" s="1"/>
  <c r="S10" i="47" s="1"/>
  <c r="T10" i="47" s="1"/>
  <c r="U10" i="47" s="1"/>
  <c r="V10" i="47" s="1"/>
  <c r="W10" i="47" s="1"/>
  <c r="X10" i="47" s="1"/>
  <c r="Y10" i="47" s="1"/>
  <c r="Z10" i="47" s="1"/>
  <c r="AA10" i="47" s="1"/>
  <c r="AB10" i="47" s="1"/>
  <c r="AC10" i="47" s="1"/>
  <c r="AD10" i="47" s="1"/>
  <c r="AE10" i="47" s="1"/>
  <c r="AF10" i="47" s="1"/>
  <c r="AG10" i="47" s="1"/>
  <c r="AH10" i="47" s="1"/>
  <c r="AI10" i="47" s="1"/>
  <c r="G9" i="49" l="1"/>
  <c r="G8" i="49"/>
  <c r="H4" i="49" l="1"/>
  <c r="I4" i="49" l="1"/>
  <c r="J4" i="49" s="1"/>
  <c r="H9" i="49"/>
  <c r="H8" i="49"/>
  <c r="J9" i="49" l="1"/>
  <c r="J8" i="49"/>
  <c r="I8" i="49"/>
  <c r="I9" i="49"/>
  <c r="K4" i="49"/>
  <c r="K8" i="49" l="1"/>
  <c r="K9" i="49"/>
  <c r="L4" i="49"/>
  <c r="L8" i="49" l="1"/>
  <c r="L9" i="49"/>
  <c r="M4" i="49"/>
  <c r="M8" i="49" l="1"/>
  <c r="M9" i="49"/>
  <c r="N4" i="49"/>
  <c r="N9" i="49" l="1"/>
  <c r="N8" i="49"/>
  <c r="O4" i="49"/>
  <c r="O9" i="49" l="1"/>
  <c r="O8" i="49"/>
  <c r="P4" i="49"/>
  <c r="P9" i="49" l="1"/>
  <c r="P8" i="49"/>
  <c r="Q4" i="49"/>
  <c r="Q8" i="49" l="1"/>
  <c r="Q9" i="49"/>
  <c r="R4" i="49"/>
  <c r="R9" i="49" l="1"/>
  <c r="R8" i="49"/>
  <c r="S4" i="49"/>
  <c r="S8" i="49" l="1"/>
  <c r="S9" i="49"/>
  <c r="T4" i="49"/>
  <c r="T8" i="49" l="1"/>
  <c r="T9" i="49"/>
  <c r="U4" i="49"/>
  <c r="U8" i="49" l="1"/>
  <c r="U9" i="49"/>
  <c r="V4" i="49"/>
  <c r="V8" i="49" l="1"/>
  <c r="V9" i="49"/>
  <c r="W4" i="49"/>
  <c r="W9" i="49" l="1"/>
  <c r="W8" i="49"/>
  <c r="X4" i="49"/>
  <c r="X9" i="49" l="1"/>
  <c r="X8" i="49"/>
  <c r="Y4" i="49"/>
  <c r="Y8" i="49" l="1"/>
  <c r="Y9" i="49"/>
  <c r="Z4" i="49"/>
  <c r="Z9" i="49" l="1"/>
  <c r="Z8" i="49"/>
  <c r="AA4" i="49"/>
  <c r="AA8" i="49" l="1"/>
  <c r="AA9" i="49"/>
  <c r="AB4" i="49"/>
  <c r="AB8" i="49" l="1"/>
  <c r="AB9" i="49"/>
  <c r="AC4" i="49"/>
  <c r="AC8" i="49" l="1"/>
  <c r="AC9" i="49"/>
  <c r="AD4" i="49"/>
  <c r="AD8" i="49" l="1"/>
  <c r="AD9" i="49"/>
  <c r="AE4" i="49"/>
  <c r="AE8" i="49" l="1"/>
  <c r="AE9" i="49"/>
  <c r="AF4" i="49"/>
  <c r="AF9" i="49" l="1"/>
  <c r="AF8" i="49"/>
  <c r="AG4" i="49"/>
  <c r="AG8" i="49" l="1"/>
  <c r="AG9" i="49"/>
  <c r="AH4" i="49"/>
  <c r="AH9" i="49" l="1"/>
  <c r="AH8" i="49"/>
  <c r="AI4" i="49"/>
  <c r="AI8" i="49" l="1"/>
  <c r="AI9" i="49"/>
  <c r="AJ4" i="49"/>
  <c r="AJ8" i="49" l="1"/>
  <c r="AJ9" i="49"/>
  <c r="F9" i="49" l="1"/>
  <c r="F8" i="49"/>
  <c r="H35" i="48"/>
  <c r="H36" i="48"/>
  <c r="H37" i="48"/>
  <c r="H38" i="48"/>
  <c r="H39" i="48"/>
  <c r="H40" i="48"/>
  <c r="H34" i="48"/>
  <c r="H41" i="48" l="1"/>
  <c r="AH73" i="48" s="1"/>
  <c r="Z73" i="48" l="1"/>
  <c r="S73" i="48"/>
  <c r="O73" i="48"/>
  <c r="G73" i="48"/>
  <c r="AG73" i="48"/>
  <c r="Q73" i="48"/>
  <c r="AC73" i="48"/>
  <c r="M73" i="48"/>
  <c r="W73" i="48"/>
  <c r="Y73" i="48"/>
  <c r="AA73" i="48"/>
  <c r="N73" i="48"/>
  <c r="H73" i="48"/>
  <c r="X73" i="48"/>
  <c r="K73" i="48"/>
  <c r="U73" i="48"/>
  <c r="F73" i="48"/>
  <c r="R73" i="48"/>
  <c r="AE73" i="48"/>
  <c r="P73" i="48"/>
  <c r="AB73" i="48"/>
  <c r="L73" i="48"/>
  <c r="J73" i="48"/>
  <c r="V73" i="48"/>
  <c r="E73" i="48"/>
  <c r="I73" i="48"/>
  <c r="T73" i="48"/>
  <c r="AF73" i="48"/>
  <c r="AD73" i="48"/>
  <c r="E83" i="4"/>
  <c r="E84" i="4"/>
  <c r="E85" i="4"/>
  <c r="E82" i="4"/>
  <c r="D84" i="4"/>
  <c r="D85" i="4"/>
  <c r="G41" i="48"/>
  <c r="E16" i="48"/>
  <c r="E21" i="48" s="1"/>
  <c r="F63" i="48"/>
  <c r="G63" i="48" s="1"/>
  <c r="H63" i="48" s="1"/>
  <c r="I63" i="48" s="1"/>
  <c r="J63" i="48" s="1"/>
  <c r="K63" i="48" s="1"/>
  <c r="L63" i="48" s="1"/>
  <c r="M63" i="48" s="1"/>
  <c r="N63" i="48" s="1"/>
  <c r="O63" i="48" s="1"/>
  <c r="P63" i="48" s="1"/>
  <c r="Q63" i="48" s="1"/>
  <c r="R63" i="48" s="1"/>
  <c r="S63" i="48" s="1"/>
  <c r="T63" i="48" s="1"/>
  <c r="U63" i="48" s="1"/>
  <c r="V63" i="48" s="1"/>
  <c r="W63" i="48" s="1"/>
  <c r="X63" i="48" s="1"/>
  <c r="Y63" i="48" s="1"/>
  <c r="Z63" i="48" s="1"/>
  <c r="AA63" i="48" s="1"/>
  <c r="AB63" i="48" s="1"/>
  <c r="AC63" i="48" s="1"/>
  <c r="AD63" i="48" s="1"/>
  <c r="AE63" i="48" s="1"/>
  <c r="AF63" i="48" s="1"/>
  <c r="AG63" i="48" s="1"/>
  <c r="AH63" i="48" s="1"/>
  <c r="D73" i="48" l="1"/>
  <c r="H14" i="47"/>
  <c r="I14" i="47" s="1"/>
  <c r="J14" i="47" s="1"/>
  <c r="K14" i="47" s="1"/>
  <c r="L14" i="47" s="1"/>
  <c r="M14" i="47" s="1"/>
  <c r="N14" i="47" s="1"/>
  <c r="O14" i="47" s="1"/>
  <c r="P14" i="47" s="1"/>
  <c r="Q14" i="47" s="1"/>
  <c r="R14" i="47" s="1"/>
  <c r="S14" i="47" s="1"/>
  <c r="T14" i="47" s="1"/>
  <c r="U14" i="47" s="1"/>
  <c r="V14" i="47" s="1"/>
  <c r="W14" i="47" s="1"/>
  <c r="X14" i="47" s="1"/>
  <c r="Y14" i="47" s="1"/>
  <c r="Z14" i="47" s="1"/>
  <c r="AA14" i="47" s="1"/>
  <c r="AB14" i="47" s="1"/>
  <c r="AC14" i="47" s="1"/>
  <c r="AD14" i="47" s="1"/>
  <c r="AE14" i="47" s="1"/>
  <c r="AF14" i="47" s="1"/>
  <c r="AG14" i="47" s="1"/>
  <c r="AH14" i="47" s="1"/>
  <c r="AI14" i="47" s="1"/>
  <c r="G14" i="47"/>
  <c r="F14" i="47"/>
  <c r="F15" i="47" s="1"/>
  <c r="G13" i="47"/>
  <c r="H13" i="47" s="1"/>
  <c r="I13" i="47" s="1"/>
  <c r="G15" i="47" l="1"/>
  <c r="J13" i="47"/>
  <c r="H15" i="47" l="1"/>
  <c r="K13" i="47"/>
  <c r="I15" i="47" l="1"/>
  <c r="L13" i="47"/>
  <c r="J15" i="47" l="1"/>
  <c r="M13" i="47"/>
  <c r="K15" i="47" l="1"/>
  <c r="N13" i="47"/>
  <c r="L15" i="47" l="1"/>
  <c r="O13" i="47"/>
  <c r="M15" i="47" l="1"/>
  <c r="P13" i="47"/>
  <c r="N15" i="47" l="1"/>
  <c r="Q13" i="47"/>
  <c r="O15" i="47" l="1"/>
  <c r="R13" i="47"/>
  <c r="P15" i="47" l="1"/>
  <c r="S13" i="47"/>
  <c r="Q15" i="47" l="1"/>
  <c r="T13" i="47"/>
  <c r="R15" i="47" l="1"/>
  <c r="U13" i="47"/>
  <c r="S15" i="47" l="1"/>
  <c r="V13" i="47"/>
  <c r="T15" i="47" l="1"/>
  <c r="W13" i="47"/>
  <c r="U15" i="47" l="1"/>
  <c r="X13" i="47"/>
  <c r="V15" i="47" l="1"/>
  <c r="Y13" i="47"/>
  <c r="W15" i="47" l="1"/>
  <c r="Z13" i="47"/>
  <c r="X15" i="47" l="1"/>
  <c r="AA13" i="47"/>
  <c r="Y15" i="47" l="1"/>
  <c r="AB13" i="47"/>
  <c r="Z15" i="47" l="1"/>
  <c r="AC13" i="47"/>
  <c r="AA15" i="47" l="1"/>
  <c r="AD13" i="47"/>
  <c r="AB15" i="47" l="1"/>
  <c r="AE13" i="47"/>
  <c r="AC15" i="47" l="1"/>
  <c r="AF13" i="47"/>
  <c r="AD15" i="47" l="1"/>
  <c r="AG13" i="47"/>
  <c r="AE15" i="47" l="1"/>
  <c r="AH13" i="47"/>
  <c r="AF15" i="47" l="1"/>
  <c r="AI13" i="47"/>
  <c r="AG15" i="47" l="1"/>
  <c r="AH15" i="47" l="1"/>
  <c r="AI15" i="47" l="1"/>
  <c r="G22" i="45" l="1"/>
  <c r="G21" i="45"/>
  <c r="E20" i="37" l="1"/>
  <c r="E21" i="37"/>
  <c r="E22" i="37"/>
  <c r="E19" i="37"/>
  <c r="F30" i="36"/>
  <c r="F12" i="36"/>
  <c r="F13" i="36"/>
  <c r="F14" i="36"/>
  <c r="F15" i="36"/>
  <c r="F16" i="36"/>
  <c r="F17" i="36"/>
  <c r="F18" i="36"/>
  <c r="F19" i="36"/>
  <c r="F11" i="36"/>
  <c r="F8" i="36"/>
  <c r="F7" i="36"/>
  <c r="F30" i="33" l="1"/>
  <c r="F12" i="33"/>
  <c r="F13" i="33"/>
  <c r="F14" i="33"/>
  <c r="F15" i="33"/>
  <c r="F16" i="33"/>
  <c r="F17" i="33"/>
  <c r="F18" i="33"/>
  <c r="F19" i="33"/>
  <c r="F11" i="33"/>
  <c r="F8" i="33"/>
  <c r="F7" i="33"/>
  <c r="F54" i="32"/>
  <c r="F14" i="32"/>
  <c r="F15" i="32"/>
  <c r="F16" i="32"/>
  <c r="F17" i="32"/>
  <c r="F18" i="32"/>
  <c r="F19" i="32"/>
  <c r="F20" i="32"/>
  <c r="F21" i="32"/>
  <c r="F13" i="32"/>
  <c r="F10" i="32"/>
  <c r="F31" i="32" s="1"/>
  <c r="F9" i="32"/>
  <c r="F30" i="32" s="1"/>
  <c r="AK158" i="1"/>
  <c r="AJ158" i="1"/>
  <c r="AI158" i="1"/>
  <c r="AH158" i="1"/>
  <c r="AG158" i="1"/>
  <c r="AF158" i="1"/>
  <c r="AE158" i="1"/>
  <c r="AD158" i="1"/>
  <c r="AC158" i="1"/>
  <c r="AB158" i="1"/>
  <c r="F64" i="17"/>
  <c r="I147" i="1"/>
  <c r="J147" i="1" s="1"/>
  <c r="K147" i="1" s="1"/>
  <c r="L147" i="1" s="1"/>
  <c r="M147" i="1" s="1"/>
  <c r="N147" i="1" s="1"/>
  <c r="O147" i="1" s="1"/>
  <c r="P147" i="1" s="1"/>
  <c r="Q147" i="1" s="1"/>
  <c r="R147" i="1" s="1"/>
  <c r="S147" i="1" s="1"/>
  <c r="T147" i="1" s="1"/>
  <c r="U147" i="1" s="1"/>
  <c r="V147" i="1" s="1"/>
  <c r="W147" i="1" s="1"/>
  <c r="X147" i="1" s="1"/>
  <c r="Y147" i="1" s="1"/>
  <c r="Z147" i="1" s="1"/>
  <c r="AA147" i="1" s="1"/>
  <c r="AB147" i="1" s="1"/>
  <c r="AC147" i="1" s="1"/>
  <c r="AD147" i="1" s="1"/>
  <c r="AE147" i="1" s="1"/>
  <c r="AF147" i="1" s="1"/>
  <c r="AG147" i="1" s="1"/>
  <c r="AH147" i="1" s="1"/>
  <c r="AI147" i="1" s="1"/>
  <c r="AJ147" i="1" s="1"/>
  <c r="AK147" i="1" s="1"/>
  <c r="AL147" i="1" s="1"/>
  <c r="AM147" i="1" s="1"/>
  <c r="AN147" i="1" s="1"/>
  <c r="AO147" i="1" s="1"/>
  <c r="AP147" i="1" s="1"/>
  <c r="F169" i="17" l="1"/>
  <c r="F170" i="17"/>
  <c r="F171" i="17"/>
  <c r="F161" i="17"/>
  <c r="F165" i="17"/>
  <c r="F164" i="17"/>
  <c r="F168" i="17"/>
  <c r="F162" i="17"/>
  <c r="F163" i="17"/>
  <c r="F166" i="17"/>
  <c r="F167" i="17"/>
  <c r="F198" i="13"/>
  <c r="F196" i="13"/>
  <c r="F188" i="13"/>
  <c r="F178" i="13"/>
  <c r="F186" i="13"/>
  <c r="F156" i="13"/>
  <c r="F176" i="13"/>
  <c r="F146" i="13"/>
  <c r="F148" i="13"/>
  <c r="F158" i="13"/>
  <c r="D8" i="6"/>
  <c r="D9" i="6"/>
  <c r="D43" i="6" s="1"/>
  <c r="D150" i="6" s="1"/>
  <c r="D165" i="6" s="1"/>
  <c r="D10" i="6"/>
  <c r="D11" i="6"/>
  <c r="D12" i="6"/>
  <c r="D13" i="6"/>
  <c r="D14" i="6"/>
  <c r="D15" i="6"/>
  <c r="D16" i="6"/>
  <c r="F172" i="17" l="1"/>
  <c r="F173" i="17" s="1"/>
  <c r="E8" i="6"/>
  <c r="D132" i="6" s="1"/>
  <c r="D42" i="6"/>
  <c r="D149" i="6" s="1"/>
  <c r="D164" i="6" s="1"/>
  <c r="E12" i="6"/>
  <c r="E11" i="6"/>
  <c r="E15" i="6"/>
  <c r="E10" i="6"/>
  <c r="F10" i="6" s="1"/>
  <c r="E16" i="6"/>
  <c r="E14" i="6"/>
  <c r="E9" i="6"/>
  <c r="F9" i="6" s="1"/>
  <c r="E13" i="6"/>
  <c r="D71" i="6" l="1"/>
  <c r="D116" i="6" s="1"/>
  <c r="F8" i="6"/>
  <c r="G11" i="36"/>
  <c r="F5" i="41"/>
  <c r="G5" i="41" s="1"/>
  <c r="H5" i="41" s="1"/>
  <c r="I5" i="41" s="1"/>
  <c r="J5" i="41" s="1"/>
  <c r="K5" i="41" s="1"/>
  <c r="L5" i="41" s="1"/>
  <c r="M5" i="41" s="1"/>
  <c r="N5" i="41" s="1"/>
  <c r="O5" i="41" s="1"/>
  <c r="P5" i="41" s="1"/>
  <c r="Q5" i="41" s="1"/>
  <c r="R5" i="41" s="1"/>
  <c r="S5" i="41" s="1"/>
  <c r="T5" i="41" s="1"/>
  <c r="U5" i="41" s="1"/>
  <c r="V5" i="41" s="1"/>
  <c r="W5" i="41" s="1"/>
  <c r="X5" i="41" s="1"/>
  <c r="Y5" i="41" s="1"/>
  <c r="Z5" i="41" s="1"/>
  <c r="AA5" i="41" s="1"/>
  <c r="AB5" i="41" s="1"/>
  <c r="AC5" i="41" s="1"/>
  <c r="AD5" i="41" s="1"/>
  <c r="AE5" i="41" s="1"/>
  <c r="AF5" i="41" s="1"/>
  <c r="AG5" i="41" s="1"/>
  <c r="AH5" i="41" s="1"/>
  <c r="D179" i="6" l="1"/>
  <c r="J35" i="1"/>
  <c r="F24" i="40"/>
  <c r="G24" i="40" s="1"/>
  <c r="H24" i="40" s="1"/>
  <c r="I24" i="40" s="1"/>
  <c r="J24" i="40" s="1"/>
  <c r="K24" i="40" s="1"/>
  <c r="L24" i="40" s="1"/>
  <c r="M24" i="40" s="1"/>
  <c r="N24" i="40" s="1"/>
  <c r="O24" i="40" s="1"/>
  <c r="P24" i="40" s="1"/>
  <c r="Q24" i="40" s="1"/>
  <c r="R24" i="40" s="1"/>
  <c r="S24" i="40" s="1"/>
  <c r="T24" i="40" s="1"/>
  <c r="U24" i="40" s="1"/>
  <c r="V24" i="40" s="1"/>
  <c r="W24" i="40" s="1"/>
  <c r="X24" i="40" s="1"/>
  <c r="Y24" i="40" s="1"/>
  <c r="Z24" i="40" s="1"/>
  <c r="AA24" i="40" s="1"/>
  <c r="AB24" i="40" s="1"/>
  <c r="AC24" i="40" s="1"/>
  <c r="AD24" i="40" s="1"/>
  <c r="AE24" i="40" s="1"/>
  <c r="AF24" i="40" s="1"/>
  <c r="AG24" i="40" s="1"/>
  <c r="AH24" i="40" s="1"/>
  <c r="AI24" i="40" s="1"/>
  <c r="AJ24" i="40" s="1"/>
  <c r="AK24" i="40" s="1"/>
  <c r="AL24" i="40" s="1"/>
  <c r="AM24" i="40" s="1"/>
  <c r="G45" i="39"/>
  <c r="G49" i="39" s="1"/>
  <c r="E125" i="18" l="1"/>
  <c r="H45" i="39"/>
  <c r="H49" i="39" s="1"/>
  <c r="G48" i="39"/>
  <c r="G46" i="39"/>
  <c r="G47" i="39"/>
  <c r="G50" i="39" l="1"/>
  <c r="I45" i="39"/>
  <c r="I49" i="39" s="1"/>
  <c r="H47" i="39"/>
  <c r="I47" i="39" s="1"/>
  <c r="H46" i="39"/>
  <c r="H48" i="39"/>
  <c r="I48" i="39" s="1"/>
  <c r="H50" i="39" l="1"/>
  <c r="J45" i="39"/>
  <c r="J49" i="39" s="1"/>
  <c r="I46" i="39"/>
  <c r="I50" i="39" s="1"/>
  <c r="D49" i="21"/>
  <c r="K45" i="39" l="1"/>
  <c r="K49" i="39" s="1"/>
  <c r="J47" i="39"/>
  <c r="K47" i="39" s="1"/>
  <c r="J48" i="39"/>
  <c r="K48" i="39" s="1"/>
  <c r="J46" i="39"/>
  <c r="H4" i="37"/>
  <c r="I4" i="37" s="1"/>
  <c r="AJ23" i="36"/>
  <c r="AI23" i="36"/>
  <c r="AH23" i="36"/>
  <c r="AG23" i="36"/>
  <c r="AF23" i="36"/>
  <c r="AE23" i="36"/>
  <c r="AD23" i="36"/>
  <c r="AC23" i="36"/>
  <c r="AB23" i="36"/>
  <c r="AA23" i="36"/>
  <c r="Z23" i="36"/>
  <c r="Y23" i="36"/>
  <c r="X23" i="36"/>
  <c r="W23" i="36"/>
  <c r="V23" i="36"/>
  <c r="U23" i="36"/>
  <c r="T23" i="36"/>
  <c r="S23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I12" i="34"/>
  <c r="J12" i="34" s="1"/>
  <c r="K12" i="34" s="1"/>
  <c r="L12" i="34" s="1"/>
  <c r="M12" i="34" s="1"/>
  <c r="N12" i="34" s="1"/>
  <c r="O12" i="34" s="1"/>
  <c r="P12" i="34" s="1"/>
  <c r="Q12" i="34" s="1"/>
  <c r="R12" i="34" s="1"/>
  <c r="S12" i="34" s="1"/>
  <c r="T12" i="34" s="1"/>
  <c r="U12" i="34" s="1"/>
  <c r="V12" i="34" s="1"/>
  <c r="W12" i="34" s="1"/>
  <c r="X12" i="34" s="1"/>
  <c r="Y12" i="34" s="1"/>
  <c r="Z12" i="34" s="1"/>
  <c r="AA12" i="34" s="1"/>
  <c r="AB12" i="34" s="1"/>
  <c r="AC12" i="34" s="1"/>
  <c r="AD12" i="34" s="1"/>
  <c r="AE12" i="34" s="1"/>
  <c r="AF12" i="34" s="1"/>
  <c r="AG12" i="34" s="1"/>
  <c r="AH12" i="34" s="1"/>
  <c r="AI12" i="34" s="1"/>
  <c r="AJ12" i="34" s="1"/>
  <c r="AK12" i="34" s="1"/>
  <c r="I5" i="34"/>
  <c r="J5" i="34" s="1"/>
  <c r="K5" i="34" s="1"/>
  <c r="L5" i="34" s="1"/>
  <c r="M5" i="34" s="1"/>
  <c r="N5" i="34" s="1"/>
  <c r="O5" i="34" s="1"/>
  <c r="P5" i="34" s="1"/>
  <c r="Q5" i="34" s="1"/>
  <c r="R5" i="34" s="1"/>
  <c r="S5" i="34" s="1"/>
  <c r="T5" i="34" s="1"/>
  <c r="U5" i="34" s="1"/>
  <c r="V5" i="34" s="1"/>
  <c r="W5" i="34" s="1"/>
  <c r="X5" i="34" s="1"/>
  <c r="Y5" i="34" s="1"/>
  <c r="Z5" i="34" s="1"/>
  <c r="AA5" i="34" s="1"/>
  <c r="AB5" i="34" s="1"/>
  <c r="AC5" i="34" s="1"/>
  <c r="AD5" i="34" s="1"/>
  <c r="AE5" i="34" s="1"/>
  <c r="AF5" i="34" s="1"/>
  <c r="AG5" i="34" s="1"/>
  <c r="AH5" i="34" s="1"/>
  <c r="AI5" i="34" s="1"/>
  <c r="AJ5" i="34" s="1"/>
  <c r="AK5" i="34" s="1"/>
  <c r="E78" i="34"/>
  <c r="F47" i="34"/>
  <c r="G47" i="34" s="1"/>
  <c r="J50" i="39" l="1"/>
  <c r="L45" i="39"/>
  <c r="L49" i="39" s="1"/>
  <c r="K46" i="39"/>
  <c r="K50" i="39" s="1"/>
  <c r="J4" i="37"/>
  <c r="G78" i="34"/>
  <c r="H47" i="34"/>
  <c r="F78" i="34"/>
  <c r="M45" i="39" l="1"/>
  <c r="M49" i="39" s="1"/>
  <c r="L47" i="39"/>
  <c r="L48" i="39"/>
  <c r="L46" i="39"/>
  <c r="K4" i="37"/>
  <c r="H78" i="34"/>
  <c r="I47" i="34"/>
  <c r="L50" i="39" l="1"/>
  <c r="N45" i="39"/>
  <c r="N49" i="39" s="1"/>
  <c r="M48" i="39"/>
  <c r="M47" i="39"/>
  <c r="M46" i="39"/>
  <c r="L4" i="37"/>
  <c r="I78" i="34"/>
  <c r="J47" i="34"/>
  <c r="M50" i="39" l="1"/>
  <c r="N48" i="39"/>
  <c r="O45" i="39"/>
  <c r="O49" i="39" s="1"/>
  <c r="N47" i="39"/>
  <c r="N46" i="39"/>
  <c r="G19" i="40"/>
  <c r="M4" i="37"/>
  <c r="J78" i="34"/>
  <c r="K47" i="34"/>
  <c r="E25" i="40" l="1"/>
  <c r="D25" i="40" s="1"/>
  <c r="N50" i="39"/>
  <c r="O47" i="39"/>
  <c r="O48" i="39"/>
  <c r="P45" i="39"/>
  <c r="P49" i="39" s="1"/>
  <c r="O46" i="39"/>
  <c r="N4" i="37"/>
  <c r="K78" i="34"/>
  <c r="L47" i="34"/>
  <c r="O50" i="39" l="1"/>
  <c r="Q45" i="39"/>
  <c r="Q49" i="39" s="1"/>
  <c r="P48" i="39"/>
  <c r="P47" i="39"/>
  <c r="P46" i="39"/>
  <c r="O4" i="37"/>
  <c r="M47" i="34"/>
  <c r="L78" i="34"/>
  <c r="Q48" i="39" l="1"/>
  <c r="Q47" i="39"/>
  <c r="R45" i="39"/>
  <c r="R49" i="39" s="1"/>
  <c r="P50" i="39"/>
  <c r="Q46" i="39"/>
  <c r="P4" i="37"/>
  <c r="N47" i="34"/>
  <c r="M78" i="34"/>
  <c r="Q50" i="39" l="1"/>
  <c r="R48" i="39"/>
  <c r="R47" i="39"/>
  <c r="S45" i="39"/>
  <c r="S49" i="39" s="1"/>
  <c r="R46" i="39"/>
  <c r="Q4" i="37"/>
  <c r="O47" i="34"/>
  <c r="N78" i="34"/>
  <c r="R50" i="39" l="1"/>
  <c r="S48" i="39"/>
  <c r="T45" i="39"/>
  <c r="T49" i="39" s="1"/>
  <c r="S47" i="39"/>
  <c r="S46" i="39"/>
  <c r="R4" i="37"/>
  <c r="O78" i="34"/>
  <c r="P47" i="34"/>
  <c r="S50" i="39" l="1"/>
  <c r="T48" i="39"/>
  <c r="T47" i="39"/>
  <c r="U45" i="39"/>
  <c r="U49" i="39" s="1"/>
  <c r="T46" i="39"/>
  <c r="S4" i="37"/>
  <c r="P78" i="34"/>
  <c r="Q47" i="34"/>
  <c r="T50" i="39" l="1"/>
  <c r="U48" i="39"/>
  <c r="U47" i="39"/>
  <c r="V45" i="39"/>
  <c r="V49" i="39" s="1"/>
  <c r="U46" i="39"/>
  <c r="T4" i="37"/>
  <c r="Q78" i="34"/>
  <c r="R47" i="34"/>
  <c r="U50" i="39" l="1"/>
  <c r="V48" i="39"/>
  <c r="V47" i="39"/>
  <c r="W45" i="39"/>
  <c r="W49" i="39" s="1"/>
  <c r="V46" i="39"/>
  <c r="U4" i="37"/>
  <c r="R78" i="34"/>
  <c r="S47" i="34"/>
  <c r="V50" i="39" l="1"/>
  <c r="W48" i="39"/>
  <c r="W47" i="39"/>
  <c r="X45" i="39"/>
  <c r="X49" i="39" s="1"/>
  <c r="W46" i="39"/>
  <c r="V4" i="37"/>
  <c r="S78" i="34"/>
  <c r="T47" i="34"/>
  <c r="W50" i="39" l="1"/>
  <c r="X48" i="39"/>
  <c r="X47" i="39"/>
  <c r="Y45" i="39"/>
  <c r="Y49" i="39" s="1"/>
  <c r="X46" i="39"/>
  <c r="W4" i="37"/>
  <c r="U47" i="34"/>
  <c r="T78" i="34"/>
  <c r="X50" i="39" l="1"/>
  <c r="Y48" i="39"/>
  <c r="Y47" i="39"/>
  <c r="Z45" i="39"/>
  <c r="Z49" i="39" s="1"/>
  <c r="Y46" i="39"/>
  <c r="X4" i="37"/>
  <c r="V47" i="34"/>
  <c r="U78" i="34"/>
  <c r="Y50" i="39" l="1"/>
  <c r="Z48" i="39"/>
  <c r="Z47" i="39"/>
  <c r="AA45" i="39"/>
  <c r="AA49" i="39" s="1"/>
  <c r="Z46" i="39"/>
  <c r="Y4" i="37"/>
  <c r="W47" i="34"/>
  <c r="V78" i="34"/>
  <c r="Z50" i="39" l="1"/>
  <c r="AA48" i="39"/>
  <c r="AA47" i="39"/>
  <c r="AB45" i="39"/>
  <c r="AB49" i="39" s="1"/>
  <c r="AA46" i="39"/>
  <c r="V26" i="40"/>
  <c r="W23" i="13" s="1"/>
  <c r="W33" i="13" s="1"/>
  <c r="W26" i="40"/>
  <c r="X23" i="13" s="1"/>
  <c r="X33" i="13" s="1"/>
  <c r="Z26" i="40"/>
  <c r="AA23" i="13" s="1"/>
  <c r="AA33" i="13" s="1"/>
  <c r="X26" i="40"/>
  <c r="Y23" i="13" s="1"/>
  <c r="Y33" i="13" s="1"/>
  <c r="Y26" i="40"/>
  <c r="Z23" i="13" s="1"/>
  <c r="Z33" i="13" s="1"/>
  <c r="Z4" i="37"/>
  <c r="W78" i="34"/>
  <c r="X47" i="34"/>
  <c r="AA50" i="39" l="1"/>
  <c r="AB48" i="39"/>
  <c r="AB47" i="39"/>
  <c r="AC45" i="39"/>
  <c r="AC49" i="39" s="1"/>
  <c r="AB46" i="39"/>
  <c r="P26" i="40"/>
  <c r="Q23" i="13" s="1"/>
  <c r="Q33" i="13" s="1"/>
  <c r="H26" i="40"/>
  <c r="I23" i="13" s="1"/>
  <c r="I33" i="13" s="1"/>
  <c r="O26" i="40"/>
  <c r="P23" i="13" s="1"/>
  <c r="P33" i="13" s="1"/>
  <c r="G26" i="40"/>
  <c r="H23" i="13" s="1"/>
  <c r="H33" i="13" s="1"/>
  <c r="Q26" i="40"/>
  <c r="R23" i="13" s="1"/>
  <c r="R33" i="13" s="1"/>
  <c r="N26" i="40"/>
  <c r="O23" i="13" s="1"/>
  <c r="O33" i="13" s="1"/>
  <c r="F26" i="40"/>
  <c r="G23" i="13" s="1"/>
  <c r="G33" i="13" s="1"/>
  <c r="U26" i="40"/>
  <c r="V23" i="13" s="1"/>
  <c r="V33" i="13" s="1"/>
  <c r="M26" i="40"/>
  <c r="N23" i="13" s="1"/>
  <c r="N33" i="13" s="1"/>
  <c r="E26" i="40"/>
  <c r="F23" i="13" s="1"/>
  <c r="F33" i="13" s="1"/>
  <c r="I26" i="40"/>
  <c r="J23" i="13" s="1"/>
  <c r="J33" i="13" s="1"/>
  <c r="T26" i="40"/>
  <c r="U23" i="13" s="1"/>
  <c r="U33" i="13" s="1"/>
  <c r="L26" i="40"/>
  <c r="M23" i="13" s="1"/>
  <c r="M33" i="13" s="1"/>
  <c r="S26" i="40"/>
  <c r="T23" i="13" s="1"/>
  <c r="T33" i="13" s="1"/>
  <c r="K26" i="40"/>
  <c r="L23" i="13" s="1"/>
  <c r="L33" i="13" s="1"/>
  <c r="AA26" i="40"/>
  <c r="AB23" i="13" s="1"/>
  <c r="AB33" i="13" s="1"/>
  <c r="R26" i="40"/>
  <c r="S23" i="13" s="1"/>
  <c r="S33" i="13" s="1"/>
  <c r="J26" i="40"/>
  <c r="K23" i="13" s="1"/>
  <c r="K33" i="13" s="1"/>
  <c r="AA4" i="37"/>
  <c r="X78" i="34"/>
  <c r="Y47" i="34"/>
  <c r="AB50" i="39" l="1"/>
  <c r="AC48" i="39"/>
  <c r="AD45" i="39"/>
  <c r="AD49" i="39" s="1"/>
  <c r="AC47" i="39"/>
  <c r="AC46" i="39"/>
  <c r="AB26" i="40"/>
  <c r="AC23" i="13" s="1"/>
  <c r="AC33" i="13" s="1"/>
  <c r="AB4" i="37"/>
  <c r="Y78" i="34"/>
  <c r="Z47" i="34"/>
  <c r="AC50" i="39" l="1"/>
  <c r="AD48" i="39"/>
  <c r="AE45" i="39"/>
  <c r="AE49" i="39" s="1"/>
  <c r="AD47" i="39"/>
  <c r="AD46" i="39"/>
  <c r="AC26" i="40"/>
  <c r="AD23" i="13" s="1"/>
  <c r="AD33" i="13" s="1"/>
  <c r="AC4" i="37"/>
  <c r="Z78" i="34"/>
  <c r="AA47" i="34"/>
  <c r="AE48" i="39" l="1"/>
  <c r="AF45" i="39"/>
  <c r="AF49" i="39" s="1"/>
  <c r="AE47" i="39"/>
  <c r="AD50" i="39"/>
  <c r="AE46" i="39"/>
  <c r="AD26" i="40"/>
  <c r="AE23" i="13" s="1"/>
  <c r="AE33" i="13" s="1"/>
  <c r="AD4" i="37"/>
  <c r="AA78" i="34"/>
  <c r="AB47" i="34"/>
  <c r="AE50" i="39" l="1"/>
  <c r="AF48" i="39"/>
  <c r="AG45" i="39"/>
  <c r="AG49" i="39" s="1"/>
  <c r="AF47" i="39"/>
  <c r="AF46" i="39"/>
  <c r="AE26" i="40"/>
  <c r="AF23" i="13" s="1"/>
  <c r="AF33" i="13" s="1"/>
  <c r="AE4" i="37"/>
  <c r="AC47" i="34"/>
  <c r="AB78" i="34"/>
  <c r="AF50" i="39" l="1"/>
  <c r="AG48" i="39"/>
  <c r="AH45" i="39"/>
  <c r="AH49" i="39" s="1"/>
  <c r="AG47" i="39"/>
  <c r="AG46" i="39"/>
  <c r="AF26" i="40"/>
  <c r="AG23" i="13" s="1"/>
  <c r="AG33" i="13" s="1"/>
  <c r="AF4" i="37"/>
  <c r="AD47" i="34"/>
  <c r="AC78" i="34"/>
  <c r="AG50" i="39" l="1"/>
  <c r="AH48" i="39"/>
  <c r="AI45" i="39"/>
  <c r="AI49" i="39" s="1"/>
  <c r="AH47" i="39"/>
  <c r="AH46" i="39"/>
  <c r="AG26" i="40"/>
  <c r="AH23" i="13" s="1"/>
  <c r="AH33" i="13" s="1"/>
  <c r="AG4" i="37"/>
  <c r="AE47" i="34"/>
  <c r="AD78" i="34"/>
  <c r="AH50" i="39" l="1"/>
  <c r="AI48" i="39"/>
  <c r="AJ45" i="39"/>
  <c r="AJ49" i="39" s="1"/>
  <c r="AI47" i="39"/>
  <c r="AI46" i="39"/>
  <c r="AH26" i="40"/>
  <c r="AI23" i="13" s="1"/>
  <c r="AI33" i="13" s="1"/>
  <c r="AH4" i="37"/>
  <c r="AE78" i="34"/>
  <c r="AF47" i="34"/>
  <c r="AI50" i="39" l="1"/>
  <c r="AJ47" i="39"/>
  <c r="AJ46" i="39"/>
  <c r="AK45" i="39"/>
  <c r="AK49" i="39" s="1"/>
  <c r="AJ48" i="39"/>
  <c r="AI26" i="40"/>
  <c r="AI4" i="37"/>
  <c r="AF78" i="34"/>
  <c r="AG47" i="34"/>
  <c r="AJ50" i="39" l="1"/>
  <c r="AK48" i="39"/>
  <c r="AK46" i="39"/>
  <c r="AK47" i="39"/>
  <c r="AL45" i="39"/>
  <c r="AL49" i="39" s="1"/>
  <c r="AJ4" i="37"/>
  <c r="AG78" i="34"/>
  <c r="AH47" i="34"/>
  <c r="AK50" i="39" l="1"/>
  <c r="AL46" i="39"/>
  <c r="AL47" i="39"/>
  <c r="AM45" i="39"/>
  <c r="AM49" i="39" s="1"/>
  <c r="AL48" i="39"/>
  <c r="AK26" i="40"/>
  <c r="AJ26" i="40"/>
  <c r="AH78" i="34"/>
  <c r="AM48" i="39" l="1"/>
  <c r="AM46" i="39"/>
  <c r="AM47" i="39"/>
  <c r="AN45" i="39"/>
  <c r="AN49" i="39" s="1"/>
  <c r="AL50" i="39"/>
  <c r="AL26" i="40"/>
  <c r="AI78" i="34"/>
  <c r="AM50" i="39" l="1"/>
  <c r="E49" i="39"/>
  <c r="AN48" i="39"/>
  <c r="E48" i="39" s="1"/>
  <c r="AN47" i="39"/>
  <c r="E47" i="39" s="1"/>
  <c r="AN46" i="39"/>
  <c r="E46" i="39" s="1"/>
  <c r="AM26" i="40"/>
  <c r="AJ78" i="34"/>
  <c r="AN50" i="39" l="1"/>
  <c r="E50" i="39"/>
  <c r="E23" i="13"/>
  <c r="D8" i="4" s="1"/>
  <c r="AK78" i="34"/>
  <c r="E3" i="13" l="1"/>
  <c r="E33" i="13" s="1"/>
  <c r="D28" i="4"/>
  <c r="D48" i="4" s="1"/>
  <c r="E141" i="18"/>
  <c r="E10" i="15" s="1"/>
  <c r="D140" i="18"/>
  <c r="D7" i="4" l="1"/>
  <c r="D9" i="4" s="1"/>
  <c r="AG140" i="18"/>
  <c r="AG141" i="18" s="1"/>
  <c r="AG10" i="15" s="1"/>
  <c r="Y140" i="18"/>
  <c r="Y141" i="18" s="1"/>
  <c r="Y10" i="15" s="1"/>
  <c r="Q140" i="18"/>
  <c r="Q141" i="18" s="1"/>
  <c r="Q10" i="15" s="1"/>
  <c r="I140" i="18"/>
  <c r="I141" i="18" s="1"/>
  <c r="I10" i="15" s="1"/>
  <c r="R140" i="18"/>
  <c r="R141" i="18" s="1"/>
  <c r="R10" i="15" s="1"/>
  <c r="J140" i="18"/>
  <c r="J141" i="18" s="1"/>
  <c r="J10" i="15" s="1"/>
  <c r="AF140" i="18"/>
  <c r="AF141" i="18" s="1"/>
  <c r="AF10" i="15" s="1"/>
  <c r="X140" i="18"/>
  <c r="X141" i="18" s="1"/>
  <c r="X10" i="15" s="1"/>
  <c r="P140" i="18"/>
  <c r="P141" i="18" s="1"/>
  <c r="P10" i="15" s="1"/>
  <c r="H140" i="18"/>
  <c r="H141" i="18" s="1"/>
  <c r="H10" i="15" s="1"/>
  <c r="AE140" i="18"/>
  <c r="AE141" i="18" s="1"/>
  <c r="AE10" i="15" s="1"/>
  <c r="W140" i="18"/>
  <c r="W141" i="18" s="1"/>
  <c r="W10" i="15" s="1"/>
  <c r="O140" i="18"/>
  <c r="O141" i="18" s="1"/>
  <c r="O10" i="15" s="1"/>
  <c r="G140" i="18"/>
  <c r="G141" i="18" s="1"/>
  <c r="G10" i="15" s="1"/>
  <c r="AD140" i="18"/>
  <c r="AD141" i="18" s="1"/>
  <c r="AD10" i="15" s="1"/>
  <c r="V140" i="18"/>
  <c r="V141" i="18" s="1"/>
  <c r="V10" i="15" s="1"/>
  <c r="N140" i="18"/>
  <c r="N141" i="18" s="1"/>
  <c r="N10" i="15" s="1"/>
  <c r="F140" i="18"/>
  <c r="F141" i="18" s="1"/>
  <c r="F10" i="15" s="1"/>
  <c r="AC140" i="18"/>
  <c r="AC141" i="18" s="1"/>
  <c r="AC10" i="15" s="1"/>
  <c r="U140" i="18"/>
  <c r="U141" i="18" s="1"/>
  <c r="U10" i="15" s="1"/>
  <c r="M140" i="18"/>
  <c r="M141" i="18" s="1"/>
  <c r="M10" i="15" s="1"/>
  <c r="AB140" i="18"/>
  <c r="AB141" i="18" s="1"/>
  <c r="AB10" i="15" s="1"/>
  <c r="T140" i="18"/>
  <c r="T141" i="18" s="1"/>
  <c r="T10" i="15" s="1"/>
  <c r="L140" i="18"/>
  <c r="L141" i="18" s="1"/>
  <c r="L10" i="15" s="1"/>
  <c r="AA140" i="18"/>
  <c r="AA141" i="18" s="1"/>
  <c r="AA10" i="15" s="1"/>
  <c r="S140" i="18"/>
  <c r="S141" i="18" s="1"/>
  <c r="S10" i="15" s="1"/>
  <c r="K140" i="18"/>
  <c r="K141" i="18" s="1"/>
  <c r="K10" i="15" s="1"/>
  <c r="AH140" i="18"/>
  <c r="AH141" i="18" s="1"/>
  <c r="AH10" i="15" s="1"/>
  <c r="Z140" i="18"/>
  <c r="Z141" i="18" s="1"/>
  <c r="Z10" i="15" s="1"/>
  <c r="AJ23" i="33" l="1"/>
  <c r="AI23" i="33"/>
  <c r="AH23" i="33"/>
  <c r="AG23" i="33"/>
  <c r="AF23" i="33"/>
  <c r="AE23" i="33"/>
  <c r="AD23" i="33"/>
  <c r="AC23" i="33"/>
  <c r="AB23" i="33"/>
  <c r="AA23" i="33"/>
  <c r="Z23" i="33"/>
  <c r="Y23" i="33"/>
  <c r="X23" i="33"/>
  <c r="W23" i="33"/>
  <c r="V23" i="33"/>
  <c r="U23" i="33"/>
  <c r="T23" i="33"/>
  <c r="S23" i="33"/>
  <c r="R23" i="33"/>
  <c r="Q23" i="33"/>
  <c r="P23" i="33"/>
  <c r="O23" i="33"/>
  <c r="N23" i="33"/>
  <c r="M23" i="33"/>
  <c r="L23" i="33"/>
  <c r="K23" i="33"/>
  <c r="J23" i="33"/>
  <c r="I23" i="33"/>
  <c r="H23" i="33"/>
  <c r="G23" i="33"/>
  <c r="G58" i="32"/>
  <c r="AJ36" i="32"/>
  <c r="AI36" i="32"/>
  <c r="AH36" i="32"/>
  <c r="AG36" i="32"/>
  <c r="AF36" i="32"/>
  <c r="AE36" i="32"/>
  <c r="AD36" i="32"/>
  <c r="AC36" i="32"/>
  <c r="AB36" i="32"/>
  <c r="AA36" i="32"/>
  <c r="Z36" i="32"/>
  <c r="Y36" i="32"/>
  <c r="X36" i="32"/>
  <c r="W36" i="32"/>
  <c r="V36" i="32"/>
  <c r="U36" i="32"/>
  <c r="T36" i="32"/>
  <c r="S36" i="32"/>
  <c r="R36" i="32"/>
  <c r="Q36" i="32"/>
  <c r="P36" i="32"/>
  <c r="O36" i="32"/>
  <c r="N36" i="32"/>
  <c r="M36" i="32"/>
  <c r="L36" i="32"/>
  <c r="K36" i="32"/>
  <c r="J36" i="32"/>
  <c r="I36" i="32"/>
  <c r="H36" i="32"/>
  <c r="G36" i="32"/>
  <c r="E8" i="18"/>
  <c r="H171" i="29" l="1"/>
  <c r="G31" i="28"/>
  <c r="G26" i="27"/>
  <c r="G43" i="26"/>
  <c r="G45" i="26" s="1"/>
  <c r="G93" i="13"/>
  <c r="F54" i="25"/>
  <c r="F55" i="25" s="1"/>
  <c r="G37" i="13"/>
  <c r="G38" i="24"/>
  <c r="G40" i="24" s="1"/>
  <c r="G61" i="23"/>
  <c r="G62" i="23" s="1"/>
  <c r="H38" i="25"/>
  <c r="H39" i="25"/>
  <c r="C44" i="25"/>
  <c r="C45" i="25" s="1"/>
  <c r="C46" i="25" s="1"/>
  <c r="G65" i="23" l="1"/>
  <c r="G246" i="13"/>
  <c r="G245" i="13"/>
  <c r="G215" i="13"/>
  <c r="G205" i="13"/>
  <c r="G46" i="26"/>
  <c r="G64" i="23"/>
  <c r="H172" i="29"/>
  <c r="H173" i="29"/>
  <c r="H25" i="32" s="1"/>
  <c r="H40" i="25"/>
  <c r="G39" i="24"/>
  <c r="G54" i="25"/>
  <c r="H38" i="24"/>
  <c r="H40" i="24" s="1"/>
  <c r="H61" i="23"/>
  <c r="H62" i="23" s="1"/>
  <c r="H93" i="13"/>
  <c r="H37" i="13"/>
  <c r="I171" i="29"/>
  <c r="H31" i="28"/>
  <c r="H26" i="27"/>
  <c r="H27" i="27" s="1"/>
  <c r="H43" i="26"/>
  <c r="H45" i="26" s="1"/>
  <c r="G63" i="23"/>
  <c r="F56" i="25"/>
  <c r="D43" i="25" l="1"/>
  <c r="E56" i="25" s="1"/>
  <c r="E57" i="25" s="1"/>
  <c r="G102" i="23"/>
  <c r="G98" i="23"/>
  <c r="G89" i="23"/>
  <c r="G85" i="23"/>
  <c r="G115" i="23"/>
  <c r="G111" i="23"/>
  <c r="H65" i="23"/>
  <c r="G66" i="23"/>
  <c r="F57" i="25"/>
  <c r="F83" i="48"/>
  <c r="H246" i="13"/>
  <c r="H245" i="13"/>
  <c r="H24" i="32"/>
  <c r="H205" i="13"/>
  <c r="H215" i="13"/>
  <c r="G55" i="25"/>
  <c r="H46" i="26"/>
  <c r="G41" i="24"/>
  <c r="H64" i="23"/>
  <c r="G47" i="26"/>
  <c r="G124" i="13" s="1"/>
  <c r="H39" i="24"/>
  <c r="I173" i="29"/>
  <c r="I25" i="32" s="1"/>
  <c r="I172" i="29"/>
  <c r="I61" i="23"/>
  <c r="I62" i="23" s="1"/>
  <c r="H54" i="25"/>
  <c r="G56" i="25"/>
  <c r="I38" i="24"/>
  <c r="I40" i="24" s="1"/>
  <c r="H63" i="23"/>
  <c r="F124" i="13"/>
  <c r="I93" i="13"/>
  <c r="I37" i="13"/>
  <c r="J171" i="29"/>
  <c r="I31" i="28"/>
  <c r="I26" i="27"/>
  <c r="I27" i="27" s="1"/>
  <c r="I43" i="26"/>
  <c r="I45" i="26" s="1"/>
  <c r="D44" i="25"/>
  <c r="D45" i="25" s="1"/>
  <c r="D46" i="25" s="1"/>
  <c r="G125" i="23" l="1"/>
  <c r="H111" i="23"/>
  <c r="H115" i="23"/>
  <c r="H98" i="23"/>
  <c r="H102" i="23"/>
  <c r="G130" i="23"/>
  <c r="H85" i="23"/>
  <c r="H89" i="23"/>
  <c r="H130" i="23" s="1"/>
  <c r="I65" i="23"/>
  <c r="H66" i="23"/>
  <c r="G57" i="25"/>
  <c r="G83" i="48"/>
  <c r="I246" i="13"/>
  <c r="I245" i="13"/>
  <c r="I24" i="32"/>
  <c r="I205" i="13"/>
  <c r="I215" i="13"/>
  <c r="I46" i="26"/>
  <c r="H41" i="24"/>
  <c r="H55" i="25"/>
  <c r="I64" i="23"/>
  <c r="H47" i="26"/>
  <c r="H124" i="13" s="1"/>
  <c r="J173" i="29"/>
  <c r="J25" i="32" s="1"/>
  <c r="J172" i="29"/>
  <c r="I39" i="24"/>
  <c r="I63" i="23"/>
  <c r="J61" i="23"/>
  <c r="J62" i="23" s="1"/>
  <c r="H56" i="25"/>
  <c r="I54" i="25"/>
  <c r="J38" i="24"/>
  <c r="J40" i="24" s="1"/>
  <c r="G58" i="13"/>
  <c r="E94" i="4" s="1"/>
  <c r="J93" i="13"/>
  <c r="J37" i="13"/>
  <c r="K171" i="29"/>
  <c r="J31" i="28"/>
  <c r="G114" i="13"/>
  <c r="J26" i="27"/>
  <c r="J27" i="27" s="1"/>
  <c r="H114" i="13"/>
  <c r="J43" i="26"/>
  <c r="J46" i="26" s="1"/>
  <c r="H125" i="23" l="1"/>
  <c r="I115" i="23"/>
  <c r="I111" i="23"/>
  <c r="I85" i="23"/>
  <c r="I89" i="23"/>
  <c r="I98" i="23"/>
  <c r="I102" i="23"/>
  <c r="J65" i="23"/>
  <c r="I66" i="23"/>
  <c r="H57" i="25"/>
  <c r="H58" i="13"/>
  <c r="F94" i="4" s="1"/>
  <c r="H83" i="48"/>
  <c r="J246" i="13"/>
  <c r="J245" i="13"/>
  <c r="J24" i="32"/>
  <c r="J205" i="13"/>
  <c r="J215" i="13"/>
  <c r="J45" i="26"/>
  <c r="I41" i="24"/>
  <c r="I55" i="25"/>
  <c r="J64" i="23"/>
  <c r="I47" i="26"/>
  <c r="I124" i="13" s="1"/>
  <c r="K172" i="29"/>
  <c r="K173" i="29"/>
  <c r="K25" i="32" s="1"/>
  <c r="J39" i="24"/>
  <c r="K61" i="23"/>
  <c r="K62" i="23" s="1"/>
  <c r="J63" i="23"/>
  <c r="J54" i="25"/>
  <c r="I56" i="25"/>
  <c r="H68" i="13"/>
  <c r="F95" i="4" s="1"/>
  <c r="K38" i="24"/>
  <c r="K40" i="24" s="1"/>
  <c r="K93" i="13"/>
  <c r="K37" i="13"/>
  <c r="F114" i="13"/>
  <c r="L171" i="29"/>
  <c r="K31" i="28"/>
  <c r="I114" i="13"/>
  <c r="K26" i="27"/>
  <c r="K27" i="27" s="1"/>
  <c r="K43" i="26"/>
  <c r="K45" i="26" s="1"/>
  <c r="I130" i="23" l="1"/>
  <c r="J98" i="23"/>
  <c r="J102" i="23"/>
  <c r="J115" i="23"/>
  <c r="J111" i="23"/>
  <c r="I125" i="23"/>
  <c r="J89" i="23"/>
  <c r="J130" i="23" s="1"/>
  <c r="J85" i="23"/>
  <c r="K65" i="23"/>
  <c r="J66" i="23"/>
  <c r="I57" i="25"/>
  <c r="J68" i="13" s="1"/>
  <c r="H95" i="4" s="1"/>
  <c r="I83" i="48"/>
  <c r="K246" i="13"/>
  <c r="K245" i="13"/>
  <c r="K24" i="32"/>
  <c r="K215" i="13"/>
  <c r="K205" i="13"/>
  <c r="K46" i="26"/>
  <c r="J55" i="25"/>
  <c r="K64" i="23"/>
  <c r="J41" i="24"/>
  <c r="J47" i="26"/>
  <c r="J124" i="13" s="1"/>
  <c r="L172" i="29"/>
  <c r="L173" i="29"/>
  <c r="L25" i="32" s="1"/>
  <c r="K39" i="24"/>
  <c r="L61" i="23"/>
  <c r="L62" i="23" s="1"/>
  <c r="K63" i="23"/>
  <c r="K54" i="25"/>
  <c r="J56" i="25"/>
  <c r="L38" i="24"/>
  <c r="L40" i="24" s="1"/>
  <c r="I58" i="13"/>
  <c r="G94" i="4" s="1"/>
  <c r="L93" i="13"/>
  <c r="L37" i="13"/>
  <c r="M171" i="29"/>
  <c r="L31" i="28"/>
  <c r="J114" i="13"/>
  <c r="L26" i="27"/>
  <c r="L27" i="27" s="1"/>
  <c r="L43" i="26"/>
  <c r="L45" i="26" s="1"/>
  <c r="K111" i="23" l="1"/>
  <c r="K115" i="23"/>
  <c r="J125" i="23"/>
  <c r="K102" i="23"/>
  <c r="K98" i="23"/>
  <c r="K85" i="23"/>
  <c r="K89" i="23"/>
  <c r="L65" i="23"/>
  <c r="K66" i="23"/>
  <c r="J57" i="25"/>
  <c r="J83" i="48"/>
  <c r="L246" i="13"/>
  <c r="L245" i="13"/>
  <c r="L24" i="32"/>
  <c r="L205" i="13"/>
  <c r="L215" i="13"/>
  <c r="L46" i="26"/>
  <c r="K41" i="24"/>
  <c r="K55" i="25"/>
  <c r="L64" i="23"/>
  <c r="K47" i="26"/>
  <c r="K124" i="13" s="1"/>
  <c r="M172" i="29"/>
  <c r="M173" i="29"/>
  <c r="M25" i="32" s="1"/>
  <c r="L39" i="24"/>
  <c r="M61" i="23"/>
  <c r="M62" i="23" s="1"/>
  <c r="L63" i="23"/>
  <c r="L54" i="25"/>
  <c r="K56" i="25"/>
  <c r="M38" i="24"/>
  <c r="M40" i="24" s="1"/>
  <c r="J58" i="13"/>
  <c r="H94" i="4" s="1"/>
  <c r="M93" i="13"/>
  <c r="M37" i="13"/>
  <c r="N171" i="29"/>
  <c r="M31" i="28"/>
  <c r="M26" i="27"/>
  <c r="M27" i="27" s="1"/>
  <c r="K114" i="13"/>
  <c r="M43" i="26"/>
  <c r="M45" i="26" s="1"/>
  <c r="K130" i="23" l="1"/>
  <c r="L115" i="23"/>
  <c r="L111" i="23"/>
  <c r="K125" i="23"/>
  <c r="L102" i="23"/>
  <c r="L98" i="23"/>
  <c r="L85" i="23"/>
  <c r="L125" i="23" s="1"/>
  <c r="L89" i="23"/>
  <c r="L130" i="23" s="1"/>
  <c r="M65" i="23"/>
  <c r="L66" i="23"/>
  <c r="K57" i="25"/>
  <c r="M246" i="13"/>
  <c r="M245" i="13"/>
  <c r="M24" i="32"/>
  <c r="K83" i="48"/>
  <c r="M215" i="13"/>
  <c r="M205" i="13"/>
  <c r="M46" i="26"/>
  <c r="L55" i="25"/>
  <c r="M64" i="23"/>
  <c r="L41" i="24"/>
  <c r="L47" i="26"/>
  <c r="L124" i="13" s="1"/>
  <c r="N172" i="29"/>
  <c r="N173" i="29"/>
  <c r="N25" i="32" s="1"/>
  <c r="M39" i="24"/>
  <c r="N61" i="23"/>
  <c r="N62" i="23" s="1"/>
  <c r="M63" i="23"/>
  <c r="M54" i="25"/>
  <c r="L56" i="25"/>
  <c r="L68" i="13"/>
  <c r="J95" i="4" s="1"/>
  <c r="K58" i="13"/>
  <c r="I94" i="4" s="1"/>
  <c r="N38" i="24"/>
  <c r="N40" i="24" s="1"/>
  <c r="N93" i="13"/>
  <c r="N37" i="13"/>
  <c r="O171" i="29"/>
  <c r="N31" i="28"/>
  <c r="N26" i="27"/>
  <c r="N27" i="27" s="1"/>
  <c r="L114" i="13"/>
  <c r="N43" i="26"/>
  <c r="N45" i="26" s="1"/>
  <c r="M85" i="23" l="1"/>
  <c r="M89" i="23"/>
  <c r="M98" i="23"/>
  <c r="M102" i="23"/>
  <c r="M115" i="23"/>
  <c r="M111" i="23"/>
  <c r="N65" i="23"/>
  <c r="M66" i="23"/>
  <c r="L57" i="25"/>
  <c r="M68" i="13" s="1"/>
  <c r="K95" i="4" s="1"/>
  <c r="N246" i="13"/>
  <c r="N245" i="13"/>
  <c r="N24" i="32"/>
  <c r="N215" i="13"/>
  <c r="N205" i="13"/>
  <c r="L83" i="48"/>
  <c r="N39" i="24"/>
  <c r="N46" i="26"/>
  <c r="M55" i="25"/>
  <c r="N64" i="23"/>
  <c r="M41" i="24"/>
  <c r="M47" i="26"/>
  <c r="M124" i="13" s="1"/>
  <c r="O173" i="29"/>
  <c r="O25" i="32" s="1"/>
  <c r="M56" i="25"/>
  <c r="O61" i="23"/>
  <c r="O62" i="23" s="1"/>
  <c r="N63" i="23"/>
  <c r="N54" i="25"/>
  <c r="O38" i="24"/>
  <c r="O40" i="24" s="1"/>
  <c r="L58" i="13"/>
  <c r="J94" i="4" s="1"/>
  <c r="O93" i="13"/>
  <c r="O37" i="13"/>
  <c r="P171" i="29"/>
  <c r="O31" i="28"/>
  <c r="O26" i="27"/>
  <c r="O27" i="27" s="1"/>
  <c r="M114" i="13"/>
  <c r="O43" i="26"/>
  <c r="O45" i="26" s="1"/>
  <c r="N115" i="23" l="1"/>
  <c r="N111" i="23"/>
  <c r="N89" i="23"/>
  <c r="N85" i="23"/>
  <c r="N102" i="23"/>
  <c r="N98" i="23"/>
  <c r="M130" i="23"/>
  <c r="M125" i="23"/>
  <c r="M57" i="25"/>
  <c r="O65" i="23"/>
  <c r="N66" i="23"/>
  <c r="O246" i="13"/>
  <c r="O245" i="13"/>
  <c r="O24" i="32"/>
  <c r="O215" i="13"/>
  <c r="O205" i="13"/>
  <c r="M83" i="48"/>
  <c r="O46" i="26"/>
  <c r="N55" i="25"/>
  <c r="O64" i="23"/>
  <c r="N41" i="24"/>
  <c r="N47" i="26"/>
  <c r="N124" i="13" s="1"/>
  <c r="P172" i="29"/>
  <c r="P173" i="29"/>
  <c r="P25" i="32" s="1"/>
  <c r="O39" i="24"/>
  <c r="P61" i="23"/>
  <c r="O63" i="23"/>
  <c r="O54" i="25"/>
  <c r="N68" i="13"/>
  <c r="L95" i="4" s="1"/>
  <c r="N56" i="25"/>
  <c r="P43" i="26"/>
  <c r="M58" i="13"/>
  <c r="K94" i="4" s="1"/>
  <c r="P38" i="24"/>
  <c r="P40" i="24" s="1"/>
  <c r="P93" i="13"/>
  <c r="P37" i="13"/>
  <c r="Q171" i="29"/>
  <c r="P31" i="28"/>
  <c r="N114" i="13"/>
  <c r="P26" i="27"/>
  <c r="P27" i="27" s="1"/>
  <c r="P45" i="26" l="1"/>
  <c r="P46" i="26"/>
  <c r="N125" i="23"/>
  <c r="N130" i="23"/>
  <c r="O102" i="23"/>
  <c r="O98" i="23"/>
  <c r="O89" i="23"/>
  <c r="O85" i="23"/>
  <c r="O111" i="23"/>
  <c r="O115" i="23"/>
  <c r="P62" i="23"/>
  <c r="P63" i="23"/>
  <c r="P65" i="23"/>
  <c r="O66" i="23"/>
  <c r="N57" i="25"/>
  <c r="O68" i="13" s="1"/>
  <c r="M95" i="4" s="1"/>
  <c r="N83" i="48"/>
  <c r="P246" i="13"/>
  <c r="P245" i="13"/>
  <c r="P24" i="32"/>
  <c r="P205" i="13"/>
  <c r="P215" i="13"/>
  <c r="O41" i="24"/>
  <c r="O47" i="26"/>
  <c r="O124" i="13" s="1"/>
  <c r="Q172" i="29"/>
  <c r="Q173" i="29"/>
  <c r="Q25" i="32" s="1"/>
  <c r="P39" i="24"/>
  <c r="O56" i="25"/>
  <c r="P54" i="25"/>
  <c r="Q61" i="23"/>
  <c r="Q62" i="23" s="1"/>
  <c r="Q43" i="26"/>
  <c r="Q45" i="26" s="1"/>
  <c r="N58" i="13"/>
  <c r="L94" i="4" s="1"/>
  <c r="Q38" i="24"/>
  <c r="Q40" i="24" s="1"/>
  <c r="Q93" i="13"/>
  <c r="Q37" i="13"/>
  <c r="R171" i="29"/>
  <c r="Q31" i="28"/>
  <c r="O114" i="13"/>
  <c r="Q26" i="27"/>
  <c r="Q27" i="27" s="1"/>
  <c r="O125" i="23" l="1"/>
  <c r="O130" i="23"/>
  <c r="P115" i="23"/>
  <c r="P111" i="23"/>
  <c r="P98" i="23"/>
  <c r="P102" i="23"/>
  <c r="P89" i="23"/>
  <c r="P130" i="23" s="1"/>
  <c r="P85" i="23"/>
  <c r="P125" i="23" s="1"/>
  <c r="Q65" i="23"/>
  <c r="P66" i="23"/>
  <c r="O57" i="25"/>
  <c r="Q246" i="13"/>
  <c r="Q245" i="13"/>
  <c r="Q24" i="32"/>
  <c r="O83" i="48"/>
  <c r="Q205" i="13"/>
  <c r="Q215" i="13"/>
  <c r="Q46" i="26"/>
  <c r="P41" i="24"/>
  <c r="P55" i="25"/>
  <c r="Q64" i="23"/>
  <c r="P47" i="26"/>
  <c r="P124" i="13" s="1"/>
  <c r="R172" i="29"/>
  <c r="R173" i="29"/>
  <c r="R25" i="32" s="1"/>
  <c r="P56" i="25"/>
  <c r="Q39" i="24"/>
  <c r="Q54" i="25"/>
  <c r="R61" i="23"/>
  <c r="R62" i="23" s="1"/>
  <c r="Q63" i="23"/>
  <c r="R43" i="26"/>
  <c r="R45" i="26" s="1"/>
  <c r="O58" i="13"/>
  <c r="M94" i="4" s="1"/>
  <c r="R38" i="24"/>
  <c r="R40" i="24" s="1"/>
  <c r="R93" i="13"/>
  <c r="R37" i="13"/>
  <c r="S171" i="29"/>
  <c r="R31" i="28"/>
  <c r="P114" i="13"/>
  <c r="R26" i="27"/>
  <c r="R27" i="27" s="1"/>
  <c r="Q115" i="23" l="1"/>
  <c r="Q111" i="23"/>
  <c r="Q98" i="23"/>
  <c r="Q102" i="23"/>
  <c r="Q89" i="23"/>
  <c r="Q85" i="23"/>
  <c r="Q125" i="23" s="1"/>
  <c r="Q66" i="23"/>
  <c r="R65" i="23"/>
  <c r="P57" i="25"/>
  <c r="Q68" i="13" s="1"/>
  <c r="O95" i="4" s="1"/>
  <c r="R246" i="13"/>
  <c r="R245" i="13"/>
  <c r="R24" i="32"/>
  <c r="P83" i="48"/>
  <c r="R205" i="13"/>
  <c r="R215" i="13"/>
  <c r="R46" i="26"/>
  <c r="Q55" i="25"/>
  <c r="R64" i="23"/>
  <c r="Q41" i="24"/>
  <c r="Q47" i="26"/>
  <c r="Q124" i="13" s="1"/>
  <c r="S172" i="29"/>
  <c r="S173" i="29"/>
  <c r="S25" i="32" s="1"/>
  <c r="R54" i="25"/>
  <c r="Q56" i="25"/>
  <c r="R39" i="24"/>
  <c r="S61" i="23"/>
  <c r="S62" i="23" s="1"/>
  <c r="R63" i="23"/>
  <c r="S43" i="26"/>
  <c r="S45" i="26" s="1"/>
  <c r="S38" i="24"/>
  <c r="S40" i="24" s="1"/>
  <c r="P58" i="13"/>
  <c r="N94" i="4" s="1"/>
  <c r="S93" i="13"/>
  <c r="S37" i="13"/>
  <c r="T171" i="29"/>
  <c r="S31" i="28"/>
  <c r="Q114" i="13"/>
  <c r="S26" i="27"/>
  <c r="S27" i="27" s="1"/>
  <c r="Q130" i="23" l="1"/>
  <c r="R111" i="23"/>
  <c r="R115" i="23"/>
  <c r="R89" i="23"/>
  <c r="R85" i="23"/>
  <c r="R98" i="23"/>
  <c r="R102" i="23"/>
  <c r="R66" i="23"/>
  <c r="Q57" i="25"/>
  <c r="R68" i="13" s="1"/>
  <c r="P95" i="4" s="1"/>
  <c r="S246" i="13"/>
  <c r="S245" i="13"/>
  <c r="S24" i="32"/>
  <c r="Q83" i="48"/>
  <c r="S205" i="13"/>
  <c r="S215" i="13"/>
  <c r="S46" i="26"/>
  <c r="R41" i="24"/>
  <c r="R55" i="25"/>
  <c r="S54" i="25"/>
  <c r="R56" i="25"/>
  <c r="S64" i="23"/>
  <c r="R47" i="26"/>
  <c r="R124" i="13" s="1"/>
  <c r="T172" i="29"/>
  <c r="T173" i="29"/>
  <c r="T25" i="32" s="1"/>
  <c r="S39" i="24"/>
  <c r="T61" i="23"/>
  <c r="T62" i="23" s="1"/>
  <c r="S63" i="23"/>
  <c r="T43" i="26"/>
  <c r="T45" i="26" s="1"/>
  <c r="Q58" i="13"/>
  <c r="O94" i="4" s="1"/>
  <c r="T38" i="24"/>
  <c r="T40" i="24" s="1"/>
  <c r="T93" i="13"/>
  <c r="T37" i="13"/>
  <c r="U171" i="29"/>
  <c r="T31" i="28"/>
  <c r="R114" i="13"/>
  <c r="T26" i="27"/>
  <c r="T27" i="27" s="1"/>
  <c r="S111" i="23" l="1"/>
  <c r="S115" i="23"/>
  <c r="S102" i="23"/>
  <c r="S98" i="23"/>
  <c r="R125" i="23"/>
  <c r="R130" i="23"/>
  <c r="S85" i="23"/>
  <c r="S89" i="23"/>
  <c r="S130" i="23" s="1"/>
  <c r="T65" i="23"/>
  <c r="S66" i="23"/>
  <c r="T54" i="25"/>
  <c r="R57" i="25"/>
  <c r="S68" i="13" s="1"/>
  <c r="Q95" i="4" s="1"/>
  <c r="T246" i="13"/>
  <c r="T245" i="13"/>
  <c r="T24" i="32"/>
  <c r="T205" i="13"/>
  <c r="T215" i="13"/>
  <c r="R83" i="48"/>
  <c r="S56" i="25"/>
  <c r="T46" i="26"/>
  <c r="T55" i="25"/>
  <c r="S55" i="25"/>
  <c r="T64" i="23"/>
  <c r="S41" i="24"/>
  <c r="S47" i="26"/>
  <c r="S124" i="13" s="1"/>
  <c r="U172" i="29"/>
  <c r="U173" i="29"/>
  <c r="U25" i="32" s="1"/>
  <c r="T39" i="24"/>
  <c r="U61" i="23"/>
  <c r="U62" i="23" s="1"/>
  <c r="T63" i="23"/>
  <c r="U43" i="26"/>
  <c r="U45" i="26" s="1"/>
  <c r="U38" i="24"/>
  <c r="U40" i="24" s="1"/>
  <c r="R58" i="13"/>
  <c r="P94" i="4" s="1"/>
  <c r="U93" i="13"/>
  <c r="U37" i="13"/>
  <c r="D100" i="4" s="1"/>
  <c r="V171" i="29"/>
  <c r="U31" i="28"/>
  <c r="U26" i="27"/>
  <c r="U27" i="27" s="1"/>
  <c r="S114" i="13"/>
  <c r="S125" i="23" l="1"/>
  <c r="T85" i="23"/>
  <c r="T89" i="23"/>
  <c r="T102" i="23"/>
  <c r="T98" i="23"/>
  <c r="T111" i="23"/>
  <c r="T115" i="23"/>
  <c r="U54" i="25"/>
  <c r="T56" i="25"/>
  <c r="T57" i="25" s="1"/>
  <c r="S57" i="25"/>
  <c r="T66" i="23"/>
  <c r="U65" i="23"/>
  <c r="U246" i="13"/>
  <c r="U245" i="13"/>
  <c r="U24" i="32"/>
  <c r="U215" i="13"/>
  <c r="U205" i="13"/>
  <c r="S83" i="48"/>
  <c r="U46" i="26"/>
  <c r="T68" i="13"/>
  <c r="R95" i="4" s="1"/>
  <c r="U55" i="25"/>
  <c r="U64" i="23"/>
  <c r="T41" i="24"/>
  <c r="T47" i="26"/>
  <c r="T124" i="13" s="1"/>
  <c r="V172" i="29"/>
  <c r="V173" i="29"/>
  <c r="V25" i="32" s="1"/>
  <c r="U39" i="24"/>
  <c r="V61" i="23"/>
  <c r="V62" i="23" s="1"/>
  <c r="U63" i="23"/>
  <c r="V43" i="26"/>
  <c r="V45" i="26" s="1"/>
  <c r="S58" i="13"/>
  <c r="Q94" i="4" s="1"/>
  <c r="V38" i="24"/>
  <c r="V40" i="24" s="1"/>
  <c r="V93" i="13"/>
  <c r="V37" i="13"/>
  <c r="E100" i="4" s="1"/>
  <c r="W171" i="29"/>
  <c r="V31" i="28"/>
  <c r="T114" i="13"/>
  <c r="V26" i="27"/>
  <c r="V27" i="27" s="1"/>
  <c r="V54" i="25"/>
  <c r="U56" i="25"/>
  <c r="U102" i="23" l="1"/>
  <c r="U98" i="23"/>
  <c r="U85" i="23"/>
  <c r="U89" i="23"/>
  <c r="U115" i="23"/>
  <c r="U111" i="23"/>
  <c r="T130" i="23"/>
  <c r="T125" i="23"/>
  <c r="V65" i="23"/>
  <c r="U66" i="23"/>
  <c r="U57" i="25"/>
  <c r="T83" i="48"/>
  <c r="V246" i="13"/>
  <c r="V245" i="13"/>
  <c r="V24" i="32"/>
  <c r="V215" i="13"/>
  <c r="V205" i="13"/>
  <c r="V46" i="26"/>
  <c r="V55" i="25"/>
  <c r="V64" i="23"/>
  <c r="U41" i="24"/>
  <c r="U47" i="26"/>
  <c r="U124" i="13" s="1"/>
  <c r="W172" i="29"/>
  <c r="W173" i="29"/>
  <c r="W25" i="32" s="1"/>
  <c r="V39" i="24"/>
  <c r="W61" i="23"/>
  <c r="W62" i="23" s="1"/>
  <c r="V63" i="23"/>
  <c r="W43" i="26"/>
  <c r="W45" i="26" s="1"/>
  <c r="W38" i="24"/>
  <c r="W40" i="24" s="1"/>
  <c r="T58" i="13"/>
  <c r="R94" i="4" s="1"/>
  <c r="W93" i="13"/>
  <c r="W37" i="13"/>
  <c r="F100" i="4" s="1"/>
  <c r="X171" i="29"/>
  <c r="W31" i="28"/>
  <c r="U114" i="13"/>
  <c r="W26" i="27"/>
  <c r="W27" i="27" s="1"/>
  <c r="W54" i="25"/>
  <c r="V56" i="25"/>
  <c r="V89" i="23" l="1"/>
  <c r="V85" i="23"/>
  <c r="U130" i="23"/>
  <c r="U125" i="23"/>
  <c r="V102" i="23"/>
  <c r="V98" i="23"/>
  <c r="V115" i="23"/>
  <c r="V111" i="23"/>
  <c r="W65" i="23"/>
  <c r="V66" i="23"/>
  <c r="V57" i="25"/>
  <c r="U83" i="48"/>
  <c r="W246" i="13"/>
  <c r="W245" i="13"/>
  <c r="W24" i="32"/>
  <c r="W215" i="13"/>
  <c r="W205" i="13"/>
  <c r="W46" i="26"/>
  <c r="W55" i="25"/>
  <c r="W64" i="23"/>
  <c r="V41" i="24"/>
  <c r="V47" i="26"/>
  <c r="V124" i="13" s="1"/>
  <c r="X172" i="29"/>
  <c r="X173" i="29"/>
  <c r="X25" i="32" s="1"/>
  <c r="W39" i="24"/>
  <c r="X61" i="23"/>
  <c r="X62" i="23" s="1"/>
  <c r="W63" i="23"/>
  <c r="X43" i="26"/>
  <c r="X45" i="26" s="1"/>
  <c r="V68" i="13"/>
  <c r="E104" i="4" s="1"/>
  <c r="U58" i="13"/>
  <c r="D103" i="4" s="1"/>
  <c r="X38" i="24"/>
  <c r="X40" i="24" s="1"/>
  <c r="X93" i="13"/>
  <c r="X37" i="13"/>
  <c r="G100" i="4" s="1"/>
  <c r="Y171" i="29"/>
  <c r="X31" i="28"/>
  <c r="X26" i="27"/>
  <c r="X27" i="27" s="1"/>
  <c r="V114" i="13"/>
  <c r="X54" i="25"/>
  <c r="W56" i="25"/>
  <c r="W89" i="23" l="1"/>
  <c r="W85" i="23"/>
  <c r="W102" i="23"/>
  <c r="W98" i="23"/>
  <c r="V125" i="23"/>
  <c r="W111" i="23"/>
  <c r="W115" i="23"/>
  <c r="V130" i="23"/>
  <c r="W66" i="23"/>
  <c r="X65" i="23"/>
  <c r="W57" i="25"/>
  <c r="V83" i="48"/>
  <c r="X246" i="13"/>
  <c r="X245" i="13"/>
  <c r="X24" i="32"/>
  <c r="X205" i="13"/>
  <c r="X215" i="13"/>
  <c r="X46" i="26"/>
  <c r="X55" i="25"/>
  <c r="X64" i="23"/>
  <c r="W41" i="24"/>
  <c r="W47" i="26"/>
  <c r="W124" i="13" s="1"/>
  <c r="Y172" i="29"/>
  <c r="Y173" i="29"/>
  <c r="Y25" i="32" s="1"/>
  <c r="X39" i="24"/>
  <c r="Y61" i="23"/>
  <c r="Y62" i="23" s="1"/>
  <c r="X63" i="23"/>
  <c r="Y43" i="26"/>
  <c r="Y45" i="26" s="1"/>
  <c r="W68" i="13"/>
  <c r="F104" i="4" s="1"/>
  <c r="V58" i="13"/>
  <c r="E103" i="4" s="1"/>
  <c r="Y38" i="24"/>
  <c r="Y40" i="24" s="1"/>
  <c r="Y93" i="13"/>
  <c r="Y37" i="13"/>
  <c r="H100" i="4" s="1"/>
  <c r="Z171" i="29"/>
  <c r="Y31" i="28"/>
  <c r="W114" i="13"/>
  <c r="Y26" i="27"/>
  <c r="Y27" i="27" s="1"/>
  <c r="Y54" i="25"/>
  <c r="X56" i="25"/>
  <c r="X85" i="23" l="1"/>
  <c r="X89" i="23"/>
  <c r="X102" i="23"/>
  <c r="X98" i="23"/>
  <c r="X111" i="23"/>
  <c r="X115" i="23"/>
  <c r="W125" i="23"/>
  <c r="W130" i="23"/>
  <c r="Y65" i="23"/>
  <c r="X66" i="23"/>
  <c r="X57" i="25"/>
  <c r="Y246" i="13"/>
  <c r="Y245" i="13"/>
  <c r="Y24" i="32"/>
  <c r="Y205" i="13"/>
  <c r="Y215" i="13"/>
  <c r="W83" i="48"/>
  <c r="Y46" i="26"/>
  <c r="Y55" i="25"/>
  <c r="Y64" i="23"/>
  <c r="X41" i="24"/>
  <c r="X47" i="26"/>
  <c r="X124" i="13" s="1"/>
  <c r="Z172" i="29"/>
  <c r="Z173" i="29"/>
  <c r="Z25" i="32" s="1"/>
  <c r="Y39" i="24"/>
  <c r="Z61" i="23"/>
  <c r="Z62" i="23" s="1"/>
  <c r="Y63" i="23"/>
  <c r="Z43" i="26"/>
  <c r="Z45" i="26" s="1"/>
  <c r="X68" i="13"/>
  <c r="G104" i="4" s="1"/>
  <c r="W58" i="13"/>
  <c r="F103" i="4" s="1"/>
  <c r="Z38" i="24"/>
  <c r="Z40" i="24" s="1"/>
  <c r="Z93" i="13"/>
  <c r="Z37" i="13"/>
  <c r="I100" i="4" s="1"/>
  <c r="AA171" i="29"/>
  <c r="Z31" i="28"/>
  <c r="X114" i="13"/>
  <c r="Z26" i="27"/>
  <c r="Z27" i="27" s="1"/>
  <c r="Z54" i="25"/>
  <c r="Y56" i="25"/>
  <c r="Y98" i="23" l="1"/>
  <c r="Y102" i="23"/>
  <c r="Y85" i="23"/>
  <c r="Y89" i="23"/>
  <c r="X130" i="23"/>
  <c r="Y115" i="23"/>
  <c r="Y111" i="23"/>
  <c r="X125" i="23"/>
  <c r="Z65" i="23"/>
  <c r="Y66" i="23"/>
  <c r="Y57" i="25"/>
  <c r="X83" i="48"/>
  <c r="Z246" i="13"/>
  <c r="Z245" i="13"/>
  <c r="Z24" i="32"/>
  <c r="Z205" i="13"/>
  <c r="Z215" i="13"/>
  <c r="Z46" i="26"/>
  <c r="Z55" i="25"/>
  <c r="Z64" i="23"/>
  <c r="Y41" i="24"/>
  <c r="Y47" i="26"/>
  <c r="Y124" i="13" s="1"/>
  <c r="AA172" i="29"/>
  <c r="AA173" i="29"/>
  <c r="AA25" i="32" s="1"/>
  <c r="Z39" i="24"/>
  <c r="AA61" i="23"/>
  <c r="AA62" i="23" s="1"/>
  <c r="Z63" i="23"/>
  <c r="AA43" i="26"/>
  <c r="AA45" i="26" s="1"/>
  <c r="Y68" i="13"/>
  <c r="H104" i="4" s="1"/>
  <c r="X58" i="13"/>
  <c r="G103" i="4" s="1"/>
  <c r="AA38" i="24"/>
  <c r="AA40" i="24" s="1"/>
  <c r="AA93" i="13"/>
  <c r="AA37" i="13"/>
  <c r="J100" i="4" s="1"/>
  <c r="AB171" i="29"/>
  <c r="AA31" i="28"/>
  <c r="Y114" i="13"/>
  <c r="AA26" i="27"/>
  <c r="AA27" i="27" s="1"/>
  <c r="Z56" i="25"/>
  <c r="AA54" i="25"/>
  <c r="Y130" i="23" l="1"/>
  <c r="Y125" i="23"/>
  <c r="Z98" i="23"/>
  <c r="Z102" i="23"/>
  <c r="Z89" i="23"/>
  <c r="Z85" i="23"/>
  <c r="Z111" i="23"/>
  <c r="Z115" i="23"/>
  <c r="AA65" i="23"/>
  <c r="Z66" i="23"/>
  <c r="Z57" i="25"/>
  <c r="Y83" i="48"/>
  <c r="AA246" i="13"/>
  <c r="AA245" i="13"/>
  <c r="AA24" i="32"/>
  <c r="AA215" i="13"/>
  <c r="AA205" i="13"/>
  <c r="AA46" i="26"/>
  <c r="AA55" i="25"/>
  <c r="AA64" i="23"/>
  <c r="Z41" i="24"/>
  <c r="Z47" i="26"/>
  <c r="Z124" i="13" s="1"/>
  <c r="AB172" i="29"/>
  <c r="AB173" i="29"/>
  <c r="AB25" i="32" s="1"/>
  <c r="AA39" i="24"/>
  <c r="AB61" i="23"/>
  <c r="AB62" i="23" s="1"/>
  <c r="AA63" i="23"/>
  <c r="AB43" i="26"/>
  <c r="AB45" i="26" s="1"/>
  <c r="AB38" i="24"/>
  <c r="AB40" i="24" s="1"/>
  <c r="Y58" i="13"/>
  <c r="H103" i="4" s="1"/>
  <c r="AB93" i="13"/>
  <c r="AB37" i="13"/>
  <c r="K100" i="4" s="1"/>
  <c r="AC171" i="29"/>
  <c r="AB31" i="28"/>
  <c r="AB26" i="27"/>
  <c r="AB27" i="27" s="1"/>
  <c r="Z114" i="13"/>
  <c r="AA56" i="25"/>
  <c r="AB54" i="25"/>
  <c r="Z125" i="23" l="1"/>
  <c r="Z130" i="23"/>
  <c r="AA102" i="23"/>
  <c r="AA98" i="23"/>
  <c r="AA89" i="23"/>
  <c r="AA85" i="23"/>
  <c r="AA111" i="23"/>
  <c r="AA115" i="23"/>
  <c r="AB65" i="23"/>
  <c r="AA66" i="23"/>
  <c r="AA57" i="25"/>
  <c r="AB246" i="13"/>
  <c r="AB245" i="13"/>
  <c r="AB24" i="32"/>
  <c r="AB205" i="13"/>
  <c r="AB215" i="13"/>
  <c r="Z83" i="48"/>
  <c r="AB46" i="26"/>
  <c r="AB55" i="25"/>
  <c r="AB64" i="23"/>
  <c r="AA41" i="24"/>
  <c r="AA47" i="26"/>
  <c r="AA124" i="13" s="1"/>
  <c r="AC172" i="29"/>
  <c r="AC173" i="29"/>
  <c r="AC25" i="32" s="1"/>
  <c r="AB39" i="24"/>
  <c r="AC61" i="23"/>
  <c r="AC62" i="23" s="1"/>
  <c r="AB63" i="23"/>
  <c r="AC43" i="26"/>
  <c r="AC45" i="26" s="1"/>
  <c r="AA68" i="13"/>
  <c r="J104" i="4" s="1"/>
  <c r="AC38" i="24"/>
  <c r="AC40" i="24" s="1"/>
  <c r="Z58" i="13"/>
  <c r="I103" i="4" s="1"/>
  <c r="AC93" i="13"/>
  <c r="AC37" i="13"/>
  <c r="L100" i="4" s="1"/>
  <c r="AD171" i="29"/>
  <c r="AC31" i="28"/>
  <c r="AA114" i="13"/>
  <c r="AC26" i="27"/>
  <c r="AC27" i="27" s="1"/>
  <c r="AB56" i="25"/>
  <c r="AC54" i="25"/>
  <c r="AB115" i="23" l="1"/>
  <c r="AB111" i="23"/>
  <c r="AA125" i="23"/>
  <c r="AA130" i="23"/>
  <c r="AB85" i="23"/>
  <c r="AB89" i="23"/>
  <c r="AB102" i="23"/>
  <c r="AB98" i="23"/>
  <c r="AC65" i="23"/>
  <c r="AB66" i="23"/>
  <c r="AB57" i="25"/>
  <c r="AC246" i="13"/>
  <c r="AC245" i="13"/>
  <c r="AC24" i="32"/>
  <c r="AC215" i="13"/>
  <c r="AC205" i="13"/>
  <c r="AA83" i="48"/>
  <c r="AC46" i="26"/>
  <c r="AC55" i="25"/>
  <c r="AC64" i="23"/>
  <c r="AB41" i="24"/>
  <c r="AB47" i="26"/>
  <c r="AB124" i="13" s="1"/>
  <c r="AD172" i="29"/>
  <c r="AD173" i="29"/>
  <c r="AD25" i="32" s="1"/>
  <c r="AC39" i="24"/>
  <c r="AD61" i="23"/>
  <c r="AD62" i="23" s="1"/>
  <c r="AC63" i="23"/>
  <c r="AD43" i="26"/>
  <c r="AD45" i="26" s="1"/>
  <c r="AB68" i="13"/>
  <c r="K104" i="4" s="1"/>
  <c r="AD38" i="24"/>
  <c r="AD40" i="24" s="1"/>
  <c r="AA58" i="13"/>
  <c r="J103" i="4" s="1"/>
  <c r="AD93" i="13"/>
  <c r="AD37" i="13"/>
  <c r="M100" i="4" s="1"/>
  <c r="AE171" i="29"/>
  <c r="AD31" i="28"/>
  <c r="AD26" i="27"/>
  <c r="AD27" i="27" s="1"/>
  <c r="AB114" i="13"/>
  <c r="AD54" i="25"/>
  <c r="AC56" i="25"/>
  <c r="AB130" i="23" l="1"/>
  <c r="AC85" i="23"/>
  <c r="AC89" i="23"/>
  <c r="AC98" i="23"/>
  <c r="AC102" i="23"/>
  <c r="AB125" i="23"/>
  <c r="AC115" i="23"/>
  <c r="AC111" i="23"/>
  <c r="AD65" i="23"/>
  <c r="AC66" i="23"/>
  <c r="AC57" i="25"/>
  <c r="AD246" i="13"/>
  <c r="AD245" i="13"/>
  <c r="AD24" i="32"/>
  <c r="AD215" i="13"/>
  <c r="AD205" i="13"/>
  <c r="AB83" i="48"/>
  <c r="AD46" i="26"/>
  <c r="AD55" i="25"/>
  <c r="AD64" i="23"/>
  <c r="AC41" i="24"/>
  <c r="AC47" i="26"/>
  <c r="AC124" i="13" s="1"/>
  <c r="AE172" i="29"/>
  <c r="AE173" i="29"/>
  <c r="AE25" i="32" s="1"/>
  <c r="AD39" i="24"/>
  <c r="AE61" i="23"/>
  <c r="AE62" i="23" s="1"/>
  <c r="AD63" i="23"/>
  <c r="AE43" i="26"/>
  <c r="AE45" i="26" s="1"/>
  <c r="AC68" i="13"/>
  <c r="L104" i="4" s="1"/>
  <c r="AE38" i="24"/>
  <c r="AE40" i="24" s="1"/>
  <c r="AB58" i="13"/>
  <c r="K103" i="4" s="1"/>
  <c r="AE93" i="13"/>
  <c r="AE37" i="13"/>
  <c r="N100" i="4" s="1"/>
  <c r="AF171" i="29"/>
  <c r="AE31" i="28"/>
  <c r="AE26" i="27"/>
  <c r="AE27" i="27" s="1"/>
  <c r="AC114" i="13"/>
  <c r="AE54" i="25"/>
  <c r="AD56" i="25"/>
  <c r="AD98" i="23" l="1"/>
  <c r="AD102" i="23"/>
  <c r="AD89" i="23"/>
  <c r="AD85" i="23"/>
  <c r="AC130" i="23"/>
  <c r="AC125" i="23"/>
  <c r="AD115" i="23"/>
  <c r="AD111" i="23"/>
  <c r="AE65" i="23"/>
  <c r="AD66" i="23"/>
  <c r="AD57" i="25"/>
  <c r="AC83" i="48"/>
  <c r="AE246" i="13"/>
  <c r="AE245" i="13"/>
  <c r="AE24" i="32"/>
  <c r="AE215" i="13"/>
  <c r="AE205" i="13"/>
  <c r="AE46" i="26"/>
  <c r="AE55" i="25"/>
  <c r="AE64" i="23"/>
  <c r="AD41" i="24"/>
  <c r="AD47" i="26"/>
  <c r="AD124" i="13" s="1"/>
  <c r="AF172" i="29"/>
  <c r="AF173" i="29"/>
  <c r="AF25" i="32" s="1"/>
  <c r="AE39" i="24"/>
  <c r="AF61" i="23"/>
  <c r="AF62" i="23" s="1"/>
  <c r="AE63" i="23"/>
  <c r="AF43" i="26"/>
  <c r="AF45" i="26" s="1"/>
  <c r="AD68" i="13"/>
  <c r="M104" i="4" s="1"/>
  <c r="AC58" i="13"/>
  <c r="L103" i="4" s="1"/>
  <c r="AF38" i="24"/>
  <c r="AF40" i="24" s="1"/>
  <c r="AF93" i="13"/>
  <c r="AF37" i="13"/>
  <c r="O100" i="4" s="1"/>
  <c r="AD114" i="13"/>
  <c r="AG171" i="29"/>
  <c r="AF31" i="28"/>
  <c r="AF26" i="27"/>
  <c r="AF27" i="27" s="1"/>
  <c r="AF54" i="25"/>
  <c r="AE56" i="25"/>
  <c r="AD130" i="23" l="1"/>
  <c r="AE102" i="23"/>
  <c r="AE98" i="23"/>
  <c r="AD125" i="23"/>
  <c r="AE89" i="23"/>
  <c r="AE85" i="23"/>
  <c r="AE115" i="23"/>
  <c r="AE111" i="23"/>
  <c r="AF65" i="23"/>
  <c r="AE66" i="23"/>
  <c r="AE57" i="25"/>
  <c r="AD83" i="48"/>
  <c r="AF246" i="13"/>
  <c r="AF245" i="13"/>
  <c r="AF24" i="32"/>
  <c r="AF205" i="13"/>
  <c r="AF215" i="13"/>
  <c r="AF46" i="26"/>
  <c r="AF55" i="25"/>
  <c r="AF64" i="23"/>
  <c r="AE41" i="24"/>
  <c r="AE47" i="26"/>
  <c r="AE124" i="13" s="1"/>
  <c r="AG172" i="29"/>
  <c r="AG173" i="29"/>
  <c r="AG25" i="32" s="1"/>
  <c r="AF39" i="24"/>
  <c r="AG61" i="23"/>
  <c r="AG62" i="23" s="1"/>
  <c r="AF63" i="23"/>
  <c r="AG43" i="26"/>
  <c r="AG45" i="26" s="1"/>
  <c r="AD58" i="13"/>
  <c r="M103" i="4" s="1"/>
  <c r="AG38" i="24"/>
  <c r="AG40" i="24" s="1"/>
  <c r="AE114" i="13"/>
  <c r="AG93" i="13"/>
  <c r="AG37" i="13"/>
  <c r="P100" i="4" s="1"/>
  <c r="AH171" i="29"/>
  <c r="AG31" i="28"/>
  <c r="AG26" i="27"/>
  <c r="AG27" i="27" s="1"/>
  <c r="AG54" i="25"/>
  <c r="AF56" i="25"/>
  <c r="AE130" i="23" l="1"/>
  <c r="AE125" i="23"/>
  <c r="AF98" i="23"/>
  <c r="AF102" i="23"/>
  <c r="AF89" i="23"/>
  <c r="AF85" i="23"/>
  <c r="AF115" i="23"/>
  <c r="AF111" i="23"/>
  <c r="AG65" i="23"/>
  <c r="AF66" i="23"/>
  <c r="AF57" i="25"/>
  <c r="AG246" i="13"/>
  <c r="AG245" i="13"/>
  <c r="AG24" i="32"/>
  <c r="AG205" i="13"/>
  <c r="AG215" i="13"/>
  <c r="AE83" i="48"/>
  <c r="AG46" i="26"/>
  <c r="AF41" i="24"/>
  <c r="AG55" i="25"/>
  <c r="AG64" i="23"/>
  <c r="AF47" i="26"/>
  <c r="AF124" i="13" s="1"/>
  <c r="AH172" i="29"/>
  <c r="AH173" i="29"/>
  <c r="AH25" i="32" s="1"/>
  <c r="AG39" i="24"/>
  <c r="AH61" i="23"/>
  <c r="AH62" i="23" s="1"/>
  <c r="AG63" i="23"/>
  <c r="AH43" i="26"/>
  <c r="AH45" i="26" s="1"/>
  <c r="AF68" i="13"/>
  <c r="O104" i="4" s="1"/>
  <c r="AH38" i="24"/>
  <c r="AH40" i="24" s="1"/>
  <c r="AE58" i="13"/>
  <c r="N103" i="4" s="1"/>
  <c r="AH93" i="13"/>
  <c r="AH37" i="13"/>
  <c r="Q100" i="4" s="1"/>
  <c r="AI171" i="29"/>
  <c r="AH31" i="28"/>
  <c r="AF114" i="13"/>
  <c r="AH26" i="27"/>
  <c r="AH27" i="27" s="1"/>
  <c r="AH54" i="25"/>
  <c r="AG56" i="25"/>
  <c r="AF125" i="23" l="1"/>
  <c r="AF130" i="23"/>
  <c r="AG115" i="23"/>
  <c r="AG111" i="23"/>
  <c r="AG98" i="23"/>
  <c r="AG102" i="23"/>
  <c r="AG89" i="23"/>
  <c r="AG85" i="23"/>
  <c r="AG125" i="23" s="1"/>
  <c r="AH65" i="23"/>
  <c r="AG66" i="23"/>
  <c r="AG57" i="25"/>
  <c r="AH246" i="13"/>
  <c r="AH245" i="13"/>
  <c r="AH24" i="32"/>
  <c r="AH205" i="13"/>
  <c r="AH215" i="13"/>
  <c r="AF83" i="48"/>
  <c r="AH46" i="26"/>
  <c r="AG41" i="24"/>
  <c r="AH55" i="25"/>
  <c r="AH64" i="23"/>
  <c r="AG47" i="26"/>
  <c r="AG124" i="13" s="1"/>
  <c r="AI172" i="29"/>
  <c r="AI173" i="29"/>
  <c r="AI25" i="32" s="1"/>
  <c r="AH39" i="24"/>
  <c r="AI61" i="23"/>
  <c r="AI62" i="23" s="1"/>
  <c r="AH63" i="23"/>
  <c r="AI43" i="26"/>
  <c r="AI45" i="26" s="1"/>
  <c r="AG68" i="13"/>
  <c r="P104" i="4" s="1"/>
  <c r="AI38" i="24"/>
  <c r="AI40" i="24" s="1"/>
  <c r="AF58" i="13"/>
  <c r="O103" i="4" s="1"/>
  <c r="AI93" i="13"/>
  <c r="AI37" i="13"/>
  <c r="R100" i="4" s="1"/>
  <c r="AJ171" i="29"/>
  <c r="AI31" i="28"/>
  <c r="AG114" i="13"/>
  <c r="AI26" i="27"/>
  <c r="AI27" i="27" s="1"/>
  <c r="AH56" i="25"/>
  <c r="AI54" i="25"/>
  <c r="AG130" i="23" l="1"/>
  <c r="AH89" i="23"/>
  <c r="AH85" i="23"/>
  <c r="AH98" i="23"/>
  <c r="AH102" i="23"/>
  <c r="AH111" i="23"/>
  <c r="AH115" i="23"/>
  <c r="AI65" i="23"/>
  <c r="AH66" i="23"/>
  <c r="AH57" i="25"/>
  <c r="AG83" i="48"/>
  <c r="AI246" i="13"/>
  <c r="AI245" i="13"/>
  <c r="AI24" i="32"/>
  <c r="AI205" i="13"/>
  <c r="AI215" i="13"/>
  <c r="AH47" i="26"/>
  <c r="AH124" i="13" s="1"/>
  <c r="AI46" i="26"/>
  <c r="AI55" i="25"/>
  <c r="AI64" i="23"/>
  <c r="AH41" i="24"/>
  <c r="AJ172" i="29"/>
  <c r="AJ173" i="29"/>
  <c r="AJ25" i="32" s="1"/>
  <c r="AI39" i="24"/>
  <c r="AJ61" i="23"/>
  <c r="AJ62" i="23" s="1"/>
  <c r="AI63" i="23"/>
  <c r="AJ43" i="26"/>
  <c r="AJ45" i="26" s="1"/>
  <c r="AH68" i="13"/>
  <c r="Q104" i="4" s="1"/>
  <c r="AJ38" i="24"/>
  <c r="AJ40" i="24" s="1"/>
  <c r="AG58" i="13"/>
  <c r="P103" i="4" s="1"/>
  <c r="AJ26" i="27"/>
  <c r="AJ27" i="27" s="1"/>
  <c r="AH114" i="13"/>
  <c r="AI56" i="25"/>
  <c r="AJ54" i="25"/>
  <c r="AI111" i="23" l="1"/>
  <c r="AI115" i="23"/>
  <c r="AI102" i="23"/>
  <c r="AI98" i="23"/>
  <c r="AH125" i="23"/>
  <c r="AH130" i="23"/>
  <c r="AI85" i="23"/>
  <c r="AI125" i="23" s="1"/>
  <c r="AI89" i="23"/>
  <c r="AI130" i="23" s="1"/>
  <c r="AJ65" i="23"/>
  <c r="AI66" i="23"/>
  <c r="AI57" i="25"/>
  <c r="AJ24" i="32"/>
  <c r="AH83" i="48"/>
  <c r="D83" i="48" s="1"/>
  <c r="AI47" i="26"/>
  <c r="AI124" i="13" s="1"/>
  <c r="AJ46" i="26"/>
  <c r="AI41" i="24"/>
  <c r="AJ55" i="25"/>
  <c r="AJ64" i="23"/>
  <c r="AJ39" i="24"/>
  <c r="AK61" i="23"/>
  <c r="AK62" i="23" s="1"/>
  <c r="AJ63" i="23"/>
  <c r="AK43" i="26"/>
  <c r="AK45" i="26" s="1"/>
  <c r="AH58" i="13"/>
  <c r="Q103" i="4" s="1"/>
  <c r="AK38" i="24"/>
  <c r="AK40" i="24" s="1"/>
  <c r="AK26" i="27"/>
  <c r="AK27" i="27" s="1"/>
  <c r="AI114" i="13"/>
  <c r="AJ56" i="25"/>
  <c r="AK54" i="25"/>
  <c r="AJ85" i="23" l="1"/>
  <c r="AJ89" i="23"/>
  <c r="AJ102" i="23"/>
  <c r="AJ98" i="23"/>
  <c r="AJ111" i="23"/>
  <c r="AJ115" i="23"/>
  <c r="AJ57" i="25"/>
  <c r="AK65" i="23"/>
  <c r="AJ66" i="23"/>
  <c r="AK46" i="26"/>
  <c r="AK55" i="25"/>
  <c r="AK64" i="23"/>
  <c r="AJ41" i="24"/>
  <c r="AJ47" i="26"/>
  <c r="AK39" i="24"/>
  <c r="AL61" i="23"/>
  <c r="AL62" i="23" s="1"/>
  <c r="AK63" i="23"/>
  <c r="AL43" i="26"/>
  <c r="AL45" i="26" s="1"/>
  <c r="AL38" i="24"/>
  <c r="AL40" i="24" s="1"/>
  <c r="AI58" i="13"/>
  <c r="R103" i="4" s="1"/>
  <c r="AL26" i="27"/>
  <c r="AL27" i="27" s="1"/>
  <c r="AL54" i="25"/>
  <c r="AK56" i="25"/>
  <c r="AK115" i="23" l="1"/>
  <c r="AK111" i="23"/>
  <c r="AK85" i="23"/>
  <c r="AK89" i="23"/>
  <c r="AJ130" i="23"/>
  <c r="AK98" i="23"/>
  <c r="AK102" i="23"/>
  <c r="AJ125" i="23"/>
  <c r="AK57" i="25"/>
  <c r="AK66" i="23"/>
  <c r="AL65" i="23"/>
  <c r="AL46" i="26"/>
  <c r="AK41" i="24"/>
  <c r="AL55" i="25"/>
  <c r="AL64" i="23"/>
  <c r="AK47" i="26"/>
  <c r="AL39" i="24"/>
  <c r="AM61" i="23"/>
  <c r="AM62" i="23" s="1"/>
  <c r="AL63" i="23"/>
  <c r="AM43" i="26"/>
  <c r="AM45" i="26" s="1"/>
  <c r="AM38" i="24"/>
  <c r="AM40" i="24" s="1"/>
  <c r="AM26" i="27"/>
  <c r="AM27" i="27" s="1"/>
  <c r="AM54" i="25"/>
  <c r="AL56" i="25"/>
  <c r="AK130" i="23" l="1"/>
  <c r="AK125" i="23"/>
  <c r="AL89" i="23"/>
  <c r="AL85" i="23"/>
  <c r="AL102" i="23"/>
  <c r="AL98" i="23"/>
  <c r="AL115" i="23"/>
  <c r="AL111" i="23"/>
  <c r="AL57" i="25"/>
  <c r="AM65" i="23"/>
  <c r="AL66" i="23"/>
  <c r="AM46" i="26"/>
  <c r="AM55" i="25"/>
  <c r="D55" i="25" s="1"/>
  <c r="AM64" i="23"/>
  <c r="AL41" i="24"/>
  <c r="AL47" i="26"/>
  <c r="AM39" i="24"/>
  <c r="AN61" i="23"/>
  <c r="AN62" i="23" s="1"/>
  <c r="AM63" i="23"/>
  <c r="AN43" i="26"/>
  <c r="AN45" i="26" s="1"/>
  <c r="E45" i="26" s="1"/>
  <c r="AN38" i="24"/>
  <c r="AN40" i="24" s="1"/>
  <c r="E40" i="24" s="1"/>
  <c r="AN26" i="27"/>
  <c r="AN27" i="27" s="1"/>
  <c r="E27" i="27" s="1"/>
  <c r="AM56" i="25"/>
  <c r="AL125" i="23" l="1"/>
  <c r="AL130" i="23"/>
  <c r="AM102" i="23"/>
  <c r="AM98" i="23"/>
  <c r="AM89" i="23"/>
  <c r="AM85" i="23"/>
  <c r="AM111" i="23"/>
  <c r="AM115" i="23"/>
  <c r="AN65" i="23"/>
  <c r="AM66" i="23"/>
  <c r="AM57" i="25"/>
  <c r="E246" i="13"/>
  <c r="E245" i="13"/>
  <c r="E205" i="13"/>
  <c r="AN46" i="26"/>
  <c r="E46" i="26" s="1"/>
  <c r="AM41" i="24"/>
  <c r="AN64" i="23"/>
  <c r="AM47" i="26"/>
  <c r="AN39" i="24"/>
  <c r="AN63" i="23"/>
  <c r="D56" i="25"/>
  <c r="D57" i="25" s="1"/>
  <c r="D75" i="4" l="1"/>
  <c r="AM130" i="23"/>
  <c r="AM125" i="23"/>
  <c r="AN85" i="23"/>
  <c r="AN89" i="23"/>
  <c r="E64" i="23"/>
  <c r="AN98" i="23"/>
  <c r="AN102" i="23"/>
  <c r="E65" i="23"/>
  <c r="AN111" i="23"/>
  <c r="AN115" i="23"/>
  <c r="D35" i="4"/>
  <c r="D71" i="4"/>
  <c r="AN66" i="23"/>
  <c r="D39" i="4"/>
  <c r="D52" i="4" s="1"/>
  <c r="D76" i="4"/>
  <c r="E215" i="13"/>
  <c r="AN41" i="24"/>
  <c r="AN47" i="26"/>
  <c r="E124" i="13" s="1"/>
  <c r="E44" i="26"/>
  <c r="E47" i="26" s="1"/>
  <c r="E39" i="24"/>
  <c r="E41" i="24" s="1"/>
  <c r="E62" i="23"/>
  <c r="E63" i="23"/>
  <c r="F173" i="29"/>
  <c r="F172" i="29"/>
  <c r="E32" i="28"/>
  <c r="E114" i="13"/>
  <c r="D62" i="4" s="1"/>
  <c r="AN125" i="23" l="1"/>
  <c r="AN130" i="23"/>
  <c r="D36" i="4"/>
  <c r="D72" i="4"/>
  <c r="D27" i="4"/>
  <c r="D47" i="4" s="1"/>
  <c r="D63" i="4"/>
  <c r="E66" i="23"/>
  <c r="D48" i="21"/>
  <c r="D33" i="21"/>
  <c r="B5" i="52" l="1"/>
  <c r="F35" i="52" s="1"/>
  <c r="D29" i="52"/>
  <c r="F42" i="52"/>
  <c r="F45" i="52"/>
  <c r="F36" i="52"/>
  <c r="F37" i="52"/>
  <c r="F39" i="52"/>
  <c r="F38" i="52"/>
  <c r="F43" i="52"/>
  <c r="F44" i="52"/>
  <c r="F41" i="52"/>
  <c r="D26" i="4"/>
  <c r="D46" i="4" s="1"/>
  <c r="E58" i="13"/>
  <c r="E285" i="13" s="1"/>
  <c r="E40" i="15"/>
  <c r="F40" i="52" l="1"/>
  <c r="E35" i="18"/>
  <c r="E11" i="18"/>
  <c r="D107" i="52" s="1"/>
  <c r="D16" i="4"/>
  <c r="H83" i="52"/>
  <c r="H4" i="19"/>
  <c r="F5" i="15"/>
  <c r="F40" i="15" s="1"/>
  <c r="G5" i="15" l="1"/>
  <c r="G40" i="15" s="1"/>
  <c r="I4" i="19"/>
  <c r="F4" i="18"/>
  <c r="G4" i="18" s="1"/>
  <c r="H4" i="18" s="1"/>
  <c r="I4" i="18" s="1"/>
  <c r="J4" i="18" s="1"/>
  <c r="K4" i="18" s="1"/>
  <c r="L4" i="18" s="1"/>
  <c r="M4" i="18" s="1"/>
  <c r="N4" i="18" s="1"/>
  <c r="O4" i="18" s="1"/>
  <c r="P4" i="18" s="1"/>
  <c r="Q4" i="18" s="1"/>
  <c r="R4" i="18" s="1"/>
  <c r="S4" i="18" s="1"/>
  <c r="T4" i="18" s="1"/>
  <c r="U4" i="18" s="1"/>
  <c r="V4" i="18" s="1"/>
  <c r="W4" i="18" s="1"/>
  <c r="X4" i="18" s="1"/>
  <c r="Y4" i="18" s="1"/>
  <c r="Z4" i="18" s="1"/>
  <c r="AA4" i="18" s="1"/>
  <c r="AB4" i="18" s="1"/>
  <c r="AC4" i="18" s="1"/>
  <c r="AD4" i="18" s="1"/>
  <c r="AE4" i="18" s="1"/>
  <c r="AF4" i="18" s="1"/>
  <c r="AG4" i="18" s="1"/>
  <c r="AH4" i="18" s="1"/>
  <c r="C116" i="17"/>
  <c r="N8" i="18"/>
  <c r="M8" i="18"/>
  <c r="L8" i="18"/>
  <c r="K8" i="18"/>
  <c r="J8" i="18"/>
  <c r="I8" i="18"/>
  <c r="H8" i="18"/>
  <c r="G8" i="18"/>
  <c r="F8" i="18"/>
  <c r="O8" i="18" l="1"/>
  <c r="H5" i="15"/>
  <c r="H40" i="15" s="1"/>
  <c r="J4" i="19"/>
  <c r="D90" i="17"/>
  <c r="D91" i="17"/>
  <c r="D92" i="17"/>
  <c r="D94" i="17"/>
  <c r="D95" i="17"/>
  <c r="D96" i="17"/>
  <c r="F88" i="17"/>
  <c r="E63" i="17"/>
  <c r="F63" i="17" s="1"/>
  <c r="E65" i="17"/>
  <c r="E66" i="17"/>
  <c r="F66" i="17" s="1"/>
  <c r="E67" i="17"/>
  <c r="E68" i="17"/>
  <c r="E69" i="17"/>
  <c r="E70" i="17"/>
  <c r="G86" i="17"/>
  <c r="H86" i="17" s="1"/>
  <c r="I86" i="17" s="1"/>
  <c r="J86" i="17" s="1"/>
  <c r="K86" i="17" s="1"/>
  <c r="L86" i="17" s="1"/>
  <c r="M86" i="17" s="1"/>
  <c r="N86" i="17" s="1"/>
  <c r="O86" i="17" s="1"/>
  <c r="P86" i="17" s="1"/>
  <c r="Q86" i="17" s="1"/>
  <c r="R86" i="17" s="1"/>
  <c r="S86" i="17" s="1"/>
  <c r="T86" i="17" s="1"/>
  <c r="U86" i="17" s="1"/>
  <c r="V86" i="17" s="1"/>
  <c r="W86" i="17" s="1"/>
  <c r="X86" i="17" s="1"/>
  <c r="Y86" i="17" s="1"/>
  <c r="Z86" i="17" s="1"/>
  <c r="AA86" i="17" s="1"/>
  <c r="AB86" i="17" s="1"/>
  <c r="AC86" i="17" s="1"/>
  <c r="AD86" i="17" s="1"/>
  <c r="AE86" i="17" s="1"/>
  <c r="AF86" i="17" s="1"/>
  <c r="AG86" i="17" s="1"/>
  <c r="AH86" i="17" s="1"/>
  <c r="AI86" i="17" s="1"/>
  <c r="G60" i="17"/>
  <c r="H60" i="17" s="1"/>
  <c r="I60" i="17" s="1"/>
  <c r="J60" i="17" s="1"/>
  <c r="K60" i="17" s="1"/>
  <c r="L60" i="17" s="1"/>
  <c r="M60" i="17" s="1"/>
  <c r="N60" i="17" s="1"/>
  <c r="O60" i="17" s="1"/>
  <c r="P60" i="17" s="1"/>
  <c r="Q60" i="17" s="1"/>
  <c r="R60" i="17" s="1"/>
  <c r="S60" i="17" s="1"/>
  <c r="T60" i="17" s="1"/>
  <c r="U60" i="17" s="1"/>
  <c r="V60" i="17" s="1"/>
  <c r="W60" i="17" s="1"/>
  <c r="X60" i="17" s="1"/>
  <c r="Y60" i="17" s="1"/>
  <c r="Z60" i="17" s="1"/>
  <c r="AA60" i="17" s="1"/>
  <c r="AB60" i="17" s="1"/>
  <c r="AC60" i="17" s="1"/>
  <c r="AD60" i="17" s="1"/>
  <c r="AE60" i="17" s="1"/>
  <c r="AF60" i="17" s="1"/>
  <c r="AG60" i="17" s="1"/>
  <c r="AH60" i="17" s="1"/>
  <c r="AI60" i="17" s="1"/>
  <c r="F201" i="17" l="1"/>
  <c r="F200" i="17"/>
  <c r="F199" i="17"/>
  <c r="F191" i="17"/>
  <c r="F194" i="17"/>
  <c r="F196" i="17"/>
  <c r="F198" i="17"/>
  <c r="F195" i="17"/>
  <c r="F192" i="17"/>
  <c r="E59" i="18" s="1"/>
  <c r="F197" i="17"/>
  <c r="F193" i="17"/>
  <c r="F154" i="17"/>
  <c r="F155" i="17"/>
  <c r="F156" i="17"/>
  <c r="F152" i="17"/>
  <c r="F153" i="17"/>
  <c r="F149" i="17"/>
  <c r="F151" i="17"/>
  <c r="F146" i="17"/>
  <c r="F148" i="17"/>
  <c r="F147" i="17"/>
  <c r="E23" i="18" s="1"/>
  <c r="F150" i="17"/>
  <c r="F279" i="17"/>
  <c r="F281" i="17"/>
  <c r="F280" i="17"/>
  <c r="F271" i="17"/>
  <c r="F274" i="17"/>
  <c r="F275" i="17"/>
  <c r="F276" i="17"/>
  <c r="F272" i="17"/>
  <c r="F273" i="17"/>
  <c r="F278" i="17"/>
  <c r="F277" i="17"/>
  <c r="F200" i="13"/>
  <c r="F190" i="13"/>
  <c r="F180" i="13"/>
  <c r="P8" i="18"/>
  <c r="F150" i="13"/>
  <c r="F160" i="13"/>
  <c r="I5" i="15"/>
  <c r="I40" i="15" s="1"/>
  <c r="K4" i="19"/>
  <c r="F282" i="17" l="1"/>
  <c r="F157" i="17"/>
  <c r="F158" i="17" s="1"/>
  <c r="F202" i="17"/>
  <c r="F203" i="17" s="1"/>
  <c r="Q8" i="18"/>
  <c r="J5" i="15"/>
  <c r="J40" i="15" s="1"/>
  <c r="L4" i="19"/>
  <c r="F283" i="17" l="1"/>
  <c r="R8" i="18"/>
  <c r="K5" i="15"/>
  <c r="K40" i="15" s="1"/>
  <c r="M4" i="19"/>
  <c r="S8" i="18" l="1"/>
  <c r="L5" i="15"/>
  <c r="L40" i="15" s="1"/>
  <c r="N4" i="19"/>
  <c r="T8" i="18" l="1"/>
  <c r="M5" i="15"/>
  <c r="M40" i="15" s="1"/>
  <c r="O4" i="19"/>
  <c r="U8" i="18" l="1"/>
  <c r="N5" i="15"/>
  <c r="N40" i="15" s="1"/>
  <c r="P4" i="19"/>
  <c r="V8" i="18" l="1"/>
  <c r="O5" i="15"/>
  <c r="O40" i="15" s="1"/>
  <c r="Q4" i="19"/>
  <c r="W8" i="18" l="1"/>
  <c r="P5" i="15"/>
  <c r="P40" i="15" s="1"/>
  <c r="R4" i="19"/>
  <c r="X8" i="18" l="1"/>
  <c r="Q5" i="15"/>
  <c r="Q40" i="15" s="1"/>
  <c r="S4" i="19"/>
  <c r="Y8" i="18" l="1"/>
  <c r="R5" i="15"/>
  <c r="R40" i="15" s="1"/>
  <c r="T4" i="19"/>
  <c r="Z8" i="18" l="1"/>
  <c r="S5" i="15"/>
  <c r="S40" i="15" s="1"/>
  <c r="U4" i="19"/>
  <c r="AA8" i="18" l="1"/>
  <c r="T5" i="15"/>
  <c r="T40" i="15" s="1"/>
  <c r="V4" i="19"/>
  <c r="AB8" i="18" l="1"/>
  <c r="U5" i="15"/>
  <c r="U40" i="15" s="1"/>
  <c r="W4" i="19"/>
  <c r="AC8" i="18" l="1"/>
  <c r="V5" i="15"/>
  <c r="V40" i="15" s="1"/>
  <c r="X4" i="19"/>
  <c r="AD8" i="18" l="1"/>
  <c r="W5" i="15"/>
  <c r="W40" i="15" s="1"/>
  <c r="Y4" i="19"/>
  <c r="AE8" i="18" l="1"/>
  <c r="X5" i="15"/>
  <c r="X40" i="15" s="1"/>
  <c r="Z4" i="19"/>
  <c r="AF8" i="18" l="1"/>
  <c r="Y5" i="15"/>
  <c r="Y40" i="15" s="1"/>
  <c r="AA4" i="19"/>
  <c r="AG8" i="18" l="1"/>
  <c r="Z5" i="15"/>
  <c r="Z40" i="15" s="1"/>
  <c r="AB4" i="19"/>
  <c r="AH8" i="18" l="1"/>
  <c r="AA5" i="15"/>
  <c r="AA40" i="15" s="1"/>
  <c r="AC4" i="19"/>
  <c r="AB5" i="15" l="1"/>
  <c r="AB40" i="15" s="1"/>
  <c r="AD4" i="19"/>
  <c r="AC5" i="15" l="1"/>
  <c r="AC40" i="15" s="1"/>
  <c r="AE4" i="19"/>
  <c r="AD5" i="15" l="1"/>
  <c r="AD40" i="15" s="1"/>
  <c r="AF4" i="19"/>
  <c r="AE5" i="15" l="1"/>
  <c r="AE40" i="15" s="1"/>
  <c r="AG4" i="19"/>
  <c r="AF5" i="15" l="1"/>
  <c r="AF40" i="15" s="1"/>
  <c r="AH4" i="19"/>
  <c r="AG5" i="15" l="1"/>
  <c r="AG40" i="15" s="1"/>
  <c r="AI4" i="19"/>
  <c r="AJ4" i="19" s="1"/>
  <c r="AH5" i="15" l="1"/>
  <c r="AH40" i="15" s="1"/>
  <c r="K68" i="13" l="1"/>
  <c r="I95" i="4" s="1"/>
  <c r="AI68" i="13"/>
  <c r="R104" i="4" s="1"/>
  <c r="Z68" i="13"/>
  <c r="I104" i="4" s="1"/>
  <c r="P68" i="13"/>
  <c r="N95" i="4" s="1"/>
  <c r="AE68" i="13"/>
  <c r="N104" i="4" s="1"/>
  <c r="U68" i="13"/>
  <c r="D104" i="4" s="1"/>
  <c r="G68" i="13"/>
  <c r="E95" i="4" s="1"/>
  <c r="I68" i="13" l="1"/>
  <c r="G95" i="4" s="1"/>
  <c r="F68" i="13"/>
  <c r="D95" i="4" s="1"/>
  <c r="E68" i="13" l="1"/>
  <c r="H84" i="52" l="1"/>
  <c r="E286" i="13"/>
  <c r="D17" i="4"/>
  <c r="E23" i="6" l="1"/>
  <c r="F23" i="6" l="1"/>
  <c r="E32" i="6"/>
  <c r="E27" i="6"/>
  <c r="E33" i="6"/>
  <c r="E31" i="6"/>
  <c r="E29" i="6"/>
  <c r="E26" i="6"/>
  <c r="E30" i="6"/>
  <c r="E28" i="6"/>
  <c r="E25" i="6"/>
  <c r="G23" i="6" l="1"/>
  <c r="F33" i="6"/>
  <c r="F31" i="6"/>
  <c r="F29" i="6"/>
  <c r="F26" i="6"/>
  <c r="F30" i="6"/>
  <c r="F28" i="6"/>
  <c r="F25" i="6"/>
  <c r="F32" i="6"/>
  <c r="F27" i="6"/>
  <c r="E130" i="6"/>
  <c r="F130" i="6" s="1"/>
  <c r="G130" i="6" s="1"/>
  <c r="H130" i="6" s="1"/>
  <c r="I130" i="6" s="1"/>
  <c r="J130" i="6" s="1"/>
  <c r="K130" i="6" s="1"/>
  <c r="L130" i="6" s="1"/>
  <c r="M130" i="6" s="1"/>
  <c r="N130" i="6" s="1"/>
  <c r="O130" i="6" s="1"/>
  <c r="P130" i="6" s="1"/>
  <c r="Q130" i="6" s="1"/>
  <c r="R130" i="6" s="1"/>
  <c r="S130" i="6" s="1"/>
  <c r="T130" i="6" s="1"/>
  <c r="U130" i="6" s="1"/>
  <c r="V130" i="6" s="1"/>
  <c r="W130" i="6" s="1"/>
  <c r="X130" i="6" s="1"/>
  <c r="Y130" i="6" s="1"/>
  <c r="Z130" i="6" s="1"/>
  <c r="AA130" i="6" s="1"/>
  <c r="AB130" i="6" s="1"/>
  <c r="AC130" i="6" s="1"/>
  <c r="AD130" i="6" s="1"/>
  <c r="AE130" i="6" s="1"/>
  <c r="AF130" i="6" s="1"/>
  <c r="AG130" i="6" s="1"/>
  <c r="E114" i="6"/>
  <c r="F114" i="6" s="1"/>
  <c r="G114" i="6" s="1"/>
  <c r="H114" i="6" s="1"/>
  <c r="I114" i="6" s="1"/>
  <c r="J114" i="6" s="1"/>
  <c r="K114" i="6" s="1"/>
  <c r="L114" i="6" s="1"/>
  <c r="M114" i="6" s="1"/>
  <c r="N114" i="6" s="1"/>
  <c r="O114" i="6" s="1"/>
  <c r="P114" i="6" s="1"/>
  <c r="Q114" i="6" s="1"/>
  <c r="R114" i="6" s="1"/>
  <c r="S114" i="6" s="1"/>
  <c r="T114" i="6" s="1"/>
  <c r="U114" i="6" s="1"/>
  <c r="V114" i="6" s="1"/>
  <c r="W114" i="6" s="1"/>
  <c r="X114" i="6" s="1"/>
  <c r="Y114" i="6" s="1"/>
  <c r="Z114" i="6" s="1"/>
  <c r="AA114" i="6" s="1"/>
  <c r="AB114" i="6" s="1"/>
  <c r="AC114" i="6" s="1"/>
  <c r="AD114" i="6" s="1"/>
  <c r="AE114" i="6" s="1"/>
  <c r="AF114" i="6" s="1"/>
  <c r="AG114" i="6" s="1"/>
  <c r="E97" i="6"/>
  <c r="F97" i="6" s="1"/>
  <c r="G97" i="6" s="1"/>
  <c r="H97" i="6" s="1"/>
  <c r="I97" i="6" s="1"/>
  <c r="J97" i="6" s="1"/>
  <c r="K97" i="6" s="1"/>
  <c r="L97" i="6" s="1"/>
  <c r="M97" i="6" s="1"/>
  <c r="N97" i="6" s="1"/>
  <c r="O97" i="6" s="1"/>
  <c r="P97" i="6" s="1"/>
  <c r="Q97" i="6" s="1"/>
  <c r="R97" i="6" s="1"/>
  <c r="S97" i="6" s="1"/>
  <c r="T97" i="6" s="1"/>
  <c r="U97" i="6" s="1"/>
  <c r="V97" i="6" s="1"/>
  <c r="W97" i="6" s="1"/>
  <c r="X97" i="6" s="1"/>
  <c r="Y97" i="6" s="1"/>
  <c r="Z97" i="6" s="1"/>
  <c r="AA97" i="6" s="1"/>
  <c r="AB97" i="6" s="1"/>
  <c r="AC97" i="6" s="1"/>
  <c r="AD97" i="6" s="1"/>
  <c r="AE97" i="6" s="1"/>
  <c r="AF97" i="6" s="1"/>
  <c r="AG97" i="6" s="1"/>
  <c r="F65" i="17"/>
  <c r="F70" i="17"/>
  <c r="F69" i="17"/>
  <c r="F67" i="17"/>
  <c r="E69" i="6"/>
  <c r="F69" i="6" s="1"/>
  <c r="G69" i="6" s="1"/>
  <c r="H69" i="6" s="1"/>
  <c r="I69" i="6" s="1"/>
  <c r="J69" i="6" s="1"/>
  <c r="K69" i="6" s="1"/>
  <c r="L69" i="6" s="1"/>
  <c r="M69" i="6" s="1"/>
  <c r="N69" i="6" s="1"/>
  <c r="O69" i="6" s="1"/>
  <c r="P69" i="6" s="1"/>
  <c r="Q69" i="6" s="1"/>
  <c r="R69" i="6" s="1"/>
  <c r="S69" i="6" s="1"/>
  <c r="T69" i="6" s="1"/>
  <c r="U69" i="6" s="1"/>
  <c r="V69" i="6" s="1"/>
  <c r="W69" i="6" s="1"/>
  <c r="X69" i="6" s="1"/>
  <c r="Y69" i="6" s="1"/>
  <c r="Z69" i="6" s="1"/>
  <c r="AA69" i="6" s="1"/>
  <c r="AB69" i="6" s="1"/>
  <c r="AC69" i="6" s="1"/>
  <c r="AD69" i="6" s="1"/>
  <c r="AE69" i="6" s="1"/>
  <c r="AF69" i="6" s="1"/>
  <c r="AG69" i="6" s="1"/>
  <c r="E40" i="6"/>
  <c r="F40" i="6" s="1"/>
  <c r="G40" i="6" s="1"/>
  <c r="H40" i="6" s="1"/>
  <c r="I40" i="6" s="1"/>
  <c r="J40" i="6" s="1"/>
  <c r="K40" i="6" s="1"/>
  <c r="L40" i="6" s="1"/>
  <c r="M40" i="6" s="1"/>
  <c r="N40" i="6" s="1"/>
  <c r="O40" i="6" s="1"/>
  <c r="P40" i="6" s="1"/>
  <c r="Q40" i="6" s="1"/>
  <c r="R40" i="6" s="1"/>
  <c r="S40" i="6" s="1"/>
  <c r="T40" i="6" s="1"/>
  <c r="U40" i="6" s="1"/>
  <c r="V40" i="6" s="1"/>
  <c r="W40" i="6" s="1"/>
  <c r="X40" i="6" s="1"/>
  <c r="Y40" i="6" s="1"/>
  <c r="Z40" i="6" s="1"/>
  <c r="AA40" i="6" s="1"/>
  <c r="AB40" i="6" s="1"/>
  <c r="AC40" i="6" s="1"/>
  <c r="AD40" i="6" s="1"/>
  <c r="AE40" i="6" s="1"/>
  <c r="AF40" i="6" s="1"/>
  <c r="AG40" i="6" s="1"/>
  <c r="F186" i="17" l="1"/>
  <c r="F185" i="17"/>
  <c r="F184" i="17"/>
  <c r="F176" i="17"/>
  <c r="F181" i="17"/>
  <c r="F178" i="17"/>
  <c r="F180" i="17"/>
  <c r="F183" i="17"/>
  <c r="F177" i="17"/>
  <c r="E47" i="18" s="1"/>
  <c r="F182" i="17"/>
  <c r="F179" i="17"/>
  <c r="F245" i="17"/>
  <c r="F244" i="17"/>
  <c r="F246" i="17"/>
  <c r="F236" i="17"/>
  <c r="F237" i="17"/>
  <c r="E95" i="18" s="1"/>
  <c r="F243" i="17"/>
  <c r="F241" i="17"/>
  <c r="F242" i="17"/>
  <c r="F240" i="17"/>
  <c r="F239" i="17"/>
  <c r="F238" i="17"/>
  <c r="F261" i="17"/>
  <c r="F260" i="17"/>
  <c r="F259" i="17"/>
  <c r="F251" i="17"/>
  <c r="F255" i="17"/>
  <c r="F254" i="17"/>
  <c r="F252" i="17"/>
  <c r="E107" i="18" s="1"/>
  <c r="F258" i="17"/>
  <c r="F256" i="17"/>
  <c r="F257" i="17"/>
  <c r="F253" i="17"/>
  <c r="F93" i="17"/>
  <c r="F216" i="17"/>
  <c r="F215" i="17"/>
  <c r="F214" i="17"/>
  <c r="F206" i="17"/>
  <c r="F209" i="17"/>
  <c r="F208" i="17"/>
  <c r="F212" i="17"/>
  <c r="F211" i="17"/>
  <c r="F210" i="17"/>
  <c r="F207" i="17"/>
  <c r="E71" i="18" s="1"/>
  <c r="F213" i="17"/>
  <c r="F203" i="13"/>
  <c r="F199" i="13"/>
  <c r="F204" i="13"/>
  <c r="F197" i="13"/>
  <c r="F201" i="13"/>
  <c r="F189" i="13"/>
  <c r="F179" i="13"/>
  <c r="F187" i="13"/>
  <c r="F177" i="13"/>
  <c r="F193" i="13"/>
  <c r="F183" i="13"/>
  <c r="F194" i="13"/>
  <c r="F184" i="13"/>
  <c r="F181" i="13"/>
  <c r="F191" i="13"/>
  <c r="F89" i="17"/>
  <c r="F157" i="13"/>
  <c r="F147" i="13"/>
  <c r="F95" i="17"/>
  <c r="F163" i="13"/>
  <c r="F153" i="13"/>
  <c r="F91" i="17"/>
  <c r="F159" i="13"/>
  <c r="F149" i="13"/>
  <c r="F161" i="13"/>
  <c r="F151" i="13"/>
  <c r="F164" i="13"/>
  <c r="F154" i="13"/>
  <c r="H23" i="6"/>
  <c r="G33" i="6"/>
  <c r="G31" i="6"/>
  <c r="G29" i="6"/>
  <c r="G26" i="6"/>
  <c r="G30" i="6"/>
  <c r="G28" i="6"/>
  <c r="G25" i="6"/>
  <c r="G32" i="6"/>
  <c r="G27" i="6"/>
  <c r="F96" i="17"/>
  <c r="D140" i="6"/>
  <c r="D137" i="6"/>
  <c r="F11" i="6"/>
  <c r="G68" i="17"/>
  <c r="F68" i="17"/>
  <c r="D139" i="6"/>
  <c r="G66" i="17"/>
  <c r="F92" i="17"/>
  <c r="F14" i="6"/>
  <c r="D133" i="6"/>
  <c r="F13" i="6"/>
  <c r="D45" i="6"/>
  <c r="D152" i="6" s="1"/>
  <c r="D167" i="6" s="1"/>
  <c r="D50" i="6"/>
  <c r="D157" i="6" s="1"/>
  <c r="D172" i="6" s="1"/>
  <c r="D135" i="6"/>
  <c r="D48" i="6"/>
  <c r="D155" i="6" s="1"/>
  <c r="D49" i="6"/>
  <c r="D156" i="6" s="1"/>
  <c r="D171" i="6" s="1"/>
  <c r="D46" i="6"/>
  <c r="D153" i="6" s="1"/>
  <c r="D168" i="6" s="1"/>
  <c r="D44" i="6"/>
  <c r="D151" i="6" s="1"/>
  <c r="D166" i="6" s="1"/>
  <c r="D72" i="6"/>
  <c r="D100" i="6" s="1"/>
  <c r="D47" i="6"/>
  <c r="D154" i="6" s="1"/>
  <c r="D169" i="6" s="1"/>
  <c r="D173" i="6" l="1"/>
  <c r="D174" i="6" s="1"/>
  <c r="D158" i="6"/>
  <c r="D159" i="6" s="1"/>
  <c r="D52" i="6"/>
  <c r="D53" i="6" s="1"/>
  <c r="F247" i="17"/>
  <c r="F356" i="17"/>
  <c r="F348" i="17"/>
  <c r="F355" i="17"/>
  <c r="F347" i="17"/>
  <c r="F353" i="17"/>
  <c r="F346" i="17"/>
  <c r="F354" i="17"/>
  <c r="F352" i="17"/>
  <c r="F351" i="17"/>
  <c r="F350" i="17"/>
  <c r="F349" i="17"/>
  <c r="F296" i="17"/>
  <c r="F294" i="17"/>
  <c r="F295" i="17"/>
  <c r="F286" i="17"/>
  <c r="F292" i="17"/>
  <c r="F289" i="17"/>
  <c r="F287" i="17"/>
  <c r="F291" i="17"/>
  <c r="F293" i="17"/>
  <c r="F288" i="17"/>
  <c r="F290" i="17"/>
  <c r="G199" i="17"/>
  <c r="G200" i="17"/>
  <c r="G201" i="17"/>
  <c r="G191" i="17"/>
  <c r="G198" i="17"/>
  <c r="G196" i="17"/>
  <c r="G195" i="17"/>
  <c r="G193" i="17"/>
  <c r="G194" i="17"/>
  <c r="G192" i="17"/>
  <c r="F59" i="18" s="1"/>
  <c r="G197" i="17"/>
  <c r="F187" i="17"/>
  <c r="F188" i="17" s="1"/>
  <c r="F337" i="17"/>
  <c r="F336" i="17"/>
  <c r="F335" i="17"/>
  <c r="F334" i="17"/>
  <c r="F341" i="17"/>
  <c r="F333" i="17"/>
  <c r="F340" i="17"/>
  <c r="F332" i="17"/>
  <c r="F339" i="17"/>
  <c r="F331" i="17"/>
  <c r="F338" i="17"/>
  <c r="F326" i="17"/>
  <c r="F318" i="17"/>
  <c r="F325" i="17"/>
  <c r="F317" i="17"/>
  <c r="F324" i="17"/>
  <c r="F316" i="17"/>
  <c r="F323" i="17"/>
  <c r="F320" i="17"/>
  <c r="F319" i="17"/>
  <c r="F322" i="17"/>
  <c r="F321" i="17"/>
  <c r="F229" i="17"/>
  <c r="F231" i="17"/>
  <c r="F230" i="17"/>
  <c r="F221" i="17"/>
  <c r="F228" i="17"/>
  <c r="F222" i="17"/>
  <c r="E83" i="18" s="1"/>
  <c r="F225" i="17"/>
  <c r="F224" i="17"/>
  <c r="F227" i="17"/>
  <c r="F226" i="17"/>
  <c r="F223" i="17"/>
  <c r="F262" i="17"/>
  <c r="F263" i="17" s="1"/>
  <c r="F383" i="17"/>
  <c r="F382" i="17"/>
  <c r="F380" i="17"/>
  <c r="F376" i="17"/>
  <c r="F386" i="17"/>
  <c r="F385" i="17"/>
  <c r="F384" i="17"/>
  <c r="F381" i="17"/>
  <c r="F379" i="17"/>
  <c r="F378" i="17"/>
  <c r="F377" i="17"/>
  <c r="G230" i="17"/>
  <c r="G231" i="17"/>
  <c r="G229" i="17"/>
  <c r="G221" i="17"/>
  <c r="G222" i="17"/>
  <c r="F83" i="18" s="1"/>
  <c r="G224" i="17"/>
  <c r="G225" i="17"/>
  <c r="G228" i="17"/>
  <c r="G223" i="17"/>
  <c r="G226" i="17"/>
  <c r="G227" i="17"/>
  <c r="F394" i="17"/>
  <c r="F401" i="17"/>
  <c r="F393" i="17"/>
  <c r="F400" i="17"/>
  <c r="F392" i="17"/>
  <c r="F399" i="17"/>
  <c r="F391" i="17"/>
  <c r="F395" i="17"/>
  <c r="F398" i="17"/>
  <c r="F397" i="17"/>
  <c r="F396" i="17"/>
  <c r="F217" i="17"/>
  <c r="F218" i="17" s="1"/>
  <c r="D79" i="6"/>
  <c r="D203" i="6" s="1"/>
  <c r="D76" i="6"/>
  <c r="D200" i="6" s="1"/>
  <c r="D74" i="6"/>
  <c r="F202" i="13"/>
  <c r="F195" i="13" s="1"/>
  <c r="D73" i="6"/>
  <c r="G200" i="13"/>
  <c r="G202" i="13"/>
  <c r="D78" i="6"/>
  <c r="D106" i="6" s="1"/>
  <c r="D75" i="6"/>
  <c r="D103" i="6" s="1"/>
  <c r="D77" i="6"/>
  <c r="D105" i="6" s="1"/>
  <c r="G180" i="13"/>
  <c r="G190" i="13"/>
  <c r="F182" i="13"/>
  <c r="F175" i="13" s="1"/>
  <c r="F192" i="13"/>
  <c r="F185" i="13" s="1"/>
  <c r="G182" i="13"/>
  <c r="G192" i="13"/>
  <c r="G12" i="36"/>
  <c r="D196" i="6"/>
  <c r="G18" i="36"/>
  <c r="E132" i="18"/>
  <c r="G16" i="36"/>
  <c r="E130" i="18"/>
  <c r="G14" i="36"/>
  <c r="E128" i="18"/>
  <c r="G19" i="36"/>
  <c r="E133" i="18"/>
  <c r="E126" i="18"/>
  <c r="F94" i="17"/>
  <c r="F152" i="13"/>
  <c r="F162" i="13"/>
  <c r="G92" i="17"/>
  <c r="G150" i="13"/>
  <c r="G160" i="13"/>
  <c r="G94" i="17"/>
  <c r="G162" i="13"/>
  <c r="G152" i="13"/>
  <c r="I23" i="6"/>
  <c r="H30" i="6"/>
  <c r="H28" i="6"/>
  <c r="H25" i="6"/>
  <c r="H32" i="6"/>
  <c r="H27" i="6"/>
  <c r="H33" i="6"/>
  <c r="H31" i="6"/>
  <c r="H29" i="6"/>
  <c r="H26" i="6"/>
  <c r="E46" i="6"/>
  <c r="E153" i="6" s="1"/>
  <c r="E168" i="6" s="1"/>
  <c r="H66" i="17"/>
  <c r="F90" i="17"/>
  <c r="F15" i="6"/>
  <c r="E134" i="6"/>
  <c r="D134" i="6"/>
  <c r="E44" i="6"/>
  <c r="E151" i="6" s="1"/>
  <c r="E166" i="6" s="1"/>
  <c r="E136" i="6"/>
  <c r="F16" i="6"/>
  <c r="E48" i="6"/>
  <c r="E155" i="6" s="1"/>
  <c r="D136" i="6"/>
  <c r="F12" i="6"/>
  <c r="D138" i="6"/>
  <c r="H68" i="17"/>
  <c r="E138" i="6"/>
  <c r="F136" i="6"/>
  <c r="E135" i="6"/>
  <c r="G65" i="17"/>
  <c r="F49" i="6"/>
  <c r="F156" i="6" s="1"/>
  <c r="F171" i="6" s="1"/>
  <c r="G69" i="17"/>
  <c r="E140" i="6"/>
  <c r="G70" i="17"/>
  <c r="E132" i="6"/>
  <c r="G62" i="17"/>
  <c r="E133" i="6"/>
  <c r="G63" i="17"/>
  <c r="F71" i="17"/>
  <c r="F155" i="13" s="1"/>
  <c r="E137" i="6"/>
  <c r="G67" i="17"/>
  <c r="G64" i="17"/>
  <c r="E43" i="6"/>
  <c r="E150" i="6" s="1"/>
  <c r="E165" i="6" s="1"/>
  <c r="E45" i="6"/>
  <c r="E152" i="6" s="1"/>
  <c r="E167" i="6" s="1"/>
  <c r="E42" i="6"/>
  <c r="E149" i="6" s="1"/>
  <c r="E164" i="6" s="1"/>
  <c r="E50" i="6"/>
  <c r="E157" i="6" s="1"/>
  <c r="E172" i="6" s="1"/>
  <c r="E49" i="6"/>
  <c r="E156" i="6" s="1"/>
  <c r="E171" i="6" s="1"/>
  <c r="E139" i="6"/>
  <c r="E47" i="6"/>
  <c r="E154" i="6" s="1"/>
  <c r="E169" i="6" s="1"/>
  <c r="F46" i="6"/>
  <c r="F153" i="6" s="1"/>
  <c r="F168" i="6" s="1"/>
  <c r="E35" i="6"/>
  <c r="H62" i="17"/>
  <c r="E173" i="6" l="1"/>
  <c r="E174" i="6" s="1"/>
  <c r="E158" i="6"/>
  <c r="E159" i="6" s="1"/>
  <c r="D201" i="6"/>
  <c r="D199" i="6"/>
  <c r="D202" i="6"/>
  <c r="F248" i="17"/>
  <c r="F402" i="17"/>
  <c r="F403" i="17" s="1"/>
  <c r="G155" i="17"/>
  <c r="G156" i="17"/>
  <c r="G154" i="17"/>
  <c r="G149" i="17"/>
  <c r="G147" i="17"/>
  <c r="F23" i="18" s="1"/>
  <c r="G150" i="17"/>
  <c r="G146" i="17"/>
  <c r="G153" i="17"/>
  <c r="G151" i="17"/>
  <c r="G152" i="17"/>
  <c r="G148" i="17"/>
  <c r="G368" i="17"/>
  <c r="G371" i="17"/>
  <c r="G369" i="17"/>
  <c r="G367" i="17"/>
  <c r="G365" i="17"/>
  <c r="G363" i="17"/>
  <c r="G366" i="17"/>
  <c r="G361" i="17"/>
  <c r="G364" i="17"/>
  <c r="G370" i="17"/>
  <c r="G362" i="17"/>
  <c r="G338" i="17"/>
  <c r="G333" i="17"/>
  <c r="G336" i="17"/>
  <c r="G340" i="17"/>
  <c r="G339" i="17"/>
  <c r="G331" i="17"/>
  <c r="G334" i="17"/>
  <c r="G341" i="17"/>
  <c r="G337" i="17"/>
  <c r="G332" i="17"/>
  <c r="G335" i="17"/>
  <c r="G260" i="17"/>
  <c r="G261" i="17"/>
  <c r="G259" i="17"/>
  <c r="G251" i="17"/>
  <c r="G252" i="17"/>
  <c r="F107" i="18" s="1"/>
  <c r="G255" i="17"/>
  <c r="G258" i="17"/>
  <c r="G253" i="17"/>
  <c r="G256" i="17"/>
  <c r="G254" i="17"/>
  <c r="G257" i="17"/>
  <c r="G215" i="17"/>
  <c r="G214" i="17"/>
  <c r="G216" i="17"/>
  <c r="G206" i="17"/>
  <c r="G212" i="17"/>
  <c r="G208" i="17"/>
  <c r="G211" i="17"/>
  <c r="G209" i="17"/>
  <c r="G207" i="17"/>
  <c r="F71" i="18" s="1"/>
  <c r="G213" i="17"/>
  <c r="G210" i="17"/>
  <c r="F305" i="17"/>
  <c r="F304" i="17"/>
  <c r="F310" i="17"/>
  <c r="F302" i="17"/>
  <c r="F311" i="17"/>
  <c r="F309" i="17"/>
  <c r="F308" i="17"/>
  <c r="F307" i="17"/>
  <c r="F306" i="17"/>
  <c r="F303" i="17"/>
  <c r="F301" i="17"/>
  <c r="F232" i="17"/>
  <c r="F233" i="17" s="1"/>
  <c r="H199" i="17"/>
  <c r="H200" i="17"/>
  <c r="H201" i="17"/>
  <c r="H191" i="17"/>
  <c r="H195" i="17"/>
  <c r="H196" i="17"/>
  <c r="H193" i="17"/>
  <c r="H194" i="17"/>
  <c r="H198" i="17"/>
  <c r="H197" i="17"/>
  <c r="H192" i="17"/>
  <c r="G59" i="18" s="1"/>
  <c r="F368" i="17"/>
  <c r="F367" i="17"/>
  <c r="F366" i="17"/>
  <c r="F365" i="17"/>
  <c r="F364" i="17"/>
  <c r="F371" i="17"/>
  <c r="F363" i="17"/>
  <c r="F370" i="17"/>
  <c r="F362" i="17"/>
  <c r="F369" i="17"/>
  <c r="F361" i="17"/>
  <c r="F342" i="17"/>
  <c r="F343" i="17" s="1"/>
  <c r="F357" i="17"/>
  <c r="F358" i="17" s="1"/>
  <c r="G244" i="17"/>
  <c r="G246" i="17"/>
  <c r="G245" i="17"/>
  <c r="G236" i="17"/>
  <c r="G237" i="17"/>
  <c r="F95" i="18" s="1"/>
  <c r="G242" i="17"/>
  <c r="G241" i="17"/>
  <c r="G243" i="17"/>
  <c r="G238" i="17"/>
  <c r="G240" i="17"/>
  <c r="G239" i="17"/>
  <c r="F327" i="17"/>
  <c r="F328" i="17" s="1"/>
  <c r="F297" i="17"/>
  <c r="G186" i="17"/>
  <c r="G184" i="17"/>
  <c r="G185" i="17"/>
  <c r="G176" i="17"/>
  <c r="G178" i="17"/>
  <c r="G181" i="17"/>
  <c r="G180" i="17"/>
  <c r="G182" i="17"/>
  <c r="G179" i="17"/>
  <c r="G183" i="17"/>
  <c r="G177" i="17"/>
  <c r="F47" i="18" s="1"/>
  <c r="H231" i="17"/>
  <c r="H230" i="17"/>
  <c r="H229" i="17"/>
  <c r="H221" i="17"/>
  <c r="H228" i="17"/>
  <c r="H222" i="17"/>
  <c r="G83" i="18" s="1"/>
  <c r="H224" i="17"/>
  <c r="H225" i="17"/>
  <c r="H227" i="17"/>
  <c r="H226" i="17"/>
  <c r="H223" i="17"/>
  <c r="G170" i="17"/>
  <c r="G171" i="17"/>
  <c r="G169" i="17"/>
  <c r="G161" i="17"/>
  <c r="G162" i="17"/>
  <c r="F35" i="18" s="1"/>
  <c r="G164" i="17"/>
  <c r="G165" i="17"/>
  <c r="G167" i="17"/>
  <c r="G163" i="17"/>
  <c r="G166" i="17"/>
  <c r="G168" i="17"/>
  <c r="G232" i="17"/>
  <c r="G233" i="17" s="1"/>
  <c r="F387" i="17"/>
  <c r="F388" i="17" s="1"/>
  <c r="G202" i="17"/>
  <c r="G203" i="17" s="1"/>
  <c r="H141" i="17"/>
  <c r="H134" i="17"/>
  <c r="H140" i="17"/>
  <c r="H138" i="17"/>
  <c r="H133" i="17"/>
  <c r="H135" i="17"/>
  <c r="H139" i="17"/>
  <c r="H136" i="17"/>
  <c r="H131" i="17"/>
  <c r="H137" i="17"/>
  <c r="H132" i="17"/>
  <c r="G11" i="18" s="1"/>
  <c r="G138" i="17"/>
  <c r="G141" i="17"/>
  <c r="G139" i="17"/>
  <c r="G140" i="17"/>
  <c r="G135" i="17"/>
  <c r="G136" i="17"/>
  <c r="G131" i="17"/>
  <c r="G137" i="17"/>
  <c r="G132" i="17"/>
  <c r="F11" i="18" s="1"/>
  <c r="G134" i="17"/>
  <c r="G17" i="36"/>
  <c r="F212" i="13"/>
  <c r="F206" i="13"/>
  <c r="F207" i="13"/>
  <c r="F214" i="13"/>
  <c r="F213" i="13"/>
  <c r="F208" i="13"/>
  <c r="F211" i="13"/>
  <c r="F209" i="13"/>
  <c r="F210" i="13"/>
  <c r="D81" i="6"/>
  <c r="H6" i="34" s="1"/>
  <c r="E77" i="6"/>
  <c r="E105" i="6" s="1"/>
  <c r="F75" i="6"/>
  <c r="F103" i="6" s="1"/>
  <c r="E79" i="6"/>
  <c r="E78" i="6"/>
  <c r="E106" i="6" s="1"/>
  <c r="G204" i="13"/>
  <c r="G198" i="13"/>
  <c r="H200" i="13"/>
  <c r="H196" i="13"/>
  <c r="G199" i="13"/>
  <c r="G201" i="13"/>
  <c r="G197" i="13"/>
  <c r="H202" i="13"/>
  <c r="E73" i="6"/>
  <c r="E75" i="6"/>
  <c r="E103" i="6" s="1"/>
  <c r="G196" i="13"/>
  <c r="E76" i="6"/>
  <c r="E104" i="6" s="1"/>
  <c r="F35" i="69" s="1"/>
  <c r="E71" i="6"/>
  <c r="E74" i="6"/>
  <c r="G203" i="13"/>
  <c r="E72" i="6"/>
  <c r="E100" i="6" s="1"/>
  <c r="E20" i="69" s="1"/>
  <c r="G20" i="69" s="1"/>
  <c r="J19" i="69" s="1"/>
  <c r="F78" i="6"/>
  <c r="F106" i="6" s="1"/>
  <c r="G193" i="13"/>
  <c r="G183" i="13"/>
  <c r="G181" i="13"/>
  <c r="G191" i="13"/>
  <c r="G194" i="13"/>
  <c r="G184" i="13"/>
  <c r="G188" i="13"/>
  <c r="G178" i="13"/>
  <c r="G176" i="13"/>
  <c r="G186" i="13"/>
  <c r="G189" i="13"/>
  <c r="G179" i="13"/>
  <c r="H190" i="13"/>
  <c r="H180" i="13"/>
  <c r="G187" i="13"/>
  <c r="G177" i="13"/>
  <c r="F165" i="13"/>
  <c r="H192" i="13"/>
  <c r="H182" i="13"/>
  <c r="H186" i="13"/>
  <c r="H176" i="13"/>
  <c r="G13" i="36"/>
  <c r="E203" i="6"/>
  <c r="E131" i="18"/>
  <c r="H16" i="36"/>
  <c r="F130" i="18"/>
  <c r="H14" i="36"/>
  <c r="F128" i="18"/>
  <c r="G15" i="36"/>
  <c r="E129" i="18"/>
  <c r="E127" i="18"/>
  <c r="H13" i="36"/>
  <c r="F127" i="18"/>
  <c r="H12" i="36"/>
  <c r="F126" i="18"/>
  <c r="H19" i="36"/>
  <c r="F133" i="18"/>
  <c r="I15" i="36"/>
  <c r="G129" i="18"/>
  <c r="H17" i="36"/>
  <c r="F131" i="18"/>
  <c r="H18" i="36"/>
  <c r="F132" i="18"/>
  <c r="H11" i="36"/>
  <c r="F125" i="18"/>
  <c r="H15" i="36"/>
  <c r="F129" i="18"/>
  <c r="G90" i="17"/>
  <c r="G148" i="13"/>
  <c r="G158" i="13"/>
  <c r="G146" i="13"/>
  <c r="G156" i="13"/>
  <c r="G95" i="17"/>
  <c r="G163" i="13"/>
  <c r="G153" i="13"/>
  <c r="H156" i="13"/>
  <c r="H146" i="13"/>
  <c r="H94" i="17"/>
  <c r="H162" i="13"/>
  <c r="H152" i="13"/>
  <c r="G93" i="17"/>
  <c r="G161" i="13"/>
  <c r="G151" i="13"/>
  <c r="G91" i="17"/>
  <c r="G159" i="13"/>
  <c r="G149" i="13"/>
  <c r="H92" i="17"/>
  <c r="H160" i="13"/>
  <c r="H150" i="13"/>
  <c r="G89" i="17"/>
  <c r="G157" i="13"/>
  <c r="G147" i="13"/>
  <c r="G96" i="17"/>
  <c r="G164" i="13"/>
  <c r="G154" i="13"/>
  <c r="J23" i="6"/>
  <c r="I30" i="6"/>
  <c r="I28" i="6"/>
  <c r="I25" i="6"/>
  <c r="I32" i="6"/>
  <c r="I27" i="6"/>
  <c r="I33" i="6"/>
  <c r="I31" i="6"/>
  <c r="I29" i="6"/>
  <c r="I26" i="6"/>
  <c r="F97" i="17"/>
  <c r="E7" i="18" s="1"/>
  <c r="F145" i="13"/>
  <c r="D142" i="6"/>
  <c r="D143" i="6" s="1"/>
  <c r="F138" i="6"/>
  <c r="I68" i="17"/>
  <c r="F48" i="6"/>
  <c r="F155" i="6" s="1"/>
  <c r="G139" i="6"/>
  <c r="F43" i="6"/>
  <c r="F150" i="6" s="1"/>
  <c r="F165" i="6" s="1"/>
  <c r="G133" i="6"/>
  <c r="I63" i="17"/>
  <c r="F137" i="6"/>
  <c r="H67" i="17"/>
  <c r="G88" i="17"/>
  <c r="G71" i="17"/>
  <c r="G165" i="13" s="1"/>
  <c r="H88" i="17"/>
  <c r="F133" i="6"/>
  <c r="H63" i="17"/>
  <c r="F139" i="6"/>
  <c r="H69" i="17"/>
  <c r="F140" i="6"/>
  <c r="H70" i="17"/>
  <c r="G136" i="6"/>
  <c r="I66" i="17"/>
  <c r="F135" i="6"/>
  <c r="H65" i="17"/>
  <c r="H64" i="17"/>
  <c r="F134" i="6"/>
  <c r="F44" i="6"/>
  <c r="F151" i="6" s="1"/>
  <c r="F166" i="6" s="1"/>
  <c r="E142" i="6"/>
  <c r="E143" i="6" s="1"/>
  <c r="F50" i="6"/>
  <c r="F157" i="6" s="1"/>
  <c r="F172" i="6" s="1"/>
  <c r="F45" i="6"/>
  <c r="F152" i="6" s="1"/>
  <c r="F167" i="6" s="1"/>
  <c r="G45" i="6"/>
  <c r="G152" i="6" s="1"/>
  <c r="G167" i="6" s="1"/>
  <c r="F42" i="6"/>
  <c r="F149" i="6" s="1"/>
  <c r="F164" i="6" s="1"/>
  <c r="F173" i="6" s="1"/>
  <c r="F174" i="6" s="1"/>
  <c r="F132" i="6"/>
  <c r="E52" i="6"/>
  <c r="E53" i="6" s="1"/>
  <c r="F47" i="6"/>
  <c r="F154" i="6" s="1"/>
  <c r="F169" i="6" s="1"/>
  <c r="G43" i="6"/>
  <c r="G150" i="6" s="1"/>
  <c r="G165" i="6" s="1"/>
  <c r="G46" i="6"/>
  <c r="G153" i="6" s="1"/>
  <c r="G168" i="6" s="1"/>
  <c r="F35" i="6"/>
  <c r="I62" i="17"/>
  <c r="F158" i="6" l="1"/>
  <c r="F159" i="6" s="1"/>
  <c r="D205" i="6"/>
  <c r="F202" i="6"/>
  <c r="E12" i="69"/>
  <c r="G12" i="69" s="1"/>
  <c r="J11" i="69" s="1"/>
  <c r="F38" i="69"/>
  <c r="J37" i="69" s="1"/>
  <c r="F43" i="69"/>
  <c r="J42" i="69" s="1"/>
  <c r="F199" i="6"/>
  <c r="F264" i="17"/>
  <c r="F265" i="17" s="1"/>
  <c r="F84" i="28"/>
  <c r="E6" i="18"/>
  <c r="I200" i="17"/>
  <c r="I199" i="17"/>
  <c r="I201" i="17"/>
  <c r="I191" i="17"/>
  <c r="I198" i="17"/>
  <c r="I195" i="17"/>
  <c r="I196" i="17"/>
  <c r="I193" i="17"/>
  <c r="I194" i="17"/>
  <c r="I192" i="17"/>
  <c r="H59" i="18" s="1"/>
  <c r="I197" i="17"/>
  <c r="H156" i="17"/>
  <c r="H155" i="17"/>
  <c r="H154" i="17"/>
  <c r="H149" i="17"/>
  <c r="H151" i="17"/>
  <c r="H152" i="17"/>
  <c r="H150" i="17"/>
  <c r="H146" i="17"/>
  <c r="H148" i="17"/>
  <c r="H153" i="17"/>
  <c r="H147" i="17"/>
  <c r="G23" i="18" s="1"/>
  <c r="G385" i="17"/>
  <c r="G380" i="17"/>
  <c r="G383" i="17"/>
  <c r="G386" i="17"/>
  <c r="G381" i="17"/>
  <c r="G376" i="17"/>
  <c r="G384" i="17"/>
  <c r="G379" i="17"/>
  <c r="G382" i="17"/>
  <c r="G378" i="17"/>
  <c r="G377" i="17"/>
  <c r="G157" i="17"/>
  <c r="G158" i="17" s="1"/>
  <c r="H371" i="17"/>
  <c r="H363" i="17"/>
  <c r="H368" i="17"/>
  <c r="H366" i="17"/>
  <c r="H361" i="17"/>
  <c r="H364" i="17"/>
  <c r="H370" i="17"/>
  <c r="H362" i="17"/>
  <c r="H365" i="17"/>
  <c r="H367" i="17"/>
  <c r="H369" i="17"/>
  <c r="G356" i="17"/>
  <c r="G349" i="17"/>
  <c r="G352" i="17"/>
  <c r="G355" i="17"/>
  <c r="G350" i="17"/>
  <c r="G353" i="17"/>
  <c r="G346" i="17"/>
  <c r="G348" i="17"/>
  <c r="G354" i="17"/>
  <c r="G351" i="17"/>
  <c r="G347" i="17"/>
  <c r="H202" i="17"/>
  <c r="H203" i="17" s="1"/>
  <c r="F312" i="17"/>
  <c r="F313" i="17" s="1"/>
  <c r="H281" i="17"/>
  <c r="H279" i="17"/>
  <c r="H280" i="17"/>
  <c r="H271" i="17"/>
  <c r="H275" i="17"/>
  <c r="H276" i="17"/>
  <c r="H274" i="17"/>
  <c r="H278" i="17"/>
  <c r="H273" i="17"/>
  <c r="H272" i="17"/>
  <c r="H277" i="17"/>
  <c r="I229" i="17"/>
  <c r="I231" i="17"/>
  <c r="I230" i="17"/>
  <c r="I221" i="17"/>
  <c r="I225" i="17"/>
  <c r="I224" i="17"/>
  <c r="I228" i="17"/>
  <c r="I222" i="17"/>
  <c r="H83" i="18" s="1"/>
  <c r="I223" i="17"/>
  <c r="I227" i="17"/>
  <c r="I226" i="17"/>
  <c r="G395" i="17"/>
  <c r="G398" i="17"/>
  <c r="G401" i="17"/>
  <c r="G396" i="17"/>
  <c r="G399" i="17"/>
  <c r="G394" i="17"/>
  <c r="G400" i="17"/>
  <c r="G391" i="17"/>
  <c r="G392" i="17"/>
  <c r="G397" i="17"/>
  <c r="G393" i="17"/>
  <c r="H232" i="17"/>
  <c r="H233" i="17" s="1"/>
  <c r="G187" i="17"/>
  <c r="G188" i="17" s="1"/>
  <c r="G342" i="17"/>
  <c r="G343" i="17" s="1"/>
  <c r="G217" i="17"/>
  <c r="G218" i="17" s="1"/>
  <c r="G372" i="17"/>
  <c r="G373" i="17" s="1"/>
  <c r="G306" i="17"/>
  <c r="G309" i="17"/>
  <c r="G301" i="17"/>
  <c r="G307" i="17"/>
  <c r="G305" i="17"/>
  <c r="G308" i="17"/>
  <c r="G304" i="17"/>
  <c r="G311" i="17"/>
  <c r="G310" i="17"/>
  <c r="G303" i="17"/>
  <c r="G302" i="17"/>
  <c r="F298" i="17"/>
  <c r="G280" i="17"/>
  <c r="G281" i="17"/>
  <c r="G279" i="17"/>
  <c r="G271" i="17"/>
  <c r="G274" i="17"/>
  <c r="G276" i="17"/>
  <c r="G272" i="17"/>
  <c r="G277" i="17"/>
  <c r="G278" i="17"/>
  <c r="G275" i="17"/>
  <c r="G273" i="17"/>
  <c r="H215" i="17"/>
  <c r="H216" i="17"/>
  <c r="H214" i="17"/>
  <c r="H206" i="17"/>
  <c r="H211" i="17"/>
  <c r="H209" i="17"/>
  <c r="H212" i="17"/>
  <c r="H208" i="17"/>
  <c r="H207" i="17"/>
  <c r="G71" i="18" s="1"/>
  <c r="H213" i="17"/>
  <c r="H210" i="17"/>
  <c r="H186" i="17"/>
  <c r="H184" i="17"/>
  <c r="H185" i="17"/>
  <c r="H176" i="17"/>
  <c r="H182" i="17"/>
  <c r="H181" i="17"/>
  <c r="H180" i="17"/>
  <c r="H178" i="17"/>
  <c r="H183" i="17"/>
  <c r="H179" i="17"/>
  <c r="H177" i="17"/>
  <c r="G47" i="18" s="1"/>
  <c r="H246" i="17"/>
  <c r="H244" i="17"/>
  <c r="H245" i="17"/>
  <c r="H236" i="17"/>
  <c r="H242" i="17"/>
  <c r="H241" i="17"/>
  <c r="H237" i="17"/>
  <c r="G95" i="18" s="1"/>
  <c r="H243" i="17"/>
  <c r="H240" i="17"/>
  <c r="H239" i="17"/>
  <c r="H238" i="17"/>
  <c r="G296" i="17"/>
  <c r="G295" i="17"/>
  <c r="G294" i="17"/>
  <c r="G286" i="17"/>
  <c r="G292" i="17"/>
  <c r="G291" i="17"/>
  <c r="G289" i="17"/>
  <c r="G287" i="17"/>
  <c r="G290" i="17"/>
  <c r="G288" i="17"/>
  <c r="G293" i="17"/>
  <c r="G172" i="17"/>
  <c r="G173" i="17" s="1"/>
  <c r="G247" i="17"/>
  <c r="F372" i="17"/>
  <c r="F373" i="17" s="1"/>
  <c r="H260" i="17"/>
  <c r="H261" i="17"/>
  <c r="H259" i="17"/>
  <c r="H251" i="17"/>
  <c r="H255" i="17"/>
  <c r="H254" i="17"/>
  <c r="H252" i="17"/>
  <c r="G107" i="18" s="1"/>
  <c r="H258" i="17"/>
  <c r="H256" i="17"/>
  <c r="H257" i="17"/>
  <c r="H253" i="17"/>
  <c r="H340" i="17"/>
  <c r="H341" i="17"/>
  <c r="H333" i="17"/>
  <c r="H336" i="17"/>
  <c r="H339" i="17"/>
  <c r="H331" i="17"/>
  <c r="H334" i="17"/>
  <c r="H337" i="17"/>
  <c r="H332" i="17"/>
  <c r="H335" i="17"/>
  <c r="H338" i="17"/>
  <c r="H170" i="17"/>
  <c r="H171" i="17"/>
  <c r="H169" i="17"/>
  <c r="H161" i="17"/>
  <c r="H165" i="17"/>
  <c r="H162" i="17"/>
  <c r="G35" i="18" s="1"/>
  <c r="H168" i="17"/>
  <c r="H164" i="17"/>
  <c r="H163" i="17"/>
  <c r="H166" i="17"/>
  <c r="H167" i="17"/>
  <c r="I156" i="17"/>
  <c r="I154" i="17"/>
  <c r="I155" i="17"/>
  <c r="I147" i="17"/>
  <c r="H23" i="18" s="1"/>
  <c r="I151" i="17"/>
  <c r="I152" i="17"/>
  <c r="I150" i="17"/>
  <c r="I146" i="17"/>
  <c r="I153" i="17"/>
  <c r="I148" i="17"/>
  <c r="I149" i="17"/>
  <c r="G326" i="17"/>
  <c r="G318" i="17"/>
  <c r="G319" i="17"/>
  <c r="G322" i="17"/>
  <c r="G325" i="17"/>
  <c r="G317" i="17"/>
  <c r="G320" i="17"/>
  <c r="G323" i="17"/>
  <c r="G316" i="17"/>
  <c r="G324" i="17"/>
  <c r="G321" i="17"/>
  <c r="I136" i="17"/>
  <c r="I139" i="17"/>
  <c r="I137" i="17"/>
  <c r="I135" i="17"/>
  <c r="I131" i="17"/>
  <c r="I132" i="17"/>
  <c r="H11" i="18" s="1"/>
  <c r="I138" i="17"/>
  <c r="I140" i="17"/>
  <c r="I141" i="17"/>
  <c r="I134" i="17"/>
  <c r="I133" i="17"/>
  <c r="G142" i="17"/>
  <c r="G143" i="17" s="1"/>
  <c r="H142" i="17"/>
  <c r="H143" i="17" s="1"/>
  <c r="E135" i="18"/>
  <c r="F80" i="28"/>
  <c r="F83" i="28"/>
  <c r="F135" i="18"/>
  <c r="F81" i="28"/>
  <c r="F86" i="28"/>
  <c r="F85" i="28"/>
  <c r="F82" i="28"/>
  <c r="F78" i="28"/>
  <c r="F79" i="28"/>
  <c r="F172" i="13"/>
  <c r="G171" i="13"/>
  <c r="G211" i="13"/>
  <c r="F171" i="13"/>
  <c r="G213" i="13"/>
  <c r="F166" i="13"/>
  <c r="G206" i="13"/>
  <c r="F170" i="13"/>
  <c r="F168" i="13"/>
  <c r="G173" i="13"/>
  <c r="G166" i="13"/>
  <c r="G212" i="13"/>
  <c r="F167" i="13"/>
  <c r="F169" i="13"/>
  <c r="G172" i="13"/>
  <c r="G207" i="13"/>
  <c r="G167" i="13"/>
  <c r="G210" i="13"/>
  <c r="G169" i="13"/>
  <c r="G174" i="13"/>
  <c r="F173" i="13"/>
  <c r="G208" i="13"/>
  <c r="G170" i="13"/>
  <c r="G209" i="13"/>
  <c r="G214" i="13"/>
  <c r="F174" i="13"/>
  <c r="G168" i="13"/>
  <c r="E201" i="6"/>
  <c r="E202" i="6"/>
  <c r="E196" i="6"/>
  <c r="E199" i="6"/>
  <c r="G75" i="6"/>
  <c r="G103" i="6" s="1"/>
  <c r="G199" i="6" s="1"/>
  <c r="G74" i="6"/>
  <c r="G102" i="6" s="1"/>
  <c r="G198" i="6" s="1"/>
  <c r="H199" i="13"/>
  <c r="I197" i="13"/>
  <c r="F72" i="6"/>
  <c r="F100" i="6" s="1"/>
  <c r="G72" i="6"/>
  <c r="G100" i="6" s="1"/>
  <c r="G196" i="6" s="1"/>
  <c r="F74" i="6"/>
  <c r="F102" i="6" s="1"/>
  <c r="I200" i="13"/>
  <c r="H197" i="13"/>
  <c r="E200" i="6"/>
  <c r="H203" i="13"/>
  <c r="F76" i="6"/>
  <c r="F104" i="6" s="1"/>
  <c r="F77" i="6"/>
  <c r="F105" i="6" s="1"/>
  <c r="F73" i="6"/>
  <c r="F101" i="6" s="1"/>
  <c r="I202" i="13"/>
  <c r="I196" i="13"/>
  <c r="F79" i="6"/>
  <c r="F107" i="6" s="1"/>
  <c r="H204" i="13"/>
  <c r="F71" i="6"/>
  <c r="F99" i="6" s="1"/>
  <c r="H198" i="13"/>
  <c r="H201" i="13"/>
  <c r="H194" i="13"/>
  <c r="H184" i="13"/>
  <c r="I182" i="13"/>
  <c r="I192" i="13"/>
  <c r="G175" i="13"/>
  <c r="G195" i="13"/>
  <c r="H179" i="13"/>
  <c r="H189" i="13"/>
  <c r="H193" i="13"/>
  <c r="H183" i="13"/>
  <c r="H178" i="13"/>
  <c r="H188" i="13"/>
  <c r="I187" i="13"/>
  <c r="I177" i="13"/>
  <c r="I186" i="13"/>
  <c r="I176" i="13"/>
  <c r="I190" i="13"/>
  <c r="I180" i="13"/>
  <c r="H187" i="13"/>
  <c r="H177" i="13"/>
  <c r="G185" i="13"/>
  <c r="H181" i="13"/>
  <c r="H191" i="13"/>
  <c r="H20" i="36"/>
  <c r="F54" i="34" s="1"/>
  <c r="G20" i="36"/>
  <c r="E54" i="34" s="1"/>
  <c r="I19" i="36"/>
  <c r="G133" i="18"/>
  <c r="I14" i="36"/>
  <c r="G128" i="18"/>
  <c r="J15" i="36"/>
  <c r="H129" i="18"/>
  <c r="I16" i="36"/>
  <c r="G130" i="18"/>
  <c r="I17" i="36"/>
  <c r="G131" i="18"/>
  <c r="J18" i="36"/>
  <c r="H132" i="18"/>
  <c r="I11" i="36"/>
  <c r="G125" i="18"/>
  <c r="I18" i="36"/>
  <c r="G132" i="18"/>
  <c r="J12" i="36"/>
  <c r="H126" i="18"/>
  <c r="I13" i="36"/>
  <c r="G127" i="18"/>
  <c r="I12" i="36"/>
  <c r="G126" i="18"/>
  <c r="H95" i="17"/>
  <c r="H163" i="13"/>
  <c r="H153" i="13"/>
  <c r="I89" i="17"/>
  <c r="I147" i="13"/>
  <c r="I157" i="13"/>
  <c r="H89" i="17"/>
  <c r="H147" i="13"/>
  <c r="H157" i="13"/>
  <c r="H90" i="17"/>
  <c r="H158" i="13"/>
  <c r="H148" i="13"/>
  <c r="H96" i="17"/>
  <c r="H164" i="13"/>
  <c r="H154" i="13"/>
  <c r="H91" i="17"/>
  <c r="H159" i="13"/>
  <c r="H149" i="13"/>
  <c r="I146" i="13"/>
  <c r="I156" i="13"/>
  <c r="I92" i="17"/>
  <c r="I150" i="13"/>
  <c r="I160" i="13"/>
  <c r="H93" i="17"/>
  <c r="H161" i="13"/>
  <c r="H151" i="13"/>
  <c r="I94" i="17"/>
  <c r="I152" i="13"/>
  <c r="I162" i="13"/>
  <c r="K23" i="6"/>
  <c r="J30" i="6"/>
  <c r="J28" i="6"/>
  <c r="J25" i="6"/>
  <c r="J32" i="6"/>
  <c r="J27" i="6"/>
  <c r="J33" i="6"/>
  <c r="J31" i="6"/>
  <c r="J29" i="6"/>
  <c r="J26" i="6"/>
  <c r="D122" i="6"/>
  <c r="D185" i="6" s="1"/>
  <c r="D212" i="6" s="1"/>
  <c r="D124" i="6"/>
  <c r="D187" i="6" s="1"/>
  <c r="D117" i="6"/>
  <c r="D180" i="6" s="1"/>
  <c r="D209" i="6" s="1"/>
  <c r="D238" i="6" s="1"/>
  <c r="E122" i="6"/>
  <c r="E185" i="6" s="1"/>
  <c r="E212" i="6" s="1"/>
  <c r="D123" i="6"/>
  <c r="D186" i="6" s="1"/>
  <c r="D210" i="6" s="1"/>
  <c r="D239" i="6" s="1"/>
  <c r="E118" i="6"/>
  <c r="E181" i="6" s="1"/>
  <c r="E117" i="6"/>
  <c r="E180" i="6" s="1"/>
  <c r="D120" i="6"/>
  <c r="D183" i="6" s="1"/>
  <c r="E120" i="6"/>
  <c r="E183" i="6" s="1"/>
  <c r="D119" i="6"/>
  <c r="D182" i="6" s="1"/>
  <c r="D121" i="6"/>
  <c r="D184" i="6" s="1"/>
  <c r="D213" i="6" s="1"/>
  <c r="D118" i="6"/>
  <c r="D181" i="6" s="1"/>
  <c r="D211" i="6" s="1"/>
  <c r="G138" i="6"/>
  <c r="G48" i="6"/>
  <c r="G155" i="6" s="1"/>
  <c r="J68" i="17"/>
  <c r="F123" i="18"/>
  <c r="I7" i="34"/>
  <c r="E123" i="18"/>
  <c r="H7" i="34"/>
  <c r="G155" i="13"/>
  <c r="G145" i="13"/>
  <c r="H139" i="6"/>
  <c r="G49" i="6"/>
  <c r="G156" i="6" s="1"/>
  <c r="G171" i="6" s="1"/>
  <c r="G97" i="17"/>
  <c r="F7" i="18" s="1"/>
  <c r="I69" i="17"/>
  <c r="I88" i="17"/>
  <c r="I64" i="17"/>
  <c r="G134" i="6"/>
  <c r="G44" i="6"/>
  <c r="G151" i="6" s="1"/>
  <c r="G166" i="6" s="1"/>
  <c r="H71" i="17"/>
  <c r="H165" i="13" s="1"/>
  <c r="G137" i="6"/>
  <c r="I67" i="17"/>
  <c r="G135" i="6"/>
  <c r="I65" i="17"/>
  <c r="H136" i="6"/>
  <c r="J66" i="17"/>
  <c r="H133" i="6"/>
  <c r="J63" i="17"/>
  <c r="G140" i="6"/>
  <c r="I70" i="17"/>
  <c r="G50" i="6"/>
  <c r="G157" i="6" s="1"/>
  <c r="G172" i="6" s="1"/>
  <c r="F142" i="6"/>
  <c r="F143" i="6" s="1"/>
  <c r="D109" i="6"/>
  <c r="D110" i="6" s="1"/>
  <c r="K68" i="17"/>
  <c r="G42" i="6"/>
  <c r="G149" i="6" s="1"/>
  <c r="G164" i="6" s="1"/>
  <c r="G132" i="6"/>
  <c r="E81" i="6"/>
  <c r="F52" i="6"/>
  <c r="F53" i="6" s="1"/>
  <c r="H46" i="6"/>
  <c r="H153" i="6" s="1"/>
  <c r="H168" i="6" s="1"/>
  <c r="H43" i="6"/>
  <c r="H150" i="6" s="1"/>
  <c r="H165" i="6" s="1"/>
  <c r="G47" i="6"/>
  <c r="G154" i="6" s="1"/>
  <c r="G169" i="6" s="1"/>
  <c r="G35" i="6"/>
  <c r="J62" i="17"/>
  <c r="G173" i="6" l="1"/>
  <c r="G174" i="6" s="1"/>
  <c r="S27" i="69"/>
  <c r="X30" i="69" s="1"/>
  <c r="X15" i="69"/>
  <c r="S11" i="69"/>
  <c r="G158" i="6"/>
  <c r="G159" i="6" s="1"/>
  <c r="F42" i="69"/>
  <c r="J41" i="69" s="1"/>
  <c r="F23" i="69"/>
  <c r="F77" i="69"/>
  <c r="F19" i="69"/>
  <c r="J18" i="69" s="1"/>
  <c r="F201" i="6"/>
  <c r="F196" i="6"/>
  <c r="E67" i="69"/>
  <c r="G67" i="69" s="1"/>
  <c r="J66" i="69" s="1"/>
  <c r="F37" i="69"/>
  <c r="F200" i="6"/>
  <c r="E87" i="69"/>
  <c r="G87" i="69" s="1"/>
  <c r="J86" i="69" s="1"/>
  <c r="P86" i="69" s="1"/>
  <c r="F203" i="6"/>
  <c r="H78" i="28"/>
  <c r="F197" i="6"/>
  <c r="H85" i="28"/>
  <c r="H86" i="28"/>
  <c r="H79" i="28"/>
  <c r="F404" i="17"/>
  <c r="G248" i="17"/>
  <c r="G264" i="17"/>
  <c r="H81" i="28"/>
  <c r="E209" i="6"/>
  <c r="F195" i="6"/>
  <c r="G387" i="17"/>
  <c r="G388" i="17" s="1"/>
  <c r="G297" i="17"/>
  <c r="G298" i="17" s="1"/>
  <c r="I336" i="17"/>
  <c r="I339" i="17"/>
  <c r="I331" i="17"/>
  <c r="I340" i="17"/>
  <c r="I334" i="17"/>
  <c r="I337" i="17"/>
  <c r="I341" i="17"/>
  <c r="I332" i="17"/>
  <c r="I335" i="17"/>
  <c r="I338" i="17"/>
  <c r="I333" i="17"/>
  <c r="K231" i="17"/>
  <c r="K230" i="17"/>
  <c r="K229" i="17"/>
  <c r="K221" i="17"/>
  <c r="K225" i="17"/>
  <c r="K224" i="17"/>
  <c r="K228" i="17"/>
  <c r="K222" i="17"/>
  <c r="J83" i="18" s="1"/>
  <c r="K223" i="17"/>
  <c r="K227" i="17"/>
  <c r="K226" i="17"/>
  <c r="J200" i="17"/>
  <c r="J201" i="17"/>
  <c r="J199" i="17"/>
  <c r="J191" i="17"/>
  <c r="J195" i="17"/>
  <c r="J196" i="17"/>
  <c r="J193" i="17"/>
  <c r="J198" i="17"/>
  <c r="J197" i="17"/>
  <c r="J194" i="17"/>
  <c r="J192" i="17"/>
  <c r="I59" i="18" s="1"/>
  <c r="H398" i="17"/>
  <c r="H401" i="17"/>
  <c r="H396" i="17"/>
  <c r="H399" i="17"/>
  <c r="H394" i="17"/>
  <c r="H397" i="17"/>
  <c r="H400" i="17"/>
  <c r="H392" i="17"/>
  <c r="H395" i="17"/>
  <c r="H391" i="17"/>
  <c r="H393" i="17"/>
  <c r="G312" i="17"/>
  <c r="G313" i="17" s="1"/>
  <c r="G357" i="17"/>
  <c r="G358" i="17" s="1"/>
  <c r="H296" i="17"/>
  <c r="H295" i="17"/>
  <c r="H294" i="17"/>
  <c r="H286" i="17"/>
  <c r="H287" i="17"/>
  <c r="H291" i="17"/>
  <c r="H292" i="17"/>
  <c r="H290" i="17"/>
  <c r="H289" i="17"/>
  <c r="H288" i="17"/>
  <c r="H293" i="17"/>
  <c r="I157" i="17"/>
  <c r="I158" i="17" s="1"/>
  <c r="H187" i="17"/>
  <c r="H188" i="17" s="1"/>
  <c r="G282" i="17"/>
  <c r="I186" i="17"/>
  <c r="I184" i="17"/>
  <c r="I185" i="17"/>
  <c r="I176" i="17"/>
  <c r="I181" i="17"/>
  <c r="I180" i="17"/>
  <c r="I178" i="17"/>
  <c r="I179" i="17"/>
  <c r="I182" i="17"/>
  <c r="I177" i="17"/>
  <c r="H47" i="18" s="1"/>
  <c r="I183" i="17"/>
  <c r="J231" i="17"/>
  <c r="J229" i="17"/>
  <c r="J230" i="17"/>
  <c r="J221" i="17"/>
  <c r="J222" i="17"/>
  <c r="I83" i="18" s="1"/>
  <c r="J225" i="17"/>
  <c r="J224" i="17"/>
  <c r="J227" i="17"/>
  <c r="J228" i="17"/>
  <c r="J226" i="17"/>
  <c r="J223" i="17"/>
  <c r="H309" i="17"/>
  <c r="H301" i="17"/>
  <c r="H304" i="17"/>
  <c r="H310" i="17"/>
  <c r="H302" i="17"/>
  <c r="H308" i="17"/>
  <c r="H311" i="17"/>
  <c r="H307" i="17"/>
  <c r="H303" i="17"/>
  <c r="H306" i="17"/>
  <c r="H305" i="17"/>
  <c r="H342" i="17"/>
  <c r="H343" i="17" s="1"/>
  <c r="I232" i="17"/>
  <c r="I233" i="17" s="1"/>
  <c r="H157" i="17"/>
  <c r="H158" i="17" s="1"/>
  <c r="I260" i="17"/>
  <c r="I261" i="17"/>
  <c r="I259" i="17"/>
  <c r="I251" i="17"/>
  <c r="I258" i="17"/>
  <c r="I255" i="17"/>
  <c r="I254" i="17"/>
  <c r="I253" i="17"/>
  <c r="I252" i="17"/>
  <c r="H107" i="18" s="1"/>
  <c r="I256" i="17"/>
  <c r="I257" i="17"/>
  <c r="I369" i="17"/>
  <c r="I367" i="17"/>
  <c r="I363" i="17"/>
  <c r="I368" i="17"/>
  <c r="I366" i="17"/>
  <c r="I361" i="17"/>
  <c r="I371" i="17"/>
  <c r="I364" i="17"/>
  <c r="I370" i="17"/>
  <c r="I362" i="17"/>
  <c r="I365" i="17"/>
  <c r="H172" i="17"/>
  <c r="H173" i="17" s="1"/>
  <c r="G402" i="17"/>
  <c r="G403" i="17" s="1"/>
  <c r="H282" i="17"/>
  <c r="H321" i="17"/>
  <c r="H322" i="17"/>
  <c r="H325" i="17"/>
  <c r="H317" i="17"/>
  <c r="H320" i="17"/>
  <c r="H323" i="17"/>
  <c r="H319" i="17"/>
  <c r="H316" i="17"/>
  <c r="H324" i="17"/>
  <c r="H318" i="17"/>
  <c r="H326" i="17"/>
  <c r="G327" i="17"/>
  <c r="G328" i="17" s="1"/>
  <c r="H247" i="17"/>
  <c r="H217" i="17"/>
  <c r="H218" i="17" s="1"/>
  <c r="I202" i="17"/>
  <c r="I203" i="17" s="1"/>
  <c r="I171" i="17"/>
  <c r="I169" i="17"/>
  <c r="I170" i="17"/>
  <c r="I161" i="17"/>
  <c r="I168" i="17"/>
  <c r="I165" i="17"/>
  <c r="I162" i="17"/>
  <c r="H35" i="18" s="1"/>
  <c r="I164" i="17"/>
  <c r="I163" i="17"/>
  <c r="I167" i="17"/>
  <c r="I166" i="17"/>
  <c r="H385" i="17"/>
  <c r="H383" i="17"/>
  <c r="H386" i="17"/>
  <c r="H378" i="17"/>
  <c r="H384" i="17"/>
  <c r="H376" i="17"/>
  <c r="H380" i="17"/>
  <c r="H379" i="17"/>
  <c r="H382" i="17"/>
  <c r="H381" i="17"/>
  <c r="H377" i="17"/>
  <c r="J156" i="17"/>
  <c r="J154" i="17"/>
  <c r="J155" i="17"/>
  <c r="J152" i="17"/>
  <c r="J153" i="17"/>
  <c r="J147" i="17"/>
  <c r="I23" i="18" s="1"/>
  <c r="J149" i="17"/>
  <c r="J150" i="17"/>
  <c r="J146" i="17"/>
  <c r="J148" i="17"/>
  <c r="J151" i="17"/>
  <c r="I215" i="17"/>
  <c r="I216" i="17"/>
  <c r="I214" i="17"/>
  <c r="I206" i="17"/>
  <c r="I212" i="17"/>
  <c r="I208" i="17"/>
  <c r="I209" i="17"/>
  <c r="I211" i="17"/>
  <c r="I207" i="17"/>
  <c r="H71" i="18" s="1"/>
  <c r="I213" i="17"/>
  <c r="I210" i="17"/>
  <c r="I281" i="17"/>
  <c r="I279" i="17"/>
  <c r="I280" i="17"/>
  <c r="I271" i="17"/>
  <c r="I276" i="17"/>
  <c r="I275" i="17"/>
  <c r="I273" i="17"/>
  <c r="I277" i="17"/>
  <c r="I272" i="17"/>
  <c r="I278" i="17"/>
  <c r="I274" i="17"/>
  <c r="I246" i="17"/>
  <c r="I245" i="17"/>
  <c r="I244" i="17"/>
  <c r="I236" i="17"/>
  <c r="I242" i="17"/>
  <c r="I237" i="17"/>
  <c r="H95" i="18" s="1"/>
  <c r="I241" i="17"/>
  <c r="I239" i="17"/>
  <c r="I238" i="17"/>
  <c r="I243" i="17"/>
  <c r="I240" i="17"/>
  <c r="F405" i="17"/>
  <c r="H352" i="17"/>
  <c r="H355" i="17"/>
  <c r="H347" i="17"/>
  <c r="H353" i="17"/>
  <c r="H350" i="17"/>
  <c r="H346" i="17"/>
  <c r="H349" i="17"/>
  <c r="H348" i="17"/>
  <c r="H356" i="17"/>
  <c r="H354" i="17"/>
  <c r="H351" i="17"/>
  <c r="I296" i="17"/>
  <c r="I295" i="17"/>
  <c r="I294" i="17"/>
  <c r="I286" i="17"/>
  <c r="I292" i="17"/>
  <c r="I289" i="17"/>
  <c r="I287" i="17"/>
  <c r="I291" i="17"/>
  <c r="I288" i="17"/>
  <c r="I290" i="17"/>
  <c r="I293" i="17"/>
  <c r="H372" i="17"/>
  <c r="H373" i="17" s="1"/>
  <c r="J139" i="17"/>
  <c r="J140" i="17"/>
  <c r="J136" i="17"/>
  <c r="J131" i="17"/>
  <c r="J132" i="17"/>
  <c r="I11" i="18" s="1"/>
  <c r="J137" i="17"/>
  <c r="J141" i="17"/>
  <c r="J134" i="17"/>
  <c r="J138" i="17"/>
  <c r="J133" i="17"/>
  <c r="J135" i="17"/>
  <c r="H262" i="17"/>
  <c r="H263" i="17" s="1"/>
  <c r="I142" i="17"/>
  <c r="I143" i="17" s="1"/>
  <c r="H83" i="28"/>
  <c r="F40" i="28"/>
  <c r="H82" i="28"/>
  <c r="H171" i="13"/>
  <c r="H209" i="13"/>
  <c r="H166" i="13"/>
  <c r="H169" i="13"/>
  <c r="H168" i="13"/>
  <c r="H208" i="13"/>
  <c r="H167" i="13"/>
  <c r="H211" i="13"/>
  <c r="H207" i="13"/>
  <c r="H174" i="13"/>
  <c r="H173" i="13"/>
  <c r="H210" i="13"/>
  <c r="H213" i="13"/>
  <c r="H170" i="13"/>
  <c r="H214" i="13"/>
  <c r="H212" i="13"/>
  <c r="H206" i="13"/>
  <c r="H172" i="13"/>
  <c r="F198" i="6"/>
  <c r="F122" i="6"/>
  <c r="F185" i="6" s="1"/>
  <c r="F212" i="6" s="1"/>
  <c r="G77" i="6"/>
  <c r="G105" i="6" s="1"/>
  <c r="G201" i="6" s="1"/>
  <c r="I204" i="13"/>
  <c r="J202" i="13"/>
  <c r="I201" i="13"/>
  <c r="I199" i="13"/>
  <c r="G76" i="6"/>
  <c r="G104" i="6" s="1"/>
  <c r="G200" i="6" s="1"/>
  <c r="J197" i="13"/>
  <c r="G71" i="6"/>
  <c r="G99" i="6" s="1"/>
  <c r="G195" i="6" s="1"/>
  <c r="I203" i="13"/>
  <c r="K202" i="13"/>
  <c r="J200" i="13"/>
  <c r="H72" i="6"/>
  <c r="H100" i="6" s="1"/>
  <c r="G73" i="6"/>
  <c r="G101" i="6" s="1"/>
  <c r="G197" i="6" s="1"/>
  <c r="H75" i="6"/>
  <c r="H103" i="6" s="1"/>
  <c r="G78" i="6"/>
  <c r="G106" i="6" s="1"/>
  <c r="E58" i="69" s="1"/>
  <c r="G58" i="69" s="1"/>
  <c r="J196" i="13"/>
  <c r="G79" i="6"/>
  <c r="G107" i="6" s="1"/>
  <c r="G203" i="6" s="1"/>
  <c r="I198" i="13"/>
  <c r="H175" i="13"/>
  <c r="H185" i="13"/>
  <c r="H195" i="13"/>
  <c r="J190" i="13"/>
  <c r="J180" i="13"/>
  <c r="I188" i="13"/>
  <c r="I178" i="13"/>
  <c r="J176" i="13"/>
  <c r="J186" i="13"/>
  <c r="I194" i="13"/>
  <c r="I184" i="13"/>
  <c r="J192" i="13"/>
  <c r="J182" i="13"/>
  <c r="I179" i="13"/>
  <c r="I189" i="13"/>
  <c r="K192" i="13"/>
  <c r="K182" i="13"/>
  <c r="J187" i="13"/>
  <c r="J177" i="13"/>
  <c r="I191" i="13"/>
  <c r="I181" i="13"/>
  <c r="I193" i="13"/>
  <c r="I183" i="13"/>
  <c r="I20" i="36"/>
  <c r="G54" i="34" s="1"/>
  <c r="J16" i="36"/>
  <c r="H130" i="18"/>
  <c r="K18" i="36"/>
  <c r="I132" i="18"/>
  <c r="J11" i="36"/>
  <c r="H125" i="18"/>
  <c r="K15" i="36"/>
  <c r="I129" i="18"/>
  <c r="J19" i="36"/>
  <c r="H133" i="18"/>
  <c r="J13" i="36"/>
  <c r="H127" i="18"/>
  <c r="J17" i="36"/>
  <c r="H131" i="18"/>
  <c r="K12" i="36"/>
  <c r="I126" i="18"/>
  <c r="J14" i="36"/>
  <c r="H128" i="18"/>
  <c r="H97" i="17"/>
  <c r="G7" i="18" s="1"/>
  <c r="J146" i="13"/>
  <c r="J156" i="13"/>
  <c r="J89" i="17"/>
  <c r="J157" i="13"/>
  <c r="J147" i="13"/>
  <c r="I95" i="17"/>
  <c r="I153" i="13"/>
  <c r="I163" i="13"/>
  <c r="J92" i="17"/>
  <c r="J160" i="13"/>
  <c r="J150" i="13"/>
  <c r="I91" i="17"/>
  <c r="I149" i="13"/>
  <c r="I159" i="13"/>
  <c r="I90" i="17"/>
  <c r="I148" i="13"/>
  <c r="I158" i="13"/>
  <c r="I93" i="17"/>
  <c r="I151" i="13"/>
  <c r="I161" i="13"/>
  <c r="K94" i="17"/>
  <c r="K162" i="13"/>
  <c r="K152" i="13"/>
  <c r="J94" i="17"/>
  <c r="J162" i="13"/>
  <c r="J152" i="13"/>
  <c r="I96" i="17"/>
  <c r="I154" i="13"/>
  <c r="I164" i="13"/>
  <c r="H43" i="34"/>
  <c r="E50" i="34" s="1"/>
  <c r="L23" i="6"/>
  <c r="K30" i="6"/>
  <c r="K28" i="6"/>
  <c r="K25" i="6"/>
  <c r="K32" i="6"/>
  <c r="K27" i="6"/>
  <c r="K33" i="6"/>
  <c r="K31" i="6"/>
  <c r="K29" i="6"/>
  <c r="K26" i="6"/>
  <c r="F124" i="6"/>
  <c r="F187" i="6" s="1"/>
  <c r="E123" i="6"/>
  <c r="E186" i="6" s="1"/>
  <c r="E121" i="6"/>
  <c r="E184" i="6" s="1"/>
  <c r="E213" i="6" s="1"/>
  <c r="F119" i="6"/>
  <c r="F182" i="6" s="1"/>
  <c r="F117" i="6"/>
  <c r="F180" i="6" s="1"/>
  <c r="E116" i="6"/>
  <c r="F118" i="6"/>
  <c r="F181" i="6" s="1"/>
  <c r="F120" i="6"/>
  <c r="F183" i="6" s="1"/>
  <c r="E119" i="6"/>
  <c r="E182" i="6" s="1"/>
  <c r="F123" i="6"/>
  <c r="F186" i="6" s="1"/>
  <c r="E124" i="6"/>
  <c r="E187" i="6" s="1"/>
  <c r="H138" i="6"/>
  <c r="H48" i="6"/>
  <c r="H155" i="6" s="1"/>
  <c r="H49" i="6"/>
  <c r="H156" i="6" s="1"/>
  <c r="H171" i="6" s="1"/>
  <c r="J69" i="17"/>
  <c r="G123" i="18"/>
  <c r="J7" i="34"/>
  <c r="I6" i="34"/>
  <c r="I8" i="34" s="1"/>
  <c r="I9" i="34" s="1"/>
  <c r="I17" i="34" s="1"/>
  <c r="F6" i="18"/>
  <c r="H8" i="34"/>
  <c r="H9" i="34" s="1"/>
  <c r="I43" i="34"/>
  <c r="H155" i="13"/>
  <c r="H145" i="13"/>
  <c r="H50" i="6"/>
  <c r="H157" i="6" s="1"/>
  <c r="H172" i="6" s="1"/>
  <c r="H135" i="6"/>
  <c r="J65" i="17"/>
  <c r="J88" i="17"/>
  <c r="J64" i="17"/>
  <c r="H134" i="6"/>
  <c r="H44" i="6"/>
  <c r="H151" i="6" s="1"/>
  <c r="H166" i="6" s="1"/>
  <c r="I136" i="6"/>
  <c r="K66" i="17"/>
  <c r="I140" i="6"/>
  <c r="K70" i="17"/>
  <c r="I133" i="6"/>
  <c r="K63" i="17"/>
  <c r="H137" i="6"/>
  <c r="J67" i="17"/>
  <c r="K69" i="17"/>
  <c r="I71" i="17"/>
  <c r="I165" i="13" s="1"/>
  <c r="H140" i="6"/>
  <c r="J70" i="17"/>
  <c r="H45" i="6"/>
  <c r="H152" i="6" s="1"/>
  <c r="H167" i="6" s="1"/>
  <c r="D126" i="6"/>
  <c r="G142" i="6"/>
  <c r="G143" i="6" s="1"/>
  <c r="I49" i="6"/>
  <c r="I156" i="6" s="1"/>
  <c r="I171" i="6" s="1"/>
  <c r="L68" i="17"/>
  <c r="I138" i="6"/>
  <c r="I48" i="6"/>
  <c r="I155" i="6" s="1"/>
  <c r="H42" i="6"/>
  <c r="H149" i="6" s="1"/>
  <c r="H164" i="6" s="1"/>
  <c r="H132" i="6"/>
  <c r="G52" i="6"/>
  <c r="G53" i="6" s="1"/>
  <c r="F81" i="6"/>
  <c r="I50" i="6"/>
  <c r="I157" i="6" s="1"/>
  <c r="I172" i="6" s="1"/>
  <c r="I43" i="6"/>
  <c r="I150" i="6" s="1"/>
  <c r="I165" i="6" s="1"/>
  <c r="I46" i="6"/>
  <c r="I153" i="6" s="1"/>
  <c r="I168" i="6" s="1"/>
  <c r="H47" i="6"/>
  <c r="H154" i="6" s="1"/>
  <c r="H169" i="6" s="1"/>
  <c r="H35" i="6"/>
  <c r="K62" i="17"/>
  <c r="H32" i="34" l="1"/>
  <c r="H17" i="34"/>
  <c r="H16" i="34"/>
  <c r="H173" i="6"/>
  <c r="H174" i="6" s="1"/>
  <c r="E179" i="6"/>
  <c r="E210" i="6" s="1"/>
  <c r="E239" i="6" s="1"/>
  <c r="F8" i="69"/>
  <c r="H158" i="6"/>
  <c r="H159" i="6" s="1"/>
  <c r="F74" i="69"/>
  <c r="F11" i="69"/>
  <c r="H199" i="6"/>
  <c r="F71" i="69"/>
  <c r="F55" i="69"/>
  <c r="J57" i="69" s="1"/>
  <c r="F91" i="69"/>
  <c r="J90" i="69" s="1"/>
  <c r="P90" i="69" s="1"/>
  <c r="H196" i="6"/>
  <c r="F29" i="69"/>
  <c r="E83" i="69"/>
  <c r="G83" i="69" s="1"/>
  <c r="J82" i="69" s="1"/>
  <c r="P82" i="69" s="1"/>
  <c r="F26" i="69"/>
  <c r="F34" i="69"/>
  <c r="J36" i="69" s="1"/>
  <c r="E211" i="6"/>
  <c r="E238" i="6" s="1"/>
  <c r="I79" i="28"/>
  <c r="K79" i="28"/>
  <c r="F52" i="28" s="1"/>
  <c r="G52" i="28" s="1"/>
  <c r="F39" i="28"/>
  <c r="I78" i="28"/>
  <c r="K78" i="28"/>
  <c r="I86" i="28"/>
  <c r="K86" i="28"/>
  <c r="F59" i="28" s="1"/>
  <c r="G59" i="28" s="1"/>
  <c r="K82" i="28"/>
  <c r="F55" i="28" s="1"/>
  <c r="G55" i="28" s="1"/>
  <c r="I82" i="28"/>
  <c r="I85" i="28"/>
  <c r="K85" i="28"/>
  <c r="F58" i="28" s="1"/>
  <c r="G58" i="28" s="1"/>
  <c r="F42" i="28"/>
  <c r="K81" i="28"/>
  <c r="F54" i="28" s="1"/>
  <c r="G54" i="28" s="1"/>
  <c r="I81" i="28"/>
  <c r="F44" i="28"/>
  <c r="I83" i="28"/>
  <c r="K83" i="28"/>
  <c r="F56" i="28" s="1"/>
  <c r="G56" i="28" s="1"/>
  <c r="G404" i="17"/>
  <c r="G405" i="17" s="1"/>
  <c r="H248" i="17"/>
  <c r="H264" i="17"/>
  <c r="H265" i="17" s="1"/>
  <c r="H357" i="17"/>
  <c r="H358" i="17" s="1"/>
  <c r="I217" i="17"/>
  <c r="I218" i="17" s="1"/>
  <c r="I172" i="17"/>
  <c r="I173" i="17" s="1"/>
  <c r="I372" i="17"/>
  <c r="I373" i="17" s="1"/>
  <c r="K232" i="17"/>
  <c r="K233" i="17" s="1"/>
  <c r="J369" i="17"/>
  <c r="J370" i="17"/>
  <c r="J368" i="17"/>
  <c r="J366" i="17"/>
  <c r="J361" i="17"/>
  <c r="J371" i="17"/>
  <c r="J364" i="17"/>
  <c r="J362" i="17"/>
  <c r="J365" i="17"/>
  <c r="J367" i="17"/>
  <c r="J363" i="17"/>
  <c r="I247" i="17"/>
  <c r="H312" i="17"/>
  <c r="H313" i="17" s="1"/>
  <c r="J261" i="17"/>
  <c r="J259" i="17"/>
  <c r="J260" i="17"/>
  <c r="J251" i="17"/>
  <c r="J255" i="17"/>
  <c r="J254" i="17"/>
  <c r="J252" i="17"/>
  <c r="I107" i="18" s="1"/>
  <c r="J258" i="17"/>
  <c r="J257" i="17"/>
  <c r="J253" i="17"/>
  <c r="J256" i="17"/>
  <c r="K154" i="17"/>
  <c r="K155" i="17"/>
  <c r="K156" i="17"/>
  <c r="K151" i="17"/>
  <c r="K148" i="17"/>
  <c r="K150" i="17"/>
  <c r="K152" i="17"/>
  <c r="K153" i="17"/>
  <c r="K146" i="17"/>
  <c r="K149" i="17"/>
  <c r="K147" i="17"/>
  <c r="J23" i="18" s="1"/>
  <c r="J171" i="17"/>
  <c r="J169" i="17"/>
  <c r="J170" i="17"/>
  <c r="J161" i="17"/>
  <c r="J162" i="17"/>
  <c r="I35" i="18" s="1"/>
  <c r="J164" i="17"/>
  <c r="J163" i="17"/>
  <c r="J168" i="17"/>
  <c r="J165" i="17"/>
  <c r="J166" i="17"/>
  <c r="J167" i="17"/>
  <c r="J339" i="17"/>
  <c r="J331" i="17"/>
  <c r="J340" i="17"/>
  <c r="J334" i="17"/>
  <c r="J337" i="17"/>
  <c r="J341" i="17"/>
  <c r="J332" i="17"/>
  <c r="J335" i="17"/>
  <c r="J338" i="17"/>
  <c r="J333" i="17"/>
  <c r="J336" i="17"/>
  <c r="J232" i="17"/>
  <c r="J233" i="17" s="1"/>
  <c r="I187" i="17"/>
  <c r="I188" i="17" s="1"/>
  <c r="H297" i="17"/>
  <c r="H298" i="17" s="1"/>
  <c r="J296" i="17"/>
  <c r="J294" i="17"/>
  <c r="J295" i="17"/>
  <c r="J286" i="17"/>
  <c r="J287" i="17"/>
  <c r="J291" i="17"/>
  <c r="J292" i="17"/>
  <c r="J290" i="17"/>
  <c r="J289" i="17"/>
  <c r="J288" i="17"/>
  <c r="J293" i="17"/>
  <c r="G283" i="17"/>
  <c r="K261" i="17"/>
  <c r="K259" i="17"/>
  <c r="K260" i="17"/>
  <c r="K251" i="17"/>
  <c r="K258" i="17"/>
  <c r="K255" i="17"/>
  <c r="K254" i="17"/>
  <c r="K253" i="17"/>
  <c r="K252" i="17"/>
  <c r="J107" i="18" s="1"/>
  <c r="K256" i="17"/>
  <c r="K257" i="17"/>
  <c r="J184" i="17"/>
  <c r="J185" i="17"/>
  <c r="J186" i="17"/>
  <c r="J176" i="17"/>
  <c r="J182" i="17"/>
  <c r="J181" i="17"/>
  <c r="J180" i="17"/>
  <c r="J178" i="17"/>
  <c r="J179" i="17"/>
  <c r="J177" i="17"/>
  <c r="I47" i="18" s="1"/>
  <c r="J183" i="17"/>
  <c r="J246" i="17"/>
  <c r="J244" i="17"/>
  <c r="J245" i="17"/>
  <c r="J236" i="17"/>
  <c r="J237" i="17"/>
  <c r="I95" i="18" s="1"/>
  <c r="J241" i="17"/>
  <c r="J243" i="17"/>
  <c r="J240" i="17"/>
  <c r="J239" i="17"/>
  <c r="J242" i="17"/>
  <c r="J238" i="17"/>
  <c r="I304" i="17"/>
  <c r="I307" i="17"/>
  <c r="I305" i="17"/>
  <c r="I308" i="17"/>
  <c r="I301" i="17"/>
  <c r="I311" i="17"/>
  <c r="I303" i="17"/>
  <c r="I310" i="17"/>
  <c r="I306" i="17"/>
  <c r="I302" i="17"/>
  <c r="I309" i="17"/>
  <c r="I297" i="17"/>
  <c r="I298" i="17" s="1"/>
  <c r="H327" i="17"/>
  <c r="H328" i="17" s="1"/>
  <c r="H283" i="17"/>
  <c r="J202" i="17"/>
  <c r="J203" i="17" s="1"/>
  <c r="J281" i="17"/>
  <c r="J279" i="17"/>
  <c r="J280" i="17"/>
  <c r="J271" i="17"/>
  <c r="J275" i="17"/>
  <c r="J276" i="17"/>
  <c r="J274" i="17"/>
  <c r="J273" i="17"/>
  <c r="J278" i="17"/>
  <c r="J272" i="17"/>
  <c r="J277" i="17"/>
  <c r="K361" i="17"/>
  <c r="K371" i="17"/>
  <c r="K364" i="17"/>
  <c r="K370" i="17"/>
  <c r="K362" i="17"/>
  <c r="K365" i="17"/>
  <c r="K367" i="17"/>
  <c r="K369" i="17"/>
  <c r="K363" i="17"/>
  <c r="K368" i="17"/>
  <c r="K366" i="17"/>
  <c r="I401" i="17"/>
  <c r="I396" i="17"/>
  <c r="I399" i="17"/>
  <c r="I394" i="17"/>
  <c r="I397" i="17"/>
  <c r="I400" i="17"/>
  <c r="I392" i="17"/>
  <c r="I395" i="17"/>
  <c r="I391" i="17"/>
  <c r="I398" i="17"/>
  <c r="I393" i="17"/>
  <c r="I385" i="17"/>
  <c r="I386" i="17"/>
  <c r="I378" i="17"/>
  <c r="I381" i="17"/>
  <c r="I384" i="17"/>
  <c r="I379" i="17"/>
  <c r="I383" i="17"/>
  <c r="I382" i="17"/>
  <c r="I377" i="17"/>
  <c r="I380" i="17"/>
  <c r="I376" i="17"/>
  <c r="I282" i="17"/>
  <c r="I342" i="17"/>
  <c r="I343" i="17" s="1"/>
  <c r="L229" i="17"/>
  <c r="L230" i="17"/>
  <c r="L231" i="17"/>
  <c r="L221" i="17"/>
  <c r="L222" i="17"/>
  <c r="K83" i="18" s="1"/>
  <c r="L225" i="17"/>
  <c r="L224" i="17"/>
  <c r="L226" i="17"/>
  <c r="L228" i="17"/>
  <c r="L223" i="17"/>
  <c r="L227" i="17"/>
  <c r="I354" i="17"/>
  <c r="I355" i="17"/>
  <c r="I347" i="17"/>
  <c r="I350" i="17"/>
  <c r="I353" i="17"/>
  <c r="I356" i="17"/>
  <c r="I348" i="17"/>
  <c r="I346" i="17"/>
  <c r="I349" i="17"/>
  <c r="I352" i="17"/>
  <c r="I351" i="17"/>
  <c r="H387" i="17"/>
  <c r="H388" i="17" s="1"/>
  <c r="J216" i="17"/>
  <c r="J214" i="17"/>
  <c r="J215" i="17"/>
  <c r="J206" i="17"/>
  <c r="J209" i="17"/>
  <c r="J211" i="17"/>
  <c r="J212" i="17"/>
  <c r="J208" i="17"/>
  <c r="J207" i="17"/>
  <c r="I71" i="18" s="1"/>
  <c r="J213" i="17"/>
  <c r="J210" i="17"/>
  <c r="K200" i="17"/>
  <c r="K201" i="17"/>
  <c r="K199" i="17"/>
  <c r="K191" i="17"/>
  <c r="K198" i="17"/>
  <c r="K194" i="17"/>
  <c r="K195" i="17"/>
  <c r="K196" i="17"/>
  <c r="K193" i="17"/>
  <c r="K192" i="17"/>
  <c r="J59" i="18" s="1"/>
  <c r="K197" i="17"/>
  <c r="K245" i="17"/>
  <c r="K246" i="17"/>
  <c r="K244" i="17"/>
  <c r="K236" i="17"/>
  <c r="K243" i="17"/>
  <c r="K242" i="17"/>
  <c r="K237" i="17"/>
  <c r="J95" i="18" s="1"/>
  <c r="K241" i="17"/>
  <c r="K240" i="17"/>
  <c r="K239" i="17"/>
  <c r="K238" i="17"/>
  <c r="I324" i="17"/>
  <c r="I316" i="17"/>
  <c r="I325" i="17"/>
  <c r="I317" i="17"/>
  <c r="I320" i="17"/>
  <c r="I323" i="17"/>
  <c r="I326" i="17"/>
  <c r="I318" i="17"/>
  <c r="I322" i="17"/>
  <c r="I319" i="17"/>
  <c r="I321" i="17"/>
  <c r="J157" i="17"/>
  <c r="J158" i="17" s="1"/>
  <c r="H402" i="17"/>
  <c r="H403" i="17" s="1"/>
  <c r="G262" i="17"/>
  <c r="K134" i="17"/>
  <c r="K135" i="17"/>
  <c r="K139" i="17"/>
  <c r="K136" i="17"/>
  <c r="K131" i="17"/>
  <c r="K132" i="17"/>
  <c r="J11" i="18" s="1"/>
  <c r="K137" i="17"/>
  <c r="K138" i="17"/>
  <c r="K133" i="17"/>
  <c r="K141" i="17"/>
  <c r="K140" i="17"/>
  <c r="J142" i="17"/>
  <c r="J143" i="17" s="1"/>
  <c r="D189" i="6"/>
  <c r="D190" i="6" s="1"/>
  <c r="I214" i="13"/>
  <c r="I206" i="13"/>
  <c r="I171" i="13"/>
  <c r="I173" i="13"/>
  <c r="I166" i="13"/>
  <c r="I213" i="13"/>
  <c r="I208" i="13"/>
  <c r="I168" i="13"/>
  <c r="I212" i="13"/>
  <c r="I172" i="13"/>
  <c r="I174" i="13"/>
  <c r="I210" i="13"/>
  <c r="I169" i="13"/>
  <c r="I209" i="13"/>
  <c r="I167" i="13"/>
  <c r="I207" i="13"/>
  <c r="I170" i="13"/>
  <c r="I211" i="13"/>
  <c r="G202" i="6"/>
  <c r="J199" i="13"/>
  <c r="H78" i="6"/>
  <c r="H106" i="6" s="1"/>
  <c r="K200" i="13"/>
  <c r="H77" i="6"/>
  <c r="H105" i="6" s="1"/>
  <c r="K203" i="13"/>
  <c r="I79" i="6"/>
  <c r="I107" i="6" s="1"/>
  <c r="I203" i="6" s="1"/>
  <c r="I78" i="6"/>
  <c r="I106" i="6" s="1"/>
  <c r="I202" i="6" s="1"/>
  <c r="J201" i="13"/>
  <c r="H73" i="6"/>
  <c r="H101" i="6" s="1"/>
  <c r="H79" i="6"/>
  <c r="H107" i="6" s="1"/>
  <c r="H76" i="6"/>
  <c r="H104" i="6" s="1"/>
  <c r="I75" i="6"/>
  <c r="I103" i="6" s="1"/>
  <c r="I199" i="6" s="1"/>
  <c r="H74" i="6"/>
  <c r="H102" i="6" s="1"/>
  <c r="K204" i="13"/>
  <c r="J203" i="13"/>
  <c r="L202" i="13"/>
  <c r="K196" i="13"/>
  <c r="J204" i="13"/>
  <c r="J198" i="13"/>
  <c r="H71" i="6"/>
  <c r="H99" i="6" s="1"/>
  <c r="K197" i="13"/>
  <c r="I72" i="6"/>
  <c r="I100" i="6" s="1"/>
  <c r="I196" i="6" s="1"/>
  <c r="I77" i="6"/>
  <c r="I105" i="6" s="1"/>
  <c r="I201" i="6" s="1"/>
  <c r="I185" i="13"/>
  <c r="I195" i="13"/>
  <c r="I175" i="13"/>
  <c r="J178" i="13"/>
  <c r="J188" i="13"/>
  <c r="J189" i="13"/>
  <c r="J179" i="13"/>
  <c r="K190" i="13"/>
  <c r="K180" i="13"/>
  <c r="J194" i="13"/>
  <c r="J184" i="13"/>
  <c r="K193" i="13"/>
  <c r="K183" i="13"/>
  <c r="K194" i="13"/>
  <c r="K184" i="13"/>
  <c r="K186" i="13"/>
  <c r="K176" i="13"/>
  <c r="J191" i="13"/>
  <c r="J181" i="13"/>
  <c r="K187" i="13"/>
  <c r="K177" i="13"/>
  <c r="J193" i="13"/>
  <c r="J183" i="13"/>
  <c r="L192" i="13"/>
  <c r="L182" i="13"/>
  <c r="J20" i="36"/>
  <c r="H54" i="34" s="1"/>
  <c r="K17" i="36"/>
  <c r="I131" i="18"/>
  <c r="L17" i="36"/>
  <c r="J131" i="18"/>
  <c r="L15" i="36"/>
  <c r="J129" i="18"/>
  <c r="K11" i="36"/>
  <c r="I125" i="18"/>
  <c r="K16" i="36"/>
  <c r="I130" i="18"/>
  <c r="K19" i="36"/>
  <c r="I133" i="18"/>
  <c r="L12" i="36"/>
  <c r="J126" i="18"/>
  <c r="K14" i="36"/>
  <c r="I128" i="18"/>
  <c r="K13" i="36"/>
  <c r="I127" i="18"/>
  <c r="L19" i="36"/>
  <c r="J133" i="18"/>
  <c r="H25" i="34"/>
  <c r="I97" i="17"/>
  <c r="H7" i="18" s="1"/>
  <c r="K96" i="17"/>
  <c r="K154" i="13"/>
  <c r="K164" i="13"/>
  <c r="K95" i="17"/>
  <c r="K163" i="13"/>
  <c r="K153" i="13"/>
  <c r="J93" i="17"/>
  <c r="J161" i="13"/>
  <c r="J151" i="13"/>
  <c r="K92" i="17"/>
  <c r="K160" i="13"/>
  <c r="K150" i="13"/>
  <c r="K146" i="13"/>
  <c r="K156" i="13"/>
  <c r="L94" i="17"/>
  <c r="L152" i="13"/>
  <c r="L162" i="13"/>
  <c r="J96" i="17"/>
  <c r="J154" i="13"/>
  <c r="J164" i="13"/>
  <c r="K89" i="17"/>
  <c r="K157" i="13"/>
  <c r="K147" i="13"/>
  <c r="J91" i="17"/>
  <c r="J159" i="13"/>
  <c r="J149" i="13"/>
  <c r="J90" i="17"/>
  <c r="J158" i="13"/>
  <c r="J148" i="13"/>
  <c r="J95" i="17"/>
  <c r="J163" i="13"/>
  <c r="J153" i="13"/>
  <c r="J43" i="34"/>
  <c r="G50" i="34" s="1"/>
  <c r="G6" i="36"/>
  <c r="G8" i="36" s="1"/>
  <c r="E53" i="34" s="1"/>
  <c r="M23" i="6"/>
  <c r="L32" i="6"/>
  <c r="L27" i="6"/>
  <c r="L33" i="6"/>
  <c r="L31" i="6"/>
  <c r="L29" i="6"/>
  <c r="L26" i="6"/>
  <c r="L30" i="6"/>
  <c r="L28" i="6"/>
  <c r="L25" i="6"/>
  <c r="G119" i="6"/>
  <c r="G182" i="6" s="1"/>
  <c r="G120" i="6"/>
  <c r="G183" i="6" s="1"/>
  <c r="F116" i="6"/>
  <c r="F179" i="6" s="1"/>
  <c r="G122" i="6"/>
  <c r="G185" i="6" s="1"/>
  <c r="G212" i="6" s="1"/>
  <c r="G124" i="6"/>
  <c r="G187" i="6" s="1"/>
  <c r="G117" i="6"/>
  <c r="G180" i="6" s="1"/>
  <c r="G118" i="6"/>
  <c r="G181" i="6" s="1"/>
  <c r="F121" i="6"/>
  <c r="F184" i="6" s="1"/>
  <c r="F213" i="6" s="1"/>
  <c r="G123" i="6"/>
  <c r="G186" i="6" s="1"/>
  <c r="I139" i="6"/>
  <c r="I16" i="34"/>
  <c r="I18" i="34"/>
  <c r="I34" i="34"/>
  <c r="I33" i="34"/>
  <c r="I24" i="34"/>
  <c r="I32" i="34"/>
  <c r="I25" i="34"/>
  <c r="I37" i="34"/>
  <c r="I36" i="34"/>
  <c r="H6" i="36"/>
  <c r="F50" i="34"/>
  <c r="H18" i="34"/>
  <c r="H34" i="34"/>
  <c r="H33" i="34"/>
  <c r="H24" i="34"/>
  <c r="H36" i="34"/>
  <c r="H37" i="34"/>
  <c r="J6" i="34"/>
  <c r="J8" i="34" s="1"/>
  <c r="G6" i="18"/>
  <c r="K7" i="34"/>
  <c r="H123" i="18"/>
  <c r="E49" i="34"/>
  <c r="G7" i="37"/>
  <c r="G6" i="37" s="1"/>
  <c r="I155" i="13"/>
  <c r="I145" i="13"/>
  <c r="K64" i="17"/>
  <c r="I44" i="6"/>
  <c r="I151" i="6" s="1"/>
  <c r="I166" i="6" s="1"/>
  <c r="I134" i="6"/>
  <c r="J140" i="6"/>
  <c r="L70" i="17"/>
  <c r="K88" i="17"/>
  <c r="I135" i="6"/>
  <c r="K65" i="17"/>
  <c r="J139" i="6"/>
  <c r="L69" i="17"/>
  <c r="J136" i="6"/>
  <c r="L66" i="17"/>
  <c r="J133" i="6"/>
  <c r="L63" i="17"/>
  <c r="I137" i="6"/>
  <c r="K67" i="17"/>
  <c r="J71" i="17"/>
  <c r="J165" i="13" s="1"/>
  <c r="I45" i="6"/>
  <c r="I152" i="6" s="1"/>
  <c r="I167" i="6" s="1"/>
  <c r="H142" i="6"/>
  <c r="H143" i="6" s="1"/>
  <c r="E109" i="6"/>
  <c r="E110" i="6" s="1"/>
  <c r="J49" i="6"/>
  <c r="J156" i="6" s="1"/>
  <c r="J171" i="6" s="1"/>
  <c r="I42" i="6"/>
  <c r="I149" i="6" s="1"/>
  <c r="I164" i="6" s="1"/>
  <c r="I132" i="6"/>
  <c r="M68" i="17"/>
  <c r="J138" i="6"/>
  <c r="J48" i="6"/>
  <c r="J155" i="6" s="1"/>
  <c r="G81" i="6"/>
  <c r="H52" i="6"/>
  <c r="H53" i="6" s="1"/>
  <c r="J46" i="6"/>
  <c r="J153" i="6" s="1"/>
  <c r="J168" i="6" s="1"/>
  <c r="I47" i="6"/>
  <c r="I154" i="6" s="1"/>
  <c r="I169" i="6" s="1"/>
  <c r="J43" i="6"/>
  <c r="J150" i="6" s="1"/>
  <c r="J165" i="6" s="1"/>
  <c r="J50" i="6"/>
  <c r="J157" i="6" s="1"/>
  <c r="J172" i="6" s="1"/>
  <c r="I35" i="6"/>
  <c r="L62" i="17"/>
  <c r="I173" i="6" l="1"/>
  <c r="I174" i="6" s="1"/>
  <c r="H14" i="34"/>
  <c r="J10" i="69"/>
  <c r="X14" i="69" s="1"/>
  <c r="J74" i="69"/>
  <c r="J26" i="69"/>
  <c r="S25" i="69" s="1"/>
  <c r="X29" i="69" s="1"/>
  <c r="P69" i="69"/>
  <c r="S58" i="69" s="1"/>
  <c r="S9" i="69"/>
  <c r="I158" i="6"/>
  <c r="I159" i="6" s="1"/>
  <c r="H203" i="6"/>
  <c r="H202" i="6"/>
  <c r="F86" i="69"/>
  <c r="J85" i="69" s="1"/>
  <c r="P85" i="69" s="1"/>
  <c r="H197" i="6"/>
  <c r="F66" i="69"/>
  <c r="J65" i="69" s="1"/>
  <c r="F57" i="69"/>
  <c r="H195" i="6"/>
  <c r="H201" i="6"/>
  <c r="F76" i="69"/>
  <c r="F90" i="69"/>
  <c r="J89" i="69" s="1"/>
  <c r="P89" i="69" s="1"/>
  <c r="F70" i="69"/>
  <c r="H200" i="6"/>
  <c r="F73" i="69"/>
  <c r="G211" i="6"/>
  <c r="L82" i="28"/>
  <c r="H55" i="28" s="1"/>
  <c r="I55" i="28" s="1"/>
  <c r="J55" i="28" s="1"/>
  <c r="K55" i="28" s="1"/>
  <c r="L55" i="28" s="1"/>
  <c r="M55" i="28" s="1"/>
  <c r="N55" i="28" s="1"/>
  <c r="O55" i="28" s="1"/>
  <c r="P55" i="28" s="1"/>
  <c r="Q55" i="28" s="1"/>
  <c r="R55" i="28" s="1"/>
  <c r="S55" i="28" s="1"/>
  <c r="T55" i="28" s="1"/>
  <c r="U55" i="28" s="1"/>
  <c r="V55" i="28" s="1"/>
  <c r="W55" i="28" s="1"/>
  <c r="X55" i="28" s="1"/>
  <c r="Y55" i="28" s="1"/>
  <c r="Z55" i="28" s="1"/>
  <c r="AA55" i="28" s="1"/>
  <c r="AB55" i="28" s="1"/>
  <c r="AC55" i="28" s="1"/>
  <c r="AD55" i="28" s="1"/>
  <c r="AE55" i="28" s="1"/>
  <c r="AF55" i="28" s="1"/>
  <c r="AG55" i="28" s="1"/>
  <c r="AH55" i="28" s="1"/>
  <c r="AI55" i="28" s="1"/>
  <c r="AD43" i="28"/>
  <c r="L43" i="28"/>
  <c r="R43" i="28"/>
  <c r="H43" i="28"/>
  <c r="Y43" i="28"/>
  <c r="K43" i="28"/>
  <c r="T43" i="28"/>
  <c r="Z43" i="28"/>
  <c r="Z68" i="28" s="1"/>
  <c r="Z108" i="13" s="1"/>
  <c r="V43" i="28"/>
  <c r="U43" i="28"/>
  <c r="J43" i="28"/>
  <c r="N43" i="28"/>
  <c r="AF43" i="28"/>
  <c r="AA43" i="28"/>
  <c r="P43" i="28"/>
  <c r="AE43" i="28"/>
  <c r="AE68" i="28" s="1"/>
  <c r="AE108" i="13" s="1"/>
  <c r="AC43" i="28"/>
  <c r="Q43" i="28"/>
  <c r="X43" i="28"/>
  <c r="AI43" i="28"/>
  <c r="AG43" i="28"/>
  <c r="I43" i="28"/>
  <c r="O43" i="28"/>
  <c r="S43" i="28"/>
  <c r="S68" i="28" s="1"/>
  <c r="S108" i="13" s="1"/>
  <c r="W43" i="28"/>
  <c r="M43" i="28"/>
  <c r="AB43" i="28"/>
  <c r="AH43" i="28"/>
  <c r="F51" i="28"/>
  <c r="G51" i="28" s="1"/>
  <c r="K87" i="28"/>
  <c r="L81" i="28"/>
  <c r="H54" i="28" s="1"/>
  <c r="I54" i="28" s="1"/>
  <c r="J54" i="28" s="1"/>
  <c r="K54" i="28" s="1"/>
  <c r="L54" i="28" s="1"/>
  <c r="M54" i="28" s="1"/>
  <c r="N54" i="28" s="1"/>
  <c r="O54" i="28" s="1"/>
  <c r="P54" i="28" s="1"/>
  <c r="Q54" i="28" s="1"/>
  <c r="R54" i="28" s="1"/>
  <c r="S54" i="28" s="1"/>
  <c r="T54" i="28" s="1"/>
  <c r="U54" i="28" s="1"/>
  <c r="V54" i="28" s="1"/>
  <c r="W54" i="28" s="1"/>
  <c r="X54" i="28" s="1"/>
  <c r="Y54" i="28" s="1"/>
  <c r="Z54" i="28" s="1"/>
  <c r="AA54" i="28" s="1"/>
  <c r="AB54" i="28" s="1"/>
  <c r="AC54" i="28" s="1"/>
  <c r="AD54" i="28" s="1"/>
  <c r="AE54" i="28" s="1"/>
  <c r="AF54" i="28" s="1"/>
  <c r="AG54" i="28" s="1"/>
  <c r="AH54" i="28" s="1"/>
  <c r="AI54" i="28" s="1"/>
  <c r="AH42" i="28"/>
  <c r="AH67" i="28" s="1"/>
  <c r="AH107" i="13" s="1"/>
  <c r="V42" i="28"/>
  <c r="T42" i="28"/>
  <c r="L42" i="28"/>
  <c r="S42" i="28"/>
  <c r="X42" i="28"/>
  <c r="AD42" i="28"/>
  <c r="AB42" i="28"/>
  <c r="AB67" i="28" s="1"/>
  <c r="AB107" i="13" s="1"/>
  <c r="Z42" i="28"/>
  <c r="Z67" i="28" s="1"/>
  <c r="Z107" i="13" s="1"/>
  <c r="AE42" i="28"/>
  <c r="N42" i="28"/>
  <c r="R42" i="28"/>
  <c r="AF42" i="28"/>
  <c r="W42" i="28"/>
  <c r="AC42" i="28"/>
  <c r="Y42" i="28"/>
  <c r="Y67" i="28" s="1"/>
  <c r="Y107" i="13" s="1"/>
  <c r="AA42" i="28"/>
  <c r="AA67" i="28" s="1"/>
  <c r="AA107" i="13" s="1"/>
  <c r="M42" i="28"/>
  <c r="Q42" i="28"/>
  <c r="K42" i="28"/>
  <c r="J42" i="28"/>
  <c r="AG42" i="28"/>
  <c r="P42" i="28"/>
  <c r="O42" i="28"/>
  <c r="O67" i="28" s="1"/>
  <c r="O107" i="13" s="1"/>
  <c r="U42" i="28"/>
  <c r="U67" i="28" s="1"/>
  <c r="U107" i="13" s="1"/>
  <c r="H42" i="28"/>
  <c r="AI42" i="28"/>
  <c r="I42" i="28"/>
  <c r="L78" i="28"/>
  <c r="I87" i="28"/>
  <c r="H39" i="28"/>
  <c r="AF39" i="28"/>
  <c r="O39" i="28"/>
  <c r="X39" i="28"/>
  <c r="AE39" i="28"/>
  <c r="AC39" i="28"/>
  <c r="L39" i="28"/>
  <c r="Y39" i="28"/>
  <c r="M39" i="28"/>
  <c r="AH39" i="28"/>
  <c r="P39" i="28"/>
  <c r="AD39" i="28"/>
  <c r="N39" i="28"/>
  <c r="W39" i="28"/>
  <c r="T39" i="28"/>
  <c r="V39" i="28"/>
  <c r="AA39" i="28"/>
  <c r="S39" i="28"/>
  <c r="Q39" i="28"/>
  <c r="K39" i="28"/>
  <c r="I39" i="28"/>
  <c r="AB39" i="28"/>
  <c r="Z39" i="28"/>
  <c r="AI39" i="28"/>
  <c r="R39" i="28"/>
  <c r="AG39" i="28"/>
  <c r="J39" i="28"/>
  <c r="U39" i="28"/>
  <c r="F211" i="6"/>
  <c r="L79" i="28"/>
  <c r="H52" i="28" s="1"/>
  <c r="I52" i="28" s="1"/>
  <c r="J52" i="28" s="1"/>
  <c r="K52" i="28" s="1"/>
  <c r="L52" i="28" s="1"/>
  <c r="M52" i="28" s="1"/>
  <c r="N52" i="28" s="1"/>
  <c r="O52" i="28" s="1"/>
  <c r="P52" i="28" s="1"/>
  <c r="Q52" i="28" s="1"/>
  <c r="R52" i="28" s="1"/>
  <c r="S52" i="28" s="1"/>
  <c r="T52" i="28" s="1"/>
  <c r="U52" i="28" s="1"/>
  <c r="V52" i="28" s="1"/>
  <c r="W52" i="28" s="1"/>
  <c r="X52" i="28" s="1"/>
  <c r="Y52" i="28" s="1"/>
  <c r="Z52" i="28" s="1"/>
  <c r="AA52" i="28" s="1"/>
  <c r="AB52" i="28" s="1"/>
  <c r="AC52" i="28" s="1"/>
  <c r="AD52" i="28" s="1"/>
  <c r="AE52" i="28" s="1"/>
  <c r="AF52" i="28" s="1"/>
  <c r="AG52" i="28" s="1"/>
  <c r="AH52" i="28" s="1"/>
  <c r="AI52" i="28" s="1"/>
  <c r="V40" i="28"/>
  <c r="AI40" i="28"/>
  <c r="R40" i="28"/>
  <c r="AG40" i="28"/>
  <c r="W40" i="28"/>
  <c r="AD40" i="28"/>
  <c r="N40" i="28"/>
  <c r="AA40" i="28"/>
  <c r="J40" i="28"/>
  <c r="Y40" i="28"/>
  <c r="AC40" i="28"/>
  <c r="T40" i="28"/>
  <c r="S40" i="28"/>
  <c r="Q40" i="28"/>
  <c r="M40" i="28"/>
  <c r="AF40" i="28"/>
  <c r="O40" i="28"/>
  <c r="L40" i="28"/>
  <c r="H40" i="28"/>
  <c r="U40" i="28"/>
  <c r="K40" i="28"/>
  <c r="I40" i="28"/>
  <c r="X40" i="28"/>
  <c r="Z40" i="28"/>
  <c r="P40" i="28"/>
  <c r="AB40" i="28"/>
  <c r="AH40" i="28"/>
  <c r="AE40" i="28"/>
  <c r="L85" i="28"/>
  <c r="H58" i="28" s="1"/>
  <c r="I58" i="28" s="1"/>
  <c r="J58" i="28" s="1"/>
  <c r="K58" i="28" s="1"/>
  <c r="L58" i="28" s="1"/>
  <c r="M58" i="28" s="1"/>
  <c r="N58" i="28" s="1"/>
  <c r="O58" i="28" s="1"/>
  <c r="P58" i="28" s="1"/>
  <c r="Q58" i="28" s="1"/>
  <c r="R58" i="28" s="1"/>
  <c r="S58" i="28" s="1"/>
  <c r="T58" i="28" s="1"/>
  <c r="U58" i="28" s="1"/>
  <c r="V58" i="28" s="1"/>
  <c r="W58" i="28" s="1"/>
  <c r="X58" i="28" s="1"/>
  <c r="Y58" i="28" s="1"/>
  <c r="Z58" i="28" s="1"/>
  <c r="AA58" i="28" s="1"/>
  <c r="AB58" i="28" s="1"/>
  <c r="AC58" i="28" s="1"/>
  <c r="AD58" i="28" s="1"/>
  <c r="AE58" i="28" s="1"/>
  <c r="AF58" i="28" s="1"/>
  <c r="AG58" i="28" s="1"/>
  <c r="AH58" i="28" s="1"/>
  <c r="AI58" i="28" s="1"/>
  <c r="H46" i="28"/>
  <c r="J46" i="28"/>
  <c r="AB46" i="28"/>
  <c r="P46" i="28"/>
  <c r="V46" i="28"/>
  <c r="N46" i="28"/>
  <c r="L46" i="28"/>
  <c r="T46" i="28"/>
  <c r="AE46" i="28"/>
  <c r="W46" i="28"/>
  <c r="AC46" i="28"/>
  <c r="AA46" i="28"/>
  <c r="AG46" i="28"/>
  <c r="X46" i="28"/>
  <c r="R46" i="28"/>
  <c r="I46" i="28"/>
  <c r="AI46" i="28"/>
  <c r="AF46" i="28"/>
  <c r="O46" i="28"/>
  <c r="U46" i="28"/>
  <c r="AD46" i="28"/>
  <c r="M46" i="28"/>
  <c r="AH46" i="28"/>
  <c r="S46" i="28"/>
  <c r="Y46" i="28"/>
  <c r="K46" i="28"/>
  <c r="Z46" i="28"/>
  <c r="Q46" i="28"/>
  <c r="L83" i="28"/>
  <c r="H56" i="28" s="1"/>
  <c r="I56" i="28" s="1"/>
  <c r="J56" i="28" s="1"/>
  <c r="K56" i="28" s="1"/>
  <c r="L56" i="28" s="1"/>
  <c r="M56" i="28" s="1"/>
  <c r="N56" i="28" s="1"/>
  <c r="O56" i="28" s="1"/>
  <c r="P56" i="28" s="1"/>
  <c r="Q56" i="28" s="1"/>
  <c r="R56" i="28" s="1"/>
  <c r="S56" i="28" s="1"/>
  <c r="T56" i="28" s="1"/>
  <c r="U56" i="28" s="1"/>
  <c r="V56" i="28" s="1"/>
  <c r="W56" i="28" s="1"/>
  <c r="X56" i="28" s="1"/>
  <c r="Y56" i="28" s="1"/>
  <c r="Z56" i="28" s="1"/>
  <c r="AA56" i="28" s="1"/>
  <c r="AB56" i="28" s="1"/>
  <c r="AC56" i="28" s="1"/>
  <c r="AD56" i="28" s="1"/>
  <c r="AE56" i="28" s="1"/>
  <c r="AF56" i="28" s="1"/>
  <c r="AG56" i="28" s="1"/>
  <c r="AH56" i="28" s="1"/>
  <c r="AI56" i="28" s="1"/>
  <c r="R44" i="28"/>
  <c r="AF44" i="28"/>
  <c r="AD44" i="28"/>
  <c r="AC44" i="28"/>
  <c r="V44" i="28"/>
  <c r="W44" i="28"/>
  <c r="AA44" i="28"/>
  <c r="X44" i="28"/>
  <c r="AB44" i="28"/>
  <c r="AH44" i="28"/>
  <c r="AG44" i="28"/>
  <c r="U44" i="28"/>
  <c r="P44" i="28"/>
  <c r="N44" i="28"/>
  <c r="AI44" i="28"/>
  <c r="I44" i="28"/>
  <c r="O44" i="28"/>
  <c r="H44" i="28"/>
  <c r="T44" i="28"/>
  <c r="Z44" i="28"/>
  <c r="Y44" i="28"/>
  <c r="M44" i="28"/>
  <c r="AE44" i="28"/>
  <c r="L44" i="28"/>
  <c r="J44" i="28"/>
  <c r="Q44" i="28"/>
  <c r="S44" i="28"/>
  <c r="K44" i="28"/>
  <c r="L86" i="28"/>
  <c r="H59" i="28" s="1"/>
  <c r="I59" i="28" s="1"/>
  <c r="J59" i="28" s="1"/>
  <c r="K59" i="28" s="1"/>
  <c r="L59" i="28" s="1"/>
  <c r="M59" i="28" s="1"/>
  <c r="N59" i="28" s="1"/>
  <c r="O59" i="28" s="1"/>
  <c r="P59" i="28" s="1"/>
  <c r="Q59" i="28" s="1"/>
  <c r="R59" i="28" s="1"/>
  <c r="S59" i="28" s="1"/>
  <c r="T59" i="28" s="1"/>
  <c r="U59" i="28" s="1"/>
  <c r="V59" i="28" s="1"/>
  <c r="W59" i="28" s="1"/>
  <c r="X59" i="28" s="1"/>
  <c r="Y59" i="28" s="1"/>
  <c r="Z59" i="28" s="1"/>
  <c r="AA59" i="28" s="1"/>
  <c r="AB59" i="28" s="1"/>
  <c r="AC59" i="28" s="1"/>
  <c r="AD59" i="28" s="1"/>
  <c r="AE59" i="28" s="1"/>
  <c r="AF59" i="28" s="1"/>
  <c r="AG59" i="28" s="1"/>
  <c r="AH59" i="28" s="1"/>
  <c r="AI59" i="28" s="1"/>
  <c r="AF47" i="28"/>
  <c r="AC47" i="28"/>
  <c r="L47" i="28"/>
  <c r="AI47" i="28"/>
  <c r="R47" i="28"/>
  <c r="J47" i="28"/>
  <c r="Y47" i="28"/>
  <c r="I47" i="28"/>
  <c r="T47" i="28"/>
  <c r="X47" i="28"/>
  <c r="AD47" i="28"/>
  <c r="U47" i="28"/>
  <c r="AA47" i="28"/>
  <c r="P47" i="28"/>
  <c r="AE47" i="28"/>
  <c r="V47" i="28"/>
  <c r="M47" i="28"/>
  <c r="S47" i="28"/>
  <c r="O47" i="28"/>
  <c r="AG47" i="28"/>
  <c r="Q47" i="28"/>
  <c r="Z47" i="28"/>
  <c r="W47" i="28"/>
  <c r="N47" i="28"/>
  <c r="K47" i="28"/>
  <c r="H47" i="28"/>
  <c r="AB47" i="28"/>
  <c r="AH47" i="28"/>
  <c r="H404" i="17"/>
  <c r="H405" i="17" s="1"/>
  <c r="I248" i="17"/>
  <c r="I264" i="17"/>
  <c r="E215" i="6"/>
  <c r="E219" i="6" s="1"/>
  <c r="D215" i="6"/>
  <c r="D219" i="6" s="1"/>
  <c r="G263" i="17"/>
  <c r="G265" i="17"/>
  <c r="I327" i="17"/>
  <c r="I328" i="17" s="1"/>
  <c r="K202" i="17"/>
  <c r="K203" i="17" s="1"/>
  <c r="I357" i="17"/>
  <c r="I358" i="17" s="1"/>
  <c r="J282" i="17"/>
  <c r="I312" i="17"/>
  <c r="I313" i="17" s="1"/>
  <c r="J187" i="17"/>
  <c r="J188" i="17" s="1"/>
  <c r="L245" i="17"/>
  <c r="L244" i="17"/>
  <c r="L246" i="17"/>
  <c r="L236" i="17"/>
  <c r="L242" i="17"/>
  <c r="L237" i="17"/>
  <c r="K95" i="18" s="1"/>
  <c r="L241" i="17"/>
  <c r="L243" i="17"/>
  <c r="L238" i="17"/>
  <c r="L239" i="17"/>
  <c r="L240" i="17"/>
  <c r="K169" i="17"/>
  <c r="K171" i="17"/>
  <c r="K170" i="17"/>
  <c r="K161" i="17"/>
  <c r="K165" i="17"/>
  <c r="K162" i="17"/>
  <c r="J35" i="18" s="1"/>
  <c r="K168" i="17"/>
  <c r="K164" i="17"/>
  <c r="K167" i="17"/>
  <c r="K163" i="17"/>
  <c r="K166" i="17"/>
  <c r="J386" i="17"/>
  <c r="J381" i="17"/>
  <c r="J384" i="17"/>
  <c r="J376" i="17"/>
  <c r="J382" i="17"/>
  <c r="J383" i="17"/>
  <c r="J379" i="17"/>
  <c r="J385" i="17"/>
  <c r="J378" i="17"/>
  <c r="J377" i="17"/>
  <c r="J380" i="17"/>
  <c r="J396" i="17"/>
  <c r="J399" i="17"/>
  <c r="J394" i="17"/>
  <c r="J397" i="17"/>
  <c r="J400" i="17"/>
  <c r="J395" i="17"/>
  <c r="J398" i="17"/>
  <c r="J392" i="17"/>
  <c r="J393" i="17"/>
  <c r="J391" i="17"/>
  <c r="J401" i="17"/>
  <c r="K341" i="17"/>
  <c r="K340" i="17"/>
  <c r="K334" i="17"/>
  <c r="K337" i="17"/>
  <c r="K332" i="17"/>
  <c r="K335" i="17"/>
  <c r="K338" i="17"/>
  <c r="K333" i="17"/>
  <c r="K336" i="17"/>
  <c r="K331" i="17"/>
  <c r="K339" i="17"/>
  <c r="I402" i="17"/>
  <c r="I403" i="17" s="1"/>
  <c r="K185" i="17"/>
  <c r="K184" i="17"/>
  <c r="K186" i="17"/>
  <c r="K176" i="17"/>
  <c r="K180" i="17"/>
  <c r="K182" i="17"/>
  <c r="K181" i="17"/>
  <c r="K183" i="17"/>
  <c r="K179" i="17"/>
  <c r="K177" i="17"/>
  <c r="J47" i="18" s="1"/>
  <c r="K178" i="17"/>
  <c r="K399" i="17"/>
  <c r="K394" i="17"/>
  <c r="K397" i="17"/>
  <c r="K400" i="17"/>
  <c r="K395" i="17"/>
  <c r="K398" i="17"/>
  <c r="K401" i="17"/>
  <c r="K393" i="17"/>
  <c r="K396" i="17"/>
  <c r="K391" i="17"/>
  <c r="K392" i="17"/>
  <c r="I283" i="17"/>
  <c r="J342" i="17"/>
  <c r="J343" i="17" s="1"/>
  <c r="J372" i="17"/>
  <c r="J373" i="17" s="1"/>
  <c r="K216" i="17"/>
  <c r="K214" i="17"/>
  <c r="K215" i="17"/>
  <c r="K206" i="17"/>
  <c r="K208" i="17"/>
  <c r="K209" i="17"/>
  <c r="K212" i="17"/>
  <c r="K211" i="17"/>
  <c r="K213" i="17"/>
  <c r="K207" i="17"/>
  <c r="J71" i="18" s="1"/>
  <c r="K210" i="17"/>
  <c r="J319" i="17"/>
  <c r="J320" i="17"/>
  <c r="J323" i="17"/>
  <c r="J326" i="17"/>
  <c r="J318" i="17"/>
  <c r="J321" i="17"/>
  <c r="J317" i="17"/>
  <c r="J325" i="17"/>
  <c r="J322" i="17"/>
  <c r="J316" i="17"/>
  <c r="J324" i="17"/>
  <c r="J172" i="17"/>
  <c r="J173" i="17" s="1"/>
  <c r="K386" i="17"/>
  <c r="K384" i="17"/>
  <c r="K376" i="17"/>
  <c r="K379" i="17"/>
  <c r="K385" i="17"/>
  <c r="K377" i="17"/>
  <c r="K382" i="17"/>
  <c r="K378" i="17"/>
  <c r="K381" i="17"/>
  <c r="K380" i="17"/>
  <c r="K383" i="17"/>
  <c r="L154" i="17"/>
  <c r="L155" i="17"/>
  <c r="L156" i="17"/>
  <c r="L149" i="17"/>
  <c r="L151" i="17"/>
  <c r="L146" i="17"/>
  <c r="L147" i="17"/>
  <c r="K23" i="18" s="1"/>
  <c r="L148" i="17"/>
  <c r="L150" i="17"/>
  <c r="L153" i="17"/>
  <c r="L152" i="17"/>
  <c r="J350" i="17"/>
  <c r="J353" i="17"/>
  <c r="J356" i="17"/>
  <c r="J351" i="17"/>
  <c r="J349" i="17"/>
  <c r="J355" i="17"/>
  <c r="J352" i="17"/>
  <c r="J348" i="17"/>
  <c r="J354" i="17"/>
  <c r="J347" i="17"/>
  <c r="J346" i="17"/>
  <c r="K247" i="17"/>
  <c r="I387" i="17"/>
  <c r="I388" i="17" s="1"/>
  <c r="K372" i="17"/>
  <c r="K373" i="17" s="1"/>
  <c r="K279" i="17"/>
  <c r="K280" i="17"/>
  <c r="K281" i="17"/>
  <c r="K271" i="17"/>
  <c r="K276" i="17"/>
  <c r="K274" i="17"/>
  <c r="K275" i="17"/>
  <c r="K273" i="17"/>
  <c r="K272" i="17"/>
  <c r="K277" i="17"/>
  <c r="K278" i="17"/>
  <c r="L261" i="17"/>
  <c r="L259" i="17"/>
  <c r="L260" i="17"/>
  <c r="L251" i="17"/>
  <c r="L255" i="17"/>
  <c r="L254" i="17"/>
  <c r="L252" i="17"/>
  <c r="K107" i="18" s="1"/>
  <c r="L257" i="17"/>
  <c r="L253" i="17"/>
  <c r="L258" i="17"/>
  <c r="L256" i="17"/>
  <c r="J217" i="17"/>
  <c r="J218" i="17" s="1"/>
  <c r="L232" i="17"/>
  <c r="L233" i="17" s="1"/>
  <c r="J247" i="17"/>
  <c r="J297" i="17"/>
  <c r="J298" i="17" s="1"/>
  <c r="K157" i="17"/>
  <c r="K158" i="17" s="1"/>
  <c r="J307" i="17"/>
  <c r="J310" i="17"/>
  <c r="J302" i="17"/>
  <c r="J308" i="17"/>
  <c r="J311" i="17"/>
  <c r="J304" i="17"/>
  <c r="J303" i="17"/>
  <c r="J306" i="17"/>
  <c r="J309" i="17"/>
  <c r="J305" i="17"/>
  <c r="J301" i="17"/>
  <c r="L367" i="17"/>
  <c r="L370" i="17"/>
  <c r="L368" i="17"/>
  <c r="L371" i="17"/>
  <c r="L364" i="17"/>
  <c r="L362" i="17"/>
  <c r="L365" i="17"/>
  <c r="L369" i="17"/>
  <c r="L363" i="17"/>
  <c r="L366" i="17"/>
  <c r="L361" i="17"/>
  <c r="M230" i="17"/>
  <c r="M229" i="17"/>
  <c r="M231" i="17"/>
  <c r="M221" i="17"/>
  <c r="M225" i="17"/>
  <c r="M224" i="17"/>
  <c r="M228" i="17"/>
  <c r="M222" i="17"/>
  <c r="L83" i="18" s="1"/>
  <c r="M227" i="17"/>
  <c r="M226" i="17"/>
  <c r="M223" i="17"/>
  <c r="L200" i="17"/>
  <c r="L201" i="17"/>
  <c r="L199" i="17"/>
  <c r="L191" i="17"/>
  <c r="L195" i="17"/>
  <c r="L196" i="17"/>
  <c r="L193" i="17"/>
  <c r="L198" i="17"/>
  <c r="L194" i="17"/>
  <c r="L192" i="17"/>
  <c r="K59" i="18" s="1"/>
  <c r="L197" i="17"/>
  <c r="K295" i="17"/>
  <c r="K296" i="17"/>
  <c r="K294" i="17"/>
  <c r="K286" i="17"/>
  <c r="K292" i="17"/>
  <c r="K287" i="17"/>
  <c r="K291" i="17"/>
  <c r="K289" i="17"/>
  <c r="K288" i="17"/>
  <c r="K290" i="17"/>
  <c r="K293" i="17"/>
  <c r="I262" i="17"/>
  <c r="I263" i="17" s="1"/>
  <c r="K142" i="17"/>
  <c r="K143" i="17" s="1"/>
  <c r="J262" i="17"/>
  <c r="J263" i="17" s="1"/>
  <c r="L137" i="17"/>
  <c r="L140" i="17"/>
  <c r="L138" i="17"/>
  <c r="L139" i="17"/>
  <c r="L136" i="17"/>
  <c r="L132" i="17"/>
  <c r="K11" i="18" s="1"/>
  <c r="L141" i="17"/>
  <c r="L133" i="17"/>
  <c r="L134" i="17"/>
  <c r="L131" i="17"/>
  <c r="L135" i="17"/>
  <c r="H198" i="6"/>
  <c r="J169" i="13"/>
  <c r="J172" i="13"/>
  <c r="J211" i="13"/>
  <c r="J171" i="13"/>
  <c r="J173" i="13"/>
  <c r="J167" i="13"/>
  <c r="J207" i="13"/>
  <c r="J210" i="13"/>
  <c r="J170" i="13"/>
  <c r="J213" i="13"/>
  <c r="J209" i="13"/>
  <c r="J214" i="13"/>
  <c r="J174" i="13"/>
  <c r="J208" i="13"/>
  <c r="J206" i="13"/>
  <c r="J168" i="13"/>
  <c r="J212" i="13"/>
  <c r="J166" i="13"/>
  <c r="J75" i="6"/>
  <c r="J103" i="6" s="1"/>
  <c r="J199" i="6" s="1"/>
  <c r="I71" i="6"/>
  <c r="I99" i="6" s="1"/>
  <c r="I195" i="6" s="1"/>
  <c r="K201" i="13"/>
  <c r="L203" i="13"/>
  <c r="I73" i="6"/>
  <c r="I101" i="6" s="1"/>
  <c r="I197" i="6" s="1"/>
  <c r="J78" i="6"/>
  <c r="J106" i="6" s="1"/>
  <c r="J202" i="6" s="1"/>
  <c r="K198" i="13"/>
  <c r="J77" i="6"/>
  <c r="J105" i="6" s="1"/>
  <c r="J201" i="6" s="1"/>
  <c r="L196" i="13"/>
  <c r="J79" i="6"/>
  <c r="J107" i="6" s="1"/>
  <c r="J203" i="6" s="1"/>
  <c r="I74" i="6"/>
  <c r="I102" i="6" s="1"/>
  <c r="I198" i="6" s="1"/>
  <c r="L197" i="13"/>
  <c r="J72" i="6"/>
  <c r="J100" i="6" s="1"/>
  <c r="J196" i="6" s="1"/>
  <c r="L204" i="13"/>
  <c r="K199" i="13"/>
  <c r="I76" i="6"/>
  <c r="I104" i="6" s="1"/>
  <c r="I200" i="6" s="1"/>
  <c r="M202" i="13"/>
  <c r="L200" i="13"/>
  <c r="J175" i="13"/>
  <c r="J185" i="13"/>
  <c r="J195" i="13"/>
  <c r="L193" i="13"/>
  <c r="L183" i="13"/>
  <c r="K178" i="13"/>
  <c r="K188" i="13"/>
  <c r="L194" i="13"/>
  <c r="L184" i="13"/>
  <c r="L180" i="13"/>
  <c r="L190" i="13"/>
  <c r="K191" i="13"/>
  <c r="K181" i="13"/>
  <c r="M182" i="13"/>
  <c r="M192" i="13"/>
  <c r="L186" i="13"/>
  <c r="L176" i="13"/>
  <c r="K179" i="13"/>
  <c r="K189" i="13"/>
  <c r="L177" i="13"/>
  <c r="L187" i="13"/>
  <c r="K20" i="36"/>
  <c r="I54" i="34" s="1"/>
  <c r="M15" i="36"/>
  <c r="K129" i="18"/>
  <c r="L11" i="36"/>
  <c r="J125" i="18"/>
  <c r="L16" i="36"/>
  <c r="J130" i="18"/>
  <c r="M18" i="36"/>
  <c r="K132" i="18"/>
  <c r="M19" i="36"/>
  <c r="K133" i="18"/>
  <c r="L13" i="36"/>
  <c r="J127" i="18"/>
  <c r="M12" i="36"/>
  <c r="K126" i="18"/>
  <c r="L14" i="36"/>
  <c r="J128" i="18"/>
  <c r="M17" i="36"/>
  <c r="K131" i="18"/>
  <c r="L18" i="36"/>
  <c r="J132" i="18"/>
  <c r="G25" i="36"/>
  <c r="G28" i="36" s="1"/>
  <c r="E64" i="34" s="1"/>
  <c r="L95" i="17"/>
  <c r="L163" i="13"/>
  <c r="L153" i="13"/>
  <c r="I6" i="36"/>
  <c r="I8" i="36" s="1"/>
  <c r="G53" i="34" s="1"/>
  <c r="L89" i="17"/>
  <c r="L157" i="13"/>
  <c r="L147" i="13"/>
  <c r="K91" i="17"/>
  <c r="K159" i="13"/>
  <c r="K149" i="13"/>
  <c r="J97" i="17"/>
  <c r="I7" i="18" s="1"/>
  <c r="K93" i="17"/>
  <c r="K161" i="13"/>
  <c r="K151" i="13"/>
  <c r="L92" i="17"/>
  <c r="L160" i="13"/>
  <c r="L150" i="13"/>
  <c r="M94" i="17"/>
  <c r="M162" i="13"/>
  <c r="M152" i="13"/>
  <c r="K90" i="17"/>
  <c r="K148" i="13"/>
  <c r="K158" i="13"/>
  <c r="L146" i="13"/>
  <c r="L156" i="13"/>
  <c r="L96" i="17"/>
  <c r="L164" i="13"/>
  <c r="L154" i="13"/>
  <c r="K43" i="34"/>
  <c r="H50" i="34" s="1"/>
  <c r="J9" i="34"/>
  <c r="G7" i="36"/>
  <c r="E52" i="34" s="1"/>
  <c r="E51" i="34" s="1"/>
  <c r="E58" i="34" s="1"/>
  <c r="N23" i="6"/>
  <c r="M32" i="6"/>
  <c r="M27" i="6"/>
  <c r="M33" i="6"/>
  <c r="M31" i="6"/>
  <c r="M29" i="6"/>
  <c r="M26" i="6"/>
  <c r="M30" i="6"/>
  <c r="M28" i="6"/>
  <c r="M25" i="6"/>
  <c r="H123" i="6"/>
  <c r="H186" i="6" s="1"/>
  <c r="H117" i="6"/>
  <c r="H180" i="6" s="1"/>
  <c r="G116" i="6"/>
  <c r="G179" i="6" s="1"/>
  <c r="H124" i="6"/>
  <c r="H187" i="6" s="1"/>
  <c r="H118" i="6"/>
  <c r="H181" i="6" s="1"/>
  <c r="F109" i="6"/>
  <c r="F110" i="6" s="1"/>
  <c r="H120" i="6"/>
  <c r="H183" i="6" s="1"/>
  <c r="H119" i="6"/>
  <c r="H182" i="6" s="1"/>
  <c r="G121" i="6"/>
  <c r="G184" i="6" s="1"/>
  <c r="G213" i="6" s="1"/>
  <c r="H122" i="6"/>
  <c r="H185" i="6" s="1"/>
  <c r="H212" i="6" s="1"/>
  <c r="I7" i="37"/>
  <c r="I6" i="37" s="1"/>
  <c r="G49" i="34"/>
  <c r="H7" i="37"/>
  <c r="H6" i="37" s="1"/>
  <c r="F49" i="34"/>
  <c r="H8" i="36"/>
  <c r="F53" i="34" s="1"/>
  <c r="H7" i="36"/>
  <c r="H25" i="36"/>
  <c r="H28" i="36" s="1"/>
  <c r="I123" i="18"/>
  <c r="L7" i="34"/>
  <c r="H6" i="18"/>
  <c r="K6" i="34"/>
  <c r="K8" i="34" s="1"/>
  <c r="K9" i="34" s="1"/>
  <c r="K17" i="34" s="1"/>
  <c r="I14" i="34"/>
  <c r="J155" i="13"/>
  <c r="J145" i="13"/>
  <c r="L64" i="17"/>
  <c r="J134" i="6"/>
  <c r="J44" i="6"/>
  <c r="J151" i="6" s="1"/>
  <c r="J166" i="6" s="1"/>
  <c r="K136" i="6"/>
  <c r="M66" i="17"/>
  <c r="J135" i="6"/>
  <c r="L65" i="17"/>
  <c r="L88" i="17"/>
  <c r="J137" i="6"/>
  <c r="L67" i="17"/>
  <c r="K71" i="17"/>
  <c r="K165" i="13" s="1"/>
  <c r="K133" i="6"/>
  <c r="M63" i="17"/>
  <c r="K140" i="6"/>
  <c r="M70" i="17"/>
  <c r="K139" i="6"/>
  <c r="M69" i="17"/>
  <c r="J45" i="6"/>
  <c r="J152" i="6" s="1"/>
  <c r="J167" i="6" s="1"/>
  <c r="E126" i="6"/>
  <c r="I142" i="6"/>
  <c r="I143" i="6" s="1"/>
  <c r="K49" i="6"/>
  <c r="K156" i="6" s="1"/>
  <c r="K171" i="6" s="1"/>
  <c r="N68" i="17"/>
  <c r="K138" i="6"/>
  <c r="K48" i="6"/>
  <c r="K155" i="6" s="1"/>
  <c r="J42" i="6"/>
  <c r="J149" i="6" s="1"/>
  <c r="J164" i="6" s="1"/>
  <c r="J173" i="6" s="1"/>
  <c r="J174" i="6" s="1"/>
  <c r="J132" i="6"/>
  <c r="H81" i="6"/>
  <c r="I52" i="6"/>
  <c r="I53" i="6" s="1"/>
  <c r="K43" i="6"/>
  <c r="K150" i="6" s="1"/>
  <c r="K165" i="6" s="1"/>
  <c r="K46" i="6"/>
  <c r="K153" i="6" s="1"/>
  <c r="K168" i="6" s="1"/>
  <c r="K50" i="6"/>
  <c r="K157" i="6" s="1"/>
  <c r="K172" i="6" s="1"/>
  <c r="J47" i="6"/>
  <c r="J154" i="6" s="1"/>
  <c r="J169" i="6" s="1"/>
  <c r="J35" i="6"/>
  <c r="M62" i="17"/>
  <c r="J36" i="34" l="1"/>
  <c r="J17" i="34"/>
  <c r="S69" i="28"/>
  <c r="S109" i="13" s="1"/>
  <c r="I69" i="28"/>
  <c r="I109" i="13" s="1"/>
  <c r="T69" i="28"/>
  <c r="T109" i="13" s="1"/>
  <c r="I67" i="28"/>
  <c r="I107" i="13" s="1"/>
  <c r="K67" i="28"/>
  <c r="K107" i="13" s="1"/>
  <c r="R67" i="28"/>
  <c r="R107" i="13" s="1"/>
  <c r="L67" i="28"/>
  <c r="L107" i="13" s="1"/>
  <c r="J73" i="69"/>
  <c r="J158" i="6"/>
  <c r="J159" i="6" s="1"/>
  <c r="AB68" i="28"/>
  <c r="AB108" i="13" s="1"/>
  <c r="X68" i="28"/>
  <c r="X108" i="13" s="1"/>
  <c r="J68" i="28"/>
  <c r="J108" i="13" s="1"/>
  <c r="AI67" i="28"/>
  <c r="AI107" i="13" s="1"/>
  <c r="Q67" i="28"/>
  <c r="Q107" i="13" s="1"/>
  <c r="N67" i="28"/>
  <c r="N107" i="13" s="1"/>
  <c r="T67" i="28"/>
  <c r="T107" i="13" s="1"/>
  <c r="R68" i="28"/>
  <c r="R108" i="13" s="1"/>
  <c r="M68" i="28"/>
  <c r="M108" i="13" s="1"/>
  <c r="Z72" i="28"/>
  <c r="Z112" i="13" s="1"/>
  <c r="AF72" i="28"/>
  <c r="AF112" i="13" s="1"/>
  <c r="AA72" i="28"/>
  <c r="AA112" i="13" s="1"/>
  <c r="F65" i="28"/>
  <c r="F105" i="13" s="1"/>
  <c r="AE72" i="28"/>
  <c r="AE112" i="13" s="1"/>
  <c r="U72" i="28"/>
  <c r="U112" i="13" s="1"/>
  <c r="T72" i="28"/>
  <c r="T112" i="13" s="1"/>
  <c r="AG72" i="28"/>
  <c r="AG112" i="13" s="1"/>
  <c r="E136" i="69"/>
  <c r="G136" i="69" s="1"/>
  <c r="J135" i="69" s="1"/>
  <c r="P135" i="69" s="1"/>
  <c r="I70" i="28"/>
  <c r="I110" i="13" s="1"/>
  <c r="S92" i="69"/>
  <c r="S90" i="69"/>
  <c r="Q68" i="28"/>
  <c r="Q108" i="13" s="1"/>
  <c r="U68" i="28"/>
  <c r="U108" i="13" s="1"/>
  <c r="L68" i="28"/>
  <c r="L108" i="13" s="1"/>
  <c r="E117" i="69"/>
  <c r="G117" i="69" s="1"/>
  <c r="J116" i="69" s="1"/>
  <c r="N70" i="28"/>
  <c r="N110" i="13" s="1"/>
  <c r="E140" i="69"/>
  <c r="G140" i="69" s="1"/>
  <c r="J139" i="69" s="1"/>
  <c r="F82" i="69"/>
  <c r="J81" i="69" s="1"/>
  <c r="P81" i="69" s="1"/>
  <c r="E108" i="69"/>
  <c r="G108" i="69" s="1"/>
  <c r="V70" i="28"/>
  <c r="V110" i="13" s="1"/>
  <c r="AH72" i="28"/>
  <c r="AH112" i="13" s="1"/>
  <c r="AC72" i="28"/>
  <c r="AC112" i="13" s="1"/>
  <c r="R72" i="28"/>
  <c r="R112" i="13" s="1"/>
  <c r="AB72" i="28"/>
  <c r="AB112" i="13" s="1"/>
  <c r="L72" i="28"/>
  <c r="L112" i="13" s="1"/>
  <c r="Y72" i="28"/>
  <c r="Y112" i="13" s="1"/>
  <c r="AI72" i="28"/>
  <c r="AI112" i="13" s="1"/>
  <c r="I68" i="28"/>
  <c r="I108" i="13" s="1"/>
  <c r="F54" i="69"/>
  <c r="J56" i="69" s="1"/>
  <c r="P67" i="69" s="1"/>
  <c r="F124" i="69"/>
  <c r="P72" i="28"/>
  <c r="P112" i="13" s="1"/>
  <c r="O72" i="28"/>
  <c r="O112" i="13" s="1"/>
  <c r="J72" i="28"/>
  <c r="J112" i="13" s="1"/>
  <c r="V72" i="28"/>
  <c r="V112" i="13" s="1"/>
  <c r="AH70" i="28"/>
  <c r="AH110" i="13" s="1"/>
  <c r="W68" i="28"/>
  <c r="W108" i="13" s="1"/>
  <c r="Q70" i="28"/>
  <c r="Q110" i="13" s="1"/>
  <c r="AA70" i="28"/>
  <c r="AA110" i="13" s="1"/>
  <c r="R70" i="28"/>
  <c r="R110" i="13" s="1"/>
  <c r="AG70" i="28"/>
  <c r="AG110" i="13" s="1"/>
  <c r="U70" i="28"/>
  <c r="U110" i="13" s="1"/>
  <c r="AI70" i="28"/>
  <c r="AI110" i="13" s="1"/>
  <c r="O68" i="28"/>
  <c r="O108" i="13" s="1"/>
  <c r="H67" i="28"/>
  <c r="H107" i="13" s="1"/>
  <c r="M67" i="28"/>
  <c r="M107" i="13" s="1"/>
  <c r="AE67" i="28"/>
  <c r="AE107" i="13" s="1"/>
  <c r="V67" i="28"/>
  <c r="V107" i="13" s="1"/>
  <c r="AC68" i="28"/>
  <c r="AC108" i="13" s="1"/>
  <c r="V68" i="28"/>
  <c r="V108" i="13" s="1"/>
  <c r="P68" i="28"/>
  <c r="P108" i="13" s="1"/>
  <c r="AB70" i="28"/>
  <c r="AB110" i="13" s="1"/>
  <c r="O70" i="28"/>
  <c r="O110" i="13" s="1"/>
  <c r="AD70" i="28"/>
  <c r="AD110" i="13" s="1"/>
  <c r="L70" i="28"/>
  <c r="L110" i="13" s="1"/>
  <c r="AD69" i="28"/>
  <c r="AD109" i="13" s="1"/>
  <c r="AG69" i="28"/>
  <c r="AG109" i="13" s="1"/>
  <c r="V69" i="28"/>
  <c r="V109" i="13" s="1"/>
  <c r="H70" i="28"/>
  <c r="H110" i="13" s="1"/>
  <c r="S70" i="28"/>
  <c r="S110" i="13" s="1"/>
  <c r="X70" i="28"/>
  <c r="X110" i="13" s="1"/>
  <c r="AC70" i="28"/>
  <c r="AC110" i="13" s="1"/>
  <c r="Q69" i="28"/>
  <c r="Q109" i="13" s="1"/>
  <c r="U69" i="28"/>
  <c r="U109" i="13" s="1"/>
  <c r="AA69" i="28"/>
  <c r="AA109" i="13" s="1"/>
  <c r="P69" i="28"/>
  <c r="P109" i="13" s="1"/>
  <c r="K70" i="28"/>
  <c r="K110" i="13" s="1"/>
  <c r="M70" i="28"/>
  <c r="M110" i="13" s="1"/>
  <c r="T70" i="28"/>
  <c r="T110" i="13" s="1"/>
  <c r="AF70" i="28"/>
  <c r="AF110" i="13" s="1"/>
  <c r="Z69" i="28"/>
  <c r="Z109" i="13" s="1"/>
  <c r="O69" i="28"/>
  <c r="O109" i="13" s="1"/>
  <c r="AC69" i="28"/>
  <c r="AC109" i="13" s="1"/>
  <c r="AB69" i="28"/>
  <c r="AB109" i="13" s="1"/>
  <c r="K69" i="28"/>
  <c r="K109" i="13" s="1"/>
  <c r="AF69" i="28"/>
  <c r="AF109" i="13" s="1"/>
  <c r="W69" i="28"/>
  <c r="W109" i="13" s="1"/>
  <c r="J69" i="28"/>
  <c r="J109" i="13" s="1"/>
  <c r="Y69" i="28"/>
  <c r="Y109" i="13" s="1"/>
  <c r="AI69" i="28"/>
  <c r="AI109" i="13" s="1"/>
  <c r="AE69" i="28"/>
  <c r="AE109" i="13" s="1"/>
  <c r="H69" i="28"/>
  <c r="H109" i="13" s="1"/>
  <c r="AH69" i="28"/>
  <c r="AH109" i="13" s="1"/>
  <c r="R69" i="28"/>
  <c r="R109" i="13" s="1"/>
  <c r="L69" i="28"/>
  <c r="L109" i="13" s="1"/>
  <c r="M69" i="28"/>
  <c r="M109" i="13" s="1"/>
  <c r="X69" i="28"/>
  <c r="X109" i="13" s="1"/>
  <c r="N69" i="28"/>
  <c r="N109" i="13" s="1"/>
  <c r="AD48" i="28"/>
  <c r="G209" i="6"/>
  <c r="G210" i="6"/>
  <c r="Q73" i="28"/>
  <c r="Q113" i="13" s="1"/>
  <c r="AH73" i="28"/>
  <c r="AH113" i="13" s="1"/>
  <c r="AF73" i="28"/>
  <c r="AF113" i="13" s="1"/>
  <c r="AB48" i="28"/>
  <c r="W48" i="28"/>
  <c r="AC48" i="28"/>
  <c r="J73" i="28"/>
  <c r="J113" i="13" s="1"/>
  <c r="O73" i="28"/>
  <c r="O113" i="13" s="1"/>
  <c r="AB73" i="28"/>
  <c r="AB113" i="13" s="1"/>
  <c r="R73" i="28"/>
  <c r="R113" i="13" s="1"/>
  <c r="I48" i="28"/>
  <c r="N48" i="28"/>
  <c r="AE48" i="28"/>
  <c r="AD68" i="28"/>
  <c r="AD108" i="13" s="1"/>
  <c r="K48" i="28"/>
  <c r="AE73" i="28"/>
  <c r="AE113" i="13" s="1"/>
  <c r="AI73" i="28"/>
  <c r="AI113" i="13" s="1"/>
  <c r="AA73" i="28"/>
  <c r="AA113" i="13" s="1"/>
  <c r="J48" i="28"/>
  <c r="Q48" i="28"/>
  <c r="P48" i="28"/>
  <c r="O48" i="28"/>
  <c r="F209" i="6"/>
  <c r="F210" i="6"/>
  <c r="M73" i="28"/>
  <c r="M113" i="13" s="1"/>
  <c r="N73" i="28"/>
  <c r="N113" i="13" s="1"/>
  <c r="W73" i="28"/>
  <c r="W113" i="13" s="1"/>
  <c r="AG48" i="28"/>
  <c r="S48" i="28"/>
  <c r="AH48" i="28"/>
  <c r="AF48" i="28"/>
  <c r="T68" i="28"/>
  <c r="T108" i="13" s="1"/>
  <c r="X48" i="28"/>
  <c r="Y73" i="28"/>
  <c r="Y113" i="13" s="1"/>
  <c r="P73" i="28"/>
  <c r="P113" i="13" s="1"/>
  <c r="V73" i="28"/>
  <c r="V113" i="13" s="1"/>
  <c r="X72" i="28"/>
  <c r="X112" i="13" s="1"/>
  <c r="M72" i="28"/>
  <c r="M112" i="13" s="1"/>
  <c r="N72" i="28"/>
  <c r="N112" i="13" s="1"/>
  <c r="R48" i="28"/>
  <c r="AA48" i="28"/>
  <c r="M48" i="28"/>
  <c r="P67" i="28"/>
  <c r="P107" i="13" s="1"/>
  <c r="AC67" i="28"/>
  <c r="AC107" i="13" s="1"/>
  <c r="AD67" i="28"/>
  <c r="AD107" i="13" s="1"/>
  <c r="AA68" i="28"/>
  <c r="AA108" i="13" s="1"/>
  <c r="K68" i="28"/>
  <c r="K108" i="13" s="1"/>
  <c r="L73" i="28"/>
  <c r="L113" i="13" s="1"/>
  <c r="X73" i="28"/>
  <c r="X113" i="13" s="1"/>
  <c r="U48" i="28"/>
  <c r="G214" i="6"/>
  <c r="W70" i="28"/>
  <c r="W110" i="13" s="1"/>
  <c r="AE70" i="28"/>
  <c r="AE110" i="13" s="1"/>
  <c r="Y70" i="28"/>
  <c r="Y110" i="13" s="1"/>
  <c r="K73" i="28"/>
  <c r="K113" i="13" s="1"/>
  <c r="Z73" i="28"/>
  <c r="Z113" i="13" s="1"/>
  <c r="U73" i="28"/>
  <c r="U113" i="13" s="1"/>
  <c r="AC73" i="28"/>
  <c r="AC113" i="13" s="1"/>
  <c r="Q72" i="28"/>
  <c r="Q112" i="13" s="1"/>
  <c r="AD72" i="28"/>
  <c r="AD112" i="13" s="1"/>
  <c r="AI48" i="28"/>
  <c r="V48" i="28"/>
  <c r="Y48" i="28"/>
  <c r="AG67" i="28"/>
  <c r="AG107" i="13" s="1"/>
  <c r="W67" i="28"/>
  <c r="W107" i="13" s="1"/>
  <c r="X67" i="28"/>
  <c r="X107" i="13" s="1"/>
  <c r="AG68" i="28"/>
  <c r="AG108" i="13" s="1"/>
  <c r="AF68" i="28"/>
  <c r="AF108" i="13" s="1"/>
  <c r="Y68" i="28"/>
  <c r="Y108" i="13" s="1"/>
  <c r="Z70" i="28"/>
  <c r="Z110" i="13" s="1"/>
  <c r="P70" i="28"/>
  <c r="P110" i="13" s="1"/>
  <c r="J70" i="28"/>
  <c r="J110" i="13" s="1"/>
  <c r="S73" i="28"/>
  <c r="S113" i="13" s="1"/>
  <c r="T73" i="28"/>
  <c r="T113" i="13" s="1"/>
  <c r="AG73" i="28"/>
  <c r="AG113" i="13" s="1"/>
  <c r="AD73" i="28"/>
  <c r="AD113" i="13" s="1"/>
  <c r="K72" i="28"/>
  <c r="K112" i="13" s="1"/>
  <c r="S72" i="28"/>
  <c r="S112" i="13" s="1"/>
  <c r="W72" i="28"/>
  <c r="W112" i="13" s="1"/>
  <c r="Z48" i="28"/>
  <c r="T48" i="28"/>
  <c r="L48" i="28"/>
  <c r="H51" i="28"/>
  <c r="I51" i="28" s="1"/>
  <c r="J51" i="28" s="1"/>
  <c r="K51" i="28" s="1"/>
  <c r="L51" i="28" s="1"/>
  <c r="M51" i="28" s="1"/>
  <c r="N51" i="28" s="1"/>
  <c r="O51" i="28" s="1"/>
  <c r="P51" i="28" s="1"/>
  <c r="Q51" i="28" s="1"/>
  <c r="R51" i="28" s="1"/>
  <c r="S51" i="28" s="1"/>
  <c r="T51" i="28" s="1"/>
  <c r="U51" i="28" s="1"/>
  <c r="V51" i="28" s="1"/>
  <c r="W51" i="28" s="1"/>
  <c r="X51" i="28" s="1"/>
  <c r="Y51" i="28" s="1"/>
  <c r="Z51" i="28" s="1"/>
  <c r="AA51" i="28" s="1"/>
  <c r="AB51" i="28" s="1"/>
  <c r="AC51" i="28" s="1"/>
  <c r="AD51" i="28" s="1"/>
  <c r="AE51" i="28" s="1"/>
  <c r="AF51" i="28" s="1"/>
  <c r="AG51" i="28" s="1"/>
  <c r="AH51" i="28" s="1"/>
  <c r="AI51" i="28" s="1"/>
  <c r="AI65" i="28" s="1"/>
  <c r="AI105" i="13" s="1"/>
  <c r="L87" i="28"/>
  <c r="J67" i="28"/>
  <c r="J107" i="13" s="1"/>
  <c r="AF67" i="28"/>
  <c r="AF107" i="13" s="1"/>
  <c r="S67" i="28"/>
  <c r="S107" i="13" s="1"/>
  <c r="AH68" i="28"/>
  <c r="AH108" i="13" s="1"/>
  <c r="AI68" i="28"/>
  <c r="AI108" i="13" s="1"/>
  <c r="N68" i="28"/>
  <c r="N108" i="13" s="1"/>
  <c r="H68" i="28"/>
  <c r="H108" i="13" s="1"/>
  <c r="F214" i="6"/>
  <c r="I404" i="17"/>
  <c r="I405" i="17" s="1"/>
  <c r="J248" i="17"/>
  <c r="J264" i="17"/>
  <c r="J265" i="17" s="1"/>
  <c r="K248" i="17"/>
  <c r="I265" i="17"/>
  <c r="L202" i="17"/>
  <c r="L203" i="17" s="1"/>
  <c r="M232" i="17"/>
  <c r="M233" i="17" s="1"/>
  <c r="K217" i="17"/>
  <c r="K218" i="17" s="1"/>
  <c r="J387" i="17"/>
  <c r="J388" i="17" s="1"/>
  <c r="M155" i="17"/>
  <c r="M154" i="17"/>
  <c r="M156" i="17"/>
  <c r="M147" i="17"/>
  <c r="L23" i="18" s="1"/>
  <c r="M150" i="17"/>
  <c r="M148" i="17"/>
  <c r="M152" i="17"/>
  <c r="M153" i="17"/>
  <c r="M146" i="17"/>
  <c r="M151" i="17"/>
  <c r="M149" i="17"/>
  <c r="J312" i="17"/>
  <c r="J313" i="17" s="1"/>
  <c r="L185" i="17"/>
  <c r="L186" i="17"/>
  <c r="L184" i="17"/>
  <c r="L176" i="17"/>
  <c r="L182" i="17"/>
  <c r="L181" i="17"/>
  <c r="L178" i="17"/>
  <c r="L177" i="17"/>
  <c r="K47" i="18" s="1"/>
  <c r="L180" i="17"/>
  <c r="L183" i="17"/>
  <c r="L179" i="17"/>
  <c r="L169" i="17"/>
  <c r="L170" i="17"/>
  <c r="L171" i="17"/>
  <c r="L161" i="17"/>
  <c r="L162" i="17"/>
  <c r="K35" i="18" s="1"/>
  <c r="L168" i="17"/>
  <c r="L164" i="17"/>
  <c r="L166" i="17"/>
  <c r="L163" i="17"/>
  <c r="L165" i="17"/>
  <c r="L167" i="17"/>
  <c r="L394" i="17"/>
  <c r="L397" i="17"/>
  <c r="L400" i="17"/>
  <c r="L395" i="17"/>
  <c r="L398" i="17"/>
  <c r="L401" i="17"/>
  <c r="L393" i="17"/>
  <c r="L396" i="17"/>
  <c r="L399" i="17"/>
  <c r="L391" i="17"/>
  <c r="L392" i="17"/>
  <c r="K310" i="17"/>
  <c r="K302" i="17"/>
  <c r="K305" i="17"/>
  <c r="K311" i="17"/>
  <c r="K303" i="17"/>
  <c r="K304" i="17"/>
  <c r="K307" i="17"/>
  <c r="K306" i="17"/>
  <c r="K309" i="17"/>
  <c r="K301" i="17"/>
  <c r="K308" i="17"/>
  <c r="K322" i="17"/>
  <c r="K323" i="17"/>
  <c r="K326" i="17"/>
  <c r="K318" i="17"/>
  <c r="K321" i="17"/>
  <c r="K324" i="17"/>
  <c r="K316" i="17"/>
  <c r="K320" i="17"/>
  <c r="K317" i="17"/>
  <c r="K325" i="17"/>
  <c r="K319" i="17"/>
  <c r="K402" i="17"/>
  <c r="K403" i="17" s="1"/>
  <c r="L216" i="17"/>
  <c r="L214" i="17"/>
  <c r="L215" i="17"/>
  <c r="L206" i="17"/>
  <c r="L209" i="17"/>
  <c r="L212" i="17"/>
  <c r="L211" i="17"/>
  <c r="L208" i="17"/>
  <c r="L210" i="17"/>
  <c r="L207" i="17"/>
  <c r="K71" i="18" s="1"/>
  <c r="L213" i="17"/>
  <c r="L337" i="17"/>
  <c r="L332" i="17"/>
  <c r="L341" i="17"/>
  <c r="L335" i="17"/>
  <c r="L338" i="17"/>
  <c r="L333" i="17"/>
  <c r="L336" i="17"/>
  <c r="L339" i="17"/>
  <c r="L331" i="17"/>
  <c r="L340" i="17"/>
  <c r="L334" i="17"/>
  <c r="M201" i="17"/>
  <c r="M199" i="17"/>
  <c r="M200" i="17"/>
  <c r="M191" i="17"/>
  <c r="M198" i="17"/>
  <c r="M195" i="17"/>
  <c r="M194" i="17"/>
  <c r="M193" i="17"/>
  <c r="M192" i="17"/>
  <c r="L59" i="18" s="1"/>
  <c r="M197" i="17"/>
  <c r="M196" i="17"/>
  <c r="L386" i="17"/>
  <c r="L379" i="17"/>
  <c r="L382" i="17"/>
  <c r="L385" i="17"/>
  <c r="L380" i="17"/>
  <c r="L384" i="17"/>
  <c r="L378" i="17"/>
  <c r="L381" i="17"/>
  <c r="L377" i="17"/>
  <c r="L383" i="17"/>
  <c r="L376" i="17"/>
  <c r="K387" i="17"/>
  <c r="K388" i="17" s="1"/>
  <c r="J327" i="17"/>
  <c r="J328" i="17" s="1"/>
  <c r="K342" i="17"/>
  <c r="K343" i="17" s="1"/>
  <c r="J283" i="17"/>
  <c r="M245" i="17"/>
  <c r="M246" i="17"/>
  <c r="M244" i="17"/>
  <c r="M236" i="17"/>
  <c r="M241" i="17"/>
  <c r="M243" i="17"/>
  <c r="M242" i="17"/>
  <c r="M239" i="17"/>
  <c r="M238" i="17"/>
  <c r="M237" i="17"/>
  <c r="L95" i="18" s="1"/>
  <c r="M240" i="17"/>
  <c r="M370" i="17"/>
  <c r="M371" i="17"/>
  <c r="M362" i="17"/>
  <c r="M365" i="17"/>
  <c r="M369" i="17"/>
  <c r="M367" i="17"/>
  <c r="M363" i="17"/>
  <c r="M366" i="17"/>
  <c r="M368" i="17"/>
  <c r="M361" i="17"/>
  <c r="M364" i="17"/>
  <c r="L296" i="17"/>
  <c r="L295" i="17"/>
  <c r="L294" i="17"/>
  <c r="L286" i="17"/>
  <c r="L287" i="17"/>
  <c r="L291" i="17"/>
  <c r="L292" i="17"/>
  <c r="L289" i="17"/>
  <c r="L293" i="17"/>
  <c r="L288" i="17"/>
  <c r="L290" i="17"/>
  <c r="K297" i="17"/>
  <c r="K298" i="17" s="1"/>
  <c r="L372" i="17"/>
  <c r="L373" i="17" s="1"/>
  <c r="J357" i="17"/>
  <c r="J358" i="17" s="1"/>
  <c r="L157" i="17"/>
  <c r="L158" i="17" s="1"/>
  <c r="K172" i="17"/>
  <c r="K173" i="17" s="1"/>
  <c r="L279" i="17"/>
  <c r="L280" i="17"/>
  <c r="L281" i="17"/>
  <c r="L271" i="17"/>
  <c r="L275" i="17"/>
  <c r="L274" i="17"/>
  <c r="L276" i="17"/>
  <c r="L272" i="17"/>
  <c r="L278" i="17"/>
  <c r="L273" i="17"/>
  <c r="L277" i="17"/>
  <c r="N230" i="17"/>
  <c r="N229" i="17"/>
  <c r="N231" i="17"/>
  <c r="N221" i="17"/>
  <c r="N228" i="17"/>
  <c r="N222" i="17"/>
  <c r="M83" i="18" s="1"/>
  <c r="N224" i="17"/>
  <c r="N225" i="17"/>
  <c r="N227" i="17"/>
  <c r="N226" i="17"/>
  <c r="N223" i="17"/>
  <c r="M259" i="17"/>
  <c r="M260" i="17"/>
  <c r="M261" i="17"/>
  <c r="M251" i="17"/>
  <c r="M252" i="17"/>
  <c r="L107" i="18" s="1"/>
  <c r="M258" i="17"/>
  <c r="M255" i="17"/>
  <c r="M254" i="17"/>
  <c r="M253" i="17"/>
  <c r="M256" i="17"/>
  <c r="M257" i="17"/>
  <c r="K352" i="17"/>
  <c r="K353" i="17"/>
  <c r="K356" i="17"/>
  <c r="K348" i="17"/>
  <c r="K354" i="17"/>
  <c r="K346" i="17"/>
  <c r="K349" i="17"/>
  <c r="K355" i="17"/>
  <c r="K351" i="17"/>
  <c r="K347" i="17"/>
  <c r="K350" i="17"/>
  <c r="K282" i="17"/>
  <c r="K187" i="17"/>
  <c r="K188" i="17" s="1"/>
  <c r="L247" i="17"/>
  <c r="J402" i="17"/>
  <c r="J403" i="17" s="1"/>
  <c r="M140" i="17"/>
  <c r="M141" i="17"/>
  <c r="M131" i="17"/>
  <c r="M137" i="17"/>
  <c r="M132" i="17"/>
  <c r="L11" i="18" s="1"/>
  <c r="M134" i="17"/>
  <c r="M133" i="17"/>
  <c r="M135" i="17"/>
  <c r="M139" i="17"/>
  <c r="M138" i="17"/>
  <c r="M136" i="17"/>
  <c r="L142" i="17"/>
  <c r="L143" i="17" s="1"/>
  <c r="D234" i="6"/>
  <c r="D241" i="6" s="1"/>
  <c r="K207" i="13"/>
  <c r="K167" i="13"/>
  <c r="K170" i="13"/>
  <c r="K172" i="13"/>
  <c r="K210" i="13"/>
  <c r="K212" i="13"/>
  <c r="K214" i="13"/>
  <c r="K174" i="13"/>
  <c r="K173" i="13"/>
  <c r="K213" i="13"/>
  <c r="K171" i="13"/>
  <c r="K208" i="13"/>
  <c r="K168" i="13"/>
  <c r="K209" i="13"/>
  <c r="K206" i="13"/>
  <c r="K169" i="13"/>
  <c r="K166" i="13"/>
  <c r="K211" i="13"/>
  <c r="K79" i="6"/>
  <c r="K107" i="6" s="1"/>
  <c r="J71" i="6"/>
  <c r="J99" i="6" s="1"/>
  <c r="J195" i="6" s="1"/>
  <c r="J74" i="6"/>
  <c r="J102" i="6" s="1"/>
  <c r="J198" i="6" s="1"/>
  <c r="L201" i="13"/>
  <c r="K77" i="6"/>
  <c r="K105" i="6" s="1"/>
  <c r="M203" i="13"/>
  <c r="M200" i="13"/>
  <c r="L199" i="13"/>
  <c r="K75" i="6"/>
  <c r="K103" i="6" s="1"/>
  <c r="N202" i="13"/>
  <c r="M204" i="13"/>
  <c r="M196" i="13"/>
  <c r="K72" i="6"/>
  <c r="K100" i="6" s="1"/>
  <c r="K78" i="6"/>
  <c r="K106" i="6" s="1"/>
  <c r="M197" i="13"/>
  <c r="J73" i="6"/>
  <c r="J101" i="6" s="1"/>
  <c r="J197" i="6" s="1"/>
  <c r="L198" i="13"/>
  <c r="G42" i="28"/>
  <c r="G40" i="28"/>
  <c r="K185" i="13"/>
  <c r="K175" i="13"/>
  <c r="K195" i="13"/>
  <c r="L179" i="13"/>
  <c r="L189" i="13"/>
  <c r="L188" i="13"/>
  <c r="L178" i="13"/>
  <c r="M183" i="13"/>
  <c r="M193" i="13"/>
  <c r="N192" i="13"/>
  <c r="N182" i="13"/>
  <c r="L181" i="13"/>
  <c r="L191" i="13"/>
  <c r="M190" i="13"/>
  <c r="M180" i="13"/>
  <c r="M194" i="13"/>
  <c r="M184" i="13"/>
  <c r="M186" i="13"/>
  <c r="M176" i="13"/>
  <c r="M177" i="13"/>
  <c r="M187" i="13"/>
  <c r="G46" i="28"/>
  <c r="G69" i="28" s="1"/>
  <c r="G109" i="13" s="1"/>
  <c r="F46" i="28"/>
  <c r="G45" i="28"/>
  <c r="F45" i="28"/>
  <c r="F43" i="28"/>
  <c r="G43" i="28"/>
  <c r="F47" i="28"/>
  <c r="G47" i="28"/>
  <c r="H87" i="28"/>
  <c r="G39" i="28"/>
  <c r="G44" i="28"/>
  <c r="L20" i="36"/>
  <c r="J54" i="34" s="1"/>
  <c r="M11" i="36"/>
  <c r="K125" i="18"/>
  <c r="N18" i="36"/>
  <c r="L132" i="18"/>
  <c r="M16" i="36"/>
  <c r="K130" i="18"/>
  <c r="N15" i="36"/>
  <c r="L129" i="18"/>
  <c r="M14" i="36"/>
  <c r="K128" i="18"/>
  <c r="N19" i="36"/>
  <c r="L133" i="18"/>
  <c r="N17" i="36"/>
  <c r="L131" i="18"/>
  <c r="M13" i="36"/>
  <c r="K127" i="18"/>
  <c r="N12" i="36"/>
  <c r="L126" i="18"/>
  <c r="J6" i="36"/>
  <c r="J8" i="36" s="1"/>
  <c r="H53" i="34" s="1"/>
  <c r="I25" i="36"/>
  <c r="I28" i="36" s="1"/>
  <c r="G64" i="34" s="1"/>
  <c r="I7" i="36"/>
  <c r="G52" i="34" s="1"/>
  <c r="K97" i="17"/>
  <c r="J7" i="18" s="1"/>
  <c r="G31" i="36"/>
  <c r="E65" i="34" s="1"/>
  <c r="J33" i="34"/>
  <c r="J32" i="34"/>
  <c r="J34" i="34"/>
  <c r="J25" i="34"/>
  <c r="J37" i="34"/>
  <c r="J24" i="34"/>
  <c r="J16" i="34"/>
  <c r="J18" i="34"/>
  <c r="M146" i="13"/>
  <c r="M156" i="13"/>
  <c r="L90" i="17"/>
  <c r="L148" i="13"/>
  <c r="L158" i="13"/>
  <c r="L91" i="17"/>
  <c r="L159" i="13"/>
  <c r="L149" i="13"/>
  <c r="M95" i="17"/>
  <c r="M163" i="13"/>
  <c r="M153" i="13"/>
  <c r="M92" i="17"/>
  <c r="M160" i="13"/>
  <c r="M150" i="13"/>
  <c r="L93" i="17"/>
  <c r="L161" i="13"/>
  <c r="L151" i="13"/>
  <c r="M96" i="17"/>
  <c r="M154" i="13"/>
  <c r="M164" i="13"/>
  <c r="N94" i="17"/>
  <c r="N152" i="13"/>
  <c r="N162" i="13"/>
  <c r="M89" i="17"/>
  <c r="M157" i="13"/>
  <c r="M147" i="13"/>
  <c r="L43" i="34"/>
  <c r="I50" i="34" s="1"/>
  <c r="O23" i="6"/>
  <c r="N33" i="6"/>
  <c r="N31" i="6"/>
  <c r="N29" i="6"/>
  <c r="N26" i="6"/>
  <c r="N30" i="6"/>
  <c r="N28" i="6"/>
  <c r="N25" i="6"/>
  <c r="N32" i="6"/>
  <c r="N27" i="6"/>
  <c r="I123" i="6"/>
  <c r="I186" i="6" s="1"/>
  <c r="H116" i="6"/>
  <c r="H179" i="6" s="1"/>
  <c r="I120" i="6"/>
  <c r="I183" i="6" s="1"/>
  <c r="I118" i="6"/>
  <c r="I181" i="6" s="1"/>
  <c r="I124" i="6"/>
  <c r="I187" i="6" s="1"/>
  <c r="I122" i="6"/>
  <c r="I185" i="6" s="1"/>
  <c r="I212" i="6" s="1"/>
  <c r="I117" i="6"/>
  <c r="I180" i="6" s="1"/>
  <c r="I119" i="6"/>
  <c r="I182" i="6" s="1"/>
  <c r="H121" i="6"/>
  <c r="H184" i="6" s="1"/>
  <c r="H213" i="6" s="1"/>
  <c r="K45" i="6"/>
  <c r="K152" i="6" s="1"/>
  <c r="K167" i="6" s="1"/>
  <c r="I6" i="18"/>
  <c r="L6" i="34"/>
  <c r="L8" i="34" s="1"/>
  <c r="L9" i="34" s="1"/>
  <c r="L17" i="34" s="1"/>
  <c r="K18" i="34"/>
  <c r="K16" i="34"/>
  <c r="K34" i="34"/>
  <c r="K24" i="34"/>
  <c r="K33" i="34"/>
  <c r="K32" i="34"/>
  <c r="K25" i="34"/>
  <c r="K37" i="34"/>
  <c r="J7" i="37"/>
  <c r="J6" i="37" s="1"/>
  <c r="H49" i="34"/>
  <c r="H31" i="36"/>
  <c r="F65" i="34" s="1"/>
  <c r="F64" i="34"/>
  <c r="J123" i="18"/>
  <c r="M7" i="34"/>
  <c r="K36" i="34"/>
  <c r="F52" i="34"/>
  <c r="K155" i="13"/>
  <c r="K145" i="13"/>
  <c r="L133" i="6"/>
  <c r="N63" i="17"/>
  <c r="L139" i="6"/>
  <c r="N69" i="17"/>
  <c r="K135" i="6"/>
  <c r="M65" i="17"/>
  <c r="K137" i="6"/>
  <c r="M67" i="17"/>
  <c r="L135" i="6"/>
  <c r="N65" i="17"/>
  <c r="M64" i="17"/>
  <c r="K44" i="6"/>
  <c r="K151" i="6" s="1"/>
  <c r="K166" i="6" s="1"/>
  <c r="K134" i="6"/>
  <c r="M88" i="17"/>
  <c r="L71" i="17"/>
  <c r="L165" i="13" s="1"/>
  <c r="L140" i="6"/>
  <c r="N70" i="17"/>
  <c r="L136" i="6"/>
  <c r="N66" i="17"/>
  <c r="L49" i="6"/>
  <c r="L156" i="6" s="1"/>
  <c r="L171" i="6" s="1"/>
  <c r="F126" i="6"/>
  <c r="J142" i="6"/>
  <c r="J143" i="6" s="1"/>
  <c r="G109" i="6"/>
  <c r="G110" i="6" s="1"/>
  <c r="I81" i="6"/>
  <c r="K42" i="6"/>
  <c r="K149" i="6" s="1"/>
  <c r="K164" i="6" s="1"/>
  <c r="K132" i="6"/>
  <c r="O68" i="17"/>
  <c r="L138" i="6"/>
  <c r="L48" i="6"/>
  <c r="L155" i="6" s="1"/>
  <c r="J52" i="6"/>
  <c r="J53" i="6" s="1"/>
  <c r="J76" i="6"/>
  <c r="J104" i="6" s="1"/>
  <c r="E132" i="69" s="1"/>
  <c r="G132" i="69" s="1"/>
  <c r="J131" i="69" s="1"/>
  <c r="P131" i="69" s="1"/>
  <c r="L50" i="6"/>
  <c r="L157" i="6" s="1"/>
  <c r="L172" i="6" s="1"/>
  <c r="L45" i="6"/>
  <c r="L152" i="6" s="1"/>
  <c r="L167" i="6" s="1"/>
  <c r="L43" i="6"/>
  <c r="L150" i="6" s="1"/>
  <c r="L165" i="6" s="1"/>
  <c r="K47" i="6"/>
  <c r="K154" i="6" s="1"/>
  <c r="K169" i="6" s="1"/>
  <c r="L46" i="6"/>
  <c r="L153" i="6" s="1"/>
  <c r="L168" i="6" s="1"/>
  <c r="K35" i="6"/>
  <c r="N62" i="17"/>
  <c r="K173" i="6" l="1"/>
  <c r="K174" i="6" s="1"/>
  <c r="S57" i="69"/>
  <c r="K158" i="6"/>
  <c r="K159" i="6" s="1"/>
  <c r="S69" i="69"/>
  <c r="K196" i="6"/>
  <c r="K201" i="6"/>
  <c r="F121" i="69"/>
  <c r="J124" i="69" s="1"/>
  <c r="F105" i="69"/>
  <c r="J107" i="69" s="1"/>
  <c r="K199" i="6"/>
  <c r="K203" i="6"/>
  <c r="F127" i="69"/>
  <c r="K202" i="6"/>
  <c r="F215" i="6"/>
  <c r="Z65" i="28"/>
  <c r="Z105" i="13" s="1"/>
  <c r="T65" i="28"/>
  <c r="T105" i="13" s="1"/>
  <c r="AA65" i="28"/>
  <c r="AA105" i="13" s="1"/>
  <c r="Q65" i="28"/>
  <c r="Q105" i="13" s="1"/>
  <c r="AB65" i="28"/>
  <c r="AB105" i="13" s="1"/>
  <c r="AH65" i="28"/>
  <c r="AH105" i="13" s="1"/>
  <c r="R65" i="28"/>
  <c r="R105" i="13" s="1"/>
  <c r="J65" i="28"/>
  <c r="J105" i="13" s="1"/>
  <c r="AE65" i="28"/>
  <c r="AE105" i="13" s="1"/>
  <c r="X65" i="28"/>
  <c r="X105" i="13" s="1"/>
  <c r="S65" i="28"/>
  <c r="S105" i="13" s="1"/>
  <c r="I211" i="6"/>
  <c r="Y65" i="28"/>
  <c r="Y105" i="13" s="1"/>
  <c r="U65" i="28"/>
  <c r="U105" i="13" s="1"/>
  <c r="H65" i="28"/>
  <c r="H105" i="13" s="1"/>
  <c r="O65" i="28"/>
  <c r="O105" i="13" s="1"/>
  <c r="N65" i="28"/>
  <c r="N105" i="13" s="1"/>
  <c r="AC65" i="28"/>
  <c r="AC105" i="13" s="1"/>
  <c r="AG65" i="28"/>
  <c r="AG105" i="13" s="1"/>
  <c r="H211" i="6"/>
  <c r="L65" i="28"/>
  <c r="L105" i="13" s="1"/>
  <c r="V65" i="28"/>
  <c r="V105" i="13" s="1"/>
  <c r="M65" i="28"/>
  <c r="M105" i="13" s="1"/>
  <c r="P65" i="28"/>
  <c r="P105" i="13" s="1"/>
  <c r="I65" i="28"/>
  <c r="I105" i="13" s="1"/>
  <c r="W65" i="28"/>
  <c r="W105" i="13" s="1"/>
  <c r="AF65" i="28"/>
  <c r="AF105" i="13" s="1"/>
  <c r="K65" i="28"/>
  <c r="K105" i="13" s="1"/>
  <c r="AD65" i="28"/>
  <c r="AD105" i="13" s="1"/>
  <c r="J404" i="17"/>
  <c r="J405" i="17" s="1"/>
  <c r="L248" i="17"/>
  <c r="K264" i="17"/>
  <c r="L342" i="17"/>
  <c r="L343" i="17" s="1"/>
  <c r="L217" i="17"/>
  <c r="L218" i="17" s="1"/>
  <c r="N245" i="17"/>
  <c r="N246" i="17"/>
  <c r="N244" i="17"/>
  <c r="N236" i="17"/>
  <c r="N242" i="17"/>
  <c r="N237" i="17"/>
  <c r="M95" i="18" s="1"/>
  <c r="N243" i="17"/>
  <c r="N240" i="17"/>
  <c r="N241" i="17"/>
  <c r="N239" i="17"/>
  <c r="N238" i="17"/>
  <c r="O230" i="17"/>
  <c r="O231" i="17"/>
  <c r="O229" i="17"/>
  <c r="O221" i="17"/>
  <c r="O222" i="17"/>
  <c r="N83" i="18" s="1"/>
  <c r="O224" i="17"/>
  <c r="O225" i="17"/>
  <c r="O228" i="17"/>
  <c r="O223" i="17"/>
  <c r="O227" i="17"/>
  <c r="O226" i="17"/>
  <c r="M170" i="17"/>
  <c r="M169" i="17"/>
  <c r="M171" i="17"/>
  <c r="M161" i="17"/>
  <c r="M165" i="17"/>
  <c r="M164" i="17"/>
  <c r="M162" i="17"/>
  <c r="L35" i="18" s="1"/>
  <c r="M168" i="17"/>
  <c r="M167" i="17"/>
  <c r="M163" i="17"/>
  <c r="M166" i="17"/>
  <c r="L282" i="17"/>
  <c r="M372" i="17"/>
  <c r="M373" i="17" s="1"/>
  <c r="N186" i="17"/>
  <c r="N184" i="17"/>
  <c r="N185" i="17"/>
  <c r="N176" i="17"/>
  <c r="N178" i="17"/>
  <c r="N180" i="17"/>
  <c r="N181" i="17"/>
  <c r="N177" i="17"/>
  <c r="M47" i="18" s="1"/>
  <c r="N182" i="17"/>
  <c r="N183" i="17"/>
  <c r="N179" i="17"/>
  <c r="N155" i="17"/>
  <c r="N156" i="17"/>
  <c r="N154" i="17"/>
  <c r="N153" i="17"/>
  <c r="N152" i="17"/>
  <c r="N148" i="17"/>
  <c r="N151" i="17"/>
  <c r="N147" i="17"/>
  <c r="M23" i="18" s="1"/>
  <c r="N149" i="17"/>
  <c r="N146" i="17"/>
  <c r="N150" i="17"/>
  <c r="M340" i="17"/>
  <c r="M332" i="17"/>
  <c r="M341" i="17"/>
  <c r="M335" i="17"/>
  <c r="M338" i="17"/>
  <c r="M333" i="17"/>
  <c r="M336" i="17"/>
  <c r="M339" i="17"/>
  <c r="M331" i="17"/>
  <c r="M334" i="17"/>
  <c r="M337" i="17"/>
  <c r="L387" i="17"/>
  <c r="L388" i="17" s="1"/>
  <c r="M157" i="17"/>
  <c r="M158" i="17" s="1"/>
  <c r="L325" i="17"/>
  <c r="L317" i="17"/>
  <c r="L326" i="17"/>
  <c r="L318" i="17"/>
  <c r="L321" i="17"/>
  <c r="L324" i="17"/>
  <c r="L316" i="17"/>
  <c r="L319" i="17"/>
  <c r="L322" i="17"/>
  <c r="L320" i="17"/>
  <c r="L323" i="17"/>
  <c r="N259" i="17"/>
  <c r="N260" i="17"/>
  <c r="N261" i="17"/>
  <c r="N251" i="17"/>
  <c r="N258" i="17"/>
  <c r="N255" i="17"/>
  <c r="N254" i="17"/>
  <c r="N252" i="17"/>
  <c r="M107" i="18" s="1"/>
  <c r="N256" i="17"/>
  <c r="N257" i="17"/>
  <c r="N253" i="17"/>
  <c r="L305" i="17"/>
  <c r="L308" i="17"/>
  <c r="L306" i="17"/>
  <c r="L311" i="17"/>
  <c r="L307" i="17"/>
  <c r="L303" i="17"/>
  <c r="L310" i="17"/>
  <c r="L309" i="17"/>
  <c r="L302" i="17"/>
  <c r="L301" i="17"/>
  <c r="L304" i="17"/>
  <c r="N232" i="17"/>
  <c r="N233" i="17" s="1"/>
  <c r="K327" i="17"/>
  <c r="K328" i="17" s="1"/>
  <c r="K312" i="17"/>
  <c r="K313" i="17" s="1"/>
  <c r="L172" i="17"/>
  <c r="L173" i="17" s="1"/>
  <c r="N201" i="17"/>
  <c r="N199" i="17"/>
  <c r="N200" i="17"/>
  <c r="N191" i="17"/>
  <c r="N195" i="17"/>
  <c r="N194" i="17"/>
  <c r="N198" i="17"/>
  <c r="N196" i="17"/>
  <c r="N193" i="17"/>
  <c r="N197" i="17"/>
  <c r="N192" i="17"/>
  <c r="M59" i="18" s="1"/>
  <c r="M214" i="17"/>
  <c r="M215" i="17"/>
  <c r="M216" i="17"/>
  <c r="M206" i="17"/>
  <c r="M208" i="17"/>
  <c r="M209" i="17"/>
  <c r="M212" i="17"/>
  <c r="M211" i="17"/>
  <c r="M207" i="17"/>
  <c r="L71" i="18" s="1"/>
  <c r="M213" i="17"/>
  <c r="M210" i="17"/>
  <c r="M397" i="17"/>
  <c r="M400" i="17"/>
  <c r="M395" i="17"/>
  <c r="M398" i="17"/>
  <c r="M401" i="17"/>
  <c r="M393" i="17"/>
  <c r="M396" i="17"/>
  <c r="M399" i="17"/>
  <c r="M394" i="17"/>
  <c r="M391" i="17"/>
  <c r="M392" i="17"/>
  <c r="K357" i="17"/>
  <c r="K358" i="17" s="1"/>
  <c r="M202" i="17"/>
  <c r="M203" i="17" s="1"/>
  <c r="M295" i="17"/>
  <c r="M294" i="17"/>
  <c r="M296" i="17"/>
  <c r="M286" i="17"/>
  <c r="M289" i="17"/>
  <c r="M287" i="17"/>
  <c r="M291" i="17"/>
  <c r="M288" i="17"/>
  <c r="M290" i="17"/>
  <c r="M293" i="17"/>
  <c r="M292" i="17"/>
  <c r="M382" i="17"/>
  <c r="M385" i="17"/>
  <c r="M377" i="17"/>
  <c r="M383" i="17"/>
  <c r="M384" i="17"/>
  <c r="M378" i="17"/>
  <c r="M381" i="17"/>
  <c r="M380" i="17"/>
  <c r="M376" i="17"/>
  <c r="M386" i="17"/>
  <c r="M379" i="17"/>
  <c r="M247" i="17"/>
  <c r="N368" i="17"/>
  <c r="N362" i="17"/>
  <c r="N365" i="17"/>
  <c r="N370" i="17"/>
  <c r="N369" i="17"/>
  <c r="N367" i="17"/>
  <c r="N363" i="17"/>
  <c r="N366" i="17"/>
  <c r="N361" i="17"/>
  <c r="N364" i="17"/>
  <c r="N371" i="17"/>
  <c r="M280" i="17"/>
  <c r="M281" i="17"/>
  <c r="M279" i="17"/>
  <c r="M271" i="17"/>
  <c r="M275" i="17"/>
  <c r="M274" i="17"/>
  <c r="M277" i="17"/>
  <c r="M276" i="17"/>
  <c r="M273" i="17"/>
  <c r="M272" i="17"/>
  <c r="M278" i="17"/>
  <c r="M185" i="17"/>
  <c r="M186" i="17"/>
  <c r="M184" i="17"/>
  <c r="M176" i="17"/>
  <c r="M178" i="17"/>
  <c r="M182" i="17"/>
  <c r="M180" i="17"/>
  <c r="M179" i="17"/>
  <c r="M183" i="17"/>
  <c r="M181" i="17"/>
  <c r="M177" i="17"/>
  <c r="L47" i="18" s="1"/>
  <c r="K283" i="17"/>
  <c r="L297" i="17"/>
  <c r="L298" i="17" s="1"/>
  <c r="L402" i="17"/>
  <c r="L403" i="17" s="1"/>
  <c r="L355" i="17"/>
  <c r="L356" i="17"/>
  <c r="L348" i="17"/>
  <c r="L351" i="17"/>
  <c r="L354" i="17"/>
  <c r="L349" i="17"/>
  <c r="L353" i="17"/>
  <c r="L352" i="17"/>
  <c r="L347" i="17"/>
  <c r="L350" i="17"/>
  <c r="L346" i="17"/>
  <c r="L187" i="17"/>
  <c r="L188" i="17" s="1"/>
  <c r="K262" i="17"/>
  <c r="K263" i="17" s="1"/>
  <c r="N135" i="17"/>
  <c r="N136" i="17"/>
  <c r="N137" i="17"/>
  <c r="N133" i="17"/>
  <c r="N141" i="17"/>
  <c r="N134" i="17"/>
  <c r="N138" i="17"/>
  <c r="N140" i="17"/>
  <c r="N139" i="17"/>
  <c r="N131" i="17"/>
  <c r="N132" i="17"/>
  <c r="M11" i="18" s="1"/>
  <c r="M142" i="17"/>
  <c r="M143" i="17" s="1"/>
  <c r="G72" i="28"/>
  <c r="G112" i="13" s="1"/>
  <c r="L174" i="13"/>
  <c r="L173" i="13"/>
  <c r="L170" i="13"/>
  <c r="L212" i="13"/>
  <c r="L213" i="13"/>
  <c r="L210" i="13"/>
  <c r="L172" i="13"/>
  <c r="L167" i="13"/>
  <c r="L207" i="13"/>
  <c r="L214" i="13"/>
  <c r="L166" i="13"/>
  <c r="L168" i="13"/>
  <c r="L209" i="13"/>
  <c r="L211" i="13"/>
  <c r="L208" i="13"/>
  <c r="L169" i="13"/>
  <c r="L171" i="13"/>
  <c r="L206" i="13"/>
  <c r="E58" i="28"/>
  <c r="F67" i="28"/>
  <c r="F107" i="13" s="1"/>
  <c r="G67" i="28"/>
  <c r="G107" i="13" s="1"/>
  <c r="M201" i="13"/>
  <c r="N196" i="13"/>
  <c r="K74" i="6"/>
  <c r="K102" i="6" s="1"/>
  <c r="N204" i="13"/>
  <c r="L75" i="6"/>
  <c r="L103" i="6" s="1"/>
  <c r="L199" i="6" s="1"/>
  <c r="K76" i="6"/>
  <c r="K104" i="6" s="1"/>
  <c r="M199" i="13"/>
  <c r="L77" i="6"/>
  <c r="L105" i="6" s="1"/>
  <c r="L201" i="6" s="1"/>
  <c r="K71" i="6"/>
  <c r="K99" i="6" s="1"/>
  <c r="L72" i="6"/>
  <c r="L100" i="6" s="1"/>
  <c r="L196" i="6" s="1"/>
  <c r="L78" i="6"/>
  <c r="L106" i="6" s="1"/>
  <c r="L202" i="6" s="1"/>
  <c r="K73" i="6"/>
  <c r="K101" i="6" s="1"/>
  <c r="N203" i="13"/>
  <c r="L74" i="6"/>
  <c r="L102" i="6" s="1"/>
  <c r="L198" i="6" s="1"/>
  <c r="O202" i="13"/>
  <c r="N200" i="13"/>
  <c r="M198" i="13"/>
  <c r="F72" i="28"/>
  <c r="F112" i="13" s="1"/>
  <c r="L79" i="6"/>
  <c r="L107" i="6" s="1"/>
  <c r="L203" i="6" s="1"/>
  <c r="N199" i="13"/>
  <c r="N197" i="13"/>
  <c r="H72" i="28"/>
  <c r="H112" i="13" s="1"/>
  <c r="I72" i="28"/>
  <c r="I112" i="13" s="1"/>
  <c r="E46" i="28"/>
  <c r="F69" i="28"/>
  <c r="F109" i="13" s="1"/>
  <c r="L175" i="13"/>
  <c r="L185" i="13"/>
  <c r="L195" i="13"/>
  <c r="N180" i="13"/>
  <c r="N190" i="13"/>
  <c r="N193" i="13"/>
  <c r="N183" i="13"/>
  <c r="M188" i="13"/>
  <c r="M178" i="13"/>
  <c r="N187" i="13"/>
  <c r="N177" i="13"/>
  <c r="N194" i="13"/>
  <c r="N184" i="13"/>
  <c r="O182" i="13"/>
  <c r="O192" i="13"/>
  <c r="N189" i="13"/>
  <c r="N179" i="13"/>
  <c r="N176" i="13"/>
  <c r="N186" i="13"/>
  <c r="M191" i="13"/>
  <c r="M181" i="13"/>
  <c r="M189" i="13"/>
  <c r="M179" i="13"/>
  <c r="G73" i="28"/>
  <c r="G113" i="13" s="1"/>
  <c r="H71" i="28"/>
  <c r="H111" i="13" s="1"/>
  <c r="G70" i="28"/>
  <c r="G110" i="13" s="1"/>
  <c r="I71" i="28"/>
  <c r="I111" i="13" s="1"/>
  <c r="G68" i="28"/>
  <c r="G108" i="13" s="1"/>
  <c r="G65" i="28"/>
  <c r="G105" i="13" s="1"/>
  <c r="F68" i="28"/>
  <c r="F108" i="13" s="1"/>
  <c r="G71" i="28"/>
  <c r="G111" i="13" s="1"/>
  <c r="F70" i="28"/>
  <c r="F110" i="13" s="1"/>
  <c r="E47" i="28"/>
  <c r="F71" i="28"/>
  <c r="F111" i="13" s="1"/>
  <c r="E45" i="28"/>
  <c r="F73" i="28"/>
  <c r="F113" i="13" s="1"/>
  <c r="I73" i="28"/>
  <c r="I113" i="13" s="1"/>
  <c r="F60" i="28"/>
  <c r="H73" i="28"/>
  <c r="H113" i="13" s="1"/>
  <c r="E59" i="28"/>
  <c r="E57" i="28"/>
  <c r="J200" i="6"/>
  <c r="M20" i="36"/>
  <c r="K54" i="34" s="1"/>
  <c r="O18" i="36"/>
  <c r="M132" i="18"/>
  <c r="O14" i="36"/>
  <c r="M128" i="18"/>
  <c r="O12" i="36"/>
  <c r="M126" i="18"/>
  <c r="O19" i="36"/>
  <c r="M133" i="18"/>
  <c r="O17" i="36"/>
  <c r="M131" i="18"/>
  <c r="N16" i="36"/>
  <c r="L130" i="18"/>
  <c r="N11" i="36"/>
  <c r="L125" i="18"/>
  <c r="N13" i="36"/>
  <c r="L127" i="18"/>
  <c r="O15" i="36"/>
  <c r="M129" i="18"/>
  <c r="N14" i="36"/>
  <c r="L128" i="18"/>
  <c r="I31" i="36"/>
  <c r="G65" i="34" s="1"/>
  <c r="J7" i="36"/>
  <c r="H52" i="34" s="1"/>
  <c r="J25" i="36"/>
  <c r="J28" i="36" s="1"/>
  <c r="J14" i="34"/>
  <c r="G36" i="36"/>
  <c r="G12" i="37" s="1"/>
  <c r="K6" i="36"/>
  <c r="K25" i="36" s="1"/>
  <c r="K28" i="36" s="1"/>
  <c r="N89" i="17"/>
  <c r="N157" i="13"/>
  <c r="N147" i="13"/>
  <c r="M93" i="17"/>
  <c r="M151" i="13"/>
  <c r="M161" i="13"/>
  <c r="N156" i="13"/>
  <c r="N146" i="13"/>
  <c r="N92" i="17"/>
  <c r="N160" i="13"/>
  <c r="N150" i="13"/>
  <c r="M91" i="17"/>
  <c r="M149" i="13"/>
  <c r="M159" i="13"/>
  <c r="L97" i="17"/>
  <c r="K7" i="18" s="1"/>
  <c r="N96" i="17"/>
  <c r="N164" i="13"/>
  <c r="N154" i="13"/>
  <c r="O94" i="17"/>
  <c r="O162" i="13"/>
  <c r="O152" i="13"/>
  <c r="M90" i="17"/>
  <c r="M158" i="13"/>
  <c r="M148" i="13"/>
  <c r="N95" i="17"/>
  <c r="N163" i="13"/>
  <c r="N153" i="13"/>
  <c r="N91" i="17"/>
  <c r="N159" i="13"/>
  <c r="N149" i="13"/>
  <c r="M43" i="34"/>
  <c r="L6" i="36" s="1"/>
  <c r="L37" i="34"/>
  <c r="P23" i="6"/>
  <c r="O33" i="6"/>
  <c r="O31" i="6"/>
  <c r="O29" i="6"/>
  <c r="O26" i="6"/>
  <c r="O30" i="6"/>
  <c r="O28" i="6"/>
  <c r="O25" i="6"/>
  <c r="O32" i="6"/>
  <c r="O27" i="6"/>
  <c r="G126" i="6"/>
  <c r="J123" i="6"/>
  <c r="J186" i="6" s="1"/>
  <c r="I116" i="6"/>
  <c r="I179" i="6" s="1"/>
  <c r="G215" i="6"/>
  <c r="J124" i="6"/>
  <c r="J187" i="6" s="1"/>
  <c r="J117" i="6"/>
  <c r="J180" i="6" s="1"/>
  <c r="J119" i="6"/>
  <c r="J182" i="6" s="1"/>
  <c r="I121" i="6"/>
  <c r="I184" i="6" s="1"/>
  <c r="I213" i="6" s="1"/>
  <c r="J118" i="6"/>
  <c r="J181" i="6" s="1"/>
  <c r="J120" i="6"/>
  <c r="K123" i="6"/>
  <c r="K186" i="6" s="1"/>
  <c r="J122" i="6"/>
  <c r="L36" i="34"/>
  <c r="H36" i="36"/>
  <c r="H12" i="37" s="1"/>
  <c r="M6" i="34"/>
  <c r="M8" i="34" s="1"/>
  <c r="J6" i="18"/>
  <c r="N7" i="34"/>
  <c r="K123" i="18"/>
  <c r="K14" i="34"/>
  <c r="K7" i="37"/>
  <c r="K6" i="37" s="1"/>
  <c r="I49" i="34"/>
  <c r="L34" i="34"/>
  <c r="L16" i="34"/>
  <c r="L18" i="34"/>
  <c r="L24" i="34"/>
  <c r="L25" i="34"/>
  <c r="L32" i="34"/>
  <c r="L33" i="34"/>
  <c r="L155" i="13"/>
  <c r="L145" i="13"/>
  <c r="M49" i="6"/>
  <c r="M156" i="6" s="1"/>
  <c r="M171" i="6" s="1"/>
  <c r="M136" i="6"/>
  <c r="O66" i="17"/>
  <c r="M71" i="17"/>
  <c r="M165" i="13" s="1"/>
  <c r="E189" i="6"/>
  <c r="E190" i="6" s="1"/>
  <c r="N139" i="6"/>
  <c r="P69" i="17"/>
  <c r="L137" i="6"/>
  <c r="N67" i="17"/>
  <c r="M133" i="6"/>
  <c r="O63" i="17"/>
  <c r="M140" i="6"/>
  <c r="O70" i="17"/>
  <c r="N88" i="17"/>
  <c r="N64" i="17"/>
  <c r="L44" i="6"/>
  <c r="L151" i="6" s="1"/>
  <c r="L166" i="6" s="1"/>
  <c r="L134" i="6"/>
  <c r="M139" i="6"/>
  <c r="O69" i="17"/>
  <c r="M135" i="6"/>
  <c r="O65" i="17"/>
  <c r="K142" i="6"/>
  <c r="K143" i="6" s="1"/>
  <c r="H109" i="6"/>
  <c r="H110" i="6" s="1"/>
  <c r="P68" i="17"/>
  <c r="M138" i="6"/>
  <c r="M48" i="6"/>
  <c r="M155" i="6" s="1"/>
  <c r="L42" i="6"/>
  <c r="L149" i="6" s="1"/>
  <c r="L164" i="6" s="1"/>
  <c r="L173" i="6" s="1"/>
  <c r="L174" i="6" s="1"/>
  <c r="L132" i="6"/>
  <c r="J81" i="6"/>
  <c r="K52" i="6"/>
  <c r="K53" i="6" s="1"/>
  <c r="M50" i="6"/>
  <c r="M157" i="6" s="1"/>
  <c r="M172" i="6" s="1"/>
  <c r="N49" i="6"/>
  <c r="N156" i="6" s="1"/>
  <c r="N171" i="6" s="1"/>
  <c r="L47" i="6"/>
  <c r="L154" i="6" s="1"/>
  <c r="L169" i="6" s="1"/>
  <c r="M43" i="6"/>
  <c r="M150" i="6" s="1"/>
  <c r="M165" i="6" s="1"/>
  <c r="M46" i="6"/>
  <c r="M153" i="6" s="1"/>
  <c r="M168" i="6" s="1"/>
  <c r="M45" i="6"/>
  <c r="M152" i="6" s="1"/>
  <c r="M167" i="6" s="1"/>
  <c r="L35" i="6"/>
  <c r="O62" i="17"/>
  <c r="P119" i="69" l="1"/>
  <c r="S108" i="69" s="1"/>
  <c r="F135" i="69"/>
  <c r="J134" i="69" s="1"/>
  <c r="P134" i="69" s="1"/>
  <c r="J183" i="6"/>
  <c r="F139" i="69"/>
  <c r="J138" i="69" s="1"/>
  <c r="J185" i="6"/>
  <c r="J212" i="6" s="1"/>
  <c r="L158" i="6"/>
  <c r="L159" i="6" s="1"/>
  <c r="S66" i="69"/>
  <c r="S63" i="69"/>
  <c r="F107" i="69"/>
  <c r="K198" i="6"/>
  <c r="K195" i="6"/>
  <c r="F120" i="69"/>
  <c r="F123" i="69"/>
  <c r="K197" i="6"/>
  <c r="F126" i="69"/>
  <c r="K200" i="6"/>
  <c r="F116" i="69"/>
  <c r="J115" i="69" s="1"/>
  <c r="R76" i="69"/>
  <c r="T76" i="69"/>
  <c r="J211" i="6"/>
  <c r="I210" i="6"/>
  <c r="I209" i="6"/>
  <c r="H210" i="6"/>
  <c r="H209" i="6"/>
  <c r="H214" i="6"/>
  <c r="I214" i="6"/>
  <c r="K404" i="17"/>
  <c r="K405" i="17" s="1"/>
  <c r="L264" i="17"/>
  <c r="M248" i="17"/>
  <c r="K265" i="17"/>
  <c r="N400" i="17"/>
  <c r="N395" i="17"/>
  <c r="N398" i="17"/>
  <c r="N401" i="17"/>
  <c r="N393" i="17"/>
  <c r="N396" i="17"/>
  <c r="N399" i="17"/>
  <c r="N394" i="17"/>
  <c r="N391" i="17"/>
  <c r="N397" i="17"/>
  <c r="N392" i="17"/>
  <c r="L357" i="17"/>
  <c r="L358" i="17" s="1"/>
  <c r="M282" i="17"/>
  <c r="M217" i="17"/>
  <c r="M218" i="17" s="1"/>
  <c r="M342" i="17"/>
  <c r="M343" i="17" s="1"/>
  <c r="O186" i="17"/>
  <c r="O184" i="17"/>
  <c r="O185" i="17"/>
  <c r="O176" i="17"/>
  <c r="O181" i="17"/>
  <c r="O180" i="17"/>
  <c r="O182" i="17"/>
  <c r="O178" i="17"/>
  <c r="O179" i="17"/>
  <c r="O183" i="17"/>
  <c r="O177" i="17"/>
  <c r="N47" i="18" s="1"/>
  <c r="N214" i="17"/>
  <c r="N215" i="17"/>
  <c r="N216" i="17"/>
  <c r="N206" i="17"/>
  <c r="N209" i="17"/>
  <c r="N212" i="17"/>
  <c r="N211" i="17"/>
  <c r="N208" i="17"/>
  <c r="N210" i="17"/>
  <c r="N207" i="17"/>
  <c r="M71" i="18" s="1"/>
  <c r="N213" i="17"/>
  <c r="O199" i="17"/>
  <c r="O200" i="17"/>
  <c r="O201" i="17"/>
  <c r="O191" i="17"/>
  <c r="O196" i="17"/>
  <c r="O195" i="17"/>
  <c r="O193" i="17"/>
  <c r="O194" i="17"/>
  <c r="O198" i="17"/>
  <c r="O192" i="17"/>
  <c r="N59" i="18" s="1"/>
  <c r="O197" i="17"/>
  <c r="M308" i="17"/>
  <c r="M311" i="17"/>
  <c r="M303" i="17"/>
  <c r="M309" i="17"/>
  <c r="M301" i="17"/>
  <c r="M307" i="17"/>
  <c r="M310" i="17"/>
  <c r="M306" i="17"/>
  <c r="M302" i="17"/>
  <c r="M305" i="17"/>
  <c r="M304" i="17"/>
  <c r="N341" i="17"/>
  <c r="N335" i="17"/>
  <c r="N338" i="17"/>
  <c r="N333" i="17"/>
  <c r="N336" i="17"/>
  <c r="N339" i="17"/>
  <c r="N331" i="17"/>
  <c r="N334" i="17"/>
  <c r="N340" i="17"/>
  <c r="N337" i="17"/>
  <c r="N332" i="17"/>
  <c r="M356" i="17"/>
  <c r="M351" i="17"/>
  <c r="M354" i="17"/>
  <c r="M346" i="17"/>
  <c r="M352" i="17"/>
  <c r="M355" i="17"/>
  <c r="M348" i="17"/>
  <c r="M347" i="17"/>
  <c r="M350" i="17"/>
  <c r="M353" i="17"/>
  <c r="M349" i="17"/>
  <c r="L312" i="17"/>
  <c r="L313" i="17" s="1"/>
  <c r="L327" i="17"/>
  <c r="L328" i="17" s="1"/>
  <c r="L283" i="17"/>
  <c r="P231" i="17"/>
  <c r="P230" i="17"/>
  <c r="P229" i="17"/>
  <c r="P221" i="17"/>
  <c r="P228" i="17"/>
  <c r="P222" i="17"/>
  <c r="O83" i="18" s="1"/>
  <c r="P224" i="17"/>
  <c r="P225" i="17"/>
  <c r="P226" i="17"/>
  <c r="P223" i="17"/>
  <c r="P227" i="17"/>
  <c r="O155" i="17"/>
  <c r="O156" i="17"/>
  <c r="O154" i="17"/>
  <c r="O147" i="17"/>
  <c r="N23" i="18" s="1"/>
  <c r="O146" i="17"/>
  <c r="O149" i="17"/>
  <c r="O150" i="17"/>
  <c r="O153" i="17"/>
  <c r="O151" i="17"/>
  <c r="O152" i="17"/>
  <c r="O148" i="17"/>
  <c r="N170" i="17"/>
  <c r="N171" i="17"/>
  <c r="N169" i="17"/>
  <c r="N161" i="17"/>
  <c r="N164" i="17"/>
  <c r="N165" i="17"/>
  <c r="N162" i="17"/>
  <c r="M35" i="18" s="1"/>
  <c r="N168" i="17"/>
  <c r="N163" i="17"/>
  <c r="N166" i="17"/>
  <c r="N167" i="17"/>
  <c r="M387" i="17"/>
  <c r="M388" i="17" s="1"/>
  <c r="M297" i="17"/>
  <c r="M298" i="17" s="1"/>
  <c r="N157" i="17"/>
  <c r="N158" i="17" s="1"/>
  <c r="N247" i="17"/>
  <c r="M320" i="17"/>
  <c r="M321" i="17"/>
  <c r="M324" i="17"/>
  <c r="M316" i="17"/>
  <c r="M319" i="17"/>
  <c r="M322" i="17"/>
  <c r="M325" i="17"/>
  <c r="M318" i="17"/>
  <c r="M326" i="17"/>
  <c r="M323" i="17"/>
  <c r="M317" i="17"/>
  <c r="O245" i="17"/>
  <c r="O244" i="17"/>
  <c r="O246" i="17"/>
  <c r="O236" i="17"/>
  <c r="O237" i="17"/>
  <c r="N95" i="18" s="1"/>
  <c r="O243" i="17"/>
  <c r="O241" i="17"/>
  <c r="O240" i="17"/>
  <c r="O242" i="17"/>
  <c r="O239" i="17"/>
  <c r="O238" i="17"/>
  <c r="P246" i="17"/>
  <c r="P244" i="17"/>
  <c r="P245" i="17"/>
  <c r="P236" i="17"/>
  <c r="P237" i="17"/>
  <c r="O95" i="18" s="1"/>
  <c r="P242" i="17"/>
  <c r="P241" i="17"/>
  <c r="P238" i="17"/>
  <c r="P239" i="17"/>
  <c r="P243" i="17"/>
  <c r="P240" i="17"/>
  <c r="N323" i="17"/>
  <c r="N324" i="17"/>
  <c r="N316" i="17"/>
  <c r="N319" i="17"/>
  <c r="N322" i="17"/>
  <c r="N325" i="17"/>
  <c r="N317" i="17"/>
  <c r="N321" i="17"/>
  <c r="N318" i="17"/>
  <c r="N326" i="17"/>
  <c r="N320" i="17"/>
  <c r="M187" i="17"/>
  <c r="M188" i="17" s="1"/>
  <c r="M402" i="17"/>
  <c r="M403" i="17" s="1"/>
  <c r="M172" i="17"/>
  <c r="M173" i="17" s="1"/>
  <c r="N384" i="17"/>
  <c r="N385" i="17"/>
  <c r="N377" i="17"/>
  <c r="N380" i="17"/>
  <c r="N386" i="17"/>
  <c r="N378" i="17"/>
  <c r="N382" i="17"/>
  <c r="N381" i="17"/>
  <c r="N376" i="17"/>
  <c r="N383" i="17"/>
  <c r="N379" i="17"/>
  <c r="N295" i="17"/>
  <c r="N296" i="17"/>
  <c r="N294" i="17"/>
  <c r="N286" i="17"/>
  <c r="N287" i="17"/>
  <c r="N292" i="17"/>
  <c r="N291" i="17"/>
  <c r="N293" i="17"/>
  <c r="N289" i="17"/>
  <c r="N290" i="17"/>
  <c r="N288" i="17"/>
  <c r="N202" i="17"/>
  <c r="N203" i="17" s="1"/>
  <c r="N280" i="17"/>
  <c r="N281" i="17"/>
  <c r="N279" i="17"/>
  <c r="N271" i="17"/>
  <c r="N274" i="17"/>
  <c r="N276" i="17"/>
  <c r="N275" i="17"/>
  <c r="N278" i="17"/>
  <c r="N277" i="17"/>
  <c r="N272" i="17"/>
  <c r="N273" i="17"/>
  <c r="O368" i="17"/>
  <c r="O371" i="17"/>
  <c r="O369" i="17"/>
  <c r="O365" i="17"/>
  <c r="O370" i="17"/>
  <c r="O367" i="17"/>
  <c r="O363" i="17"/>
  <c r="O366" i="17"/>
  <c r="O361" i="17"/>
  <c r="O364" i="17"/>
  <c r="O362" i="17"/>
  <c r="O260" i="17"/>
  <c r="O261" i="17"/>
  <c r="O259" i="17"/>
  <c r="O251" i="17"/>
  <c r="O255" i="17"/>
  <c r="O258" i="17"/>
  <c r="O254" i="17"/>
  <c r="O253" i="17"/>
  <c r="O252" i="17"/>
  <c r="N107" i="18" s="1"/>
  <c r="O256" i="17"/>
  <c r="O257" i="17"/>
  <c r="N372" i="17"/>
  <c r="N373" i="17" s="1"/>
  <c r="N187" i="17"/>
  <c r="N188" i="17" s="1"/>
  <c r="O232" i="17"/>
  <c r="O233" i="17" s="1"/>
  <c r="L262" i="17"/>
  <c r="N142" i="17"/>
  <c r="N143" i="17" s="1"/>
  <c r="O138" i="17"/>
  <c r="O141" i="17"/>
  <c r="O139" i="17"/>
  <c r="O137" i="17"/>
  <c r="O134" i="17"/>
  <c r="O133" i="17"/>
  <c r="O135" i="17"/>
  <c r="O140" i="17"/>
  <c r="O131" i="17"/>
  <c r="O136" i="17"/>
  <c r="O132" i="17"/>
  <c r="N11" i="18" s="1"/>
  <c r="M211" i="13"/>
  <c r="E205" i="6"/>
  <c r="M206" i="13"/>
  <c r="M166" i="13"/>
  <c r="M170" i="13"/>
  <c r="M213" i="13"/>
  <c r="M210" i="13"/>
  <c r="M173" i="13"/>
  <c r="M212" i="13"/>
  <c r="M167" i="13"/>
  <c r="M172" i="13"/>
  <c r="M207" i="13"/>
  <c r="M174" i="13"/>
  <c r="M214" i="13"/>
  <c r="M168" i="13"/>
  <c r="M171" i="13"/>
  <c r="M208" i="13"/>
  <c r="M209" i="13"/>
  <c r="M169" i="13"/>
  <c r="K81" i="6"/>
  <c r="L6" i="18" s="1"/>
  <c r="O203" i="13"/>
  <c r="P203" i="13"/>
  <c r="M78" i="6"/>
  <c r="M106" i="6" s="1"/>
  <c r="M202" i="6" s="1"/>
  <c r="N78" i="6"/>
  <c r="N106" i="6" s="1"/>
  <c r="N202" i="6" s="1"/>
  <c r="P202" i="13"/>
  <c r="O204" i="13"/>
  <c r="M79" i="6"/>
  <c r="M107" i="6" s="1"/>
  <c r="M203" i="6" s="1"/>
  <c r="O197" i="13"/>
  <c r="L71" i="6"/>
  <c r="L99" i="6" s="1"/>
  <c r="L195" i="6" s="1"/>
  <c r="M77" i="6"/>
  <c r="M105" i="6" s="1"/>
  <c r="M201" i="6" s="1"/>
  <c r="O196" i="13"/>
  <c r="M74" i="6"/>
  <c r="M102" i="6" s="1"/>
  <c r="M198" i="6" s="1"/>
  <c r="L73" i="6"/>
  <c r="L101" i="6" s="1"/>
  <c r="L197" i="6" s="1"/>
  <c r="M75" i="6"/>
  <c r="M103" i="6" s="1"/>
  <c r="O199" i="13"/>
  <c r="N198" i="13"/>
  <c r="N201" i="13"/>
  <c r="O200" i="13"/>
  <c r="L76" i="6"/>
  <c r="L104" i="6" s="1"/>
  <c r="L200" i="6" s="1"/>
  <c r="M72" i="6"/>
  <c r="M100" i="6" s="1"/>
  <c r="M196" i="6" s="1"/>
  <c r="E69" i="28"/>
  <c r="M175" i="13"/>
  <c r="M185" i="13"/>
  <c r="M195" i="13"/>
  <c r="O189" i="13"/>
  <c r="O179" i="13"/>
  <c r="O190" i="13"/>
  <c r="O180" i="13"/>
  <c r="P182" i="13"/>
  <c r="P192" i="13"/>
  <c r="N188" i="13"/>
  <c r="N178" i="13"/>
  <c r="P193" i="13"/>
  <c r="P183" i="13"/>
  <c r="O177" i="13"/>
  <c r="O187" i="13"/>
  <c r="N191" i="13"/>
  <c r="N181" i="13"/>
  <c r="O193" i="13"/>
  <c r="O183" i="13"/>
  <c r="O176" i="13"/>
  <c r="O186" i="13"/>
  <c r="O194" i="13"/>
  <c r="O184" i="13"/>
  <c r="E70" i="28"/>
  <c r="E66" i="28"/>
  <c r="N20" i="36"/>
  <c r="L54" i="34" s="1"/>
  <c r="I36" i="36"/>
  <c r="I12" i="37" s="1"/>
  <c r="J31" i="36"/>
  <c r="H65" i="34" s="1"/>
  <c r="Q18" i="36"/>
  <c r="O132" i="18"/>
  <c r="P19" i="36"/>
  <c r="N133" i="18"/>
  <c r="P12" i="36"/>
  <c r="N126" i="18"/>
  <c r="O13" i="36"/>
  <c r="M127" i="18"/>
  <c r="P15" i="36"/>
  <c r="N129" i="18"/>
  <c r="P18" i="36"/>
  <c r="N132" i="18"/>
  <c r="O11" i="36"/>
  <c r="M125" i="18"/>
  <c r="P14" i="36"/>
  <c r="N128" i="18"/>
  <c r="P17" i="36"/>
  <c r="N131" i="18"/>
  <c r="O16" i="36"/>
  <c r="M130" i="18"/>
  <c r="K8" i="36"/>
  <c r="I53" i="34" s="1"/>
  <c r="K7" i="36"/>
  <c r="I52" i="34" s="1"/>
  <c r="J50" i="34"/>
  <c r="L7" i="37" s="1"/>
  <c r="L6" i="37" s="1"/>
  <c r="M97" i="17"/>
  <c r="L7" i="18" s="1"/>
  <c r="O92" i="17"/>
  <c r="O160" i="13"/>
  <c r="O150" i="13"/>
  <c r="O95" i="17"/>
  <c r="O163" i="13"/>
  <c r="O153" i="13"/>
  <c r="O156" i="13"/>
  <c r="O146" i="13"/>
  <c r="N93" i="17"/>
  <c r="N161" i="13"/>
  <c r="N151" i="13"/>
  <c r="O89" i="17"/>
  <c r="O157" i="13"/>
  <c r="O147" i="13"/>
  <c r="P94" i="17"/>
  <c r="P162" i="13"/>
  <c r="P152" i="13"/>
  <c r="P95" i="17"/>
  <c r="P163" i="13"/>
  <c r="P153" i="13"/>
  <c r="O91" i="17"/>
  <c r="O159" i="13"/>
  <c r="O149" i="13"/>
  <c r="N90" i="17"/>
  <c r="N148" i="13"/>
  <c r="N158" i="13"/>
  <c r="O96" i="17"/>
  <c r="O164" i="13"/>
  <c r="O154" i="13"/>
  <c r="N43" i="34"/>
  <c r="K50" i="34" s="1"/>
  <c r="M9" i="34"/>
  <c r="Z80" i="23"/>
  <c r="P80" i="23"/>
  <c r="E234" i="6"/>
  <c r="Q23" i="6"/>
  <c r="P30" i="6"/>
  <c r="P28" i="6"/>
  <c r="P25" i="6"/>
  <c r="P32" i="6"/>
  <c r="P27" i="6"/>
  <c r="P33" i="6"/>
  <c r="P31" i="6"/>
  <c r="P29" i="6"/>
  <c r="P26" i="6"/>
  <c r="J116" i="6"/>
  <c r="J179" i="6" s="1"/>
  <c r="K124" i="6"/>
  <c r="K187" i="6" s="1"/>
  <c r="K119" i="6"/>
  <c r="K182" i="6" s="1"/>
  <c r="K122" i="6"/>
  <c r="K185" i="6" s="1"/>
  <c r="K212" i="6" s="1"/>
  <c r="L123" i="6"/>
  <c r="L186" i="6" s="1"/>
  <c r="K120" i="6"/>
  <c r="K183" i="6" s="1"/>
  <c r="K117" i="6"/>
  <c r="K180" i="6" s="1"/>
  <c r="K118" i="6"/>
  <c r="K181" i="6" s="1"/>
  <c r="N6" i="34"/>
  <c r="N8" i="34" s="1"/>
  <c r="K6" i="18"/>
  <c r="L7" i="36"/>
  <c r="L8" i="36"/>
  <c r="J53" i="34" s="1"/>
  <c r="L25" i="36"/>
  <c r="L28" i="36" s="1"/>
  <c r="H64" i="34"/>
  <c r="I64" i="34"/>
  <c r="K31" i="36"/>
  <c r="I65" i="34" s="1"/>
  <c r="O7" i="34"/>
  <c r="L123" i="18"/>
  <c r="L14" i="34"/>
  <c r="M155" i="13"/>
  <c r="M145" i="13"/>
  <c r="M137" i="6"/>
  <c r="O67" i="17"/>
  <c r="O139" i="6"/>
  <c r="Q69" i="17"/>
  <c r="G189" i="6"/>
  <c r="G190" i="6" s="1"/>
  <c r="N140" i="6"/>
  <c r="P70" i="17"/>
  <c r="F189" i="6"/>
  <c r="F190" i="6" s="1"/>
  <c r="O64" i="17"/>
  <c r="M134" i="6"/>
  <c r="M44" i="6"/>
  <c r="M151" i="6" s="1"/>
  <c r="M166" i="6" s="1"/>
  <c r="N136" i="6"/>
  <c r="P66" i="17"/>
  <c r="N71" i="17"/>
  <c r="N165" i="13" s="1"/>
  <c r="N135" i="6"/>
  <c r="P65" i="17"/>
  <c r="N133" i="6"/>
  <c r="P63" i="17"/>
  <c r="O88" i="17"/>
  <c r="H126" i="6"/>
  <c r="L142" i="6"/>
  <c r="L143" i="6" s="1"/>
  <c r="I109" i="6"/>
  <c r="I110" i="6" s="1"/>
  <c r="M42" i="6"/>
  <c r="M149" i="6" s="1"/>
  <c r="M164" i="6" s="1"/>
  <c r="M132" i="6"/>
  <c r="Q68" i="17"/>
  <c r="N138" i="6"/>
  <c r="N48" i="6"/>
  <c r="N155" i="6" s="1"/>
  <c r="L52" i="6"/>
  <c r="L53" i="6" s="1"/>
  <c r="N46" i="6"/>
  <c r="N153" i="6" s="1"/>
  <c r="N168" i="6" s="1"/>
  <c r="N43" i="6"/>
  <c r="N150" i="6" s="1"/>
  <c r="N165" i="6" s="1"/>
  <c r="M47" i="6"/>
  <c r="M154" i="6" s="1"/>
  <c r="M169" i="6" s="1"/>
  <c r="O49" i="6"/>
  <c r="O156" i="6" s="1"/>
  <c r="O171" i="6" s="1"/>
  <c r="N45" i="6"/>
  <c r="N152" i="6" s="1"/>
  <c r="N167" i="6" s="1"/>
  <c r="N50" i="6"/>
  <c r="N157" i="6" s="1"/>
  <c r="N172" i="6" s="1"/>
  <c r="M35" i="6"/>
  <c r="P62" i="17"/>
  <c r="M173" i="6" l="1"/>
  <c r="M174" i="6" s="1"/>
  <c r="M37" i="34"/>
  <c r="M17" i="34"/>
  <c r="J123" i="69"/>
  <c r="M158" i="6"/>
  <c r="M159" i="6" s="1"/>
  <c r="H215" i="6"/>
  <c r="M199" i="6"/>
  <c r="S141" i="69"/>
  <c r="S139" i="69"/>
  <c r="T85" i="69"/>
  <c r="X67" i="69" s="1"/>
  <c r="T82" i="69"/>
  <c r="F104" i="69"/>
  <c r="J106" i="69" s="1"/>
  <c r="P117" i="69" s="1"/>
  <c r="J210" i="6"/>
  <c r="J209" i="6"/>
  <c r="L404" i="17"/>
  <c r="L405" i="17" s="1"/>
  <c r="N248" i="17"/>
  <c r="M264" i="17"/>
  <c r="O6" i="34"/>
  <c r="F225" i="6"/>
  <c r="F224" i="6"/>
  <c r="F223" i="6"/>
  <c r="L263" i="17"/>
  <c r="L265" i="17"/>
  <c r="N282" i="17"/>
  <c r="N327" i="17"/>
  <c r="N328" i="17" s="1"/>
  <c r="P385" i="17"/>
  <c r="P383" i="17"/>
  <c r="P386" i="17"/>
  <c r="P378" i="17"/>
  <c r="P384" i="17"/>
  <c r="P376" i="17"/>
  <c r="P381" i="17"/>
  <c r="P377" i="17"/>
  <c r="P380" i="17"/>
  <c r="P379" i="17"/>
  <c r="P382" i="17"/>
  <c r="O170" i="17"/>
  <c r="O171" i="17"/>
  <c r="O169" i="17"/>
  <c r="O161" i="17"/>
  <c r="O165" i="17"/>
  <c r="O162" i="17"/>
  <c r="N35" i="18" s="1"/>
  <c r="O164" i="17"/>
  <c r="O168" i="17"/>
  <c r="O167" i="17"/>
  <c r="O163" i="17"/>
  <c r="O166" i="17"/>
  <c r="O385" i="17"/>
  <c r="O380" i="17"/>
  <c r="O383" i="17"/>
  <c r="O386" i="17"/>
  <c r="O381" i="17"/>
  <c r="O377" i="17"/>
  <c r="O376" i="17"/>
  <c r="O379" i="17"/>
  <c r="O384" i="17"/>
  <c r="O382" i="17"/>
  <c r="O378" i="17"/>
  <c r="N297" i="17"/>
  <c r="N298" i="17" s="1"/>
  <c r="N172" i="17"/>
  <c r="N173" i="17" s="1"/>
  <c r="O157" i="17"/>
  <c r="O158" i="17" s="1"/>
  <c r="N217" i="17"/>
  <c r="N218" i="17" s="1"/>
  <c r="M283" i="17"/>
  <c r="O215" i="17"/>
  <c r="O216" i="17"/>
  <c r="O214" i="17"/>
  <c r="O206" i="17"/>
  <c r="O208" i="17"/>
  <c r="O211" i="17"/>
  <c r="O209" i="17"/>
  <c r="O210" i="17"/>
  <c r="O212" i="17"/>
  <c r="O213" i="17"/>
  <c r="O207" i="17"/>
  <c r="N71" i="18" s="1"/>
  <c r="O326" i="17"/>
  <c r="O318" i="17"/>
  <c r="O319" i="17"/>
  <c r="O322" i="17"/>
  <c r="O325" i="17"/>
  <c r="O317" i="17"/>
  <c r="O320" i="17"/>
  <c r="O316" i="17"/>
  <c r="O324" i="17"/>
  <c r="O321" i="17"/>
  <c r="O323" i="17"/>
  <c r="P247" i="17"/>
  <c r="M327" i="17"/>
  <c r="M328" i="17" s="1"/>
  <c r="M357" i="17"/>
  <c r="M358" i="17" s="1"/>
  <c r="N342" i="17"/>
  <c r="N343" i="17" s="1"/>
  <c r="Q246" i="17"/>
  <c r="Q245" i="17"/>
  <c r="Q244" i="17"/>
  <c r="Q236" i="17"/>
  <c r="Q242" i="17"/>
  <c r="Q241" i="17"/>
  <c r="Q243" i="17"/>
  <c r="Q237" i="17"/>
  <c r="P95" i="18" s="1"/>
  <c r="Q238" i="17"/>
  <c r="Q239" i="17"/>
  <c r="Q240" i="17"/>
  <c r="O280" i="17"/>
  <c r="O281" i="17"/>
  <c r="O279" i="17"/>
  <c r="O271" i="17"/>
  <c r="O276" i="17"/>
  <c r="O274" i="17"/>
  <c r="O275" i="17"/>
  <c r="O277" i="17"/>
  <c r="O272" i="17"/>
  <c r="O278" i="17"/>
  <c r="O273" i="17"/>
  <c r="P371" i="17"/>
  <c r="P370" i="17"/>
  <c r="P367" i="17"/>
  <c r="P363" i="17"/>
  <c r="P369" i="17"/>
  <c r="P366" i="17"/>
  <c r="P361" i="17"/>
  <c r="P364" i="17"/>
  <c r="P368" i="17"/>
  <c r="P362" i="17"/>
  <c r="P365" i="17"/>
  <c r="O202" i="17"/>
  <c r="O203" i="17" s="1"/>
  <c r="N402" i="17"/>
  <c r="N403" i="17" s="1"/>
  <c r="P232" i="17"/>
  <c r="P233" i="17" s="1"/>
  <c r="P260" i="17"/>
  <c r="P261" i="17"/>
  <c r="P259" i="17"/>
  <c r="P251" i="17"/>
  <c r="P255" i="17"/>
  <c r="P254" i="17"/>
  <c r="P252" i="17"/>
  <c r="O107" i="18" s="1"/>
  <c r="P258" i="17"/>
  <c r="P257" i="17"/>
  <c r="P253" i="17"/>
  <c r="P256" i="17"/>
  <c r="P155" i="17"/>
  <c r="P156" i="17"/>
  <c r="P154" i="17"/>
  <c r="P152" i="17"/>
  <c r="P146" i="17"/>
  <c r="P148" i="17"/>
  <c r="P147" i="17"/>
  <c r="O23" i="18" s="1"/>
  <c r="P149" i="17"/>
  <c r="P151" i="17"/>
  <c r="P150" i="17"/>
  <c r="P153" i="17"/>
  <c r="O395" i="17"/>
  <c r="O398" i="17"/>
  <c r="O401" i="17"/>
  <c r="O396" i="17"/>
  <c r="O399" i="17"/>
  <c r="O394" i="17"/>
  <c r="O391" i="17"/>
  <c r="O393" i="17"/>
  <c r="O397" i="17"/>
  <c r="O392" i="17"/>
  <c r="O400" i="17"/>
  <c r="N353" i="17"/>
  <c r="N356" i="17"/>
  <c r="N354" i="17"/>
  <c r="N346" i="17"/>
  <c r="N349" i="17"/>
  <c r="N352" i="17"/>
  <c r="N355" i="17"/>
  <c r="N347" i="17"/>
  <c r="N348" i="17"/>
  <c r="N351" i="17"/>
  <c r="N350" i="17"/>
  <c r="O338" i="17"/>
  <c r="O333" i="17"/>
  <c r="O336" i="17"/>
  <c r="O339" i="17"/>
  <c r="O331" i="17"/>
  <c r="O334" i="17"/>
  <c r="O340" i="17"/>
  <c r="O337" i="17"/>
  <c r="O332" i="17"/>
  <c r="O335" i="17"/>
  <c r="O341" i="17"/>
  <c r="Q229" i="17"/>
  <c r="Q231" i="17"/>
  <c r="Q230" i="17"/>
  <c r="Q221" i="17"/>
  <c r="Q228" i="17"/>
  <c r="Q222" i="17"/>
  <c r="P83" i="18" s="1"/>
  <c r="Q225" i="17"/>
  <c r="Q223" i="17"/>
  <c r="Q227" i="17"/>
  <c r="Q224" i="17"/>
  <c r="Q226" i="17"/>
  <c r="P199" i="17"/>
  <c r="P200" i="17"/>
  <c r="P201" i="17"/>
  <c r="P191" i="17"/>
  <c r="P195" i="17"/>
  <c r="P196" i="17"/>
  <c r="P193" i="17"/>
  <c r="P194" i="17"/>
  <c r="P198" i="17"/>
  <c r="P197" i="17"/>
  <c r="P192" i="17"/>
  <c r="O59" i="18" s="1"/>
  <c r="O295" i="17"/>
  <c r="O294" i="17"/>
  <c r="O296" i="17"/>
  <c r="O286" i="17"/>
  <c r="O292" i="17"/>
  <c r="O291" i="17"/>
  <c r="O289" i="17"/>
  <c r="O287" i="17"/>
  <c r="O290" i="17"/>
  <c r="O288" i="17"/>
  <c r="O293" i="17"/>
  <c r="O372" i="17"/>
  <c r="O373" i="17" s="1"/>
  <c r="N387" i="17"/>
  <c r="N388" i="17" s="1"/>
  <c r="O247" i="17"/>
  <c r="O187" i="17"/>
  <c r="O188" i="17" s="1"/>
  <c r="P186" i="17"/>
  <c r="P184" i="17"/>
  <c r="P185" i="17"/>
  <c r="P176" i="17"/>
  <c r="P182" i="17"/>
  <c r="P180" i="17"/>
  <c r="P178" i="17"/>
  <c r="P179" i="17"/>
  <c r="P181" i="17"/>
  <c r="P183" i="17"/>
  <c r="P177" i="17"/>
  <c r="O47" i="18" s="1"/>
  <c r="N311" i="17"/>
  <c r="N303" i="17"/>
  <c r="N306" i="17"/>
  <c r="N304" i="17"/>
  <c r="N310" i="17"/>
  <c r="N302" i="17"/>
  <c r="N309" i="17"/>
  <c r="N305" i="17"/>
  <c r="N301" i="17"/>
  <c r="N308" i="17"/>
  <c r="N307" i="17"/>
  <c r="M312" i="17"/>
  <c r="M313" i="17" s="1"/>
  <c r="M262" i="17"/>
  <c r="O142" i="17"/>
  <c r="O143" i="17" s="1"/>
  <c r="P141" i="17"/>
  <c r="P134" i="17"/>
  <c r="P133" i="17"/>
  <c r="P138" i="17"/>
  <c r="P140" i="17"/>
  <c r="P135" i="17"/>
  <c r="P131" i="17"/>
  <c r="P136" i="17"/>
  <c r="P132" i="17"/>
  <c r="O11" i="18" s="1"/>
  <c r="P139" i="17"/>
  <c r="P137" i="17"/>
  <c r="N206" i="13"/>
  <c r="N212" i="13"/>
  <c r="N174" i="13"/>
  <c r="N172" i="13"/>
  <c r="N173" i="13"/>
  <c r="N213" i="13"/>
  <c r="N169" i="13"/>
  <c r="N170" i="13"/>
  <c r="N207" i="13"/>
  <c r="N209" i="13"/>
  <c r="N210" i="13"/>
  <c r="N167" i="13"/>
  <c r="N214" i="13"/>
  <c r="N166" i="13"/>
  <c r="N168" i="13"/>
  <c r="N171" i="13"/>
  <c r="N208" i="13"/>
  <c r="N211" i="13"/>
  <c r="L81" i="6"/>
  <c r="M6" i="18" s="1"/>
  <c r="M71" i="6"/>
  <c r="M99" i="6" s="1"/>
  <c r="M195" i="6" s="1"/>
  <c r="Q203" i="13"/>
  <c r="N79" i="6"/>
  <c r="N107" i="6" s="1"/>
  <c r="N203" i="6" s="1"/>
  <c r="O198" i="13"/>
  <c r="M73" i="6"/>
  <c r="M101" i="6" s="1"/>
  <c r="M197" i="6" s="1"/>
  <c r="P204" i="13"/>
  <c r="P196" i="13"/>
  <c r="P199" i="13"/>
  <c r="O201" i="13"/>
  <c r="N74" i="6"/>
  <c r="N102" i="6" s="1"/>
  <c r="N198" i="6" s="1"/>
  <c r="N75" i="6"/>
  <c r="N103" i="6" s="1"/>
  <c r="N199" i="6" s="1"/>
  <c r="N77" i="6"/>
  <c r="N105" i="6" s="1"/>
  <c r="N201" i="6" s="1"/>
  <c r="P197" i="13"/>
  <c r="O78" i="6"/>
  <c r="O106" i="6" s="1"/>
  <c r="O202" i="6" s="1"/>
  <c r="Q202" i="13"/>
  <c r="P200" i="13"/>
  <c r="N72" i="6"/>
  <c r="N100" i="6" s="1"/>
  <c r="N196" i="6" s="1"/>
  <c r="N185" i="13"/>
  <c r="N175" i="13"/>
  <c r="N195" i="13"/>
  <c r="P194" i="13"/>
  <c r="P184" i="13"/>
  <c r="Q193" i="13"/>
  <c r="Q183" i="13"/>
  <c r="O188" i="13"/>
  <c r="O178" i="13"/>
  <c r="Q192" i="13"/>
  <c r="Q182" i="13"/>
  <c r="P190" i="13"/>
  <c r="P180" i="13"/>
  <c r="P186" i="13"/>
  <c r="P176" i="13"/>
  <c r="P179" i="13"/>
  <c r="P189" i="13"/>
  <c r="O191" i="13"/>
  <c r="O181" i="13"/>
  <c r="P177" i="13"/>
  <c r="P187" i="13"/>
  <c r="F205" i="6"/>
  <c r="G205" i="6"/>
  <c r="G223" i="6"/>
  <c r="G225" i="6"/>
  <c r="G224" i="6"/>
  <c r="E241" i="6"/>
  <c r="J36" i="36"/>
  <c r="J12" i="37" s="1"/>
  <c r="O20" i="36"/>
  <c r="M54" i="34" s="1"/>
  <c r="Q19" i="36"/>
  <c r="O133" i="18"/>
  <c r="R18" i="36"/>
  <c r="P132" i="18"/>
  <c r="Q17" i="36"/>
  <c r="O131" i="18"/>
  <c r="P13" i="36"/>
  <c r="N127" i="18"/>
  <c r="P16" i="36"/>
  <c r="N130" i="18"/>
  <c r="P11" i="36"/>
  <c r="N125" i="18"/>
  <c r="Q15" i="36"/>
  <c r="O129" i="18"/>
  <c r="Q14" i="36"/>
  <c r="O128" i="18"/>
  <c r="Q12" i="36"/>
  <c r="O126" i="18"/>
  <c r="M34" i="34"/>
  <c r="M33" i="34"/>
  <c r="M18" i="34"/>
  <c r="M36" i="34"/>
  <c r="J49" i="34"/>
  <c r="M6" i="36"/>
  <c r="M25" i="36" s="1"/>
  <c r="M28" i="36" s="1"/>
  <c r="M24" i="34"/>
  <c r="M25" i="34"/>
  <c r="M16" i="34"/>
  <c r="M32" i="34"/>
  <c r="N97" i="17"/>
  <c r="M7" i="18" s="1"/>
  <c r="P89" i="17"/>
  <c r="P147" i="13"/>
  <c r="P157" i="13"/>
  <c r="P92" i="17"/>
  <c r="P150" i="13"/>
  <c r="P160" i="13"/>
  <c r="P96" i="17"/>
  <c r="P164" i="13"/>
  <c r="P154" i="13"/>
  <c r="Q95" i="17"/>
  <c r="Q153" i="13"/>
  <c r="Q163" i="13"/>
  <c r="Q94" i="17"/>
  <c r="Q162" i="13"/>
  <c r="Q152" i="13"/>
  <c r="P91" i="17"/>
  <c r="P149" i="13"/>
  <c r="P159" i="13"/>
  <c r="O93" i="17"/>
  <c r="O161" i="13"/>
  <c r="O151" i="13"/>
  <c r="P156" i="13"/>
  <c r="P146" i="13"/>
  <c r="O90" i="17"/>
  <c r="O158" i="13"/>
  <c r="O148" i="13"/>
  <c r="O43" i="34"/>
  <c r="L50" i="34" s="1"/>
  <c r="N9" i="34"/>
  <c r="R23" i="6"/>
  <c r="Q30" i="6"/>
  <c r="Q28" i="6"/>
  <c r="Q25" i="6"/>
  <c r="Q32" i="6"/>
  <c r="Q27" i="6"/>
  <c r="Q33" i="6"/>
  <c r="Q31" i="6"/>
  <c r="Q29" i="6"/>
  <c r="Q26" i="6"/>
  <c r="M123" i="6"/>
  <c r="M186" i="6" s="1"/>
  <c r="J121" i="6"/>
  <c r="L120" i="6"/>
  <c r="L183" i="6" s="1"/>
  <c r="K121" i="6"/>
  <c r="K184" i="6" s="1"/>
  <c r="K213" i="6" s="1"/>
  <c r="L118" i="6"/>
  <c r="L181" i="6" s="1"/>
  <c r="L122" i="6"/>
  <c r="L185" i="6" s="1"/>
  <c r="L212" i="6" s="1"/>
  <c r="L119" i="6"/>
  <c r="L182" i="6" s="1"/>
  <c r="L124" i="6"/>
  <c r="L187" i="6" s="1"/>
  <c r="L117" i="6"/>
  <c r="L180" i="6" s="1"/>
  <c r="I215" i="6"/>
  <c r="O8" i="34"/>
  <c r="O9" i="34" s="1"/>
  <c r="O17" i="34" s="1"/>
  <c r="K36" i="36"/>
  <c r="K12" i="37" s="1"/>
  <c r="J52" i="34"/>
  <c r="M123" i="18"/>
  <c r="P7" i="34"/>
  <c r="M7" i="37"/>
  <c r="M6" i="37" s="1"/>
  <c r="K49" i="34"/>
  <c r="L31" i="36"/>
  <c r="J65" i="34" s="1"/>
  <c r="J64" i="34"/>
  <c r="N155" i="13"/>
  <c r="N145" i="13"/>
  <c r="O71" i="17"/>
  <c r="O165" i="13" s="1"/>
  <c r="P64" i="17"/>
  <c r="N134" i="6"/>
  <c r="N44" i="6"/>
  <c r="N151" i="6" s="1"/>
  <c r="N166" i="6" s="1"/>
  <c r="O135" i="6"/>
  <c r="Q65" i="17"/>
  <c r="O140" i="6"/>
  <c r="Q70" i="17"/>
  <c r="P88" i="17"/>
  <c r="N137" i="6"/>
  <c r="P67" i="17"/>
  <c r="O136" i="6"/>
  <c r="Q66" i="17"/>
  <c r="P139" i="6"/>
  <c r="R69" i="17"/>
  <c r="O133" i="6"/>
  <c r="Q63" i="17"/>
  <c r="J109" i="6"/>
  <c r="J110" i="6" s="1"/>
  <c r="I126" i="6"/>
  <c r="M142" i="6"/>
  <c r="M143" i="6" s="1"/>
  <c r="K116" i="6"/>
  <c r="K179" i="6" s="1"/>
  <c r="K109" i="6"/>
  <c r="K110" i="6" s="1"/>
  <c r="R68" i="17"/>
  <c r="O138" i="6"/>
  <c r="O48" i="6"/>
  <c r="O155" i="6" s="1"/>
  <c r="N42" i="6"/>
  <c r="N149" i="6" s="1"/>
  <c r="N164" i="6" s="1"/>
  <c r="N132" i="6"/>
  <c r="M52" i="6"/>
  <c r="M53" i="6" s="1"/>
  <c r="M76" i="6"/>
  <c r="M104" i="6" s="1"/>
  <c r="N47" i="6"/>
  <c r="N154" i="6" s="1"/>
  <c r="N169" i="6" s="1"/>
  <c r="O43" i="6"/>
  <c r="O150" i="6" s="1"/>
  <c r="O165" i="6" s="1"/>
  <c r="O45" i="6"/>
  <c r="O152" i="6" s="1"/>
  <c r="O167" i="6" s="1"/>
  <c r="O46" i="6"/>
  <c r="O153" i="6" s="1"/>
  <c r="O168" i="6" s="1"/>
  <c r="O50" i="6"/>
  <c r="O157" i="6" s="1"/>
  <c r="O172" i="6" s="1"/>
  <c r="P49" i="6"/>
  <c r="P156" i="6" s="1"/>
  <c r="P171" i="6" s="1"/>
  <c r="N35" i="6"/>
  <c r="Q62" i="17"/>
  <c r="N36" i="34" l="1"/>
  <c r="N17" i="34"/>
  <c r="F131" i="69"/>
  <c r="J130" i="69" s="1"/>
  <c r="P130" i="69" s="1"/>
  <c r="J184" i="6"/>
  <c r="J213" i="6" s="1"/>
  <c r="N173" i="6"/>
  <c r="N174" i="6" s="1"/>
  <c r="S107" i="69"/>
  <c r="N158" i="6"/>
  <c r="N159" i="6" s="1"/>
  <c r="L211" i="6"/>
  <c r="K211" i="6"/>
  <c r="N283" i="17"/>
  <c r="M404" i="17"/>
  <c r="M405" i="17" s="1"/>
  <c r="O248" i="17"/>
  <c r="P248" i="17"/>
  <c r="N264" i="17"/>
  <c r="F221" i="6"/>
  <c r="F233" i="6"/>
  <c r="F239" i="6" s="1"/>
  <c r="F241" i="6" s="1"/>
  <c r="F232" i="6"/>
  <c r="M263" i="17"/>
  <c r="M265" i="17"/>
  <c r="Q247" i="17"/>
  <c r="O327" i="17"/>
  <c r="O328" i="17" s="1"/>
  <c r="P215" i="17"/>
  <c r="P216" i="17"/>
  <c r="P214" i="17"/>
  <c r="P206" i="17"/>
  <c r="P211" i="17"/>
  <c r="P209" i="17"/>
  <c r="P212" i="17"/>
  <c r="P208" i="17"/>
  <c r="P207" i="17"/>
  <c r="O71" i="18" s="1"/>
  <c r="P213" i="17"/>
  <c r="P210" i="17"/>
  <c r="O356" i="17"/>
  <c r="O349" i="17"/>
  <c r="O352" i="17"/>
  <c r="O355" i="17"/>
  <c r="O350" i="17"/>
  <c r="O348" i="17"/>
  <c r="O351" i="17"/>
  <c r="O347" i="17"/>
  <c r="O354" i="17"/>
  <c r="O346" i="17"/>
  <c r="O353" i="17"/>
  <c r="O342" i="17"/>
  <c r="O343" i="17" s="1"/>
  <c r="P398" i="17"/>
  <c r="P401" i="17"/>
  <c r="P396" i="17"/>
  <c r="P399" i="17"/>
  <c r="P394" i="17"/>
  <c r="P397" i="17"/>
  <c r="P400" i="17"/>
  <c r="P393" i="17"/>
  <c r="P395" i="17"/>
  <c r="P392" i="17"/>
  <c r="P391" i="17"/>
  <c r="Q184" i="17"/>
  <c r="Q185" i="17"/>
  <c r="Q186" i="17"/>
  <c r="Q176" i="17"/>
  <c r="Q181" i="17"/>
  <c r="Q182" i="17"/>
  <c r="Q180" i="17"/>
  <c r="Q179" i="17"/>
  <c r="Q177" i="17"/>
  <c r="P47" i="18" s="1"/>
  <c r="Q178" i="17"/>
  <c r="Q183" i="17"/>
  <c r="Q369" i="17"/>
  <c r="Q367" i="17"/>
  <c r="Q363" i="17"/>
  <c r="Q366" i="17"/>
  <c r="Q361" i="17"/>
  <c r="Q364" i="17"/>
  <c r="Q368" i="17"/>
  <c r="Q362" i="17"/>
  <c r="Q371" i="17"/>
  <c r="Q365" i="17"/>
  <c r="Q370" i="17"/>
  <c r="P157" i="17"/>
  <c r="P158" i="17" s="1"/>
  <c r="O172" i="17"/>
  <c r="O173" i="17" s="1"/>
  <c r="P387" i="17"/>
  <c r="P388" i="17" s="1"/>
  <c r="Q156" i="17"/>
  <c r="Q154" i="17"/>
  <c r="Q155" i="17"/>
  <c r="Q149" i="17"/>
  <c r="Q148" i="17"/>
  <c r="Q150" i="17"/>
  <c r="Q147" i="17"/>
  <c r="P23" i="18" s="1"/>
  <c r="Q153" i="17"/>
  <c r="Q151" i="17"/>
  <c r="Q146" i="17"/>
  <c r="Q152" i="17"/>
  <c r="N312" i="17"/>
  <c r="P202" i="17"/>
  <c r="P203" i="17" s="1"/>
  <c r="P171" i="17"/>
  <c r="P170" i="17"/>
  <c r="P169" i="17"/>
  <c r="P161" i="17"/>
  <c r="P164" i="17"/>
  <c r="P168" i="17"/>
  <c r="P165" i="17"/>
  <c r="P163" i="17"/>
  <c r="P166" i="17"/>
  <c r="P162" i="17"/>
  <c r="O35" i="18" s="1"/>
  <c r="P167" i="17"/>
  <c r="O306" i="17"/>
  <c r="O309" i="17"/>
  <c r="O301" i="17"/>
  <c r="O307" i="17"/>
  <c r="O310" i="17"/>
  <c r="O303" i="17"/>
  <c r="O302" i="17"/>
  <c r="O305" i="17"/>
  <c r="O308" i="17"/>
  <c r="O304" i="17"/>
  <c r="O311" i="17"/>
  <c r="P294" i="17"/>
  <c r="P296" i="17"/>
  <c r="P295" i="17"/>
  <c r="P286" i="17"/>
  <c r="P287" i="17"/>
  <c r="P291" i="17"/>
  <c r="P292" i="17"/>
  <c r="P289" i="17"/>
  <c r="P288" i="17"/>
  <c r="P290" i="17"/>
  <c r="P293" i="17"/>
  <c r="O297" i="17"/>
  <c r="O298" i="17" s="1"/>
  <c r="Q232" i="17"/>
  <c r="Q233" i="17" s="1"/>
  <c r="N357" i="17"/>
  <c r="N358" i="17" s="1"/>
  <c r="O402" i="17"/>
  <c r="O403" i="17" s="1"/>
  <c r="O282" i="17"/>
  <c r="R246" i="17"/>
  <c r="R244" i="17"/>
  <c r="R245" i="17"/>
  <c r="R236" i="17"/>
  <c r="R237" i="17"/>
  <c r="Q95" i="18" s="1"/>
  <c r="R243" i="17"/>
  <c r="R242" i="17"/>
  <c r="R239" i="17"/>
  <c r="R241" i="17"/>
  <c r="R238" i="17"/>
  <c r="R240" i="17"/>
  <c r="Q385" i="17"/>
  <c r="Q386" i="17"/>
  <c r="Q378" i="17"/>
  <c r="Q381" i="17"/>
  <c r="Q384" i="17"/>
  <c r="Q379" i="17"/>
  <c r="Q377" i="17"/>
  <c r="Q380" i="17"/>
  <c r="Q376" i="17"/>
  <c r="Q383" i="17"/>
  <c r="Q382" i="17"/>
  <c r="P340" i="17"/>
  <c r="P341" i="17"/>
  <c r="P333" i="17"/>
  <c r="P336" i="17"/>
  <c r="P339" i="17"/>
  <c r="P331" i="17"/>
  <c r="P334" i="17"/>
  <c r="P337" i="17"/>
  <c r="P332" i="17"/>
  <c r="P335" i="17"/>
  <c r="P338" i="17"/>
  <c r="Q260" i="17"/>
  <c r="Q261" i="17"/>
  <c r="Q259" i="17"/>
  <c r="Q251" i="17"/>
  <c r="Q258" i="17"/>
  <c r="Q255" i="17"/>
  <c r="Q254" i="17"/>
  <c r="Q252" i="17"/>
  <c r="P107" i="18" s="1"/>
  <c r="Q253" i="17"/>
  <c r="Q256" i="17"/>
  <c r="Q257" i="17"/>
  <c r="R231" i="17"/>
  <c r="R229" i="17"/>
  <c r="R230" i="17"/>
  <c r="R221" i="17"/>
  <c r="R222" i="17"/>
  <c r="Q83" i="18" s="1"/>
  <c r="R225" i="17"/>
  <c r="R224" i="17"/>
  <c r="R228" i="17"/>
  <c r="R226" i="17"/>
  <c r="R227" i="17"/>
  <c r="R223" i="17"/>
  <c r="P281" i="17"/>
  <c r="P279" i="17"/>
  <c r="P280" i="17"/>
  <c r="P271" i="17"/>
  <c r="P276" i="17"/>
  <c r="P274" i="17"/>
  <c r="P275" i="17"/>
  <c r="P278" i="17"/>
  <c r="P272" i="17"/>
  <c r="P273" i="17"/>
  <c r="P277" i="17"/>
  <c r="Q200" i="17"/>
  <c r="Q201" i="17"/>
  <c r="Q199" i="17"/>
  <c r="Q191" i="17"/>
  <c r="Q195" i="17"/>
  <c r="Q196" i="17"/>
  <c r="Q193" i="17"/>
  <c r="Q194" i="17"/>
  <c r="Q198" i="17"/>
  <c r="Q192" i="17"/>
  <c r="P59" i="18" s="1"/>
  <c r="Q197" i="17"/>
  <c r="P321" i="17"/>
  <c r="P322" i="17"/>
  <c r="P325" i="17"/>
  <c r="P317" i="17"/>
  <c r="P320" i="17"/>
  <c r="P323" i="17"/>
  <c r="P319" i="17"/>
  <c r="P316" i="17"/>
  <c r="P324" i="17"/>
  <c r="P318" i="17"/>
  <c r="P326" i="17"/>
  <c r="P187" i="17"/>
  <c r="P188" i="17" s="1"/>
  <c r="P372" i="17"/>
  <c r="P373" i="17" s="1"/>
  <c r="O217" i="17"/>
  <c r="O218" i="17" s="1"/>
  <c r="O387" i="17"/>
  <c r="O388" i="17" s="1"/>
  <c r="N262" i="17"/>
  <c r="Q136" i="17"/>
  <c r="Q139" i="17"/>
  <c r="Q137" i="17"/>
  <c r="Q134" i="17"/>
  <c r="Q141" i="17"/>
  <c r="Q138" i="17"/>
  <c r="Q135" i="17"/>
  <c r="Q140" i="17"/>
  <c r="Q131" i="17"/>
  <c r="Q132" i="17"/>
  <c r="P11" i="18" s="1"/>
  <c r="Q133" i="17"/>
  <c r="P142" i="17"/>
  <c r="P143" i="17" s="1"/>
  <c r="O206" i="13"/>
  <c r="P6" i="34"/>
  <c r="P8" i="34" s="1"/>
  <c r="P9" i="34" s="1"/>
  <c r="P17" i="34" s="1"/>
  <c r="O211" i="13"/>
  <c r="O208" i="13"/>
  <c r="O168" i="13"/>
  <c r="O210" i="13"/>
  <c r="O173" i="13"/>
  <c r="O207" i="13"/>
  <c r="O213" i="13"/>
  <c r="O167" i="13"/>
  <c r="O169" i="13"/>
  <c r="O209" i="13"/>
  <c r="O174" i="13"/>
  <c r="O172" i="13"/>
  <c r="O214" i="13"/>
  <c r="O170" i="13"/>
  <c r="O212" i="13"/>
  <c r="O166" i="13"/>
  <c r="O171" i="13"/>
  <c r="Q197" i="13"/>
  <c r="O72" i="6"/>
  <c r="O100" i="6" s="1"/>
  <c r="O196" i="6" s="1"/>
  <c r="N76" i="6"/>
  <c r="N104" i="6" s="1"/>
  <c r="N200" i="6" s="1"/>
  <c r="Q196" i="13"/>
  <c r="R202" i="13"/>
  <c r="R203" i="13"/>
  <c r="N73" i="6"/>
  <c r="N101" i="6" s="1"/>
  <c r="N197" i="6" s="1"/>
  <c r="O77" i="6"/>
  <c r="O105" i="6" s="1"/>
  <c r="O201" i="6" s="1"/>
  <c r="P78" i="6"/>
  <c r="P106" i="6" s="1"/>
  <c r="P202" i="6" s="1"/>
  <c r="O79" i="6"/>
  <c r="O107" i="6" s="1"/>
  <c r="O203" i="6" s="1"/>
  <c r="Q204" i="13"/>
  <c r="P198" i="13"/>
  <c r="P201" i="13"/>
  <c r="Q200" i="13"/>
  <c r="O75" i="6"/>
  <c r="O103" i="6" s="1"/>
  <c r="O199" i="6" s="1"/>
  <c r="O74" i="6"/>
  <c r="O102" i="6" s="1"/>
  <c r="O198" i="6" s="1"/>
  <c r="N71" i="6"/>
  <c r="N99" i="6" s="1"/>
  <c r="N195" i="6" s="1"/>
  <c r="Q199" i="13"/>
  <c r="O175" i="13"/>
  <c r="O185" i="13"/>
  <c r="O195" i="13"/>
  <c r="Q189" i="13"/>
  <c r="Q179" i="13"/>
  <c r="Q186" i="13"/>
  <c r="Q176" i="13"/>
  <c r="R192" i="13"/>
  <c r="R182" i="13"/>
  <c r="Q180" i="13"/>
  <c r="Q190" i="13"/>
  <c r="Q194" i="13"/>
  <c r="Q184" i="13"/>
  <c r="P188" i="13"/>
  <c r="P178" i="13"/>
  <c r="Q187" i="13"/>
  <c r="Q177" i="13"/>
  <c r="R193" i="13"/>
  <c r="R183" i="13"/>
  <c r="P191" i="13"/>
  <c r="P181" i="13"/>
  <c r="G221" i="6"/>
  <c r="M200" i="6"/>
  <c r="G233" i="6"/>
  <c r="G239" i="6" s="1"/>
  <c r="G232" i="6"/>
  <c r="P20" i="36"/>
  <c r="N54" i="34" s="1"/>
  <c r="S18" i="36"/>
  <c r="Q132" i="18"/>
  <c r="R19" i="36"/>
  <c r="P133" i="18"/>
  <c r="R15" i="36"/>
  <c r="P129" i="18"/>
  <c r="R14" i="36"/>
  <c r="P128" i="18"/>
  <c r="Q11" i="36"/>
  <c r="O125" i="18"/>
  <c r="R12" i="36"/>
  <c r="P126" i="18"/>
  <c r="R17" i="36"/>
  <c r="P131" i="18"/>
  <c r="Q16" i="36"/>
  <c r="O130" i="18"/>
  <c r="Q13" i="36"/>
  <c r="O127" i="18"/>
  <c r="M7" i="36"/>
  <c r="K52" i="34" s="1"/>
  <c r="M8" i="36"/>
  <c r="K53" i="34" s="1"/>
  <c r="M14" i="34"/>
  <c r="N24" i="34"/>
  <c r="N32" i="34"/>
  <c r="N33" i="34"/>
  <c r="N25" i="34"/>
  <c r="N34" i="34"/>
  <c r="N16" i="34"/>
  <c r="N37" i="34"/>
  <c r="N18" i="34"/>
  <c r="Q89" i="17"/>
  <c r="Q157" i="13"/>
  <c r="Q147" i="13"/>
  <c r="O97" i="17"/>
  <c r="N7" i="18" s="1"/>
  <c r="N6" i="36"/>
  <c r="N7" i="36" s="1"/>
  <c r="R94" i="17"/>
  <c r="R152" i="13"/>
  <c r="R162" i="13"/>
  <c r="Q91" i="17"/>
  <c r="Q149" i="13"/>
  <c r="Q159" i="13"/>
  <c r="Q156" i="13"/>
  <c r="Q146" i="13"/>
  <c r="R95" i="17"/>
  <c r="R163" i="13"/>
  <c r="R153" i="13"/>
  <c r="Q92" i="17"/>
  <c r="Q150" i="13"/>
  <c r="Q160" i="13"/>
  <c r="P93" i="17"/>
  <c r="P151" i="13"/>
  <c r="P161" i="13"/>
  <c r="Q96" i="17"/>
  <c r="Q164" i="13"/>
  <c r="Q154" i="13"/>
  <c r="P90" i="17"/>
  <c r="P158" i="13"/>
  <c r="P148" i="13"/>
  <c r="P43" i="34"/>
  <c r="M50" i="34" s="1"/>
  <c r="O18" i="34"/>
  <c r="S23" i="6"/>
  <c r="R30" i="6"/>
  <c r="R28" i="6"/>
  <c r="R25" i="6"/>
  <c r="R32" i="6"/>
  <c r="R27" i="6"/>
  <c r="R33" i="6"/>
  <c r="R31" i="6"/>
  <c r="R29" i="6"/>
  <c r="R26" i="6"/>
  <c r="J126" i="6"/>
  <c r="M122" i="6"/>
  <c r="M185" i="6" s="1"/>
  <c r="M212" i="6" s="1"/>
  <c r="M120" i="6"/>
  <c r="M183" i="6" s="1"/>
  <c r="M124" i="6"/>
  <c r="M187" i="6" s="1"/>
  <c r="M119" i="6"/>
  <c r="M182" i="6" s="1"/>
  <c r="N123" i="6"/>
  <c r="N186" i="6" s="1"/>
  <c r="L121" i="6"/>
  <c r="L184" i="6" s="1"/>
  <c r="L213" i="6" s="1"/>
  <c r="M118" i="6"/>
  <c r="M181" i="6" s="1"/>
  <c r="M117" i="6"/>
  <c r="M180" i="6" s="1"/>
  <c r="O37" i="34"/>
  <c r="O36" i="34"/>
  <c r="O32" i="34"/>
  <c r="O33" i="34"/>
  <c r="O24" i="34"/>
  <c r="O16" i="34"/>
  <c r="O25" i="34"/>
  <c r="O34" i="34"/>
  <c r="L36" i="36"/>
  <c r="L12" i="37" s="1"/>
  <c r="N123" i="18"/>
  <c r="Q7" i="34"/>
  <c r="M31" i="36"/>
  <c r="K65" i="34" s="1"/>
  <c r="K64" i="34"/>
  <c r="N7" i="37"/>
  <c r="N6" i="37" s="1"/>
  <c r="L49" i="34"/>
  <c r="O155" i="13"/>
  <c r="O145" i="13"/>
  <c r="P135" i="6"/>
  <c r="R65" i="17"/>
  <c r="Q139" i="6"/>
  <c r="S69" i="17"/>
  <c r="Q88" i="17"/>
  <c r="O137" i="6"/>
  <c r="Q67" i="17"/>
  <c r="P133" i="6"/>
  <c r="R63" i="17"/>
  <c r="Q64" i="17"/>
  <c r="O134" i="6"/>
  <c r="O44" i="6"/>
  <c r="O151" i="6" s="1"/>
  <c r="O166" i="6" s="1"/>
  <c r="P136" i="6"/>
  <c r="R66" i="17"/>
  <c r="H189" i="6"/>
  <c r="H190" i="6" s="1"/>
  <c r="P71" i="17"/>
  <c r="P165" i="13" s="1"/>
  <c r="P140" i="6"/>
  <c r="R70" i="17"/>
  <c r="K126" i="6"/>
  <c r="N142" i="6"/>
  <c r="N143" i="6" s="1"/>
  <c r="L109" i="6"/>
  <c r="L110" i="6" s="1"/>
  <c r="L116" i="6"/>
  <c r="L179" i="6" s="1"/>
  <c r="O42" i="6"/>
  <c r="O149" i="6" s="1"/>
  <c r="O164" i="6" s="1"/>
  <c r="O132" i="6"/>
  <c r="S68" i="17"/>
  <c r="P138" i="6"/>
  <c r="P48" i="6"/>
  <c r="P155" i="6" s="1"/>
  <c r="N52" i="6"/>
  <c r="N53" i="6" s="1"/>
  <c r="M81" i="6"/>
  <c r="Q49" i="6"/>
  <c r="Q156" i="6" s="1"/>
  <c r="Q171" i="6" s="1"/>
  <c r="O47" i="6"/>
  <c r="O154" i="6" s="1"/>
  <c r="O169" i="6" s="1"/>
  <c r="P45" i="6"/>
  <c r="P152" i="6" s="1"/>
  <c r="P167" i="6" s="1"/>
  <c r="P50" i="6"/>
  <c r="P157" i="6" s="1"/>
  <c r="P172" i="6" s="1"/>
  <c r="P43" i="6"/>
  <c r="P150" i="6" s="1"/>
  <c r="P165" i="6" s="1"/>
  <c r="P46" i="6"/>
  <c r="P153" i="6" s="1"/>
  <c r="P168" i="6" s="1"/>
  <c r="O35" i="6"/>
  <c r="R62" i="17"/>
  <c r="O173" i="6" l="1"/>
  <c r="O174" i="6" s="1"/>
  <c r="O158" i="6"/>
  <c r="O159" i="6" s="1"/>
  <c r="S119" i="69"/>
  <c r="S113" i="69"/>
  <c r="S116" i="69"/>
  <c r="J214" i="6"/>
  <c r="L210" i="6"/>
  <c r="L209" i="6"/>
  <c r="M211" i="6"/>
  <c r="K210" i="6"/>
  <c r="K209" i="6"/>
  <c r="K214" i="6"/>
  <c r="L214" i="6"/>
  <c r="N404" i="17"/>
  <c r="N405" i="17" s="1"/>
  <c r="Q248" i="17"/>
  <c r="O264" i="17"/>
  <c r="F231" i="6"/>
  <c r="F220" i="6" s="1"/>
  <c r="F234" i="6" s="1"/>
  <c r="N263" i="17"/>
  <c r="N265" i="17"/>
  <c r="G241" i="6"/>
  <c r="P282" i="17"/>
  <c r="Q324" i="17"/>
  <c r="Q316" i="17"/>
  <c r="Q325" i="17"/>
  <c r="Q317" i="17"/>
  <c r="Q320" i="17"/>
  <c r="Q323" i="17"/>
  <c r="Q326" i="17"/>
  <c r="Q318" i="17"/>
  <c r="Q322" i="17"/>
  <c r="Q319" i="17"/>
  <c r="Q321" i="17"/>
  <c r="Q387" i="17"/>
  <c r="Q388" i="17" s="1"/>
  <c r="R369" i="17"/>
  <c r="R370" i="17"/>
  <c r="R367" i="17"/>
  <c r="R366" i="17"/>
  <c r="R361" i="17"/>
  <c r="R364" i="17"/>
  <c r="R368" i="17"/>
  <c r="R362" i="17"/>
  <c r="R371" i="17"/>
  <c r="R365" i="17"/>
  <c r="R363" i="17"/>
  <c r="Q296" i="17"/>
  <c r="Q295" i="17"/>
  <c r="Q294" i="17"/>
  <c r="Q286" i="17"/>
  <c r="Q292" i="17"/>
  <c r="Q289" i="17"/>
  <c r="Q287" i="17"/>
  <c r="Q291" i="17"/>
  <c r="Q288" i="17"/>
  <c r="Q290" i="17"/>
  <c r="Q293" i="17"/>
  <c r="N313" i="17"/>
  <c r="Q401" i="17"/>
  <c r="Q393" i="17"/>
  <c r="Q396" i="17"/>
  <c r="Q399" i="17"/>
  <c r="Q394" i="17"/>
  <c r="Q397" i="17"/>
  <c r="Q400" i="17"/>
  <c r="Q395" i="17"/>
  <c r="Q392" i="17"/>
  <c r="Q398" i="17"/>
  <c r="Q391" i="17"/>
  <c r="R232" i="17"/>
  <c r="R233" i="17" s="1"/>
  <c r="R247" i="17"/>
  <c r="Q157" i="17"/>
  <c r="Q158" i="17" s="1"/>
  <c r="Q372" i="17"/>
  <c r="Q373" i="17" s="1"/>
  <c r="O357" i="17"/>
  <c r="O358" i="17" s="1"/>
  <c r="O312" i="17"/>
  <c r="O313" i="17" s="1"/>
  <c r="P402" i="17"/>
  <c r="P403" i="17" s="1"/>
  <c r="P217" i="17"/>
  <c r="R261" i="17"/>
  <c r="R259" i="17"/>
  <c r="R260" i="17"/>
  <c r="R251" i="17"/>
  <c r="R255" i="17"/>
  <c r="R254" i="17"/>
  <c r="R252" i="17"/>
  <c r="Q107" i="18" s="1"/>
  <c r="R258" i="17"/>
  <c r="R257" i="17"/>
  <c r="R253" i="17"/>
  <c r="R256" i="17"/>
  <c r="Q171" i="17"/>
  <c r="Q169" i="17"/>
  <c r="Q170" i="17"/>
  <c r="Q161" i="17"/>
  <c r="Q168" i="17"/>
  <c r="Q165" i="17"/>
  <c r="Q162" i="17"/>
  <c r="P35" i="18" s="1"/>
  <c r="Q164" i="17"/>
  <c r="Q167" i="17"/>
  <c r="Q166" i="17"/>
  <c r="Q163" i="17"/>
  <c r="S245" i="17"/>
  <c r="S244" i="17"/>
  <c r="S246" i="17"/>
  <c r="S236" i="17"/>
  <c r="S242" i="17"/>
  <c r="S237" i="17"/>
  <c r="R95" i="18" s="1"/>
  <c r="S241" i="17"/>
  <c r="S243" i="17"/>
  <c r="S240" i="17"/>
  <c r="S238" i="17"/>
  <c r="S239" i="17"/>
  <c r="R386" i="17"/>
  <c r="R381" i="17"/>
  <c r="R384" i="17"/>
  <c r="R376" i="17"/>
  <c r="R382" i="17"/>
  <c r="R385" i="17"/>
  <c r="R380" i="17"/>
  <c r="R383" i="17"/>
  <c r="R379" i="17"/>
  <c r="R378" i="17"/>
  <c r="R377" i="17"/>
  <c r="R156" i="17"/>
  <c r="R154" i="17"/>
  <c r="R155" i="17"/>
  <c r="R147" i="17"/>
  <c r="Q23" i="18" s="1"/>
  <c r="R149" i="17"/>
  <c r="R151" i="17"/>
  <c r="R146" i="17"/>
  <c r="R148" i="17"/>
  <c r="R153" i="17"/>
  <c r="R150" i="17"/>
  <c r="R152" i="17"/>
  <c r="P327" i="17"/>
  <c r="P328" i="17" s="1"/>
  <c r="P342" i="17"/>
  <c r="P343" i="17" s="1"/>
  <c r="P297" i="17"/>
  <c r="P298" i="17" s="1"/>
  <c r="P172" i="17"/>
  <c r="P173" i="17" s="1"/>
  <c r="R184" i="17"/>
  <c r="R185" i="17"/>
  <c r="R186" i="17"/>
  <c r="R176" i="17"/>
  <c r="R181" i="17"/>
  <c r="R182" i="17"/>
  <c r="R180" i="17"/>
  <c r="R178" i="17"/>
  <c r="R177" i="17"/>
  <c r="Q47" i="18" s="1"/>
  <c r="R179" i="17"/>
  <c r="R183" i="17"/>
  <c r="P352" i="17"/>
  <c r="P355" i="17"/>
  <c r="P347" i="17"/>
  <c r="P353" i="17"/>
  <c r="P351" i="17"/>
  <c r="P354" i="17"/>
  <c r="P350" i="17"/>
  <c r="P346" i="17"/>
  <c r="P356" i="17"/>
  <c r="P349" i="17"/>
  <c r="P348" i="17"/>
  <c r="Q202" i="17"/>
  <c r="Q203" i="17" s="1"/>
  <c r="O283" i="17"/>
  <c r="S229" i="17"/>
  <c r="S231" i="17"/>
  <c r="S230" i="17"/>
  <c r="S221" i="17"/>
  <c r="S228" i="17"/>
  <c r="S222" i="17"/>
  <c r="R83" i="18" s="1"/>
  <c r="S224" i="17"/>
  <c r="S227" i="17"/>
  <c r="S226" i="17"/>
  <c r="S223" i="17"/>
  <c r="S225" i="17"/>
  <c r="Q336" i="17"/>
  <c r="Q339" i="17"/>
  <c r="Q331" i="17"/>
  <c r="Q334" i="17"/>
  <c r="Q337" i="17"/>
  <c r="Q340" i="17"/>
  <c r="Q332" i="17"/>
  <c r="Q335" i="17"/>
  <c r="Q341" i="17"/>
  <c r="Q338" i="17"/>
  <c r="Q333" i="17"/>
  <c r="Q215" i="17"/>
  <c r="Q216" i="17"/>
  <c r="Q214" i="17"/>
  <c r="Q206" i="17"/>
  <c r="Q208" i="17"/>
  <c r="Q209" i="17"/>
  <c r="Q211" i="17"/>
  <c r="Q212" i="17"/>
  <c r="Q213" i="17"/>
  <c r="Q207" i="17"/>
  <c r="P71" i="18" s="1"/>
  <c r="Q210" i="17"/>
  <c r="Q187" i="17"/>
  <c r="Q188" i="17" s="1"/>
  <c r="Q281" i="17"/>
  <c r="Q279" i="17"/>
  <c r="Q280" i="17"/>
  <c r="Q271" i="17"/>
  <c r="Q274" i="17"/>
  <c r="Q275" i="17"/>
  <c r="Q276" i="17"/>
  <c r="Q273" i="17"/>
  <c r="Q277" i="17"/>
  <c r="Q278" i="17"/>
  <c r="Q272" i="17"/>
  <c r="R200" i="17"/>
  <c r="R201" i="17"/>
  <c r="R199" i="17"/>
  <c r="R191" i="17"/>
  <c r="R195" i="17"/>
  <c r="R196" i="17"/>
  <c r="R193" i="17"/>
  <c r="R198" i="17"/>
  <c r="R194" i="17"/>
  <c r="R197" i="17"/>
  <c r="R192" i="17"/>
  <c r="Q59" i="18" s="1"/>
  <c r="P309" i="17"/>
  <c r="P301" i="17"/>
  <c r="P304" i="17"/>
  <c r="P310" i="17"/>
  <c r="P302" i="17"/>
  <c r="P306" i="17"/>
  <c r="P305" i="17"/>
  <c r="P308" i="17"/>
  <c r="P311" i="17"/>
  <c r="P307" i="17"/>
  <c r="P303" i="17"/>
  <c r="O262" i="17"/>
  <c r="Q142" i="17"/>
  <c r="Q143" i="17" s="1"/>
  <c r="R139" i="17"/>
  <c r="R140" i="17"/>
  <c r="R141" i="17"/>
  <c r="R138" i="17"/>
  <c r="R135" i="17"/>
  <c r="R131" i="17"/>
  <c r="R132" i="17"/>
  <c r="Q11" i="18" s="1"/>
  <c r="R136" i="17"/>
  <c r="R134" i="17"/>
  <c r="R137" i="17"/>
  <c r="R133" i="17"/>
  <c r="P211" i="13"/>
  <c r="P208" i="13"/>
  <c r="P206" i="13"/>
  <c r="P168" i="13"/>
  <c r="P166" i="13"/>
  <c r="P173" i="13"/>
  <c r="P213" i="13"/>
  <c r="P169" i="13"/>
  <c r="P210" i="13"/>
  <c r="P209" i="13"/>
  <c r="P170" i="13"/>
  <c r="P167" i="13"/>
  <c r="P214" i="13"/>
  <c r="P207" i="13"/>
  <c r="P174" i="13"/>
  <c r="P212" i="13"/>
  <c r="P172" i="13"/>
  <c r="P171" i="13"/>
  <c r="R199" i="13"/>
  <c r="P72" i="6"/>
  <c r="P100" i="6" s="1"/>
  <c r="P196" i="6" s="1"/>
  <c r="P77" i="6"/>
  <c r="P105" i="6" s="1"/>
  <c r="P201" i="6" s="1"/>
  <c r="Q201" i="13"/>
  <c r="P79" i="6"/>
  <c r="P107" i="6" s="1"/>
  <c r="P203" i="6" s="1"/>
  <c r="S202" i="13"/>
  <c r="P75" i="6"/>
  <c r="P103" i="6" s="1"/>
  <c r="P199" i="6" s="1"/>
  <c r="R200" i="13"/>
  <c r="O76" i="6"/>
  <c r="O104" i="6" s="1"/>
  <c r="O200" i="6" s="1"/>
  <c r="O71" i="6"/>
  <c r="O99" i="6" s="1"/>
  <c r="O195" i="6" s="1"/>
  <c r="R197" i="13"/>
  <c r="R196" i="13"/>
  <c r="P74" i="6"/>
  <c r="P102" i="6" s="1"/>
  <c r="P198" i="6" s="1"/>
  <c r="O73" i="6"/>
  <c r="O101" i="6" s="1"/>
  <c r="O197" i="6" s="1"/>
  <c r="Q78" i="6"/>
  <c r="Q106" i="6" s="1"/>
  <c r="Q202" i="6" s="1"/>
  <c r="R204" i="13"/>
  <c r="Q198" i="13"/>
  <c r="S203" i="13"/>
  <c r="P195" i="13"/>
  <c r="P185" i="13"/>
  <c r="P175" i="13"/>
  <c r="R194" i="13"/>
  <c r="R184" i="13"/>
  <c r="Q188" i="13"/>
  <c r="Q178" i="13"/>
  <c r="S183" i="13"/>
  <c r="S193" i="13"/>
  <c r="R189" i="13"/>
  <c r="R179" i="13"/>
  <c r="Q191" i="13"/>
  <c r="Q181" i="13"/>
  <c r="S192" i="13"/>
  <c r="S182" i="13"/>
  <c r="R186" i="13"/>
  <c r="R176" i="13"/>
  <c r="R187" i="13"/>
  <c r="R177" i="13"/>
  <c r="R180" i="13"/>
  <c r="R190" i="13"/>
  <c r="G231" i="6"/>
  <c r="H225" i="6"/>
  <c r="H223" i="6"/>
  <c r="H224" i="6"/>
  <c r="H205" i="6"/>
  <c r="Q20" i="36"/>
  <c r="O54" i="34" s="1"/>
  <c r="R11" i="36"/>
  <c r="P125" i="18"/>
  <c r="S19" i="36"/>
  <c r="Q133" i="18"/>
  <c r="T18" i="36"/>
  <c r="R132" i="18"/>
  <c r="S12" i="36"/>
  <c r="Q126" i="18"/>
  <c r="R16" i="36"/>
  <c r="P130" i="18"/>
  <c r="S15" i="36"/>
  <c r="Q129" i="18"/>
  <c r="S17" i="36"/>
  <c r="Q131" i="18"/>
  <c r="S14" i="36"/>
  <c r="Q128" i="18"/>
  <c r="R13" i="36"/>
  <c r="P127" i="18"/>
  <c r="O6" i="36"/>
  <c r="O8" i="36" s="1"/>
  <c r="M53" i="34" s="1"/>
  <c r="N25" i="36"/>
  <c r="N28" i="36" s="1"/>
  <c r="L64" i="34" s="1"/>
  <c r="N14" i="34"/>
  <c r="N8" i="36"/>
  <c r="L53" i="34" s="1"/>
  <c r="P97" i="17"/>
  <c r="O7" i="18" s="1"/>
  <c r="R92" i="17"/>
  <c r="R160" i="13"/>
  <c r="R150" i="13"/>
  <c r="R91" i="17"/>
  <c r="R149" i="13"/>
  <c r="R159" i="13"/>
  <c r="Q93" i="17"/>
  <c r="Q161" i="13"/>
  <c r="Q151" i="13"/>
  <c r="R96" i="17"/>
  <c r="R164" i="13"/>
  <c r="R154" i="13"/>
  <c r="Q90" i="17"/>
  <c r="Q158" i="13"/>
  <c r="Q148" i="13"/>
  <c r="S95" i="17"/>
  <c r="S163" i="13"/>
  <c r="S153" i="13"/>
  <c r="S94" i="17"/>
  <c r="S152" i="13"/>
  <c r="S162" i="13"/>
  <c r="R89" i="17"/>
  <c r="R157" i="13"/>
  <c r="R147" i="13"/>
  <c r="R146" i="13"/>
  <c r="R156" i="13"/>
  <c r="Q43" i="34"/>
  <c r="P6" i="36" s="1"/>
  <c r="F34" i="28"/>
  <c r="F104" i="13" s="1"/>
  <c r="T23" i="6"/>
  <c r="S30" i="6"/>
  <c r="S28" i="6"/>
  <c r="S25" i="6"/>
  <c r="S32" i="6"/>
  <c r="S27" i="6"/>
  <c r="S33" i="6"/>
  <c r="S31" i="6"/>
  <c r="S29" i="6"/>
  <c r="S26" i="6"/>
  <c r="H34" i="28"/>
  <c r="H104" i="13" s="1"/>
  <c r="I34" i="28"/>
  <c r="I104" i="13" s="1"/>
  <c r="J34" i="28"/>
  <c r="J104" i="13" s="1"/>
  <c r="K34" i="28"/>
  <c r="K104" i="13" s="1"/>
  <c r="L34" i="28"/>
  <c r="L104" i="13" s="1"/>
  <c r="M34" i="28"/>
  <c r="M104" i="13" s="1"/>
  <c r="N34" i="28"/>
  <c r="N104" i="13" s="1"/>
  <c r="O34" i="28"/>
  <c r="O104" i="13" s="1"/>
  <c r="P34" i="28"/>
  <c r="P104" i="13" s="1"/>
  <c r="Q34" i="28"/>
  <c r="Q104" i="13" s="1"/>
  <c r="R34" i="28"/>
  <c r="R104" i="13" s="1"/>
  <c r="S34" i="28"/>
  <c r="S104" i="13" s="1"/>
  <c r="T34" i="28"/>
  <c r="T104" i="13" s="1"/>
  <c r="U34" i="28"/>
  <c r="U104" i="13" s="1"/>
  <c r="V34" i="28"/>
  <c r="V104" i="13" s="1"/>
  <c r="W34" i="28"/>
  <c r="W104" i="13" s="1"/>
  <c r="X34" i="28"/>
  <c r="X104" i="13" s="1"/>
  <c r="Y34" i="28"/>
  <c r="Y104" i="13" s="1"/>
  <c r="Z34" i="28"/>
  <c r="Z104" i="13" s="1"/>
  <c r="AA34" i="28"/>
  <c r="AA104" i="13" s="1"/>
  <c r="AB34" i="28"/>
  <c r="AB104" i="13" s="1"/>
  <c r="AC34" i="28"/>
  <c r="AC104" i="13" s="1"/>
  <c r="AD34" i="28"/>
  <c r="AD104" i="13" s="1"/>
  <c r="AE34" i="28"/>
  <c r="AE104" i="13" s="1"/>
  <c r="AF34" i="28"/>
  <c r="AF104" i="13" s="1"/>
  <c r="AG34" i="28"/>
  <c r="AG104" i="13" s="1"/>
  <c r="AH34" i="28"/>
  <c r="AH104" i="13" s="1"/>
  <c r="AI34" i="28"/>
  <c r="AI104" i="13" s="1"/>
  <c r="M116" i="6"/>
  <c r="M179" i="6" s="1"/>
  <c r="O123" i="6"/>
  <c r="O186" i="6" s="1"/>
  <c r="N122" i="6"/>
  <c r="N185" i="6" s="1"/>
  <c r="N212" i="6" s="1"/>
  <c r="N120" i="6"/>
  <c r="N183" i="6" s="1"/>
  <c r="N119" i="6"/>
  <c r="N182" i="6" s="1"/>
  <c r="N124" i="6"/>
  <c r="N187" i="6" s="1"/>
  <c r="N117" i="6"/>
  <c r="N180" i="6" s="1"/>
  <c r="N118" i="6"/>
  <c r="N181" i="6" s="1"/>
  <c r="P33" i="34"/>
  <c r="P32" i="34"/>
  <c r="P34" i="34"/>
  <c r="P18" i="34"/>
  <c r="P37" i="34"/>
  <c r="P16" i="34"/>
  <c r="P25" i="34"/>
  <c r="P36" i="34"/>
  <c r="O14" i="34"/>
  <c r="P24" i="34"/>
  <c r="M36" i="36"/>
  <c r="M12" i="37" s="1"/>
  <c r="O7" i="37"/>
  <c r="O6" i="37" s="1"/>
  <c r="M49" i="34"/>
  <c r="Q6" i="34"/>
  <c r="Q8" i="34" s="1"/>
  <c r="N6" i="18"/>
  <c r="L52" i="34"/>
  <c r="O123" i="18"/>
  <c r="R7" i="34"/>
  <c r="P155" i="13"/>
  <c r="P145" i="13"/>
  <c r="Q133" i="6"/>
  <c r="S63" i="17"/>
  <c r="R139" i="6"/>
  <c r="T69" i="17"/>
  <c r="I189" i="6"/>
  <c r="I190" i="6" s="1"/>
  <c r="Q136" i="6"/>
  <c r="S66" i="17"/>
  <c r="Q135" i="6"/>
  <c r="S65" i="17"/>
  <c r="J189" i="6"/>
  <c r="J190" i="6" s="1"/>
  <c r="Q71" i="17"/>
  <c r="Q165" i="13" s="1"/>
  <c r="R64" i="17"/>
  <c r="P44" i="6"/>
  <c r="P151" i="6" s="1"/>
  <c r="P166" i="6" s="1"/>
  <c r="P134" i="6"/>
  <c r="Q140" i="6"/>
  <c r="S70" i="17"/>
  <c r="R88" i="17"/>
  <c r="P137" i="6"/>
  <c r="R67" i="17"/>
  <c r="L126" i="6"/>
  <c r="O142" i="6"/>
  <c r="O143" i="6" s="1"/>
  <c r="P42" i="6"/>
  <c r="P149" i="6" s="1"/>
  <c r="P164" i="6" s="1"/>
  <c r="P173" i="6" s="1"/>
  <c r="P174" i="6" s="1"/>
  <c r="P132" i="6"/>
  <c r="T68" i="17"/>
  <c r="Q138" i="6"/>
  <c r="Q48" i="6"/>
  <c r="Q155" i="6" s="1"/>
  <c r="O52" i="6"/>
  <c r="O53" i="6" s="1"/>
  <c r="N81" i="6"/>
  <c r="Q46" i="6"/>
  <c r="Q153" i="6" s="1"/>
  <c r="Q168" i="6" s="1"/>
  <c r="P47" i="6"/>
  <c r="P154" i="6" s="1"/>
  <c r="P169" i="6" s="1"/>
  <c r="Q45" i="6"/>
  <c r="Q152" i="6" s="1"/>
  <c r="Q167" i="6" s="1"/>
  <c r="Q50" i="6"/>
  <c r="Q157" i="6" s="1"/>
  <c r="Q172" i="6" s="1"/>
  <c r="Q43" i="6"/>
  <c r="Q150" i="6" s="1"/>
  <c r="Q165" i="6" s="1"/>
  <c r="R49" i="6"/>
  <c r="R156" i="6" s="1"/>
  <c r="R171" i="6" s="1"/>
  <c r="P35" i="6"/>
  <c r="S62" i="17"/>
  <c r="P158" i="6" l="1"/>
  <c r="P159" i="6" s="1"/>
  <c r="J215" i="6"/>
  <c r="T126" i="69"/>
  <c r="R126" i="69"/>
  <c r="K215" i="6"/>
  <c r="M209" i="6"/>
  <c r="M210" i="6"/>
  <c r="P283" i="17"/>
  <c r="O404" i="17"/>
  <c r="O405" i="17" s="1"/>
  <c r="P218" i="17"/>
  <c r="P264" i="17"/>
  <c r="R248" i="17"/>
  <c r="G220" i="6"/>
  <c r="G234" i="6" s="1"/>
  <c r="O263" i="17"/>
  <c r="O265" i="17"/>
  <c r="Q217" i="17"/>
  <c r="P312" i="17"/>
  <c r="P313" i="17" s="1"/>
  <c r="Q304" i="17"/>
  <c r="Q307" i="17"/>
  <c r="Q305" i="17"/>
  <c r="Q306" i="17"/>
  <c r="Q302" i="17"/>
  <c r="Q309" i="17"/>
  <c r="Q308" i="17"/>
  <c r="Q301" i="17"/>
  <c r="Q311" i="17"/>
  <c r="Q303" i="17"/>
  <c r="Q310" i="17"/>
  <c r="R202" i="17"/>
  <c r="R203" i="17" s="1"/>
  <c r="Q282" i="17"/>
  <c r="S247" i="17"/>
  <c r="R372" i="17"/>
  <c r="R373" i="17" s="1"/>
  <c r="R296" i="17"/>
  <c r="R294" i="17"/>
  <c r="R295" i="17"/>
  <c r="R286" i="17"/>
  <c r="R287" i="17"/>
  <c r="R291" i="17"/>
  <c r="R292" i="17"/>
  <c r="R289" i="17"/>
  <c r="R288" i="17"/>
  <c r="R290" i="17"/>
  <c r="R293" i="17"/>
  <c r="T229" i="17"/>
  <c r="T230" i="17"/>
  <c r="T231" i="17"/>
  <c r="T221" i="17"/>
  <c r="T222" i="17"/>
  <c r="S83" i="18" s="1"/>
  <c r="T225" i="17"/>
  <c r="T224" i="17"/>
  <c r="T228" i="17"/>
  <c r="T223" i="17"/>
  <c r="T226" i="17"/>
  <c r="T227" i="17"/>
  <c r="T246" i="17"/>
  <c r="T244" i="17"/>
  <c r="T245" i="17"/>
  <c r="T236" i="17"/>
  <c r="T237" i="17"/>
  <c r="S95" i="18" s="1"/>
  <c r="T241" i="17"/>
  <c r="T243" i="17"/>
  <c r="T242" i="17"/>
  <c r="T239" i="17"/>
  <c r="T240" i="17"/>
  <c r="T238" i="17"/>
  <c r="Q172" i="17"/>
  <c r="Q173" i="17" s="1"/>
  <c r="Q402" i="17"/>
  <c r="Q403" i="17" s="1"/>
  <c r="S185" i="17"/>
  <c r="S186" i="17"/>
  <c r="S184" i="17"/>
  <c r="S176" i="17"/>
  <c r="S180" i="17"/>
  <c r="S182" i="17"/>
  <c r="S181" i="17"/>
  <c r="S178" i="17"/>
  <c r="S183" i="17"/>
  <c r="S177" i="17"/>
  <c r="R47" i="18" s="1"/>
  <c r="S179" i="17"/>
  <c r="R341" i="17"/>
  <c r="R339" i="17"/>
  <c r="R331" i="17"/>
  <c r="R334" i="17"/>
  <c r="R337" i="17"/>
  <c r="R340" i="17"/>
  <c r="R332" i="17"/>
  <c r="R335" i="17"/>
  <c r="R338" i="17"/>
  <c r="R333" i="17"/>
  <c r="R336" i="17"/>
  <c r="R187" i="17"/>
  <c r="R188" i="17" s="1"/>
  <c r="R171" i="17"/>
  <c r="R169" i="17"/>
  <c r="R170" i="17"/>
  <c r="R161" i="17"/>
  <c r="R164" i="17"/>
  <c r="R165" i="17"/>
  <c r="R162" i="17"/>
  <c r="Q35" i="18" s="1"/>
  <c r="R168" i="17"/>
  <c r="R166" i="17"/>
  <c r="R167" i="17"/>
  <c r="R163" i="17"/>
  <c r="R281" i="17"/>
  <c r="R279" i="17"/>
  <c r="R280" i="17"/>
  <c r="R271" i="17"/>
  <c r="R275" i="17"/>
  <c r="R276" i="17"/>
  <c r="R274" i="17"/>
  <c r="R278" i="17"/>
  <c r="R273" i="17"/>
  <c r="R272" i="17"/>
  <c r="R277" i="17"/>
  <c r="S361" i="17"/>
  <c r="S369" i="17"/>
  <c r="S364" i="17"/>
  <c r="S368" i="17"/>
  <c r="S362" i="17"/>
  <c r="S371" i="17"/>
  <c r="S365" i="17"/>
  <c r="S370" i="17"/>
  <c r="S363" i="17"/>
  <c r="S367" i="17"/>
  <c r="S366" i="17"/>
  <c r="S261" i="17"/>
  <c r="S259" i="17"/>
  <c r="S260" i="17"/>
  <c r="S251" i="17"/>
  <c r="S258" i="17"/>
  <c r="S255" i="17"/>
  <c r="S254" i="17"/>
  <c r="S252" i="17"/>
  <c r="R107" i="18" s="1"/>
  <c r="S256" i="17"/>
  <c r="S253" i="17"/>
  <c r="S257" i="17"/>
  <c r="S154" i="17"/>
  <c r="S156" i="17"/>
  <c r="S155" i="17"/>
  <c r="S150" i="17"/>
  <c r="S146" i="17"/>
  <c r="S152" i="17"/>
  <c r="S153" i="17"/>
  <c r="S151" i="17"/>
  <c r="S149" i="17"/>
  <c r="S147" i="17"/>
  <c r="R23" i="18" s="1"/>
  <c r="S148" i="17"/>
  <c r="R396" i="17"/>
  <c r="R399" i="17"/>
  <c r="R394" i="17"/>
  <c r="R397" i="17"/>
  <c r="R400" i="17"/>
  <c r="R395" i="17"/>
  <c r="R398" i="17"/>
  <c r="R392" i="17"/>
  <c r="R401" i="17"/>
  <c r="R393" i="17"/>
  <c r="R391" i="17"/>
  <c r="P357" i="17"/>
  <c r="P358" i="17" s="1"/>
  <c r="R157" i="17"/>
  <c r="R158" i="17" s="1"/>
  <c r="Q342" i="17"/>
  <c r="Q343" i="17" s="1"/>
  <c r="S200" i="17"/>
  <c r="S201" i="17"/>
  <c r="S199" i="17"/>
  <c r="S191" i="17"/>
  <c r="S194" i="17"/>
  <c r="S195" i="17"/>
  <c r="S196" i="17"/>
  <c r="S193" i="17"/>
  <c r="S198" i="17"/>
  <c r="S192" i="17"/>
  <c r="R59" i="18" s="1"/>
  <c r="S197" i="17"/>
  <c r="S386" i="17"/>
  <c r="S384" i="17"/>
  <c r="S376" i="17"/>
  <c r="S379" i="17"/>
  <c r="S385" i="17"/>
  <c r="S377" i="17"/>
  <c r="S380" i="17"/>
  <c r="S383" i="17"/>
  <c r="S382" i="17"/>
  <c r="S378" i="17"/>
  <c r="S381" i="17"/>
  <c r="R387" i="17"/>
  <c r="R388" i="17" s="1"/>
  <c r="Q327" i="17"/>
  <c r="Q328" i="17" s="1"/>
  <c r="R319" i="17"/>
  <c r="R320" i="17"/>
  <c r="R323" i="17"/>
  <c r="R326" i="17"/>
  <c r="R318" i="17"/>
  <c r="R321" i="17"/>
  <c r="R316" i="17"/>
  <c r="R324" i="17"/>
  <c r="R317" i="17"/>
  <c r="R322" i="17"/>
  <c r="R325" i="17"/>
  <c r="Q354" i="17"/>
  <c r="Q355" i="17"/>
  <c r="Q347" i="17"/>
  <c r="Q350" i="17"/>
  <c r="Q353" i="17"/>
  <c r="Q356" i="17"/>
  <c r="Q348" i="17"/>
  <c r="Q351" i="17"/>
  <c r="Q352" i="17"/>
  <c r="Q346" i="17"/>
  <c r="Q349" i="17"/>
  <c r="R216" i="17"/>
  <c r="R214" i="17"/>
  <c r="R215" i="17"/>
  <c r="R206" i="17"/>
  <c r="R209" i="17"/>
  <c r="R211" i="17"/>
  <c r="R212" i="17"/>
  <c r="R208" i="17"/>
  <c r="R207" i="17"/>
  <c r="Q71" i="18" s="1"/>
  <c r="R213" i="17"/>
  <c r="R210" i="17"/>
  <c r="S232" i="17"/>
  <c r="S233" i="17" s="1"/>
  <c r="Q297" i="17"/>
  <c r="Q298" i="17" s="1"/>
  <c r="P262" i="17"/>
  <c r="S134" i="17"/>
  <c r="S135" i="17"/>
  <c r="S140" i="17"/>
  <c r="S131" i="17"/>
  <c r="S132" i="17"/>
  <c r="R11" i="18" s="1"/>
  <c r="S136" i="17"/>
  <c r="S139" i="17"/>
  <c r="S133" i="17"/>
  <c r="S138" i="17"/>
  <c r="S137" i="17"/>
  <c r="S141" i="17"/>
  <c r="R142" i="17"/>
  <c r="R143" i="17" s="1"/>
  <c r="Q208" i="13"/>
  <c r="Q206" i="13"/>
  <c r="Q166" i="13"/>
  <c r="Q173" i="13"/>
  <c r="Q213" i="13"/>
  <c r="Q174" i="13"/>
  <c r="Q170" i="13"/>
  <c r="Q210" i="13"/>
  <c r="Q169" i="13"/>
  <c r="Q212" i="13"/>
  <c r="Q209" i="13"/>
  <c r="Q172" i="13"/>
  <c r="Q167" i="13"/>
  <c r="Q207" i="13"/>
  <c r="Q214" i="13"/>
  <c r="Q171" i="13"/>
  <c r="Q168" i="13"/>
  <c r="Q211" i="13"/>
  <c r="Q79" i="6"/>
  <c r="Q107" i="6" s="1"/>
  <c r="Q203" i="6" s="1"/>
  <c r="Q77" i="6"/>
  <c r="Q105" i="6" s="1"/>
  <c r="Q201" i="6" s="1"/>
  <c r="S196" i="13"/>
  <c r="P76" i="6"/>
  <c r="P104" i="6" s="1"/>
  <c r="P200" i="6" s="1"/>
  <c r="S199" i="13"/>
  <c r="T202" i="13"/>
  <c r="T203" i="13"/>
  <c r="Q75" i="6"/>
  <c r="Q103" i="6" s="1"/>
  <c r="Q199" i="6" s="1"/>
  <c r="P71" i="6"/>
  <c r="P99" i="6" s="1"/>
  <c r="P195" i="6" s="1"/>
  <c r="S204" i="13"/>
  <c r="S197" i="13"/>
  <c r="R198" i="13"/>
  <c r="R78" i="6"/>
  <c r="R106" i="6" s="1"/>
  <c r="R202" i="6" s="1"/>
  <c r="S200" i="13"/>
  <c r="Q72" i="6"/>
  <c r="Q100" i="6" s="1"/>
  <c r="Q196" i="6" s="1"/>
  <c r="Q74" i="6"/>
  <c r="Q102" i="6" s="1"/>
  <c r="Q198" i="6" s="1"/>
  <c r="R201" i="13"/>
  <c r="P73" i="6"/>
  <c r="P101" i="6" s="1"/>
  <c r="P197" i="6" s="1"/>
  <c r="Q185" i="13"/>
  <c r="Q175" i="13"/>
  <c r="Q195" i="13"/>
  <c r="S186" i="13"/>
  <c r="S176" i="13"/>
  <c r="S187" i="13"/>
  <c r="S177" i="13"/>
  <c r="S189" i="13"/>
  <c r="S179" i="13"/>
  <c r="S190" i="13"/>
  <c r="S180" i="13"/>
  <c r="S194" i="13"/>
  <c r="S184" i="13"/>
  <c r="R191" i="13"/>
  <c r="R181" i="13"/>
  <c r="R178" i="13"/>
  <c r="R188" i="13"/>
  <c r="T192" i="13"/>
  <c r="T182" i="13"/>
  <c r="T193" i="13"/>
  <c r="T183" i="13"/>
  <c r="H221" i="6"/>
  <c r="I225" i="6"/>
  <c r="I223" i="6"/>
  <c r="I224" i="6"/>
  <c r="J225" i="6"/>
  <c r="J223" i="6"/>
  <c r="J224" i="6"/>
  <c r="N211" i="6"/>
  <c r="H233" i="6"/>
  <c r="H232" i="6"/>
  <c r="J205" i="6"/>
  <c r="I205" i="6"/>
  <c r="R20" i="36"/>
  <c r="P54" i="34" s="1"/>
  <c r="T14" i="36"/>
  <c r="R128" i="18"/>
  <c r="T17" i="36"/>
  <c r="R131" i="18"/>
  <c r="S13" i="36"/>
  <c r="Q127" i="18"/>
  <c r="T15" i="36"/>
  <c r="R129" i="18"/>
  <c r="U18" i="36"/>
  <c r="S132" i="18"/>
  <c r="T19" i="36"/>
  <c r="R133" i="18"/>
  <c r="S16" i="36"/>
  <c r="Q130" i="18"/>
  <c r="S11" i="36"/>
  <c r="Q125" i="18"/>
  <c r="T12" i="36"/>
  <c r="R126" i="18"/>
  <c r="N31" i="36"/>
  <c r="L65" i="34" s="1"/>
  <c r="O25" i="36"/>
  <c r="O28" i="36" s="1"/>
  <c r="O7" i="36"/>
  <c r="M52" i="34" s="1"/>
  <c r="N50" i="34"/>
  <c r="P7" i="37" s="1"/>
  <c r="P6" i="37" s="1"/>
  <c r="Q97" i="17"/>
  <c r="P7" i="18" s="1"/>
  <c r="S89" i="17"/>
  <c r="S157" i="13"/>
  <c r="S147" i="13"/>
  <c r="S96" i="17"/>
  <c r="S164" i="13"/>
  <c r="S154" i="13"/>
  <c r="R90" i="17"/>
  <c r="R158" i="13"/>
  <c r="R148" i="13"/>
  <c r="R93" i="17"/>
  <c r="R151" i="13"/>
  <c r="R161" i="13"/>
  <c r="S91" i="17"/>
  <c r="S149" i="13"/>
  <c r="S159" i="13"/>
  <c r="T94" i="17"/>
  <c r="T162" i="13"/>
  <c r="T152" i="13"/>
  <c r="S156" i="13"/>
  <c r="S146" i="13"/>
  <c r="S92" i="17"/>
  <c r="S160" i="13"/>
  <c r="S150" i="13"/>
  <c r="T95" i="17"/>
  <c r="T163" i="13"/>
  <c r="T153" i="13"/>
  <c r="R43" i="34"/>
  <c r="Q6" i="36" s="1"/>
  <c r="Q9" i="34"/>
  <c r="M31" i="34"/>
  <c r="H31" i="34"/>
  <c r="L31" i="34"/>
  <c r="N31" i="34"/>
  <c r="K31" i="34"/>
  <c r="J31" i="34"/>
  <c r="P31" i="34"/>
  <c r="O31" i="34"/>
  <c r="U23" i="6"/>
  <c r="T32" i="6"/>
  <c r="T27" i="6"/>
  <c r="T33" i="6"/>
  <c r="T31" i="6"/>
  <c r="T29" i="6"/>
  <c r="T26" i="6"/>
  <c r="T30" i="6"/>
  <c r="T28" i="6"/>
  <c r="T25" i="6"/>
  <c r="L215" i="6"/>
  <c r="O120" i="6"/>
  <c r="O183" i="6" s="1"/>
  <c r="N121" i="6"/>
  <c r="N184" i="6" s="1"/>
  <c r="N213" i="6" s="1"/>
  <c r="O122" i="6"/>
  <c r="O185" i="6" s="1"/>
  <c r="O212" i="6" s="1"/>
  <c r="O117" i="6"/>
  <c r="O180" i="6" s="1"/>
  <c r="O118" i="6"/>
  <c r="O181" i="6" s="1"/>
  <c r="G34" i="28"/>
  <c r="G104" i="13" s="1"/>
  <c r="E104" i="13" s="1"/>
  <c r="D61" i="4" s="1"/>
  <c r="E34" i="28"/>
  <c r="O119" i="6"/>
  <c r="O182" i="6" s="1"/>
  <c r="O124" i="6"/>
  <c r="O187" i="6" s="1"/>
  <c r="P123" i="6"/>
  <c r="P186" i="6" s="1"/>
  <c r="N116" i="6"/>
  <c r="N179" i="6" s="1"/>
  <c r="P14" i="34"/>
  <c r="P25" i="36"/>
  <c r="P28" i="36" s="1"/>
  <c r="P7" i="36"/>
  <c r="P8" i="36"/>
  <c r="N53" i="34" s="1"/>
  <c r="P123" i="18"/>
  <c r="S7" i="34"/>
  <c r="R6" i="34"/>
  <c r="R8" i="34" s="1"/>
  <c r="O6" i="18"/>
  <c r="Q155" i="13"/>
  <c r="Q145" i="13"/>
  <c r="S139" i="6"/>
  <c r="U69" i="17"/>
  <c r="S64" i="17"/>
  <c r="Q44" i="6"/>
  <c r="Q151" i="6" s="1"/>
  <c r="Q166" i="6" s="1"/>
  <c r="Q134" i="6"/>
  <c r="R71" i="17"/>
  <c r="R165" i="13" s="1"/>
  <c r="R133" i="6"/>
  <c r="T63" i="17"/>
  <c r="R140" i="6"/>
  <c r="T70" i="17"/>
  <c r="Q137" i="6"/>
  <c r="S67" i="17"/>
  <c r="S88" i="17"/>
  <c r="K189" i="6"/>
  <c r="K190" i="6" s="1"/>
  <c r="R135" i="6"/>
  <c r="T65" i="17"/>
  <c r="R136" i="6"/>
  <c r="T66" i="17"/>
  <c r="P142" i="6"/>
  <c r="P143" i="6" s="1"/>
  <c r="M121" i="6"/>
  <c r="M184" i="6" s="1"/>
  <c r="M213" i="6" s="1"/>
  <c r="M109" i="6"/>
  <c r="M110" i="6" s="1"/>
  <c r="Q42" i="6"/>
  <c r="Q149" i="6" s="1"/>
  <c r="Q164" i="6" s="1"/>
  <c r="Q173" i="6" s="1"/>
  <c r="Q174" i="6" s="1"/>
  <c r="Q132" i="6"/>
  <c r="U68" i="17"/>
  <c r="R138" i="6"/>
  <c r="R48" i="6"/>
  <c r="R155" i="6" s="1"/>
  <c r="P52" i="6"/>
  <c r="P53" i="6" s="1"/>
  <c r="O81" i="6"/>
  <c r="R46" i="6"/>
  <c r="R153" i="6" s="1"/>
  <c r="R168" i="6" s="1"/>
  <c r="R43" i="6"/>
  <c r="R150" i="6" s="1"/>
  <c r="R165" i="6" s="1"/>
  <c r="R50" i="6"/>
  <c r="R157" i="6" s="1"/>
  <c r="R172" i="6" s="1"/>
  <c r="R45" i="6"/>
  <c r="R152" i="6" s="1"/>
  <c r="R167" i="6" s="1"/>
  <c r="Q47" i="6"/>
  <c r="Q154" i="6" s="1"/>
  <c r="Q169" i="6" s="1"/>
  <c r="S49" i="6"/>
  <c r="S156" i="6" s="1"/>
  <c r="S171" i="6" s="1"/>
  <c r="Q35" i="6"/>
  <c r="T62" i="17"/>
  <c r="Q36" i="34" l="1"/>
  <c r="Q17" i="34"/>
  <c r="H240" i="6"/>
  <c r="H241" i="6" s="1"/>
  <c r="Q158" i="6"/>
  <c r="Q159" i="6" s="1"/>
  <c r="T134" i="69"/>
  <c r="X117" i="69" s="1"/>
  <c r="T131" i="69"/>
  <c r="N209" i="6"/>
  <c r="N210" i="6"/>
  <c r="N214" i="6"/>
  <c r="O211" i="6"/>
  <c r="P404" i="17"/>
  <c r="P405" i="17" s="1"/>
  <c r="S248" i="17"/>
  <c r="Q218" i="17"/>
  <c r="Q264" i="17"/>
  <c r="P263" i="17"/>
  <c r="P265" i="17"/>
  <c r="K228" i="6"/>
  <c r="K227" i="6"/>
  <c r="R217" i="17"/>
  <c r="R172" i="17"/>
  <c r="R173" i="17" s="1"/>
  <c r="Q312" i="17"/>
  <c r="Q313" i="17" s="1"/>
  <c r="S279" i="17"/>
  <c r="S280" i="17"/>
  <c r="S281" i="17"/>
  <c r="S271" i="17"/>
  <c r="S276" i="17"/>
  <c r="S274" i="17"/>
  <c r="S275" i="17"/>
  <c r="S272" i="17"/>
  <c r="S277" i="17"/>
  <c r="S278" i="17"/>
  <c r="S273" i="17"/>
  <c r="R355" i="17"/>
  <c r="R350" i="17"/>
  <c r="R353" i="17"/>
  <c r="R356" i="17"/>
  <c r="R351" i="17"/>
  <c r="R352" i="17"/>
  <c r="R347" i="17"/>
  <c r="R354" i="17"/>
  <c r="R346" i="17"/>
  <c r="R349" i="17"/>
  <c r="R348" i="17"/>
  <c r="S202" i="17"/>
  <c r="S203" i="17" s="1"/>
  <c r="T232" i="17"/>
  <c r="T233" i="17" s="1"/>
  <c r="U245" i="17"/>
  <c r="U246" i="17"/>
  <c r="U244" i="17"/>
  <c r="U236" i="17"/>
  <c r="U243" i="17"/>
  <c r="U242" i="17"/>
  <c r="U241" i="17"/>
  <c r="U237" i="17"/>
  <c r="T95" i="18" s="1"/>
  <c r="U238" i="17"/>
  <c r="U240" i="17"/>
  <c r="U239" i="17"/>
  <c r="T201" i="17"/>
  <c r="T199" i="17"/>
  <c r="T200" i="17"/>
  <c r="T191" i="17"/>
  <c r="T195" i="17"/>
  <c r="T196" i="17"/>
  <c r="T193" i="17"/>
  <c r="T198" i="17"/>
  <c r="T194" i="17"/>
  <c r="T192" i="17"/>
  <c r="S59" i="18" s="1"/>
  <c r="T197" i="17"/>
  <c r="S216" i="17"/>
  <c r="S214" i="17"/>
  <c r="S215" i="17"/>
  <c r="S206" i="17"/>
  <c r="S208" i="17"/>
  <c r="S209" i="17"/>
  <c r="S212" i="17"/>
  <c r="S211" i="17"/>
  <c r="S213" i="17"/>
  <c r="S207" i="17"/>
  <c r="R71" i="18" s="1"/>
  <c r="S210" i="17"/>
  <c r="S399" i="17"/>
  <c r="S394" i="17"/>
  <c r="S397" i="17"/>
  <c r="S400" i="17"/>
  <c r="S395" i="17"/>
  <c r="S398" i="17"/>
  <c r="S401" i="17"/>
  <c r="S396" i="17"/>
  <c r="S392" i="17"/>
  <c r="S393" i="17"/>
  <c r="S391" i="17"/>
  <c r="S372" i="17"/>
  <c r="S373" i="17" s="1"/>
  <c r="R342" i="17"/>
  <c r="R343" i="17" s="1"/>
  <c r="S171" i="17"/>
  <c r="S169" i="17"/>
  <c r="S170" i="17"/>
  <c r="S161" i="17"/>
  <c r="S165" i="17"/>
  <c r="S162" i="17"/>
  <c r="R35" i="18" s="1"/>
  <c r="S168" i="17"/>
  <c r="S164" i="17"/>
  <c r="S167" i="17"/>
  <c r="S163" i="17"/>
  <c r="S166" i="17"/>
  <c r="R327" i="17"/>
  <c r="R328" i="17" s="1"/>
  <c r="S387" i="17"/>
  <c r="S388" i="17" s="1"/>
  <c r="T247" i="17"/>
  <c r="Q283" i="17"/>
  <c r="R282" i="17"/>
  <c r="S187" i="17"/>
  <c r="S188" i="17" s="1"/>
  <c r="R297" i="17"/>
  <c r="R298" i="17" s="1"/>
  <c r="T386" i="17"/>
  <c r="T379" i="17"/>
  <c r="T382" i="17"/>
  <c r="T385" i="17"/>
  <c r="T380" i="17"/>
  <c r="T383" i="17"/>
  <c r="T376" i="17"/>
  <c r="T378" i="17"/>
  <c r="T384" i="17"/>
  <c r="T381" i="17"/>
  <c r="T377" i="17"/>
  <c r="S295" i="17"/>
  <c r="S296" i="17"/>
  <c r="S294" i="17"/>
  <c r="S286" i="17"/>
  <c r="S292" i="17"/>
  <c r="S287" i="17"/>
  <c r="S291" i="17"/>
  <c r="S289" i="17"/>
  <c r="S288" i="17"/>
  <c r="S290" i="17"/>
  <c r="S293" i="17"/>
  <c r="Q357" i="17"/>
  <c r="Q358" i="17" s="1"/>
  <c r="R402" i="17"/>
  <c r="R403" i="17" s="1"/>
  <c r="S341" i="17"/>
  <c r="S339" i="17"/>
  <c r="S334" i="17"/>
  <c r="S337" i="17"/>
  <c r="S340" i="17"/>
  <c r="S332" i="17"/>
  <c r="S335" i="17"/>
  <c r="S338" i="17"/>
  <c r="S333" i="17"/>
  <c r="S336" i="17"/>
  <c r="S331" i="17"/>
  <c r="T261" i="17"/>
  <c r="T259" i="17"/>
  <c r="T260" i="17"/>
  <c r="T251" i="17"/>
  <c r="T252" i="17"/>
  <c r="S107" i="18" s="1"/>
  <c r="T258" i="17"/>
  <c r="T257" i="17"/>
  <c r="T253" i="17"/>
  <c r="T254" i="17"/>
  <c r="T255" i="17"/>
  <c r="T256" i="17"/>
  <c r="T154" i="17"/>
  <c r="T155" i="17"/>
  <c r="T156" i="17"/>
  <c r="T153" i="17"/>
  <c r="T146" i="17"/>
  <c r="T147" i="17"/>
  <c r="S23" i="18" s="1"/>
  <c r="T148" i="17"/>
  <c r="T151" i="17"/>
  <c r="T150" i="17"/>
  <c r="T149" i="17"/>
  <c r="T152" i="17"/>
  <c r="S322" i="17"/>
  <c r="S323" i="17"/>
  <c r="S326" i="17"/>
  <c r="S318" i="17"/>
  <c r="S321" i="17"/>
  <c r="S324" i="17"/>
  <c r="S316" i="17"/>
  <c r="S320" i="17"/>
  <c r="S317" i="17"/>
  <c r="S325" i="17"/>
  <c r="S319" i="17"/>
  <c r="S157" i="17"/>
  <c r="S158" i="17" s="1"/>
  <c r="T367" i="17"/>
  <c r="T370" i="17"/>
  <c r="T368" i="17"/>
  <c r="T369" i="17"/>
  <c r="T364" i="17"/>
  <c r="T362" i="17"/>
  <c r="T371" i="17"/>
  <c r="T365" i="17"/>
  <c r="T363" i="17"/>
  <c r="T366" i="17"/>
  <c r="T361" i="17"/>
  <c r="U230" i="17"/>
  <c r="U231" i="17"/>
  <c r="U229" i="17"/>
  <c r="U221" i="17"/>
  <c r="U224" i="17"/>
  <c r="U228" i="17"/>
  <c r="U222" i="17"/>
  <c r="T83" i="18" s="1"/>
  <c r="U227" i="17"/>
  <c r="U226" i="17"/>
  <c r="U225" i="17"/>
  <c r="U223" i="17"/>
  <c r="T185" i="17"/>
  <c r="T186" i="17"/>
  <c r="T184" i="17"/>
  <c r="T176" i="17"/>
  <c r="T178" i="17"/>
  <c r="T182" i="17"/>
  <c r="T180" i="17"/>
  <c r="T179" i="17"/>
  <c r="T181" i="17"/>
  <c r="T183" i="17"/>
  <c r="T177" i="17"/>
  <c r="S47" i="18" s="1"/>
  <c r="R307" i="17"/>
  <c r="R310" i="17"/>
  <c r="R302" i="17"/>
  <c r="R308" i="17"/>
  <c r="R309" i="17"/>
  <c r="R305" i="17"/>
  <c r="R301" i="17"/>
  <c r="R311" i="17"/>
  <c r="R304" i="17"/>
  <c r="R303" i="17"/>
  <c r="R306" i="17"/>
  <c r="Q262" i="17"/>
  <c r="T137" i="17"/>
  <c r="T140" i="17"/>
  <c r="T138" i="17"/>
  <c r="T135" i="17"/>
  <c r="T132" i="17"/>
  <c r="S11" i="18" s="1"/>
  <c r="T136" i="17"/>
  <c r="T139" i="17"/>
  <c r="T131" i="17"/>
  <c r="T133" i="17"/>
  <c r="T141" i="17"/>
  <c r="T134" i="17"/>
  <c r="S142" i="17"/>
  <c r="S143" i="17" s="1"/>
  <c r="R211" i="13"/>
  <c r="R166" i="13"/>
  <c r="R173" i="13"/>
  <c r="R213" i="13"/>
  <c r="R174" i="13"/>
  <c r="R214" i="13"/>
  <c r="R209" i="13"/>
  <c r="R167" i="13"/>
  <c r="R169" i="13"/>
  <c r="R207" i="13"/>
  <c r="R172" i="13"/>
  <c r="R212" i="13"/>
  <c r="R210" i="13"/>
  <c r="R170" i="13"/>
  <c r="R206" i="13"/>
  <c r="R171" i="13"/>
  <c r="R208" i="13"/>
  <c r="R168" i="13"/>
  <c r="R72" i="6"/>
  <c r="R100" i="6" s="1"/>
  <c r="R196" i="6" s="1"/>
  <c r="R75" i="6"/>
  <c r="R103" i="6" s="1"/>
  <c r="R199" i="6" s="1"/>
  <c r="T197" i="13"/>
  <c r="R77" i="6"/>
  <c r="R105" i="6" s="1"/>
  <c r="R201" i="6" s="1"/>
  <c r="T200" i="13"/>
  <c r="S201" i="13"/>
  <c r="Q73" i="6"/>
  <c r="Q101" i="6" s="1"/>
  <c r="Q197" i="6" s="1"/>
  <c r="S198" i="13"/>
  <c r="Q71" i="6"/>
  <c r="Q99" i="6" s="1"/>
  <c r="Q195" i="6" s="1"/>
  <c r="U203" i="13"/>
  <c r="S78" i="6"/>
  <c r="S106" i="6" s="1"/>
  <c r="S202" i="6" s="1"/>
  <c r="Q76" i="6"/>
  <c r="Q104" i="6" s="1"/>
  <c r="Q200" i="6" s="1"/>
  <c r="R74" i="6"/>
  <c r="R102" i="6" s="1"/>
  <c r="R198" i="6" s="1"/>
  <c r="U202" i="13"/>
  <c r="T199" i="13"/>
  <c r="T204" i="13"/>
  <c r="T196" i="13"/>
  <c r="R79" i="6"/>
  <c r="R107" i="6" s="1"/>
  <c r="R203" i="6" s="1"/>
  <c r="R195" i="13"/>
  <c r="R185" i="13"/>
  <c r="R175" i="13"/>
  <c r="S188" i="13"/>
  <c r="S178" i="13"/>
  <c r="T177" i="13"/>
  <c r="T187" i="13"/>
  <c r="T190" i="13"/>
  <c r="T180" i="13"/>
  <c r="U192" i="13"/>
  <c r="U182" i="13"/>
  <c r="T194" i="13"/>
  <c r="T184" i="13"/>
  <c r="S191" i="13"/>
  <c r="S181" i="13"/>
  <c r="T179" i="13"/>
  <c r="T189" i="13"/>
  <c r="T176" i="13"/>
  <c r="T186" i="13"/>
  <c r="U193" i="13"/>
  <c r="U183" i="13"/>
  <c r="I221" i="6"/>
  <c r="J221" i="6"/>
  <c r="H231" i="6"/>
  <c r="H220" i="6" s="1"/>
  <c r="H234" i="6" s="1"/>
  <c r="I232" i="6"/>
  <c r="I233" i="6"/>
  <c r="I240" i="6" s="1"/>
  <c r="I241" i="6" s="1"/>
  <c r="K230" i="6"/>
  <c r="K229" i="6"/>
  <c r="J232" i="6"/>
  <c r="J233" i="6"/>
  <c r="J240" i="6" s="1"/>
  <c r="J241" i="6" s="1"/>
  <c r="K205" i="6"/>
  <c r="O31" i="36"/>
  <c r="M65" i="34" s="1"/>
  <c r="S20" i="36"/>
  <c r="Q54" i="34" s="1"/>
  <c r="U17" i="36"/>
  <c r="S131" i="18"/>
  <c r="U12" i="36"/>
  <c r="S126" i="18"/>
  <c r="T16" i="36"/>
  <c r="R130" i="18"/>
  <c r="U15" i="36"/>
  <c r="S129" i="18"/>
  <c r="T11" i="36"/>
  <c r="R125" i="18"/>
  <c r="U14" i="36"/>
  <c r="S128" i="18"/>
  <c r="U19" i="36"/>
  <c r="S133" i="18"/>
  <c r="T13" i="36"/>
  <c r="R127" i="18"/>
  <c r="V18" i="36"/>
  <c r="T132" i="18"/>
  <c r="Q34" i="34"/>
  <c r="N36" i="36"/>
  <c r="N12" i="37" s="1"/>
  <c r="Q24" i="34"/>
  <c r="Q32" i="34"/>
  <c r="Q31" i="34"/>
  <c r="Q16" i="34"/>
  <c r="Q37" i="34"/>
  <c r="Q33" i="34"/>
  <c r="Q25" i="34"/>
  <c r="Q18" i="34"/>
  <c r="N49" i="34"/>
  <c r="R97" i="17"/>
  <c r="Q7" i="18" s="1"/>
  <c r="O50" i="34"/>
  <c r="Q7" i="37" s="1"/>
  <c r="Q6" i="37" s="1"/>
  <c r="T156" i="13"/>
  <c r="T146" i="13"/>
  <c r="S93" i="17"/>
  <c r="S161" i="13"/>
  <c r="S151" i="13"/>
  <c r="U94" i="17"/>
  <c r="U162" i="13"/>
  <c r="U152" i="13"/>
  <c r="T91" i="17"/>
  <c r="T159" i="13"/>
  <c r="T149" i="13"/>
  <c r="T96" i="17"/>
  <c r="T164" i="13"/>
  <c r="T154" i="13"/>
  <c r="T89" i="17"/>
  <c r="T157" i="13"/>
  <c r="T147" i="13"/>
  <c r="U95" i="17"/>
  <c r="U163" i="13"/>
  <c r="U153" i="13"/>
  <c r="T92" i="17"/>
  <c r="T160" i="13"/>
  <c r="T150" i="13"/>
  <c r="S90" i="17"/>
  <c r="S158" i="13"/>
  <c r="S148" i="13"/>
  <c r="S43" i="34"/>
  <c r="R6" i="36" s="1"/>
  <c r="R9" i="34"/>
  <c r="V23" i="6"/>
  <c r="U32" i="6"/>
  <c r="U27" i="6"/>
  <c r="U33" i="6"/>
  <c r="U31" i="6"/>
  <c r="U29" i="6"/>
  <c r="U26" i="6"/>
  <c r="U30" i="6"/>
  <c r="U28" i="6"/>
  <c r="U25" i="6"/>
  <c r="P120" i="6"/>
  <c r="P183" i="6" s="1"/>
  <c r="P118" i="6"/>
  <c r="P181" i="6" s="1"/>
  <c r="P124" i="6"/>
  <c r="P187" i="6" s="1"/>
  <c r="P122" i="6"/>
  <c r="P185" i="6" s="1"/>
  <c r="P212" i="6" s="1"/>
  <c r="Q123" i="6"/>
  <c r="Q186" i="6" s="1"/>
  <c r="P117" i="6"/>
  <c r="P180" i="6" s="1"/>
  <c r="O121" i="6"/>
  <c r="O184" i="6" s="1"/>
  <c r="O213" i="6" s="1"/>
  <c r="I31" i="34"/>
  <c r="O116" i="6"/>
  <c r="O179" i="6" s="1"/>
  <c r="P119" i="6"/>
  <c r="P182" i="6" s="1"/>
  <c r="Q123" i="18"/>
  <c r="T7" i="34"/>
  <c r="N52" i="34"/>
  <c r="N64" i="34"/>
  <c r="P31" i="36"/>
  <c r="N65" i="34" s="1"/>
  <c r="P6" i="18"/>
  <c r="S6" i="34"/>
  <c r="S8" i="34" s="1"/>
  <c r="S9" i="34" s="1"/>
  <c r="S17" i="34" s="1"/>
  <c r="M64" i="34"/>
  <c r="Q8" i="36"/>
  <c r="O53" i="34" s="1"/>
  <c r="Q7" i="36"/>
  <c r="Q25" i="36"/>
  <c r="Q28" i="36" s="1"/>
  <c r="R155" i="13"/>
  <c r="R145" i="13"/>
  <c r="S71" i="17"/>
  <c r="S165" i="13" s="1"/>
  <c r="T64" i="17"/>
  <c r="R44" i="6"/>
  <c r="R151" i="6" s="1"/>
  <c r="R166" i="6" s="1"/>
  <c r="R134" i="6"/>
  <c r="S136" i="6"/>
  <c r="U66" i="17"/>
  <c r="L189" i="6"/>
  <c r="L190" i="6" s="1"/>
  <c r="T139" i="6"/>
  <c r="V69" i="17"/>
  <c r="R137" i="6"/>
  <c r="T67" i="17"/>
  <c r="S133" i="6"/>
  <c r="U63" i="17"/>
  <c r="S135" i="6"/>
  <c r="U65" i="17"/>
  <c r="S140" i="6"/>
  <c r="U70" i="17"/>
  <c r="T88" i="17"/>
  <c r="M126" i="6"/>
  <c r="Q142" i="6"/>
  <c r="Q143" i="6" s="1"/>
  <c r="N109" i="6"/>
  <c r="N110" i="6" s="1"/>
  <c r="R42" i="6"/>
  <c r="R149" i="6" s="1"/>
  <c r="R164" i="6" s="1"/>
  <c r="R173" i="6" s="1"/>
  <c r="R174" i="6" s="1"/>
  <c r="R132" i="6"/>
  <c r="V68" i="17"/>
  <c r="S138" i="6"/>
  <c r="S48" i="6"/>
  <c r="S155" i="6" s="1"/>
  <c r="P81" i="6"/>
  <c r="Q52" i="6"/>
  <c r="Q53" i="6" s="1"/>
  <c r="R47" i="6"/>
  <c r="R154" i="6" s="1"/>
  <c r="R169" i="6" s="1"/>
  <c r="T49" i="6"/>
  <c r="T156" i="6" s="1"/>
  <c r="T171" i="6" s="1"/>
  <c r="S46" i="6"/>
  <c r="S153" i="6" s="1"/>
  <c r="S168" i="6" s="1"/>
  <c r="S45" i="6"/>
  <c r="S152" i="6" s="1"/>
  <c r="S167" i="6" s="1"/>
  <c r="S43" i="6"/>
  <c r="S150" i="6" s="1"/>
  <c r="S165" i="6" s="1"/>
  <c r="S50" i="6"/>
  <c r="S157" i="6" s="1"/>
  <c r="S172" i="6" s="1"/>
  <c r="R35" i="6"/>
  <c r="U62" i="17"/>
  <c r="R37" i="34" l="1"/>
  <c r="R17" i="34"/>
  <c r="R158" i="6"/>
  <c r="R159" i="6" s="1"/>
  <c r="P211" i="6"/>
  <c r="M214" i="6"/>
  <c r="M215" i="6" s="1"/>
  <c r="O209" i="6"/>
  <c r="O210" i="6"/>
  <c r="O214" i="6"/>
  <c r="Q404" i="17"/>
  <c r="T248" i="17"/>
  <c r="R218" i="17"/>
  <c r="R264" i="17"/>
  <c r="Q263" i="17"/>
  <c r="Q265" i="17"/>
  <c r="U232" i="17"/>
  <c r="U233" i="17" s="1"/>
  <c r="S342" i="17"/>
  <c r="S343" i="17" s="1"/>
  <c r="U247" i="17"/>
  <c r="V245" i="17"/>
  <c r="V246" i="17"/>
  <c r="V244" i="17"/>
  <c r="V236" i="17"/>
  <c r="V242" i="17"/>
  <c r="V243" i="17"/>
  <c r="V237" i="17"/>
  <c r="U95" i="18" s="1"/>
  <c r="V241" i="17"/>
  <c r="V240" i="17"/>
  <c r="V239" i="17"/>
  <c r="V238" i="17"/>
  <c r="T279" i="17"/>
  <c r="T280" i="17"/>
  <c r="T281" i="17"/>
  <c r="T271" i="17"/>
  <c r="T274" i="17"/>
  <c r="T276" i="17"/>
  <c r="T275" i="17"/>
  <c r="T272" i="17"/>
  <c r="T278" i="17"/>
  <c r="T277" i="17"/>
  <c r="T273" i="17"/>
  <c r="U155" i="17"/>
  <c r="U156" i="17"/>
  <c r="U154" i="17"/>
  <c r="U150" i="17"/>
  <c r="U152" i="17"/>
  <c r="U153" i="17"/>
  <c r="U148" i="17"/>
  <c r="U151" i="17"/>
  <c r="U149" i="17"/>
  <c r="U146" i="17"/>
  <c r="U147" i="17"/>
  <c r="T23" i="18" s="1"/>
  <c r="T325" i="17"/>
  <c r="T317" i="17"/>
  <c r="T326" i="17"/>
  <c r="T318" i="17"/>
  <c r="T321" i="17"/>
  <c r="T324" i="17"/>
  <c r="T316" i="17"/>
  <c r="T319" i="17"/>
  <c r="T323" i="17"/>
  <c r="T320" i="17"/>
  <c r="T322" i="17"/>
  <c r="R283" i="17"/>
  <c r="T202" i="17"/>
  <c r="T203" i="17" s="1"/>
  <c r="U185" i="17"/>
  <c r="U186" i="17"/>
  <c r="U184" i="17"/>
  <c r="U176" i="17"/>
  <c r="U182" i="17"/>
  <c r="U181" i="17"/>
  <c r="U180" i="17"/>
  <c r="U178" i="17"/>
  <c r="U183" i="17"/>
  <c r="U177" i="17"/>
  <c r="T47" i="18" s="1"/>
  <c r="U179" i="17"/>
  <c r="V231" i="17"/>
  <c r="V230" i="17"/>
  <c r="V229" i="17"/>
  <c r="V221" i="17"/>
  <c r="V228" i="17"/>
  <c r="V222" i="17"/>
  <c r="U83" i="18" s="1"/>
  <c r="V224" i="17"/>
  <c r="V225" i="17"/>
  <c r="V227" i="17"/>
  <c r="V226" i="17"/>
  <c r="V223" i="17"/>
  <c r="U201" i="17"/>
  <c r="U199" i="17"/>
  <c r="U200" i="17"/>
  <c r="U191" i="17"/>
  <c r="U198" i="17"/>
  <c r="U195" i="17"/>
  <c r="U194" i="17"/>
  <c r="U196" i="17"/>
  <c r="U193" i="17"/>
  <c r="U192" i="17"/>
  <c r="T59" i="18" s="1"/>
  <c r="U197" i="17"/>
  <c r="U382" i="17"/>
  <c r="U385" i="17"/>
  <c r="U377" i="17"/>
  <c r="U383" i="17"/>
  <c r="U376" i="17"/>
  <c r="U379" i="17"/>
  <c r="U378" i="17"/>
  <c r="U386" i="17"/>
  <c r="U384" i="17"/>
  <c r="U381" i="17"/>
  <c r="U380" i="17"/>
  <c r="S352" i="17"/>
  <c r="S355" i="17"/>
  <c r="S353" i="17"/>
  <c r="S356" i="17"/>
  <c r="S348" i="17"/>
  <c r="S354" i="17"/>
  <c r="S346" i="17"/>
  <c r="S347" i="17"/>
  <c r="S350" i="17"/>
  <c r="S349" i="17"/>
  <c r="S351" i="17"/>
  <c r="R312" i="17"/>
  <c r="R313" i="17" s="1"/>
  <c r="R357" i="17"/>
  <c r="R358" i="17" s="1"/>
  <c r="S282" i="17"/>
  <c r="U259" i="17"/>
  <c r="U260" i="17"/>
  <c r="U261" i="17"/>
  <c r="U251" i="17"/>
  <c r="U258" i="17"/>
  <c r="U255" i="17"/>
  <c r="U254" i="17"/>
  <c r="U252" i="17"/>
  <c r="T107" i="18" s="1"/>
  <c r="U253" i="17"/>
  <c r="U256" i="17"/>
  <c r="U257" i="17"/>
  <c r="T216" i="17"/>
  <c r="T214" i="17"/>
  <c r="T215" i="17"/>
  <c r="T206" i="17"/>
  <c r="T209" i="17"/>
  <c r="T212" i="17"/>
  <c r="T211" i="17"/>
  <c r="T208" i="17"/>
  <c r="T210" i="17"/>
  <c r="T207" i="17"/>
  <c r="S71" i="18" s="1"/>
  <c r="T213" i="17"/>
  <c r="T187" i="17"/>
  <c r="T188" i="17" s="1"/>
  <c r="Q405" i="17"/>
  <c r="S402" i="17"/>
  <c r="S403" i="17" s="1"/>
  <c r="T337" i="17"/>
  <c r="T340" i="17"/>
  <c r="T332" i="17"/>
  <c r="T335" i="17"/>
  <c r="T338" i="17"/>
  <c r="T333" i="17"/>
  <c r="T341" i="17"/>
  <c r="T336" i="17"/>
  <c r="T331" i="17"/>
  <c r="T339" i="17"/>
  <c r="T334" i="17"/>
  <c r="U370" i="17"/>
  <c r="U371" i="17"/>
  <c r="U368" i="17"/>
  <c r="U362" i="17"/>
  <c r="U365" i="17"/>
  <c r="U363" i="17"/>
  <c r="U366" i="17"/>
  <c r="U367" i="17"/>
  <c r="U361" i="17"/>
  <c r="U364" i="17"/>
  <c r="U369" i="17"/>
  <c r="T372" i="17"/>
  <c r="T373" i="17" s="1"/>
  <c r="S297" i="17"/>
  <c r="S298" i="17" s="1"/>
  <c r="T387" i="17"/>
  <c r="T388" i="17" s="1"/>
  <c r="S310" i="17"/>
  <c r="S302" i="17"/>
  <c r="S305" i="17"/>
  <c r="S311" i="17"/>
  <c r="S303" i="17"/>
  <c r="S309" i="17"/>
  <c r="S301" i="17"/>
  <c r="S308" i="17"/>
  <c r="S304" i="17"/>
  <c r="S307" i="17"/>
  <c r="S306" i="17"/>
  <c r="T296" i="17"/>
  <c r="T294" i="17"/>
  <c r="T295" i="17"/>
  <c r="T286" i="17"/>
  <c r="T287" i="17"/>
  <c r="T291" i="17"/>
  <c r="T292" i="17"/>
  <c r="T289" i="17"/>
  <c r="T288" i="17"/>
  <c r="T290" i="17"/>
  <c r="T293" i="17"/>
  <c r="S327" i="17"/>
  <c r="S328" i="17" s="1"/>
  <c r="S172" i="17"/>
  <c r="S173" i="17" s="1"/>
  <c r="S217" i="17"/>
  <c r="T169" i="17"/>
  <c r="T170" i="17"/>
  <c r="T171" i="17"/>
  <c r="T161" i="17"/>
  <c r="T168" i="17"/>
  <c r="T164" i="17"/>
  <c r="T165" i="17"/>
  <c r="T162" i="17"/>
  <c r="S35" i="18" s="1"/>
  <c r="T167" i="17"/>
  <c r="T163" i="17"/>
  <c r="T166" i="17"/>
  <c r="T394" i="17"/>
  <c r="T397" i="17"/>
  <c r="T400" i="17"/>
  <c r="T395" i="17"/>
  <c r="T398" i="17"/>
  <c r="T401" i="17"/>
  <c r="T393" i="17"/>
  <c r="T396" i="17"/>
  <c r="T399" i="17"/>
  <c r="T391" i="17"/>
  <c r="T392" i="17"/>
  <c r="T157" i="17"/>
  <c r="T158" i="17" s="1"/>
  <c r="R262" i="17"/>
  <c r="T142" i="17"/>
  <c r="T143" i="17" s="1"/>
  <c r="U140" i="17"/>
  <c r="U141" i="17"/>
  <c r="U132" i="17"/>
  <c r="T11" i="18" s="1"/>
  <c r="U136" i="17"/>
  <c r="U139" i="17"/>
  <c r="U133" i="17"/>
  <c r="U134" i="17"/>
  <c r="U137" i="17"/>
  <c r="U135" i="17"/>
  <c r="U138" i="17"/>
  <c r="U131" i="17"/>
  <c r="S211" i="13"/>
  <c r="S206" i="13"/>
  <c r="S166" i="13"/>
  <c r="S208" i="13"/>
  <c r="S168" i="13"/>
  <c r="Q81" i="6"/>
  <c r="U6" i="34" s="1"/>
  <c r="S173" i="13"/>
  <c r="S213" i="13"/>
  <c r="S169" i="13"/>
  <c r="S209" i="13"/>
  <c r="S167" i="13"/>
  <c r="S214" i="13"/>
  <c r="S170" i="13"/>
  <c r="S207" i="13"/>
  <c r="S174" i="13"/>
  <c r="S210" i="13"/>
  <c r="S172" i="13"/>
  <c r="S212" i="13"/>
  <c r="S171" i="13"/>
  <c r="T198" i="13"/>
  <c r="U199" i="13"/>
  <c r="V203" i="13"/>
  <c r="S72" i="6"/>
  <c r="S100" i="6" s="1"/>
  <c r="S196" i="6" s="1"/>
  <c r="S77" i="6"/>
  <c r="S105" i="6" s="1"/>
  <c r="S201" i="6" s="1"/>
  <c r="S74" i="6"/>
  <c r="S102" i="6" s="1"/>
  <c r="S198" i="6" s="1"/>
  <c r="U197" i="13"/>
  <c r="S79" i="6"/>
  <c r="S107" i="6" s="1"/>
  <c r="S203" i="6" s="1"/>
  <c r="V202" i="13"/>
  <c r="R73" i="6"/>
  <c r="R101" i="6" s="1"/>
  <c r="R197" i="6" s="1"/>
  <c r="U200" i="13"/>
  <c r="U196" i="13"/>
  <c r="S75" i="6"/>
  <c r="S103" i="6" s="1"/>
  <c r="S199" i="6" s="1"/>
  <c r="U204" i="13"/>
  <c r="T201" i="13"/>
  <c r="R76" i="6"/>
  <c r="R104" i="6" s="1"/>
  <c r="R200" i="6" s="1"/>
  <c r="T78" i="6"/>
  <c r="T106" i="6" s="1"/>
  <c r="T202" i="6" s="1"/>
  <c r="R71" i="6"/>
  <c r="R99" i="6" s="1"/>
  <c r="R195" i="6" s="1"/>
  <c r="S175" i="13"/>
  <c r="S195" i="13"/>
  <c r="S185" i="13"/>
  <c r="U190" i="13"/>
  <c r="U180" i="13"/>
  <c r="T181" i="13"/>
  <c r="T191" i="13"/>
  <c r="T188" i="13"/>
  <c r="T178" i="13"/>
  <c r="U187" i="13"/>
  <c r="U177" i="13"/>
  <c r="U186" i="13"/>
  <c r="U176" i="13"/>
  <c r="U189" i="13"/>
  <c r="U179" i="13"/>
  <c r="V193" i="13"/>
  <c r="V183" i="13"/>
  <c r="V192" i="13"/>
  <c r="V182" i="13"/>
  <c r="U184" i="13"/>
  <c r="U194" i="13"/>
  <c r="K221" i="6"/>
  <c r="L230" i="6"/>
  <c r="L228" i="6"/>
  <c r="L229" i="6"/>
  <c r="L227" i="6"/>
  <c r="J231" i="6"/>
  <c r="J220" i="6" s="1"/>
  <c r="J234" i="6" s="1"/>
  <c r="K232" i="6"/>
  <c r="K233" i="6"/>
  <c r="K240" i="6" s="1"/>
  <c r="K241" i="6" s="1"/>
  <c r="I231" i="6"/>
  <c r="I220" i="6" s="1"/>
  <c r="I234" i="6" s="1"/>
  <c r="O36" i="36"/>
  <c r="O12" i="37" s="1"/>
  <c r="L205" i="6"/>
  <c r="T20" i="36"/>
  <c r="R54" i="34" s="1"/>
  <c r="V17" i="36"/>
  <c r="T131" i="18"/>
  <c r="V12" i="36"/>
  <c r="T126" i="18"/>
  <c r="V15" i="36"/>
  <c r="T129" i="18"/>
  <c r="U13" i="36"/>
  <c r="S127" i="18"/>
  <c r="U11" i="36"/>
  <c r="S125" i="18"/>
  <c r="U16" i="36"/>
  <c r="S130" i="18"/>
  <c r="V14" i="36"/>
  <c r="T128" i="18"/>
  <c r="V19" i="36"/>
  <c r="T133" i="18"/>
  <c r="W18" i="36"/>
  <c r="U132" i="18"/>
  <c r="D25" i="4"/>
  <c r="D45" i="4" s="1"/>
  <c r="R25" i="34"/>
  <c r="R33" i="34"/>
  <c r="Q14" i="34"/>
  <c r="R18" i="34"/>
  <c r="P50" i="34"/>
  <c r="P49" i="34" s="1"/>
  <c r="R24" i="34"/>
  <c r="R36" i="34"/>
  <c r="R31" i="34"/>
  <c r="R34" i="34"/>
  <c r="R32" i="34"/>
  <c r="R16" i="34"/>
  <c r="S97" i="17"/>
  <c r="R7" i="18" s="1"/>
  <c r="O49" i="34"/>
  <c r="U89" i="17"/>
  <c r="U147" i="13"/>
  <c r="U157" i="13"/>
  <c r="V94" i="17"/>
  <c r="V152" i="13"/>
  <c r="V162" i="13"/>
  <c r="U92" i="17"/>
  <c r="U160" i="13"/>
  <c r="U150" i="13"/>
  <c r="T93" i="17"/>
  <c r="T151" i="13"/>
  <c r="T161" i="13"/>
  <c r="U91" i="17"/>
  <c r="U149" i="13"/>
  <c r="U159" i="13"/>
  <c r="U156" i="13"/>
  <c r="U146" i="13"/>
  <c r="T90" i="17"/>
  <c r="T148" i="13"/>
  <c r="T158" i="13"/>
  <c r="U96" i="17"/>
  <c r="U154" i="13"/>
  <c r="U164" i="13"/>
  <c r="V95" i="17"/>
  <c r="V163" i="13"/>
  <c r="V153" i="13"/>
  <c r="S37" i="34"/>
  <c r="T43" i="34"/>
  <c r="Q50" i="34" s="1"/>
  <c r="W23" i="6"/>
  <c r="V33" i="6"/>
  <c r="V31" i="6"/>
  <c r="V29" i="6"/>
  <c r="V26" i="6"/>
  <c r="V30" i="6"/>
  <c r="V28" i="6"/>
  <c r="V25" i="6"/>
  <c r="V32" i="6"/>
  <c r="V27" i="6"/>
  <c r="Q118" i="6"/>
  <c r="Q181" i="6" s="1"/>
  <c r="Q119" i="6"/>
  <c r="Q182" i="6" s="1"/>
  <c r="Q122" i="6"/>
  <c r="Q185" i="6" s="1"/>
  <c r="Q212" i="6" s="1"/>
  <c r="Q120" i="6"/>
  <c r="Q183" i="6" s="1"/>
  <c r="P121" i="6"/>
  <c r="P184" i="6" s="1"/>
  <c r="P213" i="6" s="1"/>
  <c r="Q117" i="6"/>
  <c r="Q180" i="6" s="1"/>
  <c r="Q124" i="6"/>
  <c r="Q187" i="6" s="1"/>
  <c r="R123" i="6"/>
  <c r="R186" i="6" s="1"/>
  <c r="P116" i="6"/>
  <c r="P179" i="6" s="1"/>
  <c r="N215" i="6"/>
  <c r="S36" i="34"/>
  <c r="P36" i="36"/>
  <c r="P12" i="37" s="1"/>
  <c r="O64" i="34"/>
  <c r="Q31" i="36"/>
  <c r="O65" i="34" s="1"/>
  <c r="O52" i="34"/>
  <c r="R7" i="36"/>
  <c r="R8" i="36"/>
  <c r="P53" i="34" s="1"/>
  <c r="R25" i="36"/>
  <c r="R28" i="36" s="1"/>
  <c r="U7" i="34"/>
  <c r="R123" i="18"/>
  <c r="S16" i="34"/>
  <c r="S18" i="34"/>
  <c r="S34" i="34"/>
  <c r="S24" i="34"/>
  <c r="S33" i="34"/>
  <c r="S25" i="34"/>
  <c r="S32" i="34"/>
  <c r="S31" i="34"/>
  <c r="Q6" i="18"/>
  <c r="T6" i="34"/>
  <c r="T8" i="34" s="1"/>
  <c r="T9" i="34" s="1"/>
  <c r="T17" i="34" s="1"/>
  <c r="F51" i="34"/>
  <c r="F58" i="34" s="1"/>
  <c r="G51" i="34"/>
  <c r="G58" i="34" s="1"/>
  <c r="S155" i="13"/>
  <c r="S145" i="13"/>
  <c r="U64" i="17"/>
  <c r="S44" i="6"/>
  <c r="S151" i="6" s="1"/>
  <c r="S166" i="6" s="1"/>
  <c r="S134" i="6"/>
  <c r="T133" i="6"/>
  <c r="V63" i="17"/>
  <c r="T140" i="6"/>
  <c r="V70" i="17"/>
  <c r="U139" i="6"/>
  <c r="W69" i="17"/>
  <c r="U88" i="17"/>
  <c r="T135" i="6"/>
  <c r="V65" i="17"/>
  <c r="T136" i="6"/>
  <c r="V66" i="17"/>
  <c r="S137" i="6"/>
  <c r="U67" i="17"/>
  <c r="T71" i="17"/>
  <c r="T165" i="13" s="1"/>
  <c r="N126" i="6"/>
  <c r="R142" i="6"/>
  <c r="R143" i="6" s="1"/>
  <c r="O109" i="6"/>
  <c r="O110" i="6" s="1"/>
  <c r="S42" i="6"/>
  <c r="S149" i="6" s="1"/>
  <c r="S164" i="6" s="1"/>
  <c r="S132" i="6"/>
  <c r="W68" i="17"/>
  <c r="T138" i="6"/>
  <c r="T48" i="6"/>
  <c r="T155" i="6" s="1"/>
  <c r="R52" i="6"/>
  <c r="R53" i="6" s="1"/>
  <c r="T43" i="6"/>
  <c r="T150" i="6" s="1"/>
  <c r="T165" i="6" s="1"/>
  <c r="U49" i="6"/>
  <c r="U156" i="6" s="1"/>
  <c r="U171" i="6" s="1"/>
  <c r="T50" i="6"/>
  <c r="T157" i="6" s="1"/>
  <c r="T172" i="6" s="1"/>
  <c r="T45" i="6"/>
  <c r="T152" i="6" s="1"/>
  <c r="T167" i="6" s="1"/>
  <c r="T46" i="6"/>
  <c r="T153" i="6" s="1"/>
  <c r="T168" i="6" s="1"/>
  <c r="S47" i="6"/>
  <c r="S154" i="6" s="1"/>
  <c r="S169" i="6" s="1"/>
  <c r="S35" i="6"/>
  <c r="V62" i="17"/>
  <c r="S173" i="6" l="1"/>
  <c r="S174" i="6" s="1"/>
  <c r="S158" i="6"/>
  <c r="S159" i="6" s="1"/>
  <c r="P214" i="6"/>
  <c r="P210" i="6"/>
  <c r="P209" i="6"/>
  <c r="R404" i="17"/>
  <c r="R405" i="17" s="1"/>
  <c r="U248" i="17"/>
  <c r="S218" i="17"/>
  <c r="S264" i="17"/>
  <c r="R6" i="18"/>
  <c r="R263" i="17"/>
  <c r="R265" i="17"/>
  <c r="T402" i="17"/>
  <c r="T403" i="17" s="1"/>
  <c r="S312" i="17"/>
  <c r="S313" i="17" s="1"/>
  <c r="T217" i="17"/>
  <c r="V186" i="17"/>
  <c r="V184" i="17"/>
  <c r="V185" i="17"/>
  <c r="V176" i="17"/>
  <c r="V178" i="17"/>
  <c r="V181" i="17"/>
  <c r="V180" i="17"/>
  <c r="V182" i="17"/>
  <c r="V177" i="17"/>
  <c r="U47" i="18" s="1"/>
  <c r="V179" i="17"/>
  <c r="V183" i="17"/>
  <c r="U280" i="17"/>
  <c r="U281" i="17"/>
  <c r="U279" i="17"/>
  <c r="U271" i="17"/>
  <c r="U275" i="17"/>
  <c r="U274" i="17"/>
  <c r="U276" i="17"/>
  <c r="U273" i="17"/>
  <c r="U272" i="17"/>
  <c r="U278" i="17"/>
  <c r="U277" i="17"/>
  <c r="T355" i="17"/>
  <c r="T356" i="17"/>
  <c r="T348" i="17"/>
  <c r="T351" i="17"/>
  <c r="T354" i="17"/>
  <c r="T349" i="17"/>
  <c r="T350" i="17"/>
  <c r="T346" i="17"/>
  <c r="T353" i="17"/>
  <c r="T352" i="17"/>
  <c r="T347" i="17"/>
  <c r="U372" i="17"/>
  <c r="U373" i="17" s="1"/>
  <c r="S283" i="17"/>
  <c r="U387" i="17"/>
  <c r="U388" i="17" s="1"/>
  <c r="U169" i="17"/>
  <c r="U170" i="17"/>
  <c r="U171" i="17"/>
  <c r="U161" i="17"/>
  <c r="U165" i="17"/>
  <c r="U164" i="17"/>
  <c r="U162" i="17"/>
  <c r="T35" i="18" s="1"/>
  <c r="U168" i="17"/>
  <c r="U163" i="17"/>
  <c r="U167" i="17"/>
  <c r="U166" i="17"/>
  <c r="V368" i="17"/>
  <c r="V362" i="17"/>
  <c r="V365" i="17"/>
  <c r="V371" i="17"/>
  <c r="V363" i="17"/>
  <c r="V366" i="17"/>
  <c r="V370" i="17"/>
  <c r="V367" i="17"/>
  <c r="V361" i="17"/>
  <c r="V369" i="17"/>
  <c r="V364" i="17"/>
  <c r="V232" i="17"/>
  <c r="V233" i="17" s="1"/>
  <c r="T327" i="17"/>
  <c r="T328" i="17" s="1"/>
  <c r="U157" i="17"/>
  <c r="U158" i="17" s="1"/>
  <c r="T282" i="17"/>
  <c r="U397" i="17"/>
  <c r="U400" i="17"/>
  <c r="U395" i="17"/>
  <c r="U398" i="17"/>
  <c r="U401" i="17"/>
  <c r="U393" i="17"/>
  <c r="U396" i="17"/>
  <c r="U399" i="17"/>
  <c r="U391" i="17"/>
  <c r="U394" i="17"/>
  <c r="U392" i="17"/>
  <c r="W245" i="17"/>
  <c r="W244" i="17"/>
  <c r="W246" i="17"/>
  <c r="W236" i="17"/>
  <c r="W243" i="17"/>
  <c r="W241" i="17"/>
  <c r="W242" i="17"/>
  <c r="W239" i="17"/>
  <c r="W237" i="17"/>
  <c r="V95" i="18" s="1"/>
  <c r="W238" i="17"/>
  <c r="W240" i="17"/>
  <c r="T305" i="17"/>
  <c r="T308" i="17"/>
  <c r="T306" i="17"/>
  <c r="T301" i="17"/>
  <c r="T304" i="17"/>
  <c r="T311" i="17"/>
  <c r="T307" i="17"/>
  <c r="T303" i="17"/>
  <c r="T310" i="17"/>
  <c r="T309" i="17"/>
  <c r="T302" i="17"/>
  <c r="T297" i="17"/>
  <c r="T298" i="17" s="1"/>
  <c r="U339" i="17"/>
  <c r="U340" i="17"/>
  <c r="U332" i="17"/>
  <c r="U335" i="17"/>
  <c r="U338" i="17"/>
  <c r="U333" i="17"/>
  <c r="U341" i="17"/>
  <c r="U336" i="17"/>
  <c r="U331" i="17"/>
  <c r="U334" i="17"/>
  <c r="U337" i="17"/>
  <c r="T342" i="17"/>
  <c r="T343" i="17" s="1"/>
  <c r="S357" i="17"/>
  <c r="S358" i="17" s="1"/>
  <c r="V247" i="17"/>
  <c r="U295" i="17"/>
  <c r="U294" i="17"/>
  <c r="U296" i="17"/>
  <c r="U286" i="17"/>
  <c r="U289" i="17"/>
  <c r="U287" i="17"/>
  <c r="U292" i="17"/>
  <c r="U291" i="17"/>
  <c r="U288" i="17"/>
  <c r="U290" i="17"/>
  <c r="U293" i="17"/>
  <c r="T172" i="17"/>
  <c r="T173" i="17" s="1"/>
  <c r="U202" i="17"/>
  <c r="U203" i="17" s="1"/>
  <c r="U187" i="17"/>
  <c r="U188" i="17" s="1"/>
  <c r="W230" i="17"/>
  <c r="W231" i="17"/>
  <c r="W229" i="17"/>
  <c r="W221" i="17"/>
  <c r="W225" i="17"/>
  <c r="W228" i="17"/>
  <c r="W222" i="17"/>
  <c r="V83" i="18" s="1"/>
  <c r="W227" i="17"/>
  <c r="W223" i="17"/>
  <c r="W224" i="17"/>
  <c r="W226" i="17"/>
  <c r="V155" i="17"/>
  <c r="V156" i="17"/>
  <c r="V154" i="17"/>
  <c r="V152" i="17"/>
  <c r="V148" i="17"/>
  <c r="V147" i="17"/>
  <c r="U23" i="18" s="1"/>
  <c r="V149" i="17"/>
  <c r="V146" i="17"/>
  <c r="V150" i="17"/>
  <c r="V153" i="17"/>
  <c r="V151" i="17"/>
  <c r="U320" i="17"/>
  <c r="U321" i="17"/>
  <c r="U324" i="17"/>
  <c r="U316" i="17"/>
  <c r="U319" i="17"/>
  <c r="U322" i="17"/>
  <c r="U318" i="17"/>
  <c r="U326" i="17"/>
  <c r="U323" i="17"/>
  <c r="U317" i="17"/>
  <c r="U325" i="17"/>
  <c r="V259" i="17"/>
  <c r="V260" i="17"/>
  <c r="V261" i="17"/>
  <c r="V251" i="17"/>
  <c r="V258" i="17"/>
  <c r="V255" i="17"/>
  <c r="V254" i="17"/>
  <c r="V252" i="17"/>
  <c r="U107" i="18" s="1"/>
  <c r="V257" i="17"/>
  <c r="V256" i="17"/>
  <c r="V253" i="17"/>
  <c r="U214" i="17"/>
  <c r="U215" i="17"/>
  <c r="U216" i="17"/>
  <c r="U206" i="17"/>
  <c r="U208" i="17"/>
  <c r="U209" i="17"/>
  <c r="U212" i="17"/>
  <c r="U211" i="17"/>
  <c r="U210" i="17"/>
  <c r="U207" i="17"/>
  <c r="T71" i="18" s="1"/>
  <c r="U213" i="17"/>
  <c r="V384" i="17"/>
  <c r="V385" i="17"/>
  <c r="V377" i="17"/>
  <c r="V380" i="17"/>
  <c r="V383" i="17"/>
  <c r="V386" i="17"/>
  <c r="V378" i="17"/>
  <c r="V379" i="17"/>
  <c r="V382" i="17"/>
  <c r="V381" i="17"/>
  <c r="V376" i="17"/>
  <c r="V201" i="17"/>
  <c r="V199" i="17"/>
  <c r="V200" i="17"/>
  <c r="V191" i="17"/>
  <c r="V194" i="17"/>
  <c r="V198" i="17"/>
  <c r="V196" i="17"/>
  <c r="V193" i="17"/>
  <c r="V197" i="17"/>
  <c r="V192" i="17"/>
  <c r="U59" i="18" s="1"/>
  <c r="V195" i="17"/>
  <c r="U142" i="17"/>
  <c r="U143" i="17" s="1"/>
  <c r="S262" i="17"/>
  <c r="V135" i="17"/>
  <c r="V136" i="17"/>
  <c r="V140" i="17"/>
  <c r="V139" i="17"/>
  <c r="V133" i="17"/>
  <c r="V137" i="17"/>
  <c r="V134" i="17"/>
  <c r="V141" i="17"/>
  <c r="V132" i="17"/>
  <c r="U11" i="18" s="1"/>
  <c r="V138" i="17"/>
  <c r="V131" i="17"/>
  <c r="T208" i="13"/>
  <c r="T206" i="13"/>
  <c r="T166" i="13"/>
  <c r="T168" i="13"/>
  <c r="T213" i="13"/>
  <c r="T173" i="13"/>
  <c r="T170" i="13"/>
  <c r="T212" i="13"/>
  <c r="T210" i="13"/>
  <c r="T172" i="13"/>
  <c r="T167" i="13"/>
  <c r="T214" i="13"/>
  <c r="T207" i="13"/>
  <c r="T174" i="13"/>
  <c r="T169" i="13"/>
  <c r="T209" i="13"/>
  <c r="T211" i="13"/>
  <c r="T171" i="13"/>
  <c r="V204" i="13"/>
  <c r="T74" i="6"/>
  <c r="T102" i="6" s="1"/>
  <c r="T198" i="6" s="1"/>
  <c r="U201" i="13"/>
  <c r="W202" i="13"/>
  <c r="V197" i="13"/>
  <c r="T79" i="6"/>
  <c r="T107" i="6" s="1"/>
  <c r="T203" i="6" s="1"/>
  <c r="V200" i="13"/>
  <c r="U78" i="6"/>
  <c r="U106" i="6" s="1"/>
  <c r="U202" i="6" s="1"/>
  <c r="S71" i="6"/>
  <c r="S99" i="6" s="1"/>
  <c r="S195" i="6" s="1"/>
  <c r="V199" i="13"/>
  <c r="S73" i="6"/>
  <c r="S101" i="6" s="1"/>
  <c r="S197" i="6" s="1"/>
  <c r="W203" i="13"/>
  <c r="U198" i="13"/>
  <c r="T77" i="6"/>
  <c r="T105" i="6" s="1"/>
  <c r="T201" i="6" s="1"/>
  <c r="V196" i="13"/>
  <c r="S76" i="6"/>
  <c r="S104" i="6" s="1"/>
  <c r="S200" i="6" s="1"/>
  <c r="T72" i="6"/>
  <c r="T100" i="6" s="1"/>
  <c r="T196" i="6" s="1"/>
  <c r="T75" i="6"/>
  <c r="T103" i="6" s="1"/>
  <c r="T199" i="6" s="1"/>
  <c r="T185" i="13"/>
  <c r="T175" i="13"/>
  <c r="T195" i="13"/>
  <c r="U181" i="13"/>
  <c r="U191" i="13"/>
  <c r="W182" i="13"/>
  <c r="W192" i="13"/>
  <c r="V187" i="13"/>
  <c r="V177" i="13"/>
  <c r="V179" i="13"/>
  <c r="V189" i="13"/>
  <c r="W193" i="13"/>
  <c r="W183" i="13"/>
  <c r="V194" i="13"/>
  <c r="V184" i="13"/>
  <c r="V176" i="13"/>
  <c r="V186" i="13"/>
  <c r="U178" i="13"/>
  <c r="U188" i="13"/>
  <c r="V180" i="13"/>
  <c r="V190" i="13"/>
  <c r="L221" i="6"/>
  <c r="Q211" i="6"/>
  <c r="L232" i="6"/>
  <c r="L233" i="6"/>
  <c r="L240" i="6" s="1"/>
  <c r="L241" i="6" s="1"/>
  <c r="K231" i="6"/>
  <c r="K220" i="6" s="1"/>
  <c r="K234" i="6" s="1"/>
  <c r="U20" i="36"/>
  <c r="S54" i="34" s="1"/>
  <c r="W12" i="36"/>
  <c r="U126" i="18"/>
  <c r="W14" i="36"/>
  <c r="U128" i="18"/>
  <c r="V11" i="36"/>
  <c r="T125" i="18"/>
  <c r="V16" i="36"/>
  <c r="T130" i="18"/>
  <c r="X18" i="36"/>
  <c r="V132" i="18"/>
  <c r="W17" i="36"/>
  <c r="U131" i="18"/>
  <c r="V13" i="36"/>
  <c r="T127" i="18"/>
  <c r="W15" i="36"/>
  <c r="U129" i="18"/>
  <c r="W19" i="36"/>
  <c r="U133" i="18"/>
  <c r="R7" i="37"/>
  <c r="R6" i="37" s="1"/>
  <c r="R14" i="34"/>
  <c r="S6" i="36"/>
  <c r="S25" i="36" s="1"/>
  <c r="S28" i="36" s="1"/>
  <c r="T97" i="17"/>
  <c r="S7" i="18" s="1"/>
  <c r="V92" i="17"/>
  <c r="V160" i="13"/>
  <c r="V150" i="13"/>
  <c r="V96" i="17"/>
  <c r="V154" i="13"/>
  <c r="V164" i="13"/>
  <c r="V89" i="17"/>
  <c r="V157" i="13"/>
  <c r="V147" i="13"/>
  <c r="U90" i="17"/>
  <c r="U158" i="13"/>
  <c r="U148" i="13"/>
  <c r="V91" i="17"/>
  <c r="V149" i="13"/>
  <c r="V159" i="13"/>
  <c r="W94" i="17"/>
  <c r="W162" i="13"/>
  <c r="W152" i="13"/>
  <c r="U93" i="17"/>
  <c r="U161" i="13"/>
  <c r="U151" i="13"/>
  <c r="W95" i="17"/>
  <c r="W163" i="13"/>
  <c r="W153" i="13"/>
  <c r="V146" i="13"/>
  <c r="V156" i="13"/>
  <c r="U43" i="34"/>
  <c r="R50" i="34" s="1"/>
  <c r="T36" i="34"/>
  <c r="X23" i="6"/>
  <c r="W33" i="6"/>
  <c r="W31" i="6"/>
  <c r="W29" i="6"/>
  <c r="W26" i="6"/>
  <c r="W30" i="6"/>
  <c r="W28" i="6"/>
  <c r="W25" i="6"/>
  <c r="W32" i="6"/>
  <c r="W27" i="6"/>
  <c r="Q121" i="6"/>
  <c r="Q184" i="6" s="1"/>
  <c r="Q213" i="6" s="1"/>
  <c r="R122" i="6"/>
  <c r="R185" i="6" s="1"/>
  <c r="R212" i="6" s="1"/>
  <c r="R119" i="6"/>
  <c r="R182" i="6" s="1"/>
  <c r="R117" i="6"/>
  <c r="R180" i="6" s="1"/>
  <c r="R118" i="6"/>
  <c r="R181" i="6" s="1"/>
  <c r="S123" i="6"/>
  <c r="S186" i="6" s="1"/>
  <c r="R124" i="6"/>
  <c r="R187" i="6" s="1"/>
  <c r="R120" i="6"/>
  <c r="R183" i="6" s="1"/>
  <c r="O215" i="6"/>
  <c r="T37" i="34"/>
  <c r="Q36" i="36"/>
  <c r="Q12" i="37" s="1"/>
  <c r="U8" i="34"/>
  <c r="U9" i="34" s="1"/>
  <c r="U17" i="34" s="1"/>
  <c r="T18" i="34"/>
  <c r="T34" i="34"/>
  <c r="T16" i="34"/>
  <c r="T24" i="34"/>
  <c r="T33" i="34"/>
  <c r="T25" i="34"/>
  <c r="T32" i="34"/>
  <c r="T31" i="34"/>
  <c r="S7" i="37"/>
  <c r="S6" i="37" s="1"/>
  <c r="Q49" i="34"/>
  <c r="P64" i="34"/>
  <c r="R31" i="36"/>
  <c r="P65" i="34" s="1"/>
  <c r="P52" i="34"/>
  <c r="V7" i="34"/>
  <c r="S123" i="18"/>
  <c r="S14" i="34"/>
  <c r="T155" i="13"/>
  <c r="T145" i="13"/>
  <c r="U140" i="6"/>
  <c r="W70" i="17"/>
  <c r="T134" i="6"/>
  <c r="V64" i="17"/>
  <c r="T44" i="6"/>
  <c r="T151" i="6" s="1"/>
  <c r="T166" i="6" s="1"/>
  <c r="V139" i="6"/>
  <c r="X69" i="17"/>
  <c r="U133" i="6"/>
  <c r="W63" i="17"/>
  <c r="U71" i="17"/>
  <c r="U165" i="13" s="1"/>
  <c r="V88" i="17"/>
  <c r="U136" i="6"/>
  <c r="W66" i="17"/>
  <c r="U135" i="6"/>
  <c r="W65" i="17"/>
  <c r="T137" i="6"/>
  <c r="V67" i="17"/>
  <c r="M189" i="6"/>
  <c r="M190" i="6" s="1"/>
  <c r="O126" i="6"/>
  <c r="S142" i="6"/>
  <c r="S143" i="6" s="1"/>
  <c r="P109" i="6"/>
  <c r="P110" i="6" s="1"/>
  <c r="Q116" i="6"/>
  <c r="Q179" i="6" s="1"/>
  <c r="Q109" i="6"/>
  <c r="Q110" i="6" s="1"/>
  <c r="X68" i="17"/>
  <c r="U138" i="6"/>
  <c r="U48" i="6"/>
  <c r="U155" i="6" s="1"/>
  <c r="T42" i="6"/>
  <c r="T149" i="6" s="1"/>
  <c r="T164" i="6" s="1"/>
  <c r="T132" i="6"/>
  <c r="S52" i="6"/>
  <c r="S53" i="6" s="1"/>
  <c r="R81" i="6"/>
  <c r="U45" i="6"/>
  <c r="U152" i="6" s="1"/>
  <c r="U167" i="6" s="1"/>
  <c r="U50" i="6"/>
  <c r="U157" i="6" s="1"/>
  <c r="U172" i="6" s="1"/>
  <c r="U46" i="6"/>
  <c r="U153" i="6" s="1"/>
  <c r="U168" i="6" s="1"/>
  <c r="V49" i="6"/>
  <c r="V156" i="6" s="1"/>
  <c r="V171" i="6" s="1"/>
  <c r="T47" i="6"/>
  <c r="T154" i="6" s="1"/>
  <c r="T169" i="6" s="1"/>
  <c r="U43" i="6"/>
  <c r="U150" i="6" s="1"/>
  <c r="U165" i="6" s="1"/>
  <c r="T35" i="6"/>
  <c r="W62" i="17"/>
  <c r="T173" i="6" l="1"/>
  <c r="T174" i="6" s="1"/>
  <c r="T158" i="6"/>
  <c r="T159" i="6" s="1"/>
  <c r="Q209" i="6"/>
  <c r="Q210" i="6"/>
  <c r="R211" i="6"/>
  <c r="Q214" i="6"/>
  <c r="S404" i="17"/>
  <c r="S405" i="17" s="1"/>
  <c r="V248" i="17"/>
  <c r="T218" i="17"/>
  <c r="T264" i="17"/>
  <c r="S263" i="17"/>
  <c r="S265" i="17"/>
  <c r="U282" i="17"/>
  <c r="W155" i="17"/>
  <c r="W156" i="17"/>
  <c r="W154" i="17"/>
  <c r="W150" i="17"/>
  <c r="W153" i="17"/>
  <c r="W151" i="17"/>
  <c r="W147" i="17"/>
  <c r="V23" i="18" s="1"/>
  <c r="W146" i="17"/>
  <c r="W152" i="17"/>
  <c r="W148" i="17"/>
  <c r="W149" i="17"/>
  <c r="U217" i="17"/>
  <c r="V157" i="17"/>
  <c r="V158" i="17" s="1"/>
  <c r="W232" i="17"/>
  <c r="W233" i="17" s="1"/>
  <c r="V170" i="17"/>
  <c r="V171" i="17"/>
  <c r="V169" i="17"/>
  <c r="V161" i="17"/>
  <c r="V165" i="17"/>
  <c r="V168" i="17"/>
  <c r="V162" i="17"/>
  <c r="U35" i="18" s="1"/>
  <c r="V163" i="17"/>
  <c r="V166" i="17"/>
  <c r="V164" i="17"/>
  <c r="V167" i="17"/>
  <c r="V340" i="17"/>
  <c r="V335" i="17"/>
  <c r="V338" i="17"/>
  <c r="V333" i="17"/>
  <c r="V341" i="17"/>
  <c r="V336" i="17"/>
  <c r="V331" i="17"/>
  <c r="V334" i="17"/>
  <c r="V339" i="17"/>
  <c r="V337" i="17"/>
  <c r="V332" i="17"/>
  <c r="U402" i="17"/>
  <c r="U403" i="17" s="1"/>
  <c r="V372" i="17"/>
  <c r="V373" i="17" s="1"/>
  <c r="W199" i="17"/>
  <c r="W200" i="17"/>
  <c r="W201" i="17"/>
  <c r="W191" i="17"/>
  <c r="W195" i="17"/>
  <c r="W193" i="17"/>
  <c r="W194" i="17"/>
  <c r="W198" i="17"/>
  <c r="W192" i="17"/>
  <c r="V59" i="18" s="1"/>
  <c r="W196" i="17"/>
  <c r="W197" i="17"/>
  <c r="W368" i="17"/>
  <c r="W371" i="17"/>
  <c r="W369" i="17"/>
  <c r="W365" i="17"/>
  <c r="W363" i="17"/>
  <c r="W366" i="17"/>
  <c r="W370" i="17"/>
  <c r="W367" i="17"/>
  <c r="W361" i="17"/>
  <c r="W364" i="17"/>
  <c r="W362" i="17"/>
  <c r="U297" i="17"/>
  <c r="U298" i="17" s="1"/>
  <c r="W247" i="17"/>
  <c r="T283" i="17"/>
  <c r="U356" i="17"/>
  <c r="U351" i="17"/>
  <c r="U354" i="17"/>
  <c r="U346" i="17"/>
  <c r="U352" i="17"/>
  <c r="U355" i="17"/>
  <c r="U350" i="17"/>
  <c r="U349" i="17"/>
  <c r="U353" i="17"/>
  <c r="U348" i="17"/>
  <c r="U347" i="17"/>
  <c r="W260" i="17"/>
  <c r="W261" i="17"/>
  <c r="W259" i="17"/>
  <c r="W251" i="17"/>
  <c r="W255" i="17"/>
  <c r="W258" i="17"/>
  <c r="W254" i="17"/>
  <c r="W252" i="17"/>
  <c r="V107" i="18" s="1"/>
  <c r="W253" i="17"/>
  <c r="W256" i="17"/>
  <c r="W257" i="17"/>
  <c r="X246" i="17"/>
  <c r="X244" i="17"/>
  <c r="X245" i="17"/>
  <c r="X236" i="17"/>
  <c r="X242" i="17"/>
  <c r="X241" i="17"/>
  <c r="X243" i="17"/>
  <c r="X238" i="17"/>
  <c r="X240" i="17"/>
  <c r="X239" i="17"/>
  <c r="X237" i="17"/>
  <c r="W95" i="18" s="1"/>
  <c r="U308" i="17"/>
  <c r="U311" i="17"/>
  <c r="U303" i="17"/>
  <c r="U309" i="17"/>
  <c r="U301" i="17"/>
  <c r="U305" i="17"/>
  <c r="U304" i="17"/>
  <c r="U307" i="17"/>
  <c r="U310" i="17"/>
  <c r="U306" i="17"/>
  <c r="U302" i="17"/>
  <c r="V202" i="17"/>
  <c r="V203" i="17" s="1"/>
  <c r="T312" i="17"/>
  <c r="T313" i="17" s="1"/>
  <c r="U172" i="17"/>
  <c r="U173" i="17" s="1"/>
  <c r="X231" i="17"/>
  <c r="X230" i="17"/>
  <c r="X229" i="17"/>
  <c r="X221" i="17"/>
  <c r="X222" i="17"/>
  <c r="W83" i="18" s="1"/>
  <c r="X224" i="17"/>
  <c r="X225" i="17"/>
  <c r="X226" i="17"/>
  <c r="X228" i="17"/>
  <c r="X223" i="17"/>
  <c r="X227" i="17"/>
  <c r="V323" i="17"/>
  <c r="V324" i="17"/>
  <c r="V316" i="17"/>
  <c r="V319" i="17"/>
  <c r="V322" i="17"/>
  <c r="V325" i="17"/>
  <c r="V317" i="17"/>
  <c r="V321" i="17"/>
  <c r="V318" i="17"/>
  <c r="V326" i="17"/>
  <c r="V320" i="17"/>
  <c r="T357" i="17"/>
  <c r="T358" i="17" s="1"/>
  <c r="V187" i="17"/>
  <c r="V188" i="17" s="1"/>
  <c r="V214" i="17"/>
  <c r="V215" i="17"/>
  <c r="V216" i="17"/>
  <c r="V206" i="17"/>
  <c r="V209" i="17"/>
  <c r="V212" i="17"/>
  <c r="V211" i="17"/>
  <c r="V208" i="17"/>
  <c r="V210" i="17"/>
  <c r="V207" i="17"/>
  <c r="U71" i="18" s="1"/>
  <c r="V213" i="17"/>
  <c r="W385" i="17"/>
  <c r="W380" i="17"/>
  <c r="W383" i="17"/>
  <c r="W386" i="17"/>
  <c r="W381" i="17"/>
  <c r="W379" i="17"/>
  <c r="W382" i="17"/>
  <c r="W378" i="17"/>
  <c r="W384" i="17"/>
  <c r="W377" i="17"/>
  <c r="W376" i="17"/>
  <c r="V400" i="17"/>
  <c r="V395" i="17"/>
  <c r="V398" i="17"/>
  <c r="V401" i="17"/>
  <c r="V393" i="17"/>
  <c r="V396" i="17"/>
  <c r="V399" i="17"/>
  <c r="V397" i="17"/>
  <c r="V391" i="17"/>
  <c r="V392" i="17"/>
  <c r="V394" i="17"/>
  <c r="W186" i="17"/>
  <c r="W184" i="17"/>
  <c r="W185" i="17"/>
  <c r="W176" i="17"/>
  <c r="W182" i="17"/>
  <c r="W178" i="17"/>
  <c r="W180" i="17"/>
  <c r="W181" i="17"/>
  <c r="W177" i="17"/>
  <c r="V47" i="18" s="1"/>
  <c r="W183" i="17"/>
  <c r="W179" i="17"/>
  <c r="V280" i="17"/>
  <c r="V281" i="17"/>
  <c r="V279" i="17"/>
  <c r="V271" i="17"/>
  <c r="V275" i="17"/>
  <c r="V276" i="17"/>
  <c r="V277" i="17"/>
  <c r="V273" i="17"/>
  <c r="V278" i="17"/>
  <c r="V274" i="17"/>
  <c r="V272" i="17"/>
  <c r="V295" i="17"/>
  <c r="V294" i="17"/>
  <c r="V296" i="17"/>
  <c r="V286" i="17"/>
  <c r="V287" i="17"/>
  <c r="V292" i="17"/>
  <c r="V291" i="17"/>
  <c r="V289" i="17"/>
  <c r="V293" i="17"/>
  <c r="V290" i="17"/>
  <c r="V288" i="17"/>
  <c r="V387" i="17"/>
  <c r="V388" i="17" s="1"/>
  <c r="U327" i="17"/>
  <c r="U328" i="17" s="1"/>
  <c r="U342" i="17"/>
  <c r="U343" i="17" s="1"/>
  <c r="T262" i="17"/>
  <c r="V142" i="17"/>
  <c r="V143" i="17" s="1"/>
  <c r="W138" i="17"/>
  <c r="W141" i="17"/>
  <c r="W139" i="17"/>
  <c r="W136" i="17"/>
  <c r="W133" i="17"/>
  <c r="W137" i="17"/>
  <c r="W134" i="17"/>
  <c r="W131" i="17"/>
  <c r="W140" i="17"/>
  <c r="W135" i="17"/>
  <c r="W132" i="17"/>
  <c r="V11" i="18" s="1"/>
  <c r="U213" i="13"/>
  <c r="U173" i="13"/>
  <c r="U174" i="13"/>
  <c r="U209" i="13"/>
  <c r="U210" i="13"/>
  <c r="U214" i="13"/>
  <c r="U169" i="13"/>
  <c r="U170" i="13"/>
  <c r="U167" i="13"/>
  <c r="U207" i="13"/>
  <c r="U172" i="13"/>
  <c r="U212" i="13"/>
  <c r="U206" i="13"/>
  <c r="U166" i="13"/>
  <c r="U211" i="13"/>
  <c r="U171" i="13"/>
  <c r="U168" i="13"/>
  <c r="U208" i="13"/>
  <c r="X203" i="13"/>
  <c r="V201" i="13"/>
  <c r="X202" i="13"/>
  <c r="U72" i="6"/>
  <c r="U100" i="6" s="1"/>
  <c r="U196" i="6" s="1"/>
  <c r="U77" i="6"/>
  <c r="U105" i="6" s="1"/>
  <c r="U201" i="6" s="1"/>
  <c r="W199" i="13"/>
  <c r="V198" i="13"/>
  <c r="T71" i="6"/>
  <c r="T99" i="6" s="1"/>
  <c r="T195" i="6" s="1"/>
  <c r="U75" i="6"/>
  <c r="U103" i="6" s="1"/>
  <c r="U199" i="6" s="1"/>
  <c r="U79" i="6"/>
  <c r="U107" i="6" s="1"/>
  <c r="U203" i="6" s="1"/>
  <c r="U74" i="6"/>
  <c r="U102" i="6" s="1"/>
  <c r="U198" i="6" s="1"/>
  <c r="T73" i="6"/>
  <c r="T101" i="6" s="1"/>
  <c r="T197" i="6" s="1"/>
  <c r="W200" i="13"/>
  <c r="W197" i="13"/>
  <c r="W196" i="13"/>
  <c r="V78" i="6"/>
  <c r="V106" i="6" s="1"/>
  <c r="V202" i="6" s="1"/>
  <c r="W204" i="13"/>
  <c r="U195" i="13"/>
  <c r="U185" i="13"/>
  <c r="U175" i="13"/>
  <c r="W187" i="13"/>
  <c r="W177" i="13"/>
  <c r="W190" i="13"/>
  <c r="W180" i="13"/>
  <c r="W194" i="13"/>
  <c r="W184" i="13"/>
  <c r="X193" i="13"/>
  <c r="X183" i="13"/>
  <c r="V178" i="13"/>
  <c r="V188" i="13"/>
  <c r="W189" i="13"/>
  <c r="W179" i="13"/>
  <c r="W176" i="13"/>
  <c r="W186" i="13"/>
  <c r="V191" i="13"/>
  <c r="V181" i="13"/>
  <c r="X192" i="13"/>
  <c r="X182" i="13"/>
  <c r="L231" i="6"/>
  <c r="L220" i="6" s="1"/>
  <c r="L234" i="6" s="1"/>
  <c r="M230" i="6"/>
  <c r="M228" i="6"/>
  <c r="M227" i="6"/>
  <c r="M229" i="6"/>
  <c r="M205" i="6"/>
  <c r="V20" i="36"/>
  <c r="T54" i="34" s="1"/>
  <c r="W11" i="36"/>
  <c r="U125" i="18"/>
  <c r="X14" i="36"/>
  <c r="V128" i="18"/>
  <c r="X17" i="36"/>
  <c r="V131" i="18"/>
  <c r="W16" i="36"/>
  <c r="U130" i="18"/>
  <c r="X19" i="36"/>
  <c r="V133" i="18"/>
  <c r="X15" i="36"/>
  <c r="V129" i="18"/>
  <c r="X12" i="36"/>
  <c r="V126" i="18"/>
  <c r="W13" i="36"/>
  <c r="U127" i="18"/>
  <c r="Y18" i="36"/>
  <c r="W132" i="18"/>
  <c r="S8" i="36"/>
  <c r="Q53" i="34" s="1"/>
  <c r="S7" i="36"/>
  <c r="Q52" i="34" s="1"/>
  <c r="U97" i="17"/>
  <c r="T7" i="18" s="1"/>
  <c r="W91" i="17"/>
  <c r="W159" i="13"/>
  <c r="W149" i="13"/>
  <c r="W156" i="13"/>
  <c r="W146" i="13"/>
  <c r="W92" i="17"/>
  <c r="W160" i="13"/>
  <c r="W150" i="13"/>
  <c r="W89" i="17"/>
  <c r="W157" i="13"/>
  <c r="W147" i="13"/>
  <c r="X94" i="17"/>
  <c r="X162" i="13"/>
  <c r="X152" i="13"/>
  <c r="V90" i="17"/>
  <c r="V148" i="13"/>
  <c r="V158" i="13"/>
  <c r="V93" i="17"/>
  <c r="V151" i="13"/>
  <c r="V161" i="13"/>
  <c r="X95" i="17"/>
  <c r="X163" i="13"/>
  <c r="X153" i="13"/>
  <c r="W96" i="17"/>
  <c r="W164" i="13"/>
  <c r="W154" i="13"/>
  <c r="T6" i="36"/>
  <c r="T7" i="36" s="1"/>
  <c r="U16" i="34"/>
  <c r="V43" i="34"/>
  <c r="U6" i="36" s="1"/>
  <c r="Y23" i="6"/>
  <c r="X30" i="6"/>
  <c r="X28" i="6"/>
  <c r="X25" i="6"/>
  <c r="X32" i="6"/>
  <c r="X27" i="6"/>
  <c r="X33" i="6"/>
  <c r="X31" i="6"/>
  <c r="X29" i="6"/>
  <c r="X26" i="6"/>
  <c r="T123" i="6"/>
  <c r="T186" i="6" s="1"/>
  <c r="S120" i="6"/>
  <c r="S183" i="6" s="1"/>
  <c r="S124" i="6"/>
  <c r="S187" i="6" s="1"/>
  <c r="R121" i="6"/>
  <c r="R184" i="6" s="1"/>
  <c r="R213" i="6" s="1"/>
  <c r="S122" i="6"/>
  <c r="S185" i="6" s="1"/>
  <c r="S212" i="6" s="1"/>
  <c r="S118" i="6"/>
  <c r="S181" i="6" s="1"/>
  <c r="S119" i="6"/>
  <c r="S182" i="6" s="1"/>
  <c r="S117" i="6"/>
  <c r="S180" i="6" s="1"/>
  <c r="R116" i="6"/>
  <c r="R179" i="6" s="1"/>
  <c r="P215" i="6"/>
  <c r="U37" i="34"/>
  <c r="U36" i="34"/>
  <c r="U24" i="34"/>
  <c r="U34" i="34"/>
  <c r="U32" i="34"/>
  <c r="U31" i="34"/>
  <c r="U25" i="34"/>
  <c r="U33" i="34"/>
  <c r="U18" i="34"/>
  <c r="R36" i="36"/>
  <c r="R12" i="37" s="1"/>
  <c r="T14" i="34"/>
  <c r="Q64" i="34"/>
  <c r="S31" i="36"/>
  <c r="Q65" i="34" s="1"/>
  <c r="T7" i="37"/>
  <c r="T6" i="37" s="1"/>
  <c r="R49" i="34"/>
  <c r="W7" i="34"/>
  <c r="T123" i="18"/>
  <c r="V6" i="34"/>
  <c r="V8" i="34" s="1"/>
  <c r="V9" i="34" s="1"/>
  <c r="V17" i="34" s="1"/>
  <c r="S6" i="18"/>
  <c r="H51" i="34"/>
  <c r="H58" i="34" s="1"/>
  <c r="U155" i="13"/>
  <c r="U145" i="13"/>
  <c r="V140" i="6"/>
  <c r="X70" i="17"/>
  <c r="U134" i="6"/>
  <c r="W64" i="17"/>
  <c r="U44" i="6"/>
  <c r="U151" i="6" s="1"/>
  <c r="U166" i="6" s="1"/>
  <c r="W88" i="17"/>
  <c r="U137" i="6"/>
  <c r="W67" i="17"/>
  <c r="N189" i="6"/>
  <c r="N190" i="6" s="1"/>
  <c r="V136" i="6"/>
  <c r="X66" i="17"/>
  <c r="V133" i="6"/>
  <c r="X63" i="17"/>
  <c r="W139" i="6"/>
  <c r="Y69" i="17"/>
  <c r="V135" i="6"/>
  <c r="X65" i="17"/>
  <c r="V71" i="17"/>
  <c r="V165" i="13" s="1"/>
  <c r="Q126" i="6"/>
  <c r="P126" i="6"/>
  <c r="T142" i="6"/>
  <c r="T143" i="6" s="1"/>
  <c r="U42" i="6"/>
  <c r="U149" i="6" s="1"/>
  <c r="U164" i="6" s="1"/>
  <c r="U132" i="6"/>
  <c r="Y68" i="17"/>
  <c r="V138" i="6"/>
  <c r="V48" i="6"/>
  <c r="V155" i="6" s="1"/>
  <c r="T52" i="6"/>
  <c r="T53" i="6" s="1"/>
  <c r="T76" i="6"/>
  <c r="T104" i="6" s="1"/>
  <c r="T200" i="6" s="1"/>
  <c r="S81" i="6"/>
  <c r="V46" i="6"/>
  <c r="V153" i="6" s="1"/>
  <c r="V168" i="6" s="1"/>
  <c r="V50" i="6"/>
  <c r="V157" i="6" s="1"/>
  <c r="V172" i="6" s="1"/>
  <c r="U47" i="6"/>
  <c r="U154" i="6" s="1"/>
  <c r="U169" i="6" s="1"/>
  <c r="V43" i="6"/>
  <c r="V150" i="6" s="1"/>
  <c r="V165" i="6" s="1"/>
  <c r="W49" i="6"/>
  <c r="W156" i="6" s="1"/>
  <c r="W171" i="6" s="1"/>
  <c r="V45" i="6"/>
  <c r="V152" i="6" s="1"/>
  <c r="V167" i="6" s="1"/>
  <c r="U35" i="6"/>
  <c r="X62" i="17"/>
  <c r="U173" i="6" l="1"/>
  <c r="U174" i="6" s="1"/>
  <c r="U158" i="6"/>
  <c r="U159" i="6" s="1"/>
  <c r="S211" i="6"/>
  <c r="R214" i="6"/>
  <c r="R210" i="6"/>
  <c r="R209" i="6"/>
  <c r="U283" i="17"/>
  <c r="T404" i="17"/>
  <c r="T405" i="17" s="1"/>
  <c r="U218" i="17"/>
  <c r="U264" i="17"/>
  <c r="W248" i="17"/>
  <c r="T263" i="17"/>
  <c r="T265" i="17"/>
  <c r="W395" i="17"/>
  <c r="W398" i="17"/>
  <c r="W401" i="17"/>
  <c r="W393" i="17"/>
  <c r="W396" i="17"/>
  <c r="W399" i="17"/>
  <c r="W394" i="17"/>
  <c r="W397" i="17"/>
  <c r="W391" i="17"/>
  <c r="W392" i="17"/>
  <c r="W400" i="17"/>
  <c r="V353" i="17"/>
  <c r="V356" i="17"/>
  <c r="V354" i="17"/>
  <c r="V346" i="17"/>
  <c r="V349" i="17"/>
  <c r="V352" i="17"/>
  <c r="V355" i="17"/>
  <c r="V347" i="17"/>
  <c r="V348" i="17"/>
  <c r="V351" i="17"/>
  <c r="V350" i="17"/>
  <c r="V217" i="17"/>
  <c r="X371" i="17"/>
  <c r="X368" i="17"/>
  <c r="X363" i="17"/>
  <c r="X366" i="17"/>
  <c r="X370" i="17"/>
  <c r="X367" i="17"/>
  <c r="X361" i="17"/>
  <c r="X364" i="17"/>
  <c r="X369" i="17"/>
  <c r="X362" i="17"/>
  <c r="X365" i="17"/>
  <c r="V282" i="17"/>
  <c r="V327" i="17"/>
  <c r="V328" i="17" s="1"/>
  <c r="U357" i="17"/>
  <c r="U358" i="17" s="1"/>
  <c r="W280" i="17"/>
  <c r="W281" i="17"/>
  <c r="W279" i="17"/>
  <c r="W271" i="17"/>
  <c r="W276" i="17"/>
  <c r="W274" i="17"/>
  <c r="W275" i="17"/>
  <c r="W277" i="17"/>
  <c r="W278" i="17"/>
  <c r="W272" i="17"/>
  <c r="W273" i="17"/>
  <c r="X199" i="17"/>
  <c r="X200" i="17"/>
  <c r="X201" i="17"/>
  <c r="X191" i="17"/>
  <c r="X196" i="17"/>
  <c r="X193" i="17"/>
  <c r="X194" i="17"/>
  <c r="X198" i="17"/>
  <c r="X192" i="17"/>
  <c r="W59" i="18" s="1"/>
  <c r="X197" i="17"/>
  <c r="X195" i="17"/>
  <c r="V402" i="17"/>
  <c r="V403" i="17" s="1"/>
  <c r="U312" i="17"/>
  <c r="W202" i="17"/>
  <c r="W203" i="17" s="1"/>
  <c r="X186" i="17"/>
  <c r="X184" i="17"/>
  <c r="X185" i="17"/>
  <c r="X176" i="17"/>
  <c r="X180" i="17"/>
  <c r="X182" i="17"/>
  <c r="X181" i="17"/>
  <c r="X183" i="17"/>
  <c r="X179" i="17"/>
  <c r="X178" i="17"/>
  <c r="X177" i="17"/>
  <c r="W47" i="18" s="1"/>
  <c r="Y229" i="17"/>
  <c r="Y231" i="17"/>
  <c r="Y230" i="17"/>
  <c r="Y221" i="17"/>
  <c r="Y228" i="17"/>
  <c r="Y222" i="17"/>
  <c r="X83" i="18" s="1"/>
  <c r="Y225" i="17"/>
  <c r="Y224" i="17"/>
  <c r="Y227" i="17"/>
  <c r="Y226" i="17"/>
  <c r="Y223" i="17"/>
  <c r="W170" i="17"/>
  <c r="W171" i="17"/>
  <c r="W169" i="17"/>
  <c r="W161" i="17"/>
  <c r="W162" i="17"/>
  <c r="V35" i="18" s="1"/>
  <c r="W164" i="17"/>
  <c r="W165" i="17"/>
  <c r="W168" i="17"/>
  <c r="W167" i="17"/>
  <c r="W163" i="17"/>
  <c r="W166" i="17"/>
  <c r="V311" i="17"/>
  <c r="V303" i="17"/>
  <c r="V306" i="17"/>
  <c r="V304" i="17"/>
  <c r="V308" i="17"/>
  <c r="V307" i="17"/>
  <c r="V310" i="17"/>
  <c r="V302" i="17"/>
  <c r="V309" i="17"/>
  <c r="V305" i="17"/>
  <c r="V301" i="17"/>
  <c r="W387" i="17"/>
  <c r="W388" i="17" s="1"/>
  <c r="Y246" i="17"/>
  <c r="Y244" i="17"/>
  <c r="Y245" i="17"/>
  <c r="Y236" i="17"/>
  <c r="Y242" i="17"/>
  <c r="Y243" i="17"/>
  <c r="Y237" i="17"/>
  <c r="X95" i="18" s="1"/>
  <c r="Y241" i="17"/>
  <c r="Y240" i="17"/>
  <c r="Y238" i="17"/>
  <c r="Y239" i="17"/>
  <c r="W295" i="17"/>
  <c r="W294" i="17"/>
  <c r="W296" i="17"/>
  <c r="W286" i="17"/>
  <c r="W289" i="17"/>
  <c r="W287" i="17"/>
  <c r="W291" i="17"/>
  <c r="W290" i="17"/>
  <c r="W288" i="17"/>
  <c r="W293" i="17"/>
  <c r="W292" i="17"/>
  <c r="W187" i="17"/>
  <c r="W188" i="17" s="1"/>
  <c r="W326" i="17"/>
  <c r="W318" i="17"/>
  <c r="W319" i="17"/>
  <c r="W322" i="17"/>
  <c r="W325" i="17"/>
  <c r="W317" i="17"/>
  <c r="W320" i="17"/>
  <c r="W324" i="17"/>
  <c r="W321" i="17"/>
  <c r="W323" i="17"/>
  <c r="W316" i="17"/>
  <c r="W215" i="17"/>
  <c r="W216" i="17"/>
  <c r="W214" i="17"/>
  <c r="W206" i="17"/>
  <c r="W208" i="17"/>
  <c r="W211" i="17"/>
  <c r="W209" i="17"/>
  <c r="W212" i="17"/>
  <c r="W207" i="17"/>
  <c r="V71" i="18" s="1"/>
  <c r="W213" i="17"/>
  <c r="W210" i="17"/>
  <c r="X260" i="17"/>
  <c r="X261" i="17"/>
  <c r="X259" i="17"/>
  <c r="X251" i="17"/>
  <c r="X254" i="17"/>
  <c r="X252" i="17"/>
  <c r="W107" i="18" s="1"/>
  <c r="X258" i="17"/>
  <c r="X257" i="17"/>
  <c r="X255" i="17"/>
  <c r="X253" i="17"/>
  <c r="X256" i="17"/>
  <c r="X385" i="17"/>
  <c r="X383" i="17"/>
  <c r="X386" i="17"/>
  <c r="X378" i="17"/>
  <c r="X384" i="17"/>
  <c r="X376" i="17"/>
  <c r="X382" i="17"/>
  <c r="X381" i="17"/>
  <c r="X377" i="17"/>
  <c r="X380" i="17"/>
  <c r="X379" i="17"/>
  <c r="V297" i="17"/>
  <c r="V298" i="17" s="1"/>
  <c r="X232" i="17"/>
  <c r="X233" i="17" s="1"/>
  <c r="V342" i="17"/>
  <c r="V343" i="17" s="1"/>
  <c r="W338" i="17"/>
  <c r="W333" i="17"/>
  <c r="W341" i="17"/>
  <c r="W336" i="17"/>
  <c r="W331" i="17"/>
  <c r="W334" i="17"/>
  <c r="W339" i="17"/>
  <c r="W337" i="17"/>
  <c r="W332" i="17"/>
  <c r="W335" i="17"/>
  <c r="W340" i="17"/>
  <c r="X156" i="17"/>
  <c r="X154" i="17"/>
  <c r="X155" i="17"/>
  <c r="X152" i="17"/>
  <c r="X153" i="17"/>
  <c r="X149" i="17"/>
  <c r="X146" i="17"/>
  <c r="X148" i="17"/>
  <c r="X147" i="17"/>
  <c r="W23" i="18" s="1"/>
  <c r="X150" i="17"/>
  <c r="X151" i="17"/>
  <c r="X247" i="17"/>
  <c r="W372" i="17"/>
  <c r="W373" i="17" s="1"/>
  <c r="V172" i="17"/>
  <c r="V173" i="17" s="1"/>
  <c r="W157" i="17"/>
  <c r="W158" i="17" s="1"/>
  <c r="U262" i="17"/>
  <c r="X141" i="17"/>
  <c r="X133" i="17"/>
  <c r="X134" i="17"/>
  <c r="X139" i="17"/>
  <c r="X137" i="17"/>
  <c r="X138" i="17"/>
  <c r="X131" i="17"/>
  <c r="X132" i="17"/>
  <c r="W11" i="18" s="1"/>
  <c r="X136" i="17"/>
  <c r="X135" i="17"/>
  <c r="X140" i="17"/>
  <c r="W142" i="17"/>
  <c r="W143" i="17" s="1"/>
  <c r="V171" i="13"/>
  <c r="V208" i="13"/>
  <c r="V206" i="13"/>
  <c r="V211" i="13"/>
  <c r="V166" i="13"/>
  <c r="V173" i="13"/>
  <c r="V213" i="13"/>
  <c r="V209" i="13"/>
  <c r="V212" i="13"/>
  <c r="V172" i="13"/>
  <c r="V207" i="13"/>
  <c r="V167" i="13"/>
  <c r="V170" i="13"/>
  <c r="V210" i="13"/>
  <c r="V214" i="13"/>
  <c r="V169" i="13"/>
  <c r="V174" i="13"/>
  <c r="V168" i="13"/>
  <c r="V77" i="6"/>
  <c r="V105" i="6" s="1"/>
  <c r="V201" i="6" s="1"/>
  <c r="X199" i="13"/>
  <c r="Y202" i="13"/>
  <c r="V79" i="6"/>
  <c r="V107" i="6" s="1"/>
  <c r="V203" i="6" s="1"/>
  <c r="U73" i="6"/>
  <c r="U101" i="6" s="1"/>
  <c r="U197" i="6" s="1"/>
  <c r="W198" i="13"/>
  <c r="Y203" i="13"/>
  <c r="X196" i="13"/>
  <c r="V74" i="6"/>
  <c r="V102" i="6" s="1"/>
  <c r="V198" i="6" s="1"/>
  <c r="U71" i="6"/>
  <c r="U99" i="6" s="1"/>
  <c r="U195" i="6" s="1"/>
  <c r="W201" i="13"/>
  <c r="X204" i="13"/>
  <c r="V75" i="6"/>
  <c r="V103" i="6" s="1"/>
  <c r="V199" i="6" s="1"/>
  <c r="X200" i="13"/>
  <c r="W78" i="6"/>
  <c r="W106" i="6" s="1"/>
  <c r="W202" i="6" s="1"/>
  <c r="X197" i="13"/>
  <c r="U76" i="6"/>
  <c r="U104" i="6" s="1"/>
  <c r="U200" i="6" s="1"/>
  <c r="V72" i="6"/>
  <c r="V100" i="6" s="1"/>
  <c r="V196" i="6" s="1"/>
  <c r="V175" i="13"/>
  <c r="V195" i="13"/>
  <c r="V185" i="13"/>
  <c r="X177" i="13"/>
  <c r="X187" i="13"/>
  <c r="X179" i="13"/>
  <c r="X189" i="13"/>
  <c r="X190" i="13"/>
  <c r="X180" i="13"/>
  <c r="X186" i="13"/>
  <c r="X176" i="13"/>
  <c r="Y192" i="13"/>
  <c r="Y182" i="13"/>
  <c r="W188" i="13"/>
  <c r="W178" i="13"/>
  <c r="Y193" i="13"/>
  <c r="Y183" i="13"/>
  <c r="W191" i="13"/>
  <c r="W181" i="13"/>
  <c r="X194" i="13"/>
  <c r="X184" i="13"/>
  <c r="M221" i="6"/>
  <c r="N230" i="6"/>
  <c r="N228" i="6"/>
  <c r="N229" i="6"/>
  <c r="N227" i="6"/>
  <c r="M232" i="6"/>
  <c r="M233" i="6"/>
  <c r="M240" i="6" s="1"/>
  <c r="M241" i="6" s="1"/>
  <c r="N205" i="6"/>
  <c r="W20" i="36"/>
  <c r="U54" i="34" s="1"/>
  <c r="X11" i="36"/>
  <c r="V125" i="18"/>
  <c r="Z18" i="36"/>
  <c r="X132" i="18"/>
  <c r="X16" i="36"/>
  <c r="V130" i="18"/>
  <c r="Y12" i="36"/>
  <c r="W126" i="18"/>
  <c r="X13" i="36"/>
  <c r="V127" i="18"/>
  <c r="Y17" i="36"/>
  <c r="W131" i="18"/>
  <c r="Y14" i="36"/>
  <c r="W128" i="18"/>
  <c r="Y15" i="36"/>
  <c r="W129" i="18"/>
  <c r="Y19" i="36"/>
  <c r="W133" i="18"/>
  <c r="S50" i="34"/>
  <c r="U7" i="37" s="1"/>
  <c r="U6" i="37" s="1"/>
  <c r="T8" i="36"/>
  <c r="R53" i="34" s="1"/>
  <c r="T25" i="36"/>
  <c r="T28" i="36" s="1"/>
  <c r="R64" i="34" s="1"/>
  <c r="V97" i="17"/>
  <c r="U7" i="18" s="1"/>
  <c r="X89" i="17"/>
  <c r="X147" i="13"/>
  <c r="X157" i="13"/>
  <c r="W90" i="17"/>
  <c r="W148" i="13"/>
  <c r="W158" i="13"/>
  <c r="X91" i="17"/>
  <c r="X149" i="13"/>
  <c r="X159" i="13"/>
  <c r="X92" i="17"/>
  <c r="X160" i="13"/>
  <c r="X150" i="13"/>
  <c r="X156" i="13"/>
  <c r="X146" i="13"/>
  <c r="X96" i="17"/>
  <c r="X154" i="13"/>
  <c r="X164" i="13"/>
  <c r="Y94" i="17"/>
  <c r="Y162" i="13"/>
  <c r="Y152" i="13"/>
  <c r="Y95" i="17"/>
  <c r="Y153" i="13"/>
  <c r="Y163" i="13"/>
  <c r="W93" i="17"/>
  <c r="W161" i="13"/>
  <c r="W151" i="13"/>
  <c r="W43" i="34"/>
  <c r="T50" i="34" s="1"/>
  <c r="V36" i="34"/>
  <c r="Z23" i="6"/>
  <c r="Y30" i="6"/>
  <c r="Y28" i="6"/>
  <c r="Y25" i="6"/>
  <c r="Y32" i="6"/>
  <c r="Y27" i="6"/>
  <c r="Y33" i="6"/>
  <c r="Y31" i="6"/>
  <c r="Y29" i="6"/>
  <c r="Y26" i="6"/>
  <c r="Q215" i="6"/>
  <c r="S116" i="6"/>
  <c r="S179" i="6" s="1"/>
  <c r="T118" i="6"/>
  <c r="T181" i="6" s="1"/>
  <c r="U123" i="6"/>
  <c r="U186" i="6" s="1"/>
  <c r="T120" i="6"/>
  <c r="T183" i="6" s="1"/>
  <c r="T117" i="6"/>
  <c r="T180" i="6" s="1"/>
  <c r="T124" i="6"/>
  <c r="T187" i="6" s="1"/>
  <c r="T119" i="6"/>
  <c r="T182" i="6" s="1"/>
  <c r="S121" i="6"/>
  <c r="S184" i="6" s="1"/>
  <c r="S213" i="6" s="1"/>
  <c r="T122" i="6"/>
  <c r="T185" i="6" s="1"/>
  <c r="T212" i="6" s="1"/>
  <c r="U14" i="34"/>
  <c r="V37" i="34"/>
  <c r="S36" i="36"/>
  <c r="S12" i="37" s="1"/>
  <c r="V18" i="34"/>
  <c r="V16" i="34"/>
  <c r="V34" i="34"/>
  <c r="V24" i="34"/>
  <c r="V33" i="34"/>
  <c r="V25" i="34"/>
  <c r="V31" i="34"/>
  <c r="V32" i="34"/>
  <c r="W6" i="34"/>
  <c r="W8" i="34" s="1"/>
  <c r="W9" i="34" s="1"/>
  <c r="W17" i="34" s="1"/>
  <c r="T6" i="18"/>
  <c r="R52" i="34"/>
  <c r="U123" i="18"/>
  <c r="X7" i="34"/>
  <c r="U25" i="36"/>
  <c r="U28" i="36" s="1"/>
  <c r="U8" i="36"/>
  <c r="S53" i="34" s="1"/>
  <c r="U7" i="36"/>
  <c r="I51" i="34"/>
  <c r="I58" i="34" s="1"/>
  <c r="V155" i="13"/>
  <c r="V145" i="13"/>
  <c r="V134" i="6"/>
  <c r="X64" i="17"/>
  <c r="V44" i="6"/>
  <c r="V151" i="6" s="1"/>
  <c r="V166" i="6" s="1"/>
  <c r="X88" i="17"/>
  <c r="O189" i="6"/>
  <c r="O190" i="6" s="1"/>
  <c r="X139" i="6"/>
  <c r="Z69" i="17"/>
  <c r="W135" i="6"/>
  <c r="Y65" i="17"/>
  <c r="W140" i="6"/>
  <c r="Y70" i="17"/>
  <c r="W136" i="6"/>
  <c r="Y66" i="17"/>
  <c r="W71" i="17"/>
  <c r="W165" i="13" s="1"/>
  <c r="W133" i="6"/>
  <c r="Y63" i="17"/>
  <c r="V137" i="6"/>
  <c r="X67" i="17"/>
  <c r="U142" i="6"/>
  <c r="U143" i="6" s="1"/>
  <c r="R109" i="6"/>
  <c r="R110" i="6" s="1"/>
  <c r="Z68" i="17"/>
  <c r="W138" i="6"/>
  <c r="W48" i="6"/>
  <c r="W155" i="6" s="1"/>
  <c r="V42" i="6"/>
  <c r="V149" i="6" s="1"/>
  <c r="V164" i="6" s="1"/>
  <c r="V132" i="6"/>
  <c r="T81" i="6"/>
  <c r="U52" i="6"/>
  <c r="U53" i="6" s="1"/>
  <c r="V47" i="6"/>
  <c r="V154" i="6" s="1"/>
  <c r="V169" i="6" s="1"/>
  <c r="X49" i="6"/>
  <c r="X156" i="6" s="1"/>
  <c r="X171" i="6" s="1"/>
  <c r="W50" i="6"/>
  <c r="W157" i="6" s="1"/>
  <c r="W172" i="6" s="1"/>
  <c r="W43" i="6"/>
  <c r="W150" i="6" s="1"/>
  <c r="W165" i="6" s="1"/>
  <c r="W45" i="6"/>
  <c r="W152" i="6" s="1"/>
  <c r="W167" i="6" s="1"/>
  <c r="W46" i="6"/>
  <c r="W153" i="6" s="1"/>
  <c r="W168" i="6" s="1"/>
  <c r="V35" i="6"/>
  <c r="Y62" i="17"/>
  <c r="V173" i="6" l="1"/>
  <c r="V174" i="6" s="1"/>
  <c r="V158" i="6"/>
  <c r="V159" i="6" s="1"/>
  <c r="U404" i="17"/>
  <c r="T211" i="6"/>
  <c r="S210" i="6"/>
  <c r="S209" i="6"/>
  <c r="S214" i="6"/>
  <c r="V218" i="17"/>
  <c r="V264" i="17"/>
  <c r="X248" i="17"/>
  <c r="U263" i="17"/>
  <c r="U265" i="17"/>
  <c r="W297" i="17"/>
  <c r="W298" i="17" s="1"/>
  <c r="Y232" i="17"/>
  <c r="Y233" i="17" s="1"/>
  <c r="U313" i="17"/>
  <c r="U405" i="17"/>
  <c r="Z246" i="17"/>
  <c r="Z244" i="17"/>
  <c r="Z245" i="17"/>
  <c r="Z236" i="17"/>
  <c r="Z241" i="17"/>
  <c r="Z242" i="17"/>
  <c r="Z243" i="17"/>
  <c r="Z238" i="17"/>
  <c r="Z237" i="17"/>
  <c r="Y95" i="18" s="1"/>
  <c r="Z240" i="17"/>
  <c r="Z239" i="17"/>
  <c r="W356" i="17"/>
  <c r="W349" i="17"/>
  <c r="W352" i="17"/>
  <c r="W355" i="17"/>
  <c r="W350" i="17"/>
  <c r="W346" i="17"/>
  <c r="W354" i="17"/>
  <c r="W353" i="17"/>
  <c r="W348" i="17"/>
  <c r="W351" i="17"/>
  <c r="W347" i="17"/>
  <c r="W342" i="17"/>
  <c r="W343" i="17" s="1"/>
  <c r="W327" i="17"/>
  <c r="W328" i="17" s="1"/>
  <c r="W282" i="17"/>
  <c r="Y369" i="17"/>
  <c r="Y367" i="17"/>
  <c r="Y363" i="17"/>
  <c r="Y371" i="17"/>
  <c r="Y366" i="17"/>
  <c r="Y370" i="17"/>
  <c r="Y361" i="17"/>
  <c r="Y364" i="17"/>
  <c r="Y362" i="17"/>
  <c r="Y365" i="17"/>
  <c r="Y368" i="17"/>
  <c r="X340" i="17"/>
  <c r="X341" i="17"/>
  <c r="X333" i="17"/>
  <c r="X336" i="17"/>
  <c r="X331" i="17"/>
  <c r="X334" i="17"/>
  <c r="X339" i="17"/>
  <c r="X337" i="17"/>
  <c r="X332" i="17"/>
  <c r="X335" i="17"/>
  <c r="X338" i="17"/>
  <c r="V312" i="17"/>
  <c r="V313" i="17" s="1"/>
  <c r="X372" i="17"/>
  <c r="X373" i="17" s="1"/>
  <c r="X157" i="17"/>
  <c r="X158" i="17" s="1"/>
  <c r="X387" i="17"/>
  <c r="X388" i="17" s="1"/>
  <c r="Y247" i="17"/>
  <c r="W172" i="17"/>
  <c r="W173" i="17" s="1"/>
  <c r="X215" i="17"/>
  <c r="X216" i="17"/>
  <c r="X214" i="17"/>
  <c r="X206" i="17"/>
  <c r="X209" i="17"/>
  <c r="X212" i="17"/>
  <c r="X208" i="17"/>
  <c r="X211" i="17"/>
  <c r="X207" i="17"/>
  <c r="W71" i="18" s="1"/>
  <c r="X213" i="17"/>
  <c r="X210" i="17"/>
  <c r="Y200" i="17"/>
  <c r="Y201" i="17"/>
  <c r="Y199" i="17"/>
  <c r="Y191" i="17"/>
  <c r="Y195" i="17"/>
  <c r="Y196" i="17"/>
  <c r="Y193" i="17"/>
  <c r="Y194" i="17"/>
  <c r="Y198" i="17"/>
  <c r="Y192" i="17"/>
  <c r="X59" i="18" s="1"/>
  <c r="Y197" i="17"/>
  <c r="Z231" i="17"/>
  <c r="Z229" i="17"/>
  <c r="Z230" i="17"/>
  <c r="Z221" i="17"/>
  <c r="Z222" i="17"/>
  <c r="Y83" i="18" s="1"/>
  <c r="Z225" i="17"/>
  <c r="Z224" i="17"/>
  <c r="Z228" i="17"/>
  <c r="Z226" i="17"/>
  <c r="Z223" i="17"/>
  <c r="Z227" i="17"/>
  <c r="X281" i="17"/>
  <c r="X279" i="17"/>
  <c r="X280" i="17"/>
  <c r="X271" i="17"/>
  <c r="X275" i="17"/>
  <c r="X276" i="17"/>
  <c r="X272" i="17"/>
  <c r="X273" i="17"/>
  <c r="X274" i="17"/>
  <c r="X277" i="17"/>
  <c r="X278" i="17"/>
  <c r="W217" i="17"/>
  <c r="X321" i="17"/>
  <c r="X322" i="17"/>
  <c r="X325" i="17"/>
  <c r="X317" i="17"/>
  <c r="X320" i="17"/>
  <c r="X323" i="17"/>
  <c r="X318" i="17"/>
  <c r="X326" i="17"/>
  <c r="X319" i="17"/>
  <c r="X316" i="17"/>
  <c r="X324" i="17"/>
  <c r="X202" i="17"/>
  <c r="X203" i="17" s="1"/>
  <c r="V283" i="17"/>
  <c r="W306" i="17"/>
  <c r="W309" i="17"/>
  <c r="W301" i="17"/>
  <c r="W307" i="17"/>
  <c r="W308" i="17"/>
  <c r="W304" i="17"/>
  <c r="W311" i="17"/>
  <c r="W310" i="17"/>
  <c r="W303" i="17"/>
  <c r="W302" i="17"/>
  <c r="W305" i="17"/>
  <c r="X398" i="17"/>
  <c r="X401" i="17"/>
  <c r="X393" i="17"/>
  <c r="X396" i="17"/>
  <c r="X399" i="17"/>
  <c r="X394" i="17"/>
  <c r="X397" i="17"/>
  <c r="X400" i="17"/>
  <c r="X392" i="17"/>
  <c r="X395" i="17"/>
  <c r="X391" i="17"/>
  <c r="Y156" i="17"/>
  <c r="Y154" i="17"/>
  <c r="Y155" i="17"/>
  <c r="Y150" i="17"/>
  <c r="Y152" i="17"/>
  <c r="Y153" i="17"/>
  <c r="Y151" i="17"/>
  <c r="Y149" i="17"/>
  <c r="Y148" i="17"/>
  <c r="Y146" i="17"/>
  <c r="Y147" i="17"/>
  <c r="X23" i="18" s="1"/>
  <c r="X171" i="17"/>
  <c r="X169" i="17"/>
  <c r="X170" i="17"/>
  <c r="X161" i="17"/>
  <c r="X168" i="17"/>
  <c r="X165" i="17"/>
  <c r="X162" i="17"/>
  <c r="W35" i="18" s="1"/>
  <c r="X164" i="17"/>
  <c r="X163" i="17"/>
  <c r="X166" i="17"/>
  <c r="X167" i="17"/>
  <c r="X295" i="17"/>
  <c r="X296" i="17"/>
  <c r="X294" i="17"/>
  <c r="X286" i="17"/>
  <c r="X291" i="17"/>
  <c r="X292" i="17"/>
  <c r="X289" i="17"/>
  <c r="X287" i="17"/>
  <c r="X288" i="17"/>
  <c r="X290" i="17"/>
  <c r="X293" i="17"/>
  <c r="V357" i="17"/>
  <c r="V358" i="17" s="1"/>
  <c r="Y260" i="17"/>
  <c r="Y261" i="17"/>
  <c r="Y259" i="17"/>
  <c r="Y251" i="17"/>
  <c r="Y255" i="17"/>
  <c r="Y254" i="17"/>
  <c r="Y252" i="17"/>
  <c r="X107" i="18" s="1"/>
  <c r="Y256" i="17"/>
  <c r="Y257" i="17"/>
  <c r="Y258" i="17"/>
  <c r="Y253" i="17"/>
  <c r="Y184" i="17"/>
  <c r="Y185" i="17"/>
  <c r="Y186" i="17"/>
  <c r="Y176" i="17"/>
  <c r="Y182" i="17"/>
  <c r="Y180" i="17"/>
  <c r="Y181" i="17"/>
  <c r="Y178" i="17"/>
  <c r="Y177" i="17"/>
  <c r="X47" i="18" s="1"/>
  <c r="Y179" i="17"/>
  <c r="Y183" i="17"/>
  <c r="Y385" i="17"/>
  <c r="Y386" i="17"/>
  <c r="Y378" i="17"/>
  <c r="Y381" i="17"/>
  <c r="Y384" i="17"/>
  <c r="Y379" i="17"/>
  <c r="Y383" i="17"/>
  <c r="Y382" i="17"/>
  <c r="Y377" i="17"/>
  <c r="Y380" i="17"/>
  <c r="Y376" i="17"/>
  <c r="X187" i="17"/>
  <c r="X188" i="17" s="1"/>
  <c r="W402" i="17"/>
  <c r="W403" i="17" s="1"/>
  <c r="V262" i="17"/>
  <c r="Y136" i="17"/>
  <c r="Y139" i="17"/>
  <c r="Y137" i="17"/>
  <c r="Y133" i="17"/>
  <c r="Y134" i="17"/>
  <c r="Y138" i="17"/>
  <c r="Y131" i="17"/>
  <c r="Y132" i="17"/>
  <c r="X11" i="18" s="1"/>
  <c r="Y140" i="17"/>
  <c r="Y141" i="17"/>
  <c r="Y135" i="17"/>
  <c r="X142" i="17"/>
  <c r="X143" i="17" s="1"/>
  <c r="W206" i="13"/>
  <c r="W171" i="13"/>
  <c r="W208" i="13"/>
  <c r="W211" i="13"/>
  <c r="W168" i="13"/>
  <c r="W173" i="13"/>
  <c r="W213" i="13"/>
  <c r="W172" i="13"/>
  <c r="W212" i="13"/>
  <c r="W174" i="13"/>
  <c r="W214" i="13"/>
  <c r="W207" i="13"/>
  <c r="W170" i="13"/>
  <c r="W167" i="13"/>
  <c r="W210" i="13"/>
  <c r="W169" i="13"/>
  <c r="W209" i="13"/>
  <c r="W166" i="13"/>
  <c r="U81" i="6"/>
  <c r="Y6" i="34" s="1"/>
  <c r="X78" i="6"/>
  <c r="X106" i="6" s="1"/>
  <c r="X202" i="6" s="1"/>
  <c r="Z203" i="13"/>
  <c r="Y196" i="13"/>
  <c r="Y197" i="13"/>
  <c r="X198" i="13"/>
  <c r="V71" i="6"/>
  <c r="V99" i="6" s="1"/>
  <c r="V195" i="6" s="1"/>
  <c r="Z202" i="13"/>
  <c r="W75" i="6"/>
  <c r="W103" i="6" s="1"/>
  <c r="W199" i="6" s="1"/>
  <c r="Y204" i="13"/>
  <c r="V73" i="6"/>
  <c r="V101" i="6" s="1"/>
  <c r="V197" i="6" s="1"/>
  <c r="W74" i="6"/>
  <c r="W102" i="6" s="1"/>
  <c r="W198" i="6" s="1"/>
  <c r="W72" i="6"/>
  <c r="W100" i="6" s="1"/>
  <c r="W196" i="6" s="1"/>
  <c r="Y199" i="13"/>
  <c r="Y200" i="13"/>
  <c r="W79" i="6"/>
  <c r="W107" i="6" s="1"/>
  <c r="W203" i="6" s="1"/>
  <c r="V76" i="6"/>
  <c r="V104" i="6" s="1"/>
  <c r="V200" i="6" s="1"/>
  <c r="W77" i="6"/>
  <c r="W105" i="6" s="1"/>
  <c r="W201" i="6" s="1"/>
  <c r="X201" i="13"/>
  <c r="W175" i="13"/>
  <c r="W185" i="13"/>
  <c r="W195" i="13"/>
  <c r="Y189" i="13"/>
  <c r="Y179" i="13"/>
  <c r="X191" i="13"/>
  <c r="X181" i="13"/>
  <c r="Y176" i="13"/>
  <c r="Y186" i="13"/>
  <c r="Y180" i="13"/>
  <c r="Y190" i="13"/>
  <c r="Z193" i="13"/>
  <c r="Z183" i="13"/>
  <c r="Z192" i="13"/>
  <c r="Z182" i="13"/>
  <c r="Y194" i="13"/>
  <c r="Y184" i="13"/>
  <c r="Y187" i="13"/>
  <c r="Y177" i="13"/>
  <c r="X188" i="13"/>
  <c r="X178" i="13"/>
  <c r="N221" i="6"/>
  <c r="M231" i="6"/>
  <c r="M220" i="6" s="1"/>
  <c r="M234" i="6" s="1"/>
  <c r="N232" i="6"/>
  <c r="N233" i="6"/>
  <c r="N240" i="6" s="1"/>
  <c r="N241" i="6" s="1"/>
  <c r="O230" i="6"/>
  <c r="O227" i="6"/>
  <c r="O229" i="6"/>
  <c r="O228" i="6"/>
  <c r="O205" i="6"/>
  <c r="R215" i="6"/>
  <c r="X20" i="36"/>
  <c r="V54" i="34" s="1"/>
  <c r="Y11" i="36"/>
  <c r="W125" i="18"/>
  <c r="Z12" i="36"/>
  <c r="X126" i="18"/>
  <c r="Z19" i="36"/>
  <c r="X133" i="18"/>
  <c r="Y13" i="36"/>
  <c r="W127" i="18"/>
  <c r="Z14" i="36"/>
  <c r="X128" i="18"/>
  <c r="Z17" i="36"/>
  <c r="X131" i="18"/>
  <c r="Y16" i="36"/>
  <c r="W130" i="18"/>
  <c r="Z15" i="36"/>
  <c r="X129" i="18"/>
  <c r="AA18" i="36"/>
  <c r="Y132" i="18"/>
  <c r="W97" i="17"/>
  <c r="V7" i="18" s="1"/>
  <c r="T31" i="36"/>
  <c r="R65" i="34" s="1"/>
  <c r="S49" i="34"/>
  <c r="V6" i="36"/>
  <c r="V25" i="36" s="1"/>
  <c r="V28" i="36" s="1"/>
  <c r="Y96" i="17"/>
  <c r="Y164" i="13"/>
  <c r="Y154" i="13"/>
  <c r="Y156" i="13"/>
  <c r="Y146" i="13"/>
  <c r="X90" i="17"/>
  <c r="X158" i="13"/>
  <c r="X148" i="13"/>
  <c r="Y91" i="17"/>
  <c r="Y149" i="13"/>
  <c r="Y159" i="13"/>
  <c r="Z94" i="17"/>
  <c r="Z162" i="13"/>
  <c r="Z152" i="13"/>
  <c r="X93" i="17"/>
  <c r="X161" i="13"/>
  <c r="X151" i="13"/>
  <c r="Y92" i="17"/>
  <c r="Y150" i="13"/>
  <c r="Y160" i="13"/>
  <c r="Z95" i="17"/>
  <c r="Z163" i="13"/>
  <c r="Z153" i="13"/>
  <c r="Y89" i="17"/>
  <c r="Y147" i="13"/>
  <c r="Y157" i="13"/>
  <c r="X43" i="34"/>
  <c r="W6" i="36" s="1"/>
  <c r="W36" i="34"/>
  <c r="AA23" i="6"/>
  <c r="Z30" i="6"/>
  <c r="Z28" i="6"/>
  <c r="Z25" i="6"/>
  <c r="Z32" i="6"/>
  <c r="Z27" i="6"/>
  <c r="Z33" i="6"/>
  <c r="Z31" i="6"/>
  <c r="Z29" i="6"/>
  <c r="Z26" i="6"/>
  <c r="T116" i="6"/>
  <c r="T179" i="6" s="1"/>
  <c r="U117" i="6"/>
  <c r="U180" i="6" s="1"/>
  <c r="U118" i="6"/>
  <c r="U181" i="6" s="1"/>
  <c r="U122" i="6"/>
  <c r="U185" i="6" s="1"/>
  <c r="U212" i="6" s="1"/>
  <c r="U120" i="6"/>
  <c r="U183" i="6" s="1"/>
  <c r="U124" i="6"/>
  <c r="U187" i="6" s="1"/>
  <c r="U119" i="6"/>
  <c r="U182" i="6" s="1"/>
  <c r="V123" i="6"/>
  <c r="V186" i="6" s="1"/>
  <c r="S52" i="34"/>
  <c r="X6" i="34"/>
  <c r="X8" i="34" s="1"/>
  <c r="U6" i="18"/>
  <c r="U31" i="36"/>
  <c r="S65" i="34" s="1"/>
  <c r="S64" i="34"/>
  <c r="W34" i="34"/>
  <c r="W18" i="34"/>
  <c r="W16" i="34"/>
  <c r="W24" i="34"/>
  <c r="W33" i="34"/>
  <c r="W32" i="34"/>
  <c r="W31" i="34"/>
  <c r="W25" i="34"/>
  <c r="V123" i="18"/>
  <c r="Y7" i="34"/>
  <c r="V14" i="34"/>
  <c r="W37" i="34"/>
  <c r="V7" i="37"/>
  <c r="V6" i="37" s="1"/>
  <c r="T49" i="34"/>
  <c r="W155" i="13"/>
  <c r="W145" i="13"/>
  <c r="X136" i="6"/>
  <c r="Z66" i="17"/>
  <c r="Q189" i="6"/>
  <c r="Q190" i="6" s="1"/>
  <c r="X71" i="17"/>
  <c r="X165" i="13" s="1"/>
  <c r="W134" i="6"/>
  <c r="Y64" i="17"/>
  <c r="W44" i="6"/>
  <c r="W151" i="6" s="1"/>
  <c r="W166" i="6" s="1"/>
  <c r="X135" i="6"/>
  <c r="Z65" i="17"/>
  <c r="Y88" i="17"/>
  <c r="X133" i="6"/>
  <c r="Z63" i="17"/>
  <c r="Y139" i="6"/>
  <c r="AA69" i="17"/>
  <c r="P189" i="6"/>
  <c r="P190" i="6" s="1"/>
  <c r="W137" i="6"/>
  <c r="Y67" i="17"/>
  <c r="X140" i="6"/>
  <c r="Z70" i="17"/>
  <c r="R126" i="6"/>
  <c r="V142" i="6"/>
  <c r="V143" i="6" s="1"/>
  <c r="S109" i="6"/>
  <c r="S110" i="6" s="1"/>
  <c r="W42" i="6"/>
  <c r="W149" i="6" s="1"/>
  <c r="W132" i="6"/>
  <c r="AA68" i="17"/>
  <c r="X138" i="6"/>
  <c r="X48" i="6"/>
  <c r="X155" i="6" s="1"/>
  <c r="V52" i="6"/>
  <c r="V53" i="6" s="1"/>
  <c r="X46" i="6"/>
  <c r="X153" i="6" s="1"/>
  <c r="X168" i="6" s="1"/>
  <c r="W47" i="6"/>
  <c r="W154" i="6" s="1"/>
  <c r="W169" i="6" s="1"/>
  <c r="X45" i="6"/>
  <c r="X152" i="6" s="1"/>
  <c r="X167" i="6" s="1"/>
  <c r="X50" i="6"/>
  <c r="X157" i="6" s="1"/>
  <c r="X172" i="6" s="1"/>
  <c r="X43" i="6"/>
  <c r="X150" i="6" s="1"/>
  <c r="X165" i="6" s="1"/>
  <c r="Y49" i="6"/>
  <c r="Y156" i="6" s="1"/>
  <c r="Y171" i="6" s="1"/>
  <c r="W35" i="6"/>
  <c r="Z62" i="17"/>
  <c r="W158" i="6" l="1"/>
  <c r="W159" i="6" s="1"/>
  <c r="W164" i="6"/>
  <c r="W173" i="6" s="1"/>
  <c r="W174" i="6" s="1"/>
  <c r="T210" i="6"/>
  <c r="T209" i="6"/>
  <c r="U211" i="6"/>
  <c r="V404" i="17"/>
  <c r="V405" i="17" s="1"/>
  <c r="W218" i="17"/>
  <c r="W264" i="17"/>
  <c r="Y248" i="17"/>
  <c r="V263" i="17"/>
  <c r="V265" i="17"/>
  <c r="X402" i="17"/>
  <c r="X403" i="17" s="1"/>
  <c r="Y336" i="17"/>
  <c r="Y341" i="17"/>
  <c r="Y331" i="17"/>
  <c r="Y334" i="17"/>
  <c r="Y339" i="17"/>
  <c r="Y337" i="17"/>
  <c r="Y332" i="17"/>
  <c r="Y335" i="17"/>
  <c r="Y340" i="17"/>
  <c r="Y338" i="17"/>
  <c r="Y333" i="17"/>
  <c r="X297" i="17"/>
  <c r="X298" i="17" s="1"/>
  <c r="X172" i="17"/>
  <c r="X173" i="17" s="1"/>
  <c r="X327" i="17"/>
  <c r="X328" i="17" s="1"/>
  <c r="Z232" i="17"/>
  <c r="Z233" i="17" s="1"/>
  <c r="X217" i="17"/>
  <c r="W283" i="17"/>
  <c r="Y281" i="17"/>
  <c r="Y279" i="17"/>
  <c r="Y280" i="17"/>
  <c r="Y271" i="17"/>
  <c r="Y274" i="17"/>
  <c r="Y275" i="17"/>
  <c r="Y273" i="17"/>
  <c r="Y278" i="17"/>
  <c r="Y277" i="17"/>
  <c r="Y276" i="17"/>
  <c r="Y272" i="17"/>
  <c r="W312" i="17"/>
  <c r="W313" i="17" s="1"/>
  <c r="Z184" i="17"/>
  <c r="Z185" i="17"/>
  <c r="Z186" i="17"/>
  <c r="Z176" i="17"/>
  <c r="Z182" i="17"/>
  <c r="Z178" i="17"/>
  <c r="Z181" i="17"/>
  <c r="Z180" i="17"/>
  <c r="Z177" i="17"/>
  <c r="Y47" i="18" s="1"/>
  <c r="Z183" i="17"/>
  <c r="Z179" i="17"/>
  <c r="X282" i="17"/>
  <c r="W357" i="17"/>
  <c r="W358" i="17" s="1"/>
  <c r="Y401" i="17"/>
  <c r="Y393" i="17"/>
  <c r="Y396" i="17"/>
  <c r="Y399" i="17"/>
  <c r="Y394" i="17"/>
  <c r="Y397" i="17"/>
  <c r="Y400" i="17"/>
  <c r="Y392" i="17"/>
  <c r="Y398" i="17"/>
  <c r="Y395" i="17"/>
  <c r="Y391" i="17"/>
  <c r="Z261" i="17"/>
  <c r="Z259" i="17"/>
  <c r="Z260" i="17"/>
  <c r="Z251" i="17"/>
  <c r="Z254" i="17"/>
  <c r="Z252" i="17"/>
  <c r="Y107" i="18" s="1"/>
  <c r="Z258" i="17"/>
  <c r="Z255" i="17"/>
  <c r="Z257" i="17"/>
  <c r="Z253" i="17"/>
  <c r="Z256" i="17"/>
  <c r="X352" i="17"/>
  <c r="X355" i="17"/>
  <c r="X347" i="17"/>
  <c r="X353" i="17"/>
  <c r="X354" i="17"/>
  <c r="X349" i="17"/>
  <c r="X348" i="17"/>
  <c r="X356" i="17"/>
  <c r="X351" i="17"/>
  <c r="X350" i="17"/>
  <c r="X346" i="17"/>
  <c r="Z156" i="17"/>
  <c r="Z154" i="17"/>
  <c r="Z155" i="17"/>
  <c r="Z146" i="17"/>
  <c r="Z148" i="17"/>
  <c r="Z147" i="17"/>
  <c r="Y23" i="18" s="1"/>
  <c r="Z150" i="17"/>
  <c r="Z151" i="17"/>
  <c r="Z149" i="17"/>
  <c r="Z152" i="17"/>
  <c r="Z153" i="17"/>
  <c r="X309" i="17"/>
  <c r="X301" i="17"/>
  <c r="X304" i="17"/>
  <c r="X310" i="17"/>
  <c r="X302" i="17"/>
  <c r="X311" i="17"/>
  <c r="X307" i="17"/>
  <c r="X303" i="17"/>
  <c r="X306" i="17"/>
  <c r="X305" i="17"/>
  <c r="X308" i="17"/>
  <c r="Y387" i="17"/>
  <c r="Y388" i="17" s="1"/>
  <c r="Y157" i="17"/>
  <c r="Y158" i="17" s="1"/>
  <c r="X342" i="17"/>
  <c r="X343" i="17" s="1"/>
  <c r="Z247" i="17"/>
  <c r="Y324" i="17"/>
  <c r="Y316" i="17"/>
  <c r="Y325" i="17"/>
  <c r="Y317" i="17"/>
  <c r="Y320" i="17"/>
  <c r="Y323" i="17"/>
  <c r="Y326" i="17"/>
  <c r="Y318" i="17"/>
  <c r="Y322" i="17"/>
  <c r="Y319" i="17"/>
  <c r="Y321" i="17"/>
  <c r="Y215" i="17"/>
  <c r="Y216" i="17"/>
  <c r="Y214" i="17"/>
  <c r="Y206" i="17"/>
  <c r="Y208" i="17"/>
  <c r="Y209" i="17"/>
  <c r="Y211" i="17"/>
  <c r="Y212" i="17"/>
  <c r="Y207" i="17"/>
  <c r="X71" i="18" s="1"/>
  <c r="Y213" i="17"/>
  <c r="Y210" i="17"/>
  <c r="Z386" i="17"/>
  <c r="Z381" i="17"/>
  <c r="Z384" i="17"/>
  <c r="Z376" i="17"/>
  <c r="Z382" i="17"/>
  <c r="Z385" i="17"/>
  <c r="Z378" i="17"/>
  <c r="Z377" i="17"/>
  <c r="Z380" i="17"/>
  <c r="Z379" i="17"/>
  <c r="Z383" i="17"/>
  <c r="Y372" i="17"/>
  <c r="Y373" i="17" s="1"/>
  <c r="Y296" i="17"/>
  <c r="Y294" i="17"/>
  <c r="Y295" i="17"/>
  <c r="Y286" i="17"/>
  <c r="Y289" i="17"/>
  <c r="Y287" i="17"/>
  <c r="Y291" i="17"/>
  <c r="Y290" i="17"/>
  <c r="Y293" i="17"/>
  <c r="Y288" i="17"/>
  <c r="Y292" i="17"/>
  <c r="AA245" i="17"/>
  <c r="AA246" i="17"/>
  <c r="AA244" i="17"/>
  <c r="AA236" i="17"/>
  <c r="AA241" i="17"/>
  <c r="AA243" i="17"/>
  <c r="AA237" i="17"/>
  <c r="Z95" i="18" s="1"/>
  <c r="AA242" i="17"/>
  <c r="AA239" i="17"/>
  <c r="AA240" i="17"/>
  <c r="AA238" i="17"/>
  <c r="Z200" i="17"/>
  <c r="Z201" i="17"/>
  <c r="Z199" i="17"/>
  <c r="Z191" i="17"/>
  <c r="Z196" i="17"/>
  <c r="Z193" i="17"/>
  <c r="Z198" i="17"/>
  <c r="Z194" i="17"/>
  <c r="Z197" i="17"/>
  <c r="Z192" i="17"/>
  <c r="Y59" i="18" s="1"/>
  <c r="Z195" i="17"/>
  <c r="AA230" i="17"/>
  <c r="AA229" i="17"/>
  <c r="AA231" i="17"/>
  <c r="AA221" i="17"/>
  <c r="AA228" i="17"/>
  <c r="AA222" i="17"/>
  <c r="Z83" i="18" s="1"/>
  <c r="AA225" i="17"/>
  <c r="AA224" i="17"/>
  <c r="AA227" i="17"/>
  <c r="AA226" i="17"/>
  <c r="AA223" i="17"/>
  <c r="Y171" i="17"/>
  <c r="Y169" i="17"/>
  <c r="Y170" i="17"/>
  <c r="Y161" i="17"/>
  <c r="Y168" i="17"/>
  <c r="Y165" i="17"/>
  <c r="Y162" i="17"/>
  <c r="X35" i="18" s="1"/>
  <c r="Y164" i="17"/>
  <c r="Y163" i="17"/>
  <c r="Y167" i="17"/>
  <c r="Y166" i="17"/>
  <c r="Z369" i="17"/>
  <c r="Z370" i="17"/>
  <c r="Z371" i="17"/>
  <c r="Z366" i="17"/>
  <c r="Z361" i="17"/>
  <c r="Z367" i="17"/>
  <c r="Z364" i="17"/>
  <c r="Z362" i="17"/>
  <c r="Z365" i="17"/>
  <c r="Z368" i="17"/>
  <c r="Z363" i="17"/>
  <c r="Y187" i="17"/>
  <c r="Y188" i="17" s="1"/>
  <c r="Y202" i="17"/>
  <c r="Y203" i="17" s="1"/>
  <c r="W262" i="17"/>
  <c r="Y142" i="17"/>
  <c r="Y143" i="17" s="1"/>
  <c r="Z139" i="17"/>
  <c r="Z140" i="17"/>
  <c r="Z137" i="17"/>
  <c r="Z134" i="17"/>
  <c r="Z138" i="17"/>
  <c r="Z131" i="17"/>
  <c r="Z141" i="17"/>
  <c r="Z135" i="17"/>
  <c r="Z132" i="17"/>
  <c r="Y11" i="18" s="1"/>
  <c r="Z133" i="17"/>
  <c r="Z136" i="17"/>
  <c r="V6" i="18"/>
  <c r="V81" i="6"/>
  <c r="Z6" i="34" s="1"/>
  <c r="X213" i="13"/>
  <c r="X173" i="13"/>
  <c r="X214" i="13"/>
  <c r="X174" i="13"/>
  <c r="X172" i="13"/>
  <c r="X167" i="13"/>
  <c r="X212" i="13"/>
  <c r="X207" i="13"/>
  <c r="X210" i="13"/>
  <c r="X170" i="13"/>
  <c r="X169" i="13"/>
  <c r="X209" i="13"/>
  <c r="X206" i="13"/>
  <c r="X211" i="13"/>
  <c r="X166" i="13"/>
  <c r="X171" i="13"/>
  <c r="X208" i="13"/>
  <c r="X168" i="13"/>
  <c r="X75" i="6"/>
  <c r="X103" i="6" s="1"/>
  <c r="X199" i="6" s="1"/>
  <c r="Y78" i="6"/>
  <c r="Y106" i="6" s="1"/>
  <c r="Y202" i="6" s="1"/>
  <c r="X77" i="6"/>
  <c r="X105" i="6" s="1"/>
  <c r="X201" i="6" s="1"/>
  <c r="Z199" i="13"/>
  <c r="Z200" i="13"/>
  <c r="X72" i="6"/>
  <c r="X100" i="6" s="1"/>
  <c r="X196" i="6" s="1"/>
  <c r="Z204" i="13"/>
  <c r="X79" i="6"/>
  <c r="X107" i="6" s="1"/>
  <c r="X203" i="6" s="1"/>
  <c r="Z197" i="13"/>
  <c r="AA203" i="13"/>
  <c r="AA202" i="13"/>
  <c r="W76" i="6"/>
  <c r="W104" i="6" s="1"/>
  <c r="W200" i="6" s="1"/>
  <c r="Y198" i="13"/>
  <c r="X74" i="6"/>
  <c r="X102" i="6" s="1"/>
  <c r="X198" i="6" s="1"/>
  <c r="Y201" i="13"/>
  <c r="W73" i="6"/>
  <c r="W101" i="6" s="1"/>
  <c r="W197" i="6" s="1"/>
  <c r="Z196" i="13"/>
  <c r="W71" i="6"/>
  <c r="W99" i="6" s="1"/>
  <c r="W195" i="6" s="1"/>
  <c r="X175" i="13"/>
  <c r="X195" i="13"/>
  <c r="X185" i="13"/>
  <c r="AA192" i="13"/>
  <c r="AA182" i="13"/>
  <c r="Z176" i="13"/>
  <c r="Z186" i="13"/>
  <c r="Y191" i="13"/>
  <c r="Y181" i="13"/>
  <c r="Z177" i="13"/>
  <c r="Z187" i="13"/>
  <c r="Y188" i="13"/>
  <c r="Y178" i="13"/>
  <c r="AA193" i="13"/>
  <c r="AA183" i="13"/>
  <c r="Z180" i="13"/>
  <c r="Z190" i="13"/>
  <c r="Z194" i="13"/>
  <c r="Z184" i="13"/>
  <c r="Z189" i="13"/>
  <c r="Z179" i="13"/>
  <c r="O221" i="6"/>
  <c r="N231" i="6"/>
  <c r="N220" i="6" s="1"/>
  <c r="N234" i="6" s="1"/>
  <c r="P229" i="6"/>
  <c r="P227" i="6"/>
  <c r="P230" i="6"/>
  <c r="P228" i="6"/>
  <c r="O233" i="6"/>
  <c r="O240" i="6" s="1"/>
  <c r="O241" i="6" s="1"/>
  <c r="O232" i="6"/>
  <c r="Q229" i="6"/>
  <c r="Q227" i="6"/>
  <c r="Q230" i="6"/>
  <c r="Q228" i="6"/>
  <c r="P205" i="6"/>
  <c r="Q205" i="6"/>
  <c r="Y20" i="36"/>
  <c r="W54" i="34" s="1"/>
  <c r="Z11" i="36"/>
  <c r="X125" i="18"/>
  <c r="AA19" i="36"/>
  <c r="Y133" i="18"/>
  <c r="Z13" i="36"/>
  <c r="X127" i="18"/>
  <c r="Z16" i="36"/>
  <c r="X130" i="18"/>
  <c r="AB18" i="36"/>
  <c r="Z132" i="18"/>
  <c r="AA15" i="36"/>
  <c r="Y129" i="18"/>
  <c r="AA17" i="36"/>
  <c r="Y131" i="18"/>
  <c r="AA12" i="36"/>
  <c r="Y126" i="18"/>
  <c r="AA14" i="36"/>
  <c r="Y128" i="18"/>
  <c r="T36" i="36"/>
  <c r="T12" i="37" s="1"/>
  <c r="U50" i="34"/>
  <c r="W7" i="37" s="1"/>
  <c r="W6" i="37" s="1"/>
  <c r="V8" i="36"/>
  <c r="T53" i="34" s="1"/>
  <c r="V7" i="36"/>
  <c r="T52" i="34" s="1"/>
  <c r="X97" i="17"/>
  <c r="W7" i="18" s="1"/>
  <c r="Z89" i="17"/>
  <c r="Z157" i="13"/>
  <c r="Z147" i="13"/>
  <c r="Z91" i="17"/>
  <c r="Z159" i="13"/>
  <c r="Z149" i="13"/>
  <c r="Z92" i="17"/>
  <c r="Z160" i="13"/>
  <c r="Z150" i="13"/>
  <c r="AA94" i="17"/>
  <c r="AA152" i="13"/>
  <c r="AA162" i="13"/>
  <c r="Z96" i="17"/>
  <c r="Z164" i="13"/>
  <c r="Z154" i="13"/>
  <c r="Z156" i="13"/>
  <c r="Z146" i="13"/>
  <c r="Y90" i="17"/>
  <c r="Y148" i="13"/>
  <c r="Y158" i="13"/>
  <c r="Y93" i="17"/>
  <c r="Y161" i="13"/>
  <c r="Y151" i="13"/>
  <c r="AA95" i="17"/>
  <c r="AA163" i="13"/>
  <c r="AA153" i="13"/>
  <c r="Y43" i="34"/>
  <c r="X6" i="36" s="1"/>
  <c r="X9" i="34"/>
  <c r="AB23" i="6"/>
  <c r="AA30" i="6"/>
  <c r="AA28" i="6"/>
  <c r="AA25" i="6"/>
  <c r="AA32" i="6"/>
  <c r="AA27" i="6"/>
  <c r="AA33" i="6"/>
  <c r="AA31" i="6"/>
  <c r="AA29" i="6"/>
  <c r="AA26" i="6"/>
  <c r="V117" i="6"/>
  <c r="V180" i="6" s="1"/>
  <c r="V118" i="6"/>
  <c r="V181" i="6" s="1"/>
  <c r="W123" i="6"/>
  <c r="W186" i="6" s="1"/>
  <c r="V124" i="6"/>
  <c r="V187" i="6" s="1"/>
  <c r="V120" i="6"/>
  <c r="V183" i="6" s="1"/>
  <c r="V122" i="6"/>
  <c r="V185" i="6" s="1"/>
  <c r="V212" i="6" s="1"/>
  <c r="U121" i="6"/>
  <c r="U184" i="6" s="1"/>
  <c r="U213" i="6" s="1"/>
  <c r="V119" i="6"/>
  <c r="V182" i="6" s="1"/>
  <c r="S215" i="6"/>
  <c r="Y8" i="34"/>
  <c r="Y9" i="34" s="1"/>
  <c r="Y17" i="34" s="1"/>
  <c r="W123" i="18"/>
  <c r="Z7" i="34"/>
  <c r="V31" i="36"/>
  <c r="T65" i="34" s="1"/>
  <c r="W14" i="34"/>
  <c r="W8" i="36"/>
  <c r="U53" i="34" s="1"/>
  <c r="W25" i="36"/>
  <c r="W28" i="36" s="1"/>
  <c r="W7" i="36"/>
  <c r="U36" i="36"/>
  <c r="U12" i="37" s="1"/>
  <c r="J51" i="34"/>
  <c r="J58" i="34" s="1"/>
  <c r="X155" i="13"/>
  <c r="X145" i="13"/>
  <c r="X134" i="6"/>
  <c r="Z64" i="17"/>
  <c r="X44" i="6"/>
  <c r="X151" i="6" s="1"/>
  <c r="X166" i="6" s="1"/>
  <c r="Y135" i="6"/>
  <c r="AA65" i="17"/>
  <c r="Y133" i="6"/>
  <c r="AA63" i="17"/>
  <c r="Y136" i="6"/>
  <c r="AA66" i="17"/>
  <c r="Y71" i="17"/>
  <c r="Y165" i="13" s="1"/>
  <c r="Z139" i="6"/>
  <c r="AB69" i="17"/>
  <c r="Z88" i="17"/>
  <c r="Y140" i="6"/>
  <c r="AA70" i="17"/>
  <c r="X137" i="6"/>
  <c r="Z67" i="17"/>
  <c r="S126" i="6"/>
  <c r="W142" i="6"/>
  <c r="W143" i="6" s="1"/>
  <c r="T109" i="6"/>
  <c r="T110" i="6" s="1"/>
  <c r="T121" i="6"/>
  <c r="T184" i="6" s="1"/>
  <c r="T213" i="6" s="1"/>
  <c r="U116" i="6"/>
  <c r="U179" i="6" s="1"/>
  <c r="U109" i="6"/>
  <c r="U110" i="6" s="1"/>
  <c r="X42" i="6"/>
  <c r="X149" i="6" s="1"/>
  <c r="X132" i="6"/>
  <c r="AB68" i="17"/>
  <c r="Y138" i="6"/>
  <c r="Y48" i="6"/>
  <c r="Y155" i="6" s="1"/>
  <c r="W52" i="6"/>
  <c r="W53" i="6" s="1"/>
  <c r="Z49" i="6"/>
  <c r="Z156" i="6" s="1"/>
  <c r="Z171" i="6" s="1"/>
  <c r="Y43" i="6"/>
  <c r="Y150" i="6" s="1"/>
  <c r="Y165" i="6" s="1"/>
  <c r="Y46" i="6"/>
  <c r="Y153" i="6" s="1"/>
  <c r="Y168" i="6" s="1"/>
  <c r="Y45" i="6"/>
  <c r="Y152" i="6" s="1"/>
  <c r="Y167" i="6" s="1"/>
  <c r="Y50" i="6"/>
  <c r="Y157" i="6" s="1"/>
  <c r="Y172" i="6" s="1"/>
  <c r="X47" i="6"/>
  <c r="X154" i="6" s="1"/>
  <c r="X169" i="6" s="1"/>
  <c r="X35" i="6"/>
  <c r="AA62" i="17"/>
  <c r="X36" i="34" l="1"/>
  <c r="X17" i="34"/>
  <c r="X158" i="6"/>
  <c r="X159" i="6" s="1"/>
  <c r="X164" i="6"/>
  <c r="X173" i="6" s="1"/>
  <c r="X174" i="6" s="1"/>
  <c r="T214" i="6"/>
  <c r="V211" i="6"/>
  <c r="U209" i="6"/>
  <c r="U210" i="6"/>
  <c r="U214" i="6"/>
  <c r="W404" i="17"/>
  <c r="W405" i="17" s="1"/>
  <c r="Z248" i="17"/>
  <c r="X218" i="17"/>
  <c r="X264" i="17"/>
  <c r="W6" i="18"/>
  <c r="W263" i="17"/>
  <c r="W265" i="17"/>
  <c r="Y172" i="17"/>
  <c r="Y173" i="17" s="1"/>
  <c r="Z387" i="17"/>
  <c r="Z388" i="17" s="1"/>
  <c r="Z396" i="17"/>
  <c r="Z399" i="17"/>
  <c r="Z394" i="17"/>
  <c r="Z397" i="17"/>
  <c r="Z400" i="17"/>
  <c r="Z395" i="17"/>
  <c r="Z398" i="17"/>
  <c r="Z392" i="17"/>
  <c r="Z401" i="17"/>
  <c r="Z393" i="17"/>
  <c r="Z391" i="17"/>
  <c r="Z372" i="17"/>
  <c r="Z373" i="17" s="1"/>
  <c r="Z202" i="17"/>
  <c r="Z203" i="17" s="1"/>
  <c r="Y297" i="17"/>
  <c r="Y298" i="17" s="1"/>
  <c r="Y327" i="17"/>
  <c r="Y328" i="17" s="1"/>
  <c r="X283" i="17"/>
  <c r="Z187" i="17"/>
  <c r="Z188" i="17" s="1"/>
  <c r="AB229" i="17"/>
  <c r="AB230" i="17"/>
  <c r="AB231" i="17"/>
  <c r="AB221" i="17"/>
  <c r="AB222" i="17"/>
  <c r="AA83" i="18" s="1"/>
  <c r="AB225" i="17"/>
  <c r="AB224" i="17"/>
  <c r="AB228" i="17"/>
  <c r="AB223" i="17"/>
  <c r="AB227" i="17"/>
  <c r="AB226" i="17"/>
  <c r="AB246" i="17"/>
  <c r="AB244" i="17"/>
  <c r="AB245" i="17"/>
  <c r="AB236" i="17"/>
  <c r="AB237" i="17"/>
  <c r="AA95" i="18" s="1"/>
  <c r="AB243" i="17"/>
  <c r="AB242" i="17"/>
  <c r="AB241" i="17"/>
  <c r="AB239" i="17"/>
  <c r="AB240" i="17"/>
  <c r="AB238" i="17"/>
  <c r="Z319" i="17"/>
  <c r="Z320" i="17"/>
  <c r="Z323" i="17"/>
  <c r="Z326" i="17"/>
  <c r="Z318" i="17"/>
  <c r="Z321" i="17"/>
  <c r="Z317" i="17"/>
  <c r="Z325" i="17"/>
  <c r="Z322" i="17"/>
  <c r="Z316" i="17"/>
  <c r="Z324" i="17"/>
  <c r="Y354" i="17"/>
  <c r="Y355" i="17"/>
  <c r="Y347" i="17"/>
  <c r="Y350" i="17"/>
  <c r="Y353" i="17"/>
  <c r="Y356" i="17"/>
  <c r="Y348" i="17"/>
  <c r="Y349" i="17"/>
  <c r="Y351" i="17"/>
  <c r="Y352" i="17"/>
  <c r="Y346" i="17"/>
  <c r="Z171" i="17"/>
  <c r="Z169" i="17"/>
  <c r="Z170" i="17"/>
  <c r="Z161" i="17"/>
  <c r="Z165" i="17"/>
  <c r="Z164" i="17"/>
  <c r="Z166" i="17"/>
  <c r="Z167" i="17"/>
  <c r="Z162" i="17"/>
  <c r="Y35" i="18" s="1"/>
  <c r="Z163" i="17"/>
  <c r="Z168" i="17"/>
  <c r="Y304" i="17"/>
  <c r="Y307" i="17"/>
  <c r="Y305" i="17"/>
  <c r="Y311" i="17"/>
  <c r="Y303" i="17"/>
  <c r="Y310" i="17"/>
  <c r="Y306" i="17"/>
  <c r="Y302" i="17"/>
  <c r="Y309" i="17"/>
  <c r="Y308" i="17"/>
  <c r="Y301" i="17"/>
  <c r="Y217" i="17"/>
  <c r="Y402" i="17"/>
  <c r="Y403" i="17" s="1"/>
  <c r="Z216" i="17"/>
  <c r="Z214" i="17"/>
  <c r="Z215" i="17"/>
  <c r="Z206" i="17"/>
  <c r="Z212" i="17"/>
  <c r="Z208" i="17"/>
  <c r="Z211" i="17"/>
  <c r="Z209" i="17"/>
  <c r="Z207" i="17"/>
  <c r="Y71" i="18" s="1"/>
  <c r="Z213" i="17"/>
  <c r="Z210" i="17"/>
  <c r="AA200" i="17"/>
  <c r="AA201" i="17"/>
  <c r="AA199" i="17"/>
  <c r="AA191" i="17"/>
  <c r="AA194" i="17"/>
  <c r="AA195" i="17"/>
  <c r="AA196" i="17"/>
  <c r="AA193" i="17"/>
  <c r="AA198" i="17"/>
  <c r="AA192" i="17"/>
  <c r="Z59" i="18" s="1"/>
  <c r="AA197" i="17"/>
  <c r="AA361" i="17"/>
  <c r="AA370" i="17"/>
  <c r="AA367" i="17"/>
  <c r="AA364" i="17"/>
  <c r="AA362" i="17"/>
  <c r="AA369" i="17"/>
  <c r="AA365" i="17"/>
  <c r="AA368" i="17"/>
  <c r="AA363" i="17"/>
  <c r="AA371" i="17"/>
  <c r="AA366" i="17"/>
  <c r="X357" i="17"/>
  <c r="X358" i="17" s="1"/>
  <c r="AA386" i="17"/>
  <c r="AA384" i="17"/>
  <c r="AA376" i="17"/>
  <c r="AA379" i="17"/>
  <c r="AA385" i="17"/>
  <c r="AA377" i="17"/>
  <c r="AA378" i="17"/>
  <c r="AA381" i="17"/>
  <c r="AA380" i="17"/>
  <c r="AA383" i="17"/>
  <c r="AA382" i="17"/>
  <c r="AA232" i="17"/>
  <c r="AA233" i="17" s="1"/>
  <c r="AA247" i="17"/>
  <c r="Y282" i="17"/>
  <c r="Y342" i="17"/>
  <c r="Y343" i="17" s="1"/>
  <c r="Z281" i="17"/>
  <c r="Z279" i="17"/>
  <c r="Z280" i="17"/>
  <c r="Z271" i="17"/>
  <c r="Z275" i="17"/>
  <c r="Z276" i="17"/>
  <c r="Z274" i="17"/>
  <c r="Z272" i="17"/>
  <c r="Z273" i="17"/>
  <c r="Z278" i="17"/>
  <c r="Z277" i="17"/>
  <c r="Z296" i="17"/>
  <c r="Z295" i="17"/>
  <c r="Z294" i="17"/>
  <c r="Z286" i="17"/>
  <c r="Z291" i="17"/>
  <c r="Z292" i="17"/>
  <c r="Z289" i="17"/>
  <c r="Z287" i="17"/>
  <c r="Z288" i="17"/>
  <c r="Z290" i="17"/>
  <c r="Z293" i="17"/>
  <c r="AA261" i="17"/>
  <c r="AA259" i="17"/>
  <c r="AA260" i="17"/>
  <c r="AA251" i="17"/>
  <c r="AA258" i="17"/>
  <c r="AA255" i="17"/>
  <c r="AA254" i="17"/>
  <c r="AA252" i="17"/>
  <c r="Z107" i="18" s="1"/>
  <c r="AA256" i="17"/>
  <c r="AA257" i="17"/>
  <c r="AA253" i="17"/>
  <c r="AA154" i="17"/>
  <c r="AA156" i="17"/>
  <c r="AA155" i="17"/>
  <c r="AA152" i="17"/>
  <c r="AA150" i="17"/>
  <c r="AA153" i="17"/>
  <c r="AA151" i="17"/>
  <c r="AA149" i="17"/>
  <c r="AA146" i="17"/>
  <c r="AA147" i="17"/>
  <c r="Z23" i="18" s="1"/>
  <c r="AA148" i="17"/>
  <c r="X312" i="17"/>
  <c r="X313" i="17" s="1"/>
  <c r="AA184" i="17"/>
  <c r="AA185" i="17"/>
  <c r="AA186" i="17"/>
  <c r="AA176" i="17"/>
  <c r="AA182" i="17"/>
  <c r="AA178" i="17"/>
  <c r="AA181" i="17"/>
  <c r="AA180" i="17"/>
  <c r="AA177" i="17"/>
  <c r="Z47" i="18" s="1"/>
  <c r="AA179" i="17"/>
  <c r="AA183" i="17"/>
  <c r="Z341" i="17"/>
  <c r="Z339" i="17"/>
  <c r="Z331" i="17"/>
  <c r="Z334" i="17"/>
  <c r="Z337" i="17"/>
  <c r="Z332" i="17"/>
  <c r="Z335" i="17"/>
  <c r="Z340" i="17"/>
  <c r="Z338" i="17"/>
  <c r="Z333" i="17"/>
  <c r="Z336" i="17"/>
  <c r="Z157" i="17"/>
  <c r="Z158" i="17" s="1"/>
  <c r="X262" i="17"/>
  <c r="Z142" i="17"/>
  <c r="Z143" i="17" s="1"/>
  <c r="AA134" i="17"/>
  <c r="AA135" i="17"/>
  <c r="AA138" i="17"/>
  <c r="AA131" i="17"/>
  <c r="AA132" i="17"/>
  <c r="Z11" i="18" s="1"/>
  <c r="AA141" i="17"/>
  <c r="AA140" i="17"/>
  <c r="AA136" i="17"/>
  <c r="AA137" i="17"/>
  <c r="AA133" i="17"/>
  <c r="AA139" i="17"/>
  <c r="Y173" i="13"/>
  <c r="Y213" i="13"/>
  <c r="Y210" i="13"/>
  <c r="Y169" i="13"/>
  <c r="Y212" i="13"/>
  <c r="Y209" i="13"/>
  <c r="Y214" i="13"/>
  <c r="Y207" i="13"/>
  <c r="Y174" i="13"/>
  <c r="Y167" i="13"/>
  <c r="Y170" i="13"/>
  <c r="Y172" i="13"/>
  <c r="Y206" i="13"/>
  <c r="Y211" i="13"/>
  <c r="Y166" i="13"/>
  <c r="Y168" i="13"/>
  <c r="Y208" i="13"/>
  <c r="Y171" i="13"/>
  <c r="AA196" i="13"/>
  <c r="W81" i="6"/>
  <c r="X6" i="18" s="1"/>
  <c r="X71" i="6"/>
  <c r="X99" i="6" s="1"/>
  <c r="X195" i="6" s="1"/>
  <c r="Z78" i="6"/>
  <c r="Z106" i="6" s="1"/>
  <c r="Z202" i="6" s="1"/>
  <c r="Y77" i="6"/>
  <c r="Y105" i="6" s="1"/>
  <c r="Y201" i="6" s="1"/>
  <c r="AA204" i="13"/>
  <c r="Y74" i="6"/>
  <c r="Y102" i="6" s="1"/>
  <c r="Y198" i="6" s="1"/>
  <c r="AA199" i="13"/>
  <c r="Z201" i="13"/>
  <c r="AA197" i="13"/>
  <c r="Y79" i="6"/>
  <c r="Y107" i="6" s="1"/>
  <c r="Y203" i="6" s="1"/>
  <c r="AB203" i="13"/>
  <c r="Y72" i="6"/>
  <c r="Y100" i="6" s="1"/>
  <c r="Y196" i="6" s="1"/>
  <c r="Z198" i="13"/>
  <c r="AA200" i="13"/>
  <c r="AB202" i="13"/>
  <c r="Y75" i="6"/>
  <c r="Y103" i="6" s="1"/>
  <c r="Y199" i="6" s="1"/>
  <c r="X73" i="6"/>
  <c r="X101" i="6" s="1"/>
  <c r="X197" i="6" s="1"/>
  <c r="Y175" i="13"/>
  <c r="Y185" i="13"/>
  <c r="Y195" i="13"/>
  <c r="Z178" i="13"/>
  <c r="Z188" i="13"/>
  <c r="AA189" i="13"/>
  <c r="AA179" i="13"/>
  <c r="AA186" i="13"/>
  <c r="AA176" i="13"/>
  <c r="Z191" i="13"/>
  <c r="Z181" i="13"/>
  <c r="AA190" i="13"/>
  <c r="AA180" i="13"/>
  <c r="AB192" i="13"/>
  <c r="AB182" i="13"/>
  <c r="AB193" i="13"/>
  <c r="AB183" i="13"/>
  <c r="AA194" i="13"/>
  <c r="AA184" i="13"/>
  <c r="AA187" i="13"/>
  <c r="AA177" i="13"/>
  <c r="P221" i="6"/>
  <c r="Q221" i="6"/>
  <c r="O231" i="6"/>
  <c r="O220" i="6" s="1"/>
  <c r="O234" i="6" s="1"/>
  <c r="P233" i="6"/>
  <c r="P240" i="6" s="1"/>
  <c r="P241" i="6" s="1"/>
  <c r="P232" i="6"/>
  <c r="Q232" i="6"/>
  <c r="Q233" i="6"/>
  <c r="Q240" i="6" s="1"/>
  <c r="Q241" i="6" s="1"/>
  <c r="Z20" i="36"/>
  <c r="X54" i="34" s="1"/>
  <c r="AA13" i="36"/>
  <c r="Y127" i="18"/>
  <c r="AA16" i="36"/>
  <c r="Y130" i="18"/>
  <c r="AB15" i="36"/>
  <c r="Z129" i="18"/>
  <c r="AC18" i="36"/>
  <c r="AA132" i="18"/>
  <c r="AB17" i="36"/>
  <c r="Z131" i="18"/>
  <c r="AB19" i="36"/>
  <c r="Z133" i="18"/>
  <c r="AB12" i="36"/>
  <c r="Z126" i="18"/>
  <c r="AA11" i="36"/>
  <c r="Y125" i="18"/>
  <c r="AB14" i="36"/>
  <c r="Z128" i="18"/>
  <c r="U49" i="34"/>
  <c r="V50" i="34"/>
  <c r="X7" i="37" s="1"/>
  <c r="X6" i="37" s="1"/>
  <c r="X25" i="34"/>
  <c r="X31" i="34"/>
  <c r="X18" i="34"/>
  <c r="X37" i="34"/>
  <c r="X33" i="34"/>
  <c r="X16" i="34"/>
  <c r="Y97" i="17"/>
  <c r="X7" i="18" s="1"/>
  <c r="X24" i="34"/>
  <c r="X34" i="34"/>
  <c r="X32" i="34"/>
  <c r="AA96" i="17"/>
  <c r="AA154" i="13"/>
  <c r="AA164" i="13"/>
  <c r="AA89" i="17"/>
  <c r="AA147" i="13"/>
  <c r="AA157" i="13"/>
  <c r="AB94" i="17"/>
  <c r="AB152" i="13"/>
  <c r="AB162" i="13"/>
  <c r="AA146" i="13"/>
  <c r="AA156" i="13"/>
  <c r="AA91" i="17"/>
  <c r="AA159" i="13"/>
  <c r="AA149" i="13"/>
  <c r="AB95" i="17"/>
  <c r="AB153" i="13"/>
  <c r="AB163" i="13"/>
  <c r="Z93" i="17"/>
  <c r="Z161" i="13"/>
  <c r="Z151" i="13"/>
  <c r="Z90" i="17"/>
  <c r="Z158" i="13"/>
  <c r="Z148" i="13"/>
  <c r="AA92" i="17"/>
  <c r="AA150" i="13"/>
  <c r="AA160" i="13"/>
  <c r="Z43" i="34"/>
  <c r="W50" i="34" s="1"/>
  <c r="T215" i="6"/>
  <c r="AC23" i="6"/>
  <c r="AB32" i="6"/>
  <c r="AB27" i="6"/>
  <c r="AB33" i="6"/>
  <c r="AB31" i="6"/>
  <c r="AB29" i="6"/>
  <c r="AB26" i="6"/>
  <c r="AB30" i="6"/>
  <c r="AB28" i="6"/>
  <c r="AB25" i="6"/>
  <c r="V121" i="6"/>
  <c r="V184" i="6" s="1"/>
  <c r="V213" i="6" s="1"/>
  <c r="W118" i="6"/>
  <c r="W181" i="6" s="1"/>
  <c r="W119" i="6"/>
  <c r="W182" i="6" s="1"/>
  <c r="W120" i="6"/>
  <c r="W183" i="6" s="1"/>
  <c r="W124" i="6"/>
  <c r="W187" i="6" s="1"/>
  <c r="W122" i="6"/>
  <c r="W185" i="6" s="1"/>
  <c r="W212" i="6" s="1"/>
  <c r="W117" i="6"/>
  <c r="W180" i="6" s="1"/>
  <c r="X123" i="6"/>
  <c r="X186" i="6" s="1"/>
  <c r="Y18" i="34"/>
  <c r="Y37" i="34"/>
  <c r="Y31" i="34"/>
  <c r="Y32" i="34"/>
  <c r="Y25" i="34"/>
  <c r="Y36" i="34"/>
  <c r="Y33" i="34"/>
  <c r="Y24" i="34"/>
  <c r="Y16" i="34"/>
  <c r="Y34" i="34"/>
  <c r="V36" i="36"/>
  <c r="V12" i="37" s="1"/>
  <c r="T64" i="34"/>
  <c r="U64" i="34"/>
  <c r="W31" i="36"/>
  <c r="U65" i="34" s="1"/>
  <c r="X123" i="18"/>
  <c r="AA7" i="34"/>
  <c r="X25" i="36"/>
  <c r="X28" i="36" s="1"/>
  <c r="X8" i="36"/>
  <c r="V53" i="34" s="1"/>
  <c r="X7" i="36"/>
  <c r="U52" i="34"/>
  <c r="Z8" i="34"/>
  <c r="K51" i="34"/>
  <c r="K58" i="34" s="1"/>
  <c r="L51" i="34"/>
  <c r="L58" i="34" s="1"/>
  <c r="Y155" i="13"/>
  <c r="Y145" i="13"/>
  <c r="Y137" i="6"/>
  <c r="AA67" i="17"/>
  <c r="AA139" i="6"/>
  <c r="AC69" i="17"/>
  <c r="Y134" i="6"/>
  <c r="AA64" i="17"/>
  <c r="Y44" i="6"/>
  <c r="Y151" i="6" s="1"/>
  <c r="Y166" i="6" s="1"/>
  <c r="Z136" i="6"/>
  <c r="AB66" i="17"/>
  <c r="AA88" i="17"/>
  <c r="Z140" i="6"/>
  <c r="AB70" i="17"/>
  <c r="Z71" i="17"/>
  <c r="Z165" i="13" s="1"/>
  <c r="Z133" i="6"/>
  <c r="AB63" i="17"/>
  <c r="R189" i="6"/>
  <c r="R190" i="6" s="1"/>
  <c r="Z135" i="6"/>
  <c r="AB65" i="17"/>
  <c r="U126" i="6"/>
  <c r="T126" i="6"/>
  <c r="X142" i="6"/>
  <c r="X143" i="6" s="1"/>
  <c r="V116" i="6"/>
  <c r="V179" i="6" s="1"/>
  <c r="V109" i="6"/>
  <c r="V110" i="6" s="1"/>
  <c r="Y42" i="6"/>
  <c r="Y149" i="6" s="1"/>
  <c r="Y164" i="6" s="1"/>
  <c r="Y132" i="6"/>
  <c r="AC68" i="17"/>
  <c r="Z138" i="6"/>
  <c r="Z48" i="6"/>
  <c r="Z155" i="6" s="1"/>
  <c r="X52" i="6"/>
  <c r="X53" i="6" s="1"/>
  <c r="X76" i="6"/>
  <c r="X104" i="6" s="1"/>
  <c r="X200" i="6" s="1"/>
  <c r="AA49" i="6"/>
  <c r="AA156" i="6" s="1"/>
  <c r="AA171" i="6" s="1"/>
  <c r="Z45" i="6"/>
  <c r="Z152" i="6" s="1"/>
  <c r="Z167" i="6" s="1"/>
  <c r="Y47" i="6"/>
  <c r="Y154" i="6" s="1"/>
  <c r="Y169" i="6" s="1"/>
  <c r="Z43" i="6"/>
  <c r="Z150" i="6" s="1"/>
  <c r="Z165" i="6" s="1"/>
  <c r="Z46" i="6"/>
  <c r="Z153" i="6" s="1"/>
  <c r="Z168" i="6" s="1"/>
  <c r="Z50" i="6"/>
  <c r="Z157" i="6" s="1"/>
  <c r="Z172" i="6" s="1"/>
  <c r="Y35" i="6"/>
  <c r="AB62" i="17"/>
  <c r="Y173" i="6" l="1"/>
  <c r="Y174" i="6" s="1"/>
  <c r="Y158" i="6"/>
  <c r="Y159" i="6" s="1"/>
  <c r="V214" i="6"/>
  <c r="V209" i="6"/>
  <c r="V210" i="6"/>
  <c r="W211" i="6"/>
  <c r="X404" i="17"/>
  <c r="X405" i="17" s="1"/>
  <c r="Y218" i="17"/>
  <c r="Y264" i="17"/>
  <c r="AA248" i="17"/>
  <c r="AA6" i="34"/>
  <c r="X263" i="17"/>
  <c r="X265" i="17"/>
  <c r="Z297" i="17"/>
  <c r="Z298" i="17" s="1"/>
  <c r="Z217" i="17"/>
  <c r="Y357" i="17"/>
  <c r="Y358" i="17" s="1"/>
  <c r="Z327" i="17"/>
  <c r="Z328" i="17" s="1"/>
  <c r="AA387" i="17"/>
  <c r="AA388" i="17" s="1"/>
  <c r="Y312" i="17"/>
  <c r="Y313" i="17" s="1"/>
  <c r="Z307" i="17"/>
  <c r="Z310" i="17"/>
  <c r="Z302" i="17"/>
  <c r="Z308" i="17"/>
  <c r="Z303" i="17"/>
  <c r="Z306" i="17"/>
  <c r="Z309" i="17"/>
  <c r="Z305" i="17"/>
  <c r="Z301" i="17"/>
  <c r="Z311" i="17"/>
  <c r="Z304" i="17"/>
  <c r="AB201" i="17"/>
  <c r="AB199" i="17"/>
  <c r="AB200" i="17"/>
  <c r="AB191" i="17"/>
  <c r="AB196" i="17"/>
  <c r="AB193" i="17"/>
  <c r="AB198" i="17"/>
  <c r="AB194" i="17"/>
  <c r="AB192" i="17"/>
  <c r="AA59" i="18" s="1"/>
  <c r="AB195" i="17"/>
  <c r="AB197" i="17"/>
  <c r="AA216" i="17"/>
  <c r="AA214" i="17"/>
  <c r="AA215" i="17"/>
  <c r="AA206" i="17"/>
  <c r="AA209" i="17"/>
  <c r="AA212" i="17"/>
  <c r="AA211" i="17"/>
  <c r="AA207" i="17"/>
  <c r="Z71" i="18" s="1"/>
  <c r="AA210" i="17"/>
  <c r="AA208" i="17"/>
  <c r="AA213" i="17"/>
  <c r="AA322" i="17"/>
  <c r="AA323" i="17"/>
  <c r="AA326" i="17"/>
  <c r="AA318" i="17"/>
  <c r="AA321" i="17"/>
  <c r="AA324" i="17"/>
  <c r="AA316" i="17"/>
  <c r="AA320" i="17"/>
  <c r="AA317" i="17"/>
  <c r="AA325" i="17"/>
  <c r="AA319" i="17"/>
  <c r="AA295" i="17"/>
  <c r="AA296" i="17"/>
  <c r="AA294" i="17"/>
  <c r="AA286" i="17"/>
  <c r="AA289" i="17"/>
  <c r="AA287" i="17"/>
  <c r="AA291" i="17"/>
  <c r="AA290" i="17"/>
  <c r="AA293" i="17"/>
  <c r="AA292" i="17"/>
  <c r="AA288" i="17"/>
  <c r="Z402" i="17"/>
  <c r="Z403" i="17" s="1"/>
  <c r="AA142" i="17"/>
  <c r="AA143" i="17" s="1"/>
  <c r="Z342" i="17"/>
  <c r="Z343" i="17" s="1"/>
  <c r="AA372" i="17"/>
  <c r="AA373" i="17" s="1"/>
  <c r="AA202" i="17"/>
  <c r="AA203" i="17" s="1"/>
  <c r="Z172" i="17"/>
  <c r="Z173" i="17" s="1"/>
  <c r="AB386" i="17"/>
  <c r="AB384" i="17"/>
  <c r="AB379" i="17"/>
  <c r="AB382" i="17"/>
  <c r="AB385" i="17"/>
  <c r="AB380" i="17"/>
  <c r="AB381" i="17"/>
  <c r="AB377" i="17"/>
  <c r="AB376" i="17"/>
  <c r="AB383" i="17"/>
  <c r="AB378" i="17"/>
  <c r="Z355" i="17"/>
  <c r="Z350" i="17"/>
  <c r="Z353" i="17"/>
  <c r="Z356" i="17"/>
  <c r="Z351" i="17"/>
  <c r="Z348" i="17"/>
  <c r="Z347" i="17"/>
  <c r="Z352" i="17"/>
  <c r="Z346" i="17"/>
  <c r="Z349" i="17"/>
  <c r="Z354" i="17"/>
  <c r="AC230" i="17"/>
  <c r="AC229" i="17"/>
  <c r="AC231" i="17"/>
  <c r="AC221" i="17"/>
  <c r="AC228" i="17"/>
  <c r="AC222" i="17"/>
  <c r="AB83" i="18" s="1"/>
  <c r="AC225" i="17"/>
  <c r="AC224" i="17"/>
  <c r="AC227" i="17"/>
  <c r="AC226" i="17"/>
  <c r="AC223" i="17"/>
  <c r="AB185" i="17"/>
  <c r="AB186" i="17"/>
  <c r="AB184" i="17"/>
  <c r="AB176" i="17"/>
  <c r="AB181" i="17"/>
  <c r="AB182" i="17"/>
  <c r="AB180" i="17"/>
  <c r="AB178" i="17"/>
  <c r="AB179" i="17"/>
  <c r="AB183" i="17"/>
  <c r="AB177" i="17"/>
  <c r="AA47" i="18" s="1"/>
  <c r="AB261" i="17"/>
  <c r="AB259" i="17"/>
  <c r="AB260" i="17"/>
  <c r="AB251" i="17"/>
  <c r="AB252" i="17"/>
  <c r="AA107" i="18" s="1"/>
  <c r="AB258" i="17"/>
  <c r="AB255" i="17"/>
  <c r="AB254" i="17"/>
  <c r="AB257" i="17"/>
  <c r="AB253" i="17"/>
  <c r="AB256" i="17"/>
  <c r="AA169" i="17"/>
  <c r="AA170" i="17"/>
  <c r="AA171" i="17"/>
  <c r="AA161" i="17"/>
  <c r="AA165" i="17"/>
  <c r="AA162" i="17"/>
  <c r="Z35" i="18" s="1"/>
  <c r="AA164" i="17"/>
  <c r="AA168" i="17"/>
  <c r="AA167" i="17"/>
  <c r="AA163" i="17"/>
  <c r="AA166" i="17"/>
  <c r="Z282" i="17"/>
  <c r="AB232" i="17"/>
  <c r="AB233" i="17" s="1"/>
  <c r="AA399" i="17"/>
  <c r="AA394" i="17"/>
  <c r="AA397" i="17"/>
  <c r="AA400" i="17"/>
  <c r="AA395" i="17"/>
  <c r="AA398" i="17"/>
  <c r="AA401" i="17"/>
  <c r="AA396" i="17"/>
  <c r="AA393" i="17"/>
  <c r="AA391" i="17"/>
  <c r="AA392" i="17"/>
  <c r="AA157" i="17"/>
  <c r="AA158" i="17" s="1"/>
  <c r="Y283" i="17"/>
  <c r="AA341" i="17"/>
  <c r="AA334" i="17"/>
  <c r="AA337" i="17"/>
  <c r="AA339" i="17"/>
  <c r="AA332" i="17"/>
  <c r="AA335" i="17"/>
  <c r="AA340" i="17"/>
  <c r="AA338" i="17"/>
  <c r="AA333" i="17"/>
  <c r="AA336" i="17"/>
  <c r="AA331" i="17"/>
  <c r="AA279" i="17"/>
  <c r="AA280" i="17"/>
  <c r="AA281" i="17"/>
  <c r="AA271" i="17"/>
  <c r="AA274" i="17"/>
  <c r="AA275" i="17"/>
  <c r="AA276" i="17"/>
  <c r="AA277" i="17"/>
  <c r="AA278" i="17"/>
  <c r="AA272" i="17"/>
  <c r="AA273" i="17"/>
  <c r="AC245" i="17"/>
  <c r="AC246" i="17"/>
  <c r="AC244" i="17"/>
  <c r="AC236" i="17"/>
  <c r="AC243" i="17"/>
  <c r="AC242" i="17"/>
  <c r="AC241" i="17"/>
  <c r="AC237" i="17"/>
  <c r="AB95" i="18" s="1"/>
  <c r="AC240" i="17"/>
  <c r="AC239" i="17"/>
  <c r="AC238" i="17"/>
  <c r="AA187" i="17"/>
  <c r="AA188" i="17" s="1"/>
  <c r="AB247" i="17"/>
  <c r="AB154" i="17"/>
  <c r="AB155" i="17"/>
  <c r="AB156" i="17"/>
  <c r="AB146" i="17"/>
  <c r="AB147" i="17"/>
  <c r="AA23" i="18" s="1"/>
  <c r="AB148" i="17"/>
  <c r="AB149" i="17"/>
  <c r="AB150" i="17"/>
  <c r="AB153" i="17"/>
  <c r="AB152" i="17"/>
  <c r="AB151" i="17"/>
  <c r="AB367" i="17"/>
  <c r="AB370" i="17"/>
  <c r="AB368" i="17"/>
  <c r="AB364" i="17"/>
  <c r="AB362" i="17"/>
  <c r="AB369" i="17"/>
  <c r="AB365" i="17"/>
  <c r="AB363" i="17"/>
  <c r="AB371" i="17"/>
  <c r="AB366" i="17"/>
  <c r="AB361" i="17"/>
  <c r="Y262" i="17"/>
  <c r="Z262" i="17"/>
  <c r="AB137" i="17"/>
  <c r="AB140" i="17"/>
  <c r="AB138" i="17"/>
  <c r="AB134" i="17"/>
  <c r="AB141" i="17"/>
  <c r="AB132" i="17"/>
  <c r="AA11" i="18" s="1"/>
  <c r="AB135" i="17"/>
  <c r="AB133" i="17"/>
  <c r="AB136" i="17"/>
  <c r="AB139" i="17"/>
  <c r="AB131" i="17"/>
  <c r="Z168" i="13"/>
  <c r="Z211" i="13"/>
  <c r="Z171" i="13"/>
  <c r="Z208" i="13"/>
  <c r="Z173" i="13"/>
  <c r="Z213" i="13"/>
  <c r="Z167" i="13"/>
  <c r="Z210" i="13"/>
  <c r="Z207" i="13"/>
  <c r="Z170" i="13"/>
  <c r="Z172" i="13"/>
  <c r="Z212" i="13"/>
  <c r="Z169" i="13"/>
  <c r="Z209" i="13"/>
  <c r="Z214" i="13"/>
  <c r="Z174" i="13"/>
  <c r="Z166" i="13"/>
  <c r="Z206" i="13"/>
  <c r="Z79" i="6"/>
  <c r="Z107" i="6" s="1"/>
  <c r="Z203" i="6" s="1"/>
  <c r="Z75" i="6"/>
  <c r="Z103" i="6" s="1"/>
  <c r="Z199" i="6" s="1"/>
  <c r="AB197" i="13"/>
  <c r="AA78" i="6"/>
  <c r="AA106" i="6" s="1"/>
  <c r="AA202" i="6" s="1"/>
  <c r="AA201" i="13"/>
  <c r="AB200" i="13"/>
  <c r="Y73" i="6"/>
  <c r="Y101" i="6" s="1"/>
  <c r="Y197" i="6" s="1"/>
  <c r="Z77" i="6"/>
  <c r="Z105" i="6" s="1"/>
  <c r="Z201" i="6" s="1"/>
  <c r="Z72" i="6"/>
  <c r="Z100" i="6" s="1"/>
  <c r="Z196" i="6" s="1"/>
  <c r="AC202" i="13"/>
  <c r="AB199" i="13"/>
  <c r="AB204" i="13"/>
  <c r="AA198" i="13"/>
  <c r="Y76" i="6"/>
  <c r="Y104" i="6" s="1"/>
  <c r="Y200" i="6" s="1"/>
  <c r="AB196" i="13"/>
  <c r="Z74" i="6"/>
  <c r="Z102" i="6" s="1"/>
  <c r="Z198" i="6" s="1"/>
  <c r="Y71" i="6"/>
  <c r="Y99" i="6" s="1"/>
  <c r="Y195" i="6" s="1"/>
  <c r="AC203" i="13"/>
  <c r="Z195" i="13"/>
  <c r="Z185" i="13"/>
  <c r="Z175" i="13"/>
  <c r="AC192" i="13"/>
  <c r="AC182" i="13"/>
  <c r="AB186" i="13"/>
  <c r="AB176" i="13"/>
  <c r="AB179" i="13"/>
  <c r="AB189" i="13"/>
  <c r="AA188" i="13"/>
  <c r="AA178" i="13"/>
  <c r="AC183" i="13"/>
  <c r="AC193" i="13"/>
  <c r="AB180" i="13"/>
  <c r="AB190" i="13"/>
  <c r="AA191" i="13"/>
  <c r="AA181" i="13"/>
  <c r="AB194" i="13"/>
  <c r="AB184" i="13"/>
  <c r="AB177" i="13"/>
  <c r="AB187" i="13"/>
  <c r="P231" i="6"/>
  <c r="P220" i="6" s="1"/>
  <c r="P234" i="6" s="1"/>
  <c r="R229" i="6"/>
  <c r="R227" i="6"/>
  <c r="R230" i="6"/>
  <c r="R228" i="6"/>
  <c r="Q231" i="6"/>
  <c r="Q220" i="6" s="1"/>
  <c r="Q234" i="6" s="1"/>
  <c r="R205" i="6"/>
  <c r="AA20" i="36"/>
  <c r="Y54" i="34" s="1"/>
  <c r="AB11" i="36"/>
  <c r="Z125" i="18"/>
  <c r="AC14" i="36"/>
  <c r="AA128" i="18"/>
  <c r="AD18" i="36"/>
  <c r="AB132" i="18"/>
  <c r="AC15" i="36"/>
  <c r="AA129" i="18"/>
  <c r="AB16" i="36"/>
  <c r="Z130" i="18"/>
  <c r="AC19" i="36"/>
  <c r="AA133" i="18"/>
  <c r="AC17" i="36"/>
  <c r="AA131" i="18"/>
  <c r="AC12" i="36"/>
  <c r="AA126" i="18"/>
  <c r="AB13" i="36"/>
  <c r="Z127" i="18"/>
  <c r="V49" i="34"/>
  <c r="X14" i="34"/>
  <c r="Y6" i="36"/>
  <c r="Y8" i="36" s="1"/>
  <c r="W53" i="34" s="1"/>
  <c r="Z97" i="17"/>
  <c r="Y7" i="18" s="1"/>
  <c r="AB92" i="17"/>
  <c r="AB150" i="13"/>
  <c r="AB160" i="13"/>
  <c r="AA93" i="17"/>
  <c r="AA161" i="13"/>
  <c r="AA151" i="13"/>
  <c r="AB96" i="17"/>
  <c r="AB164" i="13"/>
  <c r="AB154" i="13"/>
  <c r="AB89" i="17"/>
  <c r="AB157" i="13"/>
  <c r="AB147" i="13"/>
  <c r="AA90" i="17"/>
  <c r="AA148" i="13"/>
  <c r="AA158" i="13"/>
  <c r="AB146" i="13"/>
  <c r="AB156" i="13"/>
  <c r="AC94" i="17"/>
  <c r="AC162" i="13"/>
  <c r="AC152" i="13"/>
  <c r="AB91" i="17"/>
  <c r="AB159" i="13"/>
  <c r="AB149" i="13"/>
  <c r="AC95" i="17"/>
  <c r="AC163" i="13"/>
  <c r="AC153" i="13"/>
  <c r="AA43" i="34"/>
  <c r="X50" i="34" s="1"/>
  <c r="Z9" i="34"/>
  <c r="AD23" i="6"/>
  <c r="AC32" i="6"/>
  <c r="AC27" i="6"/>
  <c r="AC33" i="6"/>
  <c r="AC31" i="6"/>
  <c r="AC29" i="6"/>
  <c r="AC26" i="6"/>
  <c r="AC30" i="6"/>
  <c r="AC28" i="6"/>
  <c r="AC25" i="6"/>
  <c r="X124" i="6"/>
  <c r="X187" i="6" s="1"/>
  <c r="Y123" i="6"/>
  <c r="Y186" i="6" s="1"/>
  <c r="U215" i="6"/>
  <c r="X120" i="6"/>
  <c r="X183" i="6" s="1"/>
  <c r="X119" i="6"/>
  <c r="X182" i="6" s="1"/>
  <c r="X118" i="6"/>
  <c r="X181" i="6" s="1"/>
  <c r="X117" i="6"/>
  <c r="X180" i="6" s="1"/>
  <c r="W121" i="6"/>
  <c r="W184" i="6" s="1"/>
  <c r="W213" i="6" s="1"/>
  <c r="X122" i="6"/>
  <c r="X185" i="6" s="1"/>
  <c r="X212" i="6" s="1"/>
  <c r="Y14" i="34"/>
  <c r="W36" i="36"/>
  <c r="W12" i="37" s="1"/>
  <c r="AA8" i="34"/>
  <c r="Y123" i="18"/>
  <c r="AB7" i="34"/>
  <c r="V52" i="34"/>
  <c r="W49" i="34"/>
  <c r="Y7" i="37"/>
  <c r="Y6" i="37" s="1"/>
  <c r="V64" i="34"/>
  <c r="X31" i="36"/>
  <c r="V65" i="34" s="1"/>
  <c r="Z155" i="13"/>
  <c r="Z145" i="13"/>
  <c r="S189" i="6"/>
  <c r="S190" i="6" s="1"/>
  <c r="AA71" i="17"/>
  <c r="AA165" i="13" s="1"/>
  <c r="AB88" i="17"/>
  <c r="Z134" i="6"/>
  <c r="AB64" i="17"/>
  <c r="Z44" i="6"/>
  <c r="Z151" i="6" s="1"/>
  <c r="Z166" i="6" s="1"/>
  <c r="AA136" i="6"/>
  <c r="AC66" i="17"/>
  <c r="AB139" i="6"/>
  <c r="AD69" i="17"/>
  <c r="Z137" i="6"/>
  <c r="AB67" i="17"/>
  <c r="AA133" i="6"/>
  <c r="AC63" i="17"/>
  <c r="AA140" i="6"/>
  <c r="AC70" i="17"/>
  <c r="AA135" i="6"/>
  <c r="AC65" i="17"/>
  <c r="V126" i="6"/>
  <c r="Y142" i="6"/>
  <c r="Y143" i="6" s="1"/>
  <c r="W109" i="6"/>
  <c r="W110" i="6" s="1"/>
  <c r="W116" i="6"/>
  <c r="W179" i="6" s="1"/>
  <c r="AD68" i="17"/>
  <c r="AA138" i="6"/>
  <c r="AA48" i="6"/>
  <c r="AA155" i="6" s="1"/>
  <c r="Z42" i="6"/>
  <c r="Z149" i="6" s="1"/>
  <c r="Z164" i="6" s="1"/>
  <c r="Z132" i="6"/>
  <c r="Y52" i="6"/>
  <c r="Y53" i="6" s="1"/>
  <c r="X81" i="6"/>
  <c r="AA50" i="6"/>
  <c r="AA157" i="6" s="1"/>
  <c r="AA172" i="6" s="1"/>
  <c r="AA45" i="6"/>
  <c r="AA152" i="6" s="1"/>
  <c r="AA167" i="6" s="1"/>
  <c r="Z47" i="6"/>
  <c r="Z154" i="6" s="1"/>
  <c r="Z169" i="6" s="1"/>
  <c r="AA46" i="6"/>
  <c r="AA153" i="6" s="1"/>
  <c r="AA168" i="6" s="1"/>
  <c r="AA43" i="6"/>
  <c r="AA150" i="6" s="1"/>
  <c r="AA165" i="6" s="1"/>
  <c r="AB49" i="6"/>
  <c r="AB156" i="6" s="1"/>
  <c r="AB171" i="6" s="1"/>
  <c r="Z35" i="6"/>
  <c r="AC62" i="17"/>
  <c r="Z173" i="6" l="1"/>
  <c r="Z174" i="6" s="1"/>
  <c r="Z37" i="34"/>
  <c r="Z17" i="34"/>
  <c r="Z158" i="6"/>
  <c r="Z159" i="6" s="1"/>
  <c r="X211" i="6"/>
  <c r="W209" i="6"/>
  <c r="W210" i="6"/>
  <c r="W214" i="6"/>
  <c r="Y404" i="17"/>
  <c r="Y405" i="17" s="1"/>
  <c r="AB248" i="17"/>
  <c r="Z218" i="17"/>
  <c r="Z264" i="17"/>
  <c r="Z265" i="17" s="1"/>
  <c r="Y263" i="17"/>
  <c r="Y265" i="17"/>
  <c r="Z263" i="17"/>
  <c r="AA402" i="17"/>
  <c r="AA403" i="17" s="1"/>
  <c r="AB187" i="17"/>
  <c r="AB188" i="17" s="1"/>
  <c r="AC259" i="17"/>
  <c r="AC260" i="17"/>
  <c r="AC261" i="17"/>
  <c r="AC251" i="17"/>
  <c r="AC258" i="17"/>
  <c r="AC255" i="17"/>
  <c r="AC254" i="17"/>
  <c r="AC252" i="17"/>
  <c r="AB107" i="18" s="1"/>
  <c r="AC256" i="17"/>
  <c r="AC257" i="17"/>
  <c r="AC253" i="17"/>
  <c r="AD245" i="17"/>
  <c r="AD246" i="17"/>
  <c r="AD244" i="17"/>
  <c r="AD236" i="17"/>
  <c r="AD243" i="17"/>
  <c r="AD237" i="17"/>
  <c r="AC95" i="18" s="1"/>
  <c r="AD241" i="17"/>
  <c r="AD242" i="17"/>
  <c r="AD239" i="17"/>
  <c r="AD238" i="17"/>
  <c r="AD240" i="17"/>
  <c r="AC384" i="17"/>
  <c r="AC382" i="17"/>
  <c r="AC385" i="17"/>
  <c r="AC377" i="17"/>
  <c r="AC383" i="17"/>
  <c r="AC381" i="17"/>
  <c r="AC380" i="17"/>
  <c r="AC376" i="17"/>
  <c r="AC386" i="17"/>
  <c r="AC379" i="17"/>
  <c r="AC378" i="17"/>
  <c r="AB341" i="17"/>
  <c r="AB337" i="17"/>
  <c r="AB339" i="17"/>
  <c r="AB332" i="17"/>
  <c r="AB335" i="17"/>
  <c r="AB340" i="17"/>
  <c r="AB338" i="17"/>
  <c r="AB333" i="17"/>
  <c r="AB336" i="17"/>
  <c r="AB331" i="17"/>
  <c r="AB334" i="17"/>
  <c r="AB372" i="17"/>
  <c r="AB373" i="17" s="1"/>
  <c r="AB202" i="17"/>
  <c r="AB203" i="17" s="1"/>
  <c r="AB394" i="17"/>
  <c r="AB397" i="17"/>
  <c r="AB400" i="17"/>
  <c r="AB395" i="17"/>
  <c r="AB398" i="17"/>
  <c r="AB401" i="17"/>
  <c r="AB393" i="17"/>
  <c r="AB399" i="17"/>
  <c r="AB391" i="17"/>
  <c r="AB392" i="17"/>
  <c r="AB396" i="17"/>
  <c r="AB157" i="17"/>
  <c r="AB158" i="17" s="1"/>
  <c r="AA172" i="17"/>
  <c r="AA173" i="17" s="1"/>
  <c r="AD229" i="17"/>
  <c r="AD231" i="17"/>
  <c r="AD230" i="17"/>
  <c r="AD221" i="17"/>
  <c r="AD222" i="17"/>
  <c r="AC83" i="18" s="1"/>
  <c r="AD224" i="17"/>
  <c r="AD225" i="17"/>
  <c r="AD228" i="17"/>
  <c r="AD226" i="17"/>
  <c r="AD227" i="17"/>
  <c r="AD223" i="17"/>
  <c r="AB169" i="17"/>
  <c r="AB170" i="17"/>
  <c r="AB171" i="17"/>
  <c r="AB161" i="17"/>
  <c r="AB168" i="17"/>
  <c r="AB165" i="17"/>
  <c r="AB164" i="17"/>
  <c r="AB162" i="17"/>
  <c r="AA35" i="18" s="1"/>
  <c r="AB167" i="17"/>
  <c r="AB163" i="17"/>
  <c r="AB166" i="17"/>
  <c r="AA310" i="17"/>
  <c r="AA302" i="17"/>
  <c r="AA305" i="17"/>
  <c r="AA311" i="17"/>
  <c r="AA303" i="17"/>
  <c r="AA307" i="17"/>
  <c r="AA306" i="17"/>
  <c r="AA309" i="17"/>
  <c r="AA301" i="17"/>
  <c r="AA308" i="17"/>
  <c r="AA304" i="17"/>
  <c r="AA352" i="17"/>
  <c r="AA355" i="17"/>
  <c r="AA353" i="17"/>
  <c r="AA356" i="17"/>
  <c r="AA348" i="17"/>
  <c r="AA354" i="17"/>
  <c r="AA346" i="17"/>
  <c r="AA351" i="17"/>
  <c r="AA347" i="17"/>
  <c r="AA350" i="17"/>
  <c r="AA349" i="17"/>
  <c r="AA282" i="17"/>
  <c r="Z357" i="17"/>
  <c r="Z358" i="17" s="1"/>
  <c r="Z312" i="17"/>
  <c r="Z313" i="17" s="1"/>
  <c r="AB325" i="17"/>
  <c r="AB317" i="17"/>
  <c r="AB326" i="17"/>
  <c r="AB318" i="17"/>
  <c r="AB321" i="17"/>
  <c r="AB324" i="17"/>
  <c r="AB316" i="17"/>
  <c r="AB319" i="17"/>
  <c r="AB323" i="17"/>
  <c r="AB320" i="17"/>
  <c r="AB322" i="17"/>
  <c r="AB279" i="17"/>
  <c r="AB280" i="17"/>
  <c r="AB281" i="17"/>
  <c r="AB271" i="17"/>
  <c r="AB276" i="17"/>
  <c r="AB275" i="17"/>
  <c r="AB277" i="17"/>
  <c r="AB278" i="17"/>
  <c r="AB273" i="17"/>
  <c r="AB272" i="17"/>
  <c r="AB274" i="17"/>
  <c r="AC232" i="17"/>
  <c r="AC233" i="17" s="1"/>
  <c r="AC370" i="17"/>
  <c r="AC371" i="17"/>
  <c r="AC367" i="17"/>
  <c r="AC362" i="17"/>
  <c r="AC369" i="17"/>
  <c r="AC365" i="17"/>
  <c r="AC368" i="17"/>
  <c r="AC363" i="17"/>
  <c r="AC366" i="17"/>
  <c r="AC361" i="17"/>
  <c r="AC364" i="17"/>
  <c r="AB296" i="17"/>
  <c r="AB294" i="17"/>
  <c r="AB295" i="17"/>
  <c r="AB286" i="17"/>
  <c r="AB291" i="17"/>
  <c r="AB292" i="17"/>
  <c r="AB289" i="17"/>
  <c r="AB288" i="17"/>
  <c r="AB290" i="17"/>
  <c r="AB293" i="17"/>
  <c r="AB287" i="17"/>
  <c r="Z283" i="17"/>
  <c r="AA217" i="17"/>
  <c r="AC154" i="17"/>
  <c r="AC155" i="17"/>
  <c r="AC156" i="17"/>
  <c r="AC153" i="17"/>
  <c r="AC149" i="17"/>
  <c r="AC151" i="17"/>
  <c r="AC152" i="17"/>
  <c r="AC146" i="17"/>
  <c r="AC147" i="17"/>
  <c r="AB23" i="18" s="1"/>
  <c r="AC148" i="17"/>
  <c r="AC150" i="17"/>
  <c r="AB387" i="17"/>
  <c r="AB388" i="17" s="1"/>
  <c r="AC185" i="17"/>
  <c r="AC186" i="17"/>
  <c r="AC184" i="17"/>
  <c r="AC176" i="17"/>
  <c r="AC182" i="17"/>
  <c r="AC181" i="17"/>
  <c r="AC180" i="17"/>
  <c r="AC178" i="17"/>
  <c r="AC177" i="17"/>
  <c r="AB47" i="18" s="1"/>
  <c r="AC183" i="17"/>
  <c r="AC179" i="17"/>
  <c r="AB216" i="17"/>
  <c r="AB214" i="17"/>
  <c r="AB215" i="17"/>
  <c r="AB206" i="17"/>
  <c r="AB208" i="17"/>
  <c r="AB207" i="17"/>
  <c r="AA71" i="18" s="1"/>
  <c r="AB209" i="17"/>
  <c r="AB211" i="17"/>
  <c r="AB213" i="17"/>
  <c r="AB212" i="17"/>
  <c r="AB210" i="17"/>
  <c r="AC201" i="17"/>
  <c r="AC199" i="17"/>
  <c r="AC200" i="17"/>
  <c r="AC191" i="17"/>
  <c r="AC195" i="17"/>
  <c r="AC194" i="17"/>
  <c r="AC196" i="17"/>
  <c r="AC193" i="17"/>
  <c r="AC197" i="17"/>
  <c r="AC198" i="17"/>
  <c r="AC192" i="17"/>
  <c r="AB59" i="18" s="1"/>
  <c r="AC247" i="17"/>
  <c r="AA342" i="17"/>
  <c r="AA343" i="17" s="1"/>
  <c r="AA297" i="17"/>
  <c r="AA298" i="17" s="1"/>
  <c r="AA327" i="17"/>
  <c r="AA328" i="17" s="1"/>
  <c r="AC140" i="17"/>
  <c r="AC141" i="17"/>
  <c r="AC133" i="17"/>
  <c r="AC138" i="17"/>
  <c r="AC132" i="17"/>
  <c r="AB11" i="18" s="1"/>
  <c r="AC135" i="17"/>
  <c r="AC136" i="17"/>
  <c r="AC134" i="17"/>
  <c r="AC139" i="17"/>
  <c r="AC131" i="17"/>
  <c r="AC137" i="17"/>
  <c r="AB142" i="17"/>
  <c r="AB143" i="17" s="1"/>
  <c r="AA171" i="13"/>
  <c r="AA211" i="13"/>
  <c r="AA173" i="13"/>
  <c r="AA213" i="13"/>
  <c r="AA170" i="13"/>
  <c r="AA210" i="13"/>
  <c r="AA214" i="13"/>
  <c r="AA174" i="13"/>
  <c r="AA167" i="13"/>
  <c r="AA212" i="13"/>
  <c r="AA207" i="13"/>
  <c r="AA172" i="13"/>
  <c r="AA209" i="13"/>
  <c r="AA169" i="13"/>
  <c r="AA206" i="13"/>
  <c r="AA208" i="13"/>
  <c r="AA166" i="13"/>
  <c r="AA168" i="13"/>
  <c r="AA79" i="6"/>
  <c r="AA107" i="6" s="1"/>
  <c r="AA203" i="6" s="1"/>
  <c r="AA77" i="6"/>
  <c r="AA105" i="6" s="1"/>
  <c r="AA201" i="6" s="1"/>
  <c r="AC204" i="13"/>
  <c r="Z73" i="6"/>
  <c r="Z101" i="6" s="1"/>
  <c r="Z197" i="6" s="1"/>
  <c r="AC196" i="13"/>
  <c r="AD203" i="13"/>
  <c r="AD202" i="13"/>
  <c r="AB198" i="13"/>
  <c r="AB78" i="6"/>
  <c r="AB106" i="6" s="1"/>
  <c r="AB202" i="6" s="1"/>
  <c r="AA72" i="6"/>
  <c r="AA100" i="6" s="1"/>
  <c r="AA196" i="6" s="1"/>
  <c r="AA75" i="6"/>
  <c r="AA103" i="6" s="1"/>
  <c r="AA199" i="6" s="1"/>
  <c r="AC197" i="13"/>
  <c r="Z76" i="6"/>
  <c r="Z104" i="6" s="1"/>
  <c r="Z200" i="6" s="1"/>
  <c r="AA74" i="6"/>
  <c r="AA102" i="6" s="1"/>
  <c r="AA198" i="6" s="1"/>
  <c r="Z71" i="6"/>
  <c r="Z99" i="6" s="1"/>
  <c r="Z195" i="6" s="1"/>
  <c r="AC199" i="13"/>
  <c r="AB201" i="13"/>
  <c r="AC200" i="13"/>
  <c r="AA175" i="13"/>
  <c r="AA185" i="13"/>
  <c r="AC190" i="13"/>
  <c r="AC180" i="13"/>
  <c r="AA195" i="13"/>
  <c r="AC187" i="13"/>
  <c r="AC177" i="13"/>
  <c r="AC189" i="13"/>
  <c r="AC179" i="13"/>
  <c r="AC186" i="13"/>
  <c r="AC176" i="13"/>
  <c r="AC194" i="13"/>
  <c r="AC184" i="13"/>
  <c r="AD193" i="13"/>
  <c r="AD183" i="13"/>
  <c r="AD192" i="13"/>
  <c r="AD182" i="13"/>
  <c r="AB188" i="13"/>
  <c r="AB178" i="13"/>
  <c r="AB191" i="13"/>
  <c r="AB181" i="13"/>
  <c r="R221" i="6"/>
  <c r="R232" i="6"/>
  <c r="R233" i="6"/>
  <c r="R240" i="6" s="1"/>
  <c r="R241" i="6" s="1"/>
  <c r="S227" i="6"/>
  <c r="S230" i="6"/>
  <c r="S228" i="6"/>
  <c r="S229" i="6"/>
  <c r="S205" i="6"/>
  <c r="AB20" i="36"/>
  <c r="Z54" i="34" s="1"/>
  <c r="AC13" i="36"/>
  <c r="AA127" i="18"/>
  <c r="AD17" i="36"/>
  <c r="AB131" i="18"/>
  <c r="AE18" i="36"/>
  <c r="AC132" i="18"/>
  <c r="AD12" i="36"/>
  <c r="AB126" i="18"/>
  <c r="AD15" i="36"/>
  <c r="AB129" i="18"/>
  <c r="AD19" i="36"/>
  <c r="AB133" i="18"/>
  <c r="AC11" i="36"/>
  <c r="AA125" i="18"/>
  <c r="AD14" i="36"/>
  <c r="AB128" i="18"/>
  <c r="AC16" i="36"/>
  <c r="AA130" i="18"/>
  <c r="Y7" i="36"/>
  <c r="W52" i="34" s="1"/>
  <c r="Y25" i="36"/>
  <c r="Y28" i="36" s="1"/>
  <c r="W64" i="34" s="1"/>
  <c r="AA97" i="17"/>
  <c r="Z7" i="18" s="1"/>
  <c r="Z18" i="34"/>
  <c r="Z31" i="34"/>
  <c r="Z24" i="34"/>
  <c r="Z32" i="34"/>
  <c r="Z25" i="34"/>
  <c r="Z34" i="34"/>
  <c r="Z36" i="34"/>
  <c r="Z33" i="34"/>
  <c r="Z16" i="34"/>
  <c r="AC92" i="17"/>
  <c r="AC150" i="13"/>
  <c r="AC160" i="13"/>
  <c r="AC91" i="17"/>
  <c r="AC149" i="13"/>
  <c r="AC159" i="13"/>
  <c r="AB93" i="17"/>
  <c r="AB151" i="13"/>
  <c r="AB161" i="13"/>
  <c r="AC146" i="13"/>
  <c r="AC156" i="13"/>
  <c r="AC96" i="17"/>
  <c r="AC154" i="13"/>
  <c r="AC164" i="13"/>
  <c r="AB90" i="17"/>
  <c r="AB158" i="13"/>
  <c r="AB148" i="13"/>
  <c r="AD94" i="17"/>
  <c r="AD152" i="13"/>
  <c r="AD162" i="13"/>
  <c r="AD95" i="17"/>
  <c r="AD163" i="13"/>
  <c r="AD153" i="13"/>
  <c r="AC89" i="17"/>
  <c r="AC147" i="13"/>
  <c r="AC157" i="13"/>
  <c r="Z6" i="36"/>
  <c r="Z7" i="36" s="1"/>
  <c r="AB43" i="34"/>
  <c r="Y50" i="34" s="1"/>
  <c r="AA9" i="34"/>
  <c r="AA17" i="34" s="1"/>
  <c r="AE23" i="6"/>
  <c r="AD33" i="6"/>
  <c r="AD31" i="6"/>
  <c r="AD29" i="6"/>
  <c r="AD26" i="6"/>
  <c r="AD30" i="6"/>
  <c r="AD28" i="6"/>
  <c r="AD25" i="6"/>
  <c r="AD32" i="6"/>
  <c r="AD27" i="6"/>
  <c r="V215" i="6"/>
  <c r="Y119" i="6"/>
  <c r="Y182" i="6" s="1"/>
  <c r="Y124" i="6"/>
  <c r="Y187" i="6" s="1"/>
  <c r="Y120" i="6"/>
  <c r="Y183" i="6" s="1"/>
  <c r="X116" i="6"/>
  <c r="X179" i="6" s="1"/>
  <c r="Y118" i="6"/>
  <c r="Y181" i="6" s="1"/>
  <c r="Z123" i="6"/>
  <c r="Z186" i="6" s="1"/>
  <c r="Y122" i="6"/>
  <c r="Y185" i="6" s="1"/>
  <c r="Y212" i="6" s="1"/>
  <c r="Y117" i="6"/>
  <c r="Y180" i="6" s="1"/>
  <c r="Z7" i="37"/>
  <c r="Z6" i="37" s="1"/>
  <c r="X49" i="34"/>
  <c r="Y6" i="18"/>
  <c r="AB6" i="34"/>
  <c r="AB8" i="34" s="1"/>
  <c r="X36" i="36"/>
  <c r="X12" i="37" s="1"/>
  <c r="AC7" i="34"/>
  <c r="Z123" i="18"/>
  <c r="M51" i="34"/>
  <c r="M58" i="34" s="1"/>
  <c r="AA155" i="13"/>
  <c r="AA145" i="13"/>
  <c r="AB136" i="6"/>
  <c r="AD66" i="17"/>
  <c r="U189" i="6"/>
  <c r="U190" i="6" s="1"/>
  <c r="T189" i="6"/>
  <c r="T190" i="6" s="1"/>
  <c r="AB71" i="17"/>
  <c r="AB165" i="13" s="1"/>
  <c r="AB135" i="6"/>
  <c r="AD65" i="17"/>
  <c r="AC139" i="6"/>
  <c r="AE69" i="17"/>
  <c r="AA137" i="6"/>
  <c r="AC67" i="17"/>
  <c r="AB140" i="6"/>
  <c r="AD70" i="17"/>
  <c r="AC88" i="17"/>
  <c r="AA134" i="6"/>
  <c r="AC64" i="17"/>
  <c r="AA44" i="6"/>
  <c r="AA151" i="6" s="1"/>
  <c r="AA166" i="6" s="1"/>
  <c r="AB133" i="6"/>
  <c r="AD63" i="17"/>
  <c r="W126" i="6"/>
  <c r="Z142" i="6"/>
  <c r="Z143" i="6" s="1"/>
  <c r="AA42" i="6"/>
  <c r="AA149" i="6" s="1"/>
  <c r="AA164" i="6" s="1"/>
  <c r="AA132" i="6"/>
  <c r="AE68" i="17"/>
  <c r="AB138" i="6"/>
  <c r="AB48" i="6"/>
  <c r="AB155" i="6" s="1"/>
  <c r="Y81" i="6"/>
  <c r="Z52" i="6"/>
  <c r="Z53" i="6" s="1"/>
  <c r="AB50" i="6"/>
  <c r="AB157" i="6" s="1"/>
  <c r="AB172" i="6" s="1"/>
  <c r="AC49" i="6"/>
  <c r="AC156" i="6" s="1"/>
  <c r="AC171" i="6" s="1"/>
  <c r="AA47" i="6"/>
  <c r="AA154" i="6" s="1"/>
  <c r="AA169" i="6" s="1"/>
  <c r="AB43" i="6"/>
  <c r="AB150" i="6" s="1"/>
  <c r="AB165" i="6" s="1"/>
  <c r="AB46" i="6"/>
  <c r="AB153" i="6" s="1"/>
  <c r="AB168" i="6" s="1"/>
  <c r="AB45" i="6"/>
  <c r="AB152" i="6" s="1"/>
  <c r="AB167" i="6" s="1"/>
  <c r="AA35" i="6"/>
  <c r="AD62" i="17"/>
  <c r="AA173" i="6" l="1"/>
  <c r="AA174" i="6" s="1"/>
  <c r="AA158" i="6"/>
  <c r="AA159" i="6" s="1"/>
  <c r="Y211" i="6"/>
  <c r="X210" i="6"/>
  <c r="X209" i="6"/>
  <c r="Z404" i="17"/>
  <c r="AC248" i="17"/>
  <c r="AA218" i="17"/>
  <c r="AA264" i="17"/>
  <c r="AB172" i="17"/>
  <c r="AB173" i="17" s="1"/>
  <c r="AC387" i="17"/>
  <c r="AC388" i="17" s="1"/>
  <c r="AE245" i="17"/>
  <c r="AE244" i="17"/>
  <c r="AE246" i="17"/>
  <c r="AE236" i="17"/>
  <c r="AE241" i="17"/>
  <c r="AE242" i="17"/>
  <c r="AE243" i="17"/>
  <c r="AE237" i="17"/>
  <c r="AD95" i="18" s="1"/>
  <c r="AE238" i="17"/>
  <c r="AE240" i="17"/>
  <c r="AE239" i="17"/>
  <c r="AC202" i="17"/>
  <c r="AC203" i="17" s="1"/>
  <c r="AC187" i="17"/>
  <c r="AC188" i="17" s="1"/>
  <c r="AB327" i="17"/>
  <c r="AB328" i="17" s="1"/>
  <c r="AA357" i="17"/>
  <c r="AA358" i="17" s="1"/>
  <c r="AD186" i="17"/>
  <c r="AD184" i="17"/>
  <c r="AD185" i="17"/>
  <c r="AD176" i="17"/>
  <c r="AD182" i="17"/>
  <c r="AD181" i="17"/>
  <c r="AD180" i="17"/>
  <c r="AD178" i="17"/>
  <c r="AD177" i="17"/>
  <c r="AC47" i="18" s="1"/>
  <c r="AD179" i="17"/>
  <c r="AD183" i="17"/>
  <c r="AC170" i="17"/>
  <c r="AC171" i="17"/>
  <c r="AC169" i="17"/>
  <c r="AC161" i="17"/>
  <c r="AC165" i="17"/>
  <c r="AC164" i="17"/>
  <c r="AC162" i="17"/>
  <c r="AB35" i="18" s="1"/>
  <c r="AC168" i="17"/>
  <c r="AC167" i="17"/>
  <c r="AC163" i="17"/>
  <c r="AC166" i="17"/>
  <c r="AD384" i="17"/>
  <c r="AD385" i="17"/>
  <c r="AD377" i="17"/>
  <c r="AD380" i="17"/>
  <c r="AD383" i="17"/>
  <c r="AD386" i="17"/>
  <c r="AD378" i="17"/>
  <c r="AD376" i="17"/>
  <c r="AD379" i="17"/>
  <c r="AD382" i="17"/>
  <c r="AD381" i="17"/>
  <c r="AB305" i="17"/>
  <c r="AB308" i="17"/>
  <c r="AB306" i="17"/>
  <c r="AB310" i="17"/>
  <c r="AB309" i="17"/>
  <c r="AB302" i="17"/>
  <c r="AB301" i="17"/>
  <c r="AB304" i="17"/>
  <c r="AB311" i="17"/>
  <c r="AB307" i="17"/>
  <c r="AB303" i="17"/>
  <c r="AC280" i="17"/>
  <c r="AC281" i="17"/>
  <c r="AC279" i="17"/>
  <c r="AC271" i="17"/>
  <c r="AC275" i="17"/>
  <c r="AC276" i="17"/>
  <c r="AC274" i="17"/>
  <c r="AC273" i="17"/>
  <c r="AC272" i="17"/>
  <c r="AC278" i="17"/>
  <c r="AC277" i="17"/>
  <c r="AD201" i="17"/>
  <c r="AD199" i="17"/>
  <c r="AD200" i="17"/>
  <c r="AD191" i="17"/>
  <c r="AD198" i="17"/>
  <c r="AD196" i="17"/>
  <c r="AD193" i="17"/>
  <c r="AD195" i="17"/>
  <c r="AD194" i="17"/>
  <c r="AD192" i="17"/>
  <c r="AC59" i="18" s="1"/>
  <c r="AD197" i="17"/>
  <c r="AC320" i="17"/>
  <c r="AC321" i="17"/>
  <c r="AC324" i="17"/>
  <c r="AC316" i="17"/>
  <c r="AC319" i="17"/>
  <c r="AC322" i="17"/>
  <c r="AC326" i="17"/>
  <c r="AC323" i="17"/>
  <c r="AC317" i="17"/>
  <c r="AC325" i="17"/>
  <c r="AC318" i="17"/>
  <c r="AD232" i="17"/>
  <c r="AD233" i="17" s="1"/>
  <c r="AB342" i="17"/>
  <c r="AB343" i="17" s="1"/>
  <c r="AD259" i="17"/>
  <c r="AD260" i="17"/>
  <c r="AD261" i="17"/>
  <c r="AD251" i="17"/>
  <c r="AD255" i="17"/>
  <c r="AD254" i="17"/>
  <c r="AD252" i="17"/>
  <c r="AC107" i="18" s="1"/>
  <c r="AD258" i="17"/>
  <c r="AD253" i="17"/>
  <c r="AD257" i="17"/>
  <c r="AD256" i="17"/>
  <c r="AD368" i="17"/>
  <c r="AD366" i="17"/>
  <c r="AD370" i="17"/>
  <c r="AD362" i="17"/>
  <c r="AD369" i="17"/>
  <c r="AD365" i="17"/>
  <c r="AD363" i="17"/>
  <c r="AD371" i="17"/>
  <c r="AD361" i="17"/>
  <c r="AD364" i="17"/>
  <c r="AD367" i="17"/>
  <c r="AC157" i="17"/>
  <c r="AC158" i="17" s="1"/>
  <c r="AA283" i="17"/>
  <c r="AB402" i="17"/>
  <c r="AB403" i="17" s="1"/>
  <c r="AB217" i="17"/>
  <c r="AB282" i="17"/>
  <c r="AC397" i="17"/>
  <c r="AC400" i="17"/>
  <c r="AC395" i="17"/>
  <c r="AC398" i="17"/>
  <c r="AC401" i="17"/>
  <c r="AC393" i="17"/>
  <c r="AC396" i="17"/>
  <c r="AC399" i="17"/>
  <c r="AC391" i="17"/>
  <c r="AC392" i="17"/>
  <c r="AC394" i="17"/>
  <c r="AC214" i="17"/>
  <c r="AC215" i="17"/>
  <c r="AC216" i="17"/>
  <c r="AC206" i="17"/>
  <c r="AC208" i="17"/>
  <c r="AC209" i="17"/>
  <c r="AC212" i="17"/>
  <c r="AC211" i="17"/>
  <c r="AC210" i="17"/>
  <c r="AC207" i="17"/>
  <c r="AB71" i="18" s="1"/>
  <c r="AC213" i="17"/>
  <c r="AC339" i="17"/>
  <c r="AC340" i="17"/>
  <c r="AC332" i="17"/>
  <c r="AC335" i="17"/>
  <c r="AC338" i="17"/>
  <c r="AC333" i="17"/>
  <c r="AC336" i="17"/>
  <c r="AC331" i="17"/>
  <c r="AC334" i="17"/>
  <c r="AC337" i="17"/>
  <c r="AC341" i="17"/>
  <c r="Z405" i="17"/>
  <c r="AB297" i="17"/>
  <c r="AB298" i="17" s="1"/>
  <c r="AA312" i="17"/>
  <c r="AA313" i="17" s="1"/>
  <c r="AB355" i="17"/>
  <c r="AB356" i="17"/>
  <c r="AB348" i="17"/>
  <c r="AB351" i="17"/>
  <c r="AB354" i="17"/>
  <c r="AB349" i="17"/>
  <c r="AB353" i="17"/>
  <c r="AB347" i="17"/>
  <c r="AB352" i="17"/>
  <c r="AB350" i="17"/>
  <c r="AB346" i="17"/>
  <c r="AD155" i="17"/>
  <c r="AD156" i="17"/>
  <c r="AD154" i="17"/>
  <c r="AD148" i="17"/>
  <c r="AD149" i="17"/>
  <c r="AD146" i="17"/>
  <c r="AD152" i="17"/>
  <c r="AD147" i="17"/>
  <c r="AC23" i="18" s="1"/>
  <c r="AD150" i="17"/>
  <c r="AD153" i="17"/>
  <c r="AD151" i="17"/>
  <c r="AC295" i="17"/>
  <c r="AC294" i="17"/>
  <c r="AC296" i="17"/>
  <c r="AC286" i="17"/>
  <c r="AC289" i="17"/>
  <c r="AC287" i="17"/>
  <c r="AC292" i="17"/>
  <c r="AC291" i="17"/>
  <c r="AC288" i="17"/>
  <c r="AC290" i="17"/>
  <c r="AC293" i="17"/>
  <c r="AE230" i="17"/>
  <c r="AE231" i="17"/>
  <c r="AE229" i="17"/>
  <c r="AE221" i="17"/>
  <c r="AE228" i="17"/>
  <c r="AE222" i="17"/>
  <c r="AD83" i="18" s="1"/>
  <c r="AE224" i="17"/>
  <c r="AE227" i="17"/>
  <c r="AE226" i="17"/>
  <c r="AE225" i="17"/>
  <c r="AE223" i="17"/>
  <c r="AC372" i="17"/>
  <c r="AC373" i="17" s="1"/>
  <c r="AD247" i="17"/>
  <c r="AA262" i="17"/>
  <c r="AD135" i="17"/>
  <c r="AD136" i="17"/>
  <c r="AD141" i="17"/>
  <c r="AD140" i="17"/>
  <c r="AD133" i="17"/>
  <c r="AD139" i="17"/>
  <c r="AD137" i="17"/>
  <c r="AD132" i="17"/>
  <c r="AC11" i="18" s="1"/>
  <c r="AD134" i="17"/>
  <c r="AD131" i="17"/>
  <c r="AD138" i="17"/>
  <c r="AC142" i="17"/>
  <c r="AC143" i="17" s="1"/>
  <c r="AB211" i="13"/>
  <c r="AB206" i="13"/>
  <c r="AB171" i="13"/>
  <c r="AB168" i="13"/>
  <c r="AB166" i="13"/>
  <c r="AB208" i="13"/>
  <c r="AB173" i="13"/>
  <c r="AB213" i="13"/>
  <c r="AB169" i="13"/>
  <c r="AB167" i="13"/>
  <c r="AB209" i="13"/>
  <c r="AB174" i="13"/>
  <c r="AB170" i="13"/>
  <c r="AB214" i="13"/>
  <c r="AB210" i="13"/>
  <c r="AB172" i="13"/>
  <c r="AB212" i="13"/>
  <c r="AB207" i="13"/>
  <c r="Z81" i="6"/>
  <c r="AD6" i="34" s="1"/>
  <c r="AC201" i="13"/>
  <c r="AE202" i="13"/>
  <c r="AB77" i="6"/>
  <c r="AB105" i="6" s="1"/>
  <c r="AB201" i="6" s="1"/>
  <c r="AD197" i="13"/>
  <c r="AA73" i="6"/>
  <c r="AA101" i="6" s="1"/>
  <c r="AA197" i="6" s="1"/>
  <c r="AC78" i="6"/>
  <c r="AC106" i="6" s="1"/>
  <c r="AC202" i="6" s="1"/>
  <c r="AA71" i="6"/>
  <c r="AA99" i="6" s="1"/>
  <c r="AA195" i="6" s="1"/>
  <c r="AC198" i="13"/>
  <c r="AD196" i="13"/>
  <c r="AD199" i="13"/>
  <c r="AE203" i="13"/>
  <c r="AB79" i="6"/>
  <c r="AB107" i="6" s="1"/>
  <c r="AB203" i="6" s="1"/>
  <c r="AB74" i="6"/>
  <c r="AB102" i="6" s="1"/>
  <c r="AB198" i="6" s="1"/>
  <c r="AD200" i="13"/>
  <c r="AB72" i="6"/>
  <c r="AB100" i="6" s="1"/>
  <c r="AB196" i="6" s="1"/>
  <c r="AA76" i="6"/>
  <c r="AA104" i="6" s="1"/>
  <c r="AA200" i="6" s="1"/>
  <c r="AB75" i="6"/>
  <c r="AB103" i="6" s="1"/>
  <c r="AB199" i="6" s="1"/>
  <c r="AD204" i="13"/>
  <c r="AB185" i="13"/>
  <c r="AB175" i="13"/>
  <c r="AD194" i="13"/>
  <c r="AD184" i="13"/>
  <c r="AB195" i="13"/>
  <c r="AD187" i="13"/>
  <c r="AD177" i="13"/>
  <c r="AC181" i="13"/>
  <c r="AC191" i="13"/>
  <c r="AC188" i="13"/>
  <c r="AC178" i="13"/>
  <c r="AD189" i="13"/>
  <c r="AD179" i="13"/>
  <c r="AE182" i="13"/>
  <c r="AE192" i="13"/>
  <c r="AD180" i="13"/>
  <c r="AD190" i="13"/>
  <c r="AD176" i="13"/>
  <c r="AD186" i="13"/>
  <c r="AE193" i="13"/>
  <c r="AE183" i="13"/>
  <c r="S221" i="6"/>
  <c r="S232" i="6"/>
  <c r="S233" i="6"/>
  <c r="S240" i="6" s="1"/>
  <c r="S241" i="6" s="1"/>
  <c r="T230" i="6"/>
  <c r="T228" i="6"/>
  <c r="T229" i="6"/>
  <c r="T227" i="6"/>
  <c r="U230" i="6"/>
  <c r="U228" i="6"/>
  <c r="U229" i="6"/>
  <c r="U227" i="6"/>
  <c r="R231" i="6"/>
  <c r="R220" i="6" s="1"/>
  <c r="R234" i="6" s="1"/>
  <c r="T205" i="6"/>
  <c r="U205" i="6"/>
  <c r="AC20" i="36"/>
  <c r="AA54" i="34" s="1"/>
  <c r="AF18" i="36"/>
  <c r="AD132" i="18"/>
  <c r="AE15" i="36"/>
  <c r="AC129" i="18"/>
  <c r="AD13" i="36"/>
  <c r="AB127" i="18"/>
  <c r="AE17" i="36"/>
  <c r="AC131" i="18"/>
  <c r="AE14" i="36"/>
  <c r="AC128" i="18"/>
  <c r="AE19" i="36"/>
  <c r="AC133" i="18"/>
  <c r="AD11" i="36"/>
  <c r="AB125" i="18"/>
  <c r="AE12" i="36"/>
  <c r="AC126" i="18"/>
  <c r="AD16" i="36"/>
  <c r="AB130" i="18"/>
  <c r="Y31" i="36"/>
  <c r="W65" i="34" s="1"/>
  <c r="Z14" i="34"/>
  <c r="AA6" i="36"/>
  <c r="AA8" i="36" s="1"/>
  <c r="Y53" i="34" s="1"/>
  <c r="AB97" i="17"/>
  <c r="AA7" i="18" s="1"/>
  <c r="Z8" i="36"/>
  <c r="X53" i="34" s="1"/>
  <c r="AA32" i="34"/>
  <c r="AA34" i="34"/>
  <c r="AA24" i="34"/>
  <c r="AA25" i="34"/>
  <c r="AA16" i="34"/>
  <c r="AA31" i="34"/>
  <c r="Z25" i="36"/>
  <c r="Z28" i="36" s="1"/>
  <c r="X64" i="34" s="1"/>
  <c r="AA33" i="34"/>
  <c r="AA37" i="34"/>
  <c r="AA18" i="34"/>
  <c r="AE94" i="17"/>
  <c r="AE162" i="13"/>
  <c r="AE152" i="13"/>
  <c r="AD89" i="17"/>
  <c r="AD157" i="13"/>
  <c r="AD147" i="13"/>
  <c r="AC93" i="17"/>
  <c r="AC151" i="13"/>
  <c r="AC161" i="13"/>
  <c r="AE95" i="17"/>
  <c r="AE163" i="13"/>
  <c r="AE153" i="13"/>
  <c r="AD92" i="17"/>
  <c r="AD160" i="13"/>
  <c r="AD150" i="13"/>
  <c r="AC90" i="17"/>
  <c r="AC158" i="13"/>
  <c r="AC148" i="13"/>
  <c r="AD91" i="17"/>
  <c r="AD159" i="13"/>
  <c r="AD149" i="13"/>
  <c r="AD96" i="17"/>
  <c r="AD164" i="13"/>
  <c r="AD154" i="13"/>
  <c r="AD156" i="13"/>
  <c r="AD146" i="13"/>
  <c r="AC43" i="34"/>
  <c r="AB6" i="36" s="1"/>
  <c r="AA36" i="34"/>
  <c r="AB9" i="34"/>
  <c r="AF23" i="6"/>
  <c r="AE33" i="6"/>
  <c r="AE31" i="6"/>
  <c r="AE29" i="6"/>
  <c r="AE26" i="6"/>
  <c r="AE30" i="6"/>
  <c r="AE28" i="6"/>
  <c r="AE25" i="6"/>
  <c r="AE32" i="6"/>
  <c r="AE27" i="6"/>
  <c r="W215" i="6"/>
  <c r="Y116" i="6"/>
  <c r="Y179" i="6" s="1"/>
  <c r="Y121" i="6"/>
  <c r="Y184" i="6" s="1"/>
  <c r="Y213" i="6" s="1"/>
  <c r="Z118" i="6"/>
  <c r="Z181" i="6" s="1"/>
  <c r="Z120" i="6"/>
  <c r="Z183" i="6" s="1"/>
  <c r="Z119" i="6"/>
  <c r="Z182" i="6" s="1"/>
  <c r="Z122" i="6"/>
  <c r="Z185" i="6" s="1"/>
  <c r="Z212" i="6" s="1"/>
  <c r="Z124" i="6"/>
  <c r="Z187" i="6" s="1"/>
  <c r="Z117" i="6"/>
  <c r="Z180" i="6" s="1"/>
  <c r="AA123" i="6"/>
  <c r="AA186" i="6" s="1"/>
  <c r="X52" i="34"/>
  <c r="AD7" i="34"/>
  <c r="AA123" i="18"/>
  <c r="AC6" i="34"/>
  <c r="AC8" i="34" s="1"/>
  <c r="Z6" i="18"/>
  <c r="Y49" i="34"/>
  <c r="AA7" i="37"/>
  <c r="AA6" i="37" s="1"/>
  <c r="AB155" i="13"/>
  <c r="AB145" i="13"/>
  <c r="AC133" i="6"/>
  <c r="AE63" i="17"/>
  <c r="AC135" i="6"/>
  <c r="AE65" i="17"/>
  <c r="AB137" i="6"/>
  <c r="AD67" i="17"/>
  <c r="V189" i="6"/>
  <c r="V190" i="6" s="1"/>
  <c r="AC71" i="17"/>
  <c r="AC165" i="13" s="1"/>
  <c r="AD139" i="6"/>
  <c r="AF69" i="17"/>
  <c r="AB134" i="6"/>
  <c r="AD64" i="17"/>
  <c r="AB44" i="6"/>
  <c r="AB151" i="6" s="1"/>
  <c r="AB166" i="6" s="1"/>
  <c r="AD88" i="17"/>
  <c r="AC136" i="6"/>
  <c r="AE66" i="17"/>
  <c r="AC140" i="6"/>
  <c r="AE70" i="17"/>
  <c r="AA142" i="6"/>
  <c r="AA143" i="6" s="1"/>
  <c r="X109" i="6"/>
  <c r="X110" i="6" s="1"/>
  <c r="X121" i="6"/>
  <c r="X184" i="6" s="1"/>
  <c r="X213" i="6" s="1"/>
  <c r="Y109" i="6"/>
  <c r="Y110" i="6" s="1"/>
  <c r="AF68" i="17"/>
  <c r="AC138" i="6"/>
  <c r="AC48" i="6"/>
  <c r="AC155" i="6" s="1"/>
  <c r="AB42" i="6"/>
  <c r="AB149" i="6" s="1"/>
  <c r="AB164" i="6" s="1"/>
  <c r="AB173" i="6" s="1"/>
  <c r="AB174" i="6" s="1"/>
  <c r="AB132" i="6"/>
  <c r="AA52" i="6"/>
  <c r="AA53" i="6" s="1"/>
  <c r="AB47" i="6"/>
  <c r="AB154" i="6" s="1"/>
  <c r="AB169" i="6" s="1"/>
  <c r="AD49" i="6"/>
  <c r="AD156" i="6" s="1"/>
  <c r="AD171" i="6" s="1"/>
  <c r="AC43" i="6"/>
  <c r="AC150" i="6" s="1"/>
  <c r="AC165" i="6" s="1"/>
  <c r="AC45" i="6"/>
  <c r="AC152" i="6" s="1"/>
  <c r="AC167" i="6" s="1"/>
  <c r="AC46" i="6"/>
  <c r="AC153" i="6" s="1"/>
  <c r="AC168" i="6" s="1"/>
  <c r="AC50" i="6"/>
  <c r="AC157" i="6" s="1"/>
  <c r="AC172" i="6" s="1"/>
  <c r="AB35" i="6"/>
  <c r="AE62" i="17"/>
  <c r="AB36" i="34" l="1"/>
  <c r="AB17" i="34"/>
  <c r="AB158" i="6"/>
  <c r="AB159" i="6" s="1"/>
  <c r="Y210" i="6"/>
  <c r="Y209" i="6"/>
  <c r="X214" i="6"/>
  <c r="X215" i="6" s="1"/>
  <c r="Z211" i="6"/>
  <c r="Y214" i="6"/>
  <c r="AA404" i="17"/>
  <c r="AA405" i="17" s="1"/>
  <c r="AD248" i="17"/>
  <c r="AB218" i="17"/>
  <c r="AB264" i="17"/>
  <c r="AA263" i="17"/>
  <c r="AA265" i="17"/>
  <c r="AC327" i="17"/>
  <c r="AC328" i="17" s="1"/>
  <c r="AE232" i="17"/>
  <c r="AE233" i="17" s="1"/>
  <c r="AD280" i="17"/>
  <c r="AD281" i="17"/>
  <c r="AD279" i="17"/>
  <c r="AD271" i="17"/>
  <c r="AD276" i="17"/>
  <c r="AD274" i="17"/>
  <c r="AD275" i="17"/>
  <c r="AD278" i="17"/>
  <c r="AD273" i="17"/>
  <c r="AD272" i="17"/>
  <c r="AD277" i="17"/>
  <c r="AD400" i="17"/>
  <c r="AD395" i="17"/>
  <c r="AD398" i="17"/>
  <c r="AD401" i="17"/>
  <c r="AD393" i="17"/>
  <c r="AD396" i="17"/>
  <c r="AD399" i="17"/>
  <c r="AD397" i="17"/>
  <c r="AD391" i="17"/>
  <c r="AD392" i="17"/>
  <c r="AD394" i="17"/>
  <c r="AD295" i="17"/>
  <c r="AD296" i="17"/>
  <c r="AD294" i="17"/>
  <c r="AD286" i="17"/>
  <c r="AD292" i="17"/>
  <c r="AD291" i="17"/>
  <c r="AD289" i="17"/>
  <c r="AD287" i="17"/>
  <c r="AD293" i="17"/>
  <c r="AD290" i="17"/>
  <c r="AD288" i="17"/>
  <c r="AD387" i="17"/>
  <c r="AD388" i="17" s="1"/>
  <c r="AC308" i="17"/>
  <c r="AC311" i="17"/>
  <c r="AC303" i="17"/>
  <c r="AC309" i="17"/>
  <c r="AC301" i="17"/>
  <c r="AC310" i="17"/>
  <c r="AC306" i="17"/>
  <c r="AC302" i="17"/>
  <c r="AC305" i="17"/>
  <c r="AC304" i="17"/>
  <c r="AC307" i="17"/>
  <c r="AD372" i="17"/>
  <c r="AD373" i="17" s="1"/>
  <c r="AC282" i="17"/>
  <c r="AC172" i="17"/>
  <c r="AC173" i="17" s="1"/>
  <c r="AE260" i="17"/>
  <c r="AE261" i="17"/>
  <c r="AE259" i="17"/>
  <c r="AE251" i="17"/>
  <c r="AE255" i="17"/>
  <c r="AE258" i="17"/>
  <c r="AE254" i="17"/>
  <c r="AE252" i="17"/>
  <c r="AD107" i="18" s="1"/>
  <c r="AE256" i="17"/>
  <c r="AE257" i="17"/>
  <c r="AE253" i="17"/>
  <c r="AD170" i="17"/>
  <c r="AD171" i="17"/>
  <c r="AD169" i="17"/>
  <c r="AD161" i="17"/>
  <c r="AD162" i="17"/>
  <c r="AC35" i="18" s="1"/>
  <c r="AD168" i="17"/>
  <c r="AD164" i="17"/>
  <c r="AD166" i="17"/>
  <c r="AD167" i="17"/>
  <c r="AD165" i="17"/>
  <c r="AD163" i="17"/>
  <c r="AD214" i="17"/>
  <c r="AD215" i="17"/>
  <c r="AD216" i="17"/>
  <c r="AD206" i="17"/>
  <c r="AD209" i="17"/>
  <c r="AD212" i="17"/>
  <c r="AD211" i="17"/>
  <c r="AD208" i="17"/>
  <c r="AD210" i="17"/>
  <c r="AD207" i="17"/>
  <c r="AC71" i="18" s="1"/>
  <c r="AD213" i="17"/>
  <c r="AD202" i="17"/>
  <c r="AD203" i="17" s="1"/>
  <c r="AD187" i="17"/>
  <c r="AD188" i="17" s="1"/>
  <c r="AE247" i="17"/>
  <c r="AE368" i="17"/>
  <c r="AE371" i="17"/>
  <c r="AE369" i="17"/>
  <c r="AE365" i="17"/>
  <c r="AE363" i="17"/>
  <c r="AE366" i="17"/>
  <c r="AE361" i="17"/>
  <c r="AE364" i="17"/>
  <c r="AE367" i="17"/>
  <c r="AE370" i="17"/>
  <c r="AE362" i="17"/>
  <c r="AC297" i="17"/>
  <c r="AC298" i="17" s="1"/>
  <c r="AB357" i="17"/>
  <c r="AB358" i="17" s="1"/>
  <c r="AF246" i="17"/>
  <c r="AF244" i="17"/>
  <c r="AF245" i="17"/>
  <c r="AF236" i="17"/>
  <c r="AF241" i="17"/>
  <c r="AF243" i="17"/>
  <c r="AF237" i="17"/>
  <c r="AE95" i="18" s="1"/>
  <c r="AF242" i="17"/>
  <c r="AF240" i="17"/>
  <c r="AF239" i="17"/>
  <c r="AF238" i="17"/>
  <c r="AD339" i="17"/>
  <c r="AD335" i="17"/>
  <c r="AD338" i="17"/>
  <c r="AD340" i="17"/>
  <c r="AD333" i="17"/>
  <c r="AD336" i="17"/>
  <c r="AD331" i="17"/>
  <c r="AD334" i="17"/>
  <c r="AD341" i="17"/>
  <c r="AD337" i="17"/>
  <c r="AD332" i="17"/>
  <c r="AD157" i="17"/>
  <c r="AD158" i="17" s="1"/>
  <c r="AC402" i="17"/>
  <c r="AC403" i="17" s="1"/>
  <c r="AE186" i="17"/>
  <c r="AE184" i="17"/>
  <c r="AE185" i="17"/>
  <c r="AE176" i="17"/>
  <c r="AE178" i="17"/>
  <c r="AE180" i="17"/>
  <c r="AE182" i="17"/>
  <c r="AE181" i="17"/>
  <c r="AE179" i="17"/>
  <c r="AE177" i="17"/>
  <c r="AD47" i="18" s="1"/>
  <c r="AE183" i="17"/>
  <c r="AF231" i="17"/>
  <c r="AF230" i="17"/>
  <c r="AF229" i="17"/>
  <c r="AF221" i="17"/>
  <c r="AF224" i="17"/>
  <c r="AF225" i="17"/>
  <c r="AF228" i="17"/>
  <c r="AF223" i="17"/>
  <c r="AF222" i="17"/>
  <c r="AE83" i="18" s="1"/>
  <c r="AF226" i="17"/>
  <c r="AF227" i="17"/>
  <c r="AC356" i="17"/>
  <c r="AC351" i="17"/>
  <c r="AC354" i="17"/>
  <c r="AC346" i="17"/>
  <c r="AC352" i="17"/>
  <c r="AC348" i="17"/>
  <c r="AC353" i="17"/>
  <c r="AC347" i="17"/>
  <c r="AC350" i="17"/>
  <c r="AC349" i="17"/>
  <c r="AC355" i="17"/>
  <c r="AC217" i="17"/>
  <c r="AE385" i="17"/>
  <c r="AE380" i="17"/>
  <c r="AE383" i="17"/>
  <c r="AE386" i="17"/>
  <c r="AE381" i="17"/>
  <c r="AE377" i="17"/>
  <c r="AE376" i="17"/>
  <c r="AE384" i="17"/>
  <c r="AE379" i="17"/>
  <c r="AE382" i="17"/>
  <c r="AE378" i="17"/>
  <c r="AE199" i="17"/>
  <c r="AE200" i="17"/>
  <c r="AE201" i="17"/>
  <c r="AE191" i="17"/>
  <c r="AE195" i="17"/>
  <c r="AE193" i="17"/>
  <c r="AE194" i="17"/>
  <c r="AE198" i="17"/>
  <c r="AE196" i="17"/>
  <c r="AE192" i="17"/>
  <c r="AD59" i="18" s="1"/>
  <c r="AE197" i="17"/>
  <c r="AE155" i="17"/>
  <c r="AE156" i="17"/>
  <c r="AE154" i="17"/>
  <c r="AE146" i="17"/>
  <c r="AE150" i="17"/>
  <c r="AE153" i="17"/>
  <c r="AE151" i="17"/>
  <c r="AE152" i="17"/>
  <c r="AE148" i="17"/>
  <c r="AE149" i="17"/>
  <c r="AE147" i="17"/>
  <c r="AD23" i="18" s="1"/>
  <c r="AD323" i="17"/>
  <c r="AD324" i="17"/>
  <c r="AD316" i="17"/>
  <c r="AD319" i="17"/>
  <c r="AD322" i="17"/>
  <c r="AD325" i="17"/>
  <c r="AD317" i="17"/>
  <c r="AD320" i="17"/>
  <c r="AD321" i="17"/>
  <c r="AD318" i="17"/>
  <c r="AD326" i="17"/>
  <c r="AC342" i="17"/>
  <c r="AC343" i="17" s="1"/>
  <c r="AB283" i="17"/>
  <c r="AB312" i="17"/>
  <c r="AB313" i="17" s="1"/>
  <c r="AB262" i="17"/>
  <c r="AE138" i="17"/>
  <c r="AE141" i="17"/>
  <c r="AE139" i="17"/>
  <c r="AE135" i="17"/>
  <c r="AE136" i="17"/>
  <c r="AE140" i="17"/>
  <c r="AE133" i="17"/>
  <c r="AE137" i="17"/>
  <c r="AE134" i="17"/>
  <c r="AE131" i="17"/>
  <c r="AE132" i="17"/>
  <c r="AD11" i="18" s="1"/>
  <c r="AD142" i="17"/>
  <c r="AD143" i="17" s="1"/>
  <c r="AC166" i="13"/>
  <c r="AA6" i="18"/>
  <c r="AC171" i="13"/>
  <c r="AC208" i="13"/>
  <c r="AC173" i="13"/>
  <c r="AC213" i="13"/>
  <c r="AC174" i="13"/>
  <c r="AC172" i="13"/>
  <c r="AC212" i="13"/>
  <c r="AC209" i="13"/>
  <c r="AC170" i="13"/>
  <c r="AC169" i="13"/>
  <c r="AC210" i="13"/>
  <c r="AC167" i="13"/>
  <c r="AC207" i="13"/>
  <c r="AC214" i="13"/>
  <c r="AC206" i="13"/>
  <c r="AC211" i="13"/>
  <c r="AC168" i="13"/>
  <c r="AA81" i="6"/>
  <c r="AB6" i="18" s="1"/>
  <c r="AE196" i="13"/>
  <c r="AF202" i="13"/>
  <c r="AB76" i="6"/>
  <c r="AB104" i="6" s="1"/>
  <c r="AB200" i="6" s="1"/>
  <c r="AE200" i="13"/>
  <c r="AE197" i="13"/>
  <c r="AF203" i="13"/>
  <c r="AC79" i="6"/>
  <c r="AC107" i="6" s="1"/>
  <c r="AC203" i="6" s="1"/>
  <c r="AC75" i="6"/>
  <c r="AC103" i="6" s="1"/>
  <c r="AC199" i="6" s="1"/>
  <c r="AB73" i="6"/>
  <c r="AB101" i="6" s="1"/>
  <c r="AB197" i="6" s="1"/>
  <c r="AC74" i="6"/>
  <c r="AC102" i="6" s="1"/>
  <c r="AC198" i="6" s="1"/>
  <c r="AB71" i="6"/>
  <c r="AB99" i="6" s="1"/>
  <c r="AB195" i="6" s="1"/>
  <c r="AE204" i="13"/>
  <c r="AD198" i="13"/>
  <c r="AD201" i="13"/>
  <c r="AD78" i="6"/>
  <c r="AD106" i="6" s="1"/>
  <c r="AD202" i="6" s="1"/>
  <c r="AE199" i="13"/>
  <c r="AC72" i="6"/>
  <c r="AC100" i="6" s="1"/>
  <c r="AC196" i="6" s="1"/>
  <c r="AC77" i="6"/>
  <c r="AC105" i="6" s="1"/>
  <c r="AC201" i="6" s="1"/>
  <c r="AC175" i="13"/>
  <c r="AC185" i="13"/>
  <c r="AE189" i="13"/>
  <c r="AE179" i="13"/>
  <c r="AD191" i="13"/>
  <c r="AD181" i="13"/>
  <c r="AE186" i="13"/>
  <c r="AE176" i="13"/>
  <c r="AF192" i="13"/>
  <c r="AF182" i="13"/>
  <c r="AE194" i="13"/>
  <c r="AE184" i="13"/>
  <c r="AC195" i="13"/>
  <c r="AE190" i="13"/>
  <c r="AE180" i="13"/>
  <c r="AE187" i="13"/>
  <c r="AE177" i="13"/>
  <c r="AD178" i="13"/>
  <c r="AD188" i="13"/>
  <c r="AF193" i="13"/>
  <c r="AF183" i="13"/>
  <c r="T221" i="6"/>
  <c r="U221" i="6"/>
  <c r="S231" i="6"/>
  <c r="S220" i="6" s="1"/>
  <c r="S234" i="6" s="1"/>
  <c r="T232" i="6"/>
  <c r="T233" i="6"/>
  <c r="T240" i="6" s="1"/>
  <c r="T241" i="6" s="1"/>
  <c r="V230" i="6"/>
  <c r="V228" i="6"/>
  <c r="V227" i="6"/>
  <c r="V229" i="6"/>
  <c r="U232" i="6"/>
  <c r="U233" i="6"/>
  <c r="U240" i="6" s="1"/>
  <c r="U241" i="6" s="1"/>
  <c r="V205" i="6"/>
  <c r="Y36" i="36"/>
  <c r="Y12" i="37" s="1"/>
  <c r="AD20" i="36"/>
  <c r="AB54" i="34" s="1"/>
  <c r="AE11" i="36"/>
  <c r="AC125" i="18"/>
  <c r="AE13" i="36"/>
  <c r="AC127" i="18"/>
  <c r="AF17" i="36"/>
  <c r="AD131" i="18"/>
  <c r="AF15" i="36"/>
  <c r="AD129" i="18"/>
  <c r="AE16" i="36"/>
  <c r="AC130" i="18"/>
  <c r="AG18" i="36"/>
  <c r="AE132" i="18"/>
  <c r="AF14" i="36"/>
  <c r="AD128" i="18"/>
  <c r="AF19" i="36"/>
  <c r="AD133" i="18"/>
  <c r="AF12" i="36"/>
  <c r="AD126" i="18"/>
  <c r="AA25" i="36"/>
  <c r="AA28" i="36" s="1"/>
  <c r="Y64" i="34" s="1"/>
  <c r="AA7" i="36"/>
  <c r="Y52" i="34" s="1"/>
  <c r="AA14" i="34"/>
  <c r="AB37" i="34"/>
  <c r="AB32" i="34"/>
  <c r="AB33" i="34"/>
  <c r="AB16" i="34"/>
  <c r="Z31" i="36"/>
  <c r="X65" i="34" s="1"/>
  <c r="AC97" i="17"/>
  <c r="AB7" i="18" s="1"/>
  <c r="Z50" i="34"/>
  <c r="AB7" i="37" s="1"/>
  <c r="AB6" i="37" s="1"/>
  <c r="AD90" i="17"/>
  <c r="AD148" i="13"/>
  <c r="AD158" i="13"/>
  <c r="AE89" i="17"/>
  <c r="AE157" i="13"/>
  <c r="AE147" i="13"/>
  <c r="AE92" i="17"/>
  <c r="AE160" i="13"/>
  <c r="AE150" i="13"/>
  <c r="AD93" i="17"/>
  <c r="AD161" i="13"/>
  <c r="AD151" i="13"/>
  <c r="AE156" i="13"/>
  <c r="AE146" i="13"/>
  <c r="AF94" i="17"/>
  <c r="AF162" i="13"/>
  <c r="AF152" i="13"/>
  <c r="AF95" i="17"/>
  <c r="AF163" i="13"/>
  <c r="AF153" i="13"/>
  <c r="AE91" i="17"/>
  <c r="AE159" i="13"/>
  <c r="AE149" i="13"/>
  <c r="AE96" i="17"/>
  <c r="AE164" i="13"/>
  <c r="AE154" i="13"/>
  <c r="AB18" i="34"/>
  <c r="AB25" i="34"/>
  <c r="AB24" i="34"/>
  <c r="AB31" i="34"/>
  <c r="AB34" i="34"/>
  <c r="AD43" i="34"/>
  <c r="AC6" i="36" s="1"/>
  <c r="AC9" i="34"/>
  <c r="AG23" i="6"/>
  <c r="AF30" i="6"/>
  <c r="AF28" i="6"/>
  <c r="AF25" i="6"/>
  <c r="AF32" i="6"/>
  <c r="AF27" i="6"/>
  <c r="AF33" i="6"/>
  <c r="AF31" i="6"/>
  <c r="AF29" i="6"/>
  <c r="AF26" i="6"/>
  <c r="AA117" i="6"/>
  <c r="AA180" i="6" s="1"/>
  <c r="AA119" i="6"/>
  <c r="AA182" i="6" s="1"/>
  <c r="AA122" i="6"/>
  <c r="AA185" i="6" s="1"/>
  <c r="AA212" i="6" s="1"/>
  <c r="Z121" i="6"/>
  <c r="Z184" i="6" s="1"/>
  <c r="Z213" i="6" s="1"/>
  <c r="AA124" i="6"/>
  <c r="AA187" i="6" s="1"/>
  <c r="AA120" i="6"/>
  <c r="AA183" i="6" s="1"/>
  <c r="AB123" i="6"/>
  <c r="AB186" i="6" s="1"/>
  <c r="AA118" i="6"/>
  <c r="AA181" i="6" s="1"/>
  <c r="AE7" i="34"/>
  <c r="AB123" i="18"/>
  <c r="AD8" i="34"/>
  <c r="AB7" i="36"/>
  <c r="AB8" i="36"/>
  <c r="Z53" i="34" s="1"/>
  <c r="AB25" i="36"/>
  <c r="AB28" i="36" s="1"/>
  <c r="N51" i="34"/>
  <c r="N58" i="34" s="1"/>
  <c r="AC155" i="13"/>
  <c r="AC145" i="13"/>
  <c r="AE139" i="6"/>
  <c r="AG69" i="17"/>
  <c r="AD136" i="6"/>
  <c r="AF66" i="17"/>
  <c r="W189" i="6"/>
  <c r="W190" i="6" s="1"/>
  <c r="AC134" i="6"/>
  <c r="AE64" i="17"/>
  <c r="AC44" i="6"/>
  <c r="AC151" i="6" s="1"/>
  <c r="AC166" i="6" s="1"/>
  <c r="AD71" i="17"/>
  <c r="AD165" i="13" s="1"/>
  <c r="AE88" i="17"/>
  <c r="AD135" i="6"/>
  <c r="AF65" i="17"/>
  <c r="AD140" i="6"/>
  <c r="AF70" i="17"/>
  <c r="AD133" i="6"/>
  <c r="AF63" i="17"/>
  <c r="AC137" i="6"/>
  <c r="AE67" i="17"/>
  <c r="Y126" i="6"/>
  <c r="X126" i="6"/>
  <c r="AB142" i="6"/>
  <c r="AB143" i="6" s="1"/>
  <c r="Z116" i="6"/>
  <c r="Z179" i="6" s="1"/>
  <c r="Z109" i="6"/>
  <c r="Z110" i="6" s="1"/>
  <c r="AC42" i="6"/>
  <c r="AC149" i="6" s="1"/>
  <c r="AC164" i="6" s="1"/>
  <c r="AC132" i="6"/>
  <c r="AG68" i="17"/>
  <c r="AD138" i="6"/>
  <c r="AD48" i="6"/>
  <c r="AD155" i="6" s="1"/>
  <c r="AB52" i="6"/>
  <c r="AB53" i="6" s="1"/>
  <c r="AD43" i="6"/>
  <c r="AD150" i="6" s="1"/>
  <c r="AD165" i="6" s="1"/>
  <c r="AE49" i="6"/>
  <c r="AE156" i="6" s="1"/>
  <c r="AE171" i="6" s="1"/>
  <c r="AD46" i="6"/>
  <c r="AD153" i="6" s="1"/>
  <c r="AD168" i="6" s="1"/>
  <c r="AC47" i="6"/>
  <c r="AC154" i="6" s="1"/>
  <c r="AC169" i="6" s="1"/>
  <c r="AC173" i="6" s="1"/>
  <c r="AC174" i="6" s="1"/>
  <c r="AD50" i="6"/>
  <c r="AD157" i="6" s="1"/>
  <c r="AD172" i="6" s="1"/>
  <c r="AD45" i="6"/>
  <c r="AD152" i="6" s="1"/>
  <c r="AD167" i="6" s="1"/>
  <c r="AC35" i="6"/>
  <c r="AF62" i="17"/>
  <c r="AC36" i="34" l="1"/>
  <c r="AC17" i="34"/>
  <c r="AC158" i="6"/>
  <c r="AC159" i="6" s="1"/>
  <c r="Z210" i="6"/>
  <c r="Z209" i="6"/>
  <c r="Z214" i="6"/>
  <c r="AA211" i="6"/>
  <c r="AB404" i="17"/>
  <c r="AB405" i="17" s="1"/>
  <c r="AC218" i="17"/>
  <c r="AC264" i="17"/>
  <c r="AE248" i="17"/>
  <c r="AE6" i="34"/>
  <c r="AB263" i="17"/>
  <c r="AB265" i="17"/>
  <c r="AF247" i="17"/>
  <c r="AD402" i="17"/>
  <c r="AD403" i="17" s="1"/>
  <c r="AE170" i="17"/>
  <c r="AE171" i="17"/>
  <c r="AE169" i="17"/>
  <c r="AE161" i="17"/>
  <c r="AE162" i="17"/>
  <c r="AD35" i="18" s="1"/>
  <c r="AE164" i="17"/>
  <c r="AE165" i="17"/>
  <c r="AE168" i="17"/>
  <c r="AE167" i="17"/>
  <c r="AE163" i="17"/>
  <c r="AE166" i="17"/>
  <c r="AF371" i="17"/>
  <c r="AF369" i="17"/>
  <c r="AF363" i="17"/>
  <c r="AF368" i="17"/>
  <c r="AF366" i="17"/>
  <c r="AF361" i="17"/>
  <c r="AF364" i="17"/>
  <c r="AF367" i="17"/>
  <c r="AF370" i="17"/>
  <c r="AF362" i="17"/>
  <c r="AF365" i="17"/>
  <c r="AE338" i="17"/>
  <c r="AE340" i="17"/>
  <c r="AE333" i="17"/>
  <c r="AE336" i="17"/>
  <c r="AE331" i="17"/>
  <c r="AE334" i="17"/>
  <c r="AE341" i="17"/>
  <c r="AE337" i="17"/>
  <c r="AE332" i="17"/>
  <c r="AE339" i="17"/>
  <c r="AE335" i="17"/>
  <c r="AE187" i="17"/>
  <c r="AE188" i="17" s="1"/>
  <c r="AG246" i="17"/>
  <c r="AG245" i="17"/>
  <c r="AG244" i="17"/>
  <c r="AG236" i="17"/>
  <c r="AG242" i="17"/>
  <c r="AG237" i="17"/>
  <c r="AF95" i="18" s="1"/>
  <c r="AG241" i="17"/>
  <c r="AG238" i="17"/>
  <c r="AG240" i="17"/>
  <c r="AG239" i="17"/>
  <c r="AG243" i="17"/>
  <c r="AE395" i="17"/>
  <c r="AE398" i="17"/>
  <c r="AE401" i="17"/>
  <c r="AE393" i="17"/>
  <c r="AE396" i="17"/>
  <c r="AE399" i="17"/>
  <c r="AE394" i="17"/>
  <c r="AE397" i="17"/>
  <c r="AE391" i="17"/>
  <c r="AE392" i="17"/>
  <c r="AE400" i="17"/>
  <c r="AD311" i="17"/>
  <c r="AD303" i="17"/>
  <c r="AD306" i="17"/>
  <c r="AD304" i="17"/>
  <c r="AD302" i="17"/>
  <c r="AD309" i="17"/>
  <c r="AD305" i="17"/>
  <c r="AD301" i="17"/>
  <c r="AD308" i="17"/>
  <c r="AD307" i="17"/>
  <c r="AD310" i="17"/>
  <c r="AG229" i="17"/>
  <c r="AG231" i="17"/>
  <c r="AG230" i="17"/>
  <c r="AG221" i="17"/>
  <c r="AG228" i="17"/>
  <c r="AG222" i="17"/>
  <c r="AF83" i="18" s="1"/>
  <c r="AG225" i="17"/>
  <c r="AG224" i="17"/>
  <c r="AG227" i="17"/>
  <c r="AG226" i="17"/>
  <c r="AG223" i="17"/>
  <c r="AE295" i="17"/>
  <c r="AE294" i="17"/>
  <c r="AE296" i="17"/>
  <c r="AE286" i="17"/>
  <c r="AE289" i="17"/>
  <c r="AE287" i="17"/>
  <c r="AE292" i="17"/>
  <c r="AE291" i="17"/>
  <c r="AE290" i="17"/>
  <c r="AE288" i="17"/>
  <c r="AE293" i="17"/>
  <c r="AD327" i="17"/>
  <c r="AD328" i="17" s="1"/>
  <c r="AD342" i="17"/>
  <c r="AD343" i="17" s="1"/>
  <c r="AD172" i="17"/>
  <c r="AD173" i="17" s="1"/>
  <c r="AE326" i="17"/>
  <c r="AE318" i="17"/>
  <c r="AE319" i="17"/>
  <c r="AE322" i="17"/>
  <c r="AE325" i="17"/>
  <c r="AE317" i="17"/>
  <c r="AE320" i="17"/>
  <c r="AE316" i="17"/>
  <c r="AE324" i="17"/>
  <c r="AE321" i="17"/>
  <c r="AE323" i="17"/>
  <c r="AC283" i="17"/>
  <c r="AE215" i="17"/>
  <c r="AE214" i="17"/>
  <c r="AE216" i="17"/>
  <c r="AE206" i="17"/>
  <c r="AE211" i="17"/>
  <c r="AE209" i="17"/>
  <c r="AE212" i="17"/>
  <c r="AE208" i="17"/>
  <c r="AE207" i="17"/>
  <c r="AD71" i="18" s="1"/>
  <c r="AE213" i="17"/>
  <c r="AE210" i="17"/>
  <c r="AE280" i="17"/>
  <c r="AE281" i="17"/>
  <c r="AE279" i="17"/>
  <c r="AE271" i="17"/>
  <c r="AE274" i="17"/>
  <c r="AE276" i="17"/>
  <c r="AE275" i="17"/>
  <c r="AE272" i="17"/>
  <c r="AE278" i="17"/>
  <c r="AE273" i="17"/>
  <c r="AE277" i="17"/>
  <c r="AF156" i="17"/>
  <c r="AF154" i="17"/>
  <c r="AF155" i="17"/>
  <c r="AF146" i="17"/>
  <c r="AF148" i="17"/>
  <c r="AF152" i="17"/>
  <c r="AF147" i="17"/>
  <c r="AE23" i="18" s="1"/>
  <c r="AF151" i="17"/>
  <c r="AF150" i="17"/>
  <c r="AF153" i="17"/>
  <c r="AF149" i="17"/>
  <c r="AF199" i="17"/>
  <c r="AF200" i="17"/>
  <c r="AF201" i="17"/>
  <c r="AF191" i="17"/>
  <c r="AF198" i="17"/>
  <c r="AF195" i="17"/>
  <c r="AF194" i="17"/>
  <c r="AF193" i="17"/>
  <c r="AF192" i="17"/>
  <c r="AE59" i="18" s="1"/>
  <c r="AF196" i="17"/>
  <c r="AF197" i="17"/>
  <c r="AE157" i="17"/>
  <c r="AE158" i="17" s="1"/>
  <c r="AE202" i="17"/>
  <c r="AE203" i="17" s="1"/>
  <c r="AE372" i="17"/>
  <c r="AE373" i="17" s="1"/>
  <c r="AC312" i="17"/>
  <c r="AC313" i="17" s="1"/>
  <c r="AE387" i="17"/>
  <c r="AE388" i="17" s="1"/>
  <c r="AD217" i="17"/>
  <c r="AD282" i="17"/>
  <c r="AF186" i="17"/>
  <c r="AF184" i="17"/>
  <c r="AF185" i="17"/>
  <c r="AF176" i="17"/>
  <c r="AF180" i="17"/>
  <c r="AF182" i="17"/>
  <c r="AF181" i="17"/>
  <c r="AF178" i="17"/>
  <c r="AF177" i="17"/>
  <c r="AE47" i="18" s="1"/>
  <c r="AF183" i="17"/>
  <c r="AF179" i="17"/>
  <c r="AF385" i="17"/>
  <c r="AF383" i="17"/>
  <c r="AF386" i="17"/>
  <c r="AF378" i="17"/>
  <c r="AF384" i="17"/>
  <c r="AF376" i="17"/>
  <c r="AF380" i="17"/>
  <c r="AF379" i="17"/>
  <c r="AF382" i="17"/>
  <c r="AF381" i="17"/>
  <c r="AF377" i="17"/>
  <c r="AF232" i="17"/>
  <c r="AF233" i="17" s="1"/>
  <c r="AD297" i="17"/>
  <c r="AD298" i="17" s="1"/>
  <c r="AF260" i="17"/>
  <c r="AF261" i="17"/>
  <c r="AF259" i="17"/>
  <c r="AF251" i="17"/>
  <c r="AF252" i="17"/>
  <c r="AE107" i="18" s="1"/>
  <c r="AF258" i="17"/>
  <c r="AF255" i="17"/>
  <c r="AF253" i="17"/>
  <c r="AF254" i="17"/>
  <c r="AF256" i="17"/>
  <c r="AF257" i="17"/>
  <c r="AD353" i="17"/>
  <c r="AD356" i="17"/>
  <c r="AD354" i="17"/>
  <c r="AD346" i="17"/>
  <c r="AD349" i="17"/>
  <c r="AD352" i="17"/>
  <c r="AD355" i="17"/>
  <c r="AD347" i="17"/>
  <c r="AD351" i="17"/>
  <c r="AD350" i="17"/>
  <c r="AD348" i="17"/>
  <c r="AC357" i="17"/>
  <c r="AC358" i="17" s="1"/>
  <c r="AE142" i="17"/>
  <c r="AE143" i="17" s="1"/>
  <c r="AC262" i="17"/>
  <c r="AF141" i="17"/>
  <c r="AF133" i="17"/>
  <c r="AF134" i="17"/>
  <c r="AF140" i="17"/>
  <c r="AF136" i="17"/>
  <c r="AF139" i="17"/>
  <c r="AF137" i="17"/>
  <c r="AF131" i="17"/>
  <c r="AF135" i="17"/>
  <c r="AF132" i="17"/>
  <c r="AE11" i="18" s="1"/>
  <c r="AF138" i="17"/>
  <c r="AD262" i="17"/>
  <c r="AD211" i="13"/>
  <c r="AD206" i="13"/>
  <c r="AD171" i="13"/>
  <c r="AD166" i="13"/>
  <c r="AD168" i="13"/>
  <c r="AD208" i="13"/>
  <c r="AD173" i="13"/>
  <c r="AD213" i="13"/>
  <c r="AD170" i="13"/>
  <c r="AD210" i="13"/>
  <c r="AD167" i="13"/>
  <c r="AD207" i="13"/>
  <c r="AD212" i="13"/>
  <c r="AD174" i="13"/>
  <c r="AD172" i="13"/>
  <c r="AD169" i="13"/>
  <c r="AD214" i="13"/>
  <c r="AD209" i="13"/>
  <c r="AE198" i="13"/>
  <c r="AG202" i="13"/>
  <c r="AE201" i="13"/>
  <c r="AC76" i="6"/>
  <c r="AC104" i="6" s="1"/>
  <c r="AC200" i="6" s="1"/>
  <c r="AD75" i="6"/>
  <c r="AD103" i="6" s="1"/>
  <c r="AD199" i="6" s="1"/>
  <c r="AC71" i="6"/>
  <c r="AC99" i="6" s="1"/>
  <c r="AC195" i="6" s="1"/>
  <c r="AE78" i="6"/>
  <c r="AE106" i="6" s="1"/>
  <c r="AE202" i="6" s="1"/>
  <c r="AF196" i="13"/>
  <c r="AF197" i="13"/>
  <c r="AD74" i="6"/>
  <c r="AD102" i="6" s="1"/>
  <c r="AD198" i="6" s="1"/>
  <c r="AD72" i="6"/>
  <c r="AD100" i="6" s="1"/>
  <c r="AD196" i="6" s="1"/>
  <c r="AF200" i="13"/>
  <c r="AF204" i="13"/>
  <c r="AD79" i="6"/>
  <c r="AD107" i="6" s="1"/>
  <c r="AD203" i="6" s="1"/>
  <c r="AD77" i="6"/>
  <c r="AD105" i="6" s="1"/>
  <c r="AD201" i="6" s="1"/>
  <c r="AF199" i="13"/>
  <c r="AC73" i="6"/>
  <c r="AC101" i="6" s="1"/>
  <c r="AC197" i="6" s="1"/>
  <c r="AG203" i="13"/>
  <c r="AD175" i="13"/>
  <c r="AD195" i="13"/>
  <c r="AD185" i="13"/>
  <c r="AG193" i="13"/>
  <c r="AG183" i="13"/>
  <c r="AG192" i="13"/>
  <c r="AG182" i="13"/>
  <c r="AE181" i="13"/>
  <c r="AE191" i="13"/>
  <c r="AE188" i="13"/>
  <c r="AE178" i="13"/>
  <c r="AF179" i="13"/>
  <c r="AF189" i="13"/>
  <c r="AF177" i="13"/>
  <c r="AF187" i="13"/>
  <c r="AF190" i="13"/>
  <c r="AF180" i="13"/>
  <c r="AF194" i="13"/>
  <c r="AF184" i="13"/>
  <c r="AF186" i="13"/>
  <c r="AF176" i="13"/>
  <c r="V221" i="6"/>
  <c r="T231" i="6"/>
  <c r="T220" i="6" s="1"/>
  <c r="T234" i="6" s="1"/>
  <c r="V232" i="6"/>
  <c r="V233" i="6"/>
  <c r="V240" i="6" s="1"/>
  <c r="V241" i="6" s="1"/>
  <c r="W228" i="6"/>
  <c r="W229" i="6"/>
  <c r="W227" i="6"/>
  <c r="W230" i="6"/>
  <c r="U231" i="6"/>
  <c r="U220" i="6" s="1"/>
  <c r="U234" i="6" s="1"/>
  <c r="W205" i="6"/>
  <c r="AA31" i="36"/>
  <c r="Y65" i="34" s="1"/>
  <c r="AE20" i="36"/>
  <c r="AC54" i="34" s="1"/>
  <c r="AG17" i="36"/>
  <c r="AE131" i="18"/>
  <c r="AG14" i="36"/>
  <c r="AE128" i="18"/>
  <c r="AF11" i="36"/>
  <c r="AD125" i="18"/>
  <c r="AF13" i="36"/>
  <c r="AD127" i="18"/>
  <c r="AG12" i="36"/>
  <c r="AE126" i="18"/>
  <c r="AF16" i="36"/>
  <c r="AD130" i="18"/>
  <c r="AG19" i="36"/>
  <c r="AE133" i="18"/>
  <c r="AG15" i="36"/>
  <c r="AE129" i="18"/>
  <c r="AH18" i="36"/>
  <c r="AF132" i="18"/>
  <c r="AC25" i="34"/>
  <c r="AB14" i="34"/>
  <c r="Z36" i="36"/>
  <c r="Z12" i="37" s="1"/>
  <c r="Z49" i="34"/>
  <c r="AA50" i="34"/>
  <c r="AC7" i="37" s="1"/>
  <c r="AC6" i="37" s="1"/>
  <c r="AD97" i="17"/>
  <c r="AC7" i="18" s="1"/>
  <c r="AF89" i="17"/>
  <c r="AF147" i="13"/>
  <c r="AF157" i="13"/>
  <c r="AF96" i="17"/>
  <c r="AF164" i="13"/>
  <c r="AF154" i="13"/>
  <c r="AF92" i="17"/>
  <c r="AF150" i="13"/>
  <c r="AF160" i="13"/>
  <c r="AG95" i="17"/>
  <c r="AG163" i="13"/>
  <c r="AG153" i="13"/>
  <c r="AF91" i="17"/>
  <c r="AF159" i="13"/>
  <c r="AF149" i="13"/>
  <c r="AG94" i="17"/>
  <c r="AG162" i="13"/>
  <c r="AG152" i="13"/>
  <c r="AF156" i="13"/>
  <c r="AF146" i="13"/>
  <c r="AE93" i="17"/>
  <c r="AE161" i="13"/>
  <c r="AE151" i="13"/>
  <c r="AE90" i="17"/>
  <c r="AE148" i="13"/>
  <c r="AE158" i="13"/>
  <c r="AC33" i="34"/>
  <c r="AC18" i="34"/>
  <c r="AC37" i="34"/>
  <c r="AC16" i="34"/>
  <c r="AC24" i="34"/>
  <c r="AC34" i="34"/>
  <c r="AC32" i="34"/>
  <c r="AC31" i="34"/>
  <c r="AE43" i="34"/>
  <c r="AB50" i="34" s="1"/>
  <c r="AD9" i="34"/>
  <c r="AG30" i="6"/>
  <c r="AG28" i="6"/>
  <c r="AG25" i="6"/>
  <c r="AG32" i="6"/>
  <c r="AG27" i="6"/>
  <c r="AG33" i="6"/>
  <c r="AG31" i="6"/>
  <c r="AG29" i="6"/>
  <c r="AG26" i="6"/>
  <c r="Y215" i="6"/>
  <c r="AA121" i="6"/>
  <c r="AA184" i="6" s="1"/>
  <c r="AA213" i="6" s="1"/>
  <c r="AB124" i="6"/>
  <c r="AB187" i="6" s="1"/>
  <c r="AC123" i="6"/>
  <c r="AC186" i="6" s="1"/>
  <c r="AB117" i="6"/>
  <c r="AB180" i="6" s="1"/>
  <c r="AB120" i="6"/>
  <c r="AB183" i="6" s="1"/>
  <c r="AB118" i="6"/>
  <c r="AB181" i="6" s="1"/>
  <c r="AB122" i="6"/>
  <c r="AB185" i="6" s="1"/>
  <c r="AB212" i="6" s="1"/>
  <c r="AB119" i="6"/>
  <c r="AB182" i="6" s="1"/>
  <c r="AE8" i="34"/>
  <c r="AC25" i="36"/>
  <c r="AC28" i="36" s="1"/>
  <c r="AC7" i="36"/>
  <c r="AC8" i="36"/>
  <c r="AA53" i="34" s="1"/>
  <c r="AC123" i="18"/>
  <c r="AF7" i="34"/>
  <c r="AB31" i="36"/>
  <c r="Z65" i="34" s="1"/>
  <c r="Z64" i="34"/>
  <c r="Z52" i="34"/>
  <c r="O51" i="34"/>
  <c r="O58" i="34" s="1"/>
  <c r="AD155" i="13"/>
  <c r="AD145" i="13"/>
  <c r="AD134" i="6"/>
  <c r="AF64" i="17"/>
  <c r="AD44" i="6"/>
  <c r="AD151" i="6" s="1"/>
  <c r="AD166" i="6" s="1"/>
  <c r="AF88" i="17"/>
  <c r="AE133" i="6"/>
  <c r="AG63" i="17"/>
  <c r="AE136" i="6"/>
  <c r="AG66" i="17"/>
  <c r="AE140" i="6"/>
  <c r="AG70" i="17"/>
  <c r="AE135" i="6"/>
  <c r="AG65" i="17"/>
  <c r="AD137" i="6"/>
  <c r="AF67" i="17"/>
  <c r="AF139" i="6"/>
  <c r="AH69" i="17"/>
  <c r="AE71" i="17"/>
  <c r="AE165" i="13" s="1"/>
  <c r="Y189" i="6"/>
  <c r="Y190" i="6" s="1"/>
  <c r="Z126" i="6"/>
  <c r="AC142" i="6"/>
  <c r="AC143" i="6" s="1"/>
  <c r="AA116" i="6"/>
  <c r="AA179" i="6" s="1"/>
  <c r="AA109" i="6"/>
  <c r="AA110" i="6" s="1"/>
  <c r="AH68" i="17"/>
  <c r="AE138" i="6"/>
  <c r="AE48" i="6"/>
  <c r="AE155" i="6" s="1"/>
  <c r="AD42" i="6"/>
  <c r="AD149" i="6" s="1"/>
  <c r="AD164" i="6" s="1"/>
  <c r="AD132" i="6"/>
  <c r="AC52" i="6"/>
  <c r="AC53" i="6" s="1"/>
  <c r="AB81" i="6"/>
  <c r="AE46" i="6"/>
  <c r="AE153" i="6" s="1"/>
  <c r="AE168" i="6" s="1"/>
  <c r="AE45" i="6"/>
  <c r="AE152" i="6" s="1"/>
  <c r="AE167" i="6" s="1"/>
  <c r="AD47" i="6"/>
  <c r="AD154" i="6" s="1"/>
  <c r="AD169" i="6" s="1"/>
  <c r="AF49" i="6"/>
  <c r="AF156" i="6" s="1"/>
  <c r="AF171" i="6" s="1"/>
  <c r="AE50" i="6"/>
  <c r="AE157" i="6" s="1"/>
  <c r="AE172" i="6" s="1"/>
  <c r="AE43" i="6"/>
  <c r="AE150" i="6" s="1"/>
  <c r="AE165" i="6" s="1"/>
  <c r="AD35" i="6"/>
  <c r="AG62" i="17"/>
  <c r="AD173" i="6" l="1"/>
  <c r="AD174" i="6" s="1"/>
  <c r="AD36" i="34"/>
  <c r="AD17" i="34"/>
  <c r="AD158" i="6"/>
  <c r="AD159" i="6" s="1"/>
  <c r="AA210" i="6"/>
  <c r="AA209" i="6"/>
  <c r="AA214" i="6"/>
  <c r="AB211" i="6"/>
  <c r="AC404" i="17"/>
  <c r="AC405" i="17" s="1"/>
  <c r="AF248" i="17"/>
  <c r="AD218" i="17"/>
  <c r="AD264" i="17"/>
  <c r="AD265" i="17" s="1"/>
  <c r="AC263" i="17"/>
  <c r="AC265" i="17"/>
  <c r="AD263" i="17"/>
  <c r="AE327" i="17"/>
  <c r="AE328" i="17" s="1"/>
  <c r="AE172" i="17"/>
  <c r="AE173" i="17" s="1"/>
  <c r="AG184" i="17"/>
  <c r="AG186" i="17"/>
  <c r="AG185" i="17"/>
  <c r="AG176" i="17"/>
  <c r="AG181" i="17"/>
  <c r="AG180" i="17"/>
  <c r="AG178" i="17"/>
  <c r="AG179" i="17"/>
  <c r="AG182" i="17"/>
  <c r="AG183" i="17"/>
  <c r="AG177" i="17"/>
  <c r="AF47" i="18" s="1"/>
  <c r="AE356" i="17"/>
  <c r="AE349" i="17"/>
  <c r="AE352" i="17"/>
  <c r="AE355" i="17"/>
  <c r="AE350" i="17"/>
  <c r="AE353" i="17"/>
  <c r="AE351" i="17"/>
  <c r="AE347" i="17"/>
  <c r="AE346" i="17"/>
  <c r="AE354" i="17"/>
  <c r="AE348" i="17"/>
  <c r="AG366" i="17"/>
  <c r="AG369" i="17"/>
  <c r="AG367" i="17"/>
  <c r="AG363" i="17"/>
  <c r="AG368" i="17"/>
  <c r="AG361" i="17"/>
  <c r="AG364" i="17"/>
  <c r="AG371" i="17"/>
  <c r="AG370" i="17"/>
  <c r="AG362" i="17"/>
  <c r="AG365" i="17"/>
  <c r="AE217" i="17"/>
  <c r="AD312" i="17"/>
  <c r="AD313" i="17" s="1"/>
  <c r="AF372" i="17"/>
  <c r="AF373" i="17" s="1"/>
  <c r="AF157" i="17"/>
  <c r="AF158" i="17" s="1"/>
  <c r="AG260" i="17"/>
  <c r="AG261" i="17"/>
  <c r="AG259" i="17"/>
  <c r="AG251" i="17"/>
  <c r="AG255" i="17"/>
  <c r="AG258" i="17"/>
  <c r="AG254" i="17"/>
  <c r="AG252" i="17"/>
  <c r="AF107" i="18" s="1"/>
  <c r="AG256" i="17"/>
  <c r="AG257" i="17"/>
  <c r="AG253" i="17"/>
  <c r="AF187" i="17"/>
  <c r="AF188" i="17" s="1"/>
  <c r="AF202" i="17"/>
  <c r="AF203" i="17" s="1"/>
  <c r="AE297" i="17"/>
  <c r="AE298" i="17" s="1"/>
  <c r="AE402" i="17"/>
  <c r="AE403" i="17" s="1"/>
  <c r="AG247" i="17"/>
  <c r="AF340" i="17"/>
  <c r="AF341" i="17"/>
  <c r="AF333" i="17"/>
  <c r="AF336" i="17"/>
  <c r="AF331" i="17"/>
  <c r="AF334" i="17"/>
  <c r="AF337" i="17"/>
  <c r="AF332" i="17"/>
  <c r="AF339" i="17"/>
  <c r="AF335" i="17"/>
  <c r="AF338" i="17"/>
  <c r="AF321" i="17"/>
  <c r="AF322" i="17"/>
  <c r="AF325" i="17"/>
  <c r="AF317" i="17"/>
  <c r="AF320" i="17"/>
  <c r="AF323" i="17"/>
  <c r="AF319" i="17"/>
  <c r="AF316" i="17"/>
  <c r="AF324" i="17"/>
  <c r="AF318" i="17"/>
  <c r="AF326" i="17"/>
  <c r="AF398" i="17"/>
  <c r="AF401" i="17"/>
  <c r="AF393" i="17"/>
  <c r="AF396" i="17"/>
  <c r="AF399" i="17"/>
  <c r="AF394" i="17"/>
  <c r="AF397" i="17"/>
  <c r="AF400" i="17"/>
  <c r="AF392" i="17"/>
  <c r="AF391" i="17"/>
  <c r="AF395" i="17"/>
  <c r="AH246" i="17"/>
  <c r="AH244" i="17"/>
  <c r="AH245" i="17"/>
  <c r="AH236" i="17"/>
  <c r="AH241" i="17"/>
  <c r="AH242" i="17"/>
  <c r="AH243" i="17"/>
  <c r="AH237" i="17"/>
  <c r="AG95" i="18" s="1"/>
  <c r="AH240" i="17"/>
  <c r="AH239" i="17"/>
  <c r="AH238" i="17"/>
  <c r="AG156" i="17"/>
  <c r="AG154" i="17"/>
  <c r="AG155" i="17"/>
  <c r="AG150" i="17"/>
  <c r="AG152" i="17"/>
  <c r="AG153" i="17"/>
  <c r="AG151" i="17"/>
  <c r="AG149" i="17"/>
  <c r="AG146" i="17"/>
  <c r="AG147" i="17"/>
  <c r="AF23" i="18" s="1"/>
  <c r="AG148" i="17"/>
  <c r="AD283" i="17"/>
  <c r="AH231" i="17"/>
  <c r="AH229" i="17"/>
  <c r="AH230" i="17"/>
  <c r="AH221" i="17"/>
  <c r="AH225" i="17"/>
  <c r="AH224" i="17"/>
  <c r="AH228" i="17"/>
  <c r="AH223" i="17"/>
  <c r="AH222" i="17"/>
  <c r="AG83" i="18" s="1"/>
  <c r="AH227" i="17"/>
  <c r="AH226" i="17"/>
  <c r="AE306" i="17"/>
  <c r="AE309" i="17"/>
  <c r="AE301" i="17"/>
  <c r="AE307" i="17"/>
  <c r="AE305" i="17"/>
  <c r="AE308" i="17"/>
  <c r="AE304" i="17"/>
  <c r="AE311" i="17"/>
  <c r="AE310" i="17"/>
  <c r="AE303" i="17"/>
  <c r="AE302" i="17"/>
  <c r="AF295" i="17"/>
  <c r="AF294" i="17"/>
  <c r="AF296" i="17"/>
  <c r="AF286" i="17"/>
  <c r="AF291" i="17"/>
  <c r="AF292" i="17"/>
  <c r="AF289" i="17"/>
  <c r="AF287" i="17"/>
  <c r="AF288" i="17"/>
  <c r="AF290" i="17"/>
  <c r="AF293" i="17"/>
  <c r="AF387" i="17"/>
  <c r="AF388" i="17" s="1"/>
  <c r="AE282" i="17"/>
  <c r="AG232" i="17"/>
  <c r="AG233" i="17" s="1"/>
  <c r="AF171" i="17"/>
  <c r="AF169" i="17"/>
  <c r="AF170" i="17"/>
  <c r="AF161" i="17"/>
  <c r="AF164" i="17"/>
  <c r="AF168" i="17"/>
  <c r="AF165" i="17"/>
  <c r="AF162" i="17"/>
  <c r="AE35" i="18" s="1"/>
  <c r="AF167" i="17"/>
  <c r="AF163" i="17"/>
  <c r="AF166" i="17"/>
  <c r="AF215" i="17"/>
  <c r="AF216" i="17"/>
  <c r="AF214" i="17"/>
  <c r="AF206" i="17"/>
  <c r="AF209" i="17"/>
  <c r="AF212" i="17"/>
  <c r="AF208" i="17"/>
  <c r="AF211" i="17"/>
  <c r="AF207" i="17"/>
  <c r="AE71" i="18" s="1"/>
  <c r="AF213" i="17"/>
  <c r="AF210" i="17"/>
  <c r="AG200" i="17"/>
  <c r="AG199" i="17"/>
  <c r="AG201" i="17"/>
  <c r="AG191" i="17"/>
  <c r="AG195" i="17"/>
  <c r="AG196" i="17"/>
  <c r="AG193" i="17"/>
  <c r="AG194" i="17"/>
  <c r="AG198" i="17"/>
  <c r="AG197" i="17"/>
  <c r="AG192" i="17"/>
  <c r="AF59" i="18" s="1"/>
  <c r="AF281" i="17"/>
  <c r="AF279" i="17"/>
  <c r="AF280" i="17"/>
  <c r="AF271" i="17"/>
  <c r="AF275" i="17"/>
  <c r="AF276" i="17"/>
  <c r="AF274" i="17"/>
  <c r="AF273" i="17"/>
  <c r="AF277" i="17"/>
  <c r="AF278" i="17"/>
  <c r="AF272" i="17"/>
  <c r="AG385" i="17"/>
  <c r="AG386" i="17"/>
  <c r="AG378" i="17"/>
  <c r="AG381" i="17"/>
  <c r="AG384" i="17"/>
  <c r="AG379" i="17"/>
  <c r="AG380" i="17"/>
  <c r="AG376" i="17"/>
  <c r="AG382" i="17"/>
  <c r="AG383" i="17"/>
  <c r="AG377" i="17"/>
  <c r="AD357" i="17"/>
  <c r="AD358" i="17" s="1"/>
  <c r="AE342" i="17"/>
  <c r="AE343" i="17" s="1"/>
  <c r="AG136" i="17"/>
  <c r="AG139" i="17"/>
  <c r="AG137" i="17"/>
  <c r="AG140" i="17"/>
  <c r="AG133" i="17"/>
  <c r="AG131" i="17"/>
  <c r="AG138" i="17"/>
  <c r="AG141" i="17"/>
  <c r="AG134" i="17"/>
  <c r="AG132" i="17"/>
  <c r="AF11" i="18" s="1"/>
  <c r="AG135" i="17"/>
  <c r="AF142" i="17"/>
  <c r="AF143" i="17" s="1"/>
  <c r="AE206" i="13"/>
  <c r="AE208" i="13"/>
  <c r="AE168" i="13"/>
  <c r="AE173" i="13"/>
  <c r="AE213" i="13"/>
  <c r="AE174" i="13"/>
  <c r="AE170" i="13"/>
  <c r="AE207" i="13"/>
  <c r="AE214" i="13"/>
  <c r="AE210" i="13"/>
  <c r="AE167" i="13"/>
  <c r="AE169" i="13"/>
  <c r="AE172" i="13"/>
  <c r="AE209" i="13"/>
  <c r="AE212" i="13"/>
  <c r="AE166" i="13"/>
  <c r="AE171" i="13"/>
  <c r="AE211" i="13"/>
  <c r="AG199" i="13"/>
  <c r="AE79" i="6"/>
  <c r="AE107" i="6" s="1"/>
  <c r="AE203" i="6" s="1"/>
  <c r="AG204" i="13"/>
  <c r="AD73" i="6"/>
  <c r="AD101" i="6" s="1"/>
  <c r="AD197" i="6" s="1"/>
  <c r="AE77" i="6"/>
  <c r="AE105" i="6" s="1"/>
  <c r="AE201" i="6" s="1"/>
  <c r="AE74" i="6"/>
  <c r="AE102" i="6" s="1"/>
  <c r="AE198" i="6" s="1"/>
  <c r="AF78" i="6"/>
  <c r="AF106" i="6" s="1"/>
  <c r="AF202" i="6" s="1"/>
  <c r="AD71" i="6"/>
  <c r="AD99" i="6" s="1"/>
  <c r="AD195" i="6" s="1"/>
  <c r="AD76" i="6"/>
  <c r="AD104" i="6" s="1"/>
  <c r="AD200" i="6" s="1"/>
  <c r="AG196" i="13"/>
  <c r="AH203" i="13"/>
  <c r="AG197" i="13"/>
  <c r="AH202" i="13"/>
  <c r="AF198" i="13"/>
  <c r="AE72" i="6"/>
  <c r="AE100" i="6" s="1"/>
  <c r="AE196" i="6" s="1"/>
  <c r="AE75" i="6"/>
  <c r="AE103" i="6" s="1"/>
  <c r="AE199" i="6" s="1"/>
  <c r="AF201" i="13"/>
  <c r="AG200" i="13"/>
  <c r="AE175" i="13"/>
  <c r="AE185" i="13"/>
  <c r="AE195" i="13"/>
  <c r="AG186" i="13"/>
  <c r="AG176" i="13"/>
  <c r="AF181" i="13"/>
  <c r="AF191" i="13"/>
  <c r="AH193" i="13"/>
  <c r="AH183" i="13"/>
  <c r="AG179" i="13"/>
  <c r="AG189" i="13"/>
  <c r="AF178" i="13"/>
  <c r="AF188" i="13"/>
  <c r="AG187" i="13"/>
  <c r="AG177" i="13"/>
  <c r="AH192" i="13"/>
  <c r="AH182" i="13"/>
  <c r="AG190" i="13"/>
  <c r="AG180" i="13"/>
  <c r="AG184" i="13"/>
  <c r="AG194" i="13"/>
  <c r="W221" i="6"/>
  <c r="V231" i="6"/>
  <c r="V220" i="6" s="1"/>
  <c r="V234" i="6" s="1"/>
  <c r="W233" i="6"/>
  <c r="W240" i="6" s="1"/>
  <c r="W241" i="6" s="1"/>
  <c r="W232" i="6"/>
  <c r="Y229" i="6"/>
  <c r="Y227" i="6"/>
  <c r="Y230" i="6"/>
  <c r="Y228" i="6"/>
  <c r="Y205" i="6"/>
  <c r="AA36" i="36"/>
  <c r="AA12" i="37" s="1"/>
  <c r="AF20" i="36"/>
  <c r="AD54" i="34" s="1"/>
  <c r="AG16" i="36"/>
  <c r="AE130" i="18"/>
  <c r="AH15" i="36"/>
  <c r="AF129" i="18"/>
  <c r="AG13" i="36"/>
  <c r="AE127" i="18"/>
  <c r="AH14" i="36"/>
  <c r="AF128" i="18"/>
  <c r="AI18" i="36"/>
  <c r="AG132" i="18"/>
  <c r="AH17" i="36"/>
  <c r="AF131" i="18"/>
  <c r="AG11" i="36"/>
  <c r="AE125" i="18"/>
  <c r="AH19" i="36"/>
  <c r="AF133" i="18"/>
  <c r="AH12" i="36"/>
  <c r="AF126" i="18"/>
  <c r="AA49" i="34"/>
  <c r="AD37" i="34"/>
  <c r="AD31" i="34"/>
  <c r="AD24" i="34"/>
  <c r="AD32" i="34"/>
  <c r="AD16" i="34"/>
  <c r="AE97" i="17"/>
  <c r="AD7" i="18" s="1"/>
  <c r="AD34" i="34"/>
  <c r="AD33" i="34"/>
  <c r="AD18" i="34"/>
  <c r="AD25" i="34"/>
  <c r="AG96" i="17"/>
  <c r="AG154" i="13"/>
  <c r="AG164" i="13"/>
  <c r="AG89" i="17"/>
  <c r="AG147" i="13"/>
  <c r="AG157" i="13"/>
  <c r="AG146" i="13"/>
  <c r="AG156" i="13"/>
  <c r="AH95" i="17"/>
  <c r="AH153" i="13"/>
  <c r="AH163" i="13"/>
  <c r="AF93" i="17"/>
  <c r="AF161" i="13"/>
  <c r="AF151" i="13"/>
  <c r="AG92" i="17"/>
  <c r="AG160" i="13"/>
  <c r="AG150" i="13"/>
  <c r="AF90" i="17"/>
  <c r="AF158" i="13"/>
  <c r="AF148" i="13"/>
  <c r="AH94" i="17"/>
  <c r="AH162" i="13"/>
  <c r="AH152" i="13"/>
  <c r="AG91" i="17"/>
  <c r="AG159" i="13"/>
  <c r="AG149" i="13"/>
  <c r="AC14" i="34"/>
  <c r="AD6" i="36"/>
  <c r="AD8" i="36" s="1"/>
  <c r="AB53" i="34" s="1"/>
  <c r="AE9" i="34"/>
  <c r="AE17" i="34" s="1"/>
  <c r="AF43" i="34"/>
  <c r="AC50" i="34" s="1"/>
  <c r="Z215" i="6"/>
  <c r="AB116" i="6"/>
  <c r="AB179" i="6" s="1"/>
  <c r="AB121" i="6"/>
  <c r="AB184" i="6" s="1"/>
  <c r="AB213" i="6" s="1"/>
  <c r="AD123" i="6"/>
  <c r="AD186" i="6" s="1"/>
  <c r="AC120" i="6"/>
  <c r="AC183" i="6" s="1"/>
  <c r="AC124" i="6"/>
  <c r="AC187" i="6" s="1"/>
  <c r="AC122" i="6"/>
  <c r="AC185" i="6" s="1"/>
  <c r="AC212" i="6" s="1"/>
  <c r="AC119" i="6"/>
  <c r="AC182" i="6" s="1"/>
  <c r="AC117" i="6"/>
  <c r="AC180" i="6" s="1"/>
  <c r="AC118" i="6"/>
  <c r="AC181" i="6" s="1"/>
  <c r="AB36" i="36"/>
  <c r="AB12" i="37" s="1"/>
  <c r="AD7" i="37"/>
  <c r="AD6" i="37" s="1"/>
  <c r="AB49" i="34"/>
  <c r="AA52" i="34"/>
  <c r="AF6" i="34"/>
  <c r="AF8" i="34" s="1"/>
  <c r="AF9" i="34" s="1"/>
  <c r="AF17" i="34" s="1"/>
  <c r="AC6" i="18"/>
  <c r="AA64" i="34"/>
  <c r="AC31" i="36"/>
  <c r="AA65" i="34" s="1"/>
  <c r="AD123" i="18"/>
  <c r="AG7" i="34"/>
  <c r="AE155" i="13"/>
  <c r="AE145" i="13"/>
  <c r="AF133" i="6"/>
  <c r="AH63" i="17"/>
  <c r="AF135" i="6"/>
  <c r="AH65" i="17"/>
  <c r="AF140" i="6"/>
  <c r="AH70" i="17"/>
  <c r="AF71" i="17"/>
  <c r="AF165" i="13" s="1"/>
  <c r="X189" i="6"/>
  <c r="X190" i="6" s="1"/>
  <c r="AF136" i="6"/>
  <c r="AH66" i="17"/>
  <c r="AG139" i="6"/>
  <c r="AI69" i="17"/>
  <c r="AG88" i="17"/>
  <c r="AE137" i="6"/>
  <c r="AG67" i="17"/>
  <c r="AE134" i="6"/>
  <c r="AG64" i="17"/>
  <c r="AE44" i="6"/>
  <c r="AE151" i="6" s="1"/>
  <c r="AE166" i="6" s="1"/>
  <c r="AA126" i="6"/>
  <c r="AD142" i="6"/>
  <c r="AD143" i="6" s="1"/>
  <c r="AE42" i="6"/>
  <c r="AE149" i="6" s="1"/>
  <c r="AE164" i="6" s="1"/>
  <c r="AE132" i="6"/>
  <c r="AI68" i="17"/>
  <c r="AF138" i="6"/>
  <c r="AF48" i="6"/>
  <c r="AF155" i="6" s="1"/>
  <c r="AC81" i="6"/>
  <c r="AD52" i="6"/>
  <c r="AD53" i="6" s="1"/>
  <c r="AF45" i="6"/>
  <c r="AF152" i="6" s="1"/>
  <c r="AF167" i="6" s="1"/>
  <c r="AF43" i="6"/>
  <c r="AF150" i="6" s="1"/>
  <c r="AF165" i="6" s="1"/>
  <c r="AG49" i="6"/>
  <c r="AG156" i="6" s="1"/>
  <c r="AG171" i="6" s="1"/>
  <c r="AF46" i="6"/>
  <c r="AF153" i="6" s="1"/>
  <c r="AF168" i="6" s="1"/>
  <c r="AF50" i="6"/>
  <c r="AF157" i="6" s="1"/>
  <c r="AF172" i="6" s="1"/>
  <c r="AE47" i="6"/>
  <c r="AE154" i="6" s="1"/>
  <c r="AE169" i="6" s="1"/>
  <c r="AE35" i="6"/>
  <c r="AH62" i="17"/>
  <c r="AE173" i="6" l="1"/>
  <c r="AE174" i="6" s="1"/>
  <c r="AE158" i="6"/>
  <c r="AE159" i="6" s="1"/>
  <c r="AC211" i="6"/>
  <c r="AB214" i="6"/>
  <c r="AB210" i="6"/>
  <c r="AB209" i="6"/>
  <c r="AD404" i="17"/>
  <c r="AD405" i="17" s="1"/>
  <c r="AG248" i="17"/>
  <c r="AE218" i="17"/>
  <c r="AE264" i="17"/>
  <c r="AF402" i="17"/>
  <c r="AF403" i="17" s="1"/>
  <c r="AF342" i="17"/>
  <c r="AF343" i="17" s="1"/>
  <c r="AF217" i="17"/>
  <c r="AF297" i="17"/>
  <c r="AF298" i="17" s="1"/>
  <c r="AG340" i="17"/>
  <c r="AG336" i="17"/>
  <c r="AG331" i="17"/>
  <c r="AG334" i="17"/>
  <c r="AG337" i="17"/>
  <c r="AG341" i="17"/>
  <c r="AG332" i="17"/>
  <c r="AG339" i="17"/>
  <c r="AG335" i="17"/>
  <c r="AG338" i="17"/>
  <c r="AG333" i="17"/>
  <c r="AG157" i="17"/>
  <c r="AG158" i="17" s="1"/>
  <c r="AG296" i="17"/>
  <c r="AG295" i="17"/>
  <c r="AG294" i="17"/>
  <c r="AG286" i="17"/>
  <c r="AG289" i="17"/>
  <c r="AG287" i="17"/>
  <c r="AG292" i="17"/>
  <c r="AG291" i="17"/>
  <c r="AG290" i="17"/>
  <c r="AG293" i="17"/>
  <c r="AG288" i="17"/>
  <c r="AG387" i="17"/>
  <c r="AG388" i="17" s="1"/>
  <c r="AH369" i="17"/>
  <c r="AH370" i="17"/>
  <c r="AH368" i="17"/>
  <c r="AH361" i="17"/>
  <c r="AH366" i="17"/>
  <c r="AH364" i="17"/>
  <c r="AH371" i="17"/>
  <c r="AH367" i="17"/>
  <c r="AH362" i="17"/>
  <c r="AH365" i="17"/>
  <c r="AH363" i="17"/>
  <c r="AE283" i="17"/>
  <c r="AE312" i="17"/>
  <c r="AE313" i="17" s="1"/>
  <c r="AG372" i="17"/>
  <c r="AG373" i="17" s="1"/>
  <c r="AE357" i="17"/>
  <c r="AE358" i="17" s="1"/>
  <c r="AG187" i="17"/>
  <c r="AG188" i="17" s="1"/>
  <c r="AI246" i="17"/>
  <c r="AI245" i="17"/>
  <c r="AI244" i="17"/>
  <c r="AI236" i="17"/>
  <c r="AI243" i="17"/>
  <c r="AI242" i="17"/>
  <c r="AI237" i="17"/>
  <c r="AH95" i="18" s="1"/>
  <c r="AI241" i="17"/>
  <c r="AI238" i="17"/>
  <c r="AI240" i="17"/>
  <c r="AI239" i="17"/>
  <c r="AH200" i="17"/>
  <c r="AH201" i="17"/>
  <c r="AH199" i="17"/>
  <c r="AH191" i="17"/>
  <c r="AH198" i="17"/>
  <c r="AH194" i="17"/>
  <c r="AH195" i="17"/>
  <c r="AH193" i="17"/>
  <c r="AH192" i="17"/>
  <c r="AG59" i="18" s="1"/>
  <c r="AH196" i="17"/>
  <c r="AH197" i="17"/>
  <c r="AH184" i="17"/>
  <c r="AH185" i="17"/>
  <c r="AH186" i="17"/>
  <c r="AH176" i="17"/>
  <c r="AH182" i="17"/>
  <c r="AH178" i="17"/>
  <c r="AH180" i="17"/>
  <c r="AH181" i="17"/>
  <c r="AH183" i="17"/>
  <c r="AH179" i="17"/>
  <c r="AH177" i="17"/>
  <c r="AG47" i="18" s="1"/>
  <c r="AF352" i="17"/>
  <c r="AF355" i="17"/>
  <c r="AF347" i="17"/>
  <c r="AF353" i="17"/>
  <c r="AF350" i="17"/>
  <c r="AF346" i="17"/>
  <c r="AF356" i="17"/>
  <c r="AF349" i="17"/>
  <c r="AF354" i="17"/>
  <c r="AF348" i="17"/>
  <c r="AF351" i="17"/>
  <c r="AF282" i="17"/>
  <c r="AF172" i="17"/>
  <c r="AF173" i="17" s="1"/>
  <c r="AG171" i="17"/>
  <c r="AG169" i="17"/>
  <c r="AG170" i="17"/>
  <c r="AG161" i="17"/>
  <c r="AG165" i="17"/>
  <c r="AG162" i="17"/>
  <c r="AF35" i="18" s="1"/>
  <c r="AG164" i="17"/>
  <c r="AG168" i="17"/>
  <c r="AG167" i="17"/>
  <c r="AG166" i="17"/>
  <c r="AG163" i="17"/>
  <c r="AH261" i="17"/>
  <c r="AH259" i="17"/>
  <c r="AH260" i="17"/>
  <c r="AH251" i="17"/>
  <c r="AH252" i="17"/>
  <c r="AG107" i="18" s="1"/>
  <c r="AH258" i="17"/>
  <c r="AH255" i="17"/>
  <c r="AH253" i="17"/>
  <c r="AH257" i="17"/>
  <c r="AH256" i="17"/>
  <c r="AH254" i="17"/>
  <c r="AG324" i="17"/>
  <c r="AG316" i="17"/>
  <c r="AG325" i="17"/>
  <c r="AG317" i="17"/>
  <c r="AG320" i="17"/>
  <c r="AG323" i="17"/>
  <c r="AG326" i="17"/>
  <c r="AG318" i="17"/>
  <c r="AG322" i="17"/>
  <c r="AG319" i="17"/>
  <c r="AG321" i="17"/>
  <c r="AG401" i="17"/>
  <c r="AG393" i="17"/>
  <c r="AG396" i="17"/>
  <c r="AG399" i="17"/>
  <c r="AG394" i="17"/>
  <c r="AG397" i="17"/>
  <c r="AG400" i="17"/>
  <c r="AG392" i="17"/>
  <c r="AG398" i="17"/>
  <c r="AG395" i="17"/>
  <c r="AG391" i="17"/>
  <c r="AH232" i="17"/>
  <c r="AH233" i="17" s="1"/>
  <c r="AG215" i="17"/>
  <c r="AG216" i="17"/>
  <c r="AG214" i="17"/>
  <c r="AG206" i="17"/>
  <c r="AG209" i="17"/>
  <c r="AG211" i="17"/>
  <c r="AG212" i="17"/>
  <c r="AG208" i="17"/>
  <c r="AG207" i="17"/>
  <c r="AF71" i="18" s="1"/>
  <c r="AG213" i="17"/>
  <c r="AG210" i="17"/>
  <c r="AG281" i="17"/>
  <c r="AG279" i="17"/>
  <c r="AG280" i="17"/>
  <c r="AG271" i="17"/>
  <c r="AG276" i="17"/>
  <c r="AG275" i="17"/>
  <c r="AG274" i="17"/>
  <c r="AG277" i="17"/>
  <c r="AG273" i="17"/>
  <c r="AG272" i="17"/>
  <c r="AG278" i="17"/>
  <c r="AH386" i="17"/>
  <c r="AH381" i="17"/>
  <c r="AH384" i="17"/>
  <c r="AH376" i="17"/>
  <c r="AH382" i="17"/>
  <c r="AH379" i="17"/>
  <c r="AH383" i="17"/>
  <c r="AH378" i="17"/>
  <c r="AH377" i="17"/>
  <c r="AH385" i="17"/>
  <c r="AH380" i="17"/>
  <c r="AH156" i="17"/>
  <c r="AH154" i="17"/>
  <c r="AH155" i="17"/>
  <c r="AH146" i="17"/>
  <c r="AH148" i="17"/>
  <c r="AH151" i="17"/>
  <c r="AH150" i="17"/>
  <c r="AH152" i="17"/>
  <c r="AH153" i="17"/>
  <c r="AH147" i="17"/>
  <c r="AG23" i="18" s="1"/>
  <c r="AH149" i="17"/>
  <c r="AF309" i="17"/>
  <c r="AF301" i="17"/>
  <c r="AF304" i="17"/>
  <c r="AF310" i="17"/>
  <c r="AF302" i="17"/>
  <c r="AF305" i="17"/>
  <c r="AF308" i="17"/>
  <c r="AF311" i="17"/>
  <c r="AF307" i="17"/>
  <c r="AF303" i="17"/>
  <c r="AF306" i="17"/>
  <c r="AG202" i="17"/>
  <c r="AG203" i="17" s="1"/>
  <c r="AF327" i="17"/>
  <c r="AF328" i="17" s="1"/>
  <c r="AI231" i="17"/>
  <c r="AI230" i="17"/>
  <c r="AI229" i="17"/>
  <c r="AI221" i="17"/>
  <c r="AI228" i="17"/>
  <c r="AI222" i="17"/>
  <c r="AH83" i="18" s="1"/>
  <c r="AI225" i="17"/>
  <c r="AI224" i="17"/>
  <c r="AI227" i="17"/>
  <c r="AI226" i="17"/>
  <c r="AI223" i="17"/>
  <c r="AH247" i="17"/>
  <c r="AE262" i="17"/>
  <c r="AG142" i="17"/>
  <c r="AG143" i="17" s="1"/>
  <c r="AH139" i="17"/>
  <c r="AH140" i="17"/>
  <c r="AH136" i="17"/>
  <c r="AH133" i="17"/>
  <c r="AH131" i="17"/>
  <c r="AH137" i="17"/>
  <c r="AH134" i="17"/>
  <c r="AH132" i="17"/>
  <c r="AG11" i="18" s="1"/>
  <c r="AH138" i="17"/>
  <c r="AH135" i="17"/>
  <c r="AH141" i="17"/>
  <c r="AF206" i="13"/>
  <c r="AF171" i="13"/>
  <c r="AF173" i="13"/>
  <c r="AF213" i="13"/>
  <c r="AF170" i="13"/>
  <c r="AF167" i="13"/>
  <c r="AF174" i="13"/>
  <c r="AF210" i="13"/>
  <c r="AF207" i="13"/>
  <c r="AF214" i="13"/>
  <c r="AF172" i="13"/>
  <c r="AF212" i="13"/>
  <c r="AF169" i="13"/>
  <c r="AF209" i="13"/>
  <c r="AF166" i="13"/>
  <c r="AF208" i="13"/>
  <c r="AF168" i="13"/>
  <c r="AF211" i="13"/>
  <c r="AD81" i="6"/>
  <c r="AH6" i="34" s="1"/>
  <c r="AI202" i="13"/>
  <c r="AF74" i="6"/>
  <c r="AF102" i="6" s="1"/>
  <c r="AF198" i="6" s="1"/>
  <c r="AH197" i="13"/>
  <c r="AE76" i="6"/>
  <c r="AE104" i="6" s="1"/>
  <c r="AE200" i="6" s="1"/>
  <c r="AF79" i="6"/>
  <c r="AF107" i="6" s="1"/>
  <c r="AF203" i="6" s="1"/>
  <c r="AG78" i="6"/>
  <c r="AG106" i="6" s="1"/>
  <c r="E157" i="69" s="1"/>
  <c r="G157" i="69" s="1"/>
  <c r="AE73" i="6"/>
  <c r="AE101" i="6" s="1"/>
  <c r="AE197" i="6" s="1"/>
  <c r="AI203" i="13"/>
  <c r="AG201" i="13"/>
  <c r="AE71" i="6"/>
  <c r="AE99" i="6" s="1"/>
  <c r="AE195" i="6" s="1"/>
  <c r="AF75" i="6"/>
  <c r="AF103" i="6" s="1"/>
  <c r="AF199" i="6" s="1"/>
  <c r="AF77" i="6"/>
  <c r="AF105" i="6" s="1"/>
  <c r="AF201" i="6" s="1"/>
  <c r="AG198" i="13"/>
  <c r="AH204" i="13"/>
  <c r="AH196" i="13"/>
  <c r="AF72" i="6"/>
  <c r="AF100" i="6" s="1"/>
  <c r="AF196" i="6" s="1"/>
  <c r="AH200" i="13"/>
  <c r="AH199" i="13"/>
  <c r="AF195" i="13"/>
  <c r="AF185" i="13"/>
  <c r="AF175" i="13"/>
  <c r="AI192" i="13"/>
  <c r="AI182" i="13"/>
  <c r="AG188" i="13"/>
  <c r="AG178" i="13"/>
  <c r="AG191" i="13"/>
  <c r="AG181" i="13"/>
  <c r="AH190" i="13"/>
  <c r="AH180" i="13"/>
  <c r="AH187" i="13"/>
  <c r="AH177" i="13"/>
  <c r="AH194" i="13"/>
  <c r="AH184" i="13"/>
  <c r="AH176" i="13"/>
  <c r="AH186" i="13"/>
  <c r="AH189" i="13"/>
  <c r="AH179" i="13"/>
  <c r="AI193" i="13"/>
  <c r="AI183" i="13"/>
  <c r="Y221" i="6"/>
  <c r="W231" i="6"/>
  <c r="W220" i="6" s="1"/>
  <c r="W234" i="6" s="1"/>
  <c r="X229" i="6"/>
  <c r="X227" i="6"/>
  <c r="X230" i="6"/>
  <c r="X228" i="6"/>
  <c r="Y232" i="6"/>
  <c r="Y233" i="6"/>
  <c r="Y240" i="6" s="1"/>
  <c r="Y241" i="6" s="1"/>
  <c r="X205" i="6"/>
  <c r="AG20" i="36"/>
  <c r="AE54" i="34" s="1"/>
  <c r="AI15" i="36"/>
  <c r="AG129" i="18"/>
  <c r="AI17" i="36"/>
  <c r="AG131" i="18"/>
  <c r="AI19" i="36"/>
  <c r="AG133" i="18"/>
  <c r="AI12" i="36"/>
  <c r="AG126" i="18"/>
  <c r="AH13" i="36"/>
  <c r="AF127" i="18"/>
  <c r="AJ18" i="36"/>
  <c r="AH132" i="18"/>
  <c r="AI14" i="36"/>
  <c r="AG128" i="18"/>
  <c r="AH11" i="36"/>
  <c r="AF125" i="18"/>
  <c r="AH16" i="36"/>
  <c r="AF130" i="18"/>
  <c r="AE6" i="36"/>
  <c r="AE7" i="36" s="1"/>
  <c r="AD25" i="36"/>
  <c r="AD28" i="36" s="1"/>
  <c r="AB64" i="34" s="1"/>
  <c r="AD7" i="36"/>
  <c r="AB52" i="34" s="1"/>
  <c r="AE32" i="34"/>
  <c r="AD14" i="34"/>
  <c r="AE18" i="34"/>
  <c r="AE36" i="34"/>
  <c r="AE31" i="34"/>
  <c r="AE33" i="34"/>
  <c r="AE37" i="34"/>
  <c r="AE16" i="34"/>
  <c r="AF97" i="17"/>
  <c r="AE7" i="18" s="1"/>
  <c r="AE34" i="34"/>
  <c r="AE25" i="34"/>
  <c r="AE24" i="34"/>
  <c r="AG90" i="17"/>
  <c r="AG158" i="13"/>
  <c r="AG148" i="13"/>
  <c r="AH96" i="17"/>
  <c r="AH154" i="13"/>
  <c r="AH164" i="13"/>
  <c r="AH146" i="13"/>
  <c r="AH156" i="13"/>
  <c r="AG93" i="17"/>
  <c r="AG161" i="13"/>
  <c r="AG151" i="13"/>
  <c r="AH91" i="17"/>
  <c r="AH149" i="13"/>
  <c r="AH159" i="13"/>
  <c r="AI95" i="17"/>
  <c r="AI163" i="13"/>
  <c r="E163" i="13" s="1"/>
  <c r="AI153" i="13"/>
  <c r="E153" i="13" s="1"/>
  <c r="AH89" i="17"/>
  <c r="AH147" i="13"/>
  <c r="AH157" i="13"/>
  <c r="AH92" i="17"/>
  <c r="AH150" i="13"/>
  <c r="AH160" i="13"/>
  <c r="AI94" i="17"/>
  <c r="AI152" i="13"/>
  <c r="E152" i="13" s="1"/>
  <c r="AI162" i="13"/>
  <c r="E162" i="13" s="1"/>
  <c r="AF36" i="34"/>
  <c r="AG43" i="34"/>
  <c r="AD50" i="34" s="1"/>
  <c r="AA215" i="6"/>
  <c r="AD122" i="6"/>
  <c r="AD185" i="6" s="1"/>
  <c r="AD212" i="6" s="1"/>
  <c r="AC116" i="6"/>
  <c r="AC179" i="6" s="1"/>
  <c r="AD118" i="6"/>
  <c r="AD181" i="6" s="1"/>
  <c r="AD124" i="6"/>
  <c r="AD187" i="6" s="1"/>
  <c r="AD119" i="6"/>
  <c r="AD182" i="6" s="1"/>
  <c r="AD120" i="6"/>
  <c r="AD183" i="6" s="1"/>
  <c r="AE123" i="6"/>
  <c r="AE186" i="6" s="1"/>
  <c r="AD117" i="6"/>
  <c r="AD180" i="6" s="1"/>
  <c r="AC121" i="6"/>
  <c r="AC184" i="6" s="1"/>
  <c r="AC213" i="6" s="1"/>
  <c r="AF37" i="34"/>
  <c r="AC36" i="36"/>
  <c r="AC12" i="37" s="1"/>
  <c r="AG6" i="34"/>
  <c r="AG8" i="34" s="1"/>
  <c r="AG9" i="34" s="1"/>
  <c r="AG17" i="34" s="1"/>
  <c r="AD6" i="18"/>
  <c r="AE123" i="18"/>
  <c r="AH7" i="34"/>
  <c r="AE7" i="37"/>
  <c r="AE6" i="37" s="1"/>
  <c r="AC49" i="34"/>
  <c r="AF34" i="34"/>
  <c r="AF16" i="34"/>
  <c r="AF18" i="34"/>
  <c r="AF24" i="34"/>
  <c r="AF33" i="34"/>
  <c r="AF25" i="34"/>
  <c r="AF32" i="34"/>
  <c r="AF31" i="34"/>
  <c r="P51" i="34"/>
  <c r="P58" i="34" s="1"/>
  <c r="AF155" i="13"/>
  <c r="AF145" i="13"/>
  <c r="AF137" i="6"/>
  <c r="AH67" i="17"/>
  <c r="AG133" i="6"/>
  <c r="AI63" i="17"/>
  <c r="AF134" i="6"/>
  <c r="AH64" i="17"/>
  <c r="AF44" i="6"/>
  <c r="AF151" i="6" s="1"/>
  <c r="AF166" i="6" s="1"/>
  <c r="Z189" i="6"/>
  <c r="Z190" i="6" s="1"/>
  <c r="AG136" i="6"/>
  <c r="AI66" i="17"/>
  <c r="AH88" i="17"/>
  <c r="AG135" i="6"/>
  <c r="AI65" i="17"/>
  <c r="AG71" i="17"/>
  <c r="AG165" i="13" s="1"/>
  <c r="AG140" i="6"/>
  <c r="AI70" i="17"/>
  <c r="AE142" i="6"/>
  <c r="AE143" i="6" s="1"/>
  <c r="AB109" i="6"/>
  <c r="AB110" i="6" s="1"/>
  <c r="AG138" i="6"/>
  <c r="AG48" i="6"/>
  <c r="AG155" i="6" s="1"/>
  <c r="AF42" i="6"/>
  <c r="AF149" i="6" s="1"/>
  <c r="AF164" i="6" s="1"/>
  <c r="AF173" i="6" s="1"/>
  <c r="AF174" i="6" s="1"/>
  <c r="AF132" i="6"/>
  <c r="AE52" i="6"/>
  <c r="AE53" i="6" s="1"/>
  <c r="AG43" i="6"/>
  <c r="AG150" i="6" s="1"/>
  <c r="AG165" i="6" s="1"/>
  <c r="AG50" i="6"/>
  <c r="AG157" i="6" s="1"/>
  <c r="AG172" i="6" s="1"/>
  <c r="AG46" i="6"/>
  <c r="AG153" i="6" s="1"/>
  <c r="AG168" i="6" s="1"/>
  <c r="AF47" i="6"/>
  <c r="AF154" i="6" s="1"/>
  <c r="AF169" i="6" s="1"/>
  <c r="AG45" i="6"/>
  <c r="AG152" i="6" s="1"/>
  <c r="AG167" i="6" s="1"/>
  <c r="AF35" i="6"/>
  <c r="AI62" i="17"/>
  <c r="AF158" i="6" l="1"/>
  <c r="AF159" i="6" s="1"/>
  <c r="AG202" i="6"/>
  <c r="AC214" i="6"/>
  <c r="AD211" i="6"/>
  <c r="AC209" i="6"/>
  <c r="AC210" i="6"/>
  <c r="AE404" i="17"/>
  <c r="AE405" i="17" s="1"/>
  <c r="AF218" i="17"/>
  <c r="AF264" i="17"/>
  <c r="AH248" i="17"/>
  <c r="AH202" i="17"/>
  <c r="AH203" i="17" s="1"/>
  <c r="AE263" i="17"/>
  <c r="AE265" i="17"/>
  <c r="AH216" i="17"/>
  <c r="AH214" i="17"/>
  <c r="AH215" i="17"/>
  <c r="AH206" i="17"/>
  <c r="AH208" i="17"/>
  <c r="AH209" i="17"/>
  <c r="AH211" i="17"/>
  <c r="AH207" i="17"/>
  <c r="AG71" i="18" s="1"/>
  <c r="AH213" i="17"/>
  <c r="AH210" i="17"/>
  <c r="AH212" i="17"/>
  <c r="AH296" i="17"/>
  <c r="AH294" i="17"/>
  <c r="AH295" i="17"/>
  <c r="AH286" i="17"/>
  <c r="AH292" i="17"/>
  <c r="AH289" i="17"/>
  <c r="AH287" i="17"/>
  <c r="AH291" i="17"/>
  <c r="AH288" i="17"/>
  <c r="AH290" i="17"/>
  <c r="AH293" i="17"/>
  <c r="AG217" i="17"/>
  <c r="AG354" i="17"/>
  <c r="AG355" i="17"/>
  <c r="AG347" i="17"/>
  <c r="AG350" i="17"/>
  <c r="AG353" i="17"/>
  <c r="AG356" i="17"/>
  <c r="AG348" i="17"/>
  <c r="AG346" i="17"/>
  <c r="AG352" i="17"/>
  <c r="AG349" i="17"/>
  <c r="AG351" i="17"/>
  <c r="AF283" i="17"/>
  <c r="AI383" i="17"/>
  <c r="AI386" i="17"/>
  <c r="AI384" i="17"/>
  <c r="AI376" i="17"/>
  <c r="AI379" i="17"/>
  <c r="AI385" i="17"/>
  <c r="AI377" i="17"/>
  <c r="AI382" i="17"/>
  <c r="AI378" i="17"/>
  <c r="AI381" i="17"/>
  <c r="AI380" i="17"/>
  <c r="AF312" i="17"/>
  <c r="AF313" i="17" s="1"/>
  <c r="AG327" i="17"/>
  <c r="AG328" i="17" s="1"/>
  <c r="AH372" i="17"/>
  <c r="AH373" i="17" s="1"/>
  <c r="AI261" i="17"/>
  <c r="AI259" i="17"/>
  <c r="AI260" i="17"/>
  <c r="AI251" i="17"/>
  <c r="AI255" i="17"/>
  <c r="AI254" i="17"/>
  <c r="AI252" i="17"/>
  <c r="AH107" i="18" s="1"/>
  <c r="AI258" i="17"/>
  <c r="AI257" i="17"/>
  <c r="AI256" i="17"/>
  <c r="AI253" i="17"/>
  <c r="AH171" i="17"/>
  <c r="AH169" i="17"/>
  <c r="AH170" i="17"/>
  <c r="AH161" i="17"/>
  <c r="AH165" i="17"/>
  <c r="AH162" i="17"/>
  <c r="AG35" i="18" s="1"/>
  <c r="AH164" i="17"/>
  <c r="AH168" i="17"/>
  <c r="AH166" i="17"/>
  <c r="AH167" i="17"/>
  <c r="AH163" i="17"/>
  <c r="AI368" i="17"/>
  <c r="AI361" i="17"/>
  <c r="AI366" i="17"/>
  <c r="AI364" i="17"/>
  <c r="AI371" i="17"/>
  <c r="AI367" i="17"/>
  <c r="AI362" i="17"/>
  <c r="AI370" i="17"/>
  <c r="AI365" i="17"/>
  <c r="AI363" i="17"/>
  <c r="AI369" i="17"/>
  <c r="AH157" i="17"/>
  <c r="AH158" i="17" s="1"/>
  <c r="AH387" i="17"/>
  <c r="AH388" i="17" s="1"/>
  <c r="AG172" i="17"/>
  <c r="AG173" i="17" s="1"/>
  <c r="AG304" i="17"/>
  <c r="AG307" i="17"/>
  <c r="AG305" i="17"/>
  <c r="AG309" i="17"/>
  <c r="AG308" i="17"/>
  <c r="AG301" i="17"/>
  <c r="AG311" i="17"/>
  <c r="AG303" i="17"/>
  <c r="AG310" i="17"/>
  <c r="AG306" i="17"/>
  <c r="AG302" i="17"/>
  <c r="AH187" i="17"/>
  <c r="AH188" i="17" s="1"/>
  <c r="AG297" i="17"/>
  <c r="AG298" i="17" s="1"/>
  <c r="AH319" i="17"/>
  <c r="AH320" i="17"/>
  <c r="AH323" i="17"/>
  <c r="AH326" i="17"/>
  <c r="AH318" i="17"/>
  <c r="AH321" i="17"/>
  <c r="AH317" i="17"/>
  <c r="AH325" i="17"/>
  <c r="AH322" i="17"/>
  <c r="AH316" i="17"/>
  <c r="AH324" i="17"/>
  <c r="AH396" i="17"/>
  <c r="AH399" i="17"/>
  <c r="AH394" i="17"/>
  <c r="AH397" i="17"/>
  <c r="AH400" i="17"/>
  <c r="AH395" i="17"/>
  <c r="AH398" i="17"/>
  <c r="AH392" i="17"/>
  <c r="AH401" i="17"/>
  <c r="AH393" i="17"/>
  <c r="AH391" i="17"/>
  <c r="AG342" i="17"/>
  <c r="AG343" i="17" s="1"/>
  <c r="AH281" i="17"/>
  <c r="AH279" i="17"/>
  <c r="AH280" i="17"/>
  <c r="AH271" i="17"/>
  <c r="AH276" i="17"/>
  <c r="AH274" i="17"/>
  <c r="AH272" i="17"/>
  <c r="AH273" i="17"/>
  <c r="AH277" i="17"/>
  <c r="AH278" i="17"/>
  <c r="AH275" i="17"/>
  <c r="AI154" i="17"/>
  <c r="AI155" i="17"/>
  <c r="AI156" i="17"/>
  <c r="AI152" i="17"/>
  <c r="AI153" i="17"/>
  <c r="AI151" i="17"/>
  <c r="AI149" i="17"/>
  <c r="AI147" i="17"/>
  <c r="AH23" i="18" s="1"/>
  <c r="AI148" i="17"/>
  <c r="AI146" i="17"/>
  <c r="AI150" i="17"/>
  <c r="AH341" i="17"/>
  <c r="AH339" i="17"/>
  <c r="AH331" i="17"/>
  <c r="AH334" i="17"/>
  <c r="AH337" i="17"/>
  <c r="AH332" i="17"/>
  <c r="AH335" i="17"/>
  <c r="AH338" i="17"/>
  <c r="AH333" i="17"/>
  <c r="AH336" i="17"/>
  <c r="AH340" i="17"/>
  <c r="AG282" i="17"/>
  <c r="AG402" i="17"/>
  <c r="AG403" i="17" s="1"/>
  <c r="AI185" i="17"/>
  <c r="AI184" i="17"/>
  <c r="AI186" i="17"/>
  <c r="AI176" i="17"/>
  <c r="AI180" i="17"/>
  <c r="AI181" i="17"/>
  <c r="AI182" i="17"/>
  <c r="AI178" i="17"/>
  <c r="AI177" i="17"/>
  <c r="AH47" i="18" s="1"/>
  <c r="AI183" i="17"/>
  <c r="AI179" i="17"/>
  <c r="AI200" i="17"/>
  <c r="AI201" i="17"/>
  <c r="AI199" i="17"/>
  <c r="AI191" i="17"/>
  <c r="AI194" i="17"/>
  <c r="AI195" i="17"/>
  <c r="AI196" i="17"/>
  <c r="AI193" i="17"/>
  <c r="AI198" i="17"/>
  <c r="AI192" i="17"/>
  <c r="AH59" i="18" s="1"/>
  <c r="AI197" i="17"/>
  <c r="AI232" i="17"/>
  <c r="AI233" i="17" s="1"/>
  <c r="AF357" i="17"/>
  <c r="AF358" i="17" s="1"/>
  <c r="AI247" i="17"/>
  <c r="AF262" i="17"/>
  <c r="AI134" i="17"/>
  <c r="AI135" i="17"/>
  <c r="AI133" i="17"/>
  <c r="AI137" i="17"/>
  <c r="AI131" i="17"/>
  <c r="AI139" i="17"/>
  <c r="AI132" i="17"/>
  <c r="AH11" i="18" s="1"/>
  <c r="AI138" i="17"/>
  <c r="AI136" i="17"/>
  <c r="AI141" i="17"/>
  <c r="AI140" i="17"/>
  <c r="AH142" i="17"/>
  <c r="AH143" i="17" s="1"/>
  <c r="AE6" i="18"/>
  <c r="AG171" i="13"/>
  <c r="AG166" i="13"/>
  <c r="AG211" i="13"/>
  <c r="AG213" i="13"/>
  <c r="AG173" i="13"/>
  <c r="AG212" i="13"/>
  <c r="AG214" i="13"/>
  <c r="AG172" i="13"/>
  <c r="AG174" i="13"/>
  <c r="AG207" i="13"/>
  <c r="AG169" i="13"/>
  <c r="AG167" i="13"/>
  <c r="AG209" i="13"/>
  <c r="AG170" i="13"/>
  <c r="AG210" i="13"/>
  <c r="AG208" i="13"/>
  <c r="AG168" i="13"/>
  <c r="AG206" i="13"/>
  <c r="AE81" i="6"/>
  <c r="AF6" i="18" s="1"/>
  <c r="AF76" i="6"/>
  <c r="AF104" i="6" s="1"/>
  <c r="AF200" i="6" s="1"/>
  <c r="AG77" i="6"/>
  <c r="AG105" i="6" s="1"/>
  <c r="AF71" i="6"/>
  <c r="AF99" i="6" s="1"/>
  <c r="AF195" i="6" s="1"/>
  <c r="AI196" i="13"/>
  <c r="AI199" i="13"/>
  <c r="AH201" i="13"/>
  <c r="AI197" i="13"/>
  <c r="AG75" i="6"/>
  <c r="AG103" i="6" s="1"/>
  <c r="E185" i="69" s="1"/>
  <c r="G185" i="69" s="1"/>
  <c r="J184" i="69" s="1"/>
  <c r="P184" i="69" s="1"/>
  <c r="AI200" i="13"/>
  <c r="AG79" i="6"/>
  <c r="AG107" i="6" s="1"/>
  <c r="F173" i="69" s="1"/>
  <c r="AG74" i="6"/>
  <c r="AG102" i="6" s="1"/>
  <c r="F176" i="69" s="1"/>
  <c r="AG72" i="6"/>
  <c r="AG100" i="6" s="1"/>
  <c r="E166" i="69" s="1"/>
  <c r="G166" i="69" s="1"/>
  <c r="J165" i="69" s="1"/>
  <c r="AF73" i="6"/>
  <c r="AF101" i="6" s="1"/>
  <c r="AF197" i="6" s="1"/>
  <c r="AI204" i="13"/>
  <c r="AH198" i="13"/>
  <c r="AG185" i="13"/>
  <c r="AG195" i="13"/>
  <c r="AG175" i="13"/>
  <c r="AI194" i="13"/>
  <c r="AI184" i="13"/>
  <c r="AH178" i="13"/>
  <c r="AH188" i="13"/>
  <c r="AI187" i="13"/>
  <c r="AI177" i="13"/>
  <c r="AI190" i="13"/>
  <c r="AI180" i="13"/>
  <c r="AI186" i="13"/>
  <c r="AI176" i="13"/>
  <c r="AI189" i="13"/>
  <c r="AI179" i="13"/>
  <c r="AH191" i="13"/>
  <c r="AH181" i="13"/>
  <c r="X221" i="6"/>
  <c r="X233" i="6"/>
  <c r="X240" i="6" s="1"/>
  <c r="X241" i="6" s="1"/>
  <c r="X232" i="6"/>
  <c r="Z229" i="6"/>
  <c r="Z227" i="6"/>
  <c r="Z230" i="6"/>
  <c r="Z228" i="6"/>
  <c r="Y231" i="6"/>
  <c r="Y220" i="6" s="1"/>
  <c r="Y234" i="6" s="1"/>
  <c r="Z205" i="6"/>
  <c r="AH20" i="36"/>
  <c r="AF54" i="34" s="1"/>
  <c r="AJ15" i="36"/>
  <c r="AH129" i="18"/>
  <c r="AI13" i="36"/>
  <c r="AG127" i="18"/>
  <c r="AI16" i="36"/>
  <c r="AG130" i="18"/>
  <c r="AJ17" i="36"/>
  <c r="AH131" i="18"/>
  <c r="AJ14" i="36"/>
  <c r="AH128" i="18"/>
  <c r="AJ19" i="36"/>
  <c r="AH133" i="18"/>
  <c r="AJ12" i="36"/>
  <c r="AH126" i="18"/>
  <c r="AI11" i="36"/>
  <c r="AG125" i="18"/>
  <c r="AD31" i="36"/>
  <c r="AB65" i="34" s="1"/>
  <c r="AE8" i="36"/>
  <c r="AC53" i="34" s="1"/>
  <c r="AE25" i="36"/>
  <c r="AE28" i="36" s="1"/>
  <c r="AC64" i="34" s="1"/>
  <c r="AF6" i="36"/>
  <c r="AF25" i="36" s="1"/>
  <c r="AF28" i="36" s="1"/>
  <c r="AG97" i="17"/>
  <c r="AF7" i="18" s="1"/>
  <c r="AE14" i="34"/>
  <c r="AI92" i="17"/>
  <c r="AI160" i="13"/>
  <c r="E160" i="13" s="1"/>
  <c r="AI150" i="13"/>
  <c r="E150" i="13" s="1"/>
  <c r="AH90" i="17"/>
  <c r="AH158" i="13"/>
  <c r="AH148" i="13"/>
  <c r="AI96" i="17"/>
  <c r="AI154" i="13"/>
  <c r="E154" i="13" s="1"/>
  <c r="AI164" i="13"/>
  <c r="E164" i="13" s="1"/>
  <c r="AI91" i="17"/>
  <c r="AI159" i="13"/>
  <c r="E159" i="13" s="1"/>
  <c r="AI149" i="13"/>
  <c r="E149" i="13" s="1"/>
  <c r="AI89" i="17"/>
  <c r="AI147" i="13"/>
  <c r="E147" i="13" s="1"/>
  <c r="AI157" i="13"/>
  <c r="E157" i="13" s="1"/>
  <c r="AI146" i="13"/>
  <c r="E146" i="13" s="1"/>
  <c r="AI156" i="13"/>
  <c r="E156" i="13" s="1"/>
  <c r="AH93" i="17"/>
  <c r="AH151" i="13"/>
  <c r="AH161" i="13"/>
  <c r="AH43" i="34"/>
  <c r="AE50" i="34" s="1"/>
  <c r="AG36" i="34"/>
  <c r="AE118" i="6"/>
  <c r="AE181" i="6" s="1"/>
  <c r="AF123" i="6"/>
  <c r="AF186" i="6" s="1"/>
  <c r="AE122" i="6"/>
  <c r="AE185" i="6" s="1"/>
  <c r="AE212" i="6" s="1"/>
  <c r="AE120" i="6"/>
  <c r="AE183" i="6" s="1"/>
  <c r="AE117" i="6"/>
  <c r="AE180" i="6" s="1"/>
  <c r="AD121" i="6"/>
  <c r="AD184" i="6" s="1"/>
  <c r="AD213" i="6" s="1"/>
  <c r="AE119" i="6"/>
  <c r="AE182" i="6" s="1"/>
  <c r="AE124" i="6"/>
  <c r="AE187" i="6" s="1"/>
  <c r="AB215" i="6"/>
  <c r="AF14" i="34"/>
  <c r="AG37" i="34"/>
  <c r="AG16" i="34"/>
  <c r="AG34" i="34"/>
  <c r="AG18" i="34"/>
  <c r="AG24" i="34"/>
  <c r="AG32" i="34"/>
  <c r="AG33" i="34"/>
  <c r="AG31" i="34"/>
  <c r="AG25" i="34"/>
  <c r="AF123" i="18"/>
  <c r="AI7" i="34"/>
  <c r="AH8" i="34"/>
  <c r="AC52" i="34"/>
  <c r="AF7" i="37"/>
  <c r="AF6" i="37" s="1"/>
  <c r="AD49" i="34"/>
  <c r="Q51" i="34"/>
  <c r="Q58" i="34" s="1"/>
  <c r="AG155" i="13"/>
  <c r="AG145" i="13"/>
  <c r="AA189" i="6"/>
  <c r="AA190" i="6" s="1"/>
  <c r="AI88" i="17"/>
  <c r="AG137" i="6"/>
  <c r="AI67" i="17"/>
  <c r="AG134" i="6"/>
  <c r="AI64" i="17"/>
  <c r="AG44" i="6"/>
  <c r="AG151" i="6" s="1"/>
  <c r="AG166" i="6" s="1"/>
  <c r="AH71" i="17"/>
  <c r="AH165" i="13" s="1"/>
  <c r="AB126" i="6"/>
  <c r="AF142" i="6"/>
  <c r="AF143" i="6" s="1"/>
  <c r="AD116" i="6"/>
  <c r="AD179" i="6" s="1"/>
  <c r="AD109" i="6"/>
  <c r="AD110" i="6" s="1"/>
  <c r="AC109" i="6"/>
  <c r="AC110" i="6" s="1"/>
  <c r="AG42" i="6"/>
  <c r="AG149" i="6" s="1"/>
  <c r="AG164" i="6" s="1"/>
  <c r="AG132" i="6"/>
  <c r="AF52" i="6"/>
  <c r="AF53" i="6" s="1"/>
  <c r="AG47" i="6"/>
  <c r="AG154" i="6" s="1"/>
  <c r="AG169" i="6" s="1"/>
  <c r="AG35" i="6"/>
  <c r="AG173" i="6" l="1"/>
  <c r="AG174" i="6" s="1"/>
  <c r="AG158" i="6"/>
  <c r="AG159" i="6" s="1"/>
  <c r="E189" i="69"/>
  <c r="G189" i="69" s="1"/>
  <c r="J188" i="69" s="1"/>
  <c r="AE211" i="6"/>
  <c r="AG203" i="6"/>
  <c r="AG199" i="6"/>
  <c r="AD209" i="6"/>
  <c r="AD210" i="6"/>
  <c r="AG198" i="6"/>
  <c r="AD214" i="6"/>
  <c r="AF404" i="17"/>
  <c r="AF405" i="17" s="1"/>
  <c r="AI248" i="17"/>
  <c r="AG218" i="17"/>
  <c r="AG264" i="17"/>
  <c r="AI6" i="34"/>
  <c r="AI8" i="34" s="1"/>
  <c r="AI9" i="34" s="1"/>
  <c r="AI17" i="34" s="1"/>
  <c r="AH297" i="17"/>
  <c r="AH298" i="17" s="1"/>
  <c r="AF263" i="17"/>
  <c r="AF265" i="17"/>
  <c r="AI372" i="17"/>
  <c r="AI373" i="17" s="1"/>
  <c r="AG283" i="17"/>
  <c r="AH282" i="17"/>
  <c r="AI187" i="17"/>
  <c r="AI188" i="17" s="1"/>
  <c r="AH342" i="17"/>
  <c r="AH343" i="17" s="1"/>
  <c r="AH402" i="17"/>
  <c r="AH403" i="17" s="1"/>
  <c r="AH217" i="17"/>
  <c r="AH307" i="17"/>
  <c r="AH310" i="17"/>
  <c r="AH302" i="17"/>
  <c r="AH308" i="17"/>
  <c r="AH301" i="17"/>
  <c r="AH311" i="17"/>
  <c r="AH304" i="17"/>
  <c r="AH303" i="17"/>
  <c r="AH306" i="17"/>
  <c r="AH309" i="17"/>
  <c r="AH305" i="17"/>
  <c r="AI387" i="17"/>
  <c r="AI388" i="17" s="1"/>
  <c r="AI216" i="17"/>
  <c r="AI214" i="17"/>
  <c r="AI215" i="17"/>
  <c r="AI206" i="17"/>
  <c r="AI209" i="17"/>
  <c r="AI212" i="17"/>
  <c r="AI211" i="17"/>
  <c r="AI208" i="17"/>
  <c r="AI207" i="17"/>
  <c r="AH71" i="18" s="1"/>
  <c r="AI210" i="17"/>
  <c r="AI213" i="17"/>
  <c r="AG357" i="17"/>
  <c r="AG358" i="17" s="1"/>
  <c r="AI399" i="17"/>
  <c r="AI394" i="17"/>
  <c r="AI397" i="17"/>
  <c r="AI400" i="17"/>
  <c r="AI395" i="17"/>
  <c r="AI398" i="17"/>
  <c r="AI401" i="17"/>
  <c r="AI393" i="17"/>
  <c r="AI392" i="17"/>
  <c r="AI391" i="17"/>
  <c r="AI396" i="17"/>
  <c r="AI322" i="17"/>
  <c r="AI323" i="17"/>
  <c r="AI326" i="17"/>
  <c r="AI318" i="17"/>
  <c r="AI321" i="17"/>
  <c r="AI324" i="17"/>
  <c r="AI316" i="17"/>
  <c r="AI325" i="17"/>
  <c r="AI319" i="17"/>
  <c r="AI320" i="17"/>
  <c r="AI317" i="17"/>
  <c r="AI279" i="17"/>
  <c r="AI280" i="17"/>
  <c r="AI281" i="17"/>
  <c r="AI271" i="17"/>
  <c r="AI274" i="17"/>
  <c r="AI275" i="17"/>
  <c r="AI272" i="17"/>
  <c r="AI277" i="17"/>
  <c r="AI276" i="17"/>
  <c r="AI278" i="17"/>
  <c r="AI273" i="17"/>
  <c r="AI341" i="17"/>
  <c r="AI334" i="17"/>
  <c r="AI337" i="17"/>
  <c r="AI332" i="17"/>
  <c r="AI335" i="17"/>
  <c r="AI339" i="17"/>
  <c r="AI338" i="17"/>
  <c r="AI333" i="17"/>
  <c r="AI340" i="17"/>
  <c r="AI336" i="17"/>
  <c r="AI331" i="17"/>
  <c r="AI202" i="17"/>
  <c r="AI203" i="17" s="1"/>
  <c r="AI157" i="17"/>
  <c r="AI158" i="17" s="1"/>
  <c r="AH327" i="17"/>
  <c r="AH328" i="17" s="1"/>
  <c r="AG312" i="17"/>
  <c r="AG313" i="17" s="1"/>
  <c r="AI294" i="17"/>
  <c r="AI296" i="17"/>
  <c r="AI295" i="17"/>
  <c r="AI286" i="17"/>
  <c r="AI289" i="17"/>
  <c r="AI287" i="17"/>
  <c r="AI291" i="17"/>
  <c r="AI292" i="17"/>
  <c r="AI290" i="17"/>
  <c r="AI293" i="17"/>
  <c r="AI288" i="17"/>
  <c r="AI169" i="17"/>
  <c r="AI171" i="17"/>
  <c r="AI170" i="17"/>
  <c r="AI161" i="17"/>
  <c r="AI165" i="17"/>
  <c r="AI168" i="17"/>
  <c r="AI162" i="17"/>
  <c r="AH35" i="18" s="1"/>
  <c r="AI164" i="17"/>
  <c r="AI163" i="17"/>
  <c r="AI166" i="17"/>
  <c r="AI167" i="17"/>
  <c r="AH355" i="17"/>
  <c r="AH350" i="17"/>
  <c r="AH353" i="17"/>
  <c r="AH356" i="17"/>
  <c r="AH351" i="17"/>
  <c r="AH346" i="17"/>
  <c r="AH352" i="17"/>
  <c r="AH349" i="17"/>
  <c r="AH354" i="17"/>
  <c r="AH348" i="17"/>
  <c r="AH347" i="17"/>
  <c r="AH172" i="17"/>
  <c r="AH173" i="17" s="1"/>
  <c r="AG262" i="17"/>
  <c r="AI142" i="17"/>
  <c r="AI143" i="17" s="1"/>
  <c r="AG201" i="6"/>
  <c r="AH213" i="13"/>
  <c r="AH173" i="13"/>
  <c r="AH170" i="13"/>
  <c r="AH214" i="13"/>
  <c r="AH172" i="13"/>
  <c r="AH174" i="13"/>
  <c r="AH212" i="13"/>
  <c r="AH167" i="13"/>
  <c r="AH207" i="13"/>
  <c r="AH169" i="13"/>
  <c r="AH210" i="13"/>
  <c r="AH209" i="13"/>
  <c r="AH171" i="13"/>
  <c r="AH211" i="13"/>
  <c r="AH208" i="13"/>
  <c r="AH166" i="13"/>
  <c r="AH168" i="13"/>
  <c r="AH206" i="13"/>
  <c r="AG196" i="6"/>
  <c r="AF81" i="6"/>
  <c r="AG6" i="18" s="1"/>
  <c r="AG71" i="6"/>
  <c r="AG99" i="6" s="1"/>
  <c r="F154" i="69" s="1"/>
  <c r="J156" i="69" s="1"/>
  <c r="P168" i="69" s="1"/>
  <c r="AG73" i="6"/>
  <c r="AG101" i="6" s="1"/>
  <c r="F170" i="69" s="1"/>
  <c r="J173" i="69" s="1"/>
  <c r="AI201" i="13"/>
  <c r="AI198" i="13"/>
  <c r="AH185" i="13"/>
  <c r="AH195" i="13"/>
  <c r="AH175" i="13"/>
  <c r="AI191" i="13"/>
  <c r="AI181" i="13"/>
  <c r="AI188" i="13"/>
  <c r="AI178" i="13"/>
  <c r="Z221" i="6"/>
  <c r="X231" i="6"/>
  <c r="X220" i="6" s="1"/>
  <c r="X234" i="6" s="1"/>
  <c r="AA229" i="6"/>
  <c r="AA230" i="6"/>
  <c r="AA228" i="6"/>
  <c r="AA227" i="6"/>
  <c r="Z232" i="6"/>
  <c r="Z233" i="6"/>
  <c r="Z240" i="6" s="1"/>
  <c r="Z241" i="6" s="1"/>
  <c r="AA205" i="6"/>
  <c r="AD36" i="36"/>
  <c r="AD12" i="37" s="1"/>
  <c r="AI20" i="36"/>
  <c r="AG54" i="34" s="1"/>
  <c r="AJ13" i="36"/>
  <c r="AH127" i="18"/>
  <c r="AJ11" i="36"/>
  <c r="AH125" i="18"/>
  <c r="AJ16" i="36"/>
  <c r="AH130" i="18"/>
  <c r="AF8" i="36"/>
  <c r="AD53" i="34" s="1"/>
  <c r="AF7" i="36"/>
  <c r="AD52" i="34" s="1"/>
  <c r="AE31" i="36"/>
  <c r="AC65" i="34" s="1"/>
  <c r="AH97" i="17"/>
  <c r="AG7" i="18" s="1"/>
  <c r="AI93" i="17"/>
  <c r="AI161" i="13"/>
  <c r="E161" i="13" s="1"/>
  <c r="AI151" i="13"/>
  <c r="E151" i="13" s="1"/>
  <c r="AI90" i="17"/>
  <c r="AI158" i="13"/>
  <c r="E158" i="13" s="1"/>
  <c r="AI148" i="13"/>
  <c r="E148" i="13" s="1"/>
  <c r="AG6" i="36"/>
  <c r="AG7" i="36" s="1"/>
  <c r="AI43" i="34"/>
  <c r="AF50" i="34" s="1"/>
  <c r="AH9" i="34"/>
  <c r="AF117" i="6"/>
  <c r="AF180" i="6" s="1"/>
  <c r="AF122" i="6"/>
  <c r="AF185" i="6" s="1"/>
  <c r="AF212" i="6" s="1"/>
  <c r="AF124" i="6"/>
  <c r="AF187" i="6" s="1"/>
  <c r="AF118" i="6"/>
  <c r="AF181" i="6" s="1"/>
  <c r="AG123" i="6"/>
  <c r="AE121" i="6"/>
  <c r="AE184" i="6" s="1"/>
  <c r="AE213" i="6" s="1"/>
  <c r="AF120" i="6"/>
  <c r="AF183" i="6" s="1"/>
  <c r="AF119" i="6"/>
  <c r="AF182" i="6" s="1"/>
  <c r="AC215" i="6"/>
  <c r="AD64" i="34"/>
  <c r="AF31" i="36"/>
  <c r="AD65" i="34" s="1"/>
  <c r="AG7" i="37"/>
  <c r="AG6" i="37" s="1"/>
  <c r="AE49" i="34"/>
  <c r="AG123" i="18"/>
  <c r="AJ7" i="34"/>
  <c r="AG14" i="34"/>
  <c r="R51" i="34"/>
  <c r="R58" i="34" s="1"/>
  <c r="AH155" i="13"/>
  <c r="AH145" i="13"/>
  <c r="AI71" i="17"/>
  <c r="AI165" i="13" s="1"/>
  <c r="AC126" i="6"/>
  <c r="AD126" i="6"/>
  <c r="AG142" i="6"/>
  <c r="AG143" i="6" s="1"/>
  <c r="AE109" i="6"/>
  <c r="AE110" i="6" s="1"/>
  <c r="AE116" i="6"/>
  <c r="AE179" i="6" s="1"/>
  <c r="AG52" i="6"/>
  <c r="AG53" i="6" s="1"/>
  <c r="AG76" i="6"/>
  <c r="AG104" i="6" s="1"/>
  <c r="E181" i="69" s="1"/>
  <c r="G181" i="69" s="1"/>
  <c r="J180" i="69" s="1"/>
  <c r="P180" i="69" s="1"/>
  <c r="F156" i="69" l="1"/>
  <c r="AG186" i="6"/>
  <c r="AH37" i="34"/>
  <c r="AH17" i="34"/>
  <c r="S157" i="69"/>
  <c r="AF211" i="6"/>
  <c r="AG197" i="6"/>
  <c r="AE209" i="6"/>
  <c r="AE210" i="6"/>
  <c r="AE214" i="6"/>
  <c r="AG404" i="17"/>
  <c r="AG405" i="17" s="1"/>
  <c r="AH218" i="17"/>
  <c r="AH264" i="17"/>
  <c r="AI282" i="17"/>
  <c r="AI327" i="17"/>
  <c r="AI328" i="17" s="1"/>
  <c r="AG263" i="17"/>
  <c r="AG265" i="17"/>
  <c r="AI310" i="17"/>
  <c r="AI302" i="17"/>
  <c r="AI305" i="17"/>
  <c r="AI311" i="17"/>
  <c r="AI303" i="17"/>
  <c r="AI308" i="17"/>
  <c r="AI304" i="17"/>
  <c r="AI307" i="17"/>
  <c r="AI306" i="17"/>
  <c r="AI309" i="17"/>
  <c r="AI301" i="17"/>
  <c r="AI172" i="17"/>
  <c r="AI173" i="17" s="1"/>
  <c r="AI217" i="17"/>
  <c r="AI352" i="17"/>
  <c r="AI355" i="17"/>
  <c r="AI353" i="17"/>
  <c r="AI356" i="17"/>
  <c r="AI348" i="17"/>
  <c r="AI354" i="17"/>
  <c r="AI346" i="17"/>
  <c r="AI350" i="17"/>
  <c r="AI349" i="17"/>
  <c r="AI351" i="17"/>
  <c r="AI347" i="17"/>
  <c r="AH357" i="17"/>
  <c r="AH358" i="17" s="1"/>
  <c r="AI297" i="17"/>
  <c r="AI298" i="17" s="1"/>
  <c r="AH283" i="17"/>
  <c r="AI342" i="17"/>
  <c r="AI343" i="17" s="1"/>
  <c r="AI402" i="17"/>
  <c r="AI403" i="17" s="1"/>
  <c r="AH312" i="17"/>
  <c r="AH313" i="17" s="1"/>
  <c r="AH262" i="17"/>
  <c r="AG195" i="6"/>
  <c r="AI206" i="13"/>
  <c r="E206" i="13" s="1"/>
  <c r="AI166" i="13"/>
  <c r="AI173" i="13"/>
  <c r="AI213" i="13"/>
  <c r="AI207" i="13"/>
  <c r="E207" i="13" s="1"/>
  <c r="AI214" i="13"/>
  <c r="AI174" i="13"/>
  <c r="AI172" i="13"/>
  <c r="E172" i="13" s="1"/>
  <c r="AI169" i="13"/>
  <c r="AI212" i="13"/>
  <c r="E212" i="13" s="1"/>
  <c r="AI209" i="13"/>
  <c r="AI170" i="13"/>
  <c r="AI167" i="13"/>
  <c r="AI210" i="13"/>
  <c r="AI168" i="13"/>
  <c r="AI211" i="13"/>
  <c r="AI208" i="13"/>
  <c r="E208" i="13" s="1"/>
  <c r="AI171" i="13"/>
  <c r="AJ6" i="34"/>
  <c r="AJ8" i="34" s="1"/>
  <c r="AI185" i="13"/>
  <c r="AI175" i="13"/>
  <c r="AI195" i="13"/>
  <c r="AA221" i="6"/>
  <c r="Z231" i="6"/>
  <c r="Z220" i="6" s="1"/>
  <c r="Z234" i="6" s="1"/>
  <c r="AG200" i="6"/>
  <c r="AA232" i="6"/>
  <c r="AA233" i="6"/>
  <c r="AA240" i="6" s="1"/>
  <c r="AA241" i="6" s="1"/>
  <c r="AJ20" i="36"/>
  <c r="AH54" i="34" s="1"/>
  <c r="AH18" i="34"/>
  <c r="AH32" i="34"/>
  <c r="AH31" i="34"/>
  <c r="AH25" i="34"/>
  <c r="AH33" i="34"/>
  <c r="AH16" i="34"/>
  <c r="AH34" i="34"/>
  <c r="AH24" i="34"/>
  <c r="AH36" i="34"/>
  <c r="AE36" i="36"/>
  <c r="AE12" i="37" s="1"/>
  <c r="AG25" i="36"/>
  <c r="AG28" i="36" s="1"/>
  <c r="AE64" i="34" s="1"/>
  <c r="AG8" i="36"/>
  <c r="AE53" i="34" s="1"/>
  <c r="AI97" i="17"/>
  <c r="AH7" i="18" s="1"/>
  <c r="AH6" i="36"/>
  <c r="AH7" i="36" s="1"/>
  <c r="AF52" i="34" s="1"/>
  <c r="AI36" i="34"/>
  <c r="AJ43" i="34"/>
  <c r="AI6" i="36" s="1"/>
  <c r="AD215" i="6"/>
  <c r="AF121" i="6"/>
  <c r="AF184" i="6" s="1"/>
  <c r="AF213" i="6" s="1"/>
  <c r="AG117" i="6"/>
  <c r="AG120" i="6"/>
  <c r="AG124" i="6"/>
  <c r="AG118" i="6"/>
  <c r="AG122" i="6"/>
  <c r="AG119" i="6"/>
  <c r="AI37" i="34"/>
  <c r="AF36" i="36"/>
  <c r="AF12" i="37" s="1"/>
  <c r="AH123" i="18"/>
  <c r="AK7" i="34"/>
  <c r="AH7" i="37"/>
  <c r="AH6" i="37" s="1"/>
  <c r="AF49" i="34"/>
  <c r="AI16" i="34"/>
  <c r="AI34" i="34"/>
  <c r="AI18" i="34"/>
  <c r="AI24" i="34"/>
  <c r="AI33" i="34"/>
  <c r="AI25" i="34"/>
  <c r="AI32" i="34"/>
  <c r="AI31" i="34"/>
  <c r="AE52" i="34"/>
  <c r="S51" i="34"/>
  <c r="S58" i="34" s="1"/>
  <c r="AI155" i="13"/>
  <c r="E155" i="13" s="1"/>
  <c r="AI145" i="13"/>
  <c r="E145" i="13" s="1"/>
  <c r="AB189" i="6"/>
  <c r="AB190" i="6" s="1"/>
  <c r="AE126" i="6"/>
  <c r="AF109" i="6"/>
  <c r="AF110" i="6" s="1"/>
  <c r="AF116" i="6"/>
  <c r="AF179" i="6" s="1"/>
  <c r="AG81" i="6"/>
  <c r="F175" i="69" l="1"/>
  <c r="AG182" i="6"/>
  <c r="F188" i="69"/>
  <c r="J187" i="69" s="1"/>
  <c r="AG185" i="6"/>
  <c r="AG212" i="6" s="1"/>
  <c r="F169" i="69"/>
  <c r="AG181" i="6"/>
  <c r="F172" i="69"/>
  <c r="AG187" i="6"/>
  <c r="F184" i="69"/>
  <c r="J183" i="69" s="1"/>
  <c r="P183" i="69" s="1"/>
  <c r="AG183" i="6"/>
  <c r="F165" i="69"/>
  <c r="J164" i="69" s="1"/>
  <c r="AG180" i="6"/>
  <c r="S193" i="69"/>
  <c r="S195" i="69"/>
  <c r="AF214" i="6"/>
  <c r="AF210" i="6"/>
  <c r="AF209" i="6"/>
  <c r="AI283" i="17"/>
  <c r="AH404" i="17"/>
  <c r="AH405" i="17" s="1"/>
  <c r="AI218" i="17"/>
  <c r="AI264" i="17"/>
  <c r="D65" i="4"/>
  <c r="D29" i="4"/>
  <c r="D49" i="4" s="1"/>
  <c r="D66" i="4"/>
  <c r="D30" i="4"/>
  <c r="AH263" i="17"/>
  <c r="AH265" i="17"/>
  <c r="AI357" i="17"/>
  <c r="AI358" i="17" s="1"/>
  <c r="AI312" i="17"/>
  <c r="AI313" i="17" s="1"/>
  <c r="AI262" i="17"/>
  <c r="E213" i="13"/>
  <c r="E210" i="13"/>
  <c r="E214" i="13"/>
  <c r="E209" i="13"/>
  <c r="E211" i="13"/>
  <c r="AA231" i="6"/>
  <c r="AA220" i="6" s="1"/>
  <c r="AA234" i="6" s="1"/>
  <c r="AB230" i="6"/>
  <c r="AB228" i="6"/>
  <c r="AB229" i="6"/>
  <c r="AB227" i="6"/>
  <c r="AB205" i="6"/>
  <c r="AH14" i="34"/>
  <c r="AH25" i="36"/>
  <c r="AH28" i="36" s="1"/>
  <c r="AH8" i="36"/>
  <c r="AF53" i="34" s="1"/>
  <c r="AG31" i="36"/>
  <c r="AE65" i="34" s="1"/>
  <c r="AG50" i="34"/>
  <c r="AI7" i="37" s="1"/>
  <c r="AI6" i="37" s="1"/>
  <c r="AJ9" i="34"/>
  <c r="AK43" i="34"/>
  <c r="AJ6" i="36" s="1"/>
  <c r="AE215" i="6"/>
  <c r="AG116" i="6"/>
  <c r="AI14" i="34"/>
  <c r="AI7" i="36"/>
  <c r="AI25" i="36"/>
  <c r="AI28" i="36" s="1"/>
  <c r="AI8" i="36"/>
  <c r="AG53" i="34" s="1"/>
  <c r="AK6" i="34"/>
  <c r="AK8" i="34" s="1"/>
  <c r="AK9" i="34" s="1"/>
  <c r="AK17" i="34" s="1"/>
  <c r="AH6" i="18"/>
  <c r="AC189" i="6"/>
  <c r="AC190" i="6" s="1"/>
  <c r="AD189" i="6"/>
  <c r="AD190" i="6" s="1"/>
  <c r="AF126" i="6"/>
  <c r="AJ36" i="34" l="1"/>
  <c r="AJ17" i="34"/>
  <c r="J172" i="69"/>
  <c r="F153" i="69"/>
  <c r="J155" i="69" s="1"/>
  <c r="P166" i="69" s="1"/>
  <c r="AG179" i="6"/>
  <c r="AG211" i="6"/>
  <c r="AI404" i="17"/>
  <c r="AI405" i="17" s="1"/>
  <c r="AI263" i="17"/>
  <c r="AI265" i="17"/>
  <c r="AB221" i="6"/>
  <c r="AB232" i="6"/>
  <c r="AB233" i="6"/>
  <c r="AB240" i="6" s="1"/>
  <c r="AB241" i="6" s="1"/>
  <c r="AD230" i="6"/>
  <c r="AD228" i="6"/>
  <c r="AD229" i="6"/>
  <c r="AD227" i="6"/>
  <c r="AC230" i="6"/>
  <c r="AC228" i="6"/>
  <c r="AC229" i="6"/>
  <c r="AC227" i="6"/>
  <c r="AC205" i="6"/>
  <c r="AD205" i="6"/>
  <c r="AH31" i="36"/>
  <c r="AF65" i="34" s="1"/>
  <c r="AH50" i="34"/>
  <c r="AH49" i="34" s="1"/>
  <c r="AG49" i="34"/>
  <c r="AG36" i="36"/>
  <c r="AG12" i="37" s="1"/>
  <c r="AJ16" i="34"/>
  <c r="AJ37" i="34"/>
  <c r="AJ25" i="34"/>
  <c r="AJ24" i="34"/>
  <c r="AJ32" i="34"/>
  <c r="AJ31" i="34"/>
  <c r="AJ18" i="34"/>
  <c r="AJ34" i="34"/>
  <c r="AJ33" i="34"/>
  <c r="AK37" i="34"/>
  <c r="AF215" i="6"/>
  <c r="AK36" i="34"/>
  <c r="AJ7" i="36"/>
  <c r="AJ8" i="36"/>
  <c r="AH53" i="34" s="1"/>
  <c r="AJ25" i="36"/>
  <c r="AJ28" i="36" s="1"/>
  <c r="AI31" i="36"/>
  <c r="AG65" i="34" s="1"/>
  <c r="AG64" i="34"/>
  <c r="AG52" i="34"/>
  <c r="AK34" i="34"/>
  <c r="AK18" i="34"/>
  <c r="AK16" i="34"/>
  <c r="AK24" i="34"/>
  <c r="AK33" i="34"/>
  <c r="AK31" i="34"/>
  <c r="AK32" i="34"/>
  <c r="AK25" i="34"/>
  <c r="AF64" i="34"/>
  <c r="T51" i="34"/>
  <c r="T58" i="34" s="1"/>
  <c r="U51" i="34"/>
  <c r="U58" i="34" s="1"/>
  <c r="AE189" i="6"/>
  <c r="AE190" i="6" s="1"/>
  <c r="AG109" i="6"/>
  <c r="AG110" i="6" s="1"/>
  <c r="AG121" i="6"/>
  <c r="F180" i="69" l="1"/>
  <c r="J179" i="69" s="1"/>
  <c r="P179" i="69" s="1"/>
  <c r="S156" i="69" s="1"/>
  <c r="S162" i="69" s="1"/>
  <c r="AG184" i="6"/>
  <c r="AG213" i="6" s="1"/>
  <c r="AG210" i="6"/>
  <c r="AG209" i="6"/>
  <c r="G150" i="22"/>
  <c r="G152" i="22"/>
  <c r="G157" i="22"/>
  <c r="G154" i="22"/>
  <c r="G149" i="22"/>
  <c r="G151" i="22"/>
  <c r="G153" i="22"/>
  <c r="G156" i="22"/>
  <c r="AC221" i="6"/>
  <c r="AD221" i="6"/>
  <c r="AC232" i="6"/>
  <c r="AC233" i="6"/>
  <c r="AC240" i="6" s="1"/>
  <c r="AC241" i="6" s="1"/>
  <c r="AE230" i="6"/>
  <c r="AE229" i="6"/>
  <c r="AE227" i="6"/>
  <c r="AE228" i="6"/>
  <c r="AD232" i="6"/>
  <c r="AD233" i="6"/>
  <c r="AD240" i="6" s="1"/>
  <c r="AD241" i="6" s="1"/>
  <c r="AB231" i="6"/>
  <c r="AB220" i="6" s="1"/>
  <c r="AB234" i="6" s="1"/>
  <c r="AE205" i="6"/>
  <c r="AH36" i="36"/>
  <c r="AH12" i="37" s="1"/>
  <c r="AJ7" i="37"/>
  <c r="AJ6" i="37" s="1"/>
  <c r="AJ14" i="34"/>
  <c r="AJ31" i="36"/>
  <c r="AH65" i="34" s="1"/>
  <c r="AH64" i="34"/>
  <c r="AK14" i="34"/>
  <c r="AH52" i="34"/>
  <c r="AI36" i="36"/>
  <c r="AI12" i="37" s="1"/>
  <c r="AF189" i="6"/>
  <c r="AF190" i="6" s="1"/>
  <c r="AG126" i="6"/>
  <c r="E31" i="5"/>
  <c r="E14" i="5"/>
  <c r="S170" i="69" l="1"/>
  <c r="U178" i="69" s="1"/>
  <c r="S167" i="69"/>
  <c r="S164" i="69"/>
  <c r="G158" i="22"/>
  <c r="F155" i="22" s="1"/>
  <c r="AG214" i="6"/>
  <c r="AE221" i="6"/>
  <c r="AC231" i="6"/>
  <c r="AC220" i="6" s="1"/>
  <c r="AC234" i="6" s="1"/>
  <c r="AF229" i="6"/>
  <c r="AF227" i="6"/>
  <c r="AF230" i="6"/>
  <c r="AF228" i="6"/>
  <c r="AD231" i="6"/>
  <c r="AD220" i="6" s="1"/>
  <c r="AD234" i="6" s="1"/>
  <c r="AE233" i="6"/>
  <c r="AE240" i="6" s="1"/>
  <c r="AE241" i="6" s="1"/>
  <c r="AE232" i="6"/>
  <c r="AF205" i="6"/>
  <c r="AJ36" i="36"/>
  <c r="AJ12" i="37" s="1"/>
  <c r="E27" i="5"/>
  <c r="E23" i="5" s="1"/>
  <c r="R178" i="69" l="1"/>
  <c r="F156" i="22"/>
  <c r="F150" i="22"/>
  <c r="F152" i="22"/>
  <c r="F154" i="22"/>
  <c r="F153" i="22"/>
  <c r="T182" i="69"/>
  <c r="R182" i="69"/>
  <c r="AG215" i="6"/>
  <c r="F157" i="22"/>
  <c r="F149" i="22"/>
  <c r="E108" i="22" s="1"/>
  <c r="F151" i="22"/>
  <c r="E195" i="13"/>
  <c r="E185" i="13"/>
  <c r="AF221" i="6"/>
  <c r="AE231" i="6"/>
  <c r="AE220" i="6" s="1"/>
  <c r="AE234" i="6" s="1"/>
  <c r="AF233" i="6"/>
  <c r="AF240" i="6" s="1"/>
  <c r="AF241" i="6" s="1"/>
  <c r="AF232" i="6"/>
  <c r="V51" i="34"/>
  <c r="V58" i="34" s="1"/>
  <c r="AG189" i="6"/>
  <c r="AG190" i="6" s="1"/>
  <c r="D41" i="21"/>
  <c r="T186" i="69" l="1"/>
  <c r="T188" i="69"/>
  <c r="X166" i="69" s="1"/>
  <c r="D70" i="4"/>
  <c r="D34" i="4"/>
  <c r="D69" i="4"/>
  <c r="D33" i="4"/>
  <c r="AF231" i="6"/>
  <c r="AF220" i="6" s="1"/>
  <c r="AF234" i="6" s="1"/>
  <c r="AG229" i="6"/>
  <c r="AG227" i="6"/>
  <c r="AG230" i="6"/>
  <c r="AG228" i="6"/>
  <c r="AG205" i="6"/>
  <c r="W51" i="34"/>
  <c r="W58" i="34" s="1"/>
  <c r="AG221" i="6" l="1"/>
  <c r="AG232" i="6"/>
  <c r="AG233" i="6"/>
  <c r="AG240" i="6" s="1"/>
  <c r="AG241" i="6" s="1"/>
  <c r="X51" i="34"/>
  <c r="X58" i="34" s="1"/>
  <c r="AG231" i="6" l="1"/>
  <c r="AG220" i="6" s="1"/>
  <c r="AG234" i="6" s="1"/>
  <c r="E112" i="22" l="1"/>
  <c r="F112" i="22"/>
  <c r="G112" i="22"/>
  <c r="H112" i="22"/>
  <c r="I112" i="22"/>
  <c r="J112" i="22"/>
  <c r="K112" i="22"/>
  <c r="M112" i="22"/>
  <c r="L112" i="22"/>
  <c r="N112" i="22"/>
  <c r="O112" i="22"/>
  <c r="P112" i="22"/>
  <c r="Q112" i="22"/>
  <c r="R112" i="22"/>
  <c r="S112" i="22"/>
  <c r="T112" i="22"/>
  <c r="U112" i="22"/>
  <c r="V112" i="22"/>
  <c r="W112" i="22"/>
  <c r="X112" i="22"/>
  <c r="Y112" i="22"/>
  <c r="Z112" i="22"/>
  <c r="AA112" i="22"/>
  <c r="AB112" i="22"/>
  <c r="AC112" i="22"/>
  <c r="AD112" i="22"/>
  <c r="AE112" i="22"/>
  <c r="AF112" i="22"/>
  <c r="AG112" i="22"/>
  <c r="AH112" i="22"/>
  <c r="E109" i="22"/>
  <c r="F109" i="22"/>
  <c r="G109" i="22"/>
  <c r="H109" i="22"/>
  <c r="I109" i="22"/>
  <c r="J109" i="22"/>
  <c r="K109" i="22"/>
  <c r="L109" i="22"/>
  <c r="M109" i="22"/>
  <c r="N109" i="22"/>
  <c r="O109" i="22"/>
  <c r="P109" i="22"/>
  <c r="Q109" i="22"/>
  <c r="R109" i="22"/>
  <c r="S109" i="22"/>
  <c r="T109" i="22"/>
  <c r="U109" i="22"/>
  <c r="V109" i="22"/>
  <c r="W109" i="22"/>
  <c r="X109" i="22"/>
  <c r="Y109" i="22"/>
  <c r="Z109" i="22"/>
  <c r="AA109" i="22"/>
  <c r="AB109" i="22"/>
  <c r="AC109" i="22"/>
  <c r="AD109" i="22"/>
  <c r="AE109" i="22"/>
  <c r="AF109" i="22"/>
  <c r="AG109" i="22"/>
  <c r="AH109" i="22"/>
  <c r="E115" i="22"/>
  <c r="F115" i="22"/>
  <c r="G115" i="22"/>
  <c r="H115" i="22"/>
  <c r="I115" i="22"/>
  <c r="J115" i="22"/>
  <c r="K115" i="22"/>
  <c r="L115" i="22"/>
  <c r="M115" i="22"/>
  <c r="N115" i="22"/>
  <c r="O115" i="22"/>
  <c r="P115" i="22"/>
  <c r="Q115" i="22"/>
  <c r="R115" i="22"/>
  <c r="S115" i="22"/>
  <c r="T115" i="22"/>
  <c r="U115" i="22"/>
  <c r="V115" i="22"/>
  <c r="W115" i="22"/>
  <c r="X115" i="22"/>
  <c r="Y115" i="22"/>
  <c r="Z115" i="22"/>
  <c r="AA115" i="22"/>
  <c r="AB115" i="22"/>
  <c r="AC115" i="22"/>
  <c r="AD115" i="22"/>
  <c r="AE115" i="22"/>
  <c r="AF115" i="22"/>
  <c r="AG115" i="22"/>
  <c r="AH115" i="22"/>
  <c r="E116" i="22"/>
  <c r="F116" i="22"/>
  <c r="G116" i="22"/>
  <c r="H116" i="22"/>
  <c r="I116" i="22"/>
  <c r="J116" i="22"/>
  <c r="K116" i="22"/>
  <c r="L116" i="22"/>
  <c r="M116" i="22"/>
  <c r="N116" i="22"/>
  <c r="O116" i="22"/>
  <c r="P116" i="22"/>
  <c r="Q116" i="22"/>
  <c r="R116" i="22"/>
  <c r="S116" i="22"/>
  <c r="T116" i="22"/>
  <c r="U116" i="22"/>
  <c r="V116" i="22"/>
  <c r="W116" i="22"/>
  <c r="X116" i="22"/>
  <c r="Y116" i="22"/>
  <c r="Z116" i="22"/>
  <c r="AA116" i="22"/>
  <c r="AB116" i="22"/>
  <c r="AC116" i="22"/>
  <c r="AD116" i="22"/>
  <c r="AE116" i="22"/>
  <c r="AF116" i="22"/>
  <c r="AG116" i="22"/>
  <c r="AH116" i="22"/>
  <c r="E113" i="22"/>
  <c r="F113" i="22"/>
  <c r="G113" i="22"/>
  <c r="H113" i="22"/>
  <c r="I113" i="22"/>
  <c r="J113" i="22"/>
  <c r="K113" i="22"/>
  <c r="M113" i="22"/>
  <c r="L113" i="22"/>
  <c r="N113" i="22"/>
  <c r="O113" i="22"/>
  <c r="P113" i="22"/>
  <c r="Q113" i="22"/>
  <c r="R113" i="22"/>
  <c r="S113" i="22"/>
  <c r="T113" i="22"/>
  <c r="U113" i="22"/>
  <c r="V113" i="22"/>
  <c r="W113" i="22"/>
  <c r="X113" i="22"/>
  <c r="Y113" i="22"/>
  <c r="Z113" i="22"/>
  <c r="AA113" i="22"/>
  <c r="AB113" i="22"/>
  <c r="AC113" i="22"/>
  <c r="AD113" i="22"/>
  <c r="AE113" i="22"/>
  <c r="AF113" i="22"/>
  <c r="AG113" i="22"/>
  <c r="AH113" i="22"/>
  <c r="F108" i="22"/>
  <c r="G108" i="22"/>
  <c r="H108" i="22"/>
  <c r="I108" i="22"/>
  <c r="J108" i="22"/>
  <c r="K108" i="22"/>
  <c r="M108" i="22"/>
  <c r="L108" i="22"/>
  <c r="N108" i="22"/>
  <c r="O108" i="22"/>
  <c r="P108" i="22"/>
  <c r="Q108" i="22"/>
  <c r="R108" i="22"/>
  <c r="S108" i="22"/>
  <c r="T108" i="22"/>
  <c r="U108" i="22"/>
  <c r="V108" i="22"/>
  <c r="W108" i="22"/>
  <c r="X108" i="22"/>
  <c r="Y108" i="22"/>
  <c r="Z108" i="22"/>
  <c r="AA108" i="22"/>
  <c r="AB108" i="22"/>
  <c r="AC108" i="22"/>
  <c r="AD108" i="22"/>
  <c r="AE108" i="22"/>
  <c r="AF108" i="22"/>
  <c r="AG108" i="22"/>
  <c r="AH108" i="22"/>
  <c r="E114" i="22"/>
  <c r="F114" i="22"/>
  <c r="G114" i="22"/>
  <c r="H114" i="22"/>
  <c r="I114" i="22"/>
  <c r="J114" i="22"/>
  <c r="K114" i="22"/>
  <c r="M114" i="22"/>
  <c r="L114" i="22"/>
  <c r="N114" i="22"/>
  <c r="O114" i="22"/>
  <c r="P114" i="22"/>
  <c r="Q114" i="22"/>
  <c r="R114" i="22"/>
  <c r="S114" i="22"/>
  <c r="T114" i="22"/>
  <c r="U114" i="22"/>
  <c r="V114" i="22"/>
  <c r="W114" i="22"/>
  <c r="X114" i="22"/>
  <c r="Y114" i="22"/>
  <c r="Z114" i="22"/>
  <c r="AA114" i="22"/>
  <c r="AB114" i="22"/>
  <c r="AC114" i="22"/>
  <c r="AD114" i="22"/>
  <c r="AE114" i="22"/>
  <c r="AF114" i="22"/>
  <c r="AG114" i="22"/>
  <c r="AH114" i="22"/>
  <c r="E110" i="22"/>
  <c r="F110" i="22"/>
  <c r="G110" i="22"/>
  <c r="H110" i="22"/>
  <c r="I110" i="22"/>
  <c r="J110" i="22"/>
  <c r="K110" i="22"/>
  <c r="M110" i="22"/>
  <c r="L110" i="22"/>
  <c r="N110" i="22"/>
  <c r="O110" i="22"/>
  <c r="P110" i="22"/>
  <c r="Q110" i="22"/>
  <c r="R110" i="22"/>
  <c r="S110" i="22"/>
  <c r="T110" i="22"/>
  <c r="U110" i="22"/>
  <c r="V110" i="22"/>
  <c r="W110" i="22"/>
  <c r="X110" i="22"/>
  <c r="Y110" i="22"/>
  <c r="Z110" i="22"/>
  <c r="AA110" i="22"/>
  <c r="AB110" i="22"/>
  <c r="AC110" i="22"/>
  <c r="AD110" i="22"/>
  <c r="AE110" i="22"/>
  <c r="AF110" i="22"/>
  <c r="AG110" i="22"/>
  <c r="AH110" i="22"/>
  <c r="E111" i="22"/>
  <c r="F111" i="22"/>
  <c r="G111" i="22"/>
  <c r="H111" i="22"/>
  <c r="I111" i="22"/>
  <c r="J111" i="22"/>
  <c r="K111" i="22"/>
  <c r="M111" i="22"/>
  <c r="L111" i="22"/>
  <c r="N111" i="22"/>
  <c r="O111" i="22"/>
  <c r="P111" i="22"/>
  <c r="Q111" i="22"/>
  <c r="R111" i="22"/>
  <c r="S111" i="22"/>
  <c r="T111" i="22"/>
  <c r="U111" i="22"/>
  <c r="V111" i="22"/>
  <c r="W111" i="22"/>
  <c r="X111" i="22"/>
  <c r="Y111" i="22"/>
  <c r="Z111" i="22"/>
  <c r="AA111" i="22"/>
  <c r="AB111" i="22"/>
  <c r="AC111" i="22"/>
  <c r="AD111" i="22"/>
  <c r="AE111" i="22"/>
  <c r="AF111" i="22"/>
  <c r="AG111" i="22"/>
  <c r="AH111" i="22"/>
  <c r="F158" i="22"/>
  <c r="Y51" i="34"/>
  <c r="Y58" i="34" s="1"/>
  <c r="D108" i="22" l="1"/>
  <c r="D109" i="22"/>
  <c r="Z51" i="34"/>
  <c r="Z58" i="34" s="1"/>
  <c r="G165" i="1" l="1"/>
  <c r="G172" i="1"/>
  <c r="F21" i="13" s="1"/>
  <c r="E21" i="13" s="1"/>
  <c r="G171" i="1"/>
  <c r="G166" i="1"/>
  <c r="F15" i="13" s="1"/>
  <c r="E15" i="13" s="1"/>
  <c r="G169" i="1"/>
  <c r="F18" i="13" s="1"/>
  <c r="E18" i="13" s="1"/>
  <c r="G168" i="1"/>
  <c r="F17" i="13" s="1"/>
  <c r="E17" i="13" s="1"/>
  <c r="G170" i="1"/>
  <c r="G167" i="1"/>
  <c r="F16" i="13" s="1"/>
  <c r="E16" i="13" s="1"/>
  <c r="G173" i="1"/>
  <c r="F22" i="13" s="1"/>
  <c r="E22" i="13" s="1"/>
  <c r="G142" i="22" l="1"/>
  <c r="F19" i="13"/>
  <c r="E19" i="13" s="1"/>
  <c r="E72" i="65"/>
  <c r="E59" i="65" s="1"/>
  <c r="F20" i="13"/>
  <c r="E20" i="13" s="1"/>
  <c r="F14" i="13"/>
  <c r="E14" i="13" s="1"/>
  <c r="F4" i="13"/>
  <c r="E68" i="65"/>
  <c r="E55" i="65" s="1"/>
  <c r="G138" i="22"/>
  <c r="E69" i="65"/>
  <c r="T56" i="65" s="1"/>
  <c r="U82" i="13" s="1"/>
  <c r="G139" i="22"/>
  <c r="E70" i="65"/>
  <c r="U57" i="65" s="1"/>
  <c r="V83" i="13" s="1"/>
  <c r="G143" i="22"/>
  <c r="E67" i="65"/>
  <c r="J54" i="65" s="1"/>
  <c r="K80" i="13" s="1"/>
  <c r="G137" i="22"/>
  <c r="E73" i="65"/>
  <c r="AJ60" i="65" s="1"/>
  <c r="G136" i="22"/>
  <c r="E74" i="65"/>
  <c r="AE61" i="65" s="1"/>
  <c r="AF87" i="13" s="1"/>
  <c r="G140" i="22"/>
  <c r="G135" i="22"/>
  <c r="O59" i="65"/>
  <c r="P85" i="13" s="1"/>
  <c r="AM59" i="65"/>
  <c r="AA59" i="65"/>
  <c r="AB85" i="13" s="1"/>
  <c r="AC59" i="65"/>
  <c r="AD85" i="13" s="1"/>
  <c r="N59" i="65"/>
  <c r="O85" i="13" s="1"/>
  <c r="M59" i="65"/>
  <c r="N85" i="13" s="1"/>
  <c r="X59" i="65"/>
  <c r="Y85" i="13" s="1"/>
  <c r="AJ59" i="65"/>
  <c r="V59" i="65"/>
  <c r="W85" i="13" s="1"/>
  <c r="AB59" i="65"/>
  <c r="AC85" i="13" s="1"/>
  <c r="T59" i="65"/>
  <c r="U85" i="13" s="1"/>
  <c r="AG59" i="65"/>
  <c r="AH85" i="13" s="1"/>
  <c r="AD59" i="65"/>
  <c r="AE85" i="13" s="1"/>
  <c r="I59" i="65"/>
  <c r="J85" i="13" s="1"/>
  <c r="R59" i="65"/>
  <c r="S85" i="13" s="1"/>
  <c r="AI59" i="65"/>
  <c r="J59" i="65"/>
  <c r="K85" i="13" s="1"/>
  <c r="Q59" i="65"/>
  <c r="R85" i="13" s="1"/>
  <c r="S59" i="65"/>
  <c r="T85" i="13" s="1"/>
  <c r="W59" i="65"/>
  <c r="X85" i="13" s="1"/>
  <c r="Y59" i="65"/>
  <c r="Z85" i="13" s="1"/>
  <c r="U59" i="65"/>
  <c r="V85" i="13" s="1"/>
  <c r="AF59" i="65"/>
  <c r="AG85" i="13" s="1"/>
  <c r="K59" i="65"/>
  <c r="L85" i="13" s="1"/>
  <c r="AL59" i="65"/>
  <c r="Z59" i="65"/>
  <c r="AA85" i="13" s="1"/>
  <c r="H59" i="65"/>
  <c r="I85" i="13" s="1"/>
  <c r="L59" i="65"/>
  <c r="M85" i="13" s="1"/>
  <c r="E66" i="65"/>
  <c r="F9" i="13"/>
  <c r="E71" i="65"/>
  <c r="I61" i="65"/>
  <c r="J87" i="13" s="1"/>
  <c r="H56" i="65"/>
  <c r="I82" i="13" s="1"/>
  <c r="AE56" i="65"/>
  <c r="AF82" i="13" s="1"/>
  <c r="E122" i="63"/>
  <c r="F109" i="63" s="1"/>
  <c r="F250" i="13" s="1"/>
  <c r="F219" i="13"/>
  <c r="G219" i="13"/>
  <c r="H219" i="13"/>
  <c r="I219" i="13"/>
  <c r="J219" i="13"/>
  <c r="K219" i="13"/>
  <c r="L219" i="13"/>
  <c r="M219" i="13"/>
  <c r="N219" i="13"/>
  <c r="O219" i="13"/>
  <c r="P219" i="13"/>
  <c r="Q219" i="13"/>
  <c r="R219" i="13"/>
  <c r="S219" i="13"/>
  <c r="T219" i="13"/>
  <c r="U219" i="13"/>
  <c r="V219" i="13"/>
  <c r="W219" i="13"/>
  <c r="X219" i="13"/>
  <c r="Y219" i="13"/>
  <c r="Z219" i="13"/>
  <c r="AA219" i="13"/>
  <c r="AB219" i="13"/>
  <c r="AC219" i="13"/>
  <c r="AD219" i="13"/>
  <c r="AE219" i="13"/>
  <c r="AF219" i="13"/>
  <c r="AG219" i="13"/>
  <c r="AH219" i="13"/>
  <c r="AI219" i="13"/>
  <c r="E120" i="63"/>
  <c r="F107" i="63" s="1"/>
  <c r="F248" i="13" s="1"/>
  <c r="F217" i="13"/>
  <c r="G217" i="13"/>
  <c r="H217" i="13"/>
  <c r="I217" i="13"/>
  <c r="J217" i="13"/>
  <c r="K217" i="13"/>
  <c r="L217" i="13"/>
  <c r="M217" i="13"/>
  <c r="N217" i="13"/>
  <c r="O217" i="13"/>
  <c r="P217" i="13"/>
  <c r="Q217" i="13"/>
  <c r="R217" i="13"/>
  <c r="S217" i="13"/>
  <c r="T217" i="13"/>
  <c r="U217" i="13"/>
  <c r="V217" i="13"/>
  <c r="W217" i="13"/>
  <c r="X217" i="13"/>
  <c r="Y217" i="13"/>
  <c r="Z217" i="13"/>
  <c r="AA217" i="13"/>
  <c r="AB217" i="13"/>
  <c r="AC217" i="13"/>
  <c r="AD217" i="13"/>
  <c r="AE217" i="13"/>
  <c r="AF217" i="13"/>
  <c r="AG217" i="13"/>
  <c r="AH217" i="13"/>
  <c r="AI217" i="13"/>
  <c r="E127" i="63"/>
  <c r="F114" i="63" s="1"/>
  <c r="F255" i="13" s="1"/>
  <c r="F224" i="13"/>
  <c r="G224" i="13"/>
  <c r="H224" i="13"/>
  <c r="I224" i="13"/>
  <c r="J224" i="13"/>
  <c r="K224" i="13"/>
  <c r="L224" i="13"/>
  <c r="M224" i="13"/>
  <c r="N224" i="13"/>
  <c r="O224" i="13"/>
  <c r="P224" i="13"/>
  <c r="Q224" i="13"/>
  <c r="R224" i="13"/>
  <c r="S224" i="13"/>
  <c r="T224" i="13"/>
  <c r="U224" i="13"/>
  <c r="V224" i="13"/>
  <c r="W224" i="13"/>
  <c r="X224" i="13"/>
  <c r="Y224" i="13"/>
  <c r="Z224" i="13"/>
  <c r="AA224" i="13"/>
  <c r="AB224" i="13"/>
  <c r="AC224" i="13"/>
  <c r="AD224" i="13"/>
  <c r="AE224" i="13"/>
  <c r="AF224" i="13"/>
  <c r="AG224" i="13"/>
  <c r="AH224" i="13"/>
  <c r="AI224" i="13"/>
  <c r="E125" i="63"/>
  <c r="F112" i="63" s="1"/>
  <c r="F253" i="13" s="1"/>
  <c r="F222" i="13"/>
  <c r="G222" i="13"/>
  <c r="H222" i="13"/>
  <c r="I222" i="13"/>
  <c r="J222" i="13"/>
  <c r="K222" i="13"/>
  <c r="L222" i="13"/>
  <c r="M222" i="13"/>
  <c r="N222" i="13"/>
  <c r="O222" i="13"/>
  <c r="P222" i="13"/>
  <c r="Q222" i="13"/>
  <c r="R222" i="13"/>
  <c r="S222" i="13"/>
  <c r="T222" i="13"/>
  <c r="U222" i="13"/>
  <c r="V222" i="13"/>
  <c r="W222" i="13"/>
  <c r="X222" i="13"/>
  <c r="Y222" i="13"/>
  <c r="Z222" i="13"/>
  <c r="AA222" i="13"/>
  <c r="AB222" i="13"/>
  <c r="AC222" i="13"/>
  <c r="AD222" i="13"/>
  <c r="AE222" i="13"/>
  <c r="AF222" i="13"/>
  <c r="AG222" i="13"/>
  <c r="AH222" i="13"/>
  <c r="AI222" i="13"/>
  <c r="E119" i="63"/>
  <c r="F106" i="63" s="1"/>
  <c r="F247" i="13" s="1"/>
  <c r="F216" i="13"/>
  <c r="G216" i="13"/>
  <c r="H216" i="13"/>
  <c r="I216" i="13"/>
  <c r="J216" i="13"/>
  <c r="K216" i="13"/>
  <c r="L216" i="13"/>
  <c r="M216" i="13"/>
  <c r="N216" i="13"/>
  <c r="O216" i="13"/>
  <c r="P216" i="13"/>
  <c r="Q216" i="13"/>
  <c r="R216" i="13"/>
  <c r="S216" i="13"/>
  <c r="T216" i="13"/>
  <c r="U216" i="13"/>
  <c r="V216" i="13"/>
  <c r="W216" i="13"/>
  <c r="X216" i="13"/>
  <c r="Y216" i="13"/>
  <c r="Z216" i="13"/>
  <c r="AA216" i="13"/>
  <c r="AB216" i="13"/>
  <c r="AC216" i="13"/>
  <c r="AD216" i="13"/>
  <c r="AE216" i="13"/>
  <c r="AF216" i="13"/>
  <c r="AG216" i="13"/>
  <c r="AH216" i="13"/>
  <c r="AI216" i="13"/>
  <c r="E123" i="63"/>
  <c r="F110" i="63" s="1"/>
  <c r="F251" i="13" s="1"/>
  <c r="F220" i="13"/>
  <c r="G220" i="13"/>
  <c r="H220" i="13"/>
  <c r="I220" i="13"/>
  <c r="J220" i="13"/>
  <c r="K220" i="13"/>
  <c r="L220" i="13"/>
  <c r="M220" i="13"/>
  <c r="N220" i="13"/>
  <c r="O220" i="13"/>
  <c r="P220" i="13"/>
  <c r="Q220" i="13"/>
  <c r="R220" i="13"/>
  <c r="S220" i="13"/>
  <c r="T220" i="13"/>
  <c r="U220" i="13"/>
  <c r="V220" i="13"/>
  <c r="W220" i="13"/>
  <c r="X220" i="13"/>
  <c r="Y220" i="13"/>
  <c r="Z220" i="13"/>
  <c r="AA220" i="13"/>
  <c r="AB220" i="13"/>
  <c r="AC220" i="13"/>
  <c r="AD220" i="13"/>
  <c r="AE220" i="13"/>
  <c r="AF220" i="13"/>
  <c r="AG220" i="13"/>
  <c r="AH220" i="13"/>
  <c r="AI220" i="13"/>
  <c r="E126" i="63"/>
  <c r="F113" i="63" s="1"/>
  <c r="F254" i="13" s="1"/>
  <c r="F223" i="13"/>
  <c r="G223" i="13"/>
  <c r="H223" i="13"/>
  <c r="I223" i="13"/>
  <c r="J223" i="13"/>
  <c r="K223" i="13"/>
  <c r="L223" i="13"/>
  <c r="M223" i="13"/>
  <c r="N223" i="13"/>
  <c r="O223" i="13"/>
  <c r="P223" i="13"/>
  <c r="Q223" i="13"/>
  <c r="R223" i="13"/>
  <c r="S223" i="13"/>
  <c r="T223" i="13"/>
  <c r="U223" i="13"/>
  <c r="V223" i="13"/>
  <c r="W223" i="13"/>
  <c r="X223" i="13"/>
  <c r="Y223" i="13"/>
  <c r="Z223" i="13"/>
  <c r="AA223" i="13"/>
  <c r="AB223" i="13"/>
  <c r="AC223" i="13"/>
  <c r="AD223" i="13"/>
  <c r="AE223" i="13"/>
  <c r="AF223" i="13"/>
  <c r="AG223" i="13"/>
  <c r="AH223" i="13"/>
  <c r="AI223" i="13"/>
  <c r="E124" i="63"/>
  <c r="F111" i="63" s="1"/>
  <c r="F252" i="13" s="1"/>
  <c r="F221" i="13"/>
  <c r="G221" i="13"/>
  <c r="H221" i="13"/>
  <c r="I221" i="13"/>
  <c r="J221" i="13"/>
  <c r="K221" i="13"/>
  <c r="L221" i="13"/>
  <c r="M221" i="13"/>
  <c r="N221" i="13"/>
  <c r="O221" i="13"/>
  <c r="P221" i="13"/>
  <c r="Q221" i="13"/>
  <c r="R221" i="13"/>
  <c r="S221" i="13"/>
  <c r="T221" i="13"/>
  <c r="U221" i="13"/>
  <c r="V221" i="13"/>
  <c r="W221" i="13"/>
  <c r="X221" i="13"/>
  <c r="Y221" i="13"/>
  <c r="Z221" i="13"/>
  <c r="AA221" i="13"/>
  <c r="AB221" i="13"/>
  <c r="AC221" i="13"/>
  <c r="AD221" i="13"/>
  <c r="AE221" i="13"/>
  <c r="AF221" i="13"/>
  <c r="AG221" i="13"/>
  <c r="AH221" i="13"/>
  <c r="AI221" i="13"/>
  <c r="E121" i="63"/>
  <c r="F108" i="63" s="1"/>
  <c r="F249" i="13" s="1"/>
  <c r="F218" i="13"/>
  <c r="G218" i="13"/>
  <c r="H218" i="13"/>
  <c r="I218" i="13"/>
  <c r="J218" i="13"/>
  <c r="K218" i="13"/>
  <c r="L218" i="13"/>
  <c r="M218" i="13"/>
  <c r="N218" i="13"/>
  <c r="O218" i="13"/>
  <c r="P218" i="13"/>
  <c r="Q218" i="13"/>
  <c r="R218" i="13"/>
  <c r="S218" i="13"/>
  <c r="T218" i="13"/>
  <c r="U218" i="13"/>
  <c r="V218" i="13"/>
  <c r="W218" i="13"/>
  <c r="X218" i="13"/>
  <c r="Y218" i="13"/>
  <c r="Z218" i="13"/>
  <c r="AA218" i="13"/>
  <c r="AB218" i="13"/>
  <c r="AC218" i="13"/>
  <c r="AD218" i="13"/>
  <c r="AE218" i="13"/>
  <c r="AF218" i="13"/>
  <c r="AG218" i="13"/>
  <c r="AH218" i="13"/>
  <c r="AI218" i="13"/>
  <c r="AH8" i="13"/>
  <c r="Z8" i="13"/>
  <c r="R8" i="13"/>
  <c r="J8" i="13"/>
  <c r="AG8" i="13"/>
  <c r="Y8" i="13"/>
  <c r="Q8" i="13"/>
  <c r="I8" i="13"/>
  <c r="AF8" i="13"/>
  <c r="X8" i="13"/>
  <c r="P8" i="13"/>
  <c r="H8" i="13"/>
  <c r="AE8" i="13"/>
  <c r="W8" i="13"/>
  <c r="O8" i="13"/>
  <c r="G8" i="13"/>
  <c r="AD8" i="13"/>
  <c r="V8" i="13"/>
  <c r="N8" i="13"/>
  <c r="AB8" i="13"/>
  <c r="T8" i="13"/>
  <c r="L8" i="13"/>
  <c r="AI8" i="13"/>
  <c r="AA8" i="13"/>
  <c r="S8" i="13"/>
  <c r="K8" i="13"/>
  <c r="M8" i="13"/>
  <c r="AC8" i="13"/>
  <c r="U8" i="13"/>
  <c r="F8" i="13"/>
  <c r="AH5" i="13"/>
  <c r="Z5" i="13"/>
  <c r="R5" i="13"/>
  <c r="J5" i="13"/>
  <c r="AG5" i="13"/>
  <c r="Y5" i="13"/>
  <c r="Q5" i="13"/>
  <c r="I5" i="13"/>
  <c r="AF5" i="13"/>
  <c r="X5" i="13"/>
  <c r="P5" i="13"/>
  <c r="H5" i="13"/>
  <c r="AE5" i="13"/>
  <c r="W5" i="13"/>
  <c r="O5" i="13"/>
  <c r="G5" i="13"/>
  <c r="AD5" i="13"/>
  <c r="V5" i="13"/>
  <c r="N5" i="13"/>
  <c r="AB5" i="13"/>
  <c r="T5" i="13"/>
  <c r="L5" i="13"/>
  <c r="AI5" i="13"/>
  <c r="AA5" i="13"/>
  <c r="S5" i="13"/>
  <c r="K5" i="13"/>
  <c r="M5" i="13"/>
  <c r="U5" i="13"/>
  <c r="AC5" i="13"/>
  <c r="F5" i="13"/>
  <c r="AB10" i="13"/>
  <c r="T10" i="13"/>
  <c r="L10" i="13"/>
  <c r="AI10" i="13"/>
  <c r="AA10" i="13"/>
  <c r="S10" i="13"/>
  <c r="K10" i="13"/>
  <c r="AH10" i="13"/>
  <c r="Z10" i="13"/>
  <c r="R10" i="13"/>
  <c r="J10" i="13"/>
  <c r="AG10" i="13"/>
  <c r="Y10" i="13"/>
  <c r="Q10" i="13"/>
  <c r="I10" i="13"/>
  <c r="AF10" i="13"/>
  <c r="X10" i="13"/>
  <c r="P10" i="13"/>
  <c r="H10" i="13"/>
  <c r="AD10" i="13"/>
  <c r="V10" i="13"/>
  <c r="N10" i="13"/>
  <c r="AC10" i="13"/>
  <c r="U10" i="13"/>
  <c r="M10" i="13"/>
  <c r="AE10" i="13"/>
  <c r="W10" i="13"/>
  <c r="O10" i="13"/>
  <c r="G10" i="13"/>
  <c r="F10" i="13"/>
  <c r="AB12" i="13"/>
  <c r="T12" i="13"/>
  <c r="L12" i="13"/>
  <c r="AI12" i="13"/>
  <c r="AA12" i="13"/>
  <c r="S12" i="13"/>
  <c r="K12" i="13"/>
  <c r="AH12" i="13"/>
  <c r="Z12" i="13"/>
  <c r="R12" i="13"/>
  <c r="J12" i="13"/>
  <c r="AG12" i="13"/>
  <c r="Y12" i="13"/>
  <c r="Q12" i="13"/>
  <c r="I12" i="13"/>
  <c r="AF12" i="13"/>
  <c r="X12" i="13"/>
  <c r="P12" i="13"/>
  <c r="H12" i="13"/>
  <c r="AD12" i="13"/>
  <c r="V12" i="13"/>
  <c r="N12" i="13"/>
  <c r="AC12" i="13"/>
  <c r="U12" i="13"/>
  <c r="M12" i="13"/>
  <c r="W12" i="13"/>
  <c r="O12" i="13"/>
  <c r="AE12" i="13"/>
  <c r="G12" i="13"/>
  <c r="F12" i="13"/>
  <c r="AF6" i="13"/>
  <c r="X6" i="13"/>
  <c r="P6" i="13"/>
  <c r="H6" i="13"/>
  <c r="AE6" i="13"/>
  <c r="W6" i="13"/>
  <c r="O6" i="13"/>
  <c r="G6" i="13"/>
  <c r="AD6" i="13"/>
  <c r="V6" i="13"/>
  <c r="N6" i="13"/>
  <c r="AC6" i="13"/>
  <c r="U6" i="13"/>
  <c r="M6" i="13"/>
  <c r="AB6" i="13"/>
  <c r="T6" i="13"/>
  <c r="L6" i="13"/>
  <c r="AH6" i="13"/>
  <c r="Z6" i="13"/>
  <c r="R6" i="13"/>
  <c r="J6" i="13"/>
  <c r="AG6" i="13"/>
  <c r="Y6" i="13"/>
  <c r="Q6" i="13"/>
  <c r="I6" i="13"/>
  <c r="AI6" i="13"/>
  <c r="AA6" i="13"/>
  <c r="S6" i="13"/>
  <c r="K6" i="13"/>
  <c r="F6" i="13"/>
  <c r="AB4" i="13"/>
  <c r="T4" i="13"/>
  <c r="L4" i="13"/>
  <c r="AI4" i="13"/>
  <c r="AA4" i="13"/>
  <c r="S4" i="13"/>
  <c r="K4" i="13"/>
  <c r="AH4" i="13"/>
  <c r="Z4" i="13"/>
  <c r="R4" i="13"/>
  <c r="J4" i="13"/>
  <c r="AG4" i="13"/>
  <c r="Y4" i="13"/>
  <c r="Q4" i="13"/>
  <c r="I4" i="13"/>
  <c r="AF4" i="13"/>
  <c r="X4" i="13"/>
  <c r="P4" i="13"/>
  <c r="H4" i="13"/>
  <c r="AD4" i="13"/>
  <c r="V4" i="13"/>
  <c r="N4" i="13"/>
  <c r="AC4" i="13"/>
  <c r="U4" i="13"/>
  <c r="M4" i="13"/>
  <c r="AE4" i="13"/>
  <c r="W4" i="13"/>
  <c r="O4" i="13"/>
  <c r="G4" i="13"/>
  <c r="AH11" i="13"/>
  <c r="Z11" i="13"/>
  <c r="R11" i="13"/>
  <c r="J11" i="13"/>
  <c r="AG11" i="13"/>
  <c r="Y11" i="13"/>
  <c r="Q11" i="13"/>
  <c r="I11" i="13"/>
  <c r="AF11" i="13"/>
  <c r="X11" i="13"/>
  <c r="P11" i="13"/>
  <c r="H11" i="13"/>
  <c r="AE11" i="13"/>
  <c r="W11" i="13"/>
  <c r="O11" i="13"/>
  <c r="G11" i="13"/>
  <c r="AD11" i="13"/>
  <c r="V11" i="13"/>
  <c r="N11" i="13"/>
  <c r="AB11" i="13"/>
  <c r="T11" i="13"/>
  <c r="L11" i="13"/>
  <c r="AI11" i="13"/>
  <c r="AA11" i="13"/>
  <c r="S11" i="13"/>
  <c r="K11" i="13"/>
  <c r="AC11" i="13"/>
  <c r="U11" i="13"/>
  <c r="M11" i="13"/>
  <c r="F11" i="13"/>
  <c r="AD9" i="13"/>
  <c r="V9" i="13"/>
  <c r="N9" i="13"/>
  <c r="AC9" i="13"/>
  <c r="U9" i="13"/>
  <c r="M9" i="13"/>
  <c r="AB9" i="13"/>
  <c r="T9" i="13"/>
  <c r="L9" i="13"/>
  <c r="AI9" i="13"/>
  <c r="AA9" i="13"/>
  <c r="S9" i="13"/>
  <c r="K9" i="13"/>
  <c r="AH9" i="13"/>
  <c r="Z9" i="13"/>
  <c r="R9" i="13"/>
  <c r="J9" i="13"/>
  <c r="AF9" i="13"/>
  <c r="X9" i="13"/>
  <c r="P9" i="13"/>
  <c r="H9" i="13"/>
  <c r="AE9" i="13"/>
  <c r="W9" i="13"/>
  <c r="O9" i="13"/>
  <c r="G9" i="13"/>
  <c r="AG9" i="13"/>
  <c r="Y9" i="13"/>
  <c r="I9" i="13"/>
  <c r="Q9" i="13"/>
  <c r="AD7" i="13"/>
  <c r="V7" i="13"/>
  <c r="N7" i="13"/>
  <c r="AC7" i="13"/>
  <c r="U7" i="13"/>
  <c r="M7" i="13"/>
  <c r="AB7" i="13"/>
  <c r="T7" i="13"/>
  <c r="L7" i="13"/>
  <c r="AI7" i="13"/>
  <c r="AA7" i="13"/>
  <c r="S7" i="13"/>
  <c r="K7" i="13"/>
  <c r="AH7" i="13"/>
  <c r="Z7" i="13"/>
  <c r="R7" i="13"/>
  <c r="J7" i="13"/>
  <c r="AF7" i="13"/>
  <c r="X7" i="13"/>
  <c r="P7" i="13"/>
  <c r="H7" i="13"/>
  <c r="AE7" i="13"/>
  <c r="W7" i="13"/>
  <c r="O7" i="13"/>
  <c r="G7" i="13"/>
  <c r="I7" i="13"/>
  <c r="Q7" i="13"/>
  <c r="AG7" i="13"/>
  <c r="Y7" i="13"/>
  <c r="F7" i="13"/>
  <c r="F65" i="38"/>
  <c r="F70" i="26"/>
  <c r="E49" i="40"/>
  <c r="E73" i="39"/>
  <c r="F64" i="24"/>
  <c r="F52" i="27"/>
  <c r="E80" i="25"/>
  <c r="F145" i="23"/>
  <c r="F67" i="38"/>
  <c r="E75" i="39"/>
  <c r="F138" i="23"/>
  <c r="F54" i="27"/>
  <c r="E82" i="25"/>
  <c r="F72" i="26"/>
  <c r="E51" i="40"/>
  <c r="F66" i="24"/>
  <c r="F63" i="38"/>
  <c r="F62" i="24"/>
  <c r="F50" i="27"/>
  <c r="E78" i="25"/>
  <c r="F141" i="23"/>
  <c r="F68" i="26"/>
  <c r="F55" i="26" s="1"/>
  <c r="E47" i="40"/>
  <c r="E71" i="39"/>
  <c r="F64" i="38"/>
  <c r="F51" i="27"/>
  <c r="E79" i="25"/>
  <c r="F69" i="26"/>
  <c r="E48" i="40"/>
  <c r="F63" i="24"/>
  <c r="E72" i="39"/>
  <c r="F144" i="23"/>
  <c r="F68" i="38"/>
  <c r="F55" i="27"/>
  <c r="E83" i="25"/>
  <c r="F67" i="24"/>
  <c r="F142" i="23"/>
  <c r="F73" i="26"/>
  <c r="E52" i="40"/>
  <c r="E76" i="39"/>
  <c r="F61" i="38"/>
  <c r="E69" i="39"/>
  <c r="F48" i="27"/>
  <c r="F35" i="27" s="1"/>
  <c r="E76" i="25"/>
  <c r="F66" i="26"/>
  <c r="E45" i="40"/>
  <c r="F96" i="13" s="1"/>
  <c r="F60" i="24"/>
  <c r="H47" i="24" s="1"/>
  <c r="H60" i="13" s="1"/>
  <c r="F139" i="23"/>
  <c r="F62" i="38"/>
  <c r="F49" i="27"/>
  <c r="E77" i="25"/>
  <c r="F140" i="23"/>
  <c r="E46" i="40"/>
  <c r="F67" i="26"/>
  <c r="E70" i="39"/>
  <c r="F61" i="24"/>
  <c r="F60" i="38"/>
  <c r="F47" i="38" s="1"/>
  <c r="E68" i="39"/>
  <c r="F137" i="23"/>
  <c r="F59" i="24"/>
  <c r="H46" i="24" s="1"/>
  <c r="E44" i="40"/>
  <c r="F95" i="13" s="1"/>
  <c r="F65" i="26"/>
  <c r="E75" i="25"/>
  <c r="E62" i="25" s="1"/>
  <c r="G174" i="1"/>
  <c r="F47" i="27"/>
  <c r="F66" i="38"/>
  <c r="F143" i="23"/>
  <c r="E74" i="39"/>
  <c r="F71" i="26"/>
  <c r="E81" i="25"/>
  <c r="F53" i="27"/>
  <c r="F65" i="24"/>
  <c r="E50" i="40"/>
  <c r="AA51" i="34"/>
  <c r="AA58" i="34" s="1"/>
  <c r="F59" i="65" l="1"/>
  <c r="G85" i="13" s="1"/>
  <c r="G59" i="65"/>
  <c r="H85" i="13" s="1"/>
  <c r="AK59" i="65"/>
  <c r="AE57" i="65"/>
  <c r="AF83" i="13" s="1"/>
  <c r="AE59" i="65"/>
  <c r="AF85" i="13" s="1"/>
  <c r="I57" i="65"/>
  <c r="J83" i="13" s="1"/>
  <c r="AA57" i="65"/>
  <c r="AB83" i="13" s="1"/>
  <c r="P59" i="65"/>
  <c r="Q85" i="13" s="1"/>
  <c r="AJ57" i="65"/>
  <c r="AH59" i="65"/>
  <c r="AI85" i="13" s="1"/>
  <c r="W57" i="65"/>
  <c r="X83" i="13" s="1"/>
  <c r="AI57" i="65"/>
  <c r="L57" i="65"/>
  <c r="M83" i="13" s="1"/>
  <c r="AM57" i="65"/>
  <c r="E57" i="65"/>
  <c r="F83" i="13" s="1"/>
  <c r="O57" i="65"/>
  <c r="P83" i="13" s="1"/>
  <c r="AK57" i="65"/>
  <c r="U56" i="65"/>
  <c r="V82" i="13" s="1"/>
  <c r="E56" i="65"/>
  <c r="F82" i="13" s="1"/>
  <c r="AG61" i="65"/>
  <c r="AH87" i="13" s="1"/>
  <c r="O56" i="65"/>
  <c r="P82" i="13" s="1"/>
  <c r="AC61" i="65"/>
  <c r="AD87" i="13" s="1"/>
  <c r="AL61" i="65"/>
  <c r="I56" i="65"/>
  <c r="J82" i="13" s="1"/>
  <c r="N61" i="65"/>
  <c r="O87" i="13" s="1"/>
  <c r="AB61" i="65"/>
  <c r="AC87" i="13" s="1"/>
  <c r="AD56" i="65"/>
  <c r="AE82" i="13" s="1"/>
  <c r="AM61" i="65"/>
  <c r="AA61" i="65"/>
  <c r="AB87" i="13" s="1"/>
  <c r="AI56" i="65"/>
  <c r="Q56" i="65"/>
  <c r="R82" i="13" s="1"/>
  <c r="S61" i="65"/>
  <c r="T87" i="13" s="1"/>
  <c r="AB56" i="65"/>
  <c r="AC82" i="13" s="1"/>
  <c r="Y56" i="65"/>
  <c r="Z82" i="13" s="1"/>
  <c r="O61" i="65"/>
  <c r="P87" i="13" s="1"/>
  <c r="AH56" i="65"/>
  <c r="AI82" i="13" s="1"/>
  <c r="AL56" i="65"/>
  <c r="M61" i="65"/>
  <c r="N87" i="13" s="1"/>
  <c r="R57" i="65"/>
  <c r="S83" i="13" s="1"/>
  <c r="X61" i="65"/>
  <c r="Y87" i="13" s="1"/>
  <c r="K61" i="65"/>
  <c r="L87" i="13" s="1"/>
  <c r="AD60" i="65"/>
  <c r="AE86" i="13" s="1"/>
  <c r="J57" i="65"/>
  <c r="K83" i="13" s="1"/>
  <c r="AJ54" i="65"/>
  <c r="P60" i="65"/>
  <c r="Q86" i="13" s="1"/>
  <c r="AM60" i="65"/>
  <c r="AK55" i="65"/>
  <c r="AB55" i="65"/>
  <c r="AC81" i="13" s="1"/>
  <c r="AE60" i="65"/>
  <c r="AF86" i="13" s="1"/>
  <c r="V60" i="65"/>
  <c r="W86" i="13" s="1"/>
  <c r="U55" i="65"/>
  <c r="V81" i="13" s="1"/>
  <c r="G55" i="65"/>
  <c r="H81" i="13" s="1"/>
  <c r="N55" i="65"/>
  <c r="O81" i="13" s="1"/>
  <c r="Z55" i="65"/>
  <c r="AA81" i="13" s="1"/>
  <c r="Y55" i="65"/>
  <c r="Z81" i="13" s="1"/>
  <c r="K55" i="65"/>
  <c r="L81" i="13" s="1"/>
  <c r="J60" i="65"/>
  <c r="K86" i="13" s="1"/>
  <c r="AK60" i="65"/>
  <c r="AL60" i="65"/>
  <c r="AB60" i="65"/>
  <c r="AC86" i="13" s="1"/>
  <c r="X55" i="65"/>
  <c r="Y81" i="13" s="1"/>
  <c r="I55" i="65"/>
  <c r="J81" i="13" s="1"/>
  <c r="AC55" i="65"/>
  <c r="AD81" i="13" s="1"/>
  <c r="AE55" i="65"/>
  <c r="AF81" i="13" s="1"/>
  <c r="Y60" i="65"/>
  <c r="Z86" i="13" s="1"/>
  <c r="K60" i="65"/>
  <c r="L86" i="13" s="1"/>
  <c r="AF60" i="65"/>
  <c r="AG86" i="13" s="1"/>
  <c r="AI60" i="65"/>
  <c r="F60" i="65"/>
  <c r="G86" i="13" s="1"/>
  <c r="AD55" i="65"/>
  <c r="AE81" i="13" s="1"/>
  <c r="R55" i="65"/>
  <c r="S81" i="13" s="1"/>
  <c r="L55" i="65"/>
  <c r="M81" i="13" s="1"/>
  <c r="V55" i="65"/>
  <c r="W81" i="13" s="1"/>
  <c r="O60" i="65"/>
  <c r="P86" i="13" s="1"/>
  <c r="S60" i="65"/>
  <c r="T86" i="13" s="1"/>
  <c r="U60" i="65"/>
  <c r="V86" i="13" s="1"/>
  <c r="AH60" i="65"/>
  <c r="AI86" i="13" s="1"/>
  <c r="M60" i="65"/>
  <c r="N86" i="13" s="1"/>
  <c r="F55" i="65"/>
  <c r="G81" i="13" s="1"/>
  <c r="J55" i="65"/>
  <c r="K81" i="13" s="1"/>
  <c r="AA55" i="65"/>
  <c r="AB81" i="13" s="1"/>
  <c r="AI55" i="65"/>
  <c r="T60" i="65"/>
  <c r="U86" i="13" s="1"/>
  <c r="N60" i="65"/>
  <c r="O86" i="13" s="1"/>
  <c r="AG60" i="65"/>
  <c r="AH86" i="13" s="1"/>
  <c r="I60" i="65"/>
  <c r="J86" i="13" s="1"/>
  <c r="Q55" i="65"/>
  <c r="R81" i="13" s="1"/>
  <c r="AL55" i="65"/>
  <c r="H55" i="65"/>
  <c r="I81" i="13" s="1"/>
  <c r="T55" i="65"/>
  <c r="U81" i="13" s="1"/>
  <c r="AM55" i="65"/>
  <c r="AC60" i="65"/>
  <c r="AD86" i="13" s="1"/>
  <c r="W60" i="65"/>
  <c r="X86" i="13" s="1"/>
  <c r="Z60" i="65"/>
  <c r="AA86" i="13" s="1"/>
  <c r="Q60" i="65"/>
  <c r="R86" i="13" s="1"/>
  <c r="M55" i="65"/>
  <c r="N81" i="13" s="1"/>
  <c r="P55" i="65"/>
  <c r="Q81" i="13" s="1"/>
  <c r="W55" i="65"/>
  <c r="X81" i="13" s="1"/>
  <c r="AJ55" i="65"/>
  <c r="O55" i="65"/>
  <c r="P81" i="13" s="1"/>
  <c r="G60" i="65"/>
  <c r="H86" i="13" s="1"/>
  <c r="E60" i="65"/>
  <c r="F86" i="13" s="1"/>
  <c r="L60" i="65"/>
  <c r="M86" i="13" s="1"/>
  <c r="AA60" i="65"/>
  <c r="AB86" i="13" s="1"/>
  <c r="S55" i="65"/>
  <c r="T81" i="13" s="1"/>
  <c r="AG55" i="65"/>
  <c r="AH81" i="13" s="1"/>
  <c r="AH55" i="65"/>
  <c r="AI81" i="13" s="1"/>
  <c r="AF55" i="65"/>
  <c r="AG81" i="13" s="1"/>
  <c r="R60" i="65"/>
  <c r="S86" i="13" s="1"/>
  <c r="X60" i="65"/>
  <c r="Y86" i="13" s="1"/>
  <c r="H60" i="65"/>
  <c r="I86" i="13" s="1"/>
  <c r="F56" i="65"/>
  <c r="G82" i="13" s="1"/>
  <c r="AM56" i="65"/>
  <c r="L56" i="65"/>
  <c r="M82" i="13" s="1"/>
  <c r="P56" i="65"/>
  <c r="Q82" i="13" s="1"/>
  <c r="E61" i="65"/>
  <c r="F87" i="13" s="1"/>
  <c r="AF61" i="65"/>
  <c r="AG87" i="13" s="1"/>
  <c r="AK61" i="65"/>
  <c r="AI61" i="65"/>
  <c r="F61" i="65"/>
  <c r="G87" i="13" s="1"/>
  <c r="AK56" i="65"/>
  <c r="AG56" i="65"/>
  <c r="AH82" i="13" s="1"/>
  <c r="J56" i="65"/>
  <c r="K82" i="13" s="1"/>
  <c r="Z56" i="65"/>
  <c r="AA82" i="13" s="1"/>
  <c r="Q61" i="65"/>
  <c r="R87" i="13" s="1"/>
  <c r="AH61" i="65"/>
  <c r="AI87" i="13" s="1"/>
  <c r="V61" i="65"/>
  <c r="W87" i="13" s="1"/>
  <c r="H61" i="65"/>
  <c r="I87" i="13" s="1"/>
  <c r="Y61" i="65"/>
  <c r="Z87" i="13" s="1"/>
  <c r="V56" i="65"/>
  <c r="W82" i="13" s="1"/>
  <c r="S56" i="65"/>
  <c r="T82" i="13" s="1"/>
  <c r="G56" i="65"/>
  <c r="H82" i="13" s="1"/>
  <c r="AF56" i="65"/>
  <c r="AG82" i="13" s="1"/>
  <c r="J61" i="65"/>
  <c r="K87" i="13" s="1"/>
  <c r="T61" i="65"/>
  <c r="U87" i="13" s="1"/>
  <c r="AJ61" i="65"/>
  <c r="Z61" i="65"/>
  <c r="AA87" i="13" s="1"/>
  <c r="M56" i="65"/>
  <c r="N82" i="13" s="1"/>
  <c r="X56" i="65"/>
  <c r="Y82" i="13" s="1"/>
  <c r="K56" i="65"/>
  <c r="L82" i="13" s="1"/>
  <c r="W56" i="65"/>
  <c r="X82" i="13" s="1"/>
  <c r="N56" i="65"/>
  <c r="O82" i="13" s="1"/>
  <c r="L61" i="65"/>
  <c r="M87" i="13" s="1"/>
  <c r="AD61" i="65"/>
  <c r="AE87" i="13" s="1"/>
  <c r="U61" i="65"/>
  <c r="V87" i="13" s="1"/>
  <c r="W61" i="65"/>
  <c r="X87" i="13" s="1"/>
  <c r="AJ56" i="65"/>
  <c r="R56" i="65"/>
  <c r="S82" i="13" s="1"/>
  <c r="AC56" i="65"/>
  <c r="AD82" i="13" s="1"/>
  <c r="AA56" i="65"/>
  <c r="AB82" i="13" s="1"/>
  <c r="R61" i="65"/>
  <c r="S87" i="13" s="1"/>
  <c r="G61" i="65"/>
  <c r="H87" i="13" s="1"/>
  <c r="P61" i="65"/>
  <c r="Q87" i="13" s="1"/>
  <c r="AB54" i="65"/>
  <c r="AC80" i="13" s="1"/>
  <c r="AE54" i="65"/>
  <c r="AF80" i="13" s="1"/>
  <c r="AD54" i="65"/>
  <c r="AE80" i="13" s="1"/>
  <c r="N54" i="65"/>
  <c r="O80" i="13" s="1"/>
  <c r="AC54" i="65"/>
  <c r="AD80" i="13" s="1"/>
  <c r="Q54" i="65"/>
  <c r="R80" i="13" s="1"/>
  <c r="AA54" i="65"/>
  <c r="AB80" i="13" s="1"/>
  <c r="AH54" i="65"/>
  <c r="AI80" i="13" s="1"/>
  <c r="X54" i="65"/>
  <c r="Y80" i="13" s="1"/>
  <c r="AI54" i="65"/>
  <c r="S54" i="65"/>
  <c r="T80" i="13" s="1"/>
  <c r="R54" i="65"/>
  <c r="S80" i="13" s="1"/>
  <c r="P54" i="65"/>
  <c r="Q80" i="13" s="1"/>
  <c r="H54" i="65"/>
  <c r="I80" i="13" s="1"/>
  <c r="AH57" i="65"/>
  <c r="AI83" i="13" s="1"/>
  <c r="AL54" i="65"/>
  <c r="AK54" i="65"/>
  <c r="AM54" i="65"/>
  <c r="N57" i="65"/>
  <c r="O83" i="13" s="1"/>
  <c r="F57" i="65"/>
  <c r="G83" i="13" s="1"/>
  <c r="Z54" i="65"/>
  <c r="AA80" i="13" s="1"/>
  <c r="AF54" i="65"/>
  <c r="AG80" i="13" s="1"/>
  <c r="E54" i="65"/>
  <c r="F80" i="13" s="1"/>
  <c r="AD57" i="65"/>
  <c r="AE83" i="13" s="1"/>
  <c r="M57" i="65"/>
  <c r="N83" i="13" s="1"/>
  <c r="T54" i="65"/>
  <c r="U80" i="13" s="1"/>
  <c r="O54" i="65"/>
  <c r="P80" i="13" s="1"/>
  <c r="V54" i="65"/>
  <c r="W80" i="13" s="1"/>
  <c r="F54" i="65"/>
  <c r="G80" i="13" s="1"/>
  <c r="AG57" i="65"/>
  <c r="AH83" i="13" s="1"/>
  <c r="T57" i="65"/>
  <c r="U83" i="13" s="1"/>
  <c r="P57" i="65"/>
  <c r="Q83" i="13" s="1"/>
  <c r="K54" i="65"/>
  <c r="L80" i="13" s="1"/>
  <c r="M54" i="65"/>
  <c r="N80" i="13" s="1"/>
  <c r="Y54" i="65"/>
  <c r="Z80" i="13" s="1"/>
  <c r="U54" i="65"/>
  <c r="V80" i="13" s="1"/>
  <c r="G57" i="65"/>
  <c r="H83" i="13" s="1"/>
  <c r="S57" i="65"/>
  <c r="T83" i="13" s="1"/>
  <c r="AC57" i="65"/>
  <c r="AD83" i="13" s="1"/>
  <c r="F78" i="23"/>
  <c r="I144" i="23"/>
  <c r="H144" i="23"/>
  <c r="G144" i="23"/>
  <c r="F79" i="23"/>
  <c r="H145" i="23"/>
  <c r="I145" i="23"/>
  <c r="G145" i="23"/>
  <c r="G142" i="23"/>
  <c r="F76" i="23"/>
  <c r="H142" i="23"/>
  <c r="I142" i="23"/>
  <c r="I141" i="23"/>
  <c r="G141" i="23"/>
  <c r="H141" i="23"/>
  <c r="F75" i="23"/>
  <c r="G144" i="22"/>
  <c r="F143" i="22" s="1"/>
  <c r="I137" i="23"/>
  <c r="H137" i="23"/>
  <c r="G137" i="23"/>
  <c r="F71" i="23"/>
  <c r="I138" i="23"/>
  <c r="H138" i="23"/>
  <c r="G138" i="23"/>
  <c r="H57" i="65"/>
  <c r="I83" i="13" s="1"/>
  <c r="I140" i="23"/>
  <c r="G140" i="23"/>
  <c r="F74" i="23"/>
  <c r="H140" i="23"/>
  <c r="G54" i="65"/>
  <c r="H80" i="13" s="1"/>
  <c r="L54" i="65"/>
  <c r="M80" i="13" s="1"/>
  <c r="AG54" i="65"/>
  <c r="AH80" i="13" s="1"/>
  <c r="AB57" i="65"/>
  <c r="AC83" i="13" s="1"/>
  <c r="Y57" i="65"/>
  <c r="Z83" i="13" s="1"/>
  <c r="X57" i="65"/>
  <c r="Y83" i="13" s="1"/>
  <c r="Q57" i="65"/>
  <c r="R83" i="13" s="1"/>
  <c r="Z57" i="65"/>
  <c r="AA83" i="13" s="1"/>
  <c r="W54" i="65"/>
  <c r="X80" i="13" s="1"/>
  <c r="I54" i="65"/>
  <c r="J80" i="13" s="1"/>
  <c r="AF57" i="65"/>
  <c r="AG83" i="13" s="1"/>
  <c r="AL57" i="65"/>
  <c r="V57" i="65"/>
  <c r="W83" i="13" s="1"/>
  <c r="K57" i="65"/>
  <c r="L83" i="13" s="1"/>
  <c r="AF97" i="22"/>
  <c r="AF122" i="22" s="1"/>
  <c r="X97" i="22"/>
  <c r="X122" i="22" s="1"/>
  <c r="P97" i="22"/>
  <c r="P122" i="22" s="1"/>
  <c r="H97" i="22"/>
  <c r="H122" i="22" s="1"/>
  <c r="AE97" i="22"/>
  <c r="AE122" i="22" s="1"/>
  <c r="W97" i="22"/>
  <c r="W122" i="22" s="1"/>
  <c r="O97" i="22"/>
  <c r="O122" i="22" s="1"/>
  <c r="G97" i="22"/>
  <c r="G122" i="22" s="1"/>
  <c r="AD97" i="22"/>
  <c r="AD122" i="22" s="1"/>
  <c r="V97" i="22"/>
  <c r="V122" i="22" s="1"/>
  <c r="N97" i="22"/>
  <c r="N122" i="22" s="1"/>
  <c r="F97" i="22"/>
  <c r="F122" i="22" s="1"/>
  <c r="AH97" i="22"/>
  <c r="AH122" i="22" s="1"/>
  <c r="Z97" i="22"/>
  <c r="Z122" i="22" s="1"/>
  <c r="R97" i="22"/>
  <c r="R122" i="22" s="1"/>
  <c r="J97" i="22"/>
  <c r="J122" i="22" s="1"/>
  <c r="AC97" i="22"/>
  <c r="AC122" i="22" s="1"/>
  <c r="M97" i="22"/>
  <c r="M122" i="22" s="1"/>
  <c r="AG97" i="22"/>
  <c r="AG122" i="22" s="1"/>
  <c r="AB97" i="22"/>
  <c r="AB122" i="22" s="1"/>
  <c r="L97" i="22"/>
  <c r="L122" i="22" s="1"/>
  <c r="Q97" i="22"/>
  <c r="Q122" i="22" s="1"/>
  <c r="AA97" i="22"/>
  <c r="AA122" i="22" s="1"/>
  <c r="K97" i="22"/>
  <c r="K122" i="22" s="1"/>
  <c r="Y97" i="22"/>
  <c r="Y122" i="22" s="1"/>
  <c r="I97" i="22"/>
  <c r="I122" i="22" s="1"/>
  <c r="E97" i="22"/>
  <c r="E122" i="22" s="1"/>
  <c r="U97" i="22"/>
  <c r="U122" i="22" s="1"/>
  <c r="T97" i="22"/>
  <c r="T122" i="22" s="1"/>
  <c r="S97" i="22"/>
  <c r="S122" i="22" s="1"/>
  <c r="AI50" i="13"/>
  <c r="AA50" i="13"/>
  <c r="K50" i="13"/>
  <c r="AH50" i="13"/>
  <c r="R50" i="13"/>
  <c r="J50" i="13"/>
  <c r="AF50" i="13"/>
  <c r="X50" i="13"/>
  <c r="H50" i="13"/>
  <c r="V50" i="13"/>
  <c r="I50" i="13"/>
  <c r="W50" i="13"/>
  <c r="AG50" i="13"/>
  <c r="U50" i="13"/>
  <c r="G50" i="13"/>
  <c r="Q50" i="13"/>
  <c r="O50" i="13"/>
  <c r="AE50" i="13"/>
  <c r="T50" i="13"/>
  <c r="AD50" i="13"/>
  <c r="AC50" i="13"/>
  <c r="L50" i="13"/>
  <c r="AB50" i="13"/>
  <c r="N50" i="13"/>
  <c r="Y50" i="13"/>
  <c r="M50" i="13"/>
  <c r="AE55" i="13"/>
  <c r="W55" i="13"/>
  <c r="O55" i="13"/>
  <c r="G55" i="13"/>
  <c r="U55" i="13"/>
  <c r="M55" i="13"/>
  <c r="AD55" i="13"/>
  <c r="V55" i="13"/>
  <c r="N55" i="13"/>
  <c r="AB55" i="13"/>
  <c r="T55" i="13"/>
  <c r="L55" i="13"/>
  <c r="AI55" i="13"/>
  <c r="AA55" i="13"/>
  <c r="AH55" i="13"/>
  <c r="AG55" i="13"/>
  <c r="K55" i="13"/>
  <c r="H55" i="13"/>
  <c r="AF55" i="13"/>
  <c r="J55" i="13"/>
  <c r="I55" i="13"/>
  <c r="Y55" i="13"/>
  <c r="X55" i="13"/>
  <c r="R55" i="13"/>
  <c r="Q55" i="13"/>
  <c r="F81" i="13"/>
  <c r="E53" i="65"/>
  <c r="E75" i="65"/>
  <c r="U53" i="65"/>
  <c r="Z53" i="65"/>
  <c r="Q53" i="65"/>
  <c r="AJ53" i="65"/>
  <c r="M53" i="65"/>
  <c r="AH53" i="65"/>
  <c r="AI53" i="65"/>
  <c r="AG53" i="65"/>
  <c r="L53" i="65"/>
  <c r="G53" i="65"/>
  <c r="I53" i="65"/>
  <c r="O53" i="65"/>
  <c r="AF53" i="65"/>
  <c r="AM53" i="65"/>
  <c r="AD53" i="65"/>
  <c r="Y53" i="65"/>
  <c r="S53" i="65"/>
  <c r="AE53" i="65"/>
  <c r="N53" i="65"/>
  <c r="H53" i="65"/>
  <c r="AC53" i="65"/>
  <c r="AK53" i="65"/>
  <c r="T53" i="65"/>
  <c r="AL53" i="65"/>
  <c r="F53" i="65"/>
  <c r="J53" i="65"/>
  <c r="V53" i="65"/>
  <c r="AA53" i="65"/>
  <c r="P53" i="65"/>
  <c r="W53" i="65"/>
  <c r="K53" i="65"/>
  <c r="AB53" i="65"/>
  <c r="X53" i="65"/>
  <c r="R53" i="65"/>
  <c r="F85" i="13"/>
  <c r="E85" i="13" s="1"/>
  <c r="F34" i="27"/>
  <c r="F56" i="27"/>
  <c r="F74" i="26"/>
  <c r="E58" i="65"/>
  <c r="Y58" i="65"/>
  <c r="Z84" i="13" s="1"/>
  <c r="L58" i="65"/>
  <c r="M84" i="13" s="1"/>
  <c r="J58" i="65"/>
  <c r="K84" i="13" s="1"/>
  <c r="AM58" i="65"/>
  <c r="T58" i="65"/>
  <c r="U84" i="13" s="1"/>
  <c r="O58" i="65"/>
  <c r="P84" i="13" s="1"/>
  <c r="AG58" i="65"/>
  <c r="AH84" i="13" s="1"/>
  <c r="AE58" i="65"/>
  <c r="AF84" i="13" s="1"/>
  <c r="G58" i="65"/>
  <c r="H84" i="13" s="1"/>
  <c r="W58" i="65"/>
  <c r="X84" i="13" s="1"/>
  <c r="AI58" i="65"/>
  <c r="U58" i="65"/>
  <c r="V84" i="13" s="1"/>
  <c r="F58" i="65"/>
  <c r="G84" i="13" s="1"/>
  <c r="S58" i="65"/>
  <c r="T84" i="13" s="1"/>
  <c r="V58" i="65"/>
  <c r="W84" i="13" s="1"/>
  <c r="AL58" i="65"/>
  <c r="Q58" i="65"/>
  <c r="R84" i="13" s="1"/>
  <c r="AB58" i="65"/>
  <c r="AC84" i="13" s="1"/>
  <c r="X58" i="65"/>
  <c r="Y84" i="13" s="1"/>
  <c r="AH58" i="65"/>
  <c r="AI84" i="13" s="1"/>
  <c r="Z58" i="65"/>
  <c r="AA84" i="13" s="1"/>
  <c r="I58" i="65"/>
  <c r="J84" i="13" s="1"/>
  <c r="AK58" i="65"/>
  <c r="AA58" i="65"/>
  <c r="AB84" i="13" s="1"/>
  <c r="AD58" i="65"/>
  <c r="AE84" i="13" s="1"/>
  <c r="R58" i="65"/>
  <c r="S84" i="13" s="1"/>
  <c r="AC58" i="65"/>
  <c r="AD84" i="13" s="1"/>
  <c r="M58" i="65"/>
  <c r="N84" i="13" s="1"/>
  <c r="K58" i="65"/>
  <c r="L84" i="13" s="1"/>
  <c r="P58" i="65"/>
  <c r="Q84" i="13" s="1"/>
  <c r="AF58" i="65"/>
  <c r="AG84" i="13" s="1"/>
  <c r="N58" i="65"/>
  <c r="O84" i="13" s="1"/>
  <c r="H58" i="65"/>
  <c r="I84" i="13" s="1"/>
  <c r="AJ58" i="65"/>
  <c r="F146" i="23"/>
  <c r="G101" i="13"/>
  <c r="F101" i="13"/>
  <c r="H101" i="13"/>
  <c r="I101" i="13"/>
  <c r="J101" i="13"/>
  <c r="K101" i="13"/>
  <c r="L101" i="13"/>
  <c r="M101" i="13"/>
  <c r="N101" i="13"/>
  <c r="O101" i="13"/>
  <c r="P101" i="13"/>
  <c r="Q101" i="13"/>
  <c r="R101" i="13"/>
  <c r="S101" i="13"/>
  <c r="T101" i="13"/>
  <c r="U101" i="13"/>
  <c r="V101" i="13"/>
  <c r="W101" i="13"/>
  <c r="X101" i="13"/>
  <c r="Y101" i="13"/>
  <c r="Z101" i="13"/>
  <c r="AA101" i="13"/>
  <c r="AB101" i="13"/>
  <c r="AC101" i="13"/>
  <c r="AD101" i="13"/>
  <c r="AE101" i="13"/>
  <c r="AF101" i="13"/>
  <c r="AG101" i="13"/>
  <c r="AH101" i="13"/>
  <c r="AI101" i="13"/>
  <c r="G100" i="13"/>
  <c r="F100" i="13"/>
  <c r="H100" i="13"/>
  <c r="I100" i="13"/>
  <c r="J100" i="13"/>
  <c r="K100" i="13"/>
  <c r="L100" i="13"/>
  <c r="M100" i="13"/>
  <c r="N100" i="13"/>
  <c r="O100" i="13"/>
  <c r="P100" i="13"/>
  <c r="Q100" i="13"/>
  <c r="R100" i="13"/>
  <c r="S100" i="13"/>
  <c r="T100" i="13"/>
  <c r="U100" i="13"/>
  <c r="V100" i="13"/>
  <c r="W100" i="13"/>
  <c r="X100" i="13"/>
  <c r="Y100" i="13"/>
  <c r="Z100" i="13"/>
  <c r="AA100" i="13"/>
  <c r="AB100" i="13"/>
  <c r="AC100" i="13"/>
  <c r="AD100" i="13"/>
  <c r="AE100" i="13"/>
  <c r="AF100" i="13"/>
  <c r="AG100" i="13"/>
  <c r="AH100" i="13"/>
  <c r="AI100" i="13"/>
  <c r="G98" i="13"/>
  <c r="F98" i="13"/>
  <c r="H98" i="13"/>
  <c r="I98" i="13"/>
  <c r="J98" i="13"/>
  <c r="K98" i="13"/>
  <c r="L98" i="13"/>
  <c r="M98" i="13"/>
  <c r="N98" i="13"/>
  <c r="O98" i="13"/>
  <c r="P98" i="13"/>
  <c r="Q98" i="13"/>
  <c r="R98" i="13"/>
  <c r="S98" i="13"/>
  <c r="T98" i="13"/>
  <c r="U98" i="13"/>
  <c r="V98" i="13"/>
  <c r="W98" i="13"/>
  <c r="X98" i="13"/>
  <c r="Y98" i="13"/>
  <c r="Z98" i="13"/>
  <c r="AA98" i="13"/>
  <c r="AB98" i="13"/>
  <c r="AC98" i="13"/>
  <c r="AD98" i="13"/>
  <c r="AE98" i="13"/>
  <c r="AF98" i="13"/>
  <c r="AG98" i="13"/>
  <c r="AH98" i="13"/>
  <c r="AI98" i="13"/>
  <c r="G113" i="63"/>
  <c r="G254" i="13" s="1"/>
  <c r="H113" i="63"/>
  <c r="H254" i="13" s="1"/>
  <c r="I113" i="63"/>
  <c r="I254" i="13" s="1"/>
  <c r="J113" i="63"/>
  <c r="J254" i="13" s="1"/>
  <c r="K113" i="63"/>
  <c r="K254" i="13" s="1"/>
  <c r="L113" i="63"/>
  <c r="L254" i="13" s="1"/>
  <c r="M113" i="63"/>
  <c r="M254" i="13" s="1"/>
  <c r="N113" i="63"/>
  <c r="N254" i="13" s="1"/>
  <c r="O113" i="63"/>
  <c r="O254" i="13" s="1"/>
  <c r="P113" i="63"/>
  <c r="P254" i="13" s="1"/>
  <c r="Q113" i="63"/>
  <c r="Q254" i="13" s="1"/>
  <c r="R113" i="63"/>
  <c r="R254" i="13" s="1"/>
  <c r="S113" i="63"/>
  <c r="S254" i="13" s="1"/>
  <c r="T113" i="63"/>
  <c r="T254" i="13" s="1"/>
  <c r="U113" i="63"/>
  <c r="U254" i="13" s="1"/>
  <c r="V113" i="63"/>
  <c r="V254" i="13" s="1"/>
  <c r="W113" i="63"/>
  <c r="W254" i="13" s="1"/>
  <c r="X113" i="63"/>
  <c r="X254" i="13" s="1"/>
  <c r="Y113" i="63"/>
  <c r="Y254" i="13" s="1"/>
  <c r="Z113" i="63"/>
  <c r="Z254" i="13" s="1"/>
  <c r="AA113" i="63"/>
  <c r="AA254" i="13" s="1"/>
  <c r="AB113" i="63"/>
  <c r="AB254" i="13" s="1"/>
  <c r="AC113" i="63"/>
  <c r="AC254" i="13" s="1"/>
  <c r="AD113" i="63"/>
  <c r="AD254" i="13" s="1"/>
  <c r="AE113" i="63"/>
  <c r="AE254" i="13" s="1"/>
  <c r="AF113" i="63"/>
  <c r="AF254" i="13" s="1"/>
  <c r="AG113" i="63"/>
  <c r="AG254" i="13" s="1"/>
  <c r="AH113" i="63"/>
  <c r="AH254" i="13" s="1"/>
  <c r="AI113" i="63"/>
  <c r="AI254" i="13" s="1"/>
  <c r="AJ113" i="63"/>
  <c r="AK113" i="63"/>
  <c r="AL113" i="63"/>
  <c r="AM113" i="63"/>
  <c r="AN113" i="63"/>
  <c r="H112" i="63"/>
  <c r="H253" i="13" s="1"/>
  <c r="G112" i="63"/>
  <c r="G253" i="13" s="1"/>
  <c r="I112" i="63"/>
  <c r="I253" i="13" s="1"/>
  <c r="J112" i="63"/>
  <c r="J253" i="13" s="1"/>
  <c r="K112" i="63"/>
  <c r="K253" i="13" s="1"/>
  <c r="L112" i="63"/>
  <c r="L253" i="13" s="1"/>
  <c r="M112" i="63"/>
  <c r="M253" i="13" s="1"/>
  <c r="N112" i="63"/>
  <c r="N253" i="13" s="1"/>
  <c r="O112" i="63"/>
  <c r="O253" i="13" s="1"/>
  <c r="P112" i="63"/>
  <c r="P253" i="13" s="1"/>
  <c r="Q112" i="63"/>
  <c r="Q253" i="13" s="1"/>
  <c r="R112" i="63"/>
  <c r="R253" i="13" s="1"/>
  <c r="S112" i="63"/>
  <c r="S253" i="13" s="1"/>
  <c r="T112" i="63"/>
  <c r="T253" i="13" s="1"/>
  <c r="U112" i="63"/>
  <c r="U253" i="13" s="1"/>
  <c r="V112" i="63"/>
  <c r="V253" i="13" s="1"/>
  <c r="W112" i="63"/>
  <c r="W253" i="13" s="1"/>
  <c r="X112" i="63"/>
  <c r="X253" i="13" s="1"/>
  <c r="Y112" i="63"/>
  <c r="Y253" i="13" s="1"/>
  <c r="Z112" i="63"/>
  <c r="Z253" i="13" s="1"/>
  <c r="AA112" i="63"/>
  <c r="AA253" i="13" s="1"/>
  <c r="AB112" i="63"/>
  <c r="AB253" i="13" s="1"/>
  <c r="AC112" i="63"/>
  <c r="AC253" i="13" s="1"/>
  <c r="AD112" i="63"/>
  <c r="AD253" i="13" s="1"/>
  <c r="AE112" i="63"/>
  <c r="AE253" i="13" s="1"/>
  <c r="AF112" i="63"/>
  <c r="AF253" i="13" s="1"/>
  <c r="AG112" i="63"/>
  <c r="AG253" i="13" s="1"/>
  <c r="AH112" i="63"/>
  <c r="AH253" i="13" s="1"/>
  <c r="AI112" i="63"/>
  <c r="AI253" i="13" s="1"/>
  <c r="AJ112" i="63"/>
  <c r="AK112" i="63"/>
  <c r="AL112" i="63"/>
  <c r="AM112" i="63"/>
  <c r="AN112" i="63"/>
  <c r="H107" i="63"/>
  <c r="H248" i="13" s="1"/>
  <c r="G107" i="63"/>
  <c r="G248" i="13" s="1"/>
  <c r="I107" i="63"/>
  <c r="I248" i="13" s="1"/>
  <c r="J107" i="63"/>
  <c r="J248" i="13" s="1"/>
  <c r="K107" i="63"/>
  <c r="K248" i="13" s="1"/>
  <c r="L107" i="63"/>
  <c r="L248" i="13" s="1"/>
  <c r="M107" i="63"/>
  <c r="M248" i="13" s="1"/>
  <c r="N107" i="63"/>
  <c r="N248" i="13" s="1"/>
  <c r="O107" i="63"/>
  <c r="O248" i="13" s="1"/>
  <c r="P107" i="63"/>
  <c r="P248" i="13" s="1"/>
  <c r="Q107" i="63"/>
  <c r="Q248" i="13" s="1"/>
  <c r="R107" i="63"/>
  <c r="R248" i="13" s="1"/>
  <c r="S107" i="63"/>
  <c r="S248" i="13" s="1"/>
  <c r="T107" i="63"/>
  <c r="T248" i="13" s="1"/>
  <c r="U107" i="63"/>
  <c r="U248" i="13" s="1"/>
  <c r="V107" i="63"/>
  <c r="V248" i="13" s="1"/>
  <c r="W107" i="63"/>
  <c r="W248" i="13" s="1"/>
  <c r="X107" i="63"/>
  <c r="X248" i="13" s="1"/>
  <c r="Y107" i="63"/>
  <c r="Y248" i="13" s="1"/>
  <c r="Z107" i="63"/>
  <c r="Z248" i="13" s="1"/>
  <c r="AA107" i="63"/>
  <c r="AA248" i="13" s="1"/>
  <c r="AB107" i="63"/>
  <c r="AB248" i="13" s="1"/>
  <c r="AC107" i="63"/>
  <c r="AC248" i="13" s="1"/>
  <c r="AD107" i="63"/>
  <c r="AD248" i="13" s="1"/>
  <c r="AE107" i="63"/>
  <c r="AE248" i="13" s="1"/>
  <c r="AF107" i="63"/>
  <c r="AF248" i="13" s="1"/>
  <c r="AG107" i="63"/>
  <c r="AG248" i="13" s="1"/>
  <c r="AH107" i="63"/>
  <c r="AH248" i="13" s="1"/>
  <c r="AI107" i="63"/>
  <c r="AI248" i="13" s="1"/>
  <c r="AJ107" i="63"/>
  <c r="AK107" i="63"/>
  <c r="AL107" i="63"/>
  <c r="AM107" i="63"/>
  <c r="AN107" i="63"/>
  <c r="G99" i="13"/>
  <c r="F99" i="13"/>
  <c r="H99" i="13"/>
  <c r="I99" i="13"/>
  <c r="J99" i="13"/>
  <c r="K99" i="13"/>
  <c r="L99" i="13"/>
  <c r="M99" i="13"/>
  <c r="N99" i="13"/>
  <c r="O99" i="13"/>
  <c r="P99" i="13"/>
  <c r="Q99" i="13"/>
  <c r="R99" i="13"/>
  <c r="S99" i="13"/>
  <c r="T99" i="13"/>
  <c r="U99" i="13"/>
  <c r="V99" i="13"/>
  <c r="W99" i="13"/>
  <c r="X99" i="13"/>
  <c r="Y99" i="13"/>
  <c r="Z99" i="13"/>
  <c r="AA99" i="13"/>
  <c r="AB99" i="13"/>
  <c r="AC99" i="13"/>
  <c r="AD99" i="13"/>
  <c r="AE99" i="13"/>
  <c r="AF99" i="13"/>
  <c r="AG99" i="13"/>
  <c r="AH99" i="13"/>
  <c r="AI99" i="13"/>
  <c r="G102" i="13"/>
  <c r="F102" i="13"/>
  <c r="H102" i="13"/>
  <c r="I102" i="13"/>
  <c r="J102" i="13"/>
  <c r="K102" i="13"/>
  <c r="L102" i="13"/>
  <c r="M102" i="13"/>
  <c r="N102" i="13"/>
  <c r="O102" i="13"/>
  <c r="P102" i="13"/>
  <c r="Q102" i="13"/>
  <c r="R102" i="13"/>
  <c r="S102" i="13"/>
  <c r="T102" i="13"/>
  <c r="U102" i="13"/>
  <c r="V102" i="13"/>
  <c r="W102" i="13"/>
  <c r="X102" i="13"/>
  <c r="Y102" i="13"/>
  <c r="Z102" i="13"/>
  <c r="AA102" i="13"/>
  <c r="AB102" i="13"/>
  <c r="AC102" i="13"/>
  <c r="AD102" i="13"/>
  <c r="AE102" i="13"/>
  <c r="AF102" i="13"/>
  <c r="AG102" i="13"/>
  <c r="AH102" i="13"/>
  <c r="AI102" i="13"/>
  <c r="G95" i="13"/>
  <c r="H95" i="13"/>
  <c r="I95" i="13"/>
  <c r="J95" i="13"/>
  <c r="K95" i="13"/>
  <c r="L95" i="13"/>
  <c r="M95" i="13"/>
  <c r="N95" i="13"/>
  <c r="O95" i="13"/>
  <c r="P95" i="13"/>
  <c r="Q95" i="13"/>
  <c r="R95" i="13"/>
  <c r="S95" i="13"/>
  <c r="T95" i="13"/>
  <c r="U95" i="13"/>
  <c r="V95" i="13"/>
  <c r="W95" i="13"/>
  <c r="X95" i="13"/>
  <c r="Y95" i="13"/>
  <c r="Z95" i="13"/>
  <c r="AA95" i="13"/>
  <c r="AB95" i="13"/>
  <c r="AC95" i="13"/>
  <c r="AD95" i="13"/>
  <c r="AE95" i="13"/>
  <c r="AF95" i="13"/>
  <c r="AG95" i="13"/>
  <c r="AH95" i="13"/>
  <c r="AI95" i="13"/>
  <c r="F97" i="13"/>
  <c r="G97" i="13"/>
  <c r="H97" i="13"/>
  <c r="I97" i="13"/>
  <c r="J97" i="13"/>
  <c r="K97" i="13"/>
  <c r="L97" i="13"/>
  <c r="M97" i="13"/>
  <c r="N97" i="13"/>
  <c r="O97" i="13"/>
  <c r="P97" i="13"/>
  <c r="Q97" i="13"/>
  <c r="R97" i="13"/>
  <c r="S97" i="13"/>
  <c r="T97" i="13"/>
  <c r="U97" i="13"/>
  <c r="V97" i="13"/>
  <c r="W97" i="13"/>
  <c r="X97" i="13"/>
  <c r="Y97" i="13"/>
  <c r="Z97" i="13"/>
  <c r="AA97" i="13"/>
  <c r="AB97" i="13"/>
  <c r="AC97" i="13"/>
  <c r="AD97" i="13"/>
  <c r="AE97" i="13"/>
  <c r="AF97" i="13"/>
  <c r="AG97" i="13"/>
  <c r="AH97" i="13"/>
  <c r="AI97" i="13"/>
  <c r="G96" i="13"/>
  <c r="H96" i="13"/>
  <c r="I96" i="13"/>
  <c r="J96" i="13"/>
  <c r="K96" i="13"/>
  <c r="L96" i="13"/>
  <c r="M96" i="13"/>
  <c r="N96" i="13"/>
  <c r="O96" i="13"/>
  <c r="P96" i="13"/>
  <c r="Q96" i="13"/>
  <c r="R96" i="13"/>
  <c r="S96" i="13"/>
  <c r="T96" i="13"/>
  <c r="U96" i="13"/>
  <c r="V96" i="13"/>
  <c r="W96" i="13"/>
  <c r="X96" i="13"/>
  <c r="Y96" i="13"/>
  <c r="Z96" i="13"/>
  <c r="AA96" i="13"/>
  <c r="AB96" i="13"/>
  <c r="AC96" i="13"/>
  <c r="AD96" i="13"/>
  <c r="AE96" i="13"/>
  <c r="AF96" i="13"/>
  <c r="AG96" i="13"/>
  <c r="AH96" i="13"/>
  <c r="AI96" i="13"/>
  <c r="F103" i="13"/>
  <c r="G103" i="13"/>
  <c r="H103" i="13"/>
  <c r="I103" i="13"/>
  <c r="J103" i="13"/>
  <c r="K103" i="13"/>
  <c r="L103" i="13"/>
  <c r="M103" i="13"/>
  <c r="N103" i="13"/>
  <c r="O103" i="13"/>
  <c r="P103" i="13"/>
  <c r="Q103" i="13"/>
  <c r="R103" i="13"/>
  <c r="S103" i="13"/>
  <c r="T103" i="13"/>
  <c r="U103" i="13"/>
  <c r="V103" i="13"/>
  <c r="W103" i="13"/>
  <c r="X103" i="13"/>
  <c r="Y103" i="13"/>
  <c r="Z103" i="13"/>
  <c r="AA103" i="13"/>
  <c r="AB103" i="13"/>
  <c r="AC103" i="13"/>
  <c r="AD103" i="13"/>
  <c r="AE103" i="13"/>
  <c r="AF103" i="13"/>
  <c r="AG103" i="13"/>
  <c r="AH103" i="13"/>
  <c r="AI103" i="13"/>
  <c r="G108" i="63"/>
  <c r="G249" i="13" s="1"/>
  <c r="H108" i="63"/>
  <c r="H249" i="13" s="1"/>
  <c r="I108" i="63"/>
  <c r="I249" i="13" s="1"/>
  <c r="J108" i="63"/>
  <c r="J249" i="13" s="1"/>
  <c r="K108" i="63"/>
  <c r="K249" i="13" s="1"/>
  <c r="L108" i="63"/>
  <c r="L249" i="13" s="1"/>
  <c r="M108" i="63"/>
  <c r="M249" i="13" s="1"/>
  <c r="N108" i="63"/>
  <c r="N249" i="13" s="1"/>
  <c r="O108" i="63"/>
  <c r="O249" i="13" s="1"/>
  <c r="P108" i="63"/>
  <c r="P249" i="13" s="1"/>
  <c r="Q108" i="63"/>
  <c r="Q249" i="13" s="1"/>
  <c r="R108" i="63"/>
  <c r="R249" i="13" s="1"/>
  <c r="S108" i="63"/>
  <c r="S249" i="13" s="1"/>
  <c r="T108" i="63"/>
  <c r="T249" i="13" s="1"/>
  <c r="U108" i="63"/>
  <c r="U249" i="13" s="1"/>
  <c r="V108" i="63"/>
  <c r="V249" i="13" s="1"/>
  <c r="W108" i="63"/>
  <c r="W249" i="13" s="1"/>
  <c r="X108" i="63"/>
  <c r="X249" i="13" s="1"/>
  <c r="Y108" i="63"/>
  <c r="Y249" i="13" s="1"/>
  <c r="Z108" i="63"/>
  <c r="Z249" i="13" s="1"/>
  <c r="AA108" i="63"/>
  <c r="AA249" i="13" s="1"/>
  <c r="AB108" i="63"/>
  <c r="AB249" i="13" s="1"/>
  <c r="AC108" i="63"/>
  <c r="AC249" i="13" s="1"/>
  <c r="AD108" i="63"/>
  <c r="AD249" i="13" s="1"/>
  <c r="AE108" i="63"/>
  <c r="AE249" i="13" s="1"/>
  <c r="AF108" i="63"/>
  <c r="AF249" i="13" s="1"/>
  <c r="AG108" i="63"/>
  <c r="AG249" i="13" s="1"/>
  <c r="AI108" i="63"/>
  <c r="AI249" i="13" s="1"/>
  <c r="AJ108" i="63"/>
  <c r="AH108" i="63"/>
  <c r="AH249" i="13" s="1"/>
  <c r="AK108" i="63"/>
  <c r="AL108" i="63"/>
  <c r="AM108" i="63"/>
  <c r="AN108" i="63"/>
  <c r="G111" i="63"/>
  <c r="G252" i="13" s="1"/>
  <c r="H111" i="63"/>
  <c r="H252" i="13" s="1"/>
  <c r="I111" i="63"/>
  <c r="I252" i="13" s="1"/>
  <c r="J111" i="63"/>
  <c r="J252" i="13" s="1"/>
  <c r="K111" i="63"/>
  <c r="K252" i="13" s="1"/>
  <c r="L111" i="63"/>
  <c r="L252" i="13" s="1"/>
  <c r="M111" i="63"/>
  <c r="M252" i="13" s="1"/>
  <c r="N111" i="63"/>
  <c r="N252" i="13" s="1"/>
  <c r="O111" i="63"/>
  <c r="O252" i="13" s="1"/>
  <c r="P111" i="63"/>
  <c r="P252" i="13" s="1"/>
  <c r="Q111" i="63"/>
  <c r="Q252" i="13" s="1"/>
  <c r="R111" i="63"/>
  <c r="R252" i="13" s="1"/>
  <c r="S111" i="63"/>
  <c r="S252" i="13" s="1"/>
  <c r="T111" i="63"/>
  <c r="T252" i="13" s="1"/>
  <c r="U111" i="63"/>
  <c r="U252" i="13" s="1"/>
  <c r="V111" i="63"/>
  <c r="V252" i="13" s="1"/>
  <c r="W111" i="63"/>
  <c r="W252" i="13" s="1"/>
  <c r="X111" i="63"/>
  <c r="X252" i="13" s="1"/>
  <c r="Y111" i="63"/>
  <c r="Y252" i="13" s="1"/>
  <c r="Z111" i="63"/>
  <c r="Z252" i="13" s="1"/>
  <c r="AA111" i="63"/>
  <c r="AA252" i="13" s="1"/>
  <c r="AB111" i="63"/>
  <c r="AB252" i="13" s="1"/>
  <c r="AC111" i="63"/>
  <c r="AC252" i="13" s="1"/>
  <c r="AD111" i="63"/>
  <c r="AD252" i="13" s="1"/>
  <c r="AE111" i="63"/>
  <c r="AE252" i="13" s="1"/>
  <c r="AF111" i="63"/>
  <c r="AF252" i="13" s="1"/>
  <c r="AG111" i="63"/>
  <c r="AG252" i="13" s="1"/>
  <c r="AJ111" i="63"/>
  <c r="AH111" i="63"/>
  <c r="AH252" i="13" s="1"/>
  <c r="AI111" i="63"/>
  <c r="AI252" i="13" s="1"/>
  <c r="AK111" i="63"/>
  <c r="AL111" i="63"/>
  <c r="AM111" i="63"/>
  <c r="AN111" i="63"/>
  <c r="H110" i="63"/>
  <c r="H251" i="13" s="1"/>
  <c r="G110" i="63"/>
  <c r="G251" i="13" s="1"/>
  <c r="I110" i="63"/>
  <c r="I251" i="13" s="1"/>
  <c r="J110" i="63"/>
  <c r="J251" i="13" s="1"/>
  <c r="K110" i="63"/>
  <c r="K251" i="13" s="1"/>
  <c r="L110" i="63"/>
  <c r="L251" i="13" s="1"/>
  <c r="M110" i="63"/>
  <c r="M251" i="13" s="1"/>
  <c r="N110" i="63"/>
  <c r="N251" i="13" s="1"/>
  <c r="O110" i="63"/>
  <c r="O251" i="13" s="1"/>
  <c r="P110" i="63"/>
  <c r="P251" i="13" s="1"/>
  <c r="Q110" i="63"/>
  <c r="Q251" i="13" s="1"/>
  <c r="R110" i="63"/>
  <c r="R251" i="13" s="1"/>
  <c r="S110" i="63"/>
  <c r="S251" i="13" s="1"/>
  <c r="T110" i="63"/>
  <c r="T251" i="13" s="1"/>
  <c r="U110" i="63"/>
  <c r="U251" i="13" s="1"/>
  <c r="V110" i="63"/>
  <c r="V251" i="13" s="1"/>
  <c r="W110" i="63"/>
  <c r="W251" i="13" s="1"/>
  <c r="X110" i="63"/>
  <c r="X251" i="13" s="1"/>
  <c r="Y110" i="63"/>
  <c r="Y251" i="13" s="1"/>
  <c r="Z110" i="63"/>
  <c r="Z251" i="13" s="1"/>
  <c r="AA110" i="63"/>
  <c r="AA251" i="13" s="1"/>
  <c r="AB110" i="63"/>
  <c r="AB251" i="13" s="1"/>
  <c r="AC110" i="63"/>
  <c r="AC251" i="13" s="1"/>
  <c r="AD110" i="63"/>
  <c r="AD251" i="13" s="1"/>
  <c r="AE110" i="63"/>
  <c r="AE251" i="13" s="1"/>
  <c r="AF110" i="63"/>
  <c r="AF251" i="13" s="1"/>
  <c r="AG110" i="63"/>
  <c r="AG251" i="13" s="1"/>
  <c r="AH110" i="63"/>
  <c r="AH251" i="13" s="1"/>
  <c r="AI110" i="63"/>
  <c r="AI251" i="13" s="1"/>
  <c r="AJ110" i="63"/>
  <c r="AK110" i="63"/>
  <c r="AL110" i="63"/>
  <c r="AM110" i="63"/>
  <c r="AN110" i="63"/>
  <c r="E128" i="63"/>
  <c r="H106" i="63"/>
  <c r="H247" i="13" s="1"/>
  <c r="G106" i="63"/>
  <c r="G247" i="13" s="1"/>
  <c r="I106" i="63"/>
  <c r="I247" i="13" s="1"/>
  <c r="J106" i="63"/>
  <c r="J247" i="13" s="1"/>
  <c r="K106" i="63"/>
  <c r="K247" i="13" s="1"/>
  <c r="L106" i="63"/>
  <c r="L247" i="13" s="1"/>
  <c r="M106" i="63"/>
  <c r="M247" i="13" s="1"/>
  <c r="N106" i="63"/>
  <c r="N247" i="13" s="1"/>
  <c r="O106" i="63"/>
  <c r="O247" i="13" s="1"/>
  <c r="P106" i="63"/>
  <c r="P247" i="13" s="1"/>
  <c r="Q106" i="63"/>
  <c r="Q247" i="13" s="1"/>
  <c r="R106" i="63"/>
  <c r="R247" i="13" s="1"/>
  <c r="S106" i="63"/>
  <c r="S247" i="13" s="1"/>
  <c r="T106" i="63"/>
  <c r="T247" i="13" s="1"/>
  <c r="U106" i="63"/>
  <c r="U247" i="13" s="1"/>
  <c r="V106" i="63"/>
  <c r="V247" i="13" s="1"/>
  <c r="W106" i="63"/>
  <c r="W247" i="13" s="1"/>
  <c r="X106" i="63"/>
  <c r="X247" i="13" s="1"/>
  <c r="Y106" i="63"/>
  <c r="Y247" i="13" s="1"/>
  <c r="Z106" i="63"/>
  <c r="Z247" i="13" s="1"/>
  <c r="AA106" i="63"/>
  <c r="AA247" i="13" s="1"/>
  <c r="AB106" i="63"/>
  <c r="AB247" i="13" s="1"/>
  <c r="AC106" i="63"/>
  <c r="AC247" i="13" s="1"/>
  <c r="AD106" i="63"/>
  <c r="AD247" i="13" s="1"/>
  <c r="AE106" i="63"/>
  <c r="AE247" i="13" s="1"/>
  <c r="AF106" i="63"/>
  <c r="AF247" i="13" s="1"/>
  <c r="AG106" i="63"/>
  <c r="AG247" i="13" s="1"/>
  <c r="AI106" i="63"/>
  <c r="AI247" i="13" s="1"/>
  <c r="AJ106" i="63"/>
  <c r="AH106" i="63"/>
  <c r="AH247" i="13" s="1"/>
  <c r="AK106" i="63"/>
  <c r="AL106" i="63"/>
  <c r="AM106" i="63"/>
  <c r="AN106" i="63"/>
  <c r="H114" i="63"/>
  <c r="H255" i="13" s="1"/>
  <c r="G114" i="63"/>
  <c r="G255" i="13" s="1"/>
  <c r="I114" i="63"/>
  <c r="I255" i="13" s="1"/>
  <c r="J114" i="63"/>
  <c r="J255" i="13" s="1"/>
  <c r="K114" i="63"/>
  <c r="K255" i="13" s="1"/>
  <c r="L114" i="63"/>
  <c r="L255" i="13" s="1"/>
  <c r="M114" i="63"/>
  <c r="M255" i="13" s="1"/>
  <c r="N114" i="63"/>
  <c r="N255" i="13" s="1"/>
  <c r="O114" i="63"/>
  <c r="O255" i="13" s="1"/>
  <c r="P114" i="63"/>
  <c r="P255" i="13" s="1"/>
  <c r="Q114" i="63"/>
  <c r="Q255" i="13" s="1"/>
  <c r="R114" i="63"/>
  <c r="R255" i="13" s="1"/>
  <c r="S114" i="63"/>
  <c r="S255" i="13" s="1"/>
  <c r="T114" i="63"/>
  <c r="T255" i="13" s="1"/>
  <c r="U114" i="63"/>
  <c r="U255" i="13" s="1"/>
  <c r="V114" i="63"/>
  <c r="V255" i="13" s="1"/>
  <c r="W114" i="63"/>
  <c r="W255" i="13" s="1"/>
  <c r="X114" i="63"/>
  <c r="X255" i="13" s="1"/>
  <c r="Y114" i="63"/>
  <c r="Y255" i="13" s="1"/>
  <c r="Z114" i="63"/>
  <c r="Z255" i="13" s="1"/>
  <c r="AA114" i="63"/>
  <c r="AA255" i="13" s="1"/>
  <c r="AB114" i="63"/>
  <c r="AB255" i="13" s="1"/>
  <c r="AC114" i="63"/>
  <c r="AC255" i="13" s="1"/>
  <c r="AD114" i="63"/>
  <c r="AD255" i="13" s="1"/>
  <c r="AE114" i="63"/>
  <c r="AE255" i="13" s="1"/>
  <c r="AF114" i="63"/>
  <c r="AF255" i="13" s="1"/>
  <c r="AG114" i="63"/>
  <c r="AG255" i="13" s="1"/>
  <c r="AH114" i="63"/>
  <c r="AH255" i="13" s="1"/>
  <c r="AI114" i="63"/>
  <c r="AI255" i="13" s="1"/>
  <c r="AJ114" i="63"/>
  <c r="AK114" i="63"/>
  <c r="AL114" i="63"/>
  <c r="AM114" i="63"/>
  <c r="AN114" i="63"/>
  <c r="G109" i="63"/>
  <c r="G250" i="13" s="1"/>
  <c r="H109" i="63"/>
  <c r="H250" i="13" s="1"/>
  <c r="I109" i="63"/>
  <c r="I250" i="13" s="1"/>
  <c r="J109" i="63"/>
  <c r="J250" i="13" s="1"/>
  <c r="K109" i="63"/>
  <c r="K250" i="13" s="1"/>
  <c r="L109" i="63"/>
  <c r="L250" i="13" s="1"/>
  <c r="M109" i="63"/>
  <c r="M250" i="13" s="1"/>
  <c r="N109" i="63"/>
  <c r="N250" i="13" s="1"/>
  <c r="O109" i="63"/>
  <c r="O250" i="13" s="1"/>
  <c r="P109" i="63"/>
  <c r="P250" i="13" s="1"/>
  <c r="Q109" i="63"/>
  <c r="Q250" i="13" s="1"/>
  <c r="R109" i="63"/>
  <c r="R250" i="13" s="1"/>
  <c r="S109" i="63"/>
  <c r="S250" i="13" s="1"/>
  <c r="T109" i="63"/>
  <c r="T250" i="13" s="1"/>
  <c r="U109" i="63"/>
  <c r="U250" i="13" s="1"/>
  <c r="V109" i="63"/>
  <c r="V250" i="13" s="1"/>
  <c r="W109" i="63"/>
  <c r="W250" i="13" s="1"/>
  <c r="X109" i="63"/>
  <c r="X250" i="13" s="1"/>
  <c r="Y109" i="63"/>
  <c r="Y250" i="13" s="1"/>
  <c r="Z109" i="63"/>
  <c r="Z250" i="13" s="1"/>
  <c r="AA109" i="63"/>
  <c r="AA250" i="13" s="1"/>
  <c r="AB109" i="63"/>
  <c r="AB250" i="13" s="1"/>
  <c r="AC109" i="63"/>
  <c r="AC250" i="13" s="1"/>
  <c r="AD109" i="63"/>
  <c r="AD250" i="13" s="1"/>
  <c r="AE109" i="63"/>
  <c r="AE250" i="13" s="1"/>
  <c r="AF109" i="63"/>
  <c r="AF250" i="13" s="1"/>
  <c r="AG109" i="63"/>
  <c r="AG250" i="13" s="1"/>
  <c r="AI109" i="63"/>
  <c r="AI250" i="13" s="1"/>
  <c r="AJ109" i="63"/>
  <c r="AH109" i="63"/>
  <c r="AH250" i="13" s="1"/>
  <c r="AK109" i="63"/>
  <c r="AL109" i="63"/>
  <c r="AM109" i="63"/>
  <c r="AN109" i="63"/>
  <c r="F72" i="23"/>
  <c r="F87" i="28"/>
  <c r="E5" i="13"/>
  <c r="E8" i="13"/>
  <c r="E219" i="13"/>
  <c r="E4" i="13"/>
  <c r="E11" i="13"/>
  <c r="E216" i="13"/>
  <c r="E218" i="13"/>
  <c r="E224" i="13"/>
  <c r="E7" i="13"/>
  <c r="E221" i="13"/>
  <c r="E6" i="13"/>
  <c r="E222" i="13"/>
  <c r="E12" i="13"/>
  <c r="E9" i="13"/>
  <c r="E223" i="13"/>
  <c r="E10" i="13"/>
  <c r="E217" i="13"/>
  <c r="E220" i="13"/>
  <c r="AM63" i="39"/>
  <c r="L63" i="39"/>
  <c r="L244" i="13" s="1"/>
  <c r="T63" i="39"/>
  <c r="T244" i="13" s="1"/>
  <c r="H63" i="39"/>
  <c r="H244" i="13" s="1"/>
  <c r="X63" i="39"/>
  <c r="X244" i="13" s="1"/>
  <c r="W63" i="39"/>
  <c r="W244" i="13" s="1"/>
  <c r="AE63" i="39"/>
  <c r="AE244" i="13" s="1"/>
  <c r="G63" i="39"/>
  <c r="G244" i="13" s="1"/>
  <c r="AJ63" i="39"/>
  <c r="AN63" i="39"/>
  <c r="Q63" i="39"/>
  <c r="Q244" i="13" s="1"/>
  <c r="V63" i="39"/>
  <c r="V244" i="13" s="1"/>
  <c r="M63" i="39"/>
  <c r="M244" i="13" s="1"/>
  <c r="K63" i="39"/>
  <c r="K244" i="13" s="1"/>
  <c r="Z63" i="39"/>
  <c r="Z244" i="13" s="1"/>
  <c r="AF63" i="39"/>
  <c r="AF244" i="13" s="1"/>
  <c r="AG63" i="39"/>
  <c r="AG244" i="13" s="1"/>
  <c r="N63" i="39"/>
  <c r="N244" i="13" s="1"/>
  <c r="J63" i="39"/>
  <c r="J244" i="13" s="1"/>
  <c r="O63" i="39"/>
  <c r="O244" i="13" s="1"/>
  <c r="AA63" i="39"/>
  <c r="AA244" i="13" s="1"/>
  <c r="AI63" i="39"/>
  <c r="AI244" i="13" s="1"/>
  <c r="F63" i="39"/>
  <c r="F244" i="13" s="1"/>
  <c r="AC63" i="39"/>
  <c r="AC244" i="13" s="1"/>
  <c r="R63" i="39"/>
  <c r="R244" i="13" s="1"/>
  <c r="AB63" i="39"/>
  <c r="AB244" i="13" s="1"/>
  <c r="P63" i="39"/>
  <c r="P244" i="13" s="1"/>
  <c r="AK63" i="39"/>
  <c r="S63" i="39"/>
  <c r="S244" i="13" s="1"/>
  <c r="AD63" i="39"/>
  <c r="AD244" i="13" s="1"/>
  <c r="Y63" i="39"/>
  <c r="Y244" i="13" s="1"/>
  <c r="AL63" i="39"/>
  <c r="I63" i="39"/>
  <c r="I244" i="13" s="1"/>
  <c r="U63" i="39"/>
  <c r="U244" i="13" s="1"/>
  <c r="AH63" i="39"/>
  <c r="AH244" i="13" s="1"/>
  <c r="R34" i="40"/>
  <c r="S27" i="13" s="1"/>
  <c r="M34" i="40"/>
  <c r="N27" i="13" s="1"/>
  <c r="AL34" i="40"/>
  <c r="I34" i="40"/>
  <c r="J27" i="13" s="1"/>
  <c r="AD34" i="40"/>
  <c r="AE27" i="13" s="1"/>
  <c r="E34" i="40"/>
  <c r="Y34" i="40"/>
  <c r="Z27" i="13" s="1"/>
  <c r="J34" i="40"/>
  <c r="K27" i="13" s="1"/>
  <c r="W34" i="40"/>
  <c r="X27" i="13" s="1"/>
  <c r="AM34" i="40"/>
  <c r="S34" i="40"/>
  <c r="T27" i="13" s="1"/>
  <c r="V34" i="40"/>
  <c r="W27" i="13" s="1"/>
  <c r="H34" i="40"/>
  <c r="I27" i="13" s="1"/>
  <c r="AK34" i="40"/>
  <c r="O34" i="40"/>
  <c r="P27" i="13" s="1"/>
  <c r="AF34" i="40"/>
  <c r="AG27" i="13" s="1"/>
  <c r="AE34" i="40"/>
  <c r="AF27" i="13" s="1"/>
  <c r="N34" i="40"/>
  <c r="O27" i="13" s="1"/>
  <c r="Z34" i="40"/>
  <c r="AA27" i="13" s="1"/>
  <c r="AA34" i="40"/>
  <c r="AB27" i="13" s="1"/>
  <c r="L34" i="40"/>
  <c r="M27" i="13" s="1"/>
  <c r="F34" i="40"/>
  <c r="G27" i="13" s="1"/>
  <c r="AB34" i="40"/>
  <c r="AC27" i="13" s="1"/>
  <c r="G34" i="40"/>
  <c r="H27" i="13" s="1"/>
  <c r="AH34" i="40"/>
  <c r="AI27" i="13" s="1"/>
  <c r="AG34" i="40"/>
  <c r="AH27" i="13" s="1"/>
  <c r="X34" i="40"/>
  <c r="Y27" i="13" s="1"/>
  <c r="AC34" i="40"/>
  <c r="AD27" i="13" s="1"/>
  <c r="P34" i="40"/>
  <c r="Q27" i="13" s="1"/>
  <c r="AI34" i="40"/>
  <c r="U34" i="40"/>
  <c r="V27" i="13" s="1"/>
  <c r="Q34" i="40"/>
  <c r="R27" i="13" s="1"/>
  <c r="T34" i="40"/>
  <c r="U27" i="13" s="1"/>
  <c r="AJ34" i="40"/>
  <c r="K34" i="40"/>
  <c r="L27" i="13" s="1"/>
  <c r="AE61" i="39"/>
  <c r="AE242" i="13" s="1"/>
  <c r="AF61" i="39"/>
  <c r="AF242" i="13" s="1"/>
  <c r="AK61" i="39"/>
  <c r="AN61" i="39"/>
  <c r="X61" i="39"/>
  <c r="X242" i="13" s="1"/>
  <c r="O61" i="39"/>
  <c r="O242" i="13" s="1"/>
  <c r="K61" i="39"/>
  <c r="K242" i="13" s="1"/>
  <c r="Y61" i="39"/>
  <c r="Y242" i="13" s="1"/>
  <c r="AH61" i="39"/>
  <c r="AH242" i="13" s="1"/>
  <c r="AL61" i="39"/>
  <c r="Z61" i="39"/>
  <c r="Z242" i="13" s="1"/>
  <c r="H61" i="39"/>
  <c r="H242" i="13" s="1"/>
  <c r="R61" i="39"/>
  <c r="R242" i="13" s="1"/>
  <c r="V61" i="39"/>
  <c r="V242" i="13" s="1"/>
  <c r="J61" i="39"/>
  <c r="J242" i="13" s="1"/>
  <c r="G61" i="39"/>
  <c r="G242" i="13" s="1"/>
  <c r="S61" i="39"/>
  <c r="S242" i="13" s="1"/>
  <c r="AI61" i="39"/>
  <c r="AI242" i="13" s="1"/>
  <c r="I61" i="39"/>
  <c r="I242" i="13" s="1"/>
  <c r="AA61" i="39"/>
  <c r="AA242" i="13" s="1"/>
  <c r="AC61" i="39"/>
  <c r="AC242" i="13" s="1"/>
  <c r="AJ61" i="39"/>
  <c r="AG61" i="39"/>
  <c r="AG242" i="13" s="1"/>
  <c r="U61" i="39"/>
  <c r="U242" i="13" s="1"/>
  <c r="W61" i="39"/>
  <c r="W242" i="13" s="1"/>
  <c r="AD61" i="39"/>
  <c r="AD242" i="13" s="1"/>
  <c r="L61" i="39"/>
  <c r="L242" i="13" s="1"/>
  <c r="Q61" i="39"/>
  <c r="Q242" i="13" s="1"/>
  <c r="P61" i="39"/>
  <c r="P242" i="13" s="1"/>
  <c r="T61" i="39"/>
  <c r="T242" i="13" s="1"/>
  <c r="AM61" i="39"/>
  <c r="N61" i="39"/>
  <c r="N242" i="13" s="1"/>
  <c r="M61" i="39"/>
  <c r="M242" i="13" s="1"/>
  <c r="F61" i="39"/>
  <c r="F242" i="13" s="1"/>
  <c r="AB61" i="39"/>
  <c r="AB242" i="13" s="1"/>
  <c r="AC34" i="27"/>
  <c r="AC115" i="13" s="1"/>
  <c r="Y34" i="27"/>
  <c r="Y115" i="13" s="1"/>
  <c r="G34" i="27"/>
  <c r="H34" i="27"/>
  <c r="H115" i="13" s="1"/>
  <c r="AJ34" i="27"/>
  <c r="AF34" i="27"/>
  <c r="AF115" i="13" s="1"/>
  <c r="AB34" i="27"/>
  <c r="AB115" i="13" s="1"/>
  <c r="AA34" i="27"/>
  <c r="AA115" i="13" s="1"/>
  <c r="J34" i="27"/>
  <c r="J115" i="13" s="1"/>
  <c r="X34" i="27"/>
  <c r="X115" i="13" s="1"/>
  <c r="K34" i="27"/>
  <c r="K115" i="13" s="1"/>
  <c r="AD34" i="27"/>
  <c r="AD115" i="13" s="1"/>
  <c r="AE34" i="27"/>
  <c r="AE115" i="13" s="1"/>
  <c r="R34" i="27"/>
  <c r="R115" i="13" s="1"/>
  <c r="S34" i="27"/>
  <c r="S115" i="13" s="1"/>
  <c r="I34" i="27"/>
  <c r="I115" i="13" s="1"/>
  <c r="N34" i="27"/>
  <c r="N115" i="13" s="1"/>
  <c r="P34" i="27"/>
  <c r="P115" i="13" s="1"/>
  <c r="AI34" i="27"/>
  <c r="AI115" i="13" s="1"/>
  <c r="L34" i="27"/>
  <c r="L115" i="13" s="1"/>
  <c r="Z34" i="27"/>
  <c r="Z115" i="13" s="1"/>
  <c r="Q34" i="27"/>
  <c r="Q115" i="13" s="1"/>
  <c r="U34" i="27"/>
  <c r="U115" i="13" s="1"/>
  <c r="AL34" i="27"/>
  <c r="M34" i="27"/>
  <c r="M115" i="13" s="1"/>
  <c r="AK34" i="27"/>
  <c r="AN34" i="27"/>
  <c r="O34" i="27"/>
  <c r="O115" i="13" s="1"/>
  <c r="AG34" i="27"/>
  <c r="AG115" i="13" s="1"/>
  <c r="AH34" i="27"/>
  <c r="AH115" i="13" s="1"/>
  <c r="V34" i="27"/>
  <c r="V115" i="13" s="1"/>
  <c r="AM34" i="27"/>
  <c r="T34" i="27"/>
  <c r="T115" i="13" s="1"/>
  <c r="W34" i="27"/>
  <c r="W115" i="13" s="1"/>
  <c r="O32" i="40"/>
  <c r="P25" i="13" s="1"/>
  <c r="N32" i="40"/>
  <c r="O25" i="13" s="1"/>
  <c r="H32" i="40"/>
  <c r="I25" i="13" s="1"/>
  <c r="M32" i="40"/>
  <c r="N25" i="13" s="1"/>
  <c r="AL32" i="40"/>
  <c r="R32" i="40"/>
  <c r="S25" i="13" s="1"/>
  <c r="E32" i="40"/>
  <c r="AE32" i="40"/>
  <c r="AF25" i="13" s="1"/>
  <c r="AD32" i="40"/>
  <c r="AE25" i="13" s="1"/>
  <c r="I32" i="40"/>
  <c r="J25" i="13" s="1"/>
  <c r="AJ32" i="40"/>
  <c r="AK32" i="40"/>
  <c r="AM32" i="40"/>
  <c r="Y32" i="40"/>
  <c r="Z25" i="13" s="1"/>
  <c r="G32" i="40"/>
  <c r="H25" i="13" s="1"/>
  <c r="AA32" i="40"/>
  <c r="AB25" i="13" s="1"/>
  <c r="Q32" i="40"/>
  <c r="R25" i="13" s="1"/>
  <c r="U32" i="40"/>
  <c r="V25" i="13" s="1"/>
  <c r="V32" i="40"/>
  <c r="W25" i="13" s="1"/>
  <c r="F32" i="40"/>
  <c r="G25" i="13" s="1"/>
  <c r="P32" i="40"/>
  <c r="Q25" i="13" s="1"/>
  <c r="AB32" i="40"/>
  <c r="AC25" i="13" s="1"/>
  <c r="AG32" i="40"/>
  <c r="AH25" i="13" s="1"/>
  <c r="Z32" i="40"/>
  <c r="AA25" i="13" s="1"/>
  <c r="J32" i="40"/>
  <c r="K25" i="13" s="1"/>
  <c r="AF32" i="40"/>
  <c r="AG25" i="13" s="1"/>
  <c r="AC32" i="40"/>
  <c r="AD25" i="13" s="1"/>
  <c r="T32" i="40"/>
  <c r="U25" i="13" s="1"/>
  <c r="AH32" i="40"/>
  <c r="AI25" i="13" s="1"/>
  <c r="X32" i="40"/>
  <c r="Y25" i="13" s="1"/>
  <c r="K32" i="40"/>
  <c r="L25" i="13" s="1"/>
  <c r="S32" i="40"/>
  <c r="T25" i="13" s="1"/>
  <c r="AI32" i="40"/>
  <c r="L32" i="40"/>
  <c r="M25" i="13" s="1"/>
  <c r="W32" i="40"/>
  <c r="X25" i="13" s="1"/>
  <c r="AN55" i="38"/>
  <c r="AF55" i="38"/>
  <c r="AF143" i="13" s="1"/>
  <c r="X55" i="38"/>
  <c r="X143" i="13" s="1"/>
  <c r="P55" i="38"/>
  <c r="P143" i="13" s="1"/>
  <c r="H55" i="38"/>
  <c r="H143" i="13" s="1"/>
  <c r="AM55" i="38"/>
  <c r="AE55" i="38"/>
  <c r="AE143" i="13" s="1"/>
  <c r="W55" i="38"/>
  <c r="W143" i="13" s="1"/>
  <c r="O55" i="38"/>
  <c r="O143" i="13" s="1"/>
  <c r="G55" i="38"/>
  <c r="G143" i="13" s="1"/>
  <c r="AL55" i="38"/>
  <c r="AD55" i="38"/>
  <c r="AD143" i="13" s="1"/>
  <c r="V55" i="38"/>
  <c r="V143" i="13" s="1"/>
  <c r="N55" i="38"/>
  <c r="N143" i="13" s="1"/>
  <c r="AK55" i="38"/>
  <c r="AC55" i="38"/>
  <c r="AC143" i="13" s="1"/>
  <c r="U55" i="38"/>
  <c r="U143" i="13" s="1"/>
  <c r="M55" i="38"/>
  <c r="M143" i="13" s="1"/>
  <c r="AJ55" i="38"/>
  <c r="AB55" i="38"/>
  <c r="AB143" i="13" s="1"/>
  <c r="T55" i="38"/>
  <c r="T143" i="13" s="1"/>
  <c r="L55" i="38"/>
  <c r="L143" i="13" s="1"/>
  <c r="AH55" i="38"/>
  <c r="AH143" i="13" s="1"/>
  <c r="Z55" i="38"/>
  <c r="Z143" i="13" s="1"/>
  <c r="R55" i="38"/>
  <c r="R143" i="13" s="1"/>
  <c r="J55" i="38"/>
  <c r="J143" i="13" s="1"/>
  <c r="AG55" i="38"/>
  <c r="AG143" i="13" s="1"/>
  <c r="Y55" i="38"/>
  <c r="Y143" i="13" s="1"/>
  <c r="Q55" i="38"/>
  <c r="Q143" i="13" s="1"/>
  <c r="I55" i="38"/>
  <c r="I143" i="13" s="1"/>
  <c r="AA55" i="38"/>
  <c r="AA143" i="13" s="1"/>
  <c r="S55" i="38"/>
  <c r="S143" i="13" s="1"/>
  <c r="K55" i="38"/>
  <c r="K143" i="13" s="1"/>
  <c r="F55" i="38"/>
  <c r="AI55" i="38"/>
  <c r="AI143" i="13" s="1"/>
  <c r="T35" i="40"/>
  <c r="U28" i="13" s="1"/>
  <c r="R35" i="40"/>
  <c r="S28" i="13" s="1"/>
  <c r="AH35" i="40"/>
  <c r="AI28" i="13" s="1"/>
  <c r="E35" i="40"/>
  <c r="U35" i="40"/>
  <c r="V28" i="13" s="1"/>
  <c r="O35" i="40"/>
  <c r="P28" i="13" s="1"/>
  <c r="I35" i="40"/>
  <c r="J28" i="13" s="1"/>
  <c r="K35" i="40"/>
  <c r="L28" i="13" s="1"/>
  <c r="AA35" i="40"/>
  <c r="AB28" i="13" s="1"/>
  <c r="AJ35" i="40"/>
  <c r="X35" i="40"/>
  <c r="Y28" i="13" s="1"/>
  <c r="M35" i="40"/>
  <c r="N28" i="13" s="1"/>
  <c r="L35" i="40"/>
  <c r="M28" i="13" s="1"/>
  <c r="AK35" i="40"/>
  <c r="N35" i="40"/>
  <c r="O28" i="13" s="1"/>
  <c r="H35" i="40"/>
  <c r="I28" i="13" s="1"/>
  <c r="AB35" i="40"/>
  <c r="AC28" i="13" s="1"/>
  <c r="G35" i="40"/>
  <c r="H28" i="13" s="1"/>
  <c r="F35" i="40"/>
  <c r="G28" i="13" s="1"/>
  <c r="J35" i="40"/>
  <c r="K28" i="13" s="1"/>
  <c r="Y35" i="40"/>
  <c r="Z28" i="13" s="1"/>
  <c r="W35" i="40"/>
  <c r="X28" i="13" s="1"/>
  <c r="AD35" i="40"/>
  <c r="AE28" i="13" s="1"/>
  <c r="Z35" i="40"/>
  <c r="AA28" i="13" s="1"/>
  <c r="AC35" i="40"/>
  <c r="AD28" i="13" s="1"/>
  <c r="AE35" i="40"/>
  <c r="AF28" i="13" s="1"/>
  <c r="AM35" i="40"/>
  <c r="P35" i="40"/>
  <c r="Q28" i="13" s="1"/>
  <c r="Q35" i="40"/>
  <c r="R28" i="13" s="1"/>
  <c r="V35" i="40"/>
  <c r="W28" i="13" s="1"/>
  <c r="S35" i="40"/>
  <c r="T28" i="13" s="1"/>
  <c r="AF35" i="40"/>
  <c r="AG28" i="13" s="1"/>
  <c r="AI35" i="40"/>
  <c r="AG35" i="40"/>
  <c r="AH28" i="13" s="1"/>
  <c r="AL35" i="40"/>
  <c r="AH53" i="24"/>
  <c r="AH66" i="13" s="1"/>
  <c r="Z53" i="24"/>
  <c r="Z66" i="13" s="1"/>
  <c r="AK53" i="24"/>
  <c r="U53" i="24"/>
  <c r="U66" i="13" s="1"/>
  <c r="AB53" i="24"/>
  <c r="AB66" i="13" s="1"/>
  <c r="F53" i="24"/>
  <c r="J53" i="24"/>
  <c r="J66" i="13" s="1"/>
  <c r="N53" i="24"/>
  <c r="N66" i="13" s="1"/>
  <c r="W53" i="24"/>
  <c r="W66" i="13" s="1"/>
  <c r="T53" i="24"/>
  <c r="T66" i="13" s="1"/>
  <c r="AD53" i="24"/>
  <c r="AD66" i="13" s="1"/>
  <c r="AN53" i="24"/>
  <c r="AC53" i="24"/>
  <c r="AC66" i="13" s="1"/>
  <c r="AG53" i="24"/>
  <c r="AG66" i="13" s="1"/>
  <c r="Q53" i="24"/>
  <c r="Q66" i="13" s="1"/>
  <c r="R53" i="24"/>
  <c r="R66" i="13" s="1"/>
  <c r="AL53" i="24"/>
  <c r="AF53" i="24"/>
  <c r="AF66" i="13" s="1"/>
  <c r="P53" i="24"/>
  <c r="P66" i="13" s="1"/>
  <c r="AI53" i="24"/>
  <c r="AI66" i="13" s="1"/>
  <c r="S53" i="24"/>
  <c r="S66" i="13" s="1"/>
  <c r="AM53" i="24"/>
  <c r="AA53" i="24"/>
  <c r="AA66" i="13" s="1"/>
  <c r="L53" i="24"/>
  <c r="L66" i="13" s="1"/>
  <c r="M53" i="24"/>
  <c r="M66" i="13" s="1"/>
  <c r="X53" i="24"/>
  <c r="X66" i="13" s="1"/>
  <c r="K53" i="24"/>
  <c r="K66" i="13" s="1"/>
  <c r="AE53" i="24"/>
  <c r="AE66" i="13" s="1"/>
  <c r="I53" i="24"/>
  <c r="I66" i="13" s="1"/>
  <c r="H53" i="24"/>
  <c r="H66" i="13" s="1"/>
  <c r="Y53" i="24"/>
  <c r="Y66" i="13" s="1"/>
  <c r="O53" i="24"/>
  <c r="O66" i="13" s="1"/>
  <c r="AJ53" i="24"/>
  <c r="G53" i="24"/>
  <c r="G66" i="13" s="1"/>
  <c r="V53" i="24"/>
  <c r="V66" i="13" s="1"/>
  <c r="AH54" i="38"/>
  <c r="AH142" i="13" s="1"/>
  <c r="Z54" i="38"/>
  <c r="Z142" i="13" s="1"/>
  <c r="R54" i="38"/>
  <c r="R142" i="13" s="1"/>
  <c r="J54" i="38"/>
  <c r="J142" i="13" s="1"/>
  <c r="AG54" i="38"/>
  <c r="AG142" i="13" s="1"/>
  <c r="Y54" i="38"/>
  <c r="Y142" i="13" s="1"/>
  <c r="Q54" i="38"/>
  <c r="Q142" i="13" s="1"/>
  <c r="I54" i="38"/>
  <c r="I142" i="13" s="1"/>
  <c r="AN54" i="38"/>
  <c r="AF54" i="38"/>
  <c r="AF142" i="13" s="1"/>
  <c r="X54" i="38"/>
  <c r="X142" i="13" s="1"/>
  <c r="P54" i="38"/>
  <c r="P142" i="13" s="1"/>
  <c r="H54" i="38"/>
  <c r="H142" i="13" s="1"/>
  <c r="F54" i="38"/>
  <c r="AM54" i="38"/>
  <c r="AE54" i="38"/>
  <c r="AE142" i="13" s="1"/>
  <c r="W54" i="38"/>
  <c r="W142" i="13" s="1"/>
  <c r="O54" i="38"/>
  <c r="O142" i="13" s="1"/>
  <c r="G54" i="38"/>
  <c r="G142" i="13" s="1"/>
  <c r="AL54" i="38"/>
  <c r="AD54" i="38"/>
  <c r="AD142" i="13" s="1"/>
  <c r="V54" i="38"/>
  <c r="V142" i="13" s="1"/>
  <c r="N54" i="38"/>
  <c r="N142" i="13" s="1"/>
  <c r="AK54" i="38"/>
  <c r="AC54" i="38"/>
  <c r="AC142" i="13" s="1"/>
  <c r="U54" i="38"/>
  <c r="U142" i="13" s="1"/>
  <c r="M54" i="38"/>
  <c r="M142" i="13" s="1"/>
  <c r="AJ54" i="38"/>
  <c r="AB54" i="38"/>
  <c r="AB142" i="13" s="1"/>
  <c r="T54" i="38"/>
  <c r="T142" i="13" s="1"/>
  <c r="L54" i="38"/>
  <c r="L142" i="13" s="1"/>
  <c r="AI54" i="38"/>
  <c r="AI142" i="13" s="1"/>
  <c r="AA54" i="38"/>
  <c r="AA142" i="13" s="1"/>
  <c r="S54" i="38"/>
  <c r="S142" i="13" s="1"/>
  <c r="K54" i="38"/>
  <c r="K142" i="13" s="1"/>
  <c r="AF51" i="24"/>
  <c r="AF64" i="13" s="1"/>
  <c r="T51" i="24"/>
  <c r="T64" i="13" s="1"/>
  <c r="AB51" i="24"/>
  <c r="AB64" i="13" s="1"/>
  <c r="AI51" i="24"/>
  <c r="AI64" i="13" s="1"/>
  <c r="M51" i="24"/>
  <c r="M64" i="13" s="1"/>
  <c r="AN51" i="24"/>
  <c r="L51" i="24"/>
  <c r="L64" i="13" s="1"/>
  <c r="F51" i="24"/>
  <c r="AG51" i="24"/>
  <c r="AG64" i="13" s="1"/>
  <c r="AA51" i="24"/>
  <c r="AA64" i="13" s="1"/>
  <c r="Q51" i="24"/>
  <c r="Q64" i="13" s="1"/>
  <c r="R51" i="24"/>
  <c r="R64" i="13" s="1"/>
  <c r="AE51" i="24"/>
  <c r="AE64" i="13" s="1"/>
  <c r="Z51" i="24"/>
  <c r="Z64" i="13" s="1"/>
  <c r="J51" i="24"/>
  <c r="J64" i="13" s="1"/>
  <c r="O51" i="24"/>
  <c r="O64" i="13" s="1"/>
  <c r="AD51" i="24"/>
  <c r="AD64" i="13" s="1"/>
  <c r="AC51" i="24"/>
  <c r="AC64" i="13" s="1"/>
  <c r="V51" i="24"/>
  <c r="V64" i="13" s="1"/>
  <c r="N51" i="24"/>
  <c r="N64" i="13" s="1"/>
  <c r="AL51" i="24"/>
  <c r="AM51" i="24"/>
  <c r="X51" i="24"/>
  <c r="X64" i="13" s="1"/>
  <c r="U51" i="24"/>
  <c r="U64" i="13" s="1"/>
  <c r="AH51" i="24"/>
  <c r="AH64" i="13" s="1"/>
  <c r="AK51" i="24"/>
  <c r="P51" i="24"/>
  <c r="P64" i="13" s="1"/>
  <c r="G51" i="24"/>
  <c r="G64" i="13" s="1"/>
  <c r="I51" i="24"/>
  <c r="I64" i="13" s="1"/>
  <c r="Y51" i="24"/>
  <c r="Y64" i="13" s="1"/>
  <c r="K51" i="24"/>
  <c r="K64" i="13" s="1"/>
  <c r="S51" i="24"/>
  <c r="S64" i="13" s="1"/>
  <c r="W51" i="24"/>
  <c r="W64" i="13" s="1"/>
  <c r="H51" i="24"/>
  <c r="H64" i="13" s="1"/>
  <c r="AJ51" i="24"/>
  <c r="AH58" i="26"/>
  <c r="AH131" i="13" s="1"/>
  <c r="Z58" i="26"/>
  <c r="Z131" i="13" s="1"/>
  <c r="R58" i="26"/>
  <c r="R131" i="13" s="1"/>
  <c r="J58" i="26"/>
  <c r="J131" i="13" s="1"/>
  <c r="AG58" i="26"/>
  <c r="AG131" i="13" s="1"/>
  <c r="Y58" i="26"/>
  <c r="Y131" i="13" s="1"/>
  <c r="Q58" i="26"/>
  <c r="Q131" i="13" s="1"/>
  <c r="I58" i="26"/>
  <c r="I131" i="13" s="1"/>
  <c r="F58" i="26"/>
  <c r="F131" i="13" s="1"/>
  <c r="AN58" i="26"/>
  <c r="AF58" i="26"/>
  <c r="AF131" i="13" s="1"/>
  <c r="X58" i="26"/>
  <c r="X131" i="13" s="1"/>
  <c r="P58" i="26"/>
  <c r="P131" i="13" s="1"/>
  <c r="H58" i="26"/>
  <c r="H131" i="13" s="1"/>
  <c r="AM58" i="26"/>
  <c r="AE58" i="26"/>
  <c r="AE131" i="13" s="1"/>
  <c r="W58" i="26"/>
  <c r="W131" i="13" s="1"/>
  <c r="O58" i="26"/>
  <c r="O131" i="13" s="1"/>
  <c r="G58" i="26"/>
  <c r="G131" i="13" s="1"/>
  <c r="AL58" i="26"/>
  <c r="AD58" i="26"/>
  <c r="AD131" i="13" s="1"/>
  <c r="V58" i="26"/>
  <c r="V131" i="13" s="1"/>
  <c r="N58" i="26"/>
  <c r="N131" i="13" s="1"/>
  <c r="AK58" i="26"/>
  <c r="AC58" i="26"/>
  <c r="AC131" i="13" s="1"/>
  <c r="U58" i="26"/>
  <c r="U131" i="13" s="1"/>
  <c r="AJ58" i="26"/>
  <c r="AB58" i="26"/>
  <c r="AB131" i="13" s="1"/>
  <c r="T58" i="26"/>
  <c r="T131" i="13" s="1"/>
  <c r="L58" i="26"/>
  <c r="L131" i="13" s="1"/>
  <c r="AI58" i="26"/>
  <c r="AI131" i="13" s="1"/>
  <c r="AA58" i="26"/>
  <c r="AA131" i="13" s="1"/>
  <c r="S58" i="26"/>
  <c r="S131" i="13" s="1"/>
  <c r="K58" i="26"/>
  <c r="K131" i="13" s="1"/>
  <c r="M58" i="26"/>
  <c r="M131" i="13" s="1"/>
  <c r="X55" i="39"/>
  <c r="X236" i="13" s="1"/>
  <c r="J55" i="39"/>
  <c r="J236" i="13" s="1"/>
  <c r="U55" i="39"/>
  <c r="U236" i="13" s="1"/>
  <c r="AF55" i="39"/>
  <c r="AF236" i="13" s="1"/>
  <c r="Y55" i="39"/>
  <c r="Y236" i="13" s="1"/>
  <c r="AC55" i="39"/>
  <c r="AC236" i="13" s="1"/>
  <c r="AH55" i="39"/>
  <c r="AH236" i="13" s="1"/>
  <c r="N55" i="39"/>
  <c r="N236" i="13" s="1"/>
  <c r="AK55" i="39"/>
  <c r="V55" i="39"/>
  <c r="V236" i="13" s="1"/>
  <c r="Z55" i="39"/>
  <c r="Z236" i="13" s="1"/>
  <c r="AA55" i="39"/>
  <c r="AA236" i="13" s="1"/>
  <c r="K55" i="39"/>
  <c r="K236" i="13" s="1"/>
  <c r="M55" i="39"/>
  <c r="M236" i="13" s="1"/>
  <c r="AB55" i="39"/>
  <c r="AB236" i="13" s="1"/>
  <c r="F55" i="39"/>
  <c r="F236" i="13" s="1"/>
  <c r="AE55" i="39"/>
  <c r="AE236" i="13" s="1"/>
  <c r="R55" i="39"/>
  <c r="R236" i="13" s="1"/>
  <c r="Q55" i="39"/>
  <c r="Q236" i="13" s="1"/>
  <c r="AJ55" i="39"/>
  <c r="S55" i="39"/>
  <c r="S236" i="13" s="1"/>
  <c r="AG55" i="39"/>
  <c r="AG236" i="13" s="1"/>
  <c r="T55" i="39"/>
  <c r="T236" i="13" s="1"/>
  <c r="P55" i="39"/>
  <c r="P236" i="13" s="1"/>
  <c r="AL55" i="39"/>
  <c r="AN55" i="39"/>
  <c r="G55" i="39"/>
  <c r="G236" i="13" s="1"/>
  <c r="E77" i="39"/>
  <c r="O55" i="39"/>
  <c r="O236" i="13" s="1"/>
  <c r="AD55" i="39"/>
  <c r="AD236" i="13" s="1"/>
  <c r="L55" i="39"/>
  <c r="L236" i="13" s="1"/>
  <c r="AM55" i="39"/>
  <c r="AI55" i="39"/>
  <c r="AI236" i="13" s="1"/>
  <c r="H55" i="39"/>
  <c r="H236" i="13" s="1"/>
  <c r="W55" i="39"/>
  <c r="W236" i="13" s="1"/>
  <c r="I55" i="39"/>
  <c r="I236" i="13" s="1"/>
  <c r="V39" i="40"/>
  <c r="W32" i="13" s="1"/>
  <c r="O39" i="40"/>
  <c r="P32" i="13" s="1"/>
  <c r="Q39" i="40"/>
  <c r="R32" i="13" s="1"/>
  <c r="U39" i="40"/>
  <c r="V32" i="13" s="1"/>
  <c r="P39" i="40"/>
  <c r="Q32" i="13" s="1"/>
  <c r="AM39" i="40"/>
  <c r="T39" i="40"/>
  <c r="U32" i="13" s="1"/>
  <c r="AD39" i="40"/>
  <c r="AE32" i="13" s="1"/>
  <c r="L39" i="40"/>
  <c r="M32" i="13" s="1"/>
  <c r="AB39" i="40"/>
  <c r="AC32" i="13" s="1"/>
  <c r="H39" i="40"/>
  <c r="I32" i="13" s="1"/>
  <c r="W39" i="40"/>
  <c r="X32" i="13" s="1"/>
  <c r="Z39" i="40"/>
  <c r="AA32" i="13" s="1"/>
  <c r="Y39" i="40"/>
  <c r="Z32" i="13" s="1"/>
  <c r="AH39" i="40"/>
  <c r="AI32" i="13" s="1"/>
  <c r="AJ39" i="40"/>
  <c r="J39" i="40"/>
  <c r="K32" i="13" s="1"/>
  <c r="F39" i="40"/>
  <c r="G32" i="13" s="1"/>
  <c r="R39" i="40"/>
  <c r="S32" i="13" s="1"/>
  <c r="X39" i="40"/>
  <c r="Y32" i="13" s="1"/>
  <c r="AL39" i="40"/>
  <c r="AG39" i="40"/>
  <c r="AH32" i="13" s="1"/>
  <c r="S39" i="40"/>
  <c r="T32" i="13" s="1"/>
  <c r="AA39" i="40"/>
  <c r="AB32" i="13" s="1"/>
  <c r="G39" i="40"/>
  <c r="H32" i="13" s="1"/>
  <c r="N39" i="40"/>
  <c r="O32" i="13" s="1"/>
  <c r="AE39" i="40"/>
  <c r="AF32" i="13" s="1"/>
  <c r="I39" i="40"/>
  <c r="J32" i="13" s="1"/>
  <c r="E39" i="40"/>
  <c r="AK39" i="40"/>
  <c r="K39" i="40"/>
  <c r="L32" i="13" s="1"/>
  <c r="AF39" i="40"/>
  <c r="AG32" i="13" s="1"/>
  <c r="M39" i="40"/>
  <c r="N32" i="13" s="1"/>
  <c r="AC39" i="40"/>
  <c r="AD32" i="13" s="1"/>
  <c r="AI39" i="40"/>
  <c r="AN56" i="26"/>
  <c r="AF56" i="26"/>
  <c r="AF129" i="13" s="1"/>
  <c r="X56" i="26"/>
  <c r="X129" i="13" s="1"/>
  <c r="P56" i="26"/>
  <c r="P129" i="13" s="1"/>
  <c r="H56" i="26"/>
  <c r="H129" i="13" s="1"/>
  <c r="AM56" i="26"/>
  <c r="AE56" i="26"/>
  <c r="AE129" i="13" s="1"/>
  <c r="W56" i="26"/>
  <c r="W129" i="13" s="1"/>
  <c r="O56" i="26"/>
  <c r="O129" i="13" s="1"/>
  <c r="G56" i="26"/>
  <c r="G129" i="13" s="1"/>
  <c r="AL56" i="26"/>
  <c r="AD56" i="26"/>
  <c r="AD129" i="13" s="1"/>
  <c r="V56" i="26"/>
  <c r="V129" i="13" s="1"/>
  <c r="N56" i="26"/>
  <c r="N129" i="13" s="1"/>
  <c r="AK56" i="26"/>
  <c r="AC56" i="26"/>
  <c r="AC129" i="13" s="1"/>
  <c r="U56" i="26"/>
  <c r="U129" i="13" s="1"/>
  <c r="M56" i="26"/>
  <c r="M129" i="13" s="1"/>
  <c r="AJ56" i="26"/>
  <c r="AB56" i="26"/>
  <c r="AB129" i="13" s="1"/>
  <c r="T56" i="26"/>
  <c r="T129" i="13" s="1"/>
  <c r="L56" i="26"/>
  <c r="L129" i="13" s="1"/>
  <c r="F56" i="26"/>
  <c r="F129" i="13" s="1"/>
  <c r="AH56" i="26"/>
  <c r="AH129" i="13" s="1"/>
  <c r="Z56" i="26"/>
  <c r="Z129" i="13" s="1"/>
  <c r="R56" i="26"/>
  <c r="R129" i="13" s="1"/>
  <c r="J56" i="26"/>
  <c r="J129" i="13" s="1"/>
  <c r="AG56" i="26"/>
  <c r="AG129" i="13" s="1"/>
  <c r="Y56" i="26"/>
  <c r="Y129" i="13" s="1"/>
  <c r="Q56" i="26"/>
  <c r="Q129" i="13" s="1"/>
  <c r="I56" i="26"/>
  <c r="I129" i="13" s="1"/>
  <c r="AI56" i="26"/>
  <c r="AI129" i="13" s="1"/>
  <c r="AA56" i="26"/>
  <c r="AA129" i="13" s="1"/>
  <c r="S56" i="26"/>
  <c r="S129" i="13" s="1"/>
  <c r="K56" i="26"/>
  <c r="K129" i="13" s="1"/>
  <c r="AJ55" i="26"/>
  <c r="AB55" i="26"/>
  <c r="AB128" i="13" s="1"/>
  <c r="T55" i="26"/>
  <c r="T128" i="13" s="1"/>
  <c r="L55" i="26"/>
  <c r="L128" i="13" s="1"/>
  <c r="AI55" i="26"/>
  <c r="AI128" i="13" s="1"/>
  <c r="AA55" i="26"/>
  <c r="AA128" i="13" s="1"/>
  <c r="S55" i="26"/>
  <c r="S128" i="13" s="1"/>
  <c r="K55" i="26"/>
  <c r="K128" i="13" s="1"/>
  <c r="AH55" i="26"/>
  <c r="AH128" i="13" s="1"/>
  <c r="Z55" i="26"/>
  <c r="Z128" i="13" s="1"/>
  <c r="R55" i="26"/>
  <c r="R128" i="13" s="1"/>
  <c r="J55" i="26"/>
  <c r="J128" i="13" s="1"/>
  <c r="AG55" i="26"/>
  <c r="AG128" i="13" s="1"/>
  <c r="Y55" i="26"/>
  <c r="Y128" i="13" s="1"/>
  <c r="Q55" i="26"/>
  <c r="Q128" i="13" s="1"/>
  <c r="I55" i="26"/>
  <c r="I128" i="13" s="1"/>
  <c r="AN55" i="26"/>
  <c r="AF55" i="26"/>
  <c r="AF128" i="13" s="1"/>
  <c r="X55" i="26"/>
  <c r="X128" i="13" s="1"/>
  <c r="P55" i="26"/>
  <c r="P128" i="13" s="1"/>
  <c r="H55" i="26"/>
  <c r="H128" i="13" s="1"/>
  <c r="AL55" i="26"/>
  <c r="AD55" i="26"/>
  <c r="AD128" i="13" s="1"/>
  <c r="V55" i="26"/>
  <c r="V128" i="13" s="1"/>
  <c r="N55" i="26"/>
  <c r="N128" i="13" s="1"/>
  <c r="F128" i="13"/>
  <c r="AK55" i="26"/>
  <c r="AC55" i="26"/>
  <c r="AC128" i="13" s="1"/>
  <c r="U55" i="26"/>
  <c r="U128" i="13" s="1"/>
  <c r="M55" i="26"/>
  <c r="M128" i="13" s="1"/>
  <c r="AM55" i="26"/>
  <c r="AE55" i="26"/>
  <c r="AE128" i="13" s="1"/>
  <c r="W55" i="26"/>
  <c r="W128" i="13" s="1"/>
  <c r="O55" i="26"/>
  <c r="O128" i="13" s="1"/>
  <c r="G55" i="26"/>
  <c r="G128" i="13" s="1"/>
  <c r="S38" i="40"/>
  <c r="T31" i="13" s="1"/>
  <c r="G38" i="40"/>
  <c r="H31" i="13" s="1"/>
  <c r="R38" i="40"/>
  <c r="S31" i="13" s="1"/>
  <c r="Z38" i="40"/>
  <c r="AA31" i="13" s="1"/>
  <c r="AL38" i="40"/>
  <c r="F38" i="40"/>
  <c r="G31" i="13" s="1"/>
  <c r="AD38" i="40"/>
  <c r="AE31" i="13" s="1"/>
  <c r="AG38" i="40"/>
  <c r="AH31" i="13" s="1"/>
  <c r="AI38" i="40"/>
  <c r="E38" i="40"/>
  <c r="J38" i="40"/>
  <c r="K31" i="13" s="1"/>
  <c r="AM38" i="40"/>
  <c r="X38" i="40"/>
  <c r="Y31" i="13" s="1"/>
  <c r="AA38" i="40"/>
  <c r="AB31" i="13" s="1"/>
  <c r="I38" i="40"/>
  <c r="J31" i="13" s="1"/>
  <c r="O38" i="40"/>
  <c r="P31" i="13" s="1"/>
  <c r="M38" i="40"/>
  <c r="N31" i="13" s="1"/>
  <c r="AF38" i="40"/>
  <c r="AG31" i="13" s="1"/>
  <c r="K38" i="40"/>
  <c r="L31" i="13" s="1"/>
  <c r="H38" i="40"/>
  <c r="I31" i="13" s="1"/>
  <c r="Y38" i="40"/>
  <c r="Z31" i="13" s="1"/>
  <c r="AJ38" i="40"/>
  <c r="AB38" i="40"/>
  <c r="AC31" i="13" s="1"/>
  <c r="P38" i="40"/>
  <c r="Q31" i="13" s="1"/>
  <c r="AC38" i="40"/>
  <c r="AD31" i="13" s="1"/>
  <c r="Q38" i="40"/>
  <c r="R31" i="13" s="1"/>
  <c r="T38" i="40"/>
  <c r="U31" i="13" s="1"/>
  <c r="L38" i="40"/>
  <c r="M31" i="13" s="1"/>
  <c r="V38" i="40"/>
  <c r="W31" i="13" s="1"/>
  <c r="AE38" i="40"/>
  <c r="AF31" i="13" s="1"/>
  <c r="AH38" i="40"/>
  <c r="AI31" i="13" s="1"/>
  <c r="U38" i="40"/>
  <c r="V31" i="13" s="1"/>
  <c r="AK38" i="40"/>
  <c r="W38" i="40"/>
  <c r="X31" i="13" s="1"/>
  <c r="N38" i="40"/>
  <c r="O31" i="13" s="1"/>
  <c r="P60" i="39"/>
  <c r="P241" i="13" s="1"/>
  <c r="G60" i="39"/>
  <c r="G241" i="13" s="1"/>
  <c r="AG60" i="39"/>
  <c r="AG241" i="13" s="1"/>
  <c r="Q60" i="39"/>
  <c r="Q241" i="13" s="1"/>
  <c r="AI60" i="39"/>
  <c r="AI241" i="13" s="1"/>
  <c r="Y60" i="39"/>
  <c r="Y241" i="13" s="1"/>
  <c r="I60" i="39"/>
  <c r="I241" i="13" s="1"/>
  <c r="X60" i="39"/>
  <c r="X241" i="13" s="1"/>
  <c r="Z60" i="39"/>
  <c r="Z241" i="13" s="1"/>
  <c r="M60" i="39"/>
  <c r="M241" i="13" s="1"/>
  <c r="F60" i="39"/>
  <c r="F241" i="13" s="1"/>
  <c r="AB60" i="39"/>
  <c r="AB241" i="13" s="1"/>
  <c r="AK60" i="39"/>
  <c r="L60" i="39"/>
  <c r="L241" i="13" s="1"/>
  <c r="K60" i="39"/>
  <c r="K241" i="13" s="1"/>
  <c r="R60" i="39"/>
  <c r="R241" i="13" s="1"/>
  <c r="S60" i="39"/>
  <c r="S241" i="13" s="1"/>
  <c r="AD60" i="39"/>
  <c r="AD241" i="13" s="1"/>
  <c r="H60" i="39"/>
  <c r="H241" i="13" s="1"/>
  <c r="AM60" i="39"/>
  <c r="AC60" i="39"/>
  <c r="AC241" i="13" s="1"/>
  <c r="AL60" i="39"/>
  <c r="T60" i="39"/>
  <c r="T241" i="13" s="1"/>
  <c r="U60" i="39"/>
  <c r="U241" i="13" s="1"/>
  <c r="W60" i="39"/>
  <c r="W241" i="13" s="1"/>
  <c r="AE60" i="39"/>
  <c r="AE241" i="13" s="1"/>
  <c r="AF60" i="39"/>
  <c r="AF241" i="13" s="1"/>
  <c r="AN60" i="39"/>
  <c r="AJ60" i="39"/>
  <c r="O60" i="39"/>
  <c r="O241" i="13" s="1"/>
  <c r="AA60" i="39"/>
  <c r="AA241" i="13" s="1"/>
  <c r="V60" i="39"/>
  <c r="V241" i="13" s="1"/>
  <c r="AH60" i="39"/>
  <c r="AH241" i="13" s="1"/>
  <c r="N60" i="39"/>
  <c r="N241" i="13" s="1"/>
  <c r="J60" i="39"/>
  <c r="J241" i="13" s="1"/>
  <c r="J33" i="40"/>
  <c r="K26" i="13" s="1"/>
  <c r="H33" i="40"/>
  <c r="I26" i="13" s="1"/>
  <c r="AC33" i="40"/>
  <c r="AD26" i="13" s="1"/>
  <c r="AE33" i="40"/>
  <c r="AF26" i="13" s="1"/>
  <c r="F33" i="40"/>
  <c r="G26" i="13" s="1"/>
  <c r="S33" i="40"/>
  <c r="T26" i="13" s="1"/>
  <c r="AD33" i="40"/>
  <c r="AE26" i="13" s="1"/>
  <c r="AF33" i="40"/>
  <c r="AG26" i="13" s="1"/>
  <c r="X33" i="40"/>
  <c r="Y26" i="13" s="1"/>
  <c r="AH33" i="40"/>
  <c r="AI26" i="13" s="1"/>
  <c r="Y33" i="40"/>
  <c r="Z26" i="13" s="1"/>
  <c r="T33" i="40"/>
  <c r="U26" i="13" s="1"/>
  <c r="AI33" i="40"/>
  <c r="N33" i="40"/>
  <c r="O26" i="13" s="1"/>
  <c r="R33" i="40"/>
  <c r="S26" i="13" s="1"/>
  <c r="O33" i="40"/>
  <c r="P26" i="13" s="1"/>
  <c r="AJ33" i="40"/>
  <c r="E33" i="40"/>
  <c r="Q33" i="40"/>
  <c r="R26" i="13" s="1"/>
  <c r="P33" i="40"/>
  <c r="Q26" i="13" s="1"/>
  <c r="W33" i="40"/>
  <c r="X26" i="13" s="1"/>
  <c r="AL33" i="40"/>
  <c r="M33" i="40"/>
  <c r="N26" i="13" s="1"/>
  <c r="K33" i="40"/>
  <c r="L26" i="13" s="1"/>
  <c r="AA33" i="40"/>
  <c r="AB26" i="13" s="1"/>
  <c r="AM33" i="40"/>
  <c r="AK33" i="40"/>
  <c r="G33" i="40"/>
  <c r="H26" i="13" s="1"/>
  <c r="L33" i="40"/>
  <c r="M26" i="13" s="1"/>
  <c r="AB33" i="40"/>
  <c r="AC26" i="13" s="1"/>
  <c r="I33" i="40"/>
  <c r="J26" i="13" s="1"/>
  <c r="U33" i="40"/>
  <c r="V26" i="13" s="1"/>
  <c r="Z33" i="40"/>
  <c r="AA26" i="13" s="1"/>
  <c r="V33" i="40"/>
  <c r="W26" i="13" s="1"/>
  <c r="AG33" i="40"/>
  <c r="AH26" i="13" s="1"/>
  <c r="AC42" i="27"/>
  <c r="AC123" i="13" s="1"/>
  <c r="T42" i="27"/>
  <c r="T123" i="13" s="1"/>
  <c r="O42" i="27"/>
  <c r="O123" i="13" s="1"/>
  <c r="AH42" i="27"/>
  <c r="AH123" i="13" s="1"/>
  <c r="M42" i="27"/>
  <c r="M123" i="13" s="1"/>
  <c r="J42" i="27"/>
  <c r="J123" i="13" s="1"/>
  <c r="Z42" i="27"/>
  <c r="Z123" i="13" s="1"/>
  <c r="AF42" i="27"/>
  <c r="AF123" i="13" s="1"/>
  <c r="AM42" i="27"/>
  <c r="Y42" i="27"/>
  <c r="Y123" i="13" s="1"/>
  <c r="AI42" i="27"/>
  <c r="AI123" i="13" s="1"/>
  <c r="W42" i="27"/>
  <c r="W123" i="13" s="1"/>
  <c r="H42" i="27"/>
  <c r="H123" i="13" s="1"/>
  <c r="V42" i="27"/>
  <c r="V123" i="13" s="1"/>
  <c r="I42" i="27"/>
  <c r="I123" i="13" s="1"/>
  <c r="S42" i="27"/>
  <c r="S123" i="13" s="1"/>
  <c r="AK42" i="27"/>
  <c r="F42" i="27"/>
  <c r="F123" i="13" s="1"/>
  <c r="L42" i="27"/>
  <c r="L123" i="13" s="1"/>
  <c r="AB42" i="27"/>
  <c r="AB123" i="13" s="1"/>
  <c r="AJ42" i="27"/>
  <c r="U42" i="27"/>
  <c r="U123" i="13" s="1"/>
  <c r="AN42" i="27"/>
  <c r="AA42" i="27"/>
  <c r="AA123" i="13" s="1"/>
  <c r="R42" i="27"/>
  <c r="R123" i="13" s="1"/>
  <c r="AE42" i="27"/>
  <c r="AE123" i="13" s="1"/>
  <c r="Q42" i="27"/>
  <c r="Q123" i="13" s="1"/>
  <c r="G42" i="27"/>
  <c r="G123" i="13" s="1"/>
  <c r="AL42" i="27"/>
  <c r="P42" i="27"/>
  <c r="P123" i="13" s="1"/>
  <c r="AG42" i="27"/>
  <c r="AG123" i="13" s="1"/>
  <c r="X42" i="27"/>
  <c r="X123" i="13" s="1"/>
  <c r="N42" i="27"/>
  <c r="N123" i="13" s="1"/>
  <c r="AD42" i="27"/>
  <c r="AD123" i="13" s="1"/>
  <c r="K42" i="27"/>
  <c r="K123" i="13" s="1"/>
  <c r="G50" i="24"/>
  <c r="G63" i="13" s="1"/>
  <c r="AM50" i="24"/>
  <c r="P50" i="24"/>
  <c r="P63" i="13" s="1"/>
  <c r="R50" i="24"/>
  <c r="R63" i="13" s="1"/>
  <c r="AJ50" i="24"/>
  <c r="AN50" i="24"/>
  <c r="S50" i="24"/>
  <c r="S63" i="13" s="1"/>
  <c r="W50" i="24"/>
  <c r="W63" i="13" s="1"/>
  <c r="Q50" i="24"/>
  <c r="Q63" i="13" s="1"/>
  <c r="AK50" i="24"/>
  <c r="X50" i="24"/>
  <c r="X63" i="13" s="1"/>
  <c r="N50" i="24"/>
  <c r="N63" i="13" s="1"/>
  <c r="V50" i="24"/>
  <c r="V63" i="13" s="1"/>
  <c r="H50" i="24"/>
  <c r="H63" i="13" s="1"/>
  <c r="AE50" i="24"/>
  <c r="AE63" i="13" s="1"/>
  <c r="Z50" i="24"/>
  <c r="Z63" i="13" s="1"/>
  <c r="K50" i="24"/>
  <c r="K63" i="13" s="1"/>
  <c r="AD50" i="24"/>
  <c r="AD63" i="13" s="1"/>
  <c r="AB50" i="24"/>
  <c r="AB63" i="13" s="1"/>
  <c r="T50" i="24"/>
  <c r="T63" i="13" s="1"/>
  <c r="AG50" i="24"/>
  <c r="AG63" i="13" s="1"/>
  <c r="U50" i="24"/>
  <c r="U63" i="13" s="1"/>
  <c r="F50" i="24"/>
  <c r="J50" i="24"/>
  <c r="J63" i="13" s="1"/>
  <c r="Y50" i="24"/>
  <c r="Y63" i="13" s="1"/>
  <c r="I50" i="24"/>
  <c r="I63" i="13" s="1"/>
  <c r="O50" i="24"/>
  <c r="O63" i="13" s="1"/>
  <c r="AF50" i="24"/>
  <c r="AF63" i="13" s="1"/>
  <c r="AI50" i="24"/>
  <c r="AI63" i="13" s="1"/>
  <c r="M50" i="24"/>
  <c r="M63" i="13" s="1"/>
  <c r="AH50" i="24"/>
  <c r="AH63" i="13" s="1"/>
  <c r="L50" i="24"/>
  <c r="L63" i="13" s="1"/>
  <c r="AA50" i="24"/>
  <c r="AA63" i="13" s="1"/>
  <c r="AL50" i="24"/>
  <c r="AC50" i="24"/>
  <c r="AC63" i="13" s="1"/>
  <c r="K62" i="39"/>
  <c r="K243" i="13" s="1"/>
  <c r="V62" i="39"/>
  <c r="V243" i="13" s="1"/>
  <c r="W62" i="39"/>
  <c r="W243" i="13" s="1"/>
  <c r="L62" i="39"/>
  <c r="L243" i="13" s="1"/>
  <c r="Z62" i="39"/>
  <c r="Z243" i="13" s="1"/>
  <c r="O62" i="39"/>
  <c r="O243" i="13" s="1"/>
  <c r="AN62" i="39"/>
  <c r="G62" i="39"/>
  <c r="G243" i="13" s="1"/>
  <c r="AI62" i="39"/>
  <c r="AI243" i="13" s="1"/>
  <c r="H62" i="39"/>
  <c r="H243" i="13" s="1"/>
  <c r="X62" i="39"/>
  <c r="X243" i="13" s="1"/>
  <c r="Q62" i="39"/>
  <c r="Q243" i="13" s="1"/>
  <c r="AM62" i="39"/>
  <c r="AL62" i="39"/>
  <c r="S62" i="39"/>
  <c r="S243" i="13" s="1"/>
  <c r="P62" i="39"/>
  <c r="P243" i="13" s="1"/>
  <c r="AH62" i="39"/>
  <c r="AH243" i="13" s="1"/>
  <c r="Y62" i="39"/>
  <c r="Y243" i="13" s="1"/>
  <c r="I62" i="39"/>
  <c r="I243" i="13" s="1"/>
  <c r="AJ62" i="39"/>
  <c r="AA62" i="39"/>
  <c r="AA243" i="13" s="1"/>
  <c r="AB62" i="39"/>
  <c r="AB243" i="13" s="1"/>
  <c r="M62" i="39"/>
  <c r="M243" i="13" s="1"/>
  <c r="AF62" i="39"/>
  <c r="AF243" i="13" s="1"/>
  <c r="R62" i="39"/>
  <c r="R243" i="13" s="1"/>
  <c r="AE62" i="39"/>
  <c r="AE243" i="13" s="1"/>
  <c r="T62" i="39"/>
  <c r="T243" i="13" s="1"/>
  <c r="U62" i="39"/>
  <c r="U243" i="13" s="1"/>
  <c r="J62" i="39"/>
  <c r="J243" i="13" s="1"/>
  <c r="AD62" i="39"/>
  <c r="AD243" i="13" s="1"/>
  <c r="AC62" i="39"/>
  <c r="AC243" i="13" s="1"/>
  <c r="AG62" i="39"/>
  <c r="AG243" i="13" s="1"/>
  <c r="F62" i="39"/>
  <c r="F243" i="13" s="1"/>
  <c r="N62" i="39"/>
  <c r="N243" i="13" s="1"/>
  <c r="AK62" i="39"/>
  <c r="E84" i="25"/>
  <c r="AJ62" i="25"/>
  <c r="P62" i="25"/>
  <c r="Q69" i="13" s="1"/>
  <c r="N62" i="25"/>
  <c r="O69" i="13" s="1"/>
  <c r="T62" i="25"/>
  <c r="U69" i="13" s="1"/>
  <c r="K62" i="25"/>
  <c r="L69" i="13" s="1"/>
  <c r="AC62" i="25"/>
  <c r="AD69" i="13" s="1"/>
  <c r="Q62" i="25"/>
  <c r="R69" i="13" s="1"/>
  <c r="H62" i="25"/>
  <c r="I69" i="13" s="1"/>
  <c r="G62" i="25"/>
  <c r="H69" i="13" s="1"/>
  <c r="AF62" i="25"/>
  <c r="AG69" i="13" s="1"/>
  <c r="AK62" i="25"/>
  <c r="M62" i="25"/>
  <c r="N69" i="13" s="1"/>
  <c r="R62" i="25"/>
  <c r="S69" i="13" s="1"/>
  <c r="AB62" i="25"/>
  <c r="AC69" i="13" s="1"/>
  <c r="AH62" i="25"/>
  <c r="AI69" i="13" s="1"/>
  <c r="Z62" i="25"/>
  <c r="AA69" i="13" s="1"/>
  <c r="S62" i="25"/>
  <c r="T69" i="13" s="1"/>
  <c r="AE62" i="25"/>
  <c r="AF69" i="13" s="1"/>
  <c r="U62" i="25"/>
  <c r="V69" i="13" s="1"/>
  <c r="AG62" i="25"/>
  <c r="AH69" i="13" s="1"/>
  <c r="AL62" i="25"/>
  <c r="Y62" i="25"/>
  <c r="Z69" i="13" s="1"/>
  <c r="F62" i="25"/>
  <c r="AD62" i="25"/>
  <c r="AE69" i="13" s="1"/>
  <c r="W62" i="25"/>
  <c r="X69" i="13" s="1"/>
  <c r="J62" i="25"/>
  <c r="K69" i="13" s="1"/>
  <c r="AM62" i="25"/>
  <c r="AA62" i="25"/>
  <c r="AB69" i="13" s="1"/>
  <c r="V62" i="25"/>
  <c r="W69" i="13" s="1"/>
  <c r="I62" i="25"/>
  <c r="J69" i="13" s="1"/>
  <c r="L62" i="25"/>
  <c r="M69" i="13" s="1"/>
  <c r="O62" i="25"/>
  <c r="P69" i="13" s="1"/>
  <c r="X62" i="25"/>
  <c r="Y69" i="13" s="1"/>
  <c r="AI62" i="25"/>
  <c r="AJ47" i="38"/>
  <c r="AB47" i="38"/>
  <c r="T47" i="38"/>
  <c r="L47" i="38"/>
  <c r="R47" i="38"/>
  <c r="I47" i="38"/>
  <c r="W47" i="38"/>
  <c r="M47" i="38"/>
  <c r="AI47" i="38"/>
  <c r="AA47" i="38"/>
  <c r="S47" i="38"/>
  <c r="K47" i="38"/>
  <c r="AH47" i="38"/>
  <c r="J47" i="38"/>
  <c r="AE47" i="38"/>
  <c r="Z47" i="38"/>
  <c r="Y47" i="38"/>
  <c r="AM47" i="38"/>
  <c r="AG47" i="38"/>
  <c r="Q47" i="38"/>
  <c r="G47" i="38"/>
  <c r="AK47" i="38"/>
  <c r="AN47" i="38"/>
  <c r="AF47" i="38"/>
  <c r="X47" i="38"/>
  <c r="P47" i="38"/>
  <c r="H47" i="38"/>
  <c r="O47" i="38"/>
  <c r="AC47" i="38"/>
  <c r="AL47" i="38"/>
  <c r="AD47" i="38"/>
  <c r="V47" i="38"/>
  <c r="N47" i="38"/>
  <c r="U47" i="38"/>
  <c r="F69" i="38"/>
  <c r="E64" i="25"/>
  <c r="F71" i="13" s="1"/>
  <c r="O64" i="25"/>
  <c r="P71" i="13" s="1"/>
  <c r="M64" i="25"/>
  <c r="N71" i="13" s="1"/>
  <c r="AB64" i="25"/>
  <c r="AC71" i="13" s="1"/>
  <c r="AK64" i="25"/>
  <c r="AF64" i="25"/>
  <c r="AG71" i="13" s="1"/>
  <c r="I64" i="25"/>
  <c r="J71" i="13" s="1"/>
  <c r="S64" i="25"/>
  <c r="T71" i="13" s="1"/>
  <c r="K64" i="25"/>
  <c r="L71" i="13" s="1"/>
  <c r="V64" i="25"/>
  <c r="W71" i="13" s="1"/>
  <c r="G64" i="25"/>
  <c r="H71" i="13" s="1"/>
  <c r="AE64" i="25"/>
  <c r="AF71" i="13" s="1"/>
  <c r="H64" i="25"/>
  <c r="I71" i="13" s="1"/>
  <c r="T64" i="25"/>
  <c r="U71" i="13" s="1"/>
  <c r="R64" i="25"/>
  <c r="S71" i="13" s="1"/>
  <c r="Z64" i="25"/>
  <c r="AA71" i="13" s="1"/>
  <c r="AC64" i="25"/>
  <c r="AD71" i="13" s="1"/>
  <c r="AG64" i="25"/>
  <c r="AH71" i="13" s="1"/>
  <c r="N64" i="25"/>
  <c r="O71" i="13" s="1"/>
  <c r="AA64" i="25"/>
  <c r="AB71" i="13" s="1"/>
  <c r="J64" i="25"/>
  <c r="K71" i="13" s="1"/>
  <c r="AH64" i="25"/>
  <c r="AI71" i="13" s="1"/>
  <c r="AM64" i="25"/>
  <c r="U64" i="25"/>
  <c r="V71" i="13" s="1"/>
  <c r="AI64" i="25"/>
  <c r="F64" i="25"/>
  <c r="G71" i="13" s="1"/>
  <c r="AL64" i="25"/>
  <c r="AJ64" i="25"/>
  <c r="Y64" i="25"/>
  <c r="Z71" i="13" s="1"/>
  <c r="L64" i="25"/>
  <c r="M71" i="13" s="1"/>
  <c r="W64" i="25"/>
  <c r="X71" i="13" s="1"/>
  <c r="P64" i="25"/>
  <c r="Q71" i="13" s="1"/>
  <c r="Q64" i="25"/>
  <c r="R71" i="13" s="1"/>
  <c r="X64" i="25"/>
  <c r="Y71" i="13" s="1"/>
  <c r="AD64" i="25"/>
  <c r="AE71" i="13" s="1"/>
  <c r="AN53" i="26"/>
  <c r="AF53" i="26"/>
  <c r="AF126" i="13" s="1"/>
  <c r="X53" i="26"/>
  <c r="X126" i="13" s="1"/>
  <c r="P53" i="26"/>
  <c r="P126" i="13" s="1"/>
  <c r="H53" i="26"/>
  <c r="H126" i="13" s="1"/>
  <c r="F53" i="26"/>
  <c r="F126" i="13" s="1"/>
  <c r="AM53" i="26"/>
  <c r="AE53" i="26"/>
  <c r="AE126" i="13" s="1"/>
  <c r="W53" i="26"/>
  <c r="W126" i="13" s="1"/>
  <c r="O53" i="26"/>
  <c r="O126" i="13" s="1"/>
  <c r="G53" i="26"/>
  <c r="G126" i="13" s="1"/>
  <c r="AL53" i="26"/>
  <c r="AD53" i="26"/>
  <c r="AD126" i="13" s="1"/>
  <c r="V53" i="26"/>
  <c r="V126" i="13" s="1"/>
  <c r="N53" i="26"/>
  <c r="N126" i="13" s="1"/>
  <c r="AK53" i="26"/>
  <c r="AC53" i="26"/>
  <c r="AC126" i="13" s="1"/>
  <c r="U53" i="26"/>
  <c r="U126" i="13" s="1"/>
  <c r="M53" i="26"/>
  <c r="M126" i="13" s="1"/>
  <c r="AJ53" i="26"/>
  <c r="AB53" i="26"/>
  <c r="AB126" i="13" s="1"/>
  <c r="T53" i="26"/>
  <c r="T126" i="13" s="1"/>
  <c r="L53" i="26"/>
  <c r="L126" i="13" s="1"/>
  <c r="AH53" i="26"/>
  <c r="AH126" i="13" s="1"/>
  <c r="Z53" i="26"/>
  <c r="Z126" i="13" s="1"/>
  <c r="R53" i="26"/>
  <c r="R126" i="13" s="1"/>
  <c r="J53" i="26"/>
  <c r="J126" i="13" s="1"/>
  <c r="AG53" i="26"/>
  <c r="AG126" i="13" s="1"/>
  <c r="Y53" i="26"/>
  <c r="Y126" i="13" s="1"/>
  <c r="Q53" i="26"/>
  <c r="Q126" i="13" s="1"/>
  <c r="I53" i="26"/>
  <c r="I126" i="13" s="1"/>
  <c r="AI53" i="26"/>
  <c r="AI126" i="13" s="1"/>
  <c r="AA53" i="26"/>
  <c r="AA126" i="13" s="1"/>
  <c r="S53" i="26"/>
  <c r="S126" i="13" s="1"/>
  <c r="K53" i="26"/>
  <c r="K126" i="13" s="1"/>
  <c r="AK66" i="25"/>
  <c r="R66" i="25"/>
  <c r="S73" i="13" s="1"/>
  <c r="S66" i="25"/>
  <c r="T73" i="13" s="1"/>
  <c r="P66" i="25"/>
  <c r="Q73" i="13" s="1"/>
  <c r="W66" i="25"/>
  <c r="X73" i="13" s="1"/>
  <c r="X66" i="25"/>
  <c r="Y73" i="13" s="1"/>
  <c r="AJ66" i="25"/>
  <c r="N66" i="25"/>
  <c r="O73" i="13" s="1"/>
  <c r="Z66" i="25"/>
  <c r="AA73" i="13" s="1"/>
  <c r="E66" i="25"/>
  <c r="K66" i="25"/>
  <c r="L73" i="13" s="1"/>
  <c r="J66" i="25"/>
  <c r="K73" i="13" s="1"/>
  <c r="AH66" i="25"/>
  <c r="AI73" i="13" s="1"/>
  <c r="V66" i="25"/>
  <c r="W73" i="13" s="1"/>
  <c r="H66" i="25"/>
  <c r="I73" i="13" s="1"/>
  <c r="AI66" i="25"/>
  <c r="M66" i="25"/>
  <c r="N73" i="13" s="1"/>
  <c r="G66" i="25"/>
  <c r="H73" i="13" s="1"/>
  <c r="AA66" i="25"/>
  <c r="AB73" i="13" s="1"/>
  <c r="AG66" i="25"/>
  <c r="AH73" i="13" s="1"/>
  <c r="AM66" i="25"/>
  <c r="Q66" i="25"/>
  <c r="R73" i="13" s="1"/>
  <c r="AD66" i="25"/>
  <c r="AE73" i="13" s="1"/>
  <c r="L66" i="25"/>
  <c r="M73" i="13" s="1"/>
  <c r="AE66" i="25"/>
  <c r="AF73" i="13" s="1"/>
  <c r="AB66" i="25"/>
  <c r="AC73" i="13" s="1"/>
  <c r="T66" i="25"/>
  <c r="U73" i="13" s="1"/>
  <c r="AL66" i="25"/>
  <c r="AC66" i="25"/>
  <c r="AD73" i="13" s="1"/>
  <c r="O66" i="25"/>
  <c r="P73" i="13" s="1"/>
  <c r="Y66" i="25"/>
  <c r="Z73" i="13" s="1"/>
  <c r="U66" i="25"/>
  <c r="V73" i="13" s="1"/>
  <c r="F66" i="25"/>
  <c r="G73" i="13" s="1"/>
  <c r="AF66" i="25"/>
  <c r="AG73" i="13" s="1"/>
  <c r="I66" i="25"/>
  <c r="J73" i="13" s="1"/>
  <c r="AN59" i="26"/>
  <c r="AF59" i="26"/>
  <c r="AF132" i="13" s="1"/>
  <c r="X59" i="26"/>
  <c r="X132" i="13" s="1"/>
  <c r="P59" i="26"/>
  <c r="P132" i="13" s="1"/>
  <c r="H59" i="26"/>
  <c r="H132" i="13" s="1"/>
  <c r="F59" i="26"/>
  <c r="F132" i="13" s="1"/>
  <c r="AM59" i="26"/>
  <c r="AE59" i="26"/>
  <c r="AE132" i="13" s="1"/>
  <c r="W59" i="26"/>
  <c r="W132" i="13" s="1"/>
  <c r="O59" i="26"/>
  <c r="O132" i="13" s="1"/>
  <c r="G59" i="26"/>
  <c r="G132" i="13" s="1"/>
  <c r="AL59" i="26"/>
  <c r="AD59" i="26"/>
  <c r="AD132" i="13" s="1"/>
  <c r="V59" i="26"/>
  <c r="V132" i="13" s="1"/>
  <c r="N59" i="26"/>
  <c r="N132" i="13" s="1"/>
  <c r="AK59" i="26"/>
  <c r="AC59" i="26"/>
  <c r="AC132" i="13" s="1"/>
  <c r="U59" i="26"/>
  <c r="U132" i="13" s="1"/>
  <c r="M59" i="26"/>
  <c r="M132" i="13" s="1"/>
  <c r="AJ59" i="26"/>
  <c r="AB59" i="26"/>
  <c r="AB132" i="13" s="1"/>
  <c r="T59" i="26"/>
  <c r="T132" i="13" s="1"/>
  <c r="L59" i="26"/>
  <c r="L132" i="13" s="1"/>
  <c r="AI59" i="26"/>
  <c r="AI132" i="13" s="1"/>
  <c r="AA59" i="26"/>
  <c r="AA132" i="13" s="1"/>
  <c r="S59" i="26"/>
  <c r="S132" i="13" s="1"/>
  <c r="K59" i="26"/>
  <c r="K132" i="13" s="1"/>
  <c r="AH59" i="26"/>
  <c r="AH132" i="13" s="1"/>
  <c r="Z59" i="26"/>
  <c r="Z132" i="13" s="1"/>
  <c r="R59" i="26"/>
  <c r="R132" i="13" s="1"/>
  <c r="J59" i="26"/>
  <c r="J132" i="13" s="1"/>
  <c r="AG59" i="26"/>
  <c r="AG132" i="13" s="1"/>
  <c r="Y59" i="26"/>
  <c r="Y132" i="13" s="1"/>
  <c r="Q59" i="26"/>
  <c r="Q132" i="13" s="1"/>
  <c r="I59" i="26"/>
  <c r="I132" i="13" s="1"/>
  <c r="AL36" i="40"/>
  <c r="AK36" i="40"/>
  <c r="AM36" i="40"/>
  <c r="AE36" i="40"/>
  <c r="AF29" i="13" s="1"/>
  <c r="AD36" i="40"/>
  <c r="AE29" i="13" s="1"/>
  <c r="AC36" i="40"/>
  <c r="AD29" i="13" s="1"/>
  <c r="S36" i="40"/>
  <c r="T29" i="13" s="1"/>
  <c r="W36" i="40"/>
  <c r="X29" i="13" s="1"/>
  <c r="G36" i="40"/>
  <c r="H29" i="13" s="1"/>
  <c r="L36" i="40"/>
  <c r="M29" i="13" s="1"/>
  <c r="AH36" i="40"/>
  <c r="AI29" i="13" s="1"/>
  <c r="P36" i="40"/>
  <c r="Q29" i="13" s="1"/>
  <c r="I36" i="40"/>
  <c r="J29" i="13" s="1"/>
  <c r="AG36" i="40"/>
  <c r="AH29" i="13" s="1"/>
  <c r="R36" i="40"/>
  <c r="S29" i="13" s="1"/>
  <c r="U36" i="40"/>
  <c r="V29" i="13" s="1"/>
  <c r="X36" i="40"/>
  <c r="Y29" i="13" s="1"/>
  <c r="N36" i="40"/>
  <c r="O29" i="13" s="1"/>
  <c r="O36" i="40"/>
  <c r="P29" i="13" s="1"/>
  <c r="F36" i="40"/>
  <c r="G29" i="13" s="1"/>
  <c r="Y36" i="40"/>
  <c r="Z29" i="13" s="1"/>
  <c r="H36" i="40"/>
  <c r="I29" i="13" s="1"/>
  <c r="AJ36" i="40"/>
  <c r="Q36" i="40"/>
  <c r="R29" i="13" s="1"/>
  <c r="AA36" i="40"/>
  <c r="AB29" i="13" s="1"/>
  <c r="Z36" i="40"/>
  <c r="AA29" i="13" s="1"/>
  <c r="AB36" i="40"/>
  <c r="AC29" i="13" s="1"/>
  <c r="AI36" i="40"/>
  <c r="M36" i="40"/>
  <c r="N29" i="13" s="1"/>
  <c r="K36" i="40"/>
  <c r="L29" i="13" s="1"/>
  <c r="T36" i="40"/>
  <c r="U29" i="13" s="1"/>
  <c r="J36" i="40"/>
  <c r="K29" i="13" s="1"/>
  <c r="E36" i="40"/>
  <c r="V36" i="40"/>
  <c r="W29" i="13" s="1"/>
  <c r="AF36" i="40"/>
  <c r="AG29" i="13" s="1"/>
  <c r="K37" i="40"/>
  <c r="L30" i="13" s="1"/>
  <c r="AH37" i="40"/>
  <c r="AI30" i="13" s="1"/>
  <c r="AE37" i="40"/>
  <c r="AF30" i="13" s="1"/>
  <c r="Q37" i="40"/>
  <c r="R30" i="13" s="1"/>
  <c r="N37" i="40"/>
  <c r="O30" i="13" s="1"/>
  <c r="AA37" i="40"/>
  <c r="AB30" i="13" s="1"/>
  <c r="P37" i="40"/>
  <c r="Q30" i="13" s="1"/>
  <c r="AD37" i="40"/>
  <c r="AE30" i="13" s="1"/>
  <c r="M37" i="40"/>
  <c r="N30" i="13" s="1"/>
  <c r="H37" i="40"/>
  <c r="I30" i="13" s="1"/>
  <c r="G37" i="40"/>
  <c r="H30" i="13" s="1"/>
  <c r="AG37" i="40"/>
  <c r="AH30" i="13" s="1"/>
  <c r="W37" i="40"/>
  <c r="X30" i="13" s="1"/>
  <c r="Y37" i="40"/>
  <c r="Z30" i="13" s="1"/>
  <c r="R37" i="40"/>
  <c r="S30" i="13" s="1"/>
  <c r="O37" i="40"/>
  <c r="P30" i="13" s="1"/>
  <c r="I37" i="40"/>
  <c r="J30" i="13" s="1"/>
  <c r="AL37" i="40"/>
  <c r="AB37" i="40"/>
  <c r="AC30" i="13" s="1"/>
  <c r="U37" i="40"/>
  <c r="V30" i="13" s="1"/>
  <c r="Z37" i="40"/>
  <c r="AA30" i="13" s="1"/>
  <c r="AJ37" i="40"/>
  <c r="J37" i="40"/>
  <c r="K30" i="13" s="1"/>
  <c r="AF37" i="40"/>
  <c r="AG30" i="13" s="1"/>
  <c r="F37" i="40"/>
  <c r="G30" i="13" s="1"/>
  <c r="E37" i="40"/>
  <c r="L37" i="40"/>
  <c r="M30" i="13" s="1"/>
  <c r="AI37" i="40"/>
  <c r="AM37" i="40"/>
  <c r="V37" i="40"/>
  <c r="W30" i="13" s="1"/>
  <c r="AC37" i="40"/>
  <c r="AD30" i="13" s="1"/>
  <c r="X37" i="40"/>
  <c r="Y30" i="13" s="1"/>
  <c r="S37" i="40"/>
  <c r="T30" i="13" s="1"/>
  <c r="T37" i="40"/>
  <c r="U30" i="13" s="1"/>
  <c r="AK37" i="40"/>
  <c r="AJ53" i="38"/>
  <c r="AB53" i="38"/>
  <c r="AB141" i="13" s="1"/>
  <c r="T53" i="38"/>
  <c r="T141" i="13" s="1"/>
  <c r="L53" i="38"/>
  <c r="L141" i="13" s="1"/>
  <c r="G53" i="38"/>
  <c r="G141" i="13" s="1"/>
  <c r="AI53" i="38"/>
  <c r="AI141" i="13" s="1"/>
  <c r="AA53" i="38"/>
  <c r="AA141" i="13" s="1"/>
  <c r="S53" i="38"/>
  <c r="S141" i="13" s="1"/>
  <c r="K53" i="38"/>
  <c r="K141" i="13" s="1"/>
  <c r="F53" i="38"/>
  <c r="AH53" i="38"/>
  <c r="AH141" i="13" s="1"/>
  <c r="Z53" i="38"/>
  <c r="Z141" i="13" s="1"/>
  <c r="R53" i="38"/>
  <c r="R141" i="13" s="1"/>
  <c r="J53" i="38"/>
  <c r="J141" i="13" s="1"/>
  <c r="M53" i="38"/>
  <c r="M141" i="13" s="1"/>
  <c r="AG53" i="38"/>
  <c r="AG141" i="13" s="1"/>
  <c r="Y53" i="38"/>
  <c r="Y141" i="13" s="1"/>
  <c r="Q53" i="38"/>
  <c r="Q141" i="13" s="1"/>
  <c r="I53" i="38"/>
  <c r="I141" i="13" s="1"/>
  <c r="AN53" i="38"/>
  <c r="AF53" i="38"/>
  <c r="AF141" i="13" s="1"/>
  <c r="X53" i="38"/>
  <c r="X141" i="13" s="1"/>
  <c r="P53" i="38"/>
  <c r="P141" i="13" s="1"/>
  <c r="H53" i="38"/>
  <c r="H141" i="13" s="1"/>
  <c r="AM53" i="38"/>
  <c r="AE53" i="38"/>
  <c r="AE141" i="13" s="1"/>
  <c r="W53" i="38"/>
  <c r="W141" i="13" s="1"/>
  <c r="O53" i="38"/>
  <c r="O141" i="13" s="1"/>
  <c r="AL53" i="38"/>
  <c r="AD53" i="38"/>
  <c r="AD141" i="13" s="1"/>
  <c r="V53" i="38"/>
  <c r="V141" i="13" s="1"/>
  <c r="N53" i="38"/>
  <c r="N141" i="13" s="1"/>
  <c r="AK53" i="38"/>
  <c r="AC53" i="38"/>
  <c r="AC141" i="13" s="1"/>
  <c r="U53" i="38"/>
  <c r="U141" i="13" s="1"/>
  <c r="AH52" i="26"/>
  <c r="AH125" i="13" s="1"/>
  <c r="Z52" i="26"/>
  <c r="Z125" i="13" s="1"/>
  <c r="R52" i="26"/>
  <c r="R125" i="13" s="1"/>
  <c r="J52" i="26"/>
  <c r="J125" i="13" s="1"/>
  <c r="AG52" i="26"/>
  <c r="AG125" i="13" s="1"/>
  <c r="Y52" i="26"/>
  <c r="Y125" i="13" s="1"/>
  <c r="Q52" i="26"/>
  <c r="Q125" i="13" s="1"/>
  <c r="I52" i="26"/>
  <c r="I125" i="13" s="1"/>
  <c r="F52" i="26"/>
  <c r="AN52" i="26"/>
  <c r="AF52" i="26"/>
  <c r="AF125" i="13" s="1"/>
  <c r="X52" i="26"/>
  <c r="X125" i="13" s="1"/>
  <c r="P52" i="26"/>
  <c r="P125" i="13" s="1"/>
  <c r="H52" i="26"/>
  <c r="H125" i="13" s="1"/>
  <c r="AM52" i="26"/>
  <c r="AE52" i="26"/>
  <c r="AE125" i="13" s="1"/>
  <c r="W52" i="26"/>
  <c r="W125" i="13" s="1"/>
  <c r="O52" i="26"/>
  <c r="O125" i="13" s="1"/>
  <c r="G52" i="26"/>
  <c r="AL52" i="26"/>
  <c r="AD52" i="26"/>
  <c r="AD125" i="13" s="1"/>
  <c r="V52" i="26"/>
  <c r="V125" i="13" s="1"/>
  <c r="N52" i="26"/>
  <c r="N125" i="13" s="1"/>
  <c r="AJ52" i="26"/>
  <c r="AB52" i="26"/>
  <c r="AB125" i="13" s="1"/>
  <c r="T52" i="26"/>
  <c r="T125" i="13" s="1"/>
  <c r="L52" i="26"/>
  <c r="L125" i="13" s="1"/>
  <c r="AI52" i="26"/>
  <c r="AI125" i="13" s="1"/>
  <c r="U52" i="26"/>
  <c r="U125" i="13" s="1"/>
  <c r="S52" i="26"/>
  <c r="S125" i="13" s="1"/>
  <c r="M52" i="26"/>
  <c r="M125" i="13" s="1"/>
  <c r="K52" i="26"/>
  <c r="K125" i="13" s="1"/>
  <c r="AK52" i="26"/>
  <c r="AC52" i="26"/>
  <c r="AC125" i="13" s="1"/>
  <c r="AA52" i="26"/>
  <c r="AA125" i="13" s="1"/>
  <c r="AG48" i="24"/>
  <c r="AG61" i="13" s="1"/>
  <c r="G48" i="24"/>
  <c r="G61" i="13" s="1"/>
  <c r="AN48" i="24"/>
  <c r="AB48" i="24"/>
  <c r="AB61" i="13" s="1"/>
  <c r="Y48" i="24"/>
  <c r="Y61" i="13" s="1"/>
  <c r="I48" i="24"/>
  <c r="I61" i="13" s="1"/>
  <c r="Z48" i="24"/>
  <c r="Z61" i="13" s="1"/>
  <c r="X48" i="24"/>
  <c r="X61" i="13" s="1"/>
  <c r="F48" i="24"/>
  <c r="AJ48" i="24"/>
  <c r="V48" i="24"/>
  <c r="V61" i="13" s="1"/>
  <c r="Q48" i="24"/>
  <c r="Q61" i="13" s="1"/>
  <c r="AF48" i="24"/>
  <c r="AF61" i="13" s="1"/>
  <c r="AK48" i="24"/>
  <c r="AI48" i="24"/>
  <c r="AI61" i="13" s="1"/>
  <c r="S48" i="24"/>
  <c r="S61" i="13" s="1"/>
  <c r="R48" i="24"/>
  <c r="R61" i="13" s="1"/>
  <c r="M48" i="24"/>
  <c r="M61" i="13" s="1"/>
  <c r="AH48" i="24"/>
  <c r="AH61" i="13" s="1"/>
  <c r="AD48" i="24"/>
  <c r="AD61" i="13" s="1"/>
  <c r="AE48" i="24"/>
  <c r="AE61" i="13" s="1"/>
  <c r="N48" i="24"/>
  <c r="N61" i="13" s="1"/>
  <c r="T48" i="24"/>
  <c r="T61" i="13" s="1"/>
  <c r="O48" i="24"/>
  <c r="O61" i="13" s="1"/>
  <c r="U48" i="24"/>
  <c r="U61" i="13" s="1"/>
  <c r="J48" i="24"/>
  <c r="J61" i="13" s="1"/>
  <c r="W48" i="24"/>
  <c r="W61" i="13" s="1"/>
  <c r="H48" i="24"/>
  <c r="H61" i="13" s="1"/>
  <c r="AC48" i="24"/>
  <c r="AC61" i="13" s="1"/>
  <c r="AL48" i="24"/>
  <c r="AM48" i="24"/>
  <c r="AA48" i="24"/>
  <c r="AA61" i="13" s="1"/>
  <c r="P48" i="24"/>
  <c r="P61" i="13" s="1"/>
  <c r="K48" i="24"/>
  <c r="K61" i="13" s="1"/>
  <c r="L48" i="24"/>
  <c r="L61" i="13" s="1"/>
  <c r="AA36" i="27"/>
  <c r="AA117" i="13" s="1"/>
  <c r="W36" i="27"/>
  <c r="W117" i="13" s="1"/>
  <c r="Z36" i="27"/>
  <c r="Z117" i="13" s="1"/>
  <c r="G36" i="27"/>
  <c r="G117" i="13" s="1"/>
  <c r="N36" i="27"/>
  <c r="N117" i="13" s="1"/>
  <c r="AL36" i="27"/>
  <c r="J36" i="27"/>
  <c r="J117" i="13" s="1"/>
  <c r="L36" i="27"/>
  <c r="L117" i="13" s="1"/>
  <c r="M36" i="27"/>
  <c r="M117" i="13" s="1"/>
  <c r="AF36" i="27"/>
  <c r="AF117" i="13" s="1"/>
  <c r="AC36" i="27"/>
  <c r="AC117" i="13" s="1"/>
  <c r="AB36" i="27"/>
  <c r="AB117" i="13" s="1"/>
  <c r="AD36" i="27"/>
  <c r="AD117" i="13" s="1"/>
  <c r="AJ36" i="27"/>
  <c r="AN36" i="27"/>
  <c r="K36" i="27"/>
  <c r="K117" i="13" s="1"/>
  <c r="AE36" i="27"/>
  <c r="AE117" i="13" s="1"/>
  <c r="AK36" i="27"/>
  <c r="AM36" i="27"/>
  <c r="P36" i="27"/>
  <c r="P117" i="13" s="1"/>
  <c r="F36" i="27"/>
  <c r="F117" i="13" s="1"/>
  <c r="X36" i="27"/>
  <c r="X117" i="13" s="1"/>
  <c r="I36" i="27"/>
  <c r="I117" i="13" s="1"/>
  <c r="AH36" i="27"/>
  <c r="AH117" i="13" s="1"/>
  <c r="Q36" i="27"/>
  <c r="Q117" i="13" s="1"/>
  <c r="AI36" i="27"/>
  <c r="AI117" i="13" s="1"/>
  <c r="H36" i="27"/>
  <c r="H117" i="13" s="1"/>
  <c r="R36" i="27"/>
  <c r="R117" i="13" s="1"/>
  <c r="T36" i="27"/>
  <c r="T117" i="13" s="1"/>
  <c r="AG36" i="27"/>
  <c r="AG117" i="13" s="1"/>
  <c r="O36" i="27"/>
  <c r="O117" i="13" s="1"/>
  <c r="V36" i="27"/>
  <c r="V117" i="13" s="1"/>
  <c r="Y36" i="27"/>
  <c r="Y117" i="13" s="1"/>
  <c r="U36" i="27"/>
  <c r="U117" i="13" s="1"/>
  <c r="S36" i="27"/>
  <c r="S117" i="13" s="1"/>
  <c r="X63" i="25"/>
  <c r="Y70" i="13" s="1"/>
  <c r="W63" i="25"/>
  <c r="X70" i="13" s="1"/>
  <c r="O63" i="25"/>
  <c r="P70" i="13" s="1"/>
  <c r="AC63" i="25"/>
  <c r="AD70" i="13" s="1"/>
  <c r="P63" i="25"/>
  <c r="Q70" i="13" s="1"/>
  <c r="AF63" i="25"/>
  <c r="AG70" i="13" s="1"/>
  <c r="L63" i="25"/>
  <c r="M70" i="13" s="1"/>
  <c r="Y63" i="25"/>
  <c r="Z70" i="13" s="1"/>
  <c r="I63" i="25"/>
  <c r="J70" i="13" s="1"/>
  <c r="Q63" i="25"/>
  <c r="R70" i="13" s="1"/>
  <c r="AL63" i="25"/>
  <c r="V63" i="25"/>
  <c r="W70" i="13" s="1"/>
  <c r="AJ63" i="25"/>
  <c r="K63" i="25"/>
  <c r="L70" i="13" s="1"/>
  <c r="AG63" i="25"/>
  <c r="AH70" i="13" s="1"/>
  <c r="R63" i="25"/>
  <c r="S70" i="13" s="1"/>
  <c r="Z63" i="25"/>
  <c r="AA70" i="13" s="1"/>
  <c r="AE63" i="25"/>
  <c r="AF70" i="13" s="1"/>
  <c r="AB63" i="25"/>
  <c r="AC70" i="13" s="1"/>
  <c r="J63" i="25"/>
  <c r="K70" i="13" s="1"/>
  <c r="M63" i="25"/>
  <c r="N70" i="13" s="1"/>
  <c r="U63" i="25"/>
  <c r="V70" i="13" s="1"/>
  <c r="S63" i="25"/>
  <c r="T70" i="13" s="1"/>
  <c r="AK63" i="25"/>
  <c r="N63" i="25"/>
  <c r="O70" i="13" s="1"/>
  <c r="F63" i="25"/>
  <c r="G70" i="13" s="1"/>
  <c r="AA63" i="25"/>
  <c r="AB70" i="13" s="1"/>
  <c r="AM63" i="25"/>
  <c r="T63" i="25"/>
  <c r="U70" i="13" s="1"/>
  <c r="G63" i="25"/>
  <c r="H70" i="13" s="1"/>
  <c r="AH63" i="25"/>
  <c r="AI70" i="13" s="1"/>
  <c r="E63" i="25"/>
  <c r="H63" i="25"/>
  <c r="I70" i="13" s="1"/>
  <c r="AI63" i="25"/>
  <c r="AD63" i="25"/>
  <c r="AE70" i="13" s="1"/>
  <c r="AH60" i="26"/>
  <c r="AH133" i="13" s="1"/>
  <c r="Z60" i="26"/>
  <c r="Z133" i="13" s="1"/>
  <c r="R60" i="26"/>
  <c r="R133" i="13" s="1"/>
  <c r="J60" i="26"/>
  <c r="J133" i="13" s="1"/>
  <c r="AG60" i="26"/>
  <c r="AG133" i="13" s="1"/>
  <c r="Y60" i="26"/>
  <c r="Y133" i="13" s="1"/>
  <c r="Q60" i="26"/>
  <c r="Q133" i="13" s="1"/>
  <c r="I60" i="26"/>
  <c r="I133" i="13" s="1"/>
  <c r="AN60" i="26"/>
  <c r="AF60" i="26"/>
  <c r="AF133" i="13" s="1"/>
  <c r="X60" i="26"/>
  <c r="X133" i="13" s="1"/>
  <c r="P60" i="26"/>
  <c r="P133" i="13" s="1"/>
  <c r="H60" i="26"/>
  <c r="H133" i="13" s="1"/>
  <c r="AM60" i="26"/>
  <c r="AE60" i="26"/>
  <c r="AE133" i="13" s="1"/>
  <c r="W60" i="26"/>
  <c r="W133" i="13" s="1"/>
  <c r="O60" i="26"/>
  <c r="O133" i="13" s="1"/>
  <c r="G60" i="26"/>
  <c r="G133" i="13" s="1"/>
  <c r="AL60" i="26"/>
  <c r="AD60" i="26"/>
  <c r="AD133" i="13" s="1"/>
  <c r="V60" i="26"/>
  <c r="V133" i="13" s="1"/>
  <c r="N60" i="26"/>
  <c r="N133" i="13" s="1"/>
  <c r="AK60" i="26"/>
  <c r="AC60" i="26"/>
  <c r="AC133" i="13" s="1"/>
  <c r="U60" i="26"/>
  <c r="U133" i="13" s="1"/>
  <c r="M60" i="26"/>
  <c r="M133" i="13" s="1"/>
  <c r="AJ60" i="26"/>
  <c r="AB60" i="26"/>
  <c r="AB133" i="13" s="1"/>
  <c r="T60" i="26"/>
  <c r="T133" i="13" s="1"/>
  <c r="L60" i="26"/>
  <c r="L133" i="13" s="1"/>
  <c r="AI60" i="26"/>
  <c r="AI133" i="13" s="1"/>
  <c r="AA60" i="26"/>
  <c r="AA133" i="13" s="1"/>
  <c r="S60" i="26"/>
  <c r="S133" i="13" s="1"/>
  <c r="K60" i="26"/>
  <c r="K133" i="13" s="1"/>
  <c r="F60" i="26"/>
  <c r="F133" i="13" s="1"/>
  <c r="AA38" i="27"/>
  <c r="AA119" i="13" s="1"/>
  <c r="X38" i="27"/>
  <c r="X119" i="13" s="1"/>
  <c r="AI38" i="27"/>
  <c r="AI119" i="13" s="1"/>
  <c r="V38" i="27"/>
  <c r="V119" i="13" s="1"/>
  <c r="AD38" i="27"/>
  <c r="AD119" i="13" s="1"/>
  <c r="AM38" i="27"/>
  <c r="S38" i="27"/>
  <c r="S119" i="13" s="1"/>
  <c r="AE38" i="27"/>
  <c r="AE119" i="13" s="1"/>
  <c r="I38" i="27"/>
  <c r="I119" i="13" s="1"/>
  <c r="N38" i="27"/>
  <c r="N119" i="13" s="1"/>
  <c r="AJ38" i="27"/>
  <c r="AF38" i="27"/>
  <c r="AF119" i="13" s="1"/>
  <c r="R38" i="27"/>
  <c r="R119" i="13" s="1"/>
  <c r="AC38" i="27"/>
  <c r="AC119" i="13" s="1"/>
  <c r="W38" i="27"/>
  <c r="W119" i="13" s="1"/>
  <c r="P38" i="27"/>
  <c r="P119" i="13" s="1"/>
  <c r="O38" i="27"/>
  <c r="O119" i="13" s="1"/>
  <c r="M38" i="27"/>
  <c r="M119" i="13" s="1"/>
  <c r="Z38" i="27"/>
  <c r="Z119" i="13" s="1"/>
  <c r="AK38" i="27"/>
  <c r="H38" i="27"/>
  <c r="H119" i="13" s="1"/>
  <c r="AB38" i="27"/>
  <c r="AB119" i="13" s="1"/>
  <c r="AL38" i="27"/>
  <c r="J38" i="27"/>
  <c r="J119" i="13" s="1"/>
  <c r="U38" i="27"/>
  <c r="U119" i="13" s="1"/>
  <c r="F38" i="27"/>
  <c r="F119" i="13" s="1"/>
  <c r="T38" i="27"/>
  <c r="T119" i="13" s="1"/>
  <c r="G38" i="27"/>
  <c r="G119" i="13" s="1"/>
  <c r="Y38" i="27"/>
  <c r="Y119" i="13" s="1"/>
  <c r="AN38" i="27"/>
  <c r="Q38" i="27"/>
  <c r="Q119" i="13" s="1"/>
  <c r="L38" i="27"/>
  <c r="L119" i="13" s="1"/>
  <c r="K38" i="27"/>
  <c r="K119" i="13" s="1"/>
  <c r="AG38" i="27"/>
  <c r="AG119" i="13" s="1"/>
  <c r="AH38" i="27"/>
  <c r="AH119" i="13" s="1"/>
  <c r="E65" i="25"/>
  <c r="S65" i="25"/>
  <c r="T72" i="13" s="1"/>
  <c r="AG65" i="25"/>
  <c r="AH72" i="13" s="1"/>
  <c r="M65" i="25"/>
  <c r="N72" i="13" s="1"/>
  <c r="N65" i="25"/>
  <c r="O72" i="13" s="1"/>
  <c r="T65" i="25"/>
  <c r="U72" i="13" s="1"/>
  <c r="W65" i="25"/>
  <c r="X72" i="13" s="1"/>
  <c r="AK65" i="25"/>
  <c r="AI65" i="25"/>
  <c r="H65" i="25"/>
  <c r="I72" i="13" s="1"/>
  <c r="AA65" i="25"/>
  <c r="AB72" i="13" s="1"/>
  <c r="AC65" i="25"/>
  <c r="AD72" i="13" s="1"/>
  <c r="AL65" i="25"/>
  <c r="AJ65" i="25"/>
  <c r="U65" i="25"/>
  <c r="V72" i="13" s="1"/>
  <c r="G65" i="25"/>
  <c r="H72" i="13" s="1"/>
  <c r="X65" i="25"/>
  <c r="Y72" i="13" s="1"/>
  <c r="P65" i="25"/>
  <c r="Q72" i="13" s="1"/>
  <c r="J65" i="25"/>
  <c r="K72" i="13" s="1"/>
  <c r="R65" i="25"/>
  <c r="S72" i="13" s="1"/>
  <c r="AH65" i="25"/>
  <c r="AI72" i="13" s="1"/>
  <c r="K65" i="25"/>
  <c r="L72" i="13" s="1"/>
  <c r="AD65" i="25"/>
  <c r="AE72" i="13" s="1"/>
  <c r="Z65" i="25"/>
  <c r="AA72" i="13" s="1"/>
  <c r="Q65" i="25"/>
  <c r="R72" i="13" s="1"/>
  <c r="F65" i="25"/>
  <c r="G72" i="13" s="1"/>
  <c r="AF65" i="25"/>
  <c r="AG72" i="13" s="1"/>
  <c r="AM65" i="25"/>
  <c r="AB65" i="25"/>
  <c r="AC72" i="13" s="1"/>
  <c r="Y65" i="25"/>
  <c r="Z72" i="13" s="1"/>
  <c r="V65" i="25"/>
  <c r="W72" i="13" s="1"/>
  <c r="L65" i="25"/>
  <c r="M72" i="13" s="1"/>
  <c r="I65" i="25"/>
  <c r="J72" i="13" s="1"/>
  <c r="O65" i="25"/>
  <c r="P72" i="13" s="1"/>
  <c r="AE65" i="25"/>
  <c r="AF72" i="13" s="1"/>
  <c r="AL69" i="25"/>
  <c r="X69" i="25"/>
  <c r="Y76" i="13" s="1"/>
  <c r="T69" i="25"/>
  <c r="U76" i="13" s="1"/>
  <c r="V69" i="25"/>
  <c r="W76" i="13" s="1"/>
  <c r="AE69" i="25"/>
  <c r="AF76" i="13" s="1"/>
  <c r="K69" i="25"/>
  <c r="L76" i="13" s="1"/>
  <c r="J69" i="25"/>
  <c r="K76" i="13" s="1"/>
  <c r="Q69" i="25"/>
  <c r="R76" i="13" s="1"/>
  <c r="AJ69" i="25"/>
  <c r="O69" i="25"/>
  <c r="P76" i="13" s="1"/>
  <c r="U69" i="25"/>
  <c r="V76" i="13" s="1"/>
  <c r="G69" i="25"/>
  <c r="H76" i="13" s="1"/>
  <c r="AC69" i="25"/>
  <c r="AD76" i="13" s="1"/>
  <c r="W69" i="25"/>
  <c r="X76" i="13" s="1"/>
  <c r="H69" i="25"/>
  <c r="I76" i="13" s="1"/>
  <c r="AM69" i="25"/>
  <c r="AG69" i="25"/>
  <c r="AH76" i="13" s="1"/>
  <c r="P69" i="25"/>
  <c r="Q76" i="13" s="1"/>
  <c r="I69" i="25"/>
  <c r="J76" i="13" s="1"/>
  <c r="L69" i="25"/>
  <c r="M76" i="13" s="1"/>
  <c r="AD69" i="25"/>
  <c r="AE76" i="13" s="1"/>
  <c r="AB69" i="25"/>
  <c r="AC76" i="13" s="1"/>
  <c r="Z69" i="25"/>
  <c r="AA76" i="13" s="1"/>
  <c r="M69" i="25"/>
  <c r="N76" i="13" s="1"/>
  <c r="E69" i="25"/>
  <c r="AI69" i="25"/>
  <c r="N69" i="25"/>
  <c r="O76" i="13" s="1"/>
  <c r="AK69" i="25"/>
  <c r="AH69" i="25"/>
  <c r="AI76" i="13" s="1"/>
  <c r="Y69" i="25"/>
  <c r="Z76" i="13" s="1"/>
  <c r="AF69" i="25"/>
  <c r="AG76" i="13" s="1"/>
  <c r="AA69" i="25"/>
  <c r="AB76" i="13" s="1"/>
  <c r="F69" i="25"/>
  <c r="G76" i="13" s="1"/>
  <c r="R69" i="25"/>
  <c r="S76" i="13" s="1"/>
  <c r="S69" i="25"/>
  <c r="T76" i="13" s="1"/>
  <c r="AJ57" i="26"/>
  <c r="AB57" i="26"/>
  <c r="AB130" i="13" s="1"/>
  <c r="T57" i="26"/>
  <c r="T130" i="13" s="1"/>
  <c r="L57" i="26"/>
  <c r="L130" i="13" s="1"/>
  <c r="AI57" i="26"/>
  <c r="AI130" i="13" s="1"/>
  <c r="AA57" i="26"/>
  <c r="AA130" i="13" s="1"/>
  <c r="S57" i="26"/>
  <c r="S130" i="13" s="1"/>
  <c r="K57" i="26"/>
  <c r="K130" i="13" s="1"/>
  <c r="AH57" i="26"/>
  <c r="AH130" i="13" s="1"/>
  <c r="Z57" i="26"/>
  <c r="Z130" i="13" s="1"/>
  <c r="R57" i="26"/>
  <c r="R130" i="13" s="1"/>
  <c r="J57" i="26"/>
  <c r="J130" i="13" s="1"/>
  <c r="F57" i="26"/>
  <c r="F130" i="13" s="1"/>
  <c r="AG57" i="26"/>
  <c r="AG130" i="13" s="1"/>
  <c r="Y57" i="26"/>
  <c r="Y130" i="13" s="1"/>
  <c r="Q57" i="26"/>
  <c r="Q130" i="13" s="1"/>
  <c r="I57" i="26"/>
  <c r="I130" i="13" s="1"/>
  <c r="AN57" i="26"/>
  <c r="AF57" i="26"/>
  <c r="AF130" i="13" s="1"/>
  <c r="X57" i="26"/>
  <c r="X130" i="13" s="1"/>
  <c r="P57" i="26"/>
  <c r="P130" i="13" s="1"/>
  <c r="H57" i="26"/>
  <c r="H130" i="13" s="1"/>
  <c r="AL57" i="26"/>
  <c r="AD57" i="26"/>
  <c r="AD130" i="13" s="1"/>
  <c r="V57" i="26"/>
  <c r="V130" i="13" s="1"/>
  <c r="N57" i="26"/>
  <c r="N130" i="13" s="1"/>
  <c r="AK57" i="26"/>
  <c r="AC57" i="26"/>
  <c r="AC130" i="13" s="1"/>
  <c r="U57" i="26"/>
  <c r="U130" i="13" s="1"/>
  <c r="M57" i="26"/>
  <c r="M130" i="13" s="1"/>
  <c r="AE57" i="26"/>
  <c r="AE130" i="13" s="1"/>
  <c r="W57" i="26"/>
  <c r="W130" i="13" s="1"/>
  <c r="O57" i="26"/>
  <c r="O130" i="13" s="1"/>
  <c r="G57" i="26"/>
  <c r="G130" i="13" s="1"/>
  <c r="AM57" i="26"/>
  <c r="V47" i="24"/>
  <c r="V60" i="13" s="1"/>
  <c r="AH47" i="24"/>
  <c r="AH60" i="13" s="1"/>
  <c r="AA47" i="24"/>
  <c r="AA60" i="13" s="1"/>
  <c r="K47" i="24"/>
  <c r="K60" i="13" s="1"/>
  <c r="R47" i="24"/>
  <c r="R60" i="13" s="1"/>
  <c r="I47" i="24"/>
  <c r="I60" i="13" s="1"/>
  <c r="L47" i="24"/>
  <c r="L60" i="13" s="1"/>
  <c r="AG47" i="24"/>
  <c r="AG60" i="13" s="1"/>
  <c r="AD47" i="24"/>
  <c r="AD60" i="13" s="1"/>
  <c r="G47" i="24"/>
  <c r="G60" i="13" s="1"/>
  <c r="AC47" i="24"/>
  <c r="AC60" i="13" s="1"/>
  <c r="T47" i="24"/>
  <c r="T60" i="13" s="1"/>
  <c r="U47" i="24"/>
  <c r="U60" i="13" s="1"/>
  <c r="J47" i="24"/>
  <c r="J60" i="13" s="1"/>
  <c r="W47" i="24"/>
  <c r="W60" i="13" s="1"/>
  <c r="AL47" i="24"/>
  <c r="AI47" i="24"/>
  <c r="AI60" i="13" s="1"/>
  <c r="AJ47" i="24"/>
  <c r="F47" i="24"/>
  <c r="P47" i="24"/>
  <c r="P60" i="13" s="1"/>
  <c r="AN47" i="24"/>
  <c r="Q47" i="24"/>
  <c r="Q60" i="13" s="1"/>
  <c r="M47" i="24"/>
  <c r="M60" i="13" s="1"/>
  <c r="AK47" i="24"/>
  <c r="AB47" i="24"/>
  <c r="AB60" i="13" s="1"/>
  <c r="N47" i="24"/>
  <c r="N60" i="13" s="1"/>
  <c r="O47" i="24"/>
  <c r="O60" i="13" s="1"/>
  <c r="X47" i="24"/>
  <c r="X60" i="13" s="1"/>
  <c r="Z47" i="24"/>
  <c r="Z60" i="13" s="1"/>
  <c r="S47" i="24"/>
  <c r="S60" i="13" s="1"/>
  <c r="AE47" i="24"/>
  <c r="AE60" i="13" s="1"/>
  <c r="Y47" i="24"/>
  <c r="Y60" i="13" s="1"/>
  <c r="AM47" i="24"/>
  <c r="AF47" i="24"/>
  <c r="AF60" i="13" s="1"/>
  <c r="Y39" i="27"/>
  <c r="Y120" i="13" s="1"/>
  <c r="P39" i="27"/>
  <c r="P120" i="13" s="1"/>
  <c r="S39" i="27"/>
  <c r="S120" i="13" s="1"/>
  <c r="I39" i="27"/>
  <c r="I120" i="13" s="1"/>
  <c r="N39" i="27"/>
  <c r="N120" i="13" s="1"/>
  <c r="Z39" i="27"/>
  <c r="Z120" i="13" s="1"/>
  <c r="G39" i="27"/>
  <c r="G120" i="13" s="1"/>
  <c r="R39" i="27"/>
  <c r="R120" i="13" s="1"/>
  <c r="O39" i="27"/>
  <c r="O120" i="13" s="1"/>
  <c r="AN39" i="27"/>
  <c r="AK39" i="27"/>
  <c r="AD39" i="27"/>
  <c r="AD120" i="13" s="1"/>
  <c r="W39" i="27"/>
  <c r="W120" i="13" s="1"/>
  <c r="AL39" i="27"/>
  <c r="AF39" i="27"/>
  <c r="AF120" i="13" s="1"/>
  <c r="AE39" i="27"/>
  <c r="AE120" i="13" s="1"/>
  <c r="J39" i="27"/>
  <c r="J120" i="13" s="1"/>
  <c r="V39" i="27"/>
  <c r="V120" i="13" s="1"/>
  <c r="X39" i="27"/>
  <c r="X120" i="13" s="1"/>
  <c r="T39" i="27"/>
  <c r="T120" i="13" s="1"/>
  <c r="AG39" i="27"/>
  <c r="AG120" i="13" s="1"/>
  <c r="AM39" i="27"/>
  <c r="H39" i="27"/>
  <c r="H120" i="13" s="1"/>
  <c r="AA39" i="27"/>
  <c r="AA120" i="13" s="1"/>
  <c r="Q39" i="27"/>
  <c r="Q120" i="13" s="1"/>
  <c r="AC39" i="27"/>
  <c r="AC120" i="13" s="1"/>
  <c r="AH39" i="27"/>
  <c r="AH120" i="13" s="1"/>
  <c r="AB39" i="27"/>
  <c r="AB120" i="13" s="1"/>
  <c r="U39" i="27"/>
  <c r="U120" i="13" s="1"/>
  <c r="AJ39" i="27"/>
  <c r="L39" i="27"/>
  <c r="L120" i="13" s="1"/>
  <c r="K39" i="27"/>
  <c r="K120" i="13" s="1"/>
  <c r="F39" i="27"/>
  <c r="F120" i="13" s="1"/>
  <c r="AI39" i="27"/>
  <c r="AI120" i="13" s="1"/>
  <c r="M39" i="27"/>
  <c r="M120" i="13" s="1"/>
  <c r="F68" i="24"/>
  <c r="W52" i="24"/>
  <c r="W65" i="13" s="1"/>
  <c r="AD52" i="24"/>
  <c r="AD65" i="13" s="1"/>
  <c r="I52" i="24"/>
  <c r="I65" i="13" s="1"/>
  <c r="AI52" i="24"/>
  <c r="AI65" i="13" s="1"/>
  <c r="S52" i="24"/>
  <c r="S65" i="13" s="1"/>
  <c r="V52" i="24"/>
  <c r="V65" i="13" s="1"/>
  <c r="AF52" i="24"/>
  <c r="AF65" i="13" s="1"/>
  <c r="U52" i="24"/>
  <c r="U65" i="13" s="1"/>
  <c r="AL52" i="24"/>
  <c r="K52" i="24"/>
  <c r="K65" i="13" s="1"/>
  <c r="L52" i="24"/>
  <c r="L65" i="13" s="1"/>
  <c r="AA52" i="24"/>
  <c r="AA65" i="13" s="1"/>
  <c r="AE52" i="24"/>
  <c r="AE65" i="13" s="1"/>
  <c r="M52" i="24"/>
  <c r="M65" i="13" s="1"/>
  <c r="F52" i="24"/>
  <c r="X52" i="24"/>
  <c r="X65" i="13" s="1"/>
  <c r="AM52" i="24"/>
  <c r="R52" i="24"/>
  <c r="R65" i="13" s="1"/>
  <c r="AC52" i="24"/>
  <c r="AC65" i="13" s="1"/>
  <c r="Z52" i="24"/>
  <c r="Z65" i="13" s="1"/>
  <c r="G52" i="24"/>
  <c r="G65" i="13" s="1"/>
  <c r="AK52" i="24"/>
  <c r="J52" i="24"/>
  <c r="J65" i="13" s="1"/>
  <c r="O52" i="24"/>
  <c r="O65" i="13" s="1"/>
  <c r="Q52" i="24"/>
  <c r="Q65" i="13" s="1"/>
  <c r="H52" i="24"/>
  <c r="H65" i="13" s="1"/>
  <c r="Y52" i="24"/>
  <c r="Y65" i="13" s="1"/>
  <c r="AH52" i="24"/>
  <c r="AH65" i="13" s="1"/>
  <c r="N52" i="24"/>
  <c r="N65" i="13" s="1"/>
  <c r="AG52" i="24"/>
  <c r="AG65" i="13" s="1"/>
  <c r="AJ52" i="24"/>
  <c r="P52" i="24"/>
  <c r="P65" i="13" s="1"/>
  <c r="T52" i="24"/>
  <c r="T65" i="13" s="1"/>
  <c r="AB52" i="24"/>
  <c r="AB65" i="13" s="1"/>
  <c r="AN52" i="24"/>
  <c r="L57" i="39"/>
  <c r="L238" i="13" s="1"/>
  <c r="T57" i="39"/>
  <c r="T238" i="13" s="1"/>
  <c r="V57" i="39"/>
  <c r="V238" i="13" s="1"/>
  <c r="Z57" i="39"/>
  <c r="Z238" i="13" s="1"/>
  <c r="G57" i="39"/>
  <c r="G238" i="13" s="1"/>
  <c r="O57" i="39"/>
  <c r="O238" i="13" s="1"/>
  <c r="AN57" i="39"/>
  <c r="AK57" i="39"/>
  <c r="AJ57" i="39"/>
  <c r="AF57" i="39"/>
  <c r="AF238" i="13" s="1"/>
  <c r="AA57" i="39"/>
  <c r="AA238" i="13" s="1"/>
  <c r="AE57" i="39"/>
  <c r="AE238" i="13" s="1"/>
  <c r="N57" i="39"/>
  <c r="N238" i="13" s="1"/>
  <c r="S57" i="39"/>
  <c r="S238" i="13" s="1"/>
  <c r="M57" i="39"/>
  <c r="M238" i="13" s="1"/>
  <c r="H57" i="39"/>
  <c r="H238" i="13" s="1"/>
  <c r="Q57" i="39"/>
  <c r="Q238" i="13" s="1"/>
  <c r="X57" i="39"/>
  <c r="X238" i="13" s="1"/>
  <c r="P57" i="39"/>
  <c r="P238" i="13" s="1"/>
  <c r="AB57" i="39"/>
  <c r="AB238" i="13" s="1"/>
  <c r="I57" i="39"/>
  <c r="I238" i="13" s="1"/>
  <c r="AD57" i="39"/>
  <c r="AD238" i="13" s="1"/>
  <c r="J57" i="39"/>
  <c r="J238" i="13" s="1"/>
  <c r="R57" i="39"/>
  <c r="R238" i="13" s="1"/>
  <c r="W57" i="39"/>
  <c r="W238" i="13" s="1"/>
  <c r="AI57" i="39"/>
  <c r="AI238" i="13" s="1"/>
  <c r="AH57" i="39"/>
  <c r="AH238" i="13" s="1"/>
  <c r="AG57" i="39"/>
  <c r="AG238" i="13" s="1"/>
  <c r="AC57" i="39"/>
  <c r="AC238" i="13" s="1"/>
  <c r="AL57" i="39"/>
  <c r="U57" i="39"/>
  <c r="U238" i="13" s="1"/>
  <c r="Y57" i="39"/>
  <c r="Y238" i="13" s="1"/>
  <c r="K57" i="39"/>
  <c r="K238" i="13" s="1"/>
  <c r="AM57" i="39"/>
  <c r="F57" i="39"/>
  <c r="F238" i="13" s="1"/>
  <c r="AN49" i="38"/>
  <c r="AF49" i="38"/>
  <c r="AF137" i="13" s="1"/>
  <c r="X49" i="38"/>
  <c r="X137" i="13" s="1"/>
  <c r="P49" i="38"/>
  <c r="P137" i="13" s="1"/>
  <c r="H49" i="38"/>
  <c r="H137" i="13" s="1"/>
  <c r="N49" i="38"/>
  <c r="N137" i="13" s="1"/>
  <c r="AI49" i="38"/>
  <c r="AI137" i="13" s="1"/>
  <c r="Y49" i="38"/>
  <c r="Y137" i="13" s="1"/>
  <c r="I49" i="38"/>
  <c r="I137" i="13" s="1"/>
  <c r="AM49" i="38"/>
  <c r="AE49" i="38"/>
  <c r="AE137" i="13" s="1"/>
  <c r="W49" i="38"/>
  <c r="W137" i="13" s="1"/>
  <c r="O49" i="38"/>
  <c r="O137" i="13" s="1"/>
  <c r="G49" i="38"/>
  <c r="G137" i="13" s="1"/>
  <c r="F49" i="38"/>
  <c r="V49" i="38"/>
  <c r="V137" i="13" s="1"/>
  <c r="AA49" i="38"/>
  <c r="AA137" i="13" s="1"/>
  <c r="AL49" i="38"/>
  <c r="AD49" i="38"/>
  <c r="AD137" i="13" s="1"/>
  <c r="S49" i="38"/>
  <c r="S137" i="13" s="1"/>
  <c r="AK49" i="38"/>
  <c r="AC49" i="38"/>
  <c r="AC137" i="13" s="1"/>
  <c r="U49" i="38"/>
  <c r="U137" i="13" s="1"/>
  <c r="M49" i="38"/>
  <c r="M137" i="13" s="1"/>
  <c r="AJ49" i="38"/>
  <c r="AB49" i="38"/>
  <c r="AB137" i="13" s="1"/>
  <c r="T49" i="38"/>
  <c r="T137" i="13" s="1"/>
  <c r="L49" i="38"/>
  <c r="L137" i="13" s="1"/>
  <c r="K49" i="38"/>
  <c r="K137" i="13" s="1"/>
  <c r="AG49" i="38"/>
  <c r="AG137" i="13" s="1"/>
  <c r="Q49" i="38"/>
  <c r="Q137" i="13" s="1"/>
  <c r="AH49" i="38"/>
  <c r="AH137" i="13" s="1"/>
  <c r="Z49" i="38"/>
  <c r="Z137" i="13" s="1"/>
  <c r="R49" i="38"/>
  <c r="R137" i="13" s="1"/>
  <c r="J49" i="38"/>
  <c r="J137" i="13" s="1"/>
  <c r="P35" i="27"/>
  <c r="P116" i="13" s="1"/>
  <c r="W35" i="27"/>
  <c r="W116" i="13" s="1"/>
  <c r="U35" i="27"/>
  <c r="U116" i="13" s="1"/>
  <c r="R35" i="27"/>
  <c r="R116" i="13" s="1"/>
  <c r="F116" i="13"/>
  <c r="AM35" i="27"/>
  <c r="AJ35" i="27"/>
  <c r="AD35" i="27"/>
  <c r="AD116" i="13" s="1"/>
  <c r="AL35" i="27"/>
  <c r="O35" i="27"/>
  <c r="O116" i="13" s="1"/>
  <c r="Z35" i="27"/>
  <c r="Z116" i="13" s="1"/>
  <c r="K35" i="27"/>
  <c r="K116" i="13" s="1"/>
  <c r="Y35" i="27"/>
  <c r="Y116" i="13" s="1"/>
  <c r="AG35" i="27"/>
  <c r="AG116" i="13" s="1"/>
  <c r="AF35" i="27"/>
  <c r="AF116" i="13" s="1"/>
  <c r="AC35" i="27"/>
  <c r="AC116" i="13" s="1"/>
  <c r="AH35" i="27"/>
  <c r="AH116" i="13" s="1"/>
  <c r="AB35" i="27"/>
  <c r="AB116" i="13" s="1"/>
  <c r="G35" i="27"/>
  <c r="G116" i="13" s="1"/>
  <c r="X35" i="27"/>
  <c r="X116" i="13" s="1"/>
  <c r="J35" i="27"/>
  <c r="J116" i="13" s="1"/>
  <c r="L35" i="27"/>
  <c r="L116" i="13" s="1"/>
  <c r="V35" i="27"/>
  <c r="V116" i="13" s="1"/>
  <c r="S35" i="27"/>
  <c r="S116" i="13" s="1"/>
  <c r="AI35" i="27"/>
  <c r="AI116" i="13" s="1"/>
  <c r="H35" i="27"/>
  <c r="H116" i="13" s="1"/>
  <c r="AE35" i="27"/>
  <c r="AE116" i="13" s="1"/>
  <c r="AN35" i="27"/>
  <c r="T35" i="27"/>
  <c r="T116" i="13" s="1"/>
  <c r="AA35" i="27"/>
  <c r="AA116" i="13" s="1"/>
  <c r="N35" i="27"/>
  <c r="N116" i="13" s="1"/>
  <c r="AK35" i="27"/>
  <c r="M35" i="27"/>
  <c r="M116" i="13" s="1"/>
  <c r="Q35" i="27"/>
  <c r="Q116" i="13" s="1"/>
  <c r="I35" i="27"/>
  <c r="I116" i="13" s="1"/>
  <c r="AH51" i="38"/>
  <c r="AH139" i="13" s="1"/>
  <c r="Z51" i="38"/>
  <c r="Z139" i="13" s="1"/>
  <c r="R51" i="38"/>
  <c r="R139" i="13" s="1"/>
  <c r="J51" i="38"/>
  <c r="J139" i="13" s="1"/>
  <c r="AG51" i="38"/>
  <c r="AG139" i="13" s="1"/>
  <c r="Y51" i="38"/>
  <c r="Y139" i="13" s="1"/>
  <c r="Q51" i="38"/>
  <c r="Q139" i="13" s="1"/>
  <c r="I51" i="38"/>
  <c r="I139" i="13" s="1"/>
  <c r="AK51" i="38"/>
  <c r="AN51" i="38"/>
  <c r="AF51" i="38"/>
  <c r="AF139" i="13" s="1"/>
  <c r="X51" i="38"/>
  <c r="X139" i="13" s="1"/>
  <c r="P51" i="38"/>
  <c r="P139" i="13" s="1"/>
  <c r="H51" i="38"/>
  <c r="H139" i="13" s="1"/>
  <c r="U51" i="38"/>
  <c r="U139" i="13" s="1"/>
  <c r="AA51" i="38"/>
  <c r="AA139" i="13" s="1"/>
  <c r="K51" i="38"/>
  <c r="K139" i="13" s="1"/>
  <c r="AM51" i="38"/>
  <c r="AE51" i="38"/>
  <c r="AE139" i="13" s="1"/>
  <c r="W51" i="38"/>
  <c r="W139" i="13" s="1"/>
  <c r="O51" i="38"/>
  <c r="O139" i="13" s="1"/>
  <c r="G51" i="38"/>
  <c r="G139" i="13" s="1"/>
  <c r="AC51" i="38"/>
  <c r="AC139" i="13" s="1"/>
  <c r="AL51" i="38"/>
  <c r="AD51" i="38"/>
  <c r="AD139" i="13" s="1"/>
  <c r="V51" i="38"/>
  <c r="V139" i="13" s="1"/>
  <c r="N51" i="38"/>
  <c r="N139" i="13" s="1"/>
  <c r="M51" i="38"/>
  <c r="M139" i="13" s="1"/>
  <c r="AJ51" i="38"/>
  <c r="AB51" i="38"/>
  <c r="AB139" i="13" s="1"/>
  <c r="T51" i="38"/>
  <c r="T139" i="13" s="1"/>
  <c r="L51" i="38"/>
  <c r="L139" i="13" s="1"/>
  <c r="F51" i="38"/>
  <c r="AI51" i="38"/>
  <c r="AI139" i="13" s="1"/>
  <c r="S51" i="38"/>
  <c r="S139" i="13" s="1"/>
  <c r="K37" i="27"/>
  <c r="K118" i="13" s="1"/>
  <c r="AM37" i="27"/>
  <c r="AI37" i="27"/>
  <c r="AI118" i="13" s="1"/>
  <c r="S37" i="27"/>
  <c r="S118" i="13" s="1"/>
  <c r="AE37" i="27"/>
  <c r="AE118" i="13" s="1"/>
  <c r="M37" i="27"/>
  <c r="M118" i="13" s="1"/>
  <c r="AH37" i="27"/>
  <c r="AH118" i="13" s="1"/>
  <c r="AD37" i="27"/>
  <c r="AD118" i="13" s="1"/>
  <c r="X37" i="27"/>
  <c r="X118" i="13" s="1"/>
  <c r="Z37" i="27"/>
  <c r="Z118" i="13" s="1"/>
  <c r="Q37" i="27"/>
  <c r="Q118" i="13" s="1"/>
  <c r="AK37" i="27"/>
  <c r="T37" i="27"/>
  <c r="T118" i="13" s="1"/>
  <c r="AG37" i="27"/>
  <c r="AG118" i="13" s="1"/>
  <c r="AC37" i="27"/>
  <c r="AC118" i="13" s="1"/>
  <c r="AB37" i="27"/>
  <c r="AB118" i="13" s="1"/>
  <c r="P37" i="27"/>
  <c r="P118" i="13" s="1"/>
  <c r="AJ37" i="27"/>
  <c r="I37" i="27"/>
  <c r="I118" i="13" s="1"/>
  <c r="AL37" i="27"/>
  <c r="O37" i="27"/>
  <c r="O118" i="13" s="1"/>
  <c r="F37" i="27"/>
  <c r="F118" i="13" s="1"/>
  <c r="W37" i="27"/>
  <c r="W118" i="13" s="1"/>
  <c r="G37" i="27"/>
  <c r="G118" i="13" s="1"/>
  <c r="J37" i="27"/>
  <c r="J118" i="13" s="1"/>
  <c r="V37" i="27"/>
  <c r="V118" i="13" s="1"/>
  <c r="R37" i="27"/>
  <c r="R118" i="13" s="1"/>
  <c r="AA37" i="27"/>
  <c r="AA118" i="13" s="1"/>
  <c r="N37" i="27"/>
  <c r="N118" i="13" s="1"/>
  <c r="AF37" i="27"/>
  <c r="AF118" i="13" s="1"/>
  <c r="Y37" i="27"/>
  <c r="Y118" i="13" s="1"/>
  <c r="H37" i="27"/>
  <c r="H118" i="13" s="1"/>
  <c r="L37" i="27"/>
  <c r="L118" i="13" s="1"/>
  <c r="U37" i="27"/>
  <c r="U118" i="13" s="1"/>
  <c r="AN37" i="27"/>
  <c r="K41" i="27"/>
  <c r="K122" i="13" s="1"/>
  <c r="M41" i="27"/>
  <c r="M122" i="13" s="1"/>
  <c r="Q41" i="27"/>
  <c r="Q122" i="13" s="1"/>
  <c r="N41" i="27"/>
  <c r="N122" i="13" s="1"/>
  <c r="P41" i="27"/>
  <c r="P122" i="13" s="1"/>
  <c r="U41" i="27"/>
  <c r="U122" i="13" s="1"/>
  <c r="V41" i="27"/>
  <c r="V122" i="13" s="1"/>
  <c r="G41" i="27"/>
  <c r="G122" i="13" s="1"/>
  <c r="AN41" i="27"/>
  <c r="AB41" i="27"/>
  <c r="AB122" i="13" s="1"/>
  <c r="W41" i="27"/>
  <c r="W122" i="13" s="1"/>
  <c r="J41" i="27"/>
  <c r="J122" i="13" s="1"/>
  <c r="R41" i="27"/>
  <c r="R122" i="13" s="1"/>
  <c r="AL41" i="27"/>
  <c r="S41" i="27"/>
  <c r="S122" i="13" s="1"/>
  <c r="Y41" i="27"/>
  <c r="Y122" i="13" s="1"/>
  <c r="AI41" i="27"/>
  <c r="AI122" i="13" s="1"/>
  <c r="H41" i="27"/>
  <c r="H122" i="13" s="1"/>
  <c r="AF41" i="27"/>
  <c r="AF122" i="13" s="1"/>
  <c r="AJ41" i="27"/>
  <c r="O41" i="27"/>
  <c r="O122" i="13" s="1"/>
  <c r="I41" i="27"/>
  <c r="I122" i="13" s="1"/>
  <c r="L41" i="27"/>
  <c r="L122" i="13" s="1"/>
  <c r="AE41" i="27"/>
  <c r="AE122" i="13" s="1"/>
  <c r="AM41" i="27"/>
  <c r="Z41" i="27"/>
  <c r="Z122" i="13" s="1"/>
  <c r="AG41" i="27"/>
  <c r="AG122" i="13" s="1"/>
  <c r="AA41" i="27"/>
  <c r="AA122" i="13" s="1"/>
  <c r="AC41" i="27"/>
  <c r="AC122" i="13" s="1"/>
  <c r="T41" i="27"/>
  <c r="T122" i="13" s="1"/>
  <c r="AK41" i="27"/>
  <c r="AD41" i="27"/>
  <c r="AD122" i="13" s="1"/>
  <c r="F41" i="27"/>
  <c r="F122" i="13" s="1"/>
  <c r="X41" i="27"/>
  <c r="X122" i="13" s="1"/>
  <c r="AH41" i="27"/>
  <c r="AH122" i="13" s="1"/>
  <c r="AL52" i="38"/>
  <c r="AD52" i="38"/>
  <c r="AD140" i="13" s="1"/>
  <c r="V52" i="38"/>
  <c r="V140" i="13" s="1"/>
  <c r="N52" i="38"/>
  <c r="N140" i="13" s="1"/>
  <c r="AK52" i="38"/>
  <c r="AC52" i="38"/>
  <c r="AC140" i="13" s="1"/>
  <c r="U52" i="38"/>
  <c r="U140" i="13" s="1"/>
  <c r="M52" i="38"/>
  <c r="M140" i="13" s="1"/>
  <c r="Y52" i="38"/>
  <c r="Y140" i="13" s="1"/>
  <c r="AJ52" i="38"/>
  <c r="AB52" i="38"/>
  <c r="AB140" i="13" s="1"/>
  <c r="T52" i="38"/>
  <c r="T140" i="13" s="1"/>
  <c r="L52" i="38"/>
  <c r="L140" i="13" s="1"/>
  <c r="I52" i="38"/>
  <c r="I140" i="13" s="1"/>
  <c r="W52" i="38"/>
  <c r="W140" i="13" s="1"/>
  <c r="AI52" i="38"/>
  <c r="AI140" i="13" s="1"/>
  <c r="AA52" i="38"/>
  <c r="AA140" i="13" s="1"/>
  <c r="S52" i="38"/>
  <c r="S140" i="13" s="1"/>
  <c r="K52" i="38"/>
  <c r="K140" i="13" s="1"/>
  <c r="Q52" i="38"/>
  <c r="Q140" i="13" s="1"/>
  <c r="AH52" i="38"/>
  <c r="AH140" i="13" s="1"/>
  <c r="Z52" i="38"/>
  <c r="Z140" i="13" s="1"/>
  <c r="R52" i="38"/>
  <c r="R140" i="13" s="1"/>
  <c r="J52" i="38"/>
  <c r="J140" i="13" s="1"/>
  <c r="F52" i="38"/>
  <c r="AG52" i="38"/>
  <c r="AG140" i="13" s="1"/>
  <c r="G52" i="38"/>
  <c r="G140" i="13" s="1"/>
  <c r="AN52" i="38"/>
  <c r="AF52" i="38"/>
  <c r="AF140" i="13" s="1"/>
  <c r="X52" i="38"/>
  <c r="X140" i="13" s="1"/>
  <c r="P52" i="38"/>
  <c r="P140" i="13" s="1"/>
  <c r="H52" i="38"/>
  <c r="H140" i="13" s="1"/>
  <c r="AM52" i="38"/>
  <c r="AE52" i="38"/>
  <c r="AE140" i="13" s="1"/>
  <c r="O52" i="38"/>
  <c r="O140" i="13" s="1"/>
  <c r="AE40" i="27"/>
  <c r="AE121" i="13" s="1"/>
  <c r="Q40" i="27"/>
  <c r="Q121" i="13" s="1"/>
  <c r="U40" i="27"/>
  <c r="U121" i="13" s="1"/>
  <c r="P40" i="27"/>
  <c r="P121" i="13" s="1"/>
  <c r="AB40" i="27"/>
  <c r="AB121" i="13" s="1"/>
  <c r="AN40" i="27"/>
  <c r="Y40" i="27"/>
  <c r="Y121" i="13" s="1"/>
  <c r="AL40" i="27"/>
  <c r="M40" i="27"/>
  <c r="M121" i="13" s="1"/>
  <c r="V40" i="27"/>
  <c r="V121" i="13" s="1"/>
  <c r="AJ40" i="27"/>
  <c r="T40" i="27"/>
  <c r="T121" i="13" s="1"/>
  <c r="AF40" i="27"/>
  <c r="AF121" i="13" s="1"/>
  <c r="H40" i="27"/>
  <c r="H121" i="13" s="1"/>
  <c r="L40" i="27"/>
  <c r="L121" i="13" s="1"/>
  <c r="I40" i="27"/>
  <c r="I121" i="13" s="1"/>
  <c r="AK40" i="27"/>
  <c r="AD40" i="27"/>
  <c r="AD121" i="13" s="1"/>
  <c r="AH40" i="27"/>
  <c r="AH121" i="13" s="1"/>
  <c r="AG40" i="27"/>
  <c r="AG121" i="13" s="1"/>
  <c r="F40" i="27"/>
  <c r="F121" i="13" s="1"/>
  <c r="AA40" i="27"/>
  <c r="AA121" i="13" s="1"/>
  <c r="AM40" i="27"/>
  <c r="AI40" i="27"/>
  <c r="AI121" i="13" s="1"/>
  <c r="N40" i="27"/>
  <c r="N121" i="13" s="1"/>
  <c r="X40" i="27"/>
  <c r="X121" i="13" s="1"/>
  <c r="W40" i="27"/>
  <c r="W121" i="13" s="1"/>
  <c r="J40" i="27"/>
  <c r="J121" i="13" s="1"/>
  <c r="K40" i="27"/>
  <c r="K121" i="13" s="1"/>
  <c r="AC40" i="27"/>
  <c r="AC121" i="13" s="1"/>
  <c r="S40" i="27"/>
  <c r="S121" i="13" s="1"/>
  <c r="O40" i="27"/>
  <c r="O121" i="13" s="1"/>
  <c r="Z40" i="27"/>
  <c r="Z121" i="13" s="1"/>
  <c r="R40" i="27"/>
  <c r="R121" i="13" s="1"/>
  <c r="G40" i="27"/>
  <c r="G121" i="13" s="1"/>
  <c r="AJ31" i="40"/>
  <c r="M31" i="40"/>
  <c r="U31" i="40"/>
  <c r="E53" i="40"/>
  <c r="V31" i="40"/>
  <c r="AL31" i="40"/>
  <c r="Y31" i="40"/>
  <c r="AD31" i="40"/>
  <c r="Z31" i="40"/>
  <c r="Q31" i="40"/>
  <c r="N31" i="40"/>
  <c r="P31" i="40"/>
  <c r="AE31" i="40"/>
  <c r="AH31" i="40"/>
  <c r="R31" i="40"/>
  <c r="J31" i="40"/>
  <c r="L31" i="40"/>
  <c r="K31" i="40"/>
  <c r="H31" i="40"/>
  <c r="AG31" i="40"/>
  <c r="AI31" i="40"/>
  <c r="S31" i="40"/>
  <c r="AC31" i="40"/>
  <c r="AM31" i="40"/>
  <c r="I31" i="40"/>
  <c r="F31" i="40"/>
  <c r="X31" i="40"/>
  <c r="W31" i="40"/>
  <c r="AK31" i="40"/>
  <c r="T31" i="40"/>
  <c r="E31" i="40"/>
  <c r="O31" i="40"/>
  <c r="G31" i="40"/>
  <c r="AB31" i="40"/>
  <c r="AA31" i="40"/>
  <c r="AF31" i="40"/>
  <c r="AF56" i="39"/>
  <c r="AF237" i="13" s="1"/>
  <c r="R56" i="39"/>
  <c r="R237" i="13" s="1"/>
  <c r="P56" i="39"/>
  <c r="P237" i="13" s="1"/>
  <c r="M56" i="39"/>
  <c r="M237" i="13" s="1"/>
  <c r="AL56" i="39"/>
  <c r="AK56" i="39"/>
  <c r="Z56" i="39"/>
  <c r="Z237" i="13" s="1"/>
  <c r="X56" i="39"/>
  <c r="X237" i="13" s="1"/>
  <c r="AM56" i="39"/>
  <c r="AG56" i="39"/>
  <c r="AG237" i="13" s="1"/>
  <c r="U56" i="39"/>
  <c r="U237" i="13" s="1"/>
  <c r="N56" i="39"/>
  <c r="N237" i="13" s="1"/>
  <c r="AB56" i="39"/>
  <c r="AB237" i="13" s="1"/>
  <c r="J56" i="39"/>
  <c r="J237" i="13" s="1"/>
  <c r="T56" i="39"/>
  <c r="T237" i="13" s="1"/>
  <c r="AH56" i="39"/>
  <c r="AH237" i="13" s="1"/>
  <c r="O56" i="39"/>
  <c r="O237" i="13" s="1"/>
  <c r="AE56" i="39"/>
  <c r="AE237" i="13" s="1"/>
  <c r="AA56" i="39"/>
  <c r="AA237" i="13" s="1"/>
  <c r="W56" i="39"/>
  <c r="W237" i="13" s="1"/>
  <c r="AD56" i="39"/>
  <c r="AD237" i="13" s="1"/>
  <c r="F56" i="39"/>
  <c r="F237" i="13" s="1"/>
  <c r="AN56" i="39"/>
  <c r="K56" i="39"/>
  <c r="K237" i="13" s="1"/>
  <c r="G56" i="39"/>
  <c r="G237" i="13" s="1"/>
  <c r="Q56" i="39"/>
  <c r="Q237" i="13" s="1"/>
  <c r="Y56" i="39"/>
  <c r="Y237" i="13" s="1"/>
  <c r="I56" i="39"/>
  <c r="I237" i="13" s="1"/>
  <c r="AJ56" i="39"/>
  <c r="AC56" i="39"/>
  <c r="AC237" i="13" s="1"/>
  <c r="H56" i="39"/>
  <c r="H237" i="13" s="1"/>
  <c r="V56" i="39"/>
  <c r="V237" i="13" s="1"/>
  <c r="AI56" i="39"/>
  <c r="AI237" i="13" s="1"/>
  <c r="S56" i="39"/>
  <c r="S237" i="13" s="1"/>
  <c r="L56" i="39"/>
  <c r="L237" i="13" s="1"/>
  <c r="AG54" i="24"/>
  <c r="AG67" i="13" s="1"/>
  <c r="L54" i="24"/>
  <c r="L67" i="13" s="1"/>
  <c r="AM54" i="24"/>
  <c r="AL54" i="24"/>
  <c r="AN54" i="24"/>
  <c r="H54" i="24"/>
  <c r="H67" i="13" s="1"/>
  <c r="N54" i="24"/>
  <c r="N67" i="13" s="1"/>
  <c r="AH54" i="24"/>
  <c r="AH67" i="13" s="1"/>
  <c r="S54" i="24"/>
  <c r="S67" i="13" s="1"/>
  <c r="AB54" i="24"/>
  <c r="AB67" i="13" s="1"/>
  <c r="F54" i="24"/>
  <c r="P54" i="24"/>
  <c r="P67" i="13" s="1"/>
  <c r="O54" i="24"/>
  <c r="O67" i="13" s="1"/>
  <c r="G54" i="24"/>
  <c r="G67" i="13" s="1"/>
  <c r="X54" i="24"/>
  <c r="X67" i="13" s="1"/>
  <c r="AE54" i="24"/>
  <c r="AE67" i="13" s="1"/>
  <c r="T54" i="24"/>
  <c r="T67" i="13" s="1"/>
  <c r="AD54" i="24"/>
  <c r="AD67" i="13" s="1"/>
  <c r="I54" i="24"/>
  <c r="I67" i="13" s="1"/>
  <c r="R54" i="24"/>
  <c r="R67" i="13" s="1"/>
  <c r="AK54" i="24"/>
  <c r="Y54" i="24"/>
  <c r="Y67" i="13" s="1"/>
  <c r="M54" i="24"/>
  <c r="M67" i="13" s="1"/>
  <c r="AJ54" i="24"/>
  <c r="AI54" i="24"/>
  <c r="AI67" i="13" s="1"/>
  <c r="Z54" i="24"/>
  <c r="Z67" i="13" s="1"/>
  <c r="K54" i="24"/>
  <c r="K67" i="13" s="1"/>
  <c r="U54" i="24"/>
  <c r="U67" i="13" s="1"/>
  <c r="AA54" i="24"/>
  <c r="AA67" i="13" s="1"/>
  <c r="Q54" i="24"/>
  <c r="Q67" i="13" s="1"/>
  <c r="W54" i="24"/>
  <c r="W67" i="13" s="1"/>
  <c r="AC54" i="24"/>
  <c r="AC67" i="13" s="1"/>
  <c r="AF54" i="24"/>
  <c r="AF67" i="13" s="1"/>
  <c r="V54" i="24"/>
  <c r="V67" i="13" s="1"/>
  <c r="J54" i="24"/>
  <c r="J67" i="13" s="1"/>
  <c r="I49" i="24"/>
  <c r="I62" i="13" s="1"/>
  <c r="AC49" i="24"/>
  <c r="AC62" i="13" s="1"/>
  <c r="Q49" i="24"/>
  <c r="Q62" i="13" s="1"/>
  <c r="AG49" i="24"/>
  <c r="AG62" i="13" s="1"/>
  <c r="AI49" i="24"/>
  <c r="AI62" i="13" s="1"/>
  <c r="K49" i="24"/>
  <c r="K62" i="13" s="1"/>
  <c r="AE49" i="24"/>
  <c r="AE62" i="13" s="1"/>
  <c r="AF49" i="24"/>
  <c r="AF62" i="13" s="1"/>
  <c r="P49" i="24"/>
  <c r="P62" i="13" s="1"/>
  <c r="AJ49" i="24"/>
  <c r="F49" i="24"/>
  <c r="V49" i="24"/>
  <c r="V62" i="13" s="1"/>
  <c r="R49" i="24"/>
  <c r="R62" i="13" s="1"/>
  <c r="L49" i="24"/>
  <c r="L62" i="13" s="1"/>
  <c r="AA49" i="24"/>
  <c r="AA62" i="13" s="1"/>
  <c r="AM49" i="24"/>
  <c r="T49" i="24"/>
  <c r="T62" i="13" s="1"/>
  <c r="AD49" i="24"/>
  <c r="AD62" i="13" s="1"/>
  <c r="Z49" i="24"/>
  <c r="Z62" i="13" s="1"/>
  <c r="X49" i="24"/>
  <c r="X62" i="13" s="1"/>
  <c r="AH49" i="24"/>
  <c r="AH62" i="13" s="1"/>
  <c r="Y49" i="24"/>
  <c r="Y62" i="13" s="1"/>
  <c r="AL49" i="24"/>
  <c r="AN49" i="24"/>
  <c r="M49" i="24"/>
  <c r="M62" i="13" s="1"/>
  <c r="AK49" i="24"/>
  <c r="H49" i="24"/>
  <c r="H62" i="13" s="1"/>
  <c r="J49" i="24"/>
  <c r="J62" i="13" s="1"/>
  <c r="O49" i="24"/>
  <c r="O62" i="13" s="1"/>
  <c r="U49" i="24"/>
  <c r="U62" i="13" s="1"/>
  <c r="G49" i="24"/>
  <c r="G62" i="13" s="1"/>
  <c r="N49" i="24"/>
  <c r="N62" i="13" s="1"/>
  <c r="AB49" i="24"/>
  <c r="AB62" i="13" s="1"/>
  <c r="S49" i="24"/>
  <c r="S62" i="13" s="1"/>
  <c r="W49" i="24"/>
  <c r="W62" i="13" s="1"/>
  <c r="AM68" i="25"/>
  <c r="X68" i="25"/>
  <c r="Y75" i="13" s="1"/>
  <c r="U68" i="25"/>
  <c r="V75" i="13" s="1"/>
  <c r="N68" i="25"/>
  <c r="O75" i="13" s="1"/>
  <c r="I68" i="25"/>
  <c r="J75" i="13" s="1"/>
  <c r="F68" i="25"/>
  <c r="G75" i="13" s="1"/>
  <c r="Y68" i="25"/>
  <c r="Z75" i="13" s="1"/>
  <c r="W68" i="25"/>
  <c r="X75" i="13" s="1"/>
  <c r="V68" i="25"/>
  <c r="W75" i="13" s="1"/>
  <c r="Z68" i="25"/>
  <c r="AA75" i="13" s="1"/>
  <c r="AD68" i="25"/>
  <c r="AE75" i="13" s="1"/>
  <c r="H68" i="25"/>
  <c r="I75" i="13" s="1"/>
  <c r="AF68" i="25"/>
  <c r="AG75" i="13" s="1"/>
  <c r="R68" i="25"/>
  <c r="S75" i="13" s="1"/>
  <c r="E68" i="25"/>
  <c r="AI68" i="25"/>
  <c r="AC68" i="25"/>
  <c r="AD75" i="13" s="1"/>
  <c r="AA68" i="25"/>
  <c r="AB75" i="13" s="1"/>
  <c r="AB68" i="25"/>
  <c r="AC75" i="13" s="1"/>
  <c r="T68" i="25"/>
  <c r="U75" i="13" s="1"/>
  <c r="M68" i="25"/>
  <c r="N75" i="13" s="1"/>
  <c r="Q68" i="25"/>
  <c r="R75" i="13" s="1"/>
  <c r="P68" i="25"/>
  <c r="Q75" i="13" s="1"/>
  <c r="L68" i="25"/>
  <c r="M75" i="13" s="1"/>
  <c r="AE68" i="25"/>
  <c r="AF75" i="13" s="1"/>
  <c r="AH68" i="25"/>
  <c r="AI75" i="13" s="1"/>
  <c r="AG68" i="25"/>
  <c r="AH75" i="13" s="1"/>
  <c r="AK68" i="25"/>
  <c r="G68" i="25"/>
  <c r="H75" i="13" s="1"/>
  <c r="J68" i="25"/>
  <c r="K75" i="13" s="1"/>
  <c r="S68" i="25"/>
  <c r="T75" i="13" s="1"/>
  <c r="AJ68" i="25"/>
  <c r="AL68" i="25"/>
  <c r="K68" i="25"/>
  <c r="L75" i="13" s="1"/>
  <c r="O68" i="25"/>
  <c r="P75" i="13" s="1"/>
  <c r="Z46" i="24"/>
  <c r="AE46" i="24"/>
  <c r="N46" i="24"/>
  <c r="AF46" i="24"/>
  <c r="G46" i="24"/>
  <c r="X46" i="24"/>
  <c r="AI46" i="24"/>
  <c r="AK46" i="24"/>
  <c r="Q46" i="24"/>
  <c r="J46" i="24"/>
  <c r="L46" i="24"/>
  <c r="AN46" i="24"/>
  <c r="AH46" i="24"/>
  <c r="AJ46" i="24"/>
  <c r="U46" i="24"/>
  <c r="T46" i="24"/>
  <c r="I46" i="24"/>
  <c r="AL46" i="24"/>
  <c r="W46" i="24"/>
  <c r="AM46" i="24"/>
  <c r="AD46" i="24"/>
  <c r="AC46" i="24"/>
  <c r="AG46" i="24"/>
  <c r="V46" i="24"/>
  <c r="O46" i="24"/>
  <c r="R46" i="24"/>
  <c r="K46" i="24"/>
  <c r="P46" i="24"/>
  <c r="M46" i="24"/>
  <c r="AB46" i="24"/>
  <c r="AA46" i="24"/>
  <c r="S46" i="24"/>
  <c r="Y46" i="24"/>
  <c r="F46" i="24"/>
  <c r="AL54" i="26"/>
  <c r="AD54" i="26"/>
  <c r="AD127" i="13" s="1"/>
  <c r="V54" i="26"/>
  <c r="V127" i="13" s="1"/>
  <c r="N54" i="26"/>
  <c r="N127" i="13" s="1"/>
  <c r="AK54" i="26"/>
  <c r="AC54" i="26"/>
  <c r="AC127" i="13" s="1"/>
  <c r="U54" i="26"/>
  <c r="U127" i="13" s="1"/>
  <c r="M54" i="26"/>
  <c r="M127" i="13" s="1"/>
  <c r="AJ54" i="26"/>
  <c r="AB54" i="26"/>
  <c r="AB127" i="13" s="1"/>
  <c r="T54" i="26"/>
  <c r="T127" i="13" s="1"/>
  <c r="L54" i="26"/>
  <c r="L127" i="13" s="1"/>
  <c r="AI54" i="26"/>
  <c r="AI127" i="13" s="1"/>
  <c r="AA54" i="26"/>
  <c r="AA127" i="13" s="1"/>
  <c r="S54" i="26"/>
  <c r="S127" i="13" s="1"/>
  <c r="K54" i="26"/>
  <c r="K127" i="13" s="1"/>
  <c r="AH54" i="26"/>
  <c r="AH127" i="13" s="1"/>
  <c r="Z54" i="26"/>
  <c r="Z127" i="13" s="1"/>
  <c r="R54" i="26"/>
  <c r="R127" i="13" s="1"/>
  <c r="J54" i="26"/>
  <c r="J127" i="13" s="1"/>
  <c r="AN54" i="26"/>
  <c r="AF54" i="26"/>
  <c r="AF127" i="13" s="1"/>
  <c r="X54" i="26"/>
  <c r="X127" i="13" s="1"/>
  <c r="P54" i="26"/>
  <c r="P127" i="13" s="1"/>
  <c r="H54" i="26"/>
  <c r="H127" i="13" s="1"/>
  <c r="AM54" i="26"/>
  <c r="AE54" i="26"/>
  <c r="AE127" i="13" s="1"/>
  <c r="W54" i="26"/>
  <c r="W127" i="13" s="1"/>
  <c r="O54" i="26"/>
  <c r="O127" i="13" s="1"/>
  <c r="G54" i="26"/>
  <c r="G127" i="13" s="1"/>
  <c r="I54" i="26"/>
  <c r="I127" i="13" s="1"/>
  <c r="AG54" i="26"/>
  <c r="AG127" i="13" s="1"/>
  <c r="Y54" i="26"/>
  <c r="Y127" i="13" s="1"/>
  <c r="Q54" i="26"/>
  <c r="Q127" i="13" s="1"/>
  <c r="F54" i="26"/>
  <c r="F127" i="13" s="1"/>
  <c r="AH48" i="38"/>
  <c r="AH136" i="13" s="1"/>
  <c r="Z48" i="38"/>
  <c r="Z136" i="13" s="1"/>
  <c r="R48" i="38"/>
  <c r="R136" i="13" s="1"/>
  <c r="J48" i="38"/>
  <c r="J136" i="13" s="1"/>
  <c r="H48" i="38"/>
  <c r="H136" i="13" s="1"/>
  <c r="O48" i="38"/>
  <c r="O136" i="13" s="1"/>
  <c r="AK48" i="38"/>
  <c r="U48" i="38"/>
  <c r="U136" i="13" s="1"/>
  <c r="K48" i="38"/>
  <c r="K136" i="13" s="1"/>
  <c r="AG48" i="38"/>
  <c r="AG136" i="13" s="1"/>
  <c r="Y48" i="38"/>
  <c r="Y136" i="13" s="1"/>
  <c r="Q48" i="38"/>
  <c r="Q136" i="13" s="1"/>
  <c r="I48" i="38"/>
  <c r="I136" i="13" s="1"/>
  <c r="X48" i="38"/>
  <c r="X136" i="13" s="1"/>
  <c r="F48" i="38"/>
  <c r="G48" i="38"/>
  <c r="G136" i="13" s="1"/>
  <c r="AA48" i="38"/>
  <c r="AA136" i="13" s="1"/>
  <c r="AN48" i="38"/>
  <c r="AF48" i="38"/>
  <c r="AF136" i="13" s="1"/>
  <c r="P48" i="38"/>
  <c r="P136" i="13" s="1"/>
  <c r="W48" i="38"/>
  <c r="W136" i="13" s="1"/>
  <c r="S48" i="38"/>
  <c r="S136" i="13" s="1"/>
  <c r="AM48" i="38"/>
  <c r="AE48" i="38"/>
  <c r="AE136" i="13" s="1"/>
  <c r="AC48" i="38"/>
  <c r="AC136" i="13" s="1"/>
  <c r="AL48" i="38"/>
  <c r="AD48" i="38"/>
  <c r="AD136" i="13" s="1"/>
  <c r="V48" i="38"/>
  <c r="V136" i="13" s="1"/>
  <c r="N48" i="38"/>
  <c r="N136" i="13" s="1"/>
  <c r="M48" i="38"/>
  <c r="M136" i="13" s="1"/>
  <c r="AJ48" i="38"/>
  <c r="AB48" i="38"/>
  <c r="AB136" i="13" s="1"/>
  <c r="T48" i="38"/>
  <c r="T136" i="13" s="1"/>
  <c r="L48" i="38"/>
  <c r="L136" i="13" s="1"/>
  <c r="AI48" i="38"/>
  <c r="AI136" i="13" s="1"/>
  <c r="AC70" i="25"/>
  <c r="AD77" i="13" s="1"/>
  <c r="F70" i="25"/>
  <c r="G77" i="13" s="1"/>
  <c r="M70" i="25"/>
  <c r="N77" i="13" s="1"/>
  <c r="AA70" i="25"/>
  <c r="AB77" i="13" s="1"/>
  <c r="AM70" i="25"/>
  <c r="R70" i="25"/>
  <c r="S77" i="13" s="1"/>
  <c r="E70" i="25"/>
  <c r="Y70" i="25"/>
  <c r="Z77" i="13" s="1"/>
  <c r="I70" i="25"/>
  <c r="J77" i="13" s="1"/>
  <c r="V70" i="25"/>
  <c r="W77" i="13" s="1"/>
  <c r="U70" i="25"/>
  <c r="V77" i="13" s="1"/>
  <c r="W70" i="25"/>
  <c r="X77" i="13" s="1"/>
  <c r="G70" i="25"/>
  <c r="H77" i="13" s="1"/>
  <c r="AJ70" i="25"/>
  <c r="AB70" i="25"/>
  <c r="AC77" i="13" s="1"/>
  <c r="AD70" i="25"/>
  <c r="AE77" i="13" s="1"/>
  <c r="AF70" i="25"/>
  <c r="AG77" i="13" s="1"/>
  <c r="AL70" i="25"/>
  <c r="S70" i="25"/>
  <c r="T77" i="13" s="1"/>
  <c r="AK70" i="25"/>
  <c r="AI70" i="25"/>
  <c r="K70" i="25"/>
  <c r="L77" i="13" s="1"/>
  <c r="O70" i="25"/>
  <c r="P77" i="13" s="1"/>
  <c r="L70" i="25"/>
  <c r="M77" i="13" s="1"/>
  <c r="H70" i="25"/>
  <c r="I77" i="13" s="1"/>
  <c r="Z70" i="25"/>
  <c r="AA77" i="13" s="1"/>
  <c r="Q70" i="25"/>
  <c r="R77" i="13" s="1"/>
  <c r="AE70" i="25"/>
  <c r="AF77" i="13" s="1"/>
  <c r="J70" i="25"/>
  <c r="K77" i="13" s="1"/>
  <c r="AH70" i="25"/>
  <c r="AI77" i="13" s="1"/>
  <c r="N70" i="25"/>
  <c r="O77" i="13" s="1"/>
  <c r="P70" i="25"/>
  <c r="Q77" i="13" s="1"/>
  <c r="X70" i="25"/>
  <c r="Y77" i="13" s="1"/>
  <c r="AG70" i="25"/>
  <c r="AH77" i="13" s="1"/>
  <c r="T70" i="25"/>
  <c r="U77" i="13" s="1"/>
  <c r="W59" i="39"/>
  <c r="W240" i="13" s="1"/>
  <c r="AA59" i="39"/>
  <c r="AA240" i="13" s="1"/>
  <c r="AK59" i="39"/>
  <c r="AB59" i="39"/>
  <c r="AB240" i="13" s="1"/>
  <c r="G59" i="39"/>
  <c r="G240" i="13" s="1"/>
  <c r="K59" i="39"/>
  <c r="K240" i="13" s="1"/>
  <c r="O59" i="39"/>
  <c r="O240" i="13" s="1"/>
  <c r="AM59" i="39"/>
  <c r="AH59" i="39"/>
  <c r="AH240" i="13" s="1"/>
  <c r="H59" i="39"/>
  <c r="H240" i="13" s="1"/>
  <c r="T59" i="39"/>
  <c r="T240" i="13" s="1"/>
  <c r="X59" i="39"/>
  <c r="X240" i="13" s="1"/>
  <c r="J59" i="39"/>
  <c r="J240" i="13" s="1"/>
  <c r="N59" i="39"/>
  <c r="N240" i="13" s="1"/>
  <c r="R59" i="39"/>
  <c r="R240" i="13" s="1"/>
  <c r="AE59" i="39"/>
  <c r="AE240" i="13" s="1"/>
  <c r="AD59" i="39"/>
  <c r="AD240" i="13" s="1"/>
  <c r="S59" i="39"/>
  <c r="S240" i="13" s="1"/>
  <c r="I59" i="39"/>
  <c r="I240" i="13" s="1"/>
  <c r="AC59" i="39"/>
  <c r="AC240" i="13" s="1"/>
  <c r="AN59" i="39"/>
  <c r="Y59" i="39"/>
  <c r="Y240" i="13" s="1"/>
  <c r="AJ59" i="39"/>
  <c r="AF59" i="39"/>
  <c r="AF240" i="13" s="1"/>
  <c r="M59" i="39"/>
  <c r="M240" i="13" s="1"/>
  <c r="F59" i="39"/>
  <c r="F240" i="13" s="1"/>
  <c r="AI59" i="39"/>
  <c r="AI240" i="13" s="1"/>
  <c r="L59" i="39"/>
  <c r="L240" i="13" s="1"/>
  <c r="V59" i="39"/>
  <c r="V240" i="13" s="1"/>
  <c r="AL59" i="39"/>
  <c r="Q59" i="39"/>
  <c r="Q240" i="13" s="1"/>
  <c r="P59" i="39"/>
  <c r="P240" i="13" s="1"/>
  <c r="Z59" i="39"/>
  <c r="Z240" i="13" s="1"/>
  <c r="AG59" i="39"/>
  <c r="AG240" i="13" s="1"/>
  <c r="U59" i="39"/>
  <c r="U240" i="13" s="1"/>
  <c r="R58" i="39"/>
  <c r="R239" i="13" s="1"/>
  <c r="G58" i="39"/>
  <c r="G239" i="13" s="1"/>
  <c r="H58" i="39"/>
  <c r="H239" i="13" s="1"/>
  <c r="AN58" i="39"/>
  <c r="Y58" i="39"/>
  <c r="Y239" i="13" s="1"/>
  <c r="AC58" i="39"/>
  <c r="AC239" i="13" s="1"/>
  <c r="AL58" i="39"/>
  <c r="S58" i="39"/>
  <c r="S239" i="13" s="1"/>
  <c r="AF58" i="39"/>
  <c r="AF239" i="13" s="1"/>
  <c r="AA58" i="39"/>
  <c r="AA239" i="13" s="1"/>
  <c r="K58" i="39"/>
  <c r="K239" i="13" s="1"/>
  <c r="AM58" i="39"/>
  <c r="AG58" i="39"/>
  <c r="AG239" i="13" s="1"/>
  <c r="AH58" i="39"/>
  <c r="AH239" i="13" s="1"/>
  <c r="J58" i="39"/>
  <c r="J239" i="13" s="1"/>
  <c r="AB58" i="39"/>
  <c r="AB239" i="13" s="1"/>
  <c r="Q58" i="39"/>
  <c r="Q239" i="13" s="1"/>
  <c r="I58" i="39"/>
  <c r="I239" i="13" s="1"/>
  <c r="M58" i="39"/>
  <c r="M239" i="13" s="1"/>
  <c r="F58" i="39"/>
  <c r="F239" i="13" s="1"/>
  <c r="U58" i="39"/>
  <c r="U239" i="13" s="1"/>
  <c r="T58" i="39"/>
  <c r="T239" i="13" s="1"/>
  <c r="X58" i="39"/>
  <c r="X239" i="13" s="1"/>
  <c r="AJ58" i="39"/>
  <c r="Z58" i="39"/>
  <c r="Z239" i="13" s="1"/>
  <c r="AE58" i="39"/>
  <c r="AE239" i="13" s="1"/>
  <c r="V58" i="39"/>
  <c r="V239" i="13" s="1"/>
  <c r="AK58" i="39"/>
  <c r="AD58" i="39"/>
  <c r="AD239" i="13" s="1"/>
  <c r="AI58" i="39"/>
  <c r="AI239" i="13" s="1"/>
  <c r="P58" i="39"/>
  <c r="P239" i="13" s="1"/>
  <c r="L58" i="39"/>
  <c r="L239" i="13" s="1"/>
  <c r="O58" i="39"/>
  <c r="O239" i="13" s="1"/>
  <c r="N58" i="39"/>
  <c r="N239" i="13" s="1"/>
  <c r="W58" i="39"/>
  <c r="W239" i="13" s="1"/>
  <c r="AL50" i="38"/>
  <c r="AD50" i="38"/>
  <c r="AD138" i="13" s="1"/>
  <c r="V50" i="38"/>
  <c r="V138" i="13" s="1"/>
  <c r="N50" i="38"/>
  <c r="N138" i="13" s="1"/>
  <c r="F50" i="38"/>
  <c r="Q50" i="38"/>
  <c r="Q138" i="13" s="1"/>
  <c r="AE50" i="38"/>
  <c r="AE138" i="13" s="1"/>
  <c r="AK50" i="38"/>
  <c r="AC50" i="38"/>
  <c r="AC138" i="13" s="1"/>
  <c r="U50" i="38"/>
  <c r="U138" i="13" s="1"/>
  <c r="M50" i="38"/>
  <c r="M138" i="13" s="1"/>
  <c r="AM50" i="38"/>
  <c r="AJ50" i="38"/>
  <c r="AB50" i="38"/>
  <c r="AB138" i="13" s="1"/>
  <c r="T50" i="38"/>
  <c r="T138" i="13" s="1"/>
  <c r="L50" i="38"/>
  <c r="L138" i="13" s="1"/>
  <c r="Y50" i="38"/>
  <c r="Y138" i="13" s="1"/>
  <c r="G50" i="38"/>
  <c r="G138" i="13" s="1"/>
  <c r="AI50" i="38"/>
  <c r="AI138" i="13" s="1"/>
  <c r="AA50" i="38"/>
  <c r="AA138" i="13" s="1"/>
  <c r="S50" i="38"/>
  <c r="S138" i="13" s="1"/>
  <c r="K50" i="38"/>
  <c r="K138" i="13" s="1"/>
  <c r="I50" i="38"/>
  <c r="I138" i="13" s="1"/>
  <c r="O50" i="38"/>
  <c r="O138" i="13" s="1"/>
  <c r="AH50" i="38"/>
  <c r="AH138" i="13" s="1"/>
  <c r="Z50" i="38"/>
  <c r="Z138" i="13" s="1"/>
  <c r="R50" i="38"/>
  <c r="R138" i="13" s="1"/>
  <c r="J50" i="38"/>
  <c r="J138" i="13" s="1"/>
  <c r="AG50" i="38"/>
  <c r="AG138" i="13" s="1"/>
  <c r="AN50" i="38"/>
  <c r="AF50" i="38"/>
  <c r="AF138" i="13" s="1"/>
  <c r="X50" i="38"/>
  <c r="X138" i="13" s="1"/>
  <c r="P50" i="38"/>
  <c r="P138" i="13" s="1"/>
  <c r="H50" i="38"/>
  <c r="H138" i="13" s="1"/>
  <c r="W50" i="38"/>
  <c r="W138" i="13" s="1"/>
  <c r="K67" i="25"/>
  <c r="L74" i="13" s="1"/>
  <c r="Y67" i="25"/>
  <c r="Z74" i="13" s="1"/>
  <c r="AA67" i="25"/>
  <c r="AB74" i="13" s="1"/>
  <c r="M67" i="25"/>
  <c r="N74" i="13" s="1"/>
  <c r="AI67" i="25"/>
  <c r="N67" i="25"/>
  <c r="O74" i="13" s="1"/>
  <c r="X67" i="25"/>
  <c r="Y74" i="13" s="1"/>
  <c r="AE67" i="25"/>
  <c r="AF74" i="13" s="1"/>
  <c r="W67" i="25"/>
  <c r="X74" i="13" s="1"/>
  <c r="AM67" i="25"/>
  <c r="S67" i="25"/>
  <c r="T74" i="13" s="1"/>
  <c r="L67" i="25"/>
  <c r="M74" i="13" s="1"/>
  <c r="AD67" i="25"/>
  <c r="AE74" i="13" s="1"/>
  <c r="F67" i="25"/>
  <c r="G74" i="13" s="1"/>
  <c r="E67" i="25"/>
  <c r="R67" i="25"/>
  <c r="S74" i="13" s="1"/>
  <c r="AJ67" i="25"/>
  <c r="AF67" i="25"/>
  <c r="AG74" i="13" s="1"/>
  <c r="J67" i="25"/>
  <c r="K74" i="13" s="1"/>
  <c r="AG67" i="25"/>
  <c r="AH74" i="13" s="1"/>
  <c r="Q67" i="25"/>
  <c r="R74" i="13" s="1"/>
  <c r="AH67" i="25"/>
  <c r="AI74" i="13" s="1"/>
  <c r="O67" i="25"/>
  <c r="P74" i="13" s="1"/>
  <c r="V67" i="25"/>
  <c r="W74" i="13" s="1"/>
  <c r="T67" i="25"/>
  <c r="U74" i="13" s="1"/>
  <c r="AK67" i="25"/>
  <c r="I67" i="25"/>
  <c r="J74" i="13" s="1"/>
  <c r="AC67" i="25"/>
  <c r="AD74" i="13" s="1"/>
  <c r="AL67" i="25"/>
  <c r="H67" i="25"/>
  <c r="I74" i="13" s="1"/>
  <c r="G67" i="25"/>
  <c r="H74" i="13" s="1"/>
  <c r="AB67" i="25"/>
  <c r="AC74" i="13" s="1"/>
  <c r="Z67" i="25"/>
  <c r="AA74" i="13" s="1"/>
  <c r="U67" i="25"/>
  <c r="V74" i="13" s="1"/>
  <c r="P67" i="25"/>
  <c r="Q74" i="13" s="1"/>
  <c r="AB51" i="34"/>
  <c r="AB58" i="34" s="1"/>
  <c r="D59" i="65" l="1"/>
  <c r="E87" i="13"/>
  <c r="D56" i="65"/>
  <c r="F136" i="22"/>
  <c r="D61" i="65"/>
  <c r="E86" i="13"/>
  <c r="D54" i="65"/>
  <c r="E82" i="13"/>
  <c r="D55" i="65"/>
  <c r="E81" i="13"/>
  <c r="F138" i="22"/>
  <c r="D60" i="65"/>
  <c r="D57" i="65"/>
  <c r="F135" i="22"/>
  <c r="F139" i="22"/>
  <c r="E80" i="13"/>
  <c r="F140" i="22"/>
  <c r="O74" i="23"/>
  <c r="Y74" i="23"/>
  <c r="AM110" i="23"/>
  <c r="AE110" i="23"/>
  <c r="W110" i="23"/>
  <c r="O110" i="23"/>
  <c r="G110" i="23"/>
  <c r="AL110" i="23"/>
  <c r="AD110" i="23"/>
  <c r="V110" i="23"/>
  <c r="N110" i="23"/>
  <c r="AJ110" i="23"/>
  <c r="AB110" i="23"/>
  <c r="T110" i="23"/>
  <c r="L110" i="23"/>
  <c r="AI110" i="23"/>
  <c r="AA110" i="23"/>
  <c r="S110" i="23"/>
  <c r="K110" i="23"/>
  <c r="AH110" i="23"/>
  <c r="Z110" i="23"/>
  <c r="R110" i="23"/>
  <c r="J110" i="23"/>
  <c r="AN110" i="23"/>
  <c r="AF110" i="23"/>
  <c r="X110" i="23"/>
  <c r="P110" i="23"/>
  <c r="H110" i="23"/>
  <c r="AK110" i="23"/>
  <c r="M110" i="23"/>
  <c r="AG110" i="23"/>
  <c r="AC110" i="23"/>
  <c r="Y110" i="23"/>
  <c r="U110" i="23"/>
  <c r="F110" i="23"/>
  <c r="Q110" i="23"/>
  <c r="I110" i="23"/>
  <c r="Y75" i="23"/>
  <c r="O75" i="23"/>
  <c r="AJ91" i="23"/>
  <c r="AB91" i="23"/>
  <c r="T91" i="23"/>
  <c r="L91" i="23"/>
  <c r="AL91" i="23"/>
  <c r="F91" i="23"/>
  <c r="AI91" i="23"/>
  <c r="AA91" i="23"/>
  <c r="S91" i="23"/>
  <c r="K91" i="23"/>
  <c r="AH91" i="23"/>
  <c r="Z91" i="23"/>
  <c r="R91" i="23"/>
  <c r="J91" i="23"/>
  <c r="N91" i="23"/>
  <c r="AG91" i="23"/>
  <c r="Y91" i="23"/>
  <c r="Q91" i="23"/>
  <c r="I91" i="23"/>
  <c r="AN91" i="23"/>
  <c r="AF91" i="23"/>
  <c r="X91" i="23"/>
  <c r="P91" i="23"/>
  <c r="H91" i="23"/>
  <c r="AD91" i="23"/>
  <c r="AM91" i="23"/>
  <c r="AE91" i="23"/>
  <c r="W91" i="23"/>
  <c r="O91" i="23"/>
  <c r="G91" i="23"/>
  <c r="V91" i="23"/>
  <c r="AK91" i="23"/>
  <c r="AC91" i="23"/>
  <c r="U91" i="23"/>
  <c r="M91" i="23"/>
  <c r="E83" i="13"/>
  <c r="AL86" i="23"/>
  <c r="AD86" i="23"/>
  <c r="V86" i="23"/>
  <c r="N86" i="23"/>
  <c r="AN86" i="23"/>
  <c r="AK86" i="23"/>
  <c r="AC86" i="23"/>
  <c r="U86" i="23"/>
  <c r="M86" i="23"/>
  <c r="AJ86" i="23"/>
  <c r="AB86" i="23"/>
  <c r="T86" i="23"/>
  <c r="L86" i="23"/>
  <c r="X86" i="23"/>
  <c r="AI86" i="23"/>
  <c r="AA86" i="23"/>
  <c r="S86" i="23"/>
  <c r="K86" i="23"/>
  <c r="F86" i="23"/>
  <c r="AF86" i="23"/>
  <c r="AH86" i="23"/>
  <c r="Z86" i="23"/>
  <c r="R86" i="23"/>
  <c r="J86" i="23"/>
  <c r="P86" i="23"/>
  <c r="AG86" i="23"/>
  <c r="Y86" i="23"/>
  <c r="Q86" i="23"/>
  <c r="I86" i="23"/>
  <c r="AM86" i="23"/>
  <c r="AE86" i="23"/>
  <c r="W86" i="23"/>
  <c r="O86" i="23"/>
  <c r="G86" i="23"/>
  <c r="H86" i="23"/>
  <c r="O71" i="23"/>
  <c r="Y71" i="23"/>
  <c r="AK100" i="23"/>
  <c r="AC100" i="23"/>
  <c r="U100" i="23"/>
  <c r="M100" i="23"/>
  <c r="AJ100" i="23"/>
  <c r="AB100" i="23"/>
  <c r="T100" i="23"/>
  <c r="L100" i="23"/>
  <c r="AH100" i="23"/>
  <c r="Z100" i="23"/>
  <c r="R100" i="23"/>
  <c r="J100" i="23"/>
  <c r="AG100" i="23"/>
  <c r="Y100" i="23"/>
  <c r="Q100" i="23"/>
  <c r="I100" i="23"/>
  <c r="AN100" i="23"/>
  <c r="AF100" i="23"/>
  <c r="AL100" i="23"/>
  <c r="AD100" i="23"/>
  <c r="V100" i="23"/>
  <c r="N100" i="23"/>
  <c r="AM100" i="23"/>
  <c r="O100" i="23"/>
  <c r="S100" i="23"/>
  <c r="AI100" i="23"/>
  <c r="K100" i="23"/>
  <c r="AE100" i="23"/>
  <c r="H100" i="23"/>
  <c r="F100" i="23"/>
  <c r="AA100" i="23"/>
  <c r="G100" i="23"/>
  <c r="X100" i="23"/>
  <c r="W100" i="23"/>
  <c r="P100" i="23"/>
  <c r="AG117" i="23"/>
  <c r="Y117" i="23"/>
  <c r="Q117" i="23"/>
  <c r="I117" i="23"/>
  <c r="AN117" i="23"/>
  <c r="AF117" i="23"/>
  <c r="X117" i="23"/>
  <c r="P117" i="23"/>
  <c r="H117" i="23"/>
  <c r="AL117" i="23"/>
  <c r="AD117" i="23"/>
  <c r="V117" i="23"/>
  <c r="N117" i="23"/>
  <c r="F117" i="23"/>
  <c r="AK117" i="23"/>
  <c r="AC117" i="23"/>
  <c r="U117" i="23"/>
  <c r="M117" i="23"/>
  <c r="AJ117" i="23"/>
  <c r="AB117" i="23"/>
  <c r="T117" i="23"/>
  <c r="L117" i="23"/>
  <c r="AH117" i="23"/>
  <c r="Z117" i="23"/>
  <c r="R117" i="23"/>
  <c r="J117" i="23"/>
  <c r="O117" i="23"/>
  <c r="W117" i="23"/>
  <c r="K117" i="23"/>
  <c r="AM117" i="23"/>
  <c r="G117" i="23"/>
  <c r="AI117" i="23"/>
  <c r="AE117" i="23"/>
  <c r="AA117" i="23"/>
  <c r="S117" i="23"/>
  <c r="AI112" i="23"/>
  <c r="AA112" i="23"/>
  <c r="S112" i="23"/>
  <c r="K112" i="23"/>
  <c r="F112" i="23"/>
  <c r="AH112" i="23"/>
  <c r="Z112" i="23"/>
  <c r="R112" i="23"/>
  <c r="J112" i="23"/>
  <c r="AN112" i="23"/>
  <c r="AF112" i="23"/>
  <c r="X112" i="23"/>
  <c r="P112" i="23"/>
  <c r="H112" i="23"/>
  <c r="AM112" i="23"/>
  <c r="AE112" i="23"/>
  <c r="W112" i="23"/>
  <c r="O112" i="23"/>
  <c r="G112" i="23"/>
  <c r="AL112" i="23"/>
  <c r="AD112" i="23"/>
  <c r="V112" i="23"/>
  <c r="N112" i="23"/>
  <c r="AJ112" i="23"/>
  <c r="AB112" i="23"/>
  <c r="T112" i="23"/>
  <c r="L112" i="23"/>
  <c r="AC112" i="23"/>
  <c r="AK112" i="23"/>
  <c r="Y112" i="23"/>
  <c r="U112" i="23"/>
  <c r="Q112" i="23"/>
  <c r="M112" i="23"/>
  <c r="I112" i="23"/>
  <c r="AG112" i="23"/>
  <c r="AJ83" i="23"/>
  <c r="AB83" i="23"/>
  <c r="T83" i="23"/>
  <c r="L83" i="23"/>
  <c r="AI83" i="23"/>
  <c r="AA83" i="23"/>
  <c r="S83" i="23"/>
  <c r="K83" i="23"/>
  <c r="AD83" i="23"/>
  <c r="AH83" i="23"/>
  <c r="Z83" i="23"/>
  <c r="R83" i="23"/>
  <c r="J83" i="23"/>
  <c r="AG83" i="23"/>
  <c r="Y83" i="23"/>
  <c r="Q83" i="23"/>
  <c r="I83" i="23"/>
  <c r="V83" i="23"/>
  <c r="AN83" i="23"/>
  <c r="AF83" i="23"/>
  <c r="X83" i="23"/>
  <c r="P83" i="23"/>
  <c r="H83" i="23"/>
  <c r="N83" i="23"/>
  <c r="AM83" i="23"/>
  <c r="AE83" i="23"/>
  <c r="W83" i="23"/>
  <c r="O83" i="23"/>
  <c r="G83" i="23"/>
  <c r="G146" i="23"/>
  <c r="AL83" i="23"/>
  <c r="F83" i="23"/>
  <c r="AK83" i="23"/>
  <c r="AC83" i="23"/>
  <c r="U83" i="23"/>
  <c r="M83" i="23"/>
  <c r="AJ87" i="23"/>
  <c r="AB87" i="23"/>
  <c r="T87" i="23"/>
  <c r="L87" i="23"/>
  <c r="AI87" i="23"/>
  <c r="AA87" i="23"/>
  <c r="S87" i="23"/>
  <c r="K87" i="23"/>
  <c r="V87" i="23"/>
  <c r="AH87" i="23"/>
  <c r="Z87" i="23"/>
  <c r="R87" i="23"/>
  <c r="J87" i="23"/>
  <c r="F87" i="23"/>
  <c r="AG87" i="23"/>
  <c r="Y87" i="23"/>
  <c r="Q87" i="23"/>
  <c r="I87" i="23"/>
  <c r="AN87" i="23"/>
  <c r="AF87" i="23"/>
  <c r="X87" i="23"/>
  <c r="P87" i="23"/>
  <c r="H87" i="23"/>
  <c r="AL87" i="23"/>
  <c r="AM87" i="23"/>
  <c r="AE87" i="23"/>
  <c r="W87" i="23"/>
  <c r="O87" i="23"/>
  <c r="G87" i="23"/>
  <c r="N87" i="23"/>
  <c r="AK87" i="23"/>
  <c r="AC87" i="23"/>
  <c r="U87" i="23"/>
  <c r="M87" i="23"/>
  <c r="AD87" i="23"/>
  <c r="AK104" i="23"/>
  <c r="AC104" i="23"/>
  <c r="U104" i="23"/>
  <c r="M104" i="23"/>
  <c r="AJ104" i="23"/>
  <c r="AB104" i="23"/>
  <c r="T104" i="23"/>
  <c r="L104" i="23"/>
  <c r="AH104" i="23"/>
  <c r="Z104" i="23"/>
  <c r="R104" i="23"/>
  <c r="J104" i="23"/>
  <c r="AG104" i="23"/>
  <c r="Y104" i="23"/>
  <c r="Q104" i="23"/>
  <c r="I104" i="23"/>
  <c r="AN104" i="23"/>
  <c r="AF104" i="23"/>
  <c r="X104" i="23"/>
  <c r="P104" i="23"/>
  <c r="H104" i="23"/>
  <c r="AL104" i="23"/>
  <c r="AD104" i="23"/>
  <c r="V104" i="23"/>
  <c r="N104" i="23"/>
  <c r="AA104" i="23"/>
  <c r="W104" i="23"/>
  <c r="AI104" i="23"/>
  <c r="S104" i="23"/>
  <c r="F104" i="23"/>
  <c r="O104" i="23"/>
  <c r="K104" i="23"/>
  <c r="AM104" i="23"/>
  <c r="G104" i="23"/>
  <c r="AE104" i="23"/>
  <c r="F96" i="23"/>
  <c r="AJ96" i="23"/>
  <c r="AB96" i="23"/>
  <c r="T96" i="23"/>
  <c r="L96" i="23"/>
  <c r="N96" i="23"/>
  <c r="AI96" i="23"/>
  <c r="AA96" i="23"/>
  <c r="S96" i="23"/>
  <c r="K96" i="23"/>
  <c r="AH96" i="23"/>
  <c r="Z96" i="23"/>
  <c r="R96" i="23"/>
  <c r="J96" i="23"/>
  <c r="AG96" i="23"/>
  <c r="Y96" i="23"/>
  <c r="Q96" i="23"/>
  <c r="I96" i="23"/>
  <c r="AL96" i="23"/>
  <c r="AN96" i="23"/>
  <c r="AF96" i="23"/>
  <c r="X96" i="23"/>
  <c r="P96" i="23"/>
  <c r="H96" i="23"/>
  <c r="AD96" i="23"/>
  <c r="AM96" i="23"/>
  <c r="AE96" i="23"/>
  <c r="W96" i="23"/>
  <c r="O96" i="23"/>
  <c r="G96" i="23"/>
  <c r="V96" i="23"/>
  <c r="AK96" i="23"/>
  <c r="AC96" i="23"/>
  <c r="U96" i="23"/>
  <c r="M96" i="23"/>
  <c r="H146" i="23"/>
  <c r="AG113" i="23"/>
  <c r="Y113" i="23"/>
  <c r="Q113" i="23"/>
  <c r="I113" i="23"/>
  <c r="AN113" i="23"/>
  <c r="AF113" i="23"/>
  <c r="X113" i="23"/>
  <c r="P113" i="23"/>
  <c r="H113" i="23"/>
  <c r="AL113" i="23"/>
  <c r="AD113" i="23"/>
  <c r="V113" i="23"/>
  <c r="N113" i="23"/>
  <c r="AK113" i="23"/>
  <c r="AC113" i="23"/>
  <c r="U113" i="23"/>
  <c r="M113" i="23"/>
  <c r="AJ113" i="23"/>
  <c r="AB113" i="23"/>
  <c r="T113" i="23"/>
  <c r="L113" i="23"/>
  <c r="AH113" i="23"/>
  <c r="Z113" i="23"/>
  <c r="R113" i="23"/>
  <c r="J113" i="23"/>
  <c r="F113" i="23"/>
  <c r="AA113" i="23"/>
  <c r="AI113" i="23"/>
  <c r="W113" i="23"/>
  <c r="S113" i="23"/>
  <c r="O113" i="23"/>
  <c r="K113" i="23"/>
  <c r="AM113" i="23"/>
  <c r="G113" i="23"/>
  <c r="AE113" i="23"/>
  <c r="Y79" i="23"/>
  <c r="O79" i="23"/>
  <c r="AG109" i="23"/>
  <c r="Y109" i="23"/>
  <c r="Q109" i="23"/>
  <c r="I109" i="23"/>
  <c r="AN109" i="23"/>
  <c r="AF109" i="23"/>
  <c r="X109" i="23"/>
  <c r="P109" i="23"/>
  <c r="H109" i="23"/>
  <c r="AL109" i="23"/>
  <c r="AD109" i="23"/>
  <c r="V109" i="23"/>
  <c r="N109" i="23"/>
  <c r="F109" i="23"/>
  <c r="AK109" i="23"/>
  <c r="AC109" i="23"/>
  <c r="U109" i="23"/>
  <c r="M109" i="23"/>
  <c r="AJ109" i="23"/>
  <c r="AB109" i="23"/>
  <c r="T109" i="23"/>
  <c r="L109" i="23"/>
  <c r="AH109" i="23"/>
  <c r="Z109" i="23"/>
  <c r="R109" i="23"/>
  <c r="J109" i="23"/>
  <c r="AM109" i="23"/>
  <c r="G109" i="23"/>
  <c r="AI109" i="23"/>
  <c r="AE109" i="23"/>
  <c r="AA109" i="23"/>
  <c r="O109" i="23"/>
  <c r="W109" i="23"/>
  <c r="S109" i="23"/>
  <c r="K109" i="23"/>
  <c r="I146" i="23"/>
  <c r="AM114" i="23"/>
  <c r="AE114" i="23"/>
  <c r="W114" i="23"/>
  <c r="O114" i="23"/>
  <c r="G114" i="23"/>
  <c r="AL114" i="23"/>
  <c r="AD114" i="23"/>
  <c r="V114" i="23"/>
  <c r="N114" i="23"/>
  <c r="AJ114" i="23"/>
  <c r="AB114" i="23"/>
  <c r="T114" i="23"/>
  <c r="L114" i="23"/>
  <c r="AI114" i="23"/>
  <c r="AA114" i="23"/>
  <c r="S114" i="23"/>
  <c r="K114" i="23"/>
  <c r="AH114" i="23"/>
  <c r="Z114" i="23"/>
  <c r="R114" i="23"/>
  <c r="J114" i="23"/>
  <c r="AN114" i="23"/>
  <c r="AF114" i="23"/>
  <c r="X114" i="23"/>
  <c r="P114" i="23"/>
  <c r="H114" i="23"/>
  <c r="Y114" i="23"/>
  <c r="U114" i="23"/>
  <c r="Q114" i="23"/>
  <c r="F114" i="23"/>
  <c r="M114" i="23"/>
  <c r="I114" i="23"/>
  <c r="AK114" i="23"/>
  <c r="AC114" i="23"/>
  <c r="AG114" i="23"/>
  <c r="AL90" i="23"/>
  <c r="AD90" i="23"/>
  <c r="V90" i="23"/>
  <c r="N90" i="23"/>
  <c r="AF90" i="23"/>
  <c r="AK90" i="23"/>
  <c r="AC90" i="23"/>
  <c r="U90" i="23"/>
  <c r="M90" i="23"/>
  <c r="AJ90" i="23"/>
  <c r="AB90" i="23"/>
  <c r="T90" i="23"/>
  <c r="L90" i="23"/>
  <c r="H90" i="23"/>
  <c r="AI90" i="23"/>
  <c r="AA90" i="23"/>
  <c r="S90" i="23"/>
  <c r="K90" i="23"/>
  <c r="P90" i="23"/>
  <c r="AH90" i="23"/>
  <c r="Z90" i="23"/>
  <c r="R90" i="23"/>
  <c r="J90" i="23"/>
  <c r="X90" i="23"/>
  <c r="AG90" i="23"/>
  <c r="Y90" i="23"/>
  <c r="Q90" i="23"/>
  <c r="I90" i="23"/>
  <c r="AM90" i="23"/>
  <c r="AE90" i="23"/>
  <c r="W90" i="23"/>
  <c r="O90" i="23"/>
  <c r="G90" i="23"/>
  <c r="F90" i="23"/>
  <c r="AN90" i="23"/>
  <c r="AI101" i="23"/>
  <c r="AA101" i="23"/>
  <c r="S101" i="23"/>
  <c r="K101" i="23"/>
  <c r="AH101" i="23"/>
  <c r="Z101" i="23"/>
  <c r="R101" i="23"/>
  <c r="J101" i="23"/>
  <c r="AN101" i="23"/>
  <c r="AF101" i="23"/>
  <c r="X101" i="23"/>
  <c r="P101" i="23"/>
  <c r="H101" i="23"/>
  <c r="AM101" i="23"/>
  <c r="AE101" i="23"/>
  <c r="W101" i="23"/>
  <c r="O101" i="23"/>
  <c r="G101" i="23"/>
  <c r="AL101" i="23"/>
  <c r="AD101" i="23"/>
  <c r="V101" i="23"/>
  <c r="N101" i="23"/>
  <c r="AJ101" i="23"/>
  <c r="AB101" i="23"/>
  <c r="T101" i="23"/>
  <c r="L101" i="23"/>
  <c r="AK101" i="23"/>
  <c r="AG101" i="23"/>
  <c r="F101" i="23"/>
  <c r="AC101" i="23"/>
  <c r="Y101" i="23"/>
  <c r="M101" i="23"/>
  <c r="U101" i="23"/>
  <c r="Q101" i="23"/>
  <c r="I101" i="23"/>
  <c r="AM103" i="23"/>
  <c r="AE103" i="23"/>
  <c r="W103" i="23"/>
  <c r="O103" i="23"/>
  <c r="G103" i="23"/>
  <c r="AL103" i="23"/>
  <c r="AD103" i="23"/>
  <c r="V103" i="23"/>
  <c r="N103" i="23"/>
  <c r="AJ103" i="23"/>
  <c r="AB103" i="23"/>
  <c r="T103" i="23"/>
  <c r="L103" i="23"/>
  <c r="AI103" i="23"/>
  <c r="AA103" i="23"/>
  <c r="S103" i="23"/>
  <c r="K103" i="23"/>
  <c r="AH103" i="23"/>
  <c r="Z103" i="23"/>
  <c r="R103" i="23"/>
  <c r="J103" i="23"/>
  <c r="AN103" i="23"/>
  <c r="AF103" i="23"/>
  <c r="X103" i="23"/>
  <c r="P103" i="23"/>
  <c r="H103" i="23"/>
  <c r="AC103" i="23"/>
  <c r="Y103" i="23"/>
  <c r="U103" i="23"/>
  <c r="Q103" i="23"/>
  <c r="M103" i="23"/>
  <c r="I103" i="23"/>
  <c r="AK103" i="23"/>
  <c r="AG103" i="23"/>
  <c r="F103" i="23"/>
  <c r="AH84" i="23"/>
  <c r="Z84" i="23"/>
  <c r="R84" i="23"/>
  <c r="J84" i="23"/>
  <c r="T84" i="23"/>
  <c r="AG84" i="23"/>
  <c r="Y84" i="23"/>
  <c r="Q84" i="23"/>
  <c r="I84" i="23"/>
  <c r="AN84" i="23"/>
  <c r="AF84" i="23"/>
  <c r="X84" i="23"/>
  <c r="P84" i="23"/>
  <c r="H84" i="23"/>
  <c r="L84" i="23"/>
  <c r="AM84" i="23"/>
  <c r="AE84" i="23"/>
  <c r="W84" i="23"/>
  <c r="O84" i="23"/>
  <c r="G84" i="23"/>
  <c r="AL84" i="23"/>
  <c r="AD84" i="23"/>
  <c r="V84" i="23"/>
  <c r="N84" i="23"/>
  <c r="AB84" i="23"/>
  <c r="AK84" i="23"/>
  <c r="AC84" i="23"/>
  <c r="U84" i="23"/>
  <c r="M84" i="23"/>
  <c r="AI84" i="23"/>
  <c r="AA84" i="23"/>
  <c r="S84" i="23"/>
  <c r="K84" i="23"/>
  <c r="F84" i="23"/>
  <c r="AJ84" i="23"/>
  <c r="Y76" i="23"/>
  <c r="E76" i="23" s="1"/>
  <c r="O76" i="23"/>
  <c r="AI116" i="23"/>
  <c r="AA116" i="23"/>
  <c r="S116" i="23"/>
  <c r="K116" i="23"/>
  <c r="AH116" i="23"/>
  <c r="Z116" i="23"/>
  <c r="R116" i="23"/>
  <c r="J116" i="23"/>
  <c r="AN116" i="23"/>
  <c r="AF116" i="23"/>
  <c r="X116" i="23"/>
  <c r="P116" i="23"/>
  <c r="H116" i="23"/>
  <c r="AM116" i="23"/>
  <c r="AE116" i="23"/>
  <c r="W116" i="23"/>
  <c r="O116" i="23"/>
  <c r="G116" i="23"/>
  <c r="F116" i="23"/>
  <c r="AL116" i="23"/>
  <c r="AD116" i="23"/>
  <c r="V116" i="23"/>
  <c r="N116" i="23"/>
  <c r="AJ116" i="23"/>
  <c r="AB116" i="23"/>
  <c r="T116" i="23"/>
  <c r="L116" i="23"/>
  <c r="Q116" i="23"/>
  <c r="M116" i="23"/>
  <c r="I116" i="23"/>
  <c r="AK116" i="23"/>
  <c r="Y116" i="23"/>
  <c r="AG116" i="23"/>
  <c r="AC116" i="23"/>
  <c r="U116" i="23"/>
  <c r="Y72" i="23"/>
  <c r="O72" i="23"/>
  <c r="AM99" i="23"/>
  <c r="AE99" i="23"/>
  <c r="AL99" i="23"/>
  <c r="AJ99" i="23"/>
  <c r="AI99" i="23"/>
  <c r="AN99" i="23"/>
  <c r="AD99" i="23"/>
  <c r="V99" i="23"/>
  <c r="N99" i="23"/>
  <c r="AC99" i="23"/>
  <c r="U99" i="23"/>
  <c r="M99" i="23"/>
  <c r="AB99" i="23"/>
  <c r="T99" i="23"/>
  <c r="L99" i="23"/>
  <c r="X99" i="23"/>
  <c r="AA99" i="23"/>
  <c r="S99" i="23"/>
  <c r="K99" i="23"/>
  <c r="F99" i="23"/>
  <c r="AK99" i="23"/>
  <c r="Z99" i="23"/>
  <c r="R99" i="23"/>
  <c r="J99" i="23"/>
  <c r="AG99" i="23"/>
  <c r="AH99" i="23"/>
  <c r="Y99" i="23"/>
  <c r="Q99" i="23"/>
  <c r="I99" i="23"/>
  <c r="H99" i="23"/>
  <c r="AF99" i="23"/>
  <c r="W99" i="23"/>
  <c r="O99" i="23"/>
  <c r="G99" i="23"/>
  <c r="P99" i="23"/>
  <c r="AH97" i="23"/>
  <c r="Z97" i="23"/>
  <c r="R97" i="23"/>
  <c r="J97" i="23"/>
  <c r="L97" i="23"/>
  <c r="AG97" i="23"/>
  <c r="Y97" i="23"/>
  <c r="Q97" i="23"/>
  <c r="I97" i="23"/>
  <c r="AB97" i="23"/>
  <c r="AN97" i="23"/>
  <c r="AF97" i="23"/>
  <c r="X97" i="23"/>
  <c r="P97" i="23"/>
  <c r="H97" i="23"/>
  <c r="AM97" i="23"/>
  <c r="AE97" i="23"/>
  <c r="W97" i="23"/>
  <c r="O97" i="23"/>
  <c r="G97" i="23"/>
  <c r="AL97" i="23"/>
  <c r="AD97" i="23"/>
  <c r="V97" i="23"/>
  <c r="N97" i="23"/>
  <c r="AJ97" i="23"/>
  <c r="AK97" i="23"/>
  <c r="AC97" i="23"/>
  <c r="U97" i="23"/>
  <c r="M97" i="23"/>
  <c r="F97" i="23"/>
  <c r="AI97" i="23"/>
  <c r="AA97" i="23"/>
  <c r="S97" i="23"/>
  <c r="K97" i="23"/>
  <c r="T97" i="23"/>
  <c r="F137" i="22"/>
  <c r="F141" i="22"/>
  <c r="F142" i="22"/>
  <c r="O102" i="22" s="1"/>
  <c r="O126" i="22" s="1"/>
  <c r="P44" i="13" s="1"/>
  <c r="AH88" i="23"/>
  <c r="Z88" i="23"/>
  <c r="R88" i="23"/>
  <c r="J88" i="23"/>
  <c r="AB88" i="23"/>
  <c r="AG88" i="23"/>
  <c r="Y88" i="23"/>
  <c r="Q88" i="23"/>
  <c r="I88" i="23"/>
  <c r="I132" i="23" s="1"/>
  <c r="I57" i="13" s="1"/>
  <c r="F88" i="23"/>
  <c r="AN88" i="23"/>
  <c r="AF88" i="23"/>
  <c r="X88" i="23"/>
  <c r="P88" i="23"/>
  <c r="H88" i="23"/>
  <c r="L88" i="23"/>
  <c r="AM88" i="23"/>
  <c r="AM132" i="23" s="1"/>
  <c r="AE88" i="23"/>
  <c r="W88" i="23"/>
  <c r="O88" i="23"/>
  <c r="G88" i="23"/>
  <c r="T88" i="23"/>
  <c r="AL88" i="23"/>
  <c r="AD88" i="23"/>
  <c r="V88" i="23"/>
  <c r="N88" i="23"/>
  <c r="AK88" i="23"/>
  <c r="AC88" i="23"/>
  <c r="U88" i="23"/>
  <c r="M88" i="23"/>
  <c r="AJ88" i="23"/>
  <c r="AI88" i="23"/>
  <c r="AA88" i="23"/>
  <c r="S88" i="23"/>
  <c r="K88" i="23"/>
  <c r="Y78" i="23"/>
  <c r="O78" i="23"/>
  <c r="E95" i="13"/>
  <c r="D87" i="22"/>
  <c r="E84" i="22"/>
  <c r="E90" i="22" s="1"/>
  <c r="AG84" i="22"/>
  <c r="AG90" i="22" s="1"/>
  <c r="S84" i="22"/>
  <c r="S90" i="22" s="1"/>
  <c r="D85" i="22"/>
  <c r="AD84" i="22"/>
  <c r="AD90" i="22" s="1"/>
  <c r="H84" i="22"/>
  <c r="H90" i="22" s="1"/>
  <c r="AA84" i="22"/>
  <c r="AA90" i="22" s="1"/>
  <c r="M84" i="22"/>
  <c r="M90" i="22" s="1"/>
  <c r="D88" i="22"/>
  <c r="J84" i="22"/>
  <c r="J90" i="22" s="1"/>
  <c r="O84" i="22"/>
  <c r="O90" i="22" s="1"/>
  <c r="U84" i="22"/>
  <c r="U90" i="22" s="1"/>
  <c r="D89" i="22"/>
  <c r="P84" i="22"/>
  <c r="P90" i="22" s="1"/>
  <c r="R84" i="22"/>
  <c r="R90" i="22" s="1"/>
  <c r="L84" i="22"/>
  <c r="L90" i="22" s="1"/>
  <c r="AC84" i="22"/>
  <c r="AC90" i="22" s="1"/>
  <c r="AF84" i="22"/>
  <c r="AF90" i="22" s="1"/>
  <c r="Z84" i="22"/>
  <c r="Z90" i="22" s="1"/>
  <c r="T84" i="22"/>
  <c r="T90" i="22" s="1"/>
  <c r="AE84" i="22"/>
  <c r="AE90" i="22" s="1"/>
  <c r="D86" i="22"/>
  <c r="I84" i="22"/>
  <c r="I90" i="22" s="1"/>
  <c r="AH84" i="22"/>
  <c r="AH90" i="22" s="1"/>
  <c r="AB84" i="22"/>
  <c r="AB90" i="22" s="1"/>
  <c r="F84" i="22"/>
  <c r="F90" i="22" s="1"/>
  <c r="Q84" i="22"/>
  <c r="Q90" i="22" s="1"/>
  <c r="X84" i="22"/>
  <c r="X90" i="22" s="1"/>
  <c r="G84" i="22"/>
  <c r="G90" i="22" s="1"/>
  <c r="N84" i="22"/>
  <c r="N90" i="22" s="1"/>
  <c r="Y84" i="22"/>
  <c r="Y90" i="22" s="1"/>
  <c r="K84" i="22"/>
  <c r="K90" i="22" s="1"/>
  <c r="W84" i="22"/>
  <c r="W90" i="22" s="1"/>
  <c r="V84" i="22"/>
  <c r="V90" i="22" s="1"/>
  <c r="S50" i="13"/>
  <c r="S55" i="13"/>
  <c r="AC55" i="13"/>
  <c r="E254" i="13"/>
  <c r="E247" i="13"/>
  <c r="E248" i="13"/>
  <c r="E255" i="13"/>
  <c r="E250" i="13"/>
  <c r="E251" i="13"/>
  <c r="E253" i="13"/>
  <c r="E249" i="13"/>
  <c r="E252" i="13"/>
  <c r="AH40" i="13"/>
  <c r="W40" i="13"/>
  <c r="AA40" i="13"/>
  <c r="AF45" i="13"/>
  <c r="AB45" i="13"/>
  <c r="P45" i="13"/>
  <c r="V40" i="13"/>
  <c r="AF40" i="13"/>
  <c r="AG40" i="13"/>
  <c r="G40" i="13"/>
  <c r="AB40" i="13"/>
  <c r="N45" i="13"/>
  <c r="X45" i="13"/>
  <c r="M45" i="13"/>
  <c r="Q45" i="13"/>
  <c r="AC45" i="13"/>
  <c r="AD40" i="13"/>
  <c r="U40" i="13"/>
  <c r="S40" i="13"/>
  <c r="AC40" i="13"/>
  <c r="V45" i="13"/>
  <c r="AG45" i="13"/>
  <c r="J45" i="13"/>
  <c r="U45" i="13"/>
  <c r="AA45" i="13"/>
  <c r="N40" i="13"/>
  <c r="Z40" i="13"/>
  <c r="H40" i="13"/>
  <c r="F40" i="13"/>
  <c r="AD45" i="13"/>
  <c r="T45" i="13"/>
  <c r="O45" i="13"/>
  <c r="F45" i="13"/>
  <c r="O40" i="13"/>
  <c r="R40" i="13"/>
  <c r="K40" i="13"/>
  <c r="I45" i="13"/>
  <c r="W45" i="13"/>
  <c r="K45" i="13"/>
  <c r="Z45" i="13"/>
  <c r="AI40" i="13"/>
  <c r="Y40" i="13"/>
  <c r="AH45" i="13"/>
  <c r="AI45" i="13"/>
  <c r="AE45" i="13"/>
  <c r="L40" i="13"/>
  <c r="Q40" i="13"/>
  <c r="M40" i="13"/>
  <c r="I40" i="13"/>
  <c r="L45" i="13"/>
  <c r="H45" i="13"/>
  <c r="X40" i="13"/>
  <c r="P40" i="13"/>
  <c r="AE40" i="13"/>
  <c r="J40" i="13"/>
  <c r="T40" i="13"/>
  <c r="G45" i="13"/>
  <c r="R45" i="13"/>
  <c r="Y45" i="13"/>
  <c r="S45" i="13"/>
  <c r="F50" i="13"/>
  <c r="F55" i="13"/>
  <c r="P50" i="13"/>
  <c r="Z50" i="13"/>
  <c r="AB79" i="13"/>
  <c r="AB78" i="13" s="1"/>
  <c r="AA62" i="65"/>
  <c r="I79" i="13"/>
  <c r="I78" i="13" s="1"/>
  <c r="H62" i="65"/>
  <c r="P79" i="13"/>
  <c r="P78" i="13" s="1"/>
  <c r="O62" i="65"/>
  <c r="AJ62" i="65"/>
  <c r="W79" i="13"/>
  <c r="W78" i="13" s="1"/>
  <c r="V62" i="65"/>
  <c r="O79" i="13"/>
  <c r="O78" i="13" s="1"/>
  <c r="N62" i="65"/>
  <c r="J79" i="13"/>
  <c r="J78" i="13" s="1"/>
  <c r="I62" i="65"/>
  <c r="R79" i="13"/>
  <c r="R78" i="13" s="1"/>
  <c r="Q62" i="65"/>
  <c r="S79" i="13"/>
  <c r="S78" i="13" s="1"/>
  <c r="R62" i="65"/>
  <c r="K79" i="13"/>
  <c r="K78" i="13" s="1"/>
  <c r="J62" i="65"/>
  <c r="AF79" i="13"/>
  <c r="AF78" i="13" s="1"/>
  <c r="AE62" i="65"/>
  <c r="H79" i="13"/>
  <c r="H78" i="13" s="1"/>
  <c r="G62" i="65"/>
  <c r="AA79" i="13"/>
  <c r="AA78" i="13" s="1"/>
  <c r="Z62" i="65"/>
  <c r="Y79" i="13"/>
  <c r="Y78" i="13" s="1"/>
  <c r="X62" i="65"/>
  <c r="G79" i="13"/>
  <c r="G78" i="13" s="1"/>
  <c r="F62" i="65"/>
  <c r="T79" i="13"/>
  <c r="T78" i="13" s="1"/>
  <c r="S62" i="65"/>
  <c r="M79" i="13"/>
  <c r="M78" i="13" s="1"/>
  <c r="L62" i="65"/>
  <c r="V79" i="13"/>
  <c r="V78" i="13" s="1"/>
  <c r="U62" i="65"/>
  <c r="AC79" i="13"/>
  <c r="AC78" i="13" s="1"/>
  <c r="AB62" i="65"/>
  <c r="AL62" i="65"/>
  <c r="Z79" i="13"/>
  <c r="Z78" i="13" s="1"/>
  <c r="Y62" i="65"/>
  <c r="AH79" i="13"/>
  <c r="AH78" i="13" s="1"/>
  <c r="AG62" i="65"/>
  <c r="L79" i="13"/>
  <c r="L78" i="13" s="1"/>
  <c r="K62" i="65"/>
  <c r="U79" i="13"/>
  <c r="U78" i="13" s="1"/>
  <c r="T62" i="65"/>
  <c r="AE79" i="13"/>
  <c r="AE78" i="13" s="1"/>
  <c r="AD62" i="65"/>
  <c r="AI62" i="65"/>
  <c r="F79" i="13"/>
  <c r="D53" i="65"/>
  <c r="E62" i="65"/>
  <c r="X79" i="13"/>
  <c r="X78" i="13" s="1"/>
  <c r="W62" i="65"/>
  <c r="AK62" i="65"/>
  <c r="AM62" i="65"/>
  <c r="AI79" i="13"/>
  <c r="AI78" i="13" s="1"/>
  <c r="AH62" i="65"/>
  <c r="F84" i="13"/>
  <c r="E84" i="13" s="1"/>
  <c r="D58" i="65"/>
  <c r="Q79" i="13"/>
  <c r="Q78" i="13" s="1"/>
  <c r="P62" i="65"/>
  <c r="AD79" i="13"/>
  <c r="AD78" i="13" s="1"/>
  <c r="AC62" i="65"/>
  <c r="AG79" i="13"/>
  <c r="AG78" i="13" s="1"/>
  <c r="AF62" i="65"/>
  <c r="N79" i="13"/>
  <c r="N78" i="13" s="1"/>
  <c r="M62" i="65"/>
  <c r="E131" i="13"/>
  <c r="F59" i="13"/>
  <c r="F55" i="24"/>
  <c r="F80" i="23"/>
  <c r="AD235" i="13"/>
  <c r="AF39" i="34" s="1"/>
  <c r="AG235" i="13"/>
  <c r="AI39" i="34" s="1"/>
  <c r="M235" i="13"/>
  <c r="O39" i="34" s="1"/>
  <c r="AC235" i="13"/>
  <c r="AE39" i="34" s="1"/>
  <c r="O235" i="13"/>
  <c r="Q39" i="34" s="1"/>
  <c r="S235" i="13"/>
  <c r="U39" i="34" s="1"/>
  <c r="K235" i="13"/>
  <c r="M39" i="34" s="1"/>
  <c r="Y235" i="13"/>
  <c r="AA39" i="34" s="1"/>
  <c r="AA235" i="13"/>
  <c r="AC39" i="34" s="1"/>
  <c r="AF235" i="13"/>
  <c r="AH39" i="34" s="1"/>
  <c r="W235" i="13"/>
  <c r="Y39" i="34" s="1"/>
  <c r="G235" i="13"/>
  <c r="I39" i="34" s="1"/>
  <c r="Q235" i="13"/>
  <c r="S39" i="34" s="1"/>
  <c r="Z235" i="13"/>
  <c r="AB39" i="34" s="1"/>
  <c r="U235" i="13"/>
  <c r="W39" i="34" s="1"/>
  <c r="H235" i="13"/>
  <c r="J39" i="34" s="1"/>
  <c r="R235" i="13"/>
  <c r="T39" i="34" s="1"/>
  <c r="V235" i="13"/>
  <c r="X39" i="34" s="1"/>
  <c r="J235" i="13"/>
  <c r="L39" i="34" s="1"/>
  <c r="AI235" i="13"/>
  <c r="AK39" i="34" s="1"/>
  <c r="AE235" i="13"/>
  <c r="AG39" i="34" s="1"/>
  <c r="X235" i="13"/>
  <c r="Z39" i="34" s="1"/>
  <c r="P235" i="13"/>
  <c r="R39" i="34" s="1"/>
  <c r="N235" i="13"/>
  <c r="P39" i="34" s="1"/>
  <c r="L235" i="13"/>
  <c r="N39" i="34" s="1"/>
  <c r="T235" i="13"/>
  <c r="V39" i="34" s="1"/>
  <c r="AB235" i="13"/>
  <c r="AD39" i="34" s="1"/>
  <c r="AH235" i="13"/>
  <c r="AJ39" i="34" s="1"/>
  <c r="AH94" i="13"/>
  <c r="AJ30" i="34" s="1"/>
  <c r="Z94" i="13"/>
  <c r="AB30" i="34" s="1"/>
  <c r="R94" i="13"/>
  <c r="T30" i="34" s="1"/>
  <c r="J94" i="13"/>
  <c r="L30" i="34" s="1"/>
  <c r="U94" i="13"/>
  <c r="W30" i="34" s="1"/>
  <c r="M94" i="13"/>
  <c r="O30" i="34" s="1"/>
  <c r="E96" i="13"/>
  <c r="E99" i="13"/>
  <c r="AG94" i="13"/>
  <c r="AI30" i="34" s="1"/>
  <c r="Y94" i="13"/>
  <c r="AA30" i="34" s="1"/>
  <c r="Q94" i="13"/>
  <c r="S30" i="34" s="1"/>
  <c r="I94" i="13"/>
  <c r="K30" i="34" s="1"/>
  <c r="E103" i="13"/>
  <c r="AF94" i="13"/>
  <c r="AH30" i="34" s="1"/>
  <c r="X94" i="13"/>
  <c r="Z30" i="34" s="1"/>
  <c r="P94" i="13"/>
  <c r="R30" i="34" s="1"/>
  <c r="H94" i="13"/>
  <c r="J30" i="34" s="1"/>
  <c r="AE94" i="13"/>
  <c r="AG30" i="34" s="1"/>
  <c r="W94" i="13"/>
  <c r="Y30" i="34" s="1"/>
  <c r="O94" i="13"/>
  <c r="Q30" i="34" s="1"/>
  <c r="G94" i="13"/>
  <c r="I30" i="34" s="1"/>
  <c r="E98" i="13"/>
  <c r="AD94" i="13"/>
  <c r="AF30" i="34" s="1"/>
  <c r="V94" i="13"/>
  <c r="X30" i="34" s="1"/>
  <c r="N94" i="13"/>
  <c r="P30" i="34" s="1"/>
  <c r="E101" i="13"/>
  <c r="E97" i="13"/>
  <c r="AB94" i="13"/>
  <c r="AD30" i="34" s="1"/>
  <c r="T94" i="13"/>
  <c r="V30" i="34" s="1"/>
  <c r="L94" i="13"/>
  <c r="N30" i="34" s="1"/>
  <c r="AC94" i="13"/>
  <c r="AE30" i="34" s="1"/>
  <c r="AG115" i="63"/>
  <c r="AI94" i="13"/>
  <c r="AK30" i="34" s="1"/>
  <c r="AA94" i="13"/>
  <c r="AC30" i="34" s="1"/>
  <c r="S94" i="13"/>
  <c r="U30" i="34" s="1"/>
  <c r="K94" i="13"/>
  <c r="M30" i="34" s="1"/>
  <c r="E102" i="13"/>
  <c r="E107" i="63"/>
  <c r="E100" i="13"/>
  <c r="Y115" i="63"/>
  <c r="Q115" i="63"/>
  <c r="I115" i="63"/>
  <c r="H175" i="29"/>
  <c r="AJ175" i="29"/>
  <c r="AB175" i="29"/>
  <c r="T175" i="29"/>
  <c r="L175" i="29"/>
  <c r="F164" i="29"/>
  <c r="F162" i="29"/>
  <c r="E111" i="63"/>
  <c r="AN115" i="63"/>
  <c r="AF115" i="63"/>
  <c r="X115" i="63"/>
  <c r="P115" i="63"/>
  <c r="G115" i="63"/>
  <c r="F158" i="29"/>
  <c r="AI175" i="29"/>
  <c r="AA175" i="29"/>
  <c r="S175" i="29"/>
  <c r="K175" i="29"/>
  <c r="E113" i="63"/>
  <c r="AM115" i="63"/>
  <c r="AE115" i="63"/>
  <c r="W115" i="63"/>
  <c r="O115" i="63"/>
  <c r="H115" i="63"/>
  <c r="AH175" i="29"/>
  <c r="Z175" i="29"/>
  <c r="R175" i="29"/>
  <c r="J175" i="29"/>
  <c r="E109" i="63"/>
  <c r="AL115" i="63"/>
  <c r="AD115" i="63"/>
  <c r="V115" i="63"/>
  <c r="N115" i="63"/>
  <c r="F115" i="63"/>
  <c r="E106" i="63"/>
  <c r="E108" i="63"/>
  <c r="F165" i="29"/>
  <c r="AG175" i="29"/>
  <c r="Y175" i="29"/>
  <c r="Q175" i="29"/>
  <c r="I175" i="29"/>
  <c r="E112" i="63"/>
  <c r="AK115" i="63"/>
  <c r="AC115" i="63"/>
  <c r="U115" i="63"/>
  <c r="M115" i="63"/>
  <c r="AF175" i="29"/>
  <c r="X175" i="29"/>
  <c r="P175" i="29"/>
  <c r="F160" i="29"/>
  <c r="AH115" i="63"/>
  <c r="AB115" i="63"/>
  <c r="T115" i="63"/>
  <c r="L115" i="63"/>
  <c r="E110" i="63"/>
  <c r="AE175" i="29"/>
  <c r="W175" i="29"/>
  <c r="O175" i="29"/>
  <c r="F157" i="29"/>
  <c r="E114" i="63"/>
  <c r="AJ115" i="63"/>
  <c r="AA115" i="63"/>
  <c r="S115" i="63"/>
  <c r="K115" i="63"/>
  <c r="AD175" i="29"/>
  <c r="V175" i="29"/>
  <c r="N175" i="29"/>
  <c r="F161" i="29"/>
  <c r="F163" i="29"/>
  <c r="AI115" i="63"/>
  <c r="Z115" i="63"/>
  <c r="R115" i="63"/>
  <c r="J115" i="63"/>
  <c r="G26" i="32"/>
  <c r="G23" i="32" s="1"/>
  <c r="F159" i="29"/>
  <c r="AC175" i="29"/>
  <c r="U175" i="29"/>
  <c r="M175" i="29"/>
  <c r="E115" i="23"/>
  <c r="E89" i="23"/>
  <c r="E79" i="23"/>
  <c r="E102" i="23"/>
  <c r="E77" i="23"/>
  <c r="M43" i="27"/>
  <c r="E51" i="28"/>
  <c r="AA60" i="28"/>
  <c r="AC60" i="28"/>
  <c r="AD60" i="28"/>
  <c r="Q60" i="28"/>
  <c r="AI60" i="28"/>
  <c r="R60" i="28"/>
  <c r="H60" i="28"/>
  <c r="Y60" i="28"/>
  <c r="N60" i="28"/>
  <c r="P60" i="28"/>
  <c r="AG60" i="28"/>
  <c r="E54" i="28"/>
  <c r="L60" i="28"/>
  <c r="G60" i="28"/>
  <c r="X60" i="28"/>
  <c r="Z60" i="28"/>
  <c r="T60" i="28"/>
  <c r="O60" i="28"/>
  <c r="AF60" i="28"/>
  <c r="AB60" i="28"/>
  <c r="W60" i="28"/>
  <c r="AH60" i="28"/>
  <c r="E55" i="28"/>
  <c r="K60" i="28"/>
  <c r="M60" i="28"/>
  <c r="AE60" i="28"/>
  <c r="V60" i="28"/>
  <c r="S60" i="28"/>
  <c r="U60" i="28"/>
  <c r="J60" i="28"/>
  <c r="I60" i="28"/>
  <c r="AN55" i="24"/>
  <c r="E46" i="24"/>
  <c r="D97" i="22"/>
  <c r="E37" i="27"/>
  <c r="E38" i="27"/>
  <c r="E130" i="13"/>
  <c r="F138" i="13"/>
  <c r="E138" i="13" s="1"/>
  <c r="E50" i="38"/>
  <c r="F70" i="13"/>
  <c r="E70" i="13" s="1"/>
  <c r="D63" i="25"/>
  <c r="AC61" i="26"/>
  <c r="F141" i="13"/>
  <c r="E141" i="13" s="1"/>
  <c r="E53" i="38"/>
  <c r="P135" i="13"/>
  <c r="P56" i="38"/>
  <c r="Y64" i="39"/>
  <c r="E42" i="27"/>
  <c r="E55" i="26"/>
  <c r="E56" i="26"/>
  <c r="E59" i="39"/>
  <c r="E240" i="13"/>
  <c r="Y55" i="24"/>
  <c r="Y59" i="13"/>
  <c r="R59" i="13"/>
  <c r="R55" i="24"/>
  <c r="AL55" i="24"/>
  <c r="J55" i="24"/>
  <c r="J59" i="13"/>
  <c r="AE59" i="13"/>
  <c r="AE55" i="24"/>
  <c r="AK40" i="40"/>
  <c r="AI40" i="40"/>
  <c r="AF24" i="13"/>
  <c r="AE40" i="40"/>
  <c r="W24" i="13"/>
  <c r="V40" i="40"/>
  <c r="E118" i="13"/>
  <c r="F139" i="13"/>
  <c r="E139" i="13" s="1"/>
  <c r="E51" i="38"/>
  <c r="E120" i="13"/>
  <c r="F60" i="13"/>
  <c r="E60" i="13" s="1"/>
  <c r="E47" i="24"/>
  <c r="F76" i="13"/>
  <c r="E76" i="13" s="1"/>
  <c r="D69" i="25"/>
  <c r="AK61" i="26"/>
  <c r="AB61" i="26"/>
  <c r="W61" i="26"/>
  <c r="F125" i="13"/>
  <c r="F61" i="26"/>
  <c r="AH61" i="26"/>
  <c r="N135" i="13"/>
  <c r="N56" i="38"/>
  <c r="X135" i="13"/>
  <c r="X56" i="38"/>
  <c r="F135" i="13"/>
  <c r="F56" i="38"/>
  <c r="E47" i="38"/>
  <c r="AA135" i="13"/>
  <c r="AA56" i="38"/>
  <c r="AB135" i="13"/>
  <c r="AB56" i="38"/>
  <c r="AA71" i="25"/>
  <c r="AG71" i="25"/>
  <c r="M71" i="25"/>
  <c r="K71" i="25"/>
  <c r="E241" i="13"/>
  <c r="E60" i="39"/>
  <c r="F31" i="13"/>
  <c r="E31" i="13" s="1"/>
  <c r="D38" i="40"/>
  <c r="I64" i="39"/>
  <c r="AJ64" i="39"/>
  <c r="AA64" i="39"/>
  <c r="AF64" i="39"/>
  <c r="F64" i="13"/>
  <c r="E64" i="13" s="1"/>
  <c r="E51" i="24"/>
  <c r="F142" i="13"/>
  <c r="E142" i="13" s="1"/>
  <c r="E54" i="38"/>
  <c r="V43" i="27"/>
  <c r="AL43" i="27"/>
  <c r="J43" i="27"/>
  <c r="AC43" i="27"/>
  <c r="E242" i="13"/>
  <c r="E61" i="39"/>
  <c r="D34" i="40"/>
  <c r="F27" i="13"/>
  <c r="E27" i="13" s="1"/>
  <c r="AI24" i="13"/>
  <c r="AH40" i="40"/>
  <c r="V71" i="25"/>
  <c r="E60" i="26"/>
  <c r="E40" i="27"/>
  <c r="F77" i="13"/>
  <c r="D70" i="25"/>
  <c r="S55" i="24"/>
  <c r="S59" i="13"/>
  <c r="O59" i="13"/>
  <c r="O55" i="24"/>
  <c r="I59" i="13"/>
  <c r="I55" i="24"/>
  <c r="Q59" i="13"/>
  <c r="Q55" i="24"/>
  <c r="Z59" i="13"/>
  <c r="Z55" i="24"/>
  <c r="AG24" i="13"/>
  <c r="AF40" i="40"/>
  <c r="X24" i="13"/>
  <c r="W40" i="40"/>
  <c r="AG40" i="40"/>
  <c r="AH24" i="13"/>
  <c r="Q24" i="13"/>
  <c r="P40" i="40"/>
  <c r="E133" i="13"/>
  <c r="K61" i="26"/>
  <c r="AJ61" i="26"/>
  <c r="AE61" i="26"/>
  <c r="I61" i="26"/>
  <c r="H48" i="28"/>
  <c r="V135" i="13"/>
  <c r="V56" i="38"/>
  <c r="AF135" i="13"/>
  <c r="AF56" i="38"/>
  <c r="Y135" i="13"/>
  <c r="Y56" i="38"/>
  <c r="AI135" i="13"/>
  <c r="AI56" i="38"/>
  <c r="AJ56" i="38"/>
  <c r="U71" i="25"/>
  <c r="AK71" i="25"/>
  <c r="T71" i="25"/>
  <c r="F63" i="13"/>
  <c r="E63" i="13" s="1"/>
  <c r="E50" i="24"/>
  <c r="E123" i="13"/>
  <c r="E129" i="13"/>
  <c r="F32" i="13"/>
  <c r="E32" i="13" s="1"/>
  <c r="D39" i="40"/>
  <c r="W64" i="39"/>
  <c r="G64" i="39"/>
  <c r="Q64" i="39"/>
  <c r="Z64" i="39"/>
  <c r="U64" i="39"/>
  <c r="AH43" i="27"/>
  <c r="U43" i="27"/>
  <c r="I43" i="27"/>
  <c r="AA43" i="27"/>
  <c r="N59" i="13"/>
  <c r="N55" i="24"/>
  <c r="F75" i="13"/>
  <c r="E75" i="13" s="1"/>
  <c r="D68" i="25"/>
  <c r="E40" i="28"/>
  <c r="AL40" i="40"/>
  <c r="T61" i="26"/>
  <c r="S135" i="13"/>
  <c r="S56" i="38"/>
  <c r="K64" i="39"/>
  <c r="AM43" i="27"/>
  <c r="D64" i="25"/>
  <c r="E58" i="26"/>
  <c r="AA59" i="13"/>
  <c r="AA55" i="24"/>
  <c r="V59" i="13"/>
  <c r="V55" i="24"/>
  <c r="T55" i="24"/>
  <c r="T59" i="13"/>
  <c r="AK55" i="24"/>
  <c r="F67" i="13"/>
  <c r="E54" i="24"/>
  <c r="E237" i="13"/>
  <c r="E56" i="39"/>
  <c r="AA40" i="40"/>
  <c r="AB24" i="13"/>
  <c r="Y24" i="13"/>
  <c r="X40" i="40"/>
  <c r="I24" i="13"/>
  <c r="H40" i="40"/>
  <c r="N40" i="40"/>
  <c r="O24" i="13"/>
  <c r="V24" i="13"/>
  <c r="U40" i="40"/>
  <c r="E122" i="13"/>
  <c r="M61" i="26"/>
  <c r="N61" i="26"/>
  <c r="AM61" i="26"/>
  <c r="Q61" i="26"/>
  <c r="D37" i="40"/>
  <c r="F30" i="13"/>
  <c r="E30" i="13" s="1"/>
  <c r="E39" i="28"/>
  <c r="F48" i="28"/>
  <c r="E44" i="28"/>
  <c r="AD135" i="13"/>
  <c r="AD56" i="38"/>
  <c r="AN56" i="38"/>
  <c r="Z135" i="13"/>
  <c r="Z56" i="38"/>
  <c r="M135" i="13"/>
  <c r="M56" i="38"/>
  <c r="AI71" i="25"/>
  <c r="J71" i="25"/>
  <c r="AE71" i="25"/>
  <c r="AF71" i="25"/>
  <c r="N71" i="25"/>
  <c r="H64" i="39"/>
  <c r="AN64" i="39"/>
  <c r="R64" i="39"/>
  <c r="V64" i="39"/>
  <c r="J64" i="39"/>
  <c r="E43" i="28"/>
  <c r="AG43" i="27"/>
  <c r="Q43" i="27"/>
  <c r="S43" i="27"/>
  <c r="AB43" i="27"/>
  <c r="T24" i="13"/>
  <c r="S40" i="40"/>
  <c r="Z61" i="26"/>
  <c r="E41" i="27"/>
  <c r="E58" i="39"/>
  <c r="E239" i="13"/>
  <c r="AB59" i="13"/>
  <c r="AB55" i="24"/>
  <c r="AG59" i="13"/>
  <c r="AG55" i="24"/>
  <c r="U55" i="24"/>
  <c r="U59" i="13"/>
  <c r="AI59" i="13"/>
  <c r="AI55" i="24"/>
  <c r="AC24" i="13"/>
  <c r="AB40" i="40"/>
  <c r="F40" i="40"/>
  <c r="G24" i="13"/>
  <c r="L24" i="13"/>
  <c r="K40" i="40"/>
  <c r="R24" i="13"/>
  <c r="Q40" i="40"/>
  <c r="N24" i="13"/>
  <c r="M40" i="40"/>
  <c r="E121" i="13"/>
  <c r="F72" i="13"/>
  <c r="E72" i="13" s="1"/>
  <c r="D65" i="25"/>
  <c r="S61" i="26"/>
  <c r="V61" i="26"/>
  <c r="H61" i="26"/>
  <c r="Y61" i="26"/>
  <c r="AL56" i="38"/>
  <c r="AK56" i="38"/>
  <c r="AE135" i="13"/>
  <c r="AE56" i="38"/>
  <c r="W135" i="13"/>
  <c r="W56" i="38"/>
  <c r="X71" i="25"/>
  <c r="W71" i="25"/>
  <c r="S71" i="25"/>
  <c r="G71" i="25"/>
  <c r="P71" i="25"/>
  <c r="E128" i="13"/>
  <c r="AI64" i="39"/>
  <c r="AL64" i="39"/>
  <c r="AE64" i="39"/>
  <c r="AK64" i="39"/>
  <c r="X64" i="39"/>
  <c r="F66" i="13"/>
  <c r="E66" i="13" s="1"/>
  <c r="E53" i="24"/>
  <c r="E42" i="28"/>
  <c r="O43" i="27"/>
  <c r="Z43" i="27"/>
  <c r="R43" i="27"/>
  <c r="AF43" i="27"/>
  <c r="K59" i="13"/>
  <c r="K55" i="24"/>
  <c r="O64" i="39"/>
  <c r="X43" i="27"/>
  <c r="E59" i="26"/>
  <c r="F136" i="13"/>
  <c r="E136" i="13" s="1"/>
  <c r="E48" i="38"/>
  <c r="E127" i="13"/>
  <c r="M59" i="13"/>
  <c r="M55" i="24"/>
  <c r="AC55" i="24"/>
  <c r="AC59" i="13"/>
  <c r="AJ55" i="24"/>
  <c r="X59" i="13"/>
  <c r="X55" i="24"/>
  <c r="H24" i="13"/>
  <c r="G40" i="40"/>
  <c r="J24" i="13"/>
  <c r="I40" i="40"/>
  <c r="L40" i="40"/>
  <c r="M24" i="13"/>
  <c r="AA24" i="13"/>
  <c r="Z40" i="40"/>
  <c r="AJ40" i="40"/>
  <c r="E116" i="13"/>
  <c r="E238" i="13"/>
  <c r="E57" i="39"/>
  <c r="F61" i="13"/>
  <c r="E61" i="13" s="1"/>
  <c r="E48" i="24"/>
  <c r="U61" i="26"/>
  <c r="AD61" i="26"/>
  <c r="P61" i="26"/>
  <c r="AG61" i="26"/>
  <c r="G48" i="28"/>
  <c r="AC135" i="13"/>
  <c r="AC56" i="38"/>
  <c r="G135" i="13"/>
  <c r="G56" i="38"/>
  <c r="J135" i="13"/>
  <c r="J56" i="38"/>
  <c r="I135" i="13"/>
  <c r="I56" i="38"/>
  <c r="O71" i="25"/>
  <c r="AD71" i="25"/>
  <c r="Z71" i="25"/>
  <c r="E71" i="25"/>
  <c r="D62" i="25"/>
  <c r="F69" i="13"/>
  <c r="AJ71" i="25"/>
  <c r="E243" i="13"/>
  <c r="E62" i="39"/>
  <c r="D33" i="40"/>
  <c r="F26" i="13"/>
  <c r="E26" i="13" s="1"/>
  <c r="AM64" i="39"/>
  <c r="P64" i="39"/>
  <c r="F64" i="39"/>
  <c r="E55" i="39"/>
  <c r="N64" i="39"/>
  <c r="L43" i="27"/>
  <c r="AE43" i="27"/>
  <c r="AJ43" i="27"/>
  <c r="L59" i="13"/>
  <c r="L55" i="24"/>
  <c r="U24" i="13"/>
  <c r="T40" i="40"/>
  <c r="U135" i="13"/>
  <c r="U56" i="38"/>
  <c r="T135" i="13"/>
  <c r="T56" i="38"/>
  <c r="AL71" i="25"/>
  <c r="R71" i="25"/>
  <c r="S64" i="39"/>
  <c r="N43" i="27"/>
  <c r="Y43" i="27"/>
  <c r="E39" i="27"/>
  <c r="F74" i="13"/>
  <c r="E74" i="13" s="1"/>
  <c r="D67" i="25"/>
  <c r="P59" i="13"/>
  <c r="P55" i="24"/>
  <c r="AD59" i="13"/>
  <c r="AD55" i="24"/>
  <c r="AH59" i="13"/>
  <c r="AH55" i="24"/>
  <c r="G59" i="13"/>
  <c r="G55" i="24"/>
  <c r="F62" i="13"/>
  <c r="E62" i="13" s="1"/>
  <c r="E49" i="24"/>
  <c r="P24" i="13"/>
  <c r="O40" i="40"/>
  <c r="AM40" i="40"/>
  <c r="K24" i="13"/>
  <c r="J40" i="40"/>
  <c r="AE24" i="13"/>
  <c r="AD40" i="40"/>
  <c r="F140" i="13"/>
  <c r="E140" i="13" s="1"/>
  <c r="E52" i="38"/>
  <c r="F137" i="13"/>
  <c r="E137" i="13" s="1"/>
  <c r="E49" i="38"/>
  <c r="E119" i="13"/>
  <c r="E117" i="13"/>
  <c r="AI61" i="26"/>
  <c r="AL61" i="26"/>
  <c r="X61" i="26"/>
  <c r="J61" i="26"/>
  <c r="E132" i="13"/>
  <c r="E126" i="13"/>
  <c r="E71" i="13"/>
  <c r="O135" i="13"/>
  <c r="O56" i="38"/>
  <c r="Q135" i="13"/>
  <c r="Q56" i="38"/>
  <c r="AH135" i="13"/>
  <c r="AH56" i="38"/>
  <c r="R135" i="13"/>
  <c r="R56" i="38"/>
  <c r="L71" i="25"/>
  <c r="G69" i="13"/>
  <c r="F71" i="25"/>
  <c r="AH71" i="25"/>
  <c r="H71" i="25"/>
  <c r="L64" i="39"/>
  <c r="T64" i="39"/>
  <c r="AB64" i="39"/>
  <c r="AH64" i="39"/>
  <c r="F25" i="13"/>
  <c r="E25" i="13" s="1"/>
  <c r="D32" i="40"/>
  <c r="W43" i="27"/>
  <c r="F43" i="27"/>
  <c r="F115" i="13"/>
  <c r="AI43" i="27"/>
  <c r="AD43" i="27"/>
  <c r="H43" i="27"/>
  <c r="E244" i="13"/>
  <c r="E63" i="39"/>
  <c r="W59" i="13"/>
  <c r="W55" i="24"/>
  <c r="O61" i="26"/>
  <c r="AM56" i="38"/>
  <c r="AC71" i="25"/>
  <c r="E36" i="27"/>
  <c r="E54" i="26"/>
  <c r="E35" i="27"/>
  <c r="E57" i="26"/>
  <c r="E53" i="26"/>
  <c r="H55" i="24"/>
  <c r="H59" i="13"/>
  <c r="AM55" i="24"/>
  <c r="AF59" i="13"/>
  <c r="AF55" i="24"/>
  <c r="D31" i="40"/>
  <c r="F24" i="13"/>
  <c r="E40" i="40"/>
  <c r="AD24" i="13"/>
  <c r="AC40" i="40"/>
  <c r="S24" i="13"/>
  <c r="R40" i="40"/>
  <c r="Y40" i="40"/>
  <c r="Z24" i="13"/>
  <c r="F65" i="13"/>
  <c r="E65" i="13" s="1"/>
  <c r="E52" i="24"/>
  <c r="AA61" i="26"/>
  <c r="L61" i="26"/>
  <c r="G125" i="13"/>
  <c r="G61" i="26"/>
  <c r="AF61" i="26"/>
  <c r="R61" i="26"/>
  <c r="F29" i="13"/>
  <c r="E29" i="13" s="1"/>
  <c r="D36" i="40"/>
  <c r="F73" i="13"/>
  <c r="E73" i="13" s="1"/>
  <c r="D66" i="25"/>
  <c r="H135" i="13"/>
  <c r="H56" i="38"/>
  <c r="AG135" i="13"/>
  <c r="AG56" i="38"/>
  <c r="K135" i="13"/>
  <c r="K56" i="38"/>
  <c r="L135" i="13"/>
  <c r="L56" i="38"/>
  <c r="I71" i="25"/>
  <c r="Y71" i="25"/>
  <c r="AB71" i="25"/>
  <c r="Q71" i="25"/>
  <c r="AD64" i="39"/>
  <c r="AG64" i="39"/>
  <c r="M64" i="39"/>
  <c r="AC64" i="39"/>
  <c r="D35" i="40"/>
  <c r="F28" i="13"/>
  <c r="E28" i="13" s="1"/>
  <c r="F143" i="13"/>
  <c r="E143" i="13" s="1"/>
  <c r="E55" i="38"/>
  <c r="T43" i="27"/>
  <c r="AK43" i="27"/>
  <c r="P43" i="27"/>
  <c r="K43" i="27"/>
  <c r="G115" i="13"/>
  <c r="G43" i="27"/>
  <c r="AN43" i="27"/>
  <c r="E34" i="27"/>
  <c r="AM71" i="25"/>
  <c r="F175" i="29" l="1"/>
  <c r="AL132" i="23"/>
  <c r="K132" i="23"/>
  <c r="AK132" i="23"/>
  <c r="U103" i="22"/>
  <c r="U125" i="22" s="1"/>
  <c r="V43" i="13" s="1"/>
  <c r="X96" i="22"/>
  <c r="X128" i="22" s="1"/>
  <c r="Y46" i="13" s="1"/>
  <c r="N132" i="23"/>
  <c r="N57" i="13" s="1"/>
  <c r="Y102" i="22"/>
  <c r="Y126" i="22" s="1"/>
  <c r="Z44" i="13" s="1"/>
  <c r="E102" i="22"/>
  <c r="E126" i="22" s="1"/>
  <c r="F44" i="13" s="1"/>
  <c r="R103" i="22"/>
  <c r="R125" i="22" s="1"/>
  <c r="S43" i="13" s="1"/>
  <c r="V103" i="22"/>
  <c r="V125" i="22" s="1"/>
  <c r="W43" i="13" s="1"/>
  <c r="E71" i="23"/>
  <c r="AA103" i="22"/>
  <c r="AA125" i="22" s="1"/>
  <c r="AB43" i="13" s="1"/>
  <c r="G102" i="22"/>
  <c r="G126" i="22" s="1"/>
  <c r="H44" i="13" s="1"/>
  <c r="R102" i="22"/>
  <c r="R126" i="22" s="1"/>
  <c r="S44" i="13" s="1"/>
  <c r="N102" i="22"/>
  <c r="N126" i="22" s="1"/>
  <c r="O44" i="13" s="1"/>
  <c r="M102" i="22"/>
  <c r="M126" i="22" s="1"/>
  <c r="N44" i="13" s="1"/>
  <c r="O103" i="22"/>
  <c r="O125" i="22" s="1"/>
  <c r="P43" i="13" s="1"/>
  <c r="AA132" i="23"/>
  <c r="AA57" i="13" s="1"/>
  <c r="E103" i="22"/>
  <c r="E125" i="22" s="1"/>
  <c r="F43" i="13" s="1"/>
  <c r="Z102" i="22"/>
  <c r="Z126" i="22" s="1"/>
  <c r="AA44" i="13" s="1"/>
  <c r="V102" i="22"/>
  <c r="V126" i="22" s="1"/>
  <c r="W44" i="13" s="1"/>
  <c r="AH102" i="22"/>
  <c r="AH126" i="22" s="1"/>
  <c r="AI44" i="13" s="1"/>
  <c r="Y103" i="22"/>
  <c r="Y125" i="22" s="1"/>
  <c r="Z43" i="13" s="1"/>
  <c r="AC103" i="22"/>
  <c r="AC125" i="22" s="1"/>
  <c r="AD43" i="13" s="1"/>
  <c r="Q98" i="22"/>
  <c r="Q123" i="22" s="1"/>
  <c r="R41" i="13" s="1"/>
  <c r="F103" i="22"/>
  <c r="F125" i="22" s="1"/>
  <c r="G43" i="13" s="1"/>
  <c r="Z103" i="22"/>
  <c r="Z125" i="22" s="1"/>
  <c r="AA43" i="13" s="1"/>
  <c r="P103" i="22"/>
  <c r="P125" i="22" s="1"/>
  <c r="Q43" i="13" s="1"/>
  <c r="AH103" i="22"/>
  <c r="AH125" i="22" s="1"/>
  <c r="AI43" i="13" s="1"/>
  <c r="W103" i="22"/>
  <c r="W125" i="22" s="1"/>
  <c r="X43" i="13" s="1"/>
  <c r="T132" i="23"/>
  <c r="T57" i="13" s="1"/>
  <c r="F102" i="22"/>
  <c r="F126" i="22" s="1"/>
  <c r="G44" i="13" s="1"/>
  <c r="X102" i="22"/>
  <c r="X126" i="22" s="1"/>
  <c r="Y44" i="13" s="1"/>
  <c r="L102" i="22"/>
  <c r="L126" i="22" s="1"/>
  <c r="M44" i="13" s="1"/>
  <c r="AG102" i="22"/>
  <c r="AG126" i="22" s="1"/>
  <c r="AH44" i="13" s="1"/>
  <c r="W102" i="22"/>
  <c r="W126" i="22" s="1"/>
  <c r="X44" i="13" s="1"/>
  <c r="U132" i="23"/>
  <c r="AF102" i="22"/>
  <c r="AF126" i="22" s="1"/>
  <c r="AG44" i="13" s="1"/>
  <c r="T102" i="22"/>
  <c r="T126" i="22" s="1"/>
  <c r="U44" i="13" s="1"/>
  <c r="L103" i="22"/>
  <c r="L125" i="22" s="1"/>
  <c r="M43" i="13" s="1"/>
  <c r="AG103" i="22"/>
  <c r="AG125" i="22" s="1"/>
  <c r="AH43" i="13" s="1"/>
  <c r="Y96" i="22"/>
  <c r="Y128" i="22" s="1"/>
  <c r="Z46" i="13" s="1"/>
  <c r="I102" i="22"/>
  <c r="I126" i="22" s="1"/>
  <c r="J44" i="13" s="1"/>
  <c r="AB102" i="22"/>
  <c r="AB126" i="22" s="1"/>
  <c r="AC44" i="13" s="1"/>
  <c r="T103" i="22"/>
  <c r="T125" i="22" s="1"/>
  <c r="U43" i="13" s="1"/>
  <c r="AD103" i="22"/>
  <c r="AD125" i="22" s="1"/>
  <c r="AE43" i="13" s="1"/>
  <c r="AE103" i="22"/>
  <c r="AE125" i="22" s="1"/>
  <c r="AF43" i="13" s="1"/>
  <c r="Q102" i="22"/>
  <c r="Q126" i="22" s="1"/>
  <c r="R44" i="13" s="1"/>
  <c r="F105" i="23"/>
  <c r="G103" i="22"/>
  <c r="G125" i="22" s="1"/>
  <c r="H43" i="13" s="1"/>
  <c r="AB103" i="22"/>
  <c r="AB125" i="22" s="1"/>
  <c r="AC43" i="13" s="1"/>
  <c r="N103" i="22"/>
  <c r="N125" i="22" s="1"/>
  <c r="O43" i="13" s="1"/>
  <c r="AD102" i="22"/>
  <c r="AD126" i="22" s="1"/>
  <c r="AE44" i="13" s="1"/>
  <c r="M103" i="22"/>
  <c r="M125" i="22" s="1"/>
  <c r="N43" i="13" s="1"/>
  <c r="Q103" i="22"/>
  <c r="Q125" i="22" s="1"/>
  <c r="R43" i="13" s="1"/>
  <c r="Z132" i="23"/>
  <c r="M100" i="22"/>
  <c r="M129" i="22" s="1"/>
  <c r="N47" i="13" s="1"/>
  <c r="G96" i="22"/>
  <c r="G128" i="22" s="1"/>
  <c r="H46" i="13" s="1"/>
  <c r="F118" i="23"/>
  <c r="E74" i="23"/>
  <c r="V96" i="22"/>
  <c r="V128" i="22" s="1"/>
  <c r="W46" i="13" s="1"/>
  <c r="AB96" i="22"/>
  <c r="AB128" i="22" s="1"/>
  <c r="AC46" i="13" s="1"/>
  <c r="M96" i="22"/>
  <c r="M128" i="22" s="1"/>
  <c r="N46" i="13" s="1"/>
  <c r="G95" i="22"/>
  <c r="G121" i="22" s="1"/>
  <c r="H39" i="13" s="1"/>
  <c r="H95" i="22"/>
  <c r="H121" i="22" s="1"/>
  <c r="I39" i="13" s="1"/>
  <c r="F96" i="22"/>
  <c r="F128" i="22" s="1"/>
  <c r="G46" i="13" s="1"/>
  <c r="K96" i="22"/>
  <c r="K128" i="22" s="1"/>
  <c r="L46" i="13" s="1"/>
  <c r="H96" i="22"/>
  <c r="H128" i="22" s="1"/>
  <c r="I46" i="13" s="1"/>
  <c r="I96" i="22"/>
  <c r="I128" i="22" s="1"/>
  <c r="J46" i="13" s="1"/>
  <c r="Q99" i="22"/>
  <c r="Q124" i="22" s="1"/>
  <c r="R42" i="13" s="1"/>
  <c r="U95" i="22"/>
  <c r="U121" i="22" s="1"/>
  <c r="V39" i="13" s="1"/>
  <c r="AC96" i="22"/>
  <c r="AC128" i="22" s="1"/>
  <c r="AD46" i="13" s="1"/>
  <c r="AH95" i="22"/>
  <c r="AH121" i="22" s="1"/>
  <c r="AI39" i="13" s="1"/>
  <c r="Z95" i="22"/>
  <c r="Z121" i="22" s="1"/>
  <c r="AA39" i="13" s="1"/>
  <c r="AF96" i="22"/>
  <c r="AF128" i="22" s="1"/>
  <c r="AG46" i="13" s="1"/>
  <c r="V95" i="22"/>
  <c r="V121" i="22" s="1"/>
  <c r="W39" i="13" s="1"/>
  <c r="I95" i="22"/>
  <c r="I121" i="22" s="1"/>
  <c r="AH96" i="22"/>
  <c r="AH128" i="22" s="1"/>
  <c r="AI46" i="13" s="1"/>
  <c r="E90" i="23"/>
  <c r="AD132" i="23"/>
  <c r="AD57" i="13" s="1"/>
  <c r="H102" i="22"/>
  <c r="H126" i="22" s="1"/>
  <c r="I44" i="13" s="1"/>
  <c r="AE102" i="22"/>
  <c r="AE126" i="22" s="1"/>
  <c r="AF44" i="13" s="1"/>
  <c r="J102" i="22"/>
  <c r="J126" i="22" s="1"/>
  <c r="K44" i="13" s="1"/>
  <c r="P132" i="23"/>
  <c r="Q96" i="22"/>
  <c r="Q128" i="22" s="1"/>
  <c r="R46" i="13" s="1"/>
  <c r="I103" i="22"/>
  <c r="I125" i="22" s="1"/>
  <c r="J43" i="13" s="1"/>
  <c r="AF103" i="22"/>
  <c r="AF125" i="22" s="1"/>
  <c r="AG43" i="13" s="1"/>
  <c r="X103" i="22"/>
  <c r="X125" i="22" s="1"/>
  <c r="Y43" i="13" s="1"/>
  <c r="P102" i="22"/>
  <c r="P126" i="22" s="1"/>
  <c r="Q44" i="13" s="1"/>
  <c r="H103" i="22"/>
  <c r="H125" i="22" s="1"/>
  <c r="I43" i="13" s="1"/>
  <c r="S103" i="22"/>
  <c r="S125" i="22" s="1"/>
  <c r="T43" i="13" s="1"/>
  <c r="R96" i="22"/>
  <c r="R128" i="22" s="1"/>
  <c r="S46" i="13" s="1"/>
  <c r="AC132" i="23"/>
  <c r="AC57" i="13" s="1"/>
  <c r="P96" i="22"/>
  <c r="P128" i="22" s="1"/>
  <c r="Q46" i="13" s="1"/>
  <c r="U96" i="22"/>
  <c r="U128" i="22" s="1"/>
  <c r="V46" i="13" s="1"/>
  <c r="N98" i="22"/>
  <c r="N123" i="22" s="1"/>
  <c r="O41" i="13" s="1"/>
  <c r="S98" i="22"/>
  <c r="S123" i="22" s="1"/>
  <c r="T41" i="13" s="1"/>
  <c r="P99" i="22"/>
  <c r="P124" i="22" s="1"/>
  <c r="Q42" i="13" s="1"/>
  <c r="E98" i="22"/>
  <c r="E123" i="22" s="1"/>
  <c r="F41" i="13" s="1"/>
  <c r="F98" i="22"/>
  <c r="F123" i="22" s="1"/>
  <c r="G41" i="13" s="1"/>
  <c r="G100" i="22"/>
  <c r="G129" i="22" s="1"/>
  <c r="H47" i="13" s="1"/>
  <c r="AC118" i="23"/>
  <c r="E117" i="23"/>
  <c r="E75" i="23"/>
  <c r="W100" i="22"/>
  <c r="W129" i="22" s="1"/>
  <c r="X47" i="13" s="1"/>
  <c r="W98" i="22"/>
  <c r="W123" i="22" s="1"/>
  <c r="X41" i="13" s="1"/>
  <c r="AD100" i="22"/>
  <c r="AD129" i="22" s="1"/>
  <c r="K102" i="22"/>
  <c r="K126" i="22" s="1"/>
  <c r="L44" i="13" s="1"/>
  <c r="U102" i="22"/>
  <c r="U126" i="22" s="1"/>
  <c r="V44" i="13" s="1"/>
  <c r="X132" i="23"/>
  <c r="X57" i="13" s="1"/>
  <c r="V98" i="22"/>
  <c r="V123" i="22" s="1"/>
  <c r="W41" i="13" s="1"/>
  <c r="N96" i="22"/>
  <c r="N128" i="22" s="1"/>
  <c r="O46" i="13" s="1"/>
  <c r="Y99" i="22"/>
  <c r="Y124" i="22" s="1"/>
  <c r="AF132" i="23"/>
  <c r="AF57" i="13" s="1"/>
  <c r="S95" i="22"/>
  <c r="S121" i="22" s="1"/>
  <c r="T39" i="13" s="1"/>
  <c r="Y98" i="22"/>
  <c r="Y123" i="22" s="1"/>
  <c r="J103" i="22"/>
  <c r="J125" i="22" s="1"/>
  <c r="K43" i="13" s="1"/>
  <c r="M99" i="22"/>
  <c r="M124" i="22" s="1"/>
  <c r="N42" i="13" s="1"/>
  <c r="AH100" i="22"/>
  <c r="AH129" i="22" s="1"/>
  <c r="AI47" i="13" s="1"/>
  <c r="P100" i="22"/>
  <c r="P129" i="22" s="1"/>
  <c r="Q47" i="13" s="1"/>
  <c r="S132" i="23"/>
  <c r="S57" i="13" s="1"/>
  <c r="AI132" i="23"/>
  <c r="AI57" i="13" s="1"/>
  <c r="M132" i="23"/>
  <c r="M57" i="13" s="1"/>
  <c r="E72" i="23"/>
  <c r="O129" i="23"/>
  <c r="O54" i="13" s="1"/>
  <c r="F127" i="23"/>
  <c r="F52" i="13" s="1"/>
  <c r="U99" i="22"/>
  <c r="U124" i="22" s="1"/>
  <c r="V42" i="13" s="1"/>
  <c r="W132" i="23"/>
  <c r="W57" i="13" s="1"/>
  <c r="AN132" i="23"/>
  <c r="F132" i="23"/>
  <c r="F57" i="13" s="1"/>
  <c r="Z99" i="22"/>
  <c r="Z124" i="22" s="1"/>
  <c r="AA42" i="13" s="1"/>
  <c r="E116" i="23"/>
  <c r="E103" i="23"/>
  <c r="F128" i="23"/>
  <c r="F53" i="13" s="1"/>
  <c r="S118" i="23"/>
  <c r="E104" i="23"/>
  <c r="G126" i="23"/>
  <c r="G51" i="13" s="1"/>
  <c r="AG126" i="23"/>
  <c r="AG51" i="13" s="1"/>
  <c r="AJ126" i="23"/>
  <c r="G129" i="23"/>
  <c r="G54" i="13" s="1"/>
  <c r="X129" i="23"/>
  <c r="X54" i="13" s="1"/>
  <c r="F129" i="23"/>
  <c r="F54" i="13" s="1"/>
  <c r="J98" i="22"/>
  <c r="J123" i="22" s="1"/>
  <c r="T98" i="22"/>
  <c r="T123" i="22" s="1"/>
  <c r="U98" i="22"/>
  <c r="U123" i="22" s="1"/>
  <c r="N99" i="22"/>
  <c r="N124" i="22" s="1"/>
  <c r="O42" i="13" s="1"/>
  <c r="H98" i="22"/>
  <c r="H123" i="22" s="1"/>
  <c r="I41" i="13" s="1"/>
  <c r="W95" i="22"/>
  <c r="W121" i="22" s="1"/>
  <c r="AD95" i="22"/>
  <c r="AD121" i="22" s="1"/>
  <c r="P95" i="22"/>
  <c r="P121" i="22" s="1"/>
  <c r="Q39" i="13" s="1"/>
  <c r="O95" i="22"/>
  <c r="O121" i="22" s="1"/>
  <c r="J95" i="22"/>
  <c r="J121" i="22" s="1"/>
  <c r="M95" i="22"/>
  <c r="M121" i="22" s="1"/>
  <c r="N39" i="13" s="1"/>
  <c r="N95" i="22"/>
  <c r="N121" i="22" s="1"/>
  <c r="AC95" i="22"/>
  <c r="AC121" i="22" s="1"/>
  <c r="Y95" i="22"/>
  <c r="Y121" i="22" s="1"/>
  <c r="E95" i="22"/>
  <c r="E121" i="22" s="1"/>
  <c r="AA95" i="22"/>
  <c r="AA121" i="22" s="1"/>
  <c r="AB39" i="13" s="1"/>
  <c r="L95" i="22"/>
  <c r="L121" i="22" s="1"/>
  <c r="M39" i="13" s="1"/>
  <c r="AG95" i="22"/>
  <c r="AG121" i="22" s="1"/>
  <c r="AH39" i="13" s="1"/>
  <c r="T96" i="22"/>
  <c r="T128" i="22" s="1"/>
  <c r="U46" i="13" s="1"/>
  <c r="E96" i="22"/>
  <c r="E128" i="22" s="1"/>
  <c r="F46" i="13" s="1"/>
  <c r="Z96" i="22"/>
  <c r="Z128" i="22" s="1"/>
  <c r="AA46" i="13" s="1"/>
  <c r="AB95" i="22"/>
  <c r="AB121" i="22" s="1"/>
  <c r="AC39" i="13" s="1"/>
  <c r="R95" i="22"/>
  <c r="R121" i="22" s="1"/>
  <c r="Q95" i="22"/>
  <c r="Q121" i="22" s="1"/>
  <c r="L96" i="22"/>
  <c r="L128" i="22" s="1"/>
  <c r="M46" i="13" s="1"/>
  <c r="AE96" i="22"/>
  <c r="AE128" i="22" s="1"/>
  <c r="AF46" i="13" s="1"/>
  <c r="AG96" i="22"/>
  <c r="AG128" i="22" s="1"/>
  <c r="AH46" i="13" s="1"/>
  <c r="T95" i="22"/>
  <c r="T121" i="22" s="1"/>
  <c r="X95" i="22"/>
  <c r="X121" i="22" s="1"/>
  <c r="Y39" i="13" s="1"/>
  <c r="F95" i="22"/>
  <c r="F121" i="22" s="1"/>
  <c r="G39" i="13" s="1"/>
  <c r="AA96" i="22"/>
  <c r="AA128" i="22" s="1"/>
  <c r="AB46" i="13" s="1"/>
  <c r="W96" i="22"/>
  <c r="W128" i="22" s="1"/>
  <c r="X46" i="13" s="1"/>
  <c r="J96" i="22"/>
  <c r="J128" i="22" s="1"/>
  <c r="K46" i="13" s="1"/>
  <c r="AE95" i="22"/>
  <c r="AE121" i="22" s="1"/>
  <c r="AF39" i="13" s="1"/>
  <c r="K95" i="22"/>
  <c r="K121" i="22" s="1"/>
  <c r="AF95" i="22"/>
  <c r="AF121" i="22" s="1"/>
  <c r="AG39" i="13" s="1"/>
  <c r="S96" i="22"/>
  <c r="S128" i="22" s="1"/>
  <c r="T46" i="13" s="1"/>
  <c r="O96" i="22"/>
  <c r="O128" i="22" s="1"/>
  <c r="AD96" i="22"/>
  <c r="AD128" i="22" s="1"/>
  <c r="AE46" i="13" s="1"/>
  <c r="AD126" i="23"/>
  <c r="AD51" i="13" s="1"/>
  <c r="G132" i="23"/>
  <c r="G57" i="13" s="1"/>
  <c r="AC105" i="23"/>
  <c r="AD105" i="23"/>
  <c r="S105" i="23"/>
  <c r="AK127" i="23"/>
  <c r="H127" i="23"/>
  <c r="H52" i="13" s="1"/>
  <c r="AG127" i="23"/>
  <c r="AG52" i="13" s="1"/>
  <c r="S127" i="23"/>
  <c r="S52" i="13" s="1"/>
  <c r="U124" i="23"/>
  <c r="U49" i="13" s="1"/>
  <c r="Z124" i="23"/>
  <c r="H118" i="23"/>
  <c r="J132" i="23"/>
  <c r="J57" i="13" s="1"/>
  <c r="V131" i="23"/>
  <c r="V56" i="13" s="1"/>
  <c r="L131" i="23"/>
  <c r="L56" i="13" s="1"/>
  <c r="X128" i="23"/>
  <c r="X53" i="13" s="1"/>
  <c r="AA128" i="23"/>
  <c r="AA53" i="13" s="1"/>
  <c r="U128" i="23"/>
  <c r="U53" i="13" s="1"/>
  <c r="AA118" i="23"/>
  <c r="AH118" i="23"/>
  <c r="AK118" i="23"/>
  <c r="X118" i="23"/>
  <c r="Y129" i="23"/>
  <c r="Y54" i="13" s="1"/>
  <c r="AD98" i="22"/>
  <c r="AD123" i="22" s="1"/>
  <c r="R132" i="23"/>
  <c r="R57" i="13" s="1"/>
  <c r="AE132" i="23"/>
  <c r="L132" i="23"/>
  <c r="L57" i="13" s="1"/>
  <c r="Q132" i="23"/>
  <c r="Q57" i="13" s="1"/>
  <c r="F131" i="23"/>
  <c r="F56" i="13" s="1"/>
  <c r="AB100" i="22"/>
  <c r="AB129" i="22" s="1"/>
  <c r="AC47" i="13" s="1"/>
  <c r="V100" i="22"/>
  <c r="V129" i="22" s="1"/>
  <c r="W47" i="13" s="1"/>
  <c r="R98" i="22"/>
  <c r="R123" i="22" s="1"/>
  <c r="S41" i="13" s="1"/>
  <c r="M98" i="22"/>
  <c r="M123" i="22" s="1"/>
  <c r="O98" i="22"/>
  <c r="O123" i="22" s="1"/>
  <c r="F99" i="22"/>
  <c r="F124" i="22" s="1"/>
  <c r="G42" i="13" s="1"/>
  <c r="T100" i="22"/>
  <c r="T129" i="22" s="1"/>
  <c r="U100" i="22"/>
  <c r="U129" i="22" s="1"/>
  <c r="V47" i="13" s="1"/>
  <c r="AB99" i="22"/>
  <c r="AB124" i="22" s="1"/>
  <c r="AC42" i="13" s="1"/>
  <c r="X99" i="22"/>
  <c r="X124" i="22" s="1"/>
  <c r="Y42" i="13" s="1"/>
  <c r="AA99" i="22"/>
  <c r="AA124" i="22" s="1"/>
  <c r="AB42" i="13" s="1"/>
  <c r="I98" i="22"/>
  <c r="I123" i="22" s="1"/>
  <c r="J41" i="13" s="1"/>
  <c r="P98" i="22"/>
  <c r="P123" i="22" s="1"/>
  <c r="Q41" i="13" s="1"/>
  <c r="L98" i="22"/>
  <c r="L123" i="22" s="1"/>
  <c r="M41" i="13" s="1"/>
  <c r="X98" i="22"/>
  <c r="X123" i="22" s="1"/>
  <c r="Y41" i="13" s="1"/>
  <c r="L100" i="22"/>
  <c r="L129" i="22" s="1"/>
  <c r="M47" i="13" s="1"/>
  <c r="R100" i="22"/>
  <c r="R129" i="22" s="1"/>
  <c r="S47" i="13" s="1"/>
  <c r="T99" i="22"/>
  <c r="T124" i="22" s="1"/>
  <c r="H99" i="22"/>
  <c r="H124" i="22" s="1"/>
  <c r="I42" i="13" s="1"/>
  <c r="G99" i="22"/>
  <c r="G124" i="22" s="1"/>
  <c r="H42" i="13" s="1"/>
  <c r="AA98" i="22"/>
  <c r="AA123" i="22" s="1"/>
  <c r="AB41" i="13" s="1"/>
  <c r="AG98" i="22"/>
  <c r="AG123" i="22" s="1"/>
  <c r="AH41" i="13" s="1"/>
  <c r="AF98" i="22"/>
  <c r="AF123" i="22" s="1"/>
  <c r="AG41" i="13" s="1"/>
  <c r="AE98" i="22"/>
  <c r="AE123" i="22" s="1"/>
  <c r="AF41" i="13" s="1"/>
  <c r="AG100" i="22"/>
  <c r="AG129" i="22" s="1"/>
  <c r="AH47" i="13" s="1"/>
  <c r="AA100" i="22"/>
  <c r="AA129" i="22" s="1"/>
  <c r="AB47" i="13" s="1"/>
  <c r="J100" i="22"/>
  <c r="J129" i="22" s="1"/>
  <c r="L99" i="22"/>
  <c r="L124" i="22" s="1"/>
  <c r="M42" i="13" s="1"/>
  <c r="O99" i="22"/>
  <c r="O124" i="22" s="1"/>
  <c r="R99" i="22"/>
  <c r="R124" i="22" s="1"/>
  <c r="S42" i="13" s="1"/>
  <c r="S100" i="22"/>
  <c r="S129" i="22" s="1"/>
  <c r="T47" i="13" s="1"/>
  <c r="Y100" i="22"/>
  <c r="Y129" i="22" s="1"/>
  <c r="X100" i="22"/>
  <c r="X129" i="22" s="1"/>
  <c r="Y47" i="13" s="1"/>
  <c r="W99" i="22"/>
  <c r="W124" i="22" s="1"/>
  <c r="X42" i="13" s="1"/>
  <c r="I100" i="22"/>
  <c r="I129" i="22" s="1"/>
  <c r="J47" i="13" s="1"/>
  <c r="K100" i="22"/>
  <c r="K129" i="22" s="1"/>
  <c r="L47" i="13" s="1"/>
  <c r="AD99" i="22"/>
  <c r="AD124" i="22" s="1"/>
  <c r="E99" i="22"/>
  <c r="E124" i="22" s="1"/>
  <c r="F42" i="13" s="1"/>
  <c r="AH99" i="22"/>
  <c r="AH124" i="22" s="1"/>
  <c r="AI42" i="13" s="1"/>
  <c r="S99" i="22"/>
  <c r="S124" i="22" s="1"/>
  <c r="T42" i="13" s="1"/>
  <c r="K98" i="22"/>
  <c r="K123" i="22" s="1"/>
  <c r="L41" i="13" s="1"/>
  <c r="Q100" i="22"/>
  <c r="Q129" i="22" s="1"/>
  <c r="R47" i="13" s="1"/>
  <c r="AE100" i="22"/>
  <c r="AE129" i="22" s="1"/>
  <c r="AF47" i="13" s="1"/>
  <c r="G98" i="22"/>
  <c r="G123" i="22" s="1"/>
  <c r="H41" i="13" s="1"/>
  <c r="AF100" i="22"/>
  <c r="AF129" i="22" s="1"/>
  <c r="AG47" i="13" s="1"/>
  <c r="AC100" i="22"/>
  <c r="AC129" i="22" s="1"/>
  <c r="AD47" i="13" s="1"/>
  <c r="V99" i="22"/>
  <c r="V124" i="22" s="1"/>
  <c r="W42" i="13" s="1"/>
  <c r="AG99" i="22"/>
  <c r="AG124" i="22" s="1"/>
  <c r="AH42" i="13" s="1"/>
  <c r="K99" i="22"/>
  <c r="K124" i="22" s="1"/>
  <c r="L42" i="13" s="1"/>
  <c r="N100" i="22"/>
  <c r="N129" i="22" s="1"/>
  <c r="O47" i="13" s="1"/>
  <c r="H100" i="22"/>
  <c r="H129" i="22" s="1"/>
  <c r="I47" i="13" s="1"/>
  <c r="F100" i="22"/>
  <c r="F129" i="22" s="1"/>
  <c r="G47" i="13" s="1"/>
  <c r="AH98" i="22"/>
  <c r="AH123" i="22" s="1"/>
  <c r="AI41" i="13" s="1"/>
  <c r="AC98" i="22"/>
  <c r="AC123" i="22" s="1"/>
  <c r="AD41" i="13" s="1"/>
  <c r="E100" i="22"/>
  <c r="E129" i="22" s="1"/>
  <c r="F47" i="13" s="1"/>
  <c r="AB98" i="22"/>
  <c r="AB123" i="22" s="1"/>
  <c r="AC41" i="13" s="1"/>
  <c r="O100" i="22"/>
  <c r="O129" i="22" s="1"/>
  <c r="Z100" i="22"/>
  <c r="Z129" i="22" s="1"/>
  <c r="AA47" i="13" s="1"/>
  <c r="AC99" i="22"/>
  <c r="AC124" i="22" s="1"/>
  <c r="AD42" i="13" s="1"/>
  <c r="I99" i="22"/>
  <c r="I124" i="22" s="1"/>
  <c r="J42" i="13" s="1"/>
  <c r="J99" i="22"/>
  <c r="J124" i="22" s="1"/>
  <c r="AF99" i="22"/>
  <c r="AF124" i="22" s="1"/>
  <c r="AG42" i="13" s="1"/>
  <c r="AE99" i="22"/>
  <c r="AE124" i="22" s="1"/>
  <c r="AF42" i="13" s="1"/>
  <c r="E91" i="23"/>
  <c r="AJ132" i="23"/>
  <c r="F126" i="23"/>
  <c r="F51" i="13" s="1"/>
  <c r="Z98" i="22"/>
  <c r="Z123" i="22" s="1"/>
  <c r="AA41" i="13" s="1"/>
  <c r="F144" i="22"/>
  <c r="AC102" i="22"/>
  <c r="AC126" i="22" s="1"/>
  <c r="AD44" i="13" s="1"/>
  <c r="AA102" i="22"/>
  <c r="AA126" i="22" s="1"/>
  <c r="AB44" i="13" s="1"/>
  <c r="S102" i="22"/>
  <c r="S126" i="22" s="1"/>
  <c r="T44" i="13" s="1"/>
  <c r="K103" i="22"/>
  <c r="K125" i="22" s="1"/>
  <c r="L43" i="13" s="1"/>
  <c r="S131" i="23"/>
  <c r="S56" i="13" s="1"/>
  <c r="N131" i="23"/>
  <c r="N56" i="13" s="1"/>
  <c r="AM131" i="23"/>
  <c r="Q131" i="23"/>
  <c r="Q56" i="13" s="1"/>
  <c r="G128" i="23"/>
  <c r="G53" i="13" s="1"/>
  <c r="AG128" i="23"/>
  <c r="AG53" i="13" s="1"/>
  <c r="S128" i="23"/>
  <c r="S53" i="13" s="1"/>
  <c r="M128" i="23"/>
  <c r="M53" i="13" s="1"/>
  <c r="AL128" i="23"/>
  <c r="O118" i="23"/>
  <c r="U105" i="23"/>
  <c r="AM105" i="23"/>
  <c r="I105" i="23"/>
  <c r="K105" i="23"/>
  <c r="AJ105" i="23"/>
  <c r="AC127" i="23"/>
  <c r="AC52" i="13" s="1"/>
  <c r="AL127" i="23"/>
  <c r="K127" i="23"/>
  <c r="K52" i="13" s="1"/>
  <c r="M124" i="23"/>
  <c r="M49" i="13" s="1"/>
  <c r="M92" i="23"/>
  <c r="O92" i="23"/>
  <c r="AF124" i="23"/>
  <c r="AF49" i="13" s="1"/>
  <c r="AF92" i="23"/>
  <c r="R124" i="23"/>
  <c r="R49" i="13" s="1"/>
  <c r="R92" i="23"/>
  <c r="L124" i="23"/>
  <c r="L49" i="13" s="1"/>
  <c r="L92" i="23"/>
  <c r="H126" i="23"/>
  <c r="H51" i="13" s="1"/>
  <c r="AB126" i="23"/>
  <c r="AB51" i="13" s="1"/>
  <c r="V126" i="23"/>
  <c r="V51" i="13" s="1"/>
  <c r="V129" i="23"/>
  <c r="V54" i="13" s="1"/>
  <c r="P129" i="23"/>
  <c r="P54" i="13" s="1"/>
  <c r="N129" i="23"/>
  <c r="N54" i="13" s="1"/>
  <c r="AI129" i="23"/>
  <c r="AI54" i="13" s="1"/>
  <c r="Y127" i="23"/>
  <c r="Y52" i="13" s="1"/>
  <c r="AA131" i="23"/>
  <c r="AA56" i="13" s="1"/>
  <c r="Q105" i="23"/>
  <c r="W124" i="23"/>
  <c r="W49" i="13" s="1"/>
  <c r="W92" i="23"/>
  <c r="AN124" i="23"/>
  <c r="AN92" i="23"/>
  <c r="T124" i="23"/>
  <c r="T49" i="13" s="1"/>
  <c r="T92" i="23"/>
  <c r="K126" i="23"/>
  <c r="K51" i="13" s="1"/>
  <c r="J129" i="23"/>
  <c r="J54" i="13" s="1"/>
  <c r="V132" i="23"/>
  <c r="V57" i="13" s="1"/>
  <c r="AH132" i="23"/>
  <c r="AH57" i="13" s="1"/>
  <c r="O132" i="23"/>
  <c r="O57" i="13" s="1"/>
  <c r="AI131" i="23"/>
  <c r="AI56" i="13" s="1"/>
  <c r="AD131" i="23"/>
  <c r="AD56" i="13" s="1"/>
  <c r="H131" i="23"/>
  <c r="H56" i="13" s="1"/>
  <c r="AG131" i="23"/>
  <c r="AG56" i="13" s="1"/>
  <c r="W128" i="23"/>
  <c r="W53" i="13" s="1"/>
  <c r="J128" i="23"/>
  <c r="J53" i="13" s="1"/>
  <c r="AI128" i="23"/>
  <c r="AI53" i="13" s="1"/>
  <c r="AC128" i="23"/>
  <c r="AC53" i="13" s="1"/>
  <c r="AE118" i="23"/>
  <c r="L118" i="23"/>
  <c r="AF118" i="23"/>
  <c r="AK105" i="23"/>
  <c r="H105" i="23"/>
  <c r="Y105" i="23"/>
  <c r="AA105" i="23"/>
  <c r="N127" i="23"/>
  <c r="N52" i="13" s="1"/>
  <c r="P127" i="23"/>
  <c r="P52" i="13" s="1"/>
  <c r="AA127" i="23"/>
  <c r="AA52" i="13" s="1"/>
  <c r="AC124" i="23"/>
  <c r="AC49" i="13" s="1"/>
  <c r="AC92" i="23"/>
  <c r="AC93" i="23" s="1"/>
  <c r="AE124" i="23"/>
  <c r="AE49" i="13" s="1"/>
  <c r="V124" i="23"/>
  <c r="V49" i="13" s="1"/>
  <c r="V92" i="23"/>
  <c r="AH124" i="23"/>
  <c r="AH49" i="13" s="1"/>
  <c r="AH92" i="23"/>
  <c r="AB124" i="23"/>
  <c r="AB49" i="13" s="1"/>
  <c r="AB92" i="23"/>
  <c r="P126" i="23"/>
  <c r="P51" i="13" s="1"/>
  <c r="S126" i="23"/>
  <c r="S51" i="13" s="1"/>
  <c r="M126" i="23"/>
  <c r="M51" i="13" s="1"/>
  <c r="AL126" i="23"/>
  <c r="AF129" i="23"/>
  <c r="AF54" i="13" s="1"/>
  <c r="R129" i="23"/>
  <c r="R54" i="13" s="1"/>
  <c r="AL129" i="23"/>
  <c r="Y132" i="23"/>
  <c r="Y57" i="13" s="1"/>
  <c r="M131" i="23"/>
  <c r="M56" i="13" s="1"/>
  <c r="AL131" i="23"/>
  <c r="P131" i="23"/>
  <c r="P56" i="13" s="1"/>
  <c r="T131" i="23"/>
  <c r="T56" i="13" s="1"/>
  <c r="AE128" i="23"/>
  <c r="AE53" i="13" s="1"/>
  <c r="R128" i="23"/>
  <c r="R53" i="13" s="1"/>
  <c r="H128" i="23"/>
  <c r="H53" i="13" s="1"/>
  <c r="AK128" i="23"/>
  <c r="AI118" i="23"/>
  <c r="T118" i="23"/>
  <c r="N118" i="23"/>
  <c r="AN118" i="23"/>
  <c r="V105" i="23"/>
  <c r="AG105" i="23"/>
  <c r="AI105" i="23"/>
  <c r="G127" i="23"/>
  <c r="G52" i="13" s="1"/>
  <c r="X127" i="23"/>
  <c r="X52" i="13" s="1"/>
  <c r="J127" i="23"/>
  <c r="J52" i="13" s="1"/>
  <c r="AI127" i="23"/>
  <c r="AI52" i="13" s="1"/>
  <c r="AK124" i="23"/>
  <c r="AK92" i="23"/>
  <c r="AM124" i="23"/>
  <c r="AM92" i="23"/>
  <c r="I124" i="23"/>
  <c r="I49" i="13" s="1"/>
  <c r="I92" i="23"/>
  <c r="AD124" i="23"/>
  <c r="AD49" i="13" s="1"/>
  <c r="AD92" i="23"/>
  <c r="AJ124" i="23"/>
  <c r="AJ92" i="23"/>
  <c r="W126" i="23"/>
  <c r="W51" i="13" s="1"/>
  <c r="J126" i="23"/>
  <c r="J51" i="13" s="1"/>
  <c r="AA126" i="23"/>
  <c r="AA51" i="13" s="1"/>
  <c r="U126" i="23"/>
  <c r="U51" i="13" s="1"/>
  <c r="W129" i="23"/>
  <c r="W54" i="13" s="1"/>
  <c r="AN129" i="23"/>
  <c r="Z129" i="23"/>
  <c r="Z54" i="13" s="1"/>
  <c r="L129" i="23"/>
  <c r="L54" i="13" s="1"/>
  <c r="H132" i="23"/>
  <c r="H57" i="13" s="1"/>
  <c r="AE101" i="22"/>
  <c r="F101" i="22"/>
  <c r="T101" i="22"/>
  <c r="R101" i="22"/>
  <c r="H101" i="22"/>
  <c r="L101" i="22"/>
  <c r="J101" i="22"/>
  <c r="P101" i="22"/>
  <c r="AA101" i="22"/>
  <c r="M101" i="22"/>
  <c r="K101" i="22"/>
  <c r="AH101" i="22"/>
  <c r="AB101" i="22"/>
  <c r="W101" i="22"/>
  <c r="X101" i="22"/>
  <c r="AD101" i="22"/>
  <c r="AF101" i="22"/>
  <c r="O101" i="22"/>
  <c r="AC101" i="22"/>
  <c r="AG101" i="22"/>
  <c r="S101" i="22"/>
  <c r="I101" i="22"/>
  <c r="V101" i="22"/>
  <c r="G101" i="22"/>
  <c r="U101" i="22"/>
  <c r="Y101" i="22"/>
  <c r="Q101" i="22"/>
  <c r="E101" i="22"/>
  <c r="N101" i="22"/>
  <c r="Z101" i="22"/>
  <c r="O131" i="23"/>
  <c r="O56" i="13" s="1"/>
  <c r="U131" i="23"/>
  <c r="U56" i="13" s="1"/>
  <c r="G131" i="23"/>
  <c r="G56" i="13" s="1"/>
  <c r="X131" i="23"/>
  <c r="X56" i="13" s="1"/>
  <c r="J131" i="23"/>
  <c r="J56" i="13" s="1"/>
  <c r="AM128" i="23"/>
  <c r="Z128" i="23"/>
  <c r="Z53" i="13" s="1"/>
  <c r="L128" i="23"/>
  <c r="L53" i="13" s="1"/>
  <c r="AF128" i="23"/>
  <c r="AF53" i="13" s="1"/>
  <c r="G118" i="23"/>
  <c r="AB118" i="23"/>
  <c r="V118" i="23"/>
  <c r="I118" i="23"/>
  <c r="G105" i="23"/>
  <c r="X105" i="23"/>
  <c r="J105" i="23"/>
  <c r="N105" i="23"/>
  <c r="AF127" i="23"/>
  <c r="AF52" i="13" s="1"/>
  <c r="R127" i="23"/>
  <c r="R52" i="13" s="1"/>
  <c r="L127" i="23"/>
  <c r="L52" i="13" s="1"/>
  <c r="F92" i="23"/>
  <c r="N124" i="23"/>
  <c r="N49" i="13" s="1"/>
  <c r="N92" i="23"/>
  <c r="Q124" i="23"/>
  <c r="Q49" i="13" s="1"/>
  <c r="Q92" i="23"/>
  <c r="K124" i="23"/>
  <c r="K49" i="13" s="1"/>
  <c r="AE126" i="23"/>
  <c r="AE51" i="13" s="1"/>
  <c r="R126" i="23"/>
  <c r="R51" i="13" s="1"/>
  <c r="AI126" i="23"/>
  <c r="AI51" i="13" s="1"/>
  <c r="AC126" i="23"/>
  <c r="AC51" i="13" s="1"/>
  <c r="M129" i="23"/>
  <c r="M54" i="13" s="1"/>
  <c r="AE129" i="23"/>
  <c r="AE54" i="13" s="1"/>
  <c r="I129" i="23"/>
  <c r="I54" i="13" s="1"/>
  <c r="AH129" i="23"/>
  <c r="AH54" i="13" s="1"/>
  <c r="T129" i="23"/>
  <c r="T54" i="13" s="1"/>
  <c r="O128" i="23"/>
  <c r="O53" i="13" s="1"/>
  <c r="AG132" i="23"/>
  <c r="AG57" i="13" s="1"/>
  <c r="Y131" i="23"/>
  <c r="Y56" i="13" s="1"/>
  <c r="AJ131" i="23"/>
  <c r="AC131" i="23"/>
  <c r="AC56" i="13" s="1"/>
  <c r="AF131" i="23"/>
  <c r="AF56" i="13" s="1"/>
  <c r="R131" i="23"/>
  <c r="R56" i="13" s="1"/>
  <c r="I128" i="23"/>
  <c r="I53" i="13" s="1"/>
  <c r="AH128" i="23"/>
  <c r="AH53" i="13" s="1"/>
  <c r="T128" i="23"/>
  <c r="T53" i="13" s="1"/>
  <c r="N128" i="23"/>
  <c r="N53" i="13" s="1"/>
  <c r="K118" i="23"/>
  <c r="AM118" i="23"/>
  <c r="AJ118" i="23"/>
  <c r="AD118" i="23"/>
  <c r="Q118" i="23"/>
  <c r="O105" i="23"/>
  <c r="AF105" i="23"/>
  <c r="R105" i="23"/>
  <c r="L105" i="23"/>
  <c r="AD127" i="23"/>
  <c r="AD52" i="13" s="1"/>
  <c r="W127" i="23"/>
  <c r="W52" i="13" s="1"/>
  <c r="AN127" i="23"/>
  <c r="Z127" i="23"/>
  <c r="Z52" i="13" s="1"/>
  <c r="T127" i="23"/>
  <c r="T52" i="13" s="1"/>
  <c r="AL124" i="23"/>
  <c r="AL92" i="23"/>
  <c r="H124" i="23"/>
  <c r="H49" i="13" s="1"/>
  <c r="H92" i="23"/>
  <c r="H93" i="23" s="1"/>
  <c r="Y92" i="23"/>
  <c r="S124" i="23"/>
  <c r="S49" i="13" s="1"/>
  <c r="S92" i="23"/>
  <c r="S93" i="23" s="1"/>
  <c r="Y124" i="23"/>
  <c r="Y49" i="13" s="1"/>
  <c r="Y80" i="23"/>
  <c r="AM126" i="23"/>
  <c r="Z126" i="23"/>
  <c r="Z51" i="13" s="1"/>
  <c r="X126" i="23"/>
  <c r="X51" i="13" s="1"/>
  <c r="AK126" i="23"/>
  <c r="U129" i="23"/>
  <c r="U54" i="13" s="1"/>
  <c r="AM129" i="23"/>
  <c r="Q129" i="23"/>
  <c r="Q54" i="13" s="1"/>
  <c r="K129" i="23"/>
  <c r="K54" i="13" s="1"/>
  <c r="AB129" i="23"/>
  <c r="AB54" i="13" s="1"/>
  <c r="Y126" i="23"/>
  <c r="Y51" i="13" s="1"/>
  <c r="E78" i="23"/>
  <c r="Y128" i="23"/>
  <c r="Y53" i="13" s="1"/>
  <c r="AB132" i="23"/>
  <c r="AB57" i="13" s="1"/>
  <c r="AK131" i="23"/>
  <c r="W131" i="23"/>
  <c r="W56" i="13" s="1"/>
  <c r="AN131" i="23"/>
  <c r="Z131" i="23"/>
  <c r="Z56" i="13" s="1"/>
  <c r="AN128" i="23"/>
  <c r="Q128" i="23"/>
  <c r="Q53" i="13" s="1"/>
  <c r="P128" i="23"/>
  <c r="P53" i="13" s="1"/>
  <c r="AB128" i="23"/>
  <c r="AB53" i="13" s="1"/>
  <c r="V128" i="23"/>
  <c r="V53" i="13" s="1"/>
  <c r="J118" i="23"/>
  <c r="M118" i="23"/>
  <c r="AL118" i="23"/>
  <c r="Y118" i="23"/>
  <c r="W105" i="23"/>
  <c r="AN105" i="23"/>
  <c r="T105" i="23"/>
  <c r="M127" i="23"/>
  <c r="M52" i="13" s="1"/>
  <c r="AE127" i="23"/>
  <c r="AE52" i="13" s="1"/>
  <c r="I127" i="23"/>
  <c r="I52" i="13" s="1"/>
  <c r="AH127" i="23"/>
  <c r="AH52" i="13" s="1"/>
  <c r="AB127" i="23"/>
  <c r="AB52" i="13" s="1"/>
  <c r="P124" i="23"/>
  <c r="AG124" i="23"/>
  <c r="AG49" i="13" s="1"/>
  <c r="AG92" i="23"/>
  <c r="AA124" i="23"/>
  <c r="AA49" i="13" s="1"/>
  <c r="AA92" i="23"/>
  <c r="O124" i="23"/>
  <c r="O49" i="13" s="1"/>
  <c r="O80" i="23"/>
  <c r="I126" i="23"/>
  <c r="I51" i="13" s="1"/>
  <c r="AH126" i="23"/>
  <c r="AH51" i="13" s="1"/>
  <c r="L126" i="23"/>
  <c r="L51" i="13" s="1"/>
  <c r="AN126" i="23"/>
  <c r="AC129" i="23"/>
  <c r="AC54" i="13" s="1"/>
  <c r="AD129" i="23"/>
  <c r="AD54" i="13" s="1"/>
  <c r="S129" i="23"/>
  <c r="S54" i="13" s="1"/>
  <c r="AJ129" i="23"/>
  <c r="O126" i="23"/>
  <c r="O51" i="13" s="1"/>
  <c r="K131" i="23"/>
  <c r="K56" i="13" s="1"/>
  <c r="AB131" i="23"/>
  <c r="AB56" i="13" s="1"/>
  <c r="AE131" i="23"/>
  <c r="AE56" i="13" s="1"/>
  <c r="I131" i="23"/>
  <c r="I56" i="13" s="1"/>
  <c r="AH131" i="23"/>
  <c r="AH56" i="13" s="1"/>
  <c r="K128" i="23"/>
  <c r="K53" i="13" s="1"/>
  <c r="AJ128" i="23"/>
  <c r="AD128" i="23"/>
  <c r="AD53" i="13" s="1"/>
  <c r="W118" i="23"/>
  <c r="R118" i="23"/>
  <c r="U118" i="23"/>
  <c r="AG118" i="23"/>
  <c r="M105" i="23"/>
  <c r="AE105" i="23"/>
  <c r="AL105" i="23"/>
  <c r="AH105" i="23"/>
  <c r="AB105" i="23"/>
  <c r="U127" i="23"/>
  <c r="U52" i="13" s="1"/>
  <c r="AM127" i="23"/>
  <c r="Q127" i="23"/>
  <c r="Q52" i="13" s="1"/>
  <c r="V127" i="23"/>
  <c r="V52" i="13" s="1"/>
  <c r="AJ127" i="23"/>
  <c r="G124" i="23"/>
  <c r="G49" i="13" s="1"/>
  <c r="G92" i="23"/>
  <c r="X124" i="23"/>
  <c r="X49" i="13" s="1"/>
  <c r="X92" i="23"/>
  <c r="J124" i="23"/>
  <c r="J49" i="13" s="1"/>
  <c r="J92" i="23"/>
  <c r="AI124" i="23"/>
  <c r="AI49" i="13" s="1"/>
  <c r="AI92" i="23"/>
  <c r="F124" i="23"/>
  <c r="F49" i="13" s="1"/>
  <c r="Q126" i="23"/>
  <c r="Q51" i="13" s="1"/>
  <c r="AF126" i="23"/>
  <c r="AF51" i="13" s="1"/>
  <c r="T126" i="23"/>
  <c r="T51" i="13" s="1"/>
  <c r="N126" i="23"/>
  <c r="N51" i="13" s="1"/>
  <c r="AK129" i="23"/>
  <c r="H129" i="23"/>
  <c r="H54" i="13" s="1"/>
  <c r="AG129" i="23"/>
  <c r="AG54" i="13" s="1"/>
  <c r="AA129" i="23"/>
  <c r="AA54" i="13" s="1"/>
  <c r="O127" i="23"/>
  <c r="O52" i="13" s="1"/>
  <c r="D84" i="22"/>
  <c r="D90" i="22"/>
  <c r="E45" i="13"/>
  <c r="E40" i="13"/>
  <c r="O26" i="34"/>
  <c r="K96" i="4"/>
  <c r="AF26" i="34"/>
  <c r="M105" i="4"/>
  <c r="AE26" i="34"/>
  <c r="L105" i="4"/>
  <c r="K26" i="34"/>
  <c r="G96" i="4"/>
  <c r="AG26" i="34"/>
  <c r="N105" i="4"/>
  <c r="V26" i="34"/>
  <c r="R96" i="4"/>
  <c r="AC26" i="34"/>
  <c r="J105" i="4"/>
  <c r="U26" i="34"/>
  <c r="Q96" i="4"/>
  <c r="Y26" i="34"/>
  <c r="F105" i="4"/>
  <c r="M26" i="34"/>
  <c r="I96" i="4"/>
  <c r="S26" i="34"/>
  <c r="O96" i="4"/>
  <c r="AJ26" i="34"/>
  <c r="Q105" i="4"/>
  <c r="AD26" i="34"/>
  <c r="K105" i="4"/>
  <c r="W26" i="34"/>
  <c r="D105" i="4"/>
  <c r="I26" i="34"/>
  <c r="E96" i="4"/>
  <c r="J26" i="34"/>
  <c r="F96" i="4"/>
  <c r="T26" i="34"/>
  <c r="P96" i="4"/>
  <c r="Q26" i="34"/>
  <c r="M96" i="4"/>
  <c r="P26" i="34"/>
  <c r="L96" i="4"/>
  <c r="Z26" i="34"/>
  <c r="G105" i="4"/>
  <c r="AB26" i="34"/>
  <c r="I105" i="4"/>
  <c r="N26" i="34"/>
  <c r="J96" i="4"/>
  <c r="X26" i="34"/>
  <c r="E105" i="4"/>
  <c r="AA26" i="34"/>
  <c r="H105" i="4"/>
  <c r="AH26" i="34"/>
  <c r="O105" i="4"/>
  <c r="L26" i="34"/>
  <c r="H96" i="4"/>
  <c r="AI26" i="34"/>
  <c r="P105" i="4"/>
  <c r="AK26" i="34"/>
  <c r="R105" i="4"/>
  <c r="R26" i="34"/>
  <c r="N96" i="4"/>
  <c r="I235" i="13"/>
  <c r="K39" i="34" s="1"/>
  <c r="F235" i="13"/>
  <c r="F94" i="13"/>
  <c r="E94" i="13" s="1"/>
  <c r="D127" i="22"/>
  <c r="D122" i="22"/>
  <c r="U26" i="32"/>
  <c r="U23" i="32" s="1"/>
  <c r="X26" i="32"/>
  <c r="X23" i="32" s="1"/>
  <c r="Q26" i="32"/>
  <c r="Q23" i="32" s="1"/>
  <c r="Z26" i="32"/>
  <c r="Z23" i="32" s="1"/>
  <c r="K26" i="32"/>
  <c r="K23" i="32" s="1"/>
  <c r="AJ26" i="32"/>
  <c r="AJ23" i="32" s="1"/>
  <c r="D62" i="65"/>
  <c r="AC26" i="32"/>
  <c r="AC23" i="32" s="1"/>
  <c r="AF26" i="32"/>
  <c r="AF23" i="32" s="1"/>
  <c r="Y26" i="32"/>
  <c r="Y23" i="32" s="1"/>
  <c r="AH26" i="32"/>
  <c r="AH23" i="32" s="1"/>
  <c r="S26" i="32"/>
  <c r="S23" i="32" s="1"/>
  <c r="H26" i="32"/>
  <c r="H23" i="32" s="1"/>
  <c r="E79" i="13"/>
  <c r="F78" i="13"/>
  <c r="D96" i="4" s="1"/>
  <c r="AG26" i="32"/>
  <c r="AG23" i="32" s="1"/>
  <c r="AA26" i="32"/>
  <c r="AA23" i="32" s="1"/>
  <c r="G31" i="32"/>
  <c r="G30" i="32"/>
  <c r="N26" i="32"/>
  <c r="N23" i="32" s="1"/>
  <c r="AI26" i="32"/>
  <c r="AI23" i="32" s="1"/>
  <c r="V26" i="32"/>
  <c r="V23" i="32" s="1"/>
  <c r="O26" i="32"/>
  <c r="O23" i="32" s="1"/>
  <c r="AD26" i="32"/>
  <c r="AD23" i="32" s="1"/>
  <c r="W26" i="32"/>
  <c r="W23" i="32" s="1"/>
  <c r="L26" i="32"/>
  <c r="L23" i="32" s="1"/>
  <c r="AE26" i="32"/>
  <c r="AE23" i="32" s="1"/>
  <c r="J26" i="32"/>
  <c r="J23" i="32" s="1"/>
  <c r="T26" i="32"/>
  <c r="T23" i="32" s="1"/>
  <c r="M26" i="32"/>
  <c r="M23" i="32" s="1"/>
  <c r="P26" i="32"/>
  <c r="P23" i="32" s="1"/>
  <c r="I26" i="32"/>
  <c r="R26" i="32"/>
  <c r="R23" i="32" s="1"/>
  <c r="AB26" i="32"/>
  <c r="AB23" i="32" s="1"/>
  <c r="E55" i="24"/>
  <c r="E115" i="63"/>
  <c r="F166" i="29"/>
  <c r="E191" i="13"/>
  <c r="E67" i="13"/>
  <c r="E192" i="13"/>
  <c r="E194" i="13"/>
  <c r="E188" i="13"/>
  <c r="E186" i="13"/>
  <c r="E189" i="13"/>
  <c r="E190" i="13"/>
  <c r="E77" i="13"/>
  <c r="E204" i="13"/>
  <c r="E196" i="13"/>
  <c r="E198" i="13"/>
  <c r="E200" i="13"/>
  <c r="E197" i="13"/>
  <c r="E201" i="13"/>
  <c r="E202" i="13"/>
  <c r="E187" i="13"/>
  <c r="E193" i="13"/>
  <c r="E199" i="13"/>
  <c r="E203" i="13"/>
  <c r="Z55" i="13"/>
  <c r="E109" i="23"/>
  <c r="E111" i="23"/>
  <c r="E112" i="23"/>
  <c r="P61" i="28"/>
  <c r="P118" i="23"/>
  <c r="E110" i="23"/>
  <c r="E114" i="23"/>
  <c r="E113" i="23"/>
  <c r="Z118" i="23"/>
  <c r="E100" i="23"/>
  <c r="E96" i="23"/>
  <c r="E101" i="23"/>
  <c r="E98" i="23"/>
  <c r="E97" i="23"/>
  <c r="E99" i="23"/>
  <c r="Z105" i="23"/>
  <c r="P105" i="23"/>
  <c r="W61" i="28"/>
  <c r="X61" i="28"/>
  <c r="R61" i="28"/>
  <c r="AI74" i="28"/>
  <c r="L61" i="28"/>
  <c r="Z74" i="28"/>
  <c r="AE61" i="28"/>
  <c r="T61" i="28"/>
  <c r="J39" i="13"/>
  <c r="AE74" i="28"/>
  <c r="S39" i="13"/>
  <c r="V74" i="28"/>
  <c r="Q61" i="28"/>
  <c r="Q74" i="28"/>
  <c r="AF61" i="28"/>
  <c r="X74" i="28"/>
  <c r="AF74" i="28"/>
  <c r="N74" i="28"/>
  <c r="U74" i="28"/>
  <c r="Y74" i="28"/>
  <c r="K74" i="28"/>
  <c r="I74" i="28"/>
  <c r="AC74" i="28"/>
  <c r="U61" i="28"/>
  <c r="J74" i="28"/>
  <c r="AH74" i="28"/>
  <c r="L74" i="28"/>
  <c r="M74" i="28"/>
  <c r="H74" i="28"/>
  <c r="V61" i="28"/>
  <c r="AA74" i="28"/>
  <c r="Y61" i="28"/>
  <c r="E72" i="28"/>
  <c r="AB74" i="28"/>
  <c r="W74" i="28"/>
  <c r="AG74" i="28"/>
  <c r="Z61" i="28"/>
  <c r="J61" i="28"/>
  <c r="T74" i="28"/>
  <c r="R74" i="28"/>
  <c r="G74" i="28"/>
  <c r="H61" i="28"/>
  <c r="S74" i="28"/>
  <c r="E68" i="28"/>
  <c r="AD74" i="28"/>
  <c r="E67" i="28"/>
  <c r="O74" i="28"/>
  <c r="E71" i="28"/>
  <c r="E73" i="28"/>
  <c r="P74" i="28"/>
  <c r="O61" i="28"/>
  <c r="I61" i="28"/>
  <c r="N61" i="28"/>
  <c r="AG61" i="28"/>
  <c r="S61" i="28"/>
  <c r="K61" i="28"/>
  <c r="AD61" i="28"/>
  <c r="M61" i="28"/>
  <c r="AB61" i="28"/>
  <c r="G61" i="28"/>
  <c r="AH61" i="28"/>
  <c r="AI61" i="28"/>
  <c r="AA61" i="28"/>
  <c r="AC61" i="28"/>
  <c r="E43" i="27"/>
  <c r="E85" i="23"/>
  <c r="D71" i="25"/>
  <c r="E88" i="23"/>
  <c r="E87" i="23"/>
  <c r="E69" i="13"/>
  <c r="E59" i="13"/>
  <c r="F39" i="13"/>
  <c r="E56" i="38"/>
  <c r="E125" i="13"/>
  <c r="E115" i="13"/>
  <c r="E64" i="39"/>
  <c r="P55" i="13"/>
  <c r="E236" i="13"/>
  <c r="E65" i="28"/>
  <c r="E24" i="13"/>
  <c r="E84" i="23"/>
  <c r="D40" i="40"/>
  <c r="E48" i="28"/>
  <c r="E86" i="23"/>
  <c r="E135" i="13"/>
  <c r="AN61" i="26"/>
  <c r="E52" i="26"/>
  <c r="E61" i="26" s="1"/>
  <c r="AC51" i="34"/>
  <c r="AC58" i="34" s="1"/>
  <c r="O93" i="23" l="1"/>
  <c r="AB38" i="13"/>
  <c r="K101" i="4" s="1"/>
  <c r="E80" i="23"/>
  <c r="N104" i="22"/>
  <c r="AA130" i="22"/>
  <c r="G130" i="22"/>
  <c r="M38" i="13"/>
  <c r="K92" i="4" s="1"/>
  <c r="Q104" i="22"/>
  <c r="N130" i="22"/>
  <c r="Z130" i="22"/>
  <c r="E43" i="13"/>
  <c r="F130" i="22"/>
  <c r="W104" i="22"/>
  <c r="AG130" i="22"/>
  <c r="O39" i="13"/>
  <c r="O38" i="13" s="1"/>
  <c r="M92" i="4" s="1"/>
  <c r="D125" i="22"/>
  <c r="AC106" i="23"/>
  <c r="S106" i="23"/>
  <c r="H38" i="13"/>
  <c r="F92" i="4" s="1"/>
  <c r="P130" i="22"/>
  <c r="L130" i="22"/>
  <c r="Y104" i="22"/>
  <c r="D100" i="22"/>
  <c r="D103" i="22"/>
  <c r="O104" i="22"/>
  <c r="J104" i="22"/>
  <c r="AB130" i="22"/>
  <c r="S38" i="13"/>
  <c r="Q92" i="4" s="1"/>
  <c r="H130" i="22"/>
  <c r="AC38" i="13"/>
  <c r="L101" i="4" s="1"/>
  <c r="F119" i="23"/>
  <c r="R130" i="22"/>
  <c r="I130" i="22"/>
  <c r="AC104" i="22"/>
  <c r="Z104" i="22"/>
  <c r="E130" i="22"/>
  <c r="AE130" i="22"/>
  <c r="U104" i="22"/>
  <c r="D123" i="22"/>
  <c r="AF130" i="22"/>
  <c r="H104" i="22"/>
  <c r="AH130" i="22"/>
  <c r="D102" i="22"/>
  <c r="L104" i="22"/>
  <c r="AB104" i="22"/>
  <c r="R104" i="22"/>
  <c r="N133" i="23"/>
  <c r="AH133" i="23"/>
  <c r="AF104" i="22"/>
  <c r="AA104" i="22"/>
  <c r="S48" i="13"/>
  <c r="AD104" i="22"/>
  <c r="P104" i="22"/>
  <c r="I104" i="22"/>
  <c r="AJ133" i="23"/>
  <c r="D96" i="22"/>
  <c r="AF38" i="13"/>
  <c r="O101" i="4" s="1"/>
  <c r="V130" i="22"/>
  <c r="S133" i="23"/>
  <c r="D98" i="22"/>
  <c r="X130" i="22"/>
  <c r="W38" i="13"/>
  <c r="F101" i="4" s="1"/>
  <c r="AI48" i="13"/>
  <c r="AK23" i="34" s="1"/>
  <c r="E104" i="22"/>
  <c r="AG104" i="22"/>
  <c r="AH104" i="22"/>
  <c r="Y38" i="13"/>
  <c r="H101" i="4" s="1"/>
  <c r="D126" i="22"/>
  <c r="K104" i="22"/>
  <c r="T104" i="22"/>
  <c r="D95" i="22"/>
  <c r="AH38" i="13"/>
  <c r="Q101" i="4" s="1"/>
  <c r="AD48" i="13"/>
  <c r="M102" i="4" s="1"/>
  <c r="M104" i="22"/>
  <c r="J48" i="13"/>
  <c r="L23" i="34" s="1"/>
  <c r="S104" i="22"/>
  <c r="F104" i="22"/>
  <c r="I48" i="13"/>
  <c r="K23" i="34" s="1"/>
  <c r="AE104" i="22"/>
  <c r="S130" i="22"/>
  <c r="AI38" i="13"/>
  <c r="R101" i="4" s="1"/>
  <c r="AG38" i="13"/>
  <c r="P101" i="4" s="1"/>
  <c r="V133" i="23"/>
  <c r="D128" i="22"/>
  <c r="X48" i="13"/>
  <c r="Z23" i="34" s="1"/>
  <c r="G104" i="22"/>
  <c r="D99" i="22"/>
  <c r="AA38" i="13"/>
  <c r="J101" i="4" s="1"/>
  <c r="T38" i="13"/>
  <c r="R92" i="4" s="1"/>
  <c r="V48" i="13"/>
  <c r="X23" i="34" s="1"/>
  <c r="E44" i="13"/>
  <c r="D124" i="22"/>
  <c r="H106" i="23"/>
  <c r="V104" i="22"/>
  <c r="X104" i="22"/>
  <c r="AA48" i="13"/>
  <c r="J102" i="4" s="1"/>
  <c r="AG48" i="13"/>
  <c r="AI23" i="34" s="1"/>
  <c r="AB48" i="13"/>
  <c r="AB88" i="13" s="1"/>
  <c r="L48" i="13"/>
  <c r="N23" i="34" s="1"/>
  <c r="AN133" i="23"/>
  <c r="AH48" i="13"/>
  <c r="AJ23" i="34" s="1"/>
  <c r="L133" i="23"/>
  <c r="O133" i="23"/>
  <c r="AA133" i="23"/>
  <c r="AI133" i="23"/>
  <c r="S119" i="23"/>
  <c r="O48" i="13"/>
  <c r="Q23" i="34" s="1"/>
  <c r="O106" i="23"/>
  <c r="AB133" i="23"/>
  <c r="W133" i="23"/>
  <c r="AF48" i="13"/>
  <c r="AH23" i="34" s="1"/>
  <c r="Y133" i="23"/>
  <c r="X133" i="23"/>
  <c r="AK133" i="23"/>
  <c r="Y93" i="23"/>
  <c r="Y106" i="23" s="1"/>
  <c r="AL133" i="23"/>
  <c r="N48" i="13"/>
  <c r="P23" i="34" s="1"/>
  <c r="AM133" i="23"/>
  <c r="AD133" i="23"/>
  <c r="AF133" i="23"/>
  <c r="AA119" i="23"/>
  <c r="AA93" i="23"/>
  <c r="AA106" i="23" s="1"/>
  <c r="J133" i="23"/>
  <c r="I93" i="23"/>
  <c r="I106" i="23" s="1"/>
  <c r="I119" i="23"/>
  <c r="O119" i="23"/>
  <c r="X119" i="23"/>
  <c r="X93" i="23"/>
  <c r="X106" i="23" s="1"/>
  <c r="AG119" i="23"/>
  <c r="AG93" i="23"/>
  <c r="AG106" i="23" s="1"/>
  <c r="M119" i="23"/>
  <c r="M93" i="23"/>
  <c r="M106" i="23" s="1"/>
  <c r="AM119" i="23"/>
  <c r="AM93" i="23"/>
  <c r="AM106" i="23" s="1"/>
  <c r="AB119" i="23"/>
  <c r="AB93" i="23"/>
  <c r="AB106" i="23" s="1"/>
  <c r="T119" i="23"/>
  <c r="T93" i="23"/>
  <c r="T106" i="23" s="1"/>
  <c r="L119" i="23"/>
  <c r="L93" i="23"/>
  <c r="L106" i="23" s="1"/>
  <c r="J119" i="23"/>
  <c r="J93" i="23"/>
  <c r="J106" i="23" s="1"/>
  <c r="E129" i="23"/>
  <c r="T133" i="23"/>
  <c r="Y48" i="13"/>
  <c r="AA23" i="34" s="1"/>
  <c r="Q133" i="23"/>
  <c r="AG133" i="23"/>
  <c r="G119" i="23"/>
  <c r="G93" i="23"/>
  <c r="G106" i="23" s="1"/>
  <c r="Y119" i="23"/>
  <c r="M133" i="23"/>
  <c r="T48" i="13"/>
  <c r="R93" i="4" s="1"/>
  <c r="G133" i="23"/>
  <c r="AC133" i="23"/>
  <c r="Q48" i="13"/>
  <c r="S23" i="34" s="1"/>
  <c r="H133" i="23"/>
  <c r="Q119" i="23"/>
  <c r="Q93" i="23"/>
  <c r="Q106" i="23" s="1"/>
  <c r="AJ119" i="23"/>
  <c r="AJ93" i="23"/>
  <c r="AJ106" i="23" s="1"/>
  <c r="AK119" i="23"/>
  <c r="AK93" i="23"/>
  <c r="AK106" i="23" s="1"/>
  <c r="AH119" i="23"/>
  <c r="AH93" i="23"/>
  <c r="AH106" i="23" s="1"/>
  <c r="AN119" i="23"/>
  <c r="AN93" i="23"/>
  <c r="AN106" i="23" s="1"/>
  <c r="R119" i="23"/>
  <c r="R93" i="23"/>
  <c r="R106" i="23" s="1"/>
  <c r="W48" i="13"/>
  <c r="Y23" i="34" s="1"/>
  <c r="M48" i="13"/>
  <c r="O23" i="34" s="1"/>
  <c r="G48" i="13"/>
  <c r="I23" i="34" s="1"/>
  <c r="AC48" i="13"/>
  <c r="L102" i="4" s="1"/>
  <c r="R133" i="23"/>
  <c r="H48" i="13"/>
  <c r="J23" i="34" s="1"/>
  <c r="AI119" i="23"/>
  <c r="AI93" i="23"/>
  <c r="AI106" i="23" s="1"/>
  <c r="AC119" i="23"/>
  <c r="D101" i="22"/>
  <c r="R48" i="13"/>
  <c r="T23" i="34" s="1"/>
  <c r="I133" i="23"/>
  <c r="AL119" i="23"/>
  <c r="AL93" i="23"/>
  <c r="AL106" i="23" s="1"/>
  <c r="N119" i="23"/>
  <c r="N93" i="23"/>
  <c r="N106" i="23" s="1"/>
  <c r="AD119" i="23"/>
  <c r="AD93" i="23"/>
  <c r="AD106" i="23" s="1"/>
  <c r="V119" i="23"/>
  <c r="V93" i="23"/>
  <c r="V106" i="23" s="1"/>
  <c r="W119" i="23"/>
  <c r="W93" i="23"/>
  <c r="W106" i="23" s="1"/>
  <c r="AF119" i="23"/>
  <c r="AF93" i="23"/>
  <c r="AF106" i="23" s="1"/>
  <c r="H119" i="23"/>
  <c r="E235" i="13"/>
  <c r="E289" i="13" s="1"/>
  <c r="H39" i="34"/>
  <c r="H30" i="34"/>
  <c r="D24" i="4"/>
  <c r="D44" i="4" s="1"/>
  <c r="D60" i="4"/>
  <c r="J38" i="13"/>
  <c r="H92" i="4" s="1"/>
  <c r="I38" i="13"/>
  <c r="K22" i="34" s="1"/>
  <c r="Q38" i="13"/>
  <c r="G38" i="13"/>
  <c r="E92" i="4" s="1"/>
  <c r="F48" i="13"/>
  <c r="D93" i="4" s="1"/>
  <c r="Z30" i="32"/>
  <c r="Z31" i="32"/>
  <c r="P31" i="32"/>
  <c r="P30" i="32"/>
  <c r="T30" i="32"/>
  <c r="T31" i="32"/>
  <c r="W30" i="32"/>
  <c r="W31" i="32"/>
  <c r="AI31" i="32"/>
  <c r="AI30" i="32"/>
  <c r="AG30" i="32"/>
  <c r="AG31" i="32"/>
  <c r="S30" i="32"/>
  <c r="S31" i="32"/>
  <c r="AC31" i="32"/>
  <c r="AC30" i="32"/>
  <c r="Q30" i="32"/>
  <c r="Q31" i="32"/>
  <c r="AB31" i="32"/>
  <c r="AB30" i="32"/>
  <c r="M31" i="32"/>
  <c r="M30" i="32"/>
  <c r="J31" i="32"/>
  <c r="J30" i="32"/>
  <c r="AD31" i="32"/>
  <c r="AD30" i="32"/>
  <c r="N30" i="32"/>
  <c r="N31" i="32"/>
  <c r="AH31" i="32"/>
  <c r="AH30" i="32"/>
  <c r="AJ30" i="32"/>
  <c r="AJ31" i="32"/>
  <c r="X30" i="32"/>
  <c r="X31" i="32"/>
  <c r="R31" i="32"/>
  <c r="R30" i="32"/>
  <c r="AE31" i="32"/>
  <c r="AE30" i="32"/>
  <c r="O31" i="32"/>
  <c r="O30" i="32"/>
  <c r="E78" i="13"/>
  <c r="E288" i="13" s="1"/>
  <c r="H26" i="34"/>
  <c r="Y31" i="32"/>
  <c r="Y30" i="32"/>
  <c r="K31" i="32"/>
  <c r="K30" i="32"/>
  <c r="U30" i="32"/>
  <c r="U31" i="32"/>
  <c r="L30" i="32"/>
  <c r="L31" i="32"/>
  <c r="V31" i="32"/>
  <c r="V30" i="32"/>
  <c r="AA31" i="32"/>
  <c r="AA30" i="32"/>
  <c r="H31" i="32"/>
  <c r="H30" i="32"/>
  <c r="AF30" i="32"/>
  <c r="AF31" i="32"/>
  <c r="F38" i="13"/>
  <c r="E74" i="28"/>
  <c r="AD22" i="34"/>
  <c r="G176" i="29"/>
  <c r="D111" i="22"/>
  <c r="N117" i="22"/>
  <c r="D115" i="22"/>
  <c r="J117" i="22"/>
  <c r="D112" i="22"/>
  <c r="AG117" i="22"/>
  <c r="AE117" i="22"/>
  <c r="AA117" i="22"/>
  <c r="Y117" i="22"/>
  <c r="AH117" i="22"/>
  <c r="D110" i="22"/>
  <c r="E117" i="22"/>
  <c r="Q117" i="22"/>
  <c r="P117" i="22"/>
  <c r="T117" i="22"/>
  <c r="O117" i="22"/>
  <c r="AF117" i="22"/>
  <c r="V117" i="22"/>
  <c r="D116" i="22"/>
  <c r="U117" i="22"/>
  <c r="Z117" i="22"/>
  <c r="S117" i="22"/>
  <c r="X117" i="22"/>
  <c r="F117" i="22"/>
  <c r="D114" i="22"/>
  <c r="L117" i="22"/>
  <c r="AD117" i="22"/>
  <c r="H117" i="22"/>
  <c r="M117" i="22"/>
  <c r="AB117" i="22"/>
  <c r="K117" i="22"/>
  <c r="W117" i="22"/>
  <c r="G117" i="22"/>
  <c r="D113" i="22"/>
  <c r="AC117" i="22"/>
  <c r="I117" i="22"/>
  <c r="R117" i="22"/>
  <c r="K41" i="13"/>
  <c r="P47" i="13"/>
  <c r="Z41" i="13"/>
  <c r="P46" i="13"/>
  <c r="E46" i="13" s="1"/>
  <c r="AE42" i="13"/>
  <c r="K42" i="13"/>
  <c r="U41" i="13"/>
  <c r="AE47" i="13"/>
  <c r="P42" i="13"/>
  <c r="U47" i="13"/>
  <c r="U42" i="13"/>
  <c r="Z42" i="13"/>
  <c r="K47" i="13"/>
  <c r="Z47" i="13"/>
  <c r="AE41" i="13"/>
  <c r="P41" i="13"/>
  <c r="E169" i="13"/>
  <c r="E130" i="23"/>
  <c r="E131" i="23"/>
  <c r="E118" i="23"/>
  <c r="E126" i="23"/>
  <c r="F133" i="23"/>
  <c r="E127" i="23"/>
  <c r="E105" i="23"/>
  <c r="E125" i="23"/>
  <c r="E54" i="13"/>
  <c r="E109" i="13"/>
  <c r="E53" i="13"/>
  <c r="E110" i="13"/>
  <c r="E128" i="23"/>
  <c r="V41" i="13"/>
  <c r="V38" i="13" s="1"/>
  <c r="E101" i="4" s="1"/>
  <c r="U130" i="22"/>
  <c r="N41" i="13"/>
  <c r="N38" i="13" s="1"/>
  <c r="L92" i="4" s="1"/>
  <c r="M130" i="22"/>
  <c r="X39" i="13"/>
  <c r="X38" i="13" s="1"/>
  <c r="G101" i="4" s="1"/>
  <c r="W130" i="22"/>
  <c r="L39" i="13"/>
  <c r="L38" i="13" s="1"/>
  <c r="J92" i="4" s="1"/>
  <c r="K130" i="22"/>
  <c r="R39" i="13"/>
  <c r="R38" i="13" s="1"/>
  <c r="P92" i="4" s="1"/>
  <c r="Q130" i="22"/>
  <c r="AD39" i="13"/>
  <c r="AD38" i="13" s="1"/>
  <c r="M101" i="4" s="1"/>
  <c r="AC130" i="22"/>
  <c r="D129" i="22"/>
  <c r="E55" i="13"/>
  <c r="E106" i="13"/>
  <c r="E52" i="13"/>
  <c r="U39" i="13"/>
  <c r="T130" i="22"/>
  <c r="E56" i="13"/>
  <c r="E51" i="13"/>
  <c r="O130" i="22"/>
  <c r="P39" i="13"/>
  <c r="Y130" i="22"/>
  <c r="Z39" i="13"/>
  <c r="AE39" i="13"/>
  <c r="AD130" i="22"/>
  <c r="D121" i="22"/>
  <c r="K39" i="13"/>
  <c r="J130" i="22"/>
  <c r="D18" i="4" l="1"/>
  <c r="D74" i="4"/>
  <c r="O22" i="34"/>
  <c r="AE22" i="34"/>
  <c r="L106" i="4"/>
  <c r="AJ22" i="34"/>
  <c r="J106" i="4"/>
  <c r="AC22" i="34"/>
  <c r="AH22" i="34"/>
  <c r="AH20" i="34" s="1"/>
  <c r="AE71" i="34" s="1"/>
  <c r="AD23" i="34"/>
  <c r="AD20" i="34" s="1"/>
  <c r="AA71" i="34" s="1"/>
  <c r="S88" i="13"/>
  <c r="R68" i="48" s="1"/>
  <c r="V22" i="34"/>
  <c r="AF23" i="34"/>
  <c r="U22" i="34"/>
  <c r="AC23" i="34"/>
  <c r="AA22" i="34"/>
  <c r="AA20" i="34" s="1"/>
  <c r="X71" i="34" s="1"/>
  <c r="M88" i="13"/>
  <c r="L33" i="15" s="1"/>
  <c r="K102" i="4"/>
  <c r="K106" i="4" s="1"/>
  <c r="E102" i="4"/>
  <c r="E106" i="4" s="1"/>
  <c r="AI22" i="34"/>
  <c r="AI20" i="34" s="1"/>
  <c r="AF71" i="34" s="1"/>
  <c r="Q22" i="34"/>
  <c r="Q20" i="34" s="1"/>
  <c r="N71" i="34" s="1"/>
  <c r="Q93" i="4"/>
  <c r="Q97" i="4" s="1"/>
  <c r="AA88" i="13"/>
  <c r="Z68" i="48" s="1"/>
  <c r="P102" i="4"/>
  <c r="P106" i="4" s="1"/>
  <c r="AG88" i="13"/>
  <c r="AF33" i="15" s="1"/>
  <c r="J22" i="34"/>
  <c r="J20" i="34" s="1"/>
  <c r="G71" i="34" s="1"/>
  <c r="U23" i="34"/>
  <c r="AK22" i="34"/>
  <c r="AK20" i="34" s="1"/>
  <c r="AH71" i="34" s="1"/>
  <c r="H93" i="4"/>
  <c r="H97" i="4" s="1"/>
  <c r="J93" i="4"/>
  <c r="J97" i="4" s="1"/>
  <c r="AH88" i="13"/>
  <c r="AG33" i="15" s="1"/>
  <c r="F93" i="4"/>
  <c r="F97" i="4" s="1"/>
  <c r="Q102" i="4"/>
  <c r="Q106" i="4" s="1"/>
  <c r="G102" i="4"/>
  <c r="G106" i="4" s="1"/>
  <c r="D104" i="22"/>
  <c r="G93" i="4"/>
  <c r="H88" i="13"/>
  <c r="I14" i="49" s="1"/>
  <c r="I13" i="49" s="1"/>
  <c r="Y22" i="34"/>
  <c r="Y20" i="34" s="1"/>
  <c r="V71" i="34" s="1"/>
  <c r="R102" i="4"/>
  <c r="R106" i="4" s="1"/>
  <c r="AI88" i="13"/>
  <c r="AJ14" i="49" s="1"/>
  <c r="AJ13" i="49" s="1"/>
  <c r="R97" i="4"/>
  <c r="AF88" i="13"/>
  <c r="AE33" i="15" s="1"/>
  <c r="L93" i="4"/>
  <c r="L97" i="4" s="1"/>
  <c r="T88" i="13"/>
  <c r="U14" i="49" s="1"/>
  <c r="U13" i="49" s="1"/>
  <c r="O102" i="4"/>
  <c r="O106" i="4" s="1"/>
  <c r="AC88" i="13"/>
  <c r="AB68" i="48" s="1"/>
  <c r="AE23" i="34"/>
  <c r="H102" i="4"/>
  <c r="H106" i="4" s="1"/>
  <c r="Y88" i="13"/>
  <c r="Z14" i="49" s="1"/>
  <c r="Z13" i="49" s="1"/>
  <c r="V23" i="34"/>
  <c r="F102" i="4"/>
  <c r="F106" i="4" s="1"/>
  <c r="W88" i="13"/>
  <c r="V68" i="48" s="1"/>
  <c r="D38" i="4"/>
  <c r="D51" i="4" s="1"/>
  <c r="O88" i="13"/>
  <c r="O11" i="47" s="1"/>
  <c r="O16" i="47" s="1"/>
  <c r="M93" i="4"/>
  <c r="M97" i="4" s="1"/>
  <c r="O93" i="4"/>
  <c r="K93" i="4"/>
  <c r="K97" i="4" s="1"/>
  <c r="E93" i="4"/>
  <c r="E97" i="4" s="1"/>
  <c r="P93" i="4"/>
  <c r="P97" i="4" s="1"/>
  <c r="O20" i="34"/>
  <c r="L71" i="34" s="1"/>
  <c r="D92" i="4"/>
  <c r="D97" i="4" s="1"/>
  <c r="F88" i="13"/>
  <c r="E68" i="48" s="1"/>
  <c r="K20" i="34"/>
  <c r="H71" i="34" s="1"/>
  <c r="AJ20" i="34"/>
  <c r="AG71" i="34" s="1"/>
  <c r="M106" i="4"/>
  <c r="H23" i="34"/>
  <c r="L22" i="34"/>
  <c r="L20" i="34" s="1"/>
  <c r="I71" i="34" s="1"/>
  <c r="J88" i="13"/>
  <c r="J11" i="47" s="1"/>
  <c r="J16" i="47" s="1"/>
  <c r="I22" i="34"/>
  <c r="I20" i="34" s="1"/>
  <c r="F71" i="34" s="1"/>
  <c r="G88" i="13"/>
  <c r="G11" i="47" s="1"/>
  <c r="G16" i="47" s="1"/>
  <c r="Q88" i="13"/>
  <c r="Q11" i="47" s="1"/>
  <c r="Q16" i="47" s="1"/>
  <c r="O92" i="4"/>
  <c r="I88" i="13"/>
  <c r="I11" i="47" s="1"/>
  <c r="I16" i="47" s="1"/>
  <c r="G92" i="4"/>
  <c r="S22" i="34"/>
  <c r="S20" i="34" s="1"/>
  <c r="P71" i="34" s="1"/>
  <c r="D130" i="22"/>
  <c r="P38" i="13"/>
  <c r="K38" i="13"/>
  <c r="AE38" i="13"/>
  <c r="V88" i="13"/>
  <c r="X22" i="34"/>
  <c r="X20" i="34" s="1"/>
  <c r="U71" i="34" s="1"/>
  <c r="N88" i="13"/>
  <c r="P22" i="34"/>
  <c r="P20" i="34" s="1"/>
  <c r="M71" i="34" s="1"/>
  <c r="AD88" i="13"/>
  <c r="AF22" i="34"/>
  <c r="Z38" i="13"/>
  <c r="U38" i="13"/>
  <c r="R88" i="13"/>
  <c r="T22" i="34"/>
  <c r="T20" i="34" s="1"/>
  <c r="Q71" i="34" s="1"/>
  <c r="X88" i="13"/>
  <c r="Z22" i="34"/>
  <c r="Z20" i="34" s="1"/>
  <c r="W71" i="34" s="1"/>
  <c r="L88" i="13"/>
  <c r="N22" i="34"/>
  <c r="N20" i="34" s="1"/>
  <c r="K71" i="34" s="1"/>
  <c r="AA68" i="48"/>
  <c r="AA33" i="15"/>
  <c r="AC14" i="49"/>
  <c r="AC13" i="49" s="1"/>
  <c r="AB11" i="47"/>
  <c r="AB16" i="47" s="1"/>
  <c r="H22" i="34"/>
  <c r="D117" i="22"/>
  <c r="E42" i="13"/>
  <c r="E47" i="13"/>
  <c r="E171" i="13"/>
  <c r="E166" i="13"/>
  <c r="E174" i="13"/>
  <c r="E173" i="13"/>
  <c r="E167" i="13"/>
  <c r="E168" i="13"/>
  <c r="E165" i="13"/>
  <c r="E170" i="13"/>
  <c r="E112" i="13"/>
  <c r="E111" i="13"/>
  <c r="E41" i="13"/>
  <c r="E107" i="13"/>
  <c r="E50" i="13"/>
  <c r="E108" i="13"/>
  <c r="E39" i="13"/>
  <c r="AD51" i="34"/>
  <c r="AD58" i="34" s="1"/>
  <c r="AB33" i="15" l="1"/>
  <c r="AH14" i="49"/>
  <c r="AH13" i="49" s="1"/>
  <c r="AG11" i="47"/>
  <c r="AG16" i="47" s="1"/>
  <c r="X33" i="15"/>
  <c r="AE20" i="34"/>
  <c r="AB71" i="34" s="1"/>
  <c r="Y11" i="47"/>
  <c r="Y16" i="47" s="1"/>
  <c r="X68" i="48"/>
  <c r="X74" i="48" s="1"/>
  <c r="AF68" i="48"/>
  <c r="AF74" i="48" s="1"/>
  <c r="L68" i="48"/>
  <c r="L69" i="48" s="1"/>
  <c r="M11" i="47"/>
  <c r="M16" i="47" s="1"/>
  <c r="N14" i="49"/>
  <c r="N13" i="49" s="1"/>
  <c r="V20" i="34"/>
  <c r="S71" i="34" s="1"/>
  <c r="AF20" i="34"/>
  <c r="AC71" i="34" s="1"/>
  <c r="R33" i="15"/>
  <c r="AC20" i="34"/>
  <c r="Z71" i="34" s="1"/>
  <c r="T14" i="49"/>
  <c r="T13" i="49" s="1"/>
  <c r="S11" i="47"/>
  <c r="S16" i="47" s="1"/>
  <c r="AA11" i="47"/>
  <c r="AA16" i="47" s="1"/>
  <c r="AI14" i="49"/>
  <c r="AI13" i="49" s="1"/>
  <c r="AG14" i="49"/>
  <c r="AG13" i="49" s="1"/>
  <c r="Z33" i="15"/>
  <c r="AE68" i="48"/>
  <c r="AE74" i="48" s="1"/>
  <c r="AB14" i="49"/>
  <c r="AB13" i="49" s="1"/>
  <c r="AF11" i="47"/>
  <c r="AF16" i="47" s="1"/>
  <c r="AG68" i="48"/>
  <c r="AG69" i="48" s="1"/>
  <c r="AH11" i="47"/>
  <c r="AH16" i="47" s="1"/>
  <c r="U20" i="34"/>
  <c r="R71" i="34" s="1"/>
  <c r="O97" i="4"/>
  <c r="AH33" i="15"/>
  <c r="G68" i="48"/>
  <c r="G69" i="48" s="1"/>
  <c r="AI11" i="47"/>
  <c r="AI16" i="47" s="1"/>
  <c r="AH68" i="48"/>
  <c r="AH69" i="48" s="1"/>
  <c r="H11" i="47"/>
  <c r="H16" i="47" s="1"/>
  <c r="G33" i="15"/>
  <c r="G97" i="4"/>
  <c r="S68" i="48"/>
  <c r="S69" i="48" s="1"/>
  <c r="S33" i="15"/>
  <c r="T11" i="47"/>
  <c r="T16" i="47" s="1"/>
  <c r="AD14" i="49"/>
  <c r="AD13" i="49" s="1"/>
  <c r="AC11" i="47"/>
  <c r="AC16" i="47" s="1"/>
  <c r="N68" i="48"/>
  <c r="N69" i="48" s="1"/>
  <c r="W11" i="47"/>
  <c r="W16" i="47" s="1"/>
  <c r="V33" i="15"/>
  <c r="X14" i="49"/>
  <c r="X13" i="49" s="1"/>
  <c r="P14" i="49"/>
  <c r="P13" i="49" s="1"/>
  <c r="N33" i="15"/>
  <c r="H20" i="34"/>
  <c r="E71" i="34" s="1"/>
  <c r="P33" i="15"/>
  <c r="R14" i="49"/>
  <c r="R13" i="49" s="1"/>
  <c r="P68" i="48"/>
  <c r="P69" i="48" s="1"/>
  <c r="D67" i="4"/>
  <c r="D31" i="4"/>
  <c r="J14" i="49"/>
  <c r="J13" i="49" s="1"/>
  <c r="I68" i="48"/>
  <c r="I69" i="48" s="1"/>
  <c r="H14" i="49"/>
  <c r="H13" i="49" s="1"/>
  <c r="F68" i="48"/>
  <c r="F69" i="48" s="1"/>
  <c r="I33" i="15"/>
  <c r="K14" i="49"/>
  <c r="K13" i="49" s="1"/>
  <c r="F33" i="15"/>
  <c r="H68" i="48"/>
  <c r="H74" i="48" s="1"/>
  <c r="H33" i="15"/>
  <c r="G14" i="49"/>
  <c r="G13" i="49" s="1"/>
  <c r="G7" i="49" s="1"/>
  <c r="G7" i="53"/>
  <c r="F11" i="47"/>
  <c r="F16" i="47" s="1"/>
  <c r="G6" i="53"/>
  <c r="G33" i="53" s="1"/>
  <c r="E33" i="15"/>
  <c r="W22" i="34"/>
  <c r="D101" i="4"/>
  <c r="AB22" i="34"/>
  <c r="I101" i="4"/>
  <c r="AG22" i="34"/>
  <c r="N101" i="4"/>
  <c r="M22" i="34"/>
  <c r="I92" i="4"/>
  <c r="R22" i="34"/>
  <c r="N92" i="4"/>
  <c r="E38" i="13"/>
  <c r="E283" i="13" s="1"/>
  <c r="W68" i="48"/>
  <c r="Y14" i="49"/>
  <c r="Y13" i="49" s="1"/>
  <c r="W33" i="15"/>
  <c r="X11" i="47"/>
  <c r="X16" i="47" s="1"/>
  <c r="AB74" i="48"/>
  <c r="AB69" i="48"/>
  <c r="AD11" i="47"/>
  <c r="AD16" i="47" s="1"/>
  <c r="AC33" i="15"/>
  <c r="AE14" i="49"/>
  <c r="AE13" i="49" s="1"/>
  <c r="AC68" i="48"/>
  <c r="V69" i="48"/>
  <c r="V74" i="48"/>
  <c r="R74" i="48"/>
  <c r="R69" i="48"/>
  <c r="M33" i="15"/>
  <c r="M68" i="48"/>
  <c r="N11" i="47"/>
  <c r="N16" i="47" s="1"/>
  <c r="O14" i="49"/>
  <c r="O13" i="49" s="1"/>
  <c r="AA69" i="48"/>
  <c r="AA74" i="48"/>
  <c r="R11" i="47"/>
  <c r="R16" i="47" s="1"/>
  <c r="S14" i="49"/>
  <c r="S13" i="49" s="1"/>
  <c r="Q33" i="15"/>
  <c r="Q68" i="48"/>
  <c r="Z74" i="48"/>
  <c r="Z69" i="48"/>
  <c r="K33" i="15"/>
  <c r="L11" i="47"/>
  <c r="L16" i="47" s="1"/>
  <c r="M14" i="49"/>
  <c r="M13" i="49" s="1"/>
  <c r="K68" i="48"/>
  <c r="V11" i="47"/>
  <c r="V16" i="47" s="1"/>
  <c r="U33" i="15"/>
  <c r="W14" i="49"/>
  <c r="W13" i="49" s="1"/>
  <c r="U68" i="48"/>
  <c r="E69" i="48"/>
  <c r="E74" i="48"/>
  <c r="AE51" i="34"/>
  <c r="AE58" i="34" s="1"/>
  <c r="BD220" i="53" l="1"/>
  <c r="AF69" i="48"/>
  <c r="X69" i="48"/>
  <c r="G74" i="48"/>
  <c r="L74" i="48"/>
  <c r="AG74" i="48"/>
  <c r="S74" i="48"/>
  <c r="AE69" i="48"/>
  <c r="AH74" i="48"/>
  <c r="N74" i="48"/>
  <c r="P74" i="48"/>
  <c r="I74" i="48"/>
  <c r="F74" i="48"/>
  <c r="H69" i="48"/>
  <c r="F12" i="47"/>
  <c r="G12" i="47" s="1"/>
  <c r="BD247" i="53"/>
  <c r="BD216" i="53"/>
  <c r="BD267" i="53"/>
  <c r="BD213" i="53"/>
  <c r="H70" i="53"/>
  <c r="I70" i="53" s="1"/>
  <c r="AV227" i="53" s="1"/>
  <c r="BD202" i="53"/>
  <c r="BD329" i="53"/>
  <c r="BD375" i="53"/>
  <c r="BD356" i="53"/>
  <c r="BD254" i="53"/>
  <c r="BD265" i="53"/>
  <c r="BD311" i="53"/>
  <c r="BD292" i="53"/>
  <c r="BD201" i="53"/>
  <c r="BD275" i="53"/>
  <c r="BD283" i="53"/>
  <c r="H59" i="53"/>
  <c r="I59" i="53" s="1"/>
  <c r="BD344" i="53"/>
  <c r="BD203" i="53"/>
  <c r="BD228" i="53"/>
  <c r="BD330" i="53"/>
  <c r="BD266" i="53"/>
  <c r="BD280" i="53"/>
  <c r="BD318" i="53"/>
  <c r="H55" i="53"/>
  <c r="I55" i="53" s="1"/>
  <c r="J55" i="53" s="1"/>
  <c r="H26" i="53" s="1"/>
  <c r="F45" i="15" s="1"/>
  <c r="G15" i="49"/>
  <c r="H15" i="49" s="1"/>
  <c r="I15" i="49" s="1"/>
  <c r="J15" i="49" s="1"/>
  <c r="K15" i="49" s="1"/>
  <c r="BD373" i="53"/>
  <c r="BD378" i="53"/>
  <c r="BD314" i="53"/>
  <c r="BD250" i="53"/>
  <c r="H60" i="53"/>
  <c r="I60" i="53" s="1"/>
  <c r="H172" i="53" s="1"/>
  <c r="BD377" i="53"/>
  <c r="BD313" i="53"/>
  <c r="BD249" i="53"/>
  <c r="H61" i="53"/>
  <c r="I61" i="53" s="1"/>
  <c r="L218" i="53" s="1"/>
  <c r="BD211" i="53"/>
  <c r="BD328" i="53"/>
  <c r="BD264" i="53"/>
  <c r="BD200" i="53"/>
  <c r="H62" i="53"/>
  <c r="I62" i="53" s="1"/>
  <c r="BD359" i="53"/>
  <c r="BD295" i="53"/>
  <c r="BD231" i="53"/>
  <c r="BD309" i="53"/>
  <c r="BD366" i="53"/>
  <c r="BD302" i="53"/>
  <c r="BD238" i="53"/>
  <c r="BD365" i="53"/>
  <c r="BD340" i="53"/>
  <c r="BD276" i="53"/>
  <c r="BD212" i="53"/>
  <c r="BD325" i="53"/>
  <c r="BD370" i="53"/>
  <c r="BD306" i="53"/>
  <c r="BD242" i="53"/>
  <c r="BD333" i="53"/>
  <c r="BD369" i="53"/>
  <c r="BD305" i="53"/>
  <c r="BD241" i="53"/>
  <c r="BD341" i="53"/>
  <c r="H66" i="53"/>
  <c r="I66" i="53" s="1"/>
  <c r="BD320" i="53"/>
  <c r="BD256" i="53"/>
  <c r="H72" i="53"/>
  <c r="I72" i="53" s="1"/>
  <c r="BG198" i="53" s="1"/>
  <c r="BF199" i="53" s="1"/>
  <c r="BD371" i="53"/>
  <c r="BD351" i="53"/>
  <c r="BD287" i="53"/>
  <c r="BD223" i="53"/>
  <c r="BD261" i="53"/>
  <c r="BD358" i="53"/>
  <c r="BD294" i="53"/>
  <c r="BD230" i="53"/>
  <c r="BD317" i="53"/>
  <c r="BD332" i="53"/>
  <c r="BD268" i="53"/>
  <c r="BD204" i="53"/>
  <c r="BD285" i="53"/>
  <c r="BD362" i="53"/>
  <c r="BD298" i="53"/>
  <c r="BD234" i="53"/>
  <c r="BD277" i="53"/>
  <c r="BD361" i="53"/>
  <c r="BD297" i="53"/>
  <c r="BD233" i="53"/>
  <c r="BD293" i="53"/>
  <c r="BD376" i="53"/>
  <c r="BD312" i="53"/>
  <c r="BD248" i="53"/>
  <c r="H33" i="53"/>
  <c r="H36" i="53" s="1"/>
  <c r="F46" i="15" s="1"/>
  <c r="BD331" i="53"/>
  <c r="BD343" i="53"/>
  <c r="BD279" i="53"/>
  <c r="BD215" i="53"/>
  <c r="BD205" i="53"/>
  <c r="BD350" i="53"/>
  <c r="BD286" i="53"/>
  <c r="BD222" i="53"/>
  <c r="BD269" i="53"/>
  <c r="BD324" i="53"/>
  <c r="BD260" i="53"/>
  <c r="H71" i="53"/>
  <c r="I71" i="53" s="1"/>
  <c r="AZ203" i="53" s="1"/>
  <c r="BD237" i="53"/>
  <c r="BD354" i="53"/>
  <c r="BD290" i="53"/>
  <c r="BD226" i="53"/>
  <c r="BD221" i="53"/>
  <c r="BD353" i="53"/>
  <c r="BD289" i="53"/>
  <c r="BD225" i="53"/>
  <c r="BD245" i="53"/>
  <c r="BD368" i="53"/>
  <c r="BD304" i="53"/>
  <c r="BD240" i="53"/>
  <c r="BD349" i="53"/>
  <c r="BD291" i="53"/>
  <c r="BD335" i="53"/>
  <c r="BD271" i="53"/>
  <c r="BD207" i="53"/>
  <c r="BD339" i="53"/>
  <c r="BD342" i="53"/>
  <c r="BD278" i="53"/>
  <c r="BD214" i="53"/>
  <c r="BD229" i="53"/>
  <c r="BD316" i="53"/>
  <c r="BD252" i="53"/>
  <c r="H63" i="53"/>
  <c r="I63" i="53" s="1"/>
  <c r="T224" i="53" s="1"/>
  <c r="BD355" i="53"/>
  <c r="BD346" i="53"/>
  <c r="BD282" i="53"/>
  <c r="BD218" i="53"/>
  <c r="BD347" i="53"/>
  <c r="BD345" i="53"/>
  <c r="BD281" i="53"/>
  <c r="BD217" i="53"/>
  <c r="BD363" i="53"/>
  <c r="BD360" i="53"/>
  <c r="BD296" i="53"/>
  <c r="BD232" i="53"/>
  <c r="BD301" i="53"/>
  <c r="BD251" i="53"/>
  <c r="BD327" i="53"/>
  <c r="BD263" i="53"/>
  <c r="BD199" i="53"/>
  <c r="BD299" i="53"/>
  <c r="BD334" i="53"/>
  <c r="BD270" i="53"/>
  <c r="BD206" i="53"/>
  <c r="BD372" i="53"/>
  <c r="BD308" i="53"/>
  <c r="BD244" i="53"/>
  <c r="BD315" i="53"/>
  <c r="BD338" i="53"/>
  <c r="BD274" i="53"/>
  <c r="BD210" i="53"/>
  <c r="BD307" i="53"/>
  <c r="BD337" i="53"/>
  <c r="BD273" i="53"/>
  <c r="BD209" i="53"/>
  <c r="BD323" i="53"/>
  <c r="BD352" i="53"/>
  <c r="BD288" i="53"/>
  <c r="BD224" i="53"/>
  <c r="BD253" i="53"/>
  <c r="BD219" i="53"/>
  <c r="BD319" i="53"/>
  <c r="BD255" i="53"/>
  <c r="H64" i="53"/>
  <c r="I64" i="53" s="1"/>
  <c r="X233" i="53" s="1"/>
  <c r="BD259" i="53"/>
  <c r="BD326" i="53"/>
  <c r="BD262" i="53"/>
  <c r="H68" i="53"/>
  <c r="I68" i="53" s="1"/>
  <c r="AN199" i="53" s="1"/>
  <c r="BD364" i="53"/>
  <c r="BD300" i="53"/>
  <c r="BD236" i="53"/>
  <c r="BD235" i="53"/>
  <c r="BD322" i="53"/>
  <c r="BD258" i="53"/>
  <c r="H69" i="53"/>
  <c r="I69" i="53" s="1"/>
  <c r="AR251" i="53" s="1"/>
  <c r="BD227" i="53"/>
  <c r="BD321" i="53"/>
  <c r="BD257" i="53"/>
  <c r="H65" i="53"/>
  <c r="I65" i="53" s="1"/>
  <c r="AB235" i="53" s="1"/>
  <c r="BD243" i="53"/>
  <c r="BD336" i="53"/>
  <c r="BD272" i="53"/>
  <c r="BD208" i="53"/>
  <c r="H67" i="53"/>
  <c r="I67" i="53" s="1"/>
  <c r="AJ238" i="53" s="1"/>
  <c r="BD367" i="53"/>
  <c r="BD303" i="53"/>
  <c r="BD239" i="53"/>
  <c r="BD357" i="53"/>
  <c r="BD374" i="53"/>
  <c r="BD310" i="53"/>
  <c r="BD246" i="53"/>
  <c r="H73" i="53"/>
  <c r="I73" i="53" s="1"/>
  <c r="BH215" i="53" s="1"/>
  <c r="BD348" i="53"/>
  <c r="BD284" i="53"/>
  <c r="D14" i="4"/>
  <c r="H81" i="52"/>
  <c r="K74" i="48"/>
  <c r="K69" i="48"/>
  <c r="U74" i="48"/>
  <c r="U69" i="48"/>
  <c r="Q74" i="48"/>
  <c r="Q69" i="48"/>
  <c r="M74" i="48"/>
  <c r="M69" i="48"/>
  <c r="AC74" i="48"/>
  <c r="AC69" i="48"/>
  <c r="W74" i="48"/>
  <c r="W69" i="48"/>
  <c r="G36" i="53"/>
  <c r="E46" i="15" s="1"/>
  <c r="F17" i="47"/>
  <c r="F18" i="47" s="1"/>
  <c r="AF51" i="34"/>
  <c r="AF58" i="34" s="1"/>
  <c r="AV238" i="53" l="1"/>
  <c r="G18" i="53"/>
  <c r="F18" i="53" s="1"/>
  <c r="AN310" i="53"/>
  <c r="AN265" i="53"/>
  <c r="L313" i="53"/>
  <c r="L221" i="53"/>
  <c r="BH251" i="53"/>
  <c r="H25" i="53"/>
  <c r="AN315" i="53"/>
  <c r="AN234" i="53"/>
  <c r="BH363" i="53"/>
  <c r="BH263" i="53"/>
  <c r="L317" i="53"/>
  <c r="AJ317" i="53"/>
  <c r="AN304" i="53"/>
  <c r="BH338" i="53"/>
  <c r="L209" i="53"/>
  <c r="L300" i="53"/>
  <c r="AN246" i="53"/>
  <c r="AN328" i="53"/>
  <c r="AN285" i="53"/>
  <c r="AN224" i="53"/>
  <c r="BH326" i="53"/>
  <c r="BH234" i="53"/>
  <c r="L280" i="53"/>
  <c r="L204" i="53"/>
  <c r="AN205" i="53"/>
  <c r="AN247" i="53"/>
  <c r="BH214" i="53"/>
  <c r="BH321" i="53"/>
  <c r="L184" i="53"/>
  <c r="L275" i="53"/>
  <c r="AN319" i="53"/>
  <c r="AN318" i="53"/>
  <c r="AN252" i="53"/>
  <c r="BH301" i="53"/>
  <c r="BH217" i="53"/>
  <c r="L263" i="53"/>
  <c r="L338" i="53"/>
  <c r="AN317" i="53"/>
  <c r="AN267" i="53"/>
  <c r="BH380" i="53"/>
  <c r="BH288" i="53"/>
  <c r="L167" i="53"/>
  <c r="L242" i="53"/>
  <c r="AN337" i="53"/>
  <c r="AN316" i="53"/>
  <c r="AN187" i="53"/>
  <c r="BH284" i="53"/>
  <c r="BH367" i="53"/>
  <c r="L246" i="53"/>
  <c r="AN350" i="53"/>
  <c r="AN347" i="53"/>
  <c r="AN278" i="53"/>
  <c r="AN345" i="53"/>
  <c r="AN336" i="53"/>
  <c r="AN327" i="53"/>
  <c r="AN326" i="53"/>
  <c r="AN325" i="53"/>
  <c r="AN324" i="53"/>
  <c r="AN323" i="53"/>
  <c r="AN314" i="53"/>
  <c r="AN254" i="53"/>
  <c r="AN293" i="53"/>
  <c r="AN213" i="53"/>
  <c r="AN260" i="53"/>
  <c r="AN275" i="53"/>
  <c r="AN195" i="53"/>
  <c r="AN242" i="53"/>
  <c r="AN273" i="53"/>
  <c r="AN193" i="53"/>
  <c r="AN232" i="53"/>
  <c r="AN255" i="53"/>
  <c r="BH334" i="53"/>
  <c r="BH238" i="53"/>
  <c r="BH317" i="53"/>
  <c r="BH205" i="53"/>
  <c r="BH292" i="53"/>
  <c r="BH371" i="53"/>
  <c r="BH275" i="53"/>
  <c r="BH354" i="53"/>
  <c r="BH242" i="53"/>
  <c r="BH329" i="53"/>
  <c r="BH225" i="53"/>
  <c r="BH312" i="53"/>
  <c r="BH208" i="53"/>
  <c r="BH271" i="53"/>
  <c r="L321" i="53"/>
  <c r="L217" i="53"/>
  <c r="L304" i="53"/>
  <c r="L200" i="53"/>
  <c r="L271" i="53"/>
  <c r="L175" i="53"/>
  <c r="L254" i="53"/>
  <c r="L341" i="53"/>
  <c r="L237" i="53"/>
  <c r="L308" i="53"/>
  <c r="L212" i="53"/>
  <c r="L283" i="53"/>
  <c r="L187" i="53"/>
  <c r="L258" i="53"/>
  <c r="AJ246" i="53"/>
  <c r="AN329" i="53"/>
  <c r="AN320" i="53"/>
  <c r="AN311" i="53"/>
  <c r="AN309" i="53"/>
  <c r="AN307" i="53"/>
  <c r="AN299" i="53"/>
  <c r="AN362" i="53"/>
  <c r="AN302" i="53"/>
  <c r="AN238" i="53"/>
  <c r="AN277" i="53"/>
  <c r="AN197" i="53"/>
  <c r="AN228" i="53"/>
  <c r="AN259" i="53"/>
  <c r="AN306" i="53"/>
  <c r="AN210" i="53"/>
  <c r="AN257" i="53"/>
  <c r="AN296" i="53"/>
  <c r="AN200" i="53"/>
  <c r="AN239" i="53"/>
  <c r="BH310" i="53"/>
  <c r="BH206" i="53"/>
  <c r="BH293" i="53"/>
  <c r="BH372" i="53"/>
  <c r="BH260" i="53"/>
  <c r="BH347" i="53"/>
  <c r="BH243" i="53"/>
  <c r="BH330" i="53"/>
  <c r="BH226" i="53"/>
  <c r="BH297" i="53"/>
  <c r="BK201" i="53"/>
  <c r="BJ202" i="53" s="1"/>
  <c r="BH280" i="53"/>
  <c r="BH359" i="53"/>
  <c r="BH255" i="53"/>
  <c r="L289" i="53"/>
  <c r="L193" i="53"/>
  <c r="L272" i="53"/>
  <c r="L176" i="53"/>
  <c r="L255" i="53"/>
  <c r="L326" i="53"/>
  <c r="L230" i="53"/>
  <c r="L309" i="53"/>
  <c r="L213" i="53"/>
  <c r="L292" i="53"/>
  <c r="L180" i="53"/>
  <c r="L259" i="53"/>
  <c r="L330" i="53"/>
  <c r="L234" i="53"/>
  <c r="AJ253" i="53"/>
  <c r="AN321" i="53"/>
  <c r="AN312" i="53"/>
  <c r="AN366" i="53"/>
  <c r="AN365" i="53"/>
  <c r="AN364" i="53"/>
  <c r="AN363" i="53"/>
  <c r="AN354" i="53"/>
  <c r="AN294" i="53"/>
  <c r="AN230" i="53"/>
  <c r="AN269" i="53"/>
  <c r="AN189" i="53"/>
  <c r="AN220" i="53"/>
  <c r="AN251" i="53"/>
  <c r="AN298" i="53"/>
  <c r="AN202" i="53"/>
  <c r="AN249" i="53"/>
  <c r="AN288" i="53"/>
  <c r="AN192" i="53"/>
  <c r="AN231" i="53"/>
  <c r="BH302" i="53"/>
  <c r="BH381" i="53"/>
  <c r="BH269" i="53"/>
  <c r="BH356" i="53"/>
  <c r="BH252" i="53"/>
  <c r="BH339" i="53"/>
  <c r="BH235" i="53"/>
  <c r="BH306" i="53"/>
  <c r="BH210" i="53"/>
  <c r="BH289" i="53"/>
  <c r="BH376" i="53"/>
  <c r="BH272" i="53"/>
  <c r="BH335" i="53"/>
  <c r="BH239" i="53"/>
  <c r="L281" i="53"/>
  <c r="L185" i="53"/>
  <c r="L264" i="53"/>
  <c r="L335" i="53"/>
  <c r="L239" i="53"/>
  <c r="L318" i="53"/>
  <c r="L222" i="53"/>
  <c r="L301" i="53"/>
  <c r="L189" i="53"/>
  <c r="L276" i="53"/>
  <c r="L172" i="53"/>
  <c r="L251" i="53"/>
  <c r="L322" i="53"/>
  <c r="L210" i="53"/>
  <c r="AJ189" i="53"/>
  <c r="AN313" i="53"/>
  <c r="AN359" i="53"/>
  <c r="AN358" i="53"/>
  <c r="AN357" i="53"/>
  <c r="AN356" i="53"/>
  <c r="AN355" i="53"/>
  <c r="AN346" i="53"/>
  <c r="AN286" i="53"/>
  <c r="AN222" i="53"/>
  <c r="AN261" i="53"/>
  <c r="AN292" i="53"/>
  <c r="AN212" i="53"/>
  <c r="AN243" i="53"/>
  <c r="AN274" i="53"/>
  <c r="AN194" i="53"/>
  <c r="AN241" i="53"/>
  <c r="AN264" i="53"/>
  <c r="AN303" i="53"/>
  <c r="AN223" i="53"/>
  <c r="BH278" i="53"/>
  <c r="BH365" i="53"/>
  <c r="BH261" i="53"/>
  <c r="BH348" i="53"/>
  <c r="BH244" i="53"/>
  <c r="BH315" i="53"/>
  <c r="BH219" i="53"/>
  <c r="BH298" i="53"/>
  <c r="BH202" i="53"/>
  <c r="BH281" i="53"/>
  <c r="BH352" i="53"/>
  <c r="BH256" i="53"/>
  <c r="BH327" i="53"/>
  <c r="BH231" i="53"/>
  <c r="L273" i="53"/>
  <c r="L344" i="53"/>
  <c r="L248" i="53"/>
  <c r="L327" i="53"/>
  <c r="L231" i="53"/>
  <c r="L310" i="53"/>
  <c r="L198" i="53"/>
  <c r="L285" i="53"/>
  <c r="L181" i="53"/>
  <c r="L268" i="53"/>
  <c r="L339" i="53"/>
  <c r="L227" i="53"/>
  <c r="L306" i="53"/>
  <c r="L202" i="53"/>
  <c r="AJ291" i="53"/>
  <c r="AN253" i="53"/>
  <c r="AN284" i="53"/>
  <c r="AN204" i="53"/>
  <c r="AN235" i="53"/>
  <c r="AN266" i="53"/>
  <c r="AQ186" i="53"/>
  <c r="AP187" i="53" s="1"/>
  <c r="AN233" i="53"/>
  <c r="AN256" i="53"/>
  <c r="AN295" i="53"/>
  <c r="AN215" i="53"/>
  <c r="BH374" i="53"/>
  <c r="BH270" i="53"/>
  <c r="BH357" i="53"/>
  <c r="BH253" i="53"/>
  <c r="BH324" i="53"/>
  <c r="BH228" i="53"/>
  <c r="BH307" i="53"/>
  <c r="BH211" i="53"/>
  <c r="BH290" i="53"/>
  <c r="BH361" i="53"/>
  <c r="BH265" i="53"/>
  <c r="BH344" i="53"/>
  <c r="BH248" i="53"/>
  <c r="BH319" i="53"/>
  <c r="BH207" i="53"/>
  <c r="L257" i="53"/>
  <c r="L336" i="53"/>
  <c r="L240" i="53"/>
  <c r="L319" i="53"/>
  <c r="L207" i="53"/>
  <c r="L294" i="53"/>
  <c r="L190" i="53"/>
  <c r="L277" i="53"/>
  <c r="L173" i="53"/>
  <c r="L244" i="53"/>
  <c r="L323" i="53"/>
  <c r="L219" i="53"/>
  <c r="L298" i="53"/>
  <c r="L194" i="53"/>
  <c r="AJ209" i="53"/>
  <c r="AN360" i="53"/>
  <c r="AN349" i="53"/>
  <c r="AN338" i="53"/>
  <c r="AN361" i="53"/>
  <c r="AN352" i="53"/>
  <c r="AN343" i="53"/>
  <c r="AN342" i="53"/>
  <c r="AN341" i="53"/>
  <c r="AN340" i="53"/>
  <c r="AN339" i="53"/>
  <c r="AN330" i="53"/>
  <c r="AN270" i="53"/>
  <c r="AN206" i="53"/>
  <c r="AN229" i="53"/>
  <c r="AN276" i="53"/>
  <c r="AN196" i="53"/>
  <c r="AN211" i="53"/>
  <c r="AN258" i="53"/>
  <c r="AN305" i="53"/>
  <c r="AN209" i="53"/>
  <c r="AN248" i="53"/>
  <c r="AN287" i="53"/>
  <c r="AN191" i="53"/>
  <c r="BH366" i="53"/>
  <c r="BH262" i="53"/>
  <c r="BH333" i="53"/>
  <c r="BH237" i="53"/>
  <c r="BH316" i="53"/>
  <c r="BH220" i="53"/>
  <c r="BH299" i="53"/>
  <c r="BH370" i="53"/>
  <c r="BH274" i="53"/>
  <c r="BH353" i="53"/>
  <c r="BH257" i="53"/>
  <c r="BH336" i="53"/>
  <c r="BH224" i="53"/>
  <c r="BH303" i="53"/>
  <c r="L345" i="53"/>
  <c r="L249" i="53"/>
  <c r="L328" i="53"/>
  <c r="L216" i="53"/>
  <c r="L303" i="53"/>
  <c r="L199" i="53"/>
  <c r="L286" i="53"/>
  <c r="L182" i="53"/>
  <c r="L253" i="53"/>
  <c r="L340" i="53"/>
  <c r="L236" i="53"/>
  <c r="L315" i="53"/>
  <c r="L211" i="53"/>
  <c r="L274" i="53"/>
  <c r="L178" i="53"/>
  <c r="AJ328" i="53"/>
  <c r="AN351" i="53"/>
  <c r="AN348" i="53"/>
  <c r="AN214" i="53"/>
  <c r="AN353" i="53"/>
  <c r="AN344" i="53"/>
  <c r="AN335" i="53"/>
  <c r="AN334" i="53"/>
  <c r="AN333" i="53"/>
  <c r="AN332" i="53"/>
  <c r="AN331" i="53"/>
  <c r="AN322" i="53"/>
  <c r="AN262" i="53"/>
  <c r="AN198" i="53"/>
  <c r="AN221" i="53"/>
  <c r="AN268" i="53"/>
  <c r="AN188" i="53"/>
  <c r="AN203" i="53"/>
  <c r="AN250" i="53"/>
  <c r="AN297" i="53"/>
  <c r="AN201" i="53"/>
  <c r="AN240" i="53"/>
  <c r="AN279" i="53"/>
  <c r="BH342" i="53"/>
  <c r="BH246" i="53"/>
  <c r="BH325" i="53"/>
  <c r="BH229" i="53"/>
  <c r="BH308" i="53"/>
  <c r="BH379" i="53"/>
  <c r="BH283" i="53"/>
  <c r="BH362" i="53"/>
  <c r="BH266" i="53"/>
  <c r="BH345" i="53"/>
  <c r="BH233" i="53"/>
  <c r="BH320" i="53"/>
  <c r="BH216" i="53"/>
  <c r="BH295" i="53"/>
  <c r="L337" i="53"/>
  <c r="L225" i="53"/>
  <c r="L312" i="53"/>
  <c r="L208" i="53"/>
  <c r="L295" i="53"/>
  <c r="L191" i="53"/>
  <c r="L262" i="53"/>
  <c r="L166" i="53"/>
  <c r="L245" i="53"/>
  <c r="L332" i="53"/>
  <c r="L228" i="53"/>
  <c r="L291" i="53"/>
  <c r="L195" i="53"/>
  <c r="L266" i="53"/>
  <c r="L170" i="53"/>
  <c r="AJ200" i="53"/>
  <c r="AV349" i="53"/>
  <c r="AV267" i="53"/>
  <c r="AV203" i="53"/>
  <c r="AZ271" i="53"/>
  <c r="AZ320" i="53"/>
  <c r="AV209" i="53"/>
  <c r="AZ218" i="53"/>
  <c r="AV328" i="53"/>
  <c r="AZ225" i="53"/>
  <c r="AJ346" i="53"/>
  <c r="AV264" i="53"/>
  <c r="AV285" i="53"/>
  <c r="AZ324" i="53"/>
  <c r="AZ367" i="53"/>
  <c r="AZ240" i="53"/>
  <c r="AV346" i="53"/>
  <c r="AV200" i="53"/>
  <c r="AV221" i="53"/>
  <c r="AZ371" i="53"/>
  <c r="AZ303" i="53"/>
  <c r="AZ247" i="53"/>
  <c r="AV282" i="53"/>
  <c r="AV319" i="53"/>
  <c r="AV340" i="53"/>
  <c r="AZ307" i="53"/>
  <c r="AZ350" i="53"/>
  <c r="AZ254" i="53"/>
  <c r="AV218" i="53"/>
  <c r="AV255" i="53"/>
  <c r="AV276" i="53"/>
  <c r="AZ354" i="53"/>
  <c r="AZ286" i="53"/>
  <c r="AZ261" i="53"/>
  <c r="AV337" i="53"/>
  <c r="AV366" i="53"/>
  <c r="AV212" i="53"/>
  <c r="AZ290" i="53"/>
  <c r="AZ333" i="53"/>
  <c r="AZ197" i="53"/>
  <c r="AV273" i="53"/>
  <c r="AV302" i="53"/>
  <c r="AV331" i="53"/>
  <c r="AZ337" i="53"/>
  <c r="AZ259" i="53"/>
  <c r="AZ212" i="53"/>
  <c r="BH318" i="53"/>
  <c r="BH254" i="53"/>
  <c r="BH373" i="53"/>
  <c r="BH309" i="53"/>
  <c r="BH245" i="53"/>
  <c r="BH364" i="53"/>
  <c r="BH300" i="53"/>
  <c r="BH236" i="53"/>
  <c r="BH355" i="53"/>
  <c r="BH291" i="53"/>
  <c r="BH227" i="53"/>
  <c r="BH346" i="53"/>
  <c r="BH282" i="53"/>
  <c r="BH218" i="53"/>
  <c r="BH337" i="53"/>
  <c r="BH273" i="53"/>
  <c r="BH209" i="53"/>
  <c r="BH328" i="53"/>
  <c r="BH264" i="53"/>
  <c r="BH375" i="53"/>
  <c r="BH311" i="53"/>
  <c r="BH247" i="53"/>
  <c r="L329" i="53"/>
  <c r="L265" i="53"/>
  <c r="L201" i="53"/>
  <c r="L320" i="53"/>
  <c r="L256" i="53"/>
  <c r="L192" i="53"/>
  <c r="L311" i="53"/>
  <c r="L247" i="53"/>
  <c r="L183" i="53"/>
  <c r="L302" i="53"/>
  <c r="L238" i="53"/>
  <c r="L174" i="53"/>
  <c r="L293" i="53"/>
  <c r="L229" i="53"/>
  <c r="O165" i="53"/>
  <c r="N166" i="53" s="1"/>
  <c r="L284" i="53"/>
  <c r="L220" i="53"/>
  <c r="L331" i="53"/>
  <c r="L267" i="53"/>
  <c r="L203" i="53"/>
  <c r="L314" i="53"/>
  <c r="L250" i="53"/>
  <c r="L186" i="53"/>
  <c r="AJ355" i="53"/>
  <c r="AJ319" i="53"/>
  <c r="AN190" i="53"/>
  <c r="AN245" i="53"/>
  <c r="AN308" i="53"/>
  <c r="AN244" i="53"/>
  <c r="AN291" i="53"/>
  <c r="AN227" i="53"/>
  <c r="AN290" i="53"/>
  <c r="AN226" i="53"/>
  <c r="AN289" i="53"/>
  <c r="AN225" i="53"/>
  <c r="AN280" i="53"/>
  <c r="AN216" i="53"/>
  <c r="AN271" i="53"/>
  <c r="AN207" i="53"/>
  <c r="BH358" i="53"/>
  <c r="BH294" i="53"/>
  <c r="BH230" i="53"/>
  <c r="BH349" i="53"/>
  <c r="BH285" i="53"/>
  <c r="BH221" i="53"/>
  <c r="BH340" i="53"/>
  <c r="BH276" i="53"/>
  <c r="BH212" i="53"/>
  <c r="BH331" i="53"/>
  <c r="BH267" i="53"/>
  <c r="BH203" i="53"/>
  <c r="BH322" i="53"/>
  <c r="BH258" i="53"/>
  <c r="BH377" i="53"/>
  <c r="BH313" i="53"/>
  <c r="BH249" i="53"/>
  <c r="BH368" i="53"/>
  <c r="BH304" i="53"/>
  <c r="BH240" i="53"/>
  <c r="BH351" i="53"/>
  <c r="BH287" i="53"/>
  <c r="BH223" i="53"/>
  <c r="L305" i="53"/>
  <c r="L241" i="53"/>
  <c r="L177" i="53"/>
  <c r="L296" i="53"/>
  <c r="L232" i="53"/>
  <c r="L168" i="53"/>
  <c r="L287" i="53"/>
  <c r="L223" i="53"/>
  <c r="L342" i="53"/>
  <c r="L278" i="53"/>
  <c r="L214" i="53"/>
  <c r="L333" i="53"/>
  <c r="L269" i="53"/>
  <c r="L205" i="53"/>
  <c r="L324" i="53"/>
  <c r="L260" i="53"/>
  <c r="L196" i="53"/>
  <c r="L307" i="53"/>
  <c r="L243" i="53"/>
  <c r="L179" i="53"/>
  <c r="L290" i="53"/>
  <c r="L226" i="53"/>
  <c r="AJ282" i="53"/>
  <c r="AN301" i="53"/>
  <c r="AN237" i="53"/>
  <c r="AN300" i="53"/>
  <c r="AN236" i="53"/>
  <c r="AN283" i="53"/>
  <c r="AN219" i="53"/>
  <c r="AN282" i="53"/>
  <c r="AN218" i="53"/>
  <c r="AN281" i="53"/>
  <c r="AN217" i="53"/>
  <c r="AN272" i="53"/>
  <c r="AN208" i="53"/>
  <c r="AN263" i="53"/>
  <c r="BH350" i="53"/>
  <c r="BH286" i="53"/>
  <c r="BH222" i="53"/>
  <c r="BH341" i="53"/>
  <c r="BH277" i="53"/>
  <c r="BH213" i="53"/>
  <c r="BH332" i="53"/>
  <c r="BH268" i="53"/>
  <c r="BH204" i="53"/>
  <c r="BH323" i="53"/>
  <c r="BH259" i="53"/>
  <c r="BH378" i="53"/>
  <c r="BH314" i="53"/>
  <c r="BH250" i="53"/>
  <c r="BH369" i="53"/>
  <c r="BH305" i="53"/>
  <c r="BH241" i="53"/>
  <c r="BH360" i="53"/>
  <c r="BH296" i="53"/>
  <c r="BH232" i="53"/>
  <c r="BH343" i="53"/>
  <c r="BH279" i="53"/>
  <c r="L297" i="53"/>
  <c r="L233" i="53"/>
  <c r="L169" i="53"/>
  <c r="L288" i="53"/>
  <c r="L224" i="53"/>
  <c r="L343" i="53"/>
  <c r="L279" i="53"/>
  <c r="L215" i="53"/>
  <c r="L334" i="53"/>
  <c r="L270" i="53"/>
  <c r="L206" i="53"/>
  <c r="L325" i="53"/>
  <c r="L261" i="53"/>
  <c r="L197" i="53"/>
  <c r="L316" i="53"/>
  <c r="L252" i="53"/>
  <c r="L188" i="53"/>
  <c r="L299" i="53"/>
  <c r="L235" i="53"/>
  <c r="L171" i="53"/>
  <c r="L282" i="53"/>
  <c r="AJ218" i="53"/>
  <c r="T178" i="53"/>
  <c r="T272" i="53"/>
  <c r="AB297" i="53"/>
  <c r="AB224" i="53"/>
  <c r="AB318" i="53"/>
  <c r="T287" i="53"/>
  <c r="AB245" i="53"/>
  <c r="T214" i="53"/>
  <c r="AB355" i="53"/>
  <c r="T324" i="53"/>
  <c r="T251" i="53"/>
  <c r="T295" i="53"/>
  <c r="T222" i="53"/>
  <c r="T332" i="53"/>
  <c r="T259" i="53"/>
  <c r="T186" i="53"/>
  <c r="T280" i="53"/>
  <c r="AB353" i="53"/>
  <c r="AB280" i="53"/>
  <c r="AB199" i="53"/>
  <c r="AB301" i="53"/>
  <c r="AB228" i="53"/>
  <c r="T231" i="53"/>
  <c r="T341" i="53"/>
  <c r="T268" i="53"/>
  <c r="T195" i="53"/>
  <c r="T297" i="53"/>
  <c r="T216" i="53"/>
  <c r="AB289" i="53"/>
  <c r="AB216" i="53"/>
  <c r="AB310" i="53"/>
  <c r="AB237" i="53"/>
  <c r="AB347" i="53"/>
  <c r="T223" i="53"/>
  <c r="T333" i="53"/>
  <c r="T260" i="53"/>
  <c r="T187" i="53"/>
  <c r="T289" i="53"/>
  <c r="T208" i="53"/>
  <c r="AB306" i="53"/>
  <c r="AB233" i="53"/>
  <c r="AB335" i="53"/>
  <c r="AB254" i="53"/>
  <c r="AB181" i="53"/>
  <c r="AB291" i="53"/>
  <c r="T350" i="53"/>
  <c r="T277" i="53"/>
  <c r="T204" i="53"/>
  <c r="T314" i="53"/>
  <c r="T233" i="53"/>
  <c r="AB298" i="53"/>
  <c r="AB225" i="53"/>
  <c r="AB327" i="53"/>
  <c r="AB246" i="53"/>
  <c r="AB356" i="53"/>
  <c r="AB283" i="53"/>
  <c r="T342" i="53"/>
  <c r="T269" i="53"/>
  <c r="T196" i="53"/>
  <c r="T306" i="53"/>
  <c r="T225" i="53"/>
  <c r="AB242" i="53"/>
  <c r="AB352" i="53"/>
  <c r="AB271" i="53"/>
  <c r="AB190" i="53"/>
  <c r="AB300" i="53"/>
  <c r="AB227" i="53"/>
  <c r="T286" i="53"/>
  <c r="T213" i="53"/>
  <c r="T323" i="53"/>
  <c r="T250" i="53"/>
  <c r="T344" i="53"/>
  <c r="AB234" i="53"/>
  <c r="AB344" i="53"/>
  <c r="AB263" i="53"/>
  <c r="AB182" i="53"/>
  <c r="AB292" i="53"/>
  <c r="AB219" i="53"/>
  <c r="T351" i="53"/>
  <c r="T278" i="53"/>
  <c r="T205" i="53"/>
  <c r="T315" i="53"/>
  <c r="T242" i="53"/>
  <c r="T336" i="53"/>
  <c r="AB178" i="53"/>
  <c r="AB288" i="53"/>
  <c r="AB207" i="53"/>
  <c r="AB309" i="53"/>
  <c r="AB236" i="53"/>
  <c r="X201" i="53"/>
  <c r="AV201" i="53"/>
  <c r="AV268" i="53"/>
  <c r="AV362" i="53"/>
  <c r="AV298" i="53"/>
  <c r="AV234" i="53"/>
  <c r="AV353" i="53"/>
  <c r="AV289" i="53"/>
  <c r="AV225" i="53"/>
  <c r="AV344" i="53"/>
  <c r="AV280" i="53"/>
  <c r="AV216" i="53"/>
  <c r="AV335" i="53"/>
  <c r="AV271" i="53"/>
  <c r="AV207" i="53"/>
  <c r="AV318" i="53"/>
  <c r="AV254" i="53"/>
  <c r="AV365" i="53"/>
  <c r="AV301" i="53"/>
  <c r="AV237" i="53"/>
  <c r="AV356" i="53"/>
  <c r="AV292" i="53"/>
  <c r="AV228" i="53"/>
  <c r="AV347" i="53"/>
  <c r="AV283" i="53"/>
  <c r="AV219" i="53"/>
  <c r="AZ340" i="53"/>
  <c r="AZ276" i="53"/>
  <c r="AZ323" i="53"/>
  <c r="AZ370" i="53"/>
  <c r="AZ306" i="53"/>
  <c r="AZ353" i="53"/>
  <c r="AZ289" i="53"/>
  <c r="AZ336" i="53"/>
  <c r="AZ270" i="53"/>
  <c r="AZ319" i="53"/>
  <c r="AZ366" i="53"/>
  <c r="AZ302" i="53"/>
  <c r="AZ349" i="53"/>
  <c r="AZ285" i="53"/>
  <c r="AZ234" i="53"/>
  <c r="AZ241" i="53"/>
  <c r="AZ256" i="53"/>
  <c r="AZ263" i="53"/>
  <c r="AZ199" i="53"/>
  <c r="AZ206" i="53"/>
  <c r="AZ213" i="53"/>
  <c r="AZ228" i="53"/>
  <c r="BC195" i="53"/>
  <c r="BB196" i="53" s="1"/>
  <c r="AV265" i="53"/>
  <c r="AV358" i="53"/>
  <c r="AV213" i="53"/>
  <c r="AV354" i="53"/>
  <c r="AV290" i="53"/>
  <c r="AV226" i="53"/>
  <c r="AV345" i="53"/>
  <c r="AV281" i="53"/>
  <c r="AV217" i="53"/>
  <c r="AV336" i="53"/>
  <c r="AV272" i="53"/>
  <c r="AV208" i="53"/>
  <c r="AV327" i="53"/>
  <c r="AV263" i="53"/>
  <c r="AV199" i="53"/>
  <c r="AV310" i="53"/>
  <c r="AV246" i="53"/>
  <c r="AV357" i="53"/>
  <c r="AV293" i="53"/>
  <c r="AV229" i="53"/>
  <c r="AV348" i="53"/>
  <c r="AV284" i="53"/>
  <c r="AV220" i="53"/>
  <c r="AV339" i="53"/>
  <c r="AV275" i="53"/>
  <c r="AV211" i="53"/>
  <c r="AZ332" i="53"/>
  <c r="AZ251" i="53"/>
  <c r="AZ315" i="53"/>
  <c r="AZ362" i="53"/>
  <c r="AZ298" i="53"/>
  <c r="AZ345" i="53"/>
  <c r="AZ281" i="53"/>
  <c r="AZ328" i="53"/>
  <c r="AZ375" i="53"/>
  <c r="AZ311" i="53"/>
  <c r="AZ358" i="53"/>
  <c r="AZ294" i="53"/>
  <c r="AZ341" i="53"/>
  <c r="AZ277" i="53"/>
  <c r="AZ226" i="53"/>
  <c r="AZ233" i="53"/>
  <c r="AZ248" i="53"/>
  <c r="AZ255" i="53"/>
  <c r="AZ262" i="53"/>
  <c r="AZ198" i="53"/>
  <c r="AZ205" i="53"/>
  <c r="AZ220" i="53"/>
  <c r="AV274" i="53"/>
  <c r="AV256" i="53"/>
  <c r="AV294" i="53"/>
  <c r="AV230" i="53"/>
  <c r="AV341" i="53"/>
  <c r="AV277" i="53"/>
  <c r="AV195" i="53"/>
  <c r="AZ316" i="53"/>
  <c r="AZ363" i="53"/>
  <c r="AZ299" i="53"/>
  <c r="AZ346" i="53"/>
  <c r="AZ282" i="53"/>
  <c r="AZ329" i="53"/>
  <c r="AZ227" i="53"/>
  <c r="AZ312" i="53"/>
  <c r="AZ359" i="53"/>
  <c r="AZ295" i="53"/>
  <c r="AZ342" i="53"/>
  <c r="AZ278" i="53"/>
  <c r="AZ325" i="53"/>
  <c r="AZ274" i="53"/>
  <c r="AZ210" i="53"/>
  <c r="AZ217" i="53"/>
  <c r="AZ232" i="53"/>
  <c r="AZ239" i="53"/>
  <c r="AZ246" i="53"/>
  <c r="AZ253" i="53"/>
  <c r="AZ268" i="53"/>
  <c r="AZ204" i="53"/>
  <c r="AV320" i="53"/>
  <c r="AV259" i="53"/>
  <c r="AV330" i="53"/>
  <c r="AV266" i="53"/>
  <c r="AV202" i="53"/>
  <c r="AV321" i="53"/>
  <c r="AV257" i="53"/>
  <c r="AV193" i="53"/>
  <c r="AV312" i="53"/>
  <c r="AV248" i="53"/>
  <c r="AV367" i="53"/>
  <c r="AV303" i="53"/>
  <c r="AV239" i="53"/>
  <c r="AV350" i="53"/>
  <c r="AV286" i="53"/>
  <c r="AV222" i="53"/>
  <c r="AV333" i="53"/>
  <c r="AV269" i="53"/>
  <c r="AV205" i="53"/>
  <c r="AV324" i="53"/>
  <c r="AV260" i="53"/>
  <c r="AV196" i="53"/>
  <c r="AV315" i="53"/>
  <c r="AV251" i="53"/>
  <c r="AZ372" i="53"/>
  <c r="AZ308" i="53"/>
  <c r="AZ355" i="53"/>
  <c r="AZ291" i="53"/>
  <c r="AZ338" i="53"/>
  <c r="AZ273" i="53"/>
  <c r="AZ321" i="53"/>
  <c r="AZ368" i="53"/>
  <c r="AZ304" i="53"/>
  <c r="AZ351" i="53"/>
  <c r="AZ287" i="53"/>
  <c r="AZ334" i="53"/>
  <c r="AZ267" i="53"/>
  <c r="AZ317" i="53"/>
  <c r="AZ266" i="53"/>
  <c r="AZ202" i="53"/>
  <c r="AZ209" i="53"/>
  <c r="AZ224" i="53"/>
  <c r="AZ231" i="53"/>
  <c r="AZ238" i="53"/>
  <c r="AZ245" i="53"/>
  <c r="AZ260" i="53"/>
  <c r="AZ196" i="53"/>
  <c r="AV338" i="53"/>
  <c r="AV311" i="53"/>
  <c r="AV323" i="53"/>
  <c r="AV322" i="53"/>
  <c r="AV258" i="53"/>
  <c r="AV194" i="53"/>
  <c r="AV313" i="53"/>
  <c r="AV249" i="53"/>
  <c r="AV368" i="53"/>
  <c r="AV304" i="53"/>
  <c r="AV240" i="53"/>
  <c r="AV359" i="53"/>
  <c r="AV295" i="53"/>
  <c r="AV231" i="53"/>
  <c r="AV342" i="53"/>
  <c r="AV278" i="53"/>
  <c r="AV214" i="53"/>
  <c r="AV325" i="53"/>
  <c r="AV261" i="53"/>
  <c r="AV197" i="53"/>
  <c r="AV316" i="53"/>
  <c r="AV252" i="53"/>
  <c r="AV371" i="53"/>
  <c r="AV307" i="53"/>
  <c r="AV243" i="53"/>
  <c r="AZ364" i="53"/>
  <c r="AZ300" i="53"/>
  <c r="AZ347" i="53"/>
  <c r="AZ283" i="53"/>
  <c r="AZ330" i="53"/>
  <c r="AZ235" i="53"/>
  <c r="AZ313" i="53"/>
  <c r="AZ360" i="53"/>
  <c r="AZ296" i="53"/>
  <c r="AZ343" i="53"/>
  <c r="AZ279" i="53"/>
  <c r="AZ326" i="53"/>
  <c r="AZ373" i="53"/>
  <c r="AZ309" i="53"/>
  <c r="AZ258" i="53"/>
  <c r="AZ265" i="53"/>
  <c r="AZ201" i="53"/>
  <c r="AZ216" i="53"/>
  <c r="AZ223" i="53"/>
  <c r="AZ230" i="53"/>
  <c r="AZ237" i="53"/>
  <c r="AZ252" i="53"/>
  <c r="AZ219" i="53"/>
  <c r="AV210" i="53"/>
  <c r="AV247" i="53"/>
  <c r="AV204" i="53"/>
  <c r="AV314" i="53"/>
  <c r="AV250" i="53"/>
  <c r="AV369" i="53"/>
  <c r="AV305" i="53"/>
  <c r="AV241" i="53"/>
  <c r="AV360" i="53"/>
  <c r="AV296" i="53"/>
  <c r="AV232" i="53"/>
  <c r="AV351" i="53"/>
  <c r="AV287" i="53"/>
  <c r="AV223" i="53"/>
  <c r="AV334" i="53"/>
  <c r="AV270" i="53"/>
  <c r="AV206" i="53"/>
  <c r="AV317" i="53"/>
  <c r="AV253" i="53"/>
  <c r="AV372" i="53"/>
  <c r="AV308" i="53"/>
  <c r="AV244" i="53"/>
  <c r="AV363" i="53"/>
  <c r="AV299" i="53"/>
  <c r="AV235" i="53"/>
  <c r="AZ356" i="53"/>
  <c r="AZ292" i="53"/>
  <c r="AZ339" i="53"/>
  <c r="AZ275" i="53"/>
  <c r="AZ322" i="53"/>
  <c r="AZ369" i="53"/>
  <c r="AZ305" i="53"/>
  <c r="AZ352" i="53"/>
  <c r="AZ288" i="53"/>
  <c r="AZ335" i="53"/>
  <c r="AZ269" i="53"/>
  <c r="AZ318" i="53"/>
  <c r="AZ365" i="53"/>
  <c r="AZ301" i="53"/>
  <c r="AZ250" i="53"/>
  <c r="AZ257" i="53"/>
  <c r="AZ272" i="53"/>
  <c r="AZ208" i="53"/>
  <c r="AZ215" i="53"/>
  <c r="AZ222" i="53"/>
  <c r="AZ229" i="53"/>
  <c r="AZ244" i="53"/>
  <c r="AZ211" i="53"/>
  <c r="AV329" i="53"/>
  <c r="AY192" i="53"/>
  <c r="AX193" i="53" s="1"/>
  <c r="AV332" i="53"/>
  <c r="AV370" i="53"/>
  <c r="AV306" i="53"/>
  <c r="AV242" i="53"/>
  <c r="AV361" i="53"/>
  <c r="AV297" i="53"/>
  <c r="AV233" i="53"/>
  <c r="AV352" i="53"/>
  <c r="AV288" i="53"/>
  <c r="AV224" i="53"/>
  <c r="AV343" i="53"/>
  <c r="AV279" i="53"/>
  <c r="AV215" i="53"/>
  <c r="AV326" i="53"/>
  <c r="AV262" i="53"/>
  <c r="AV198" i="53"/>
  <c r="AV309" i="53"/>
  <c r="AV245" i="53"/>
  <c r="AV364" i="53"/>
  <c r="AV300" i="53"/>
  <c r="AV236" i="53"/>
  <c r="AV355" i="53"/>
  <c r="AV291" i="53"/>
  <c r="AZ348" i="53"/>
  <c r="AZ284" i="53"/>
  <c r="AZ331" i="53"/>
  <c r="AZ243" i="53"/>
  <c r="AZ314" i="53"/>
  <c r="AZ361" i="53"/>
  <c r="AZ297" i="53"/>
  <c r="AZ344" i="53"/>
  <c r="AZ280" i="53"/>
  <c r="AZ327" i="53"/>
  <c r="AZ374" i="53"/>
  <c r="AZ310" i="53"/>
  <c r="AZ357" i="53"/>
  <c r="AZ293" i="53"/>
  <c r="AZ242" i="53"/>
  <c r="AZ249" i="53"/>
  <c r="AZ264" i="53"/>
  <c r="AZ200" i="53"/>
  <c r="AZ207" i="53"/>
  <c r="AZ214" i="53"/>
  <c r="AZ221" i="53"/>
  <c r="AZ236" i="53"/>
  <c r="T343" i="53"/>
  <c r="T279" i="53"/>
  <c r="T215" i="53"/>
  <c r="T334" i="53"/>
  <c r="T270" i="53"/>
  <c r="T206" i="53"/>
  <c r="T325" i="53"/>
  <c r="T261" i="53"/>
  <c r="T197" i="53"/>
  <c r="T316" i="53"/>
  <c r="T252" i="53"/>
  <c r="T188" i="53"/>
  <c r="T307" i="53"/>
  <c r="T243" i="53"/>
  <c r="T179" i="53"/>
  <c r="T298" i="53"/>
  <c r="T234" i="53"/>
  <c r="T345" i="53"/>
  <c r="T281" i="53"/>
  <c r="T217" i="53"/>
  <c r="T328" i="53"/>
  <c r="T264" i="53"/>
  <c r="T200" i="53"/>
  <c r="AB354" i="53"/>
  <c r="AB290" i="53"/>
  <c r="AB226" i="53"/>
  <c r="AB345" i="53"/>
  <c r="AB281" i="53"/>
  <c r="AB217" i="53"/>
  <c r="AB336" i="53"/>
  <c r="AB272" i="53"/>
  <c r="AB208" i="53"/>
  <c r="AB319" i="53"/>
  <c r="AB255" i="53"/>
  <c r="AB191" i="53"/>
  <c r="AB302" i="53"/>
  <c r="AB238" i="53"/>
  <c r="AB357" i="53"/>
  <c r="AB293" i="53"/>
  <c r="AB229" i="53"/>
  <c r="AB348" i="53"/>
  <c r="AB284" i="53"/>
  <c r="AB220" i="53"/>
  <c r="AB339" i="53"/>
  <c r="AB275" i="53"/>
  <c r="AB211" i="53"/>
  <c r="T335" i="53"/>
  <c r="T271" i="53"/>
  <c r="T207" i="53"/>
  <c r="T326" i="53"/>
  <c r="T262" i="53"/>
  <c r="T198" i="53"/>
  <c r="T317" i="53"/>
  <c r="T253" i="53"/>
  <c r="T189" i="53"/>
  <c r="T308" i="53"/>
  <c r="T244" i="53"/>
  <c r="T180" i="53"/>
  <c r="T299" i="53"/>
  <c r="T235" i="53"/>
  <c r="W171" i="53"/>
  <c r="V172" i="53" s="1"/>
  <c r="T290" i="53"/>
  <c r="T226" i="53"/>
  <c r="T337" i="53"/>
  <c r="T273" i="53"/>
  <c r="T209" i="53"/>
  <c r="T320" i="53"/>
  <c r="T256" i="53"/>
  <c r="T192" i="53"/>
  <c r="AB346" i="53"/>
  <c r="AB282" i="53"/>
  <c r="AB218" i="53"/>
  <c r="AB337" i="53"/>
  <c r="AB273" i="53"/>
  <c r="AB209" i="53"/>
  <c r="AB328" i="53"/>
  <c r="AB264" i="53"/>
  <c r="AB200" i="53"/>
  <c r="AB311" i="53"/>
  <c r="AB247" i="53"/>
  <c r="AB183" i="53"/>
  <c r="AB294" i="53"/>
  <c r="AB230" i="53"/>
  <c r="AB349" i="53"/>
  <c r="AB285" i="53"/>
  <c r="AB221" i="53"/>
  <c r="AB340" i="53"/>
  <c r="AB276" i="53"/>
  <c r="AB212" i="53"/>
  <c r="AB331" i="53"/>
  <c r="AB267" i="53"/>
  <c r="AB203" i="53"/>
  <c r="T327" i="53"/>
  <c r="T263" i="53"/>
  <c r="T199" i="53"/>
  <c r="T318" i="53"/>
  <c r="T254" i="53"/>
  <c r="T190" i="53"/>
  <c r="T309" i="53"/>
  <c r="T245" i="53"/>
  <c r="T181" i="53"/>
  <c r="T300" i="53"/>
  <c r="T236" i="53"/>
  <c r="T172" i="53"/>
  <c r="T291" i="53"/>
  <c r="T227" i="53"/>
  <c r="T346" i="53"/>
  <c r="T282" i="53"/>
  <c r="T218" i="53"/>
  <c r="T329" i="53"/>
  <c r="T265" i="53"/>
  <c r="T201" i="53"/>
  <c r="T312" i="53"/>
  <c r="T248" i="53"/>
  <c r="T184" i="53"/>
  <c r="AB338" i="53"/>
  <c r="AB274" i="53"/>
  <c r="AB210" i="53"/>
  <c r="AB329" i="53"/>
  <c r="AB265" i="53"/>
  <c r="AB201" i="53"/>
  <c r="AB320" i="53"/>
  <c r="AB256" i="53"/>
  <c r="AB192" i="53"/>
  <c r="AB303" i="53"/>
  <c r="AB239" i="53"/>
  <c r="AB350" i="53"/>
  <c r="AB286" i="53"/>
  <c r="AB222" i="53"/>
  <c r="AB341" i="53"/>
  <c r="AB277" i="53"/>
  <c r="AB213" i="53"/>
  <c r="AB332" i="53"/>
  <c r="AB268" i="53"/>
  <c r="AB204" i="53"/>
  <c r="AB323" i="53"/>
  <c r="AB259" i="53"/>
  <c r="AB195" i="53"/>
  <c r="T319" i="53"/>
  <c r="T255" i="53"/>
  <c r="T191" i="53"/>
  <c r="T310" i="53"/>
  <c r="T246" i="53"/>
  <c r="T182" i="53"/>
  <c r="T301" i="53"/>
  <c r="T237" i="53"/>
  <c r="T173" i="53"/>
  <c r="T292" i="53"/>
  <c r="T228" i="53"/>
  <c r="T347" i="53"/>
  <c r="T283" i="53"/>
  <c r="T219" i="53"/>
  <c r="T338" i="53"/>
  <c r="T274" i="53"/>
  <c r="T210" i="53"/>
  <c r="T321" i="53"/>
  <c r="T257" i="53"/>
  <c r="T193" i="53"/>
  <c r="T304" i="53"/>
  <c r="T240" i="53"/>
  <c r="T176" i="53"/>
  <c r="AB330" i="53"/>
  <c r="AB266" i="53"/>
  <c r="AB202" i="53"/>
  <c r="AB321" i="53"/>
  <c r="AB257" i="53"/>
  <c r="AB193" i="53"/>
  <c r="AB312" i="53"/>
  <c r="AB248" i="53"/>
  <c r="AB184" i="53"/>
  <c r="AB295" i="53"/>
  <c r="AB231" i="53"/>
  <c r="AB342" i="53"/>
  <c r="AB278" i="53"/>
  <c r="AB214" i="53"/>
  <c r="AB333" i="53"/>
  <c r="AB269" i="53"/>
  <c r="AB205" i="53"/>
  <c r="AB324" i="53"/>
  <c r="AB260" i="53"/>
  <c r="AB196" i="53"/>
  <c r="AB315" i="53"/>
  <c r="AB251" i="53"/>
  <c r="AB187" i="53"/>
  <c r="T311" i="53"/>
  <c r="T247" i="53"/>
  <c r="T183" i="53"/>
  <c r="T302" i="53"/>
  <c r="T238" i="53"/>
  <c r="T174" i="53"/>
  <c r="T293" i="53"/>
  <c r="T229" i="53"/>
  <c r="T348" i="53"/>
  <c r="T284" i="53"/>
  <c r="T220" i="53"/>
  <c r="T339" i="53"/>
  <c r="T275" i="53"/>
  <c r="T211" i="53"/>
  <c r="T330" i="53"/>
  <c r="T266" i="53"/>
  <c r="T202" i="53"/>
  <c r="T313" i="53"/>
  <c r="T249" i="53"/>
  <c r="T185" i="53"/>
  <c r="T296" i="53"/>
  <c r="T232" i="53"/>
  <c r="AB322" i="53"/>
  <c r="AB258" i="53"/>
  <c r="AB194" i="53"/>
  <c r="AB313" i="53"/>
  <c r="AB249" i="53"/>
  <c r="AB185" i="53"/>
  <c r="AB304" i="53"/>
  <c r="AB240" i="53"/>
  <c r="AB351" i="53"/>
  <c r="AB287" i="53"/>
  <c r="AB223" i="53"/>
  <c r="AB334" i="53"/>
  <c r="AB270" i="53"/>
  <c r="AB206" i="53"/>
  <c r="AB325" i="53"/>
  <c r="AB261" i="53"/>
  <c r="AB197" i="53"/>
  <c r="AB316" i="53"/>
  <c r="AB252" i="53"/>
  <c r="AB188" i="53"/>
  <c r="AB307" i="53"/>
  <c r="AB243" i="53"/>
  <c r="AB179" i="53"/>
  <c r="T303" i="53"/>
  <c r="T239" i="53"/>
  <c r="T175" i="53"/>
  <c r="T294" i="53"/>
  <c r="T230" i="53"/>
  <c r="T349" i="53"/>
  <c r="T285" i="53"/>
  <c r="T221" i="53"/>
  <c r="T340" i="53"/>
  <c r="T276" i="53"/>
  <c r="T212" i="53"/>
  <c r="T331" i="53"/>
  <c r="T267" i="53"/>
  <c r="T203" i="53"/>
  <c r="T322" i="53"/>
  <c r="T258" i="53"/>
  <c r="T194" i="53"/>
  <c r="T305" i="53"/>
  <c r="T241" i="53"/>
  <c r="T177" i="53"/>
  <c r="T288" i="53"/>
  <c r="AB314" i="53"/>
  <c r="AB250" i="53"/>
  <c r="AB186" i="53"/>
  <c r="AB305" i="53"/>
  <c r="AB241" i="53"/>
  <c r="AE177" i="53"/>
  <c r="AD178" i="53" s="1"/>
  <c r="AC178" i="53" s="1"/>
  <c r="AE178" i="53" s="1"/>
  <c r="AD179" i="53" s="1"/>
  <c r="AB296" i="53"/>
  <c r="AB232" i="53"/>
  <c r="AB343" i="53"/>
  <c r="AB279" i="53"/>
  <c r="AB215" i="53"/>
  <c r="AB326" i="53"/>
  <c r="AB262" i="53"/>
  <c r="AB198" i="53"/>
  <c r="AB317" i="53"/>
  <c r="AB253" i="53"/>
  <c r="AB189" i="53"/>
  <c r="AB308" i="53"/>
  <c r="AB244" i="53"/>
  <c r="AB180" i="53"/>
  <c r="AB299" i="53"/>
  <c r="X214" i="53"/>
  <c r="X296" i="53"/>
  <c r="X333" i="53"/>
  <c r="X232" i="53"/>
  <c r="X269" i="53"/>
  <c r="X351" i="53"/>
  <c r="X205" i="53"/>
  <c r="X287" i="53"/>
  <c r="X316" i="53"/>
  <c r="X223" i="53"/>
  <c r="X347" i="53"/>
  <c r="X342" i="53"/>
  <c r="X346" i="53"/>
  <c r="X278" i="53"/>
  <c r="X353" i="53"/>
  <c r="X352" i="53"/>
  <c r="X288" i="53"/>
  <c r="X224" i="53"/>
  <c r="X343" i="53"/>
  <c r="X279" i="53"/>
  <c r="X215" i="53"/>
  <c r="X334" i="53"/>
  <c r="X270" i="53"/>
  <c r="X206" i="53"/>
  <c r="X325" i="53"/>
  <c r="X261" i="53"/>
  <c r="X197" i="53"/>
  <c r="X308" i="53"/>
  <c r="X307" i="53"/>
  <c r="X338" i="53"/>
  <c r="X337" i="53"/>
  <c r="X344" i="53"/>
  <c r="X280" i="53"/>
  <c r="X216" i="53"/>
  <c r="X335" i="53"/>
  <c r="X271" i="53"/>
  <c r="X207" i="53"/>
  <c r="X326" i="53"/>
  <c r="X262" i="53"/>
  <c r="X198" i="53"/>
  <c r="X317" i="53"/>
  <c r="X253" i="53"/>
  <c r="X189" i="53"/>
  <c r="X300" i="53"/>
  <c r="X291" i="53"/>
  <c r="X298" i="53"/>
  <c r="X329" i="53"/>
  <c r="X336" i="53"/>
  <c r="X272" i="53"/>
  <c r="X208" i="53"/>
  <c r="X327" i="53"/>
  <c r="X263" i="53"/>
  <c r="X199" i="53"/>
  <c r="X318" i="53"/>
  <c r="X254" i="53"/>
  <c r="X190" i="53"/>
  <c r="X309" i="53"/>
  <c r="X245" i="53"/>
  <c r="X181" i="53"/>
  <c r="X260" i="53"/>
  <c r="X283" i="53"/>
  <c r="X282" i="53"/>
  <c r="X289" i="53"/>
  <c r="X328" i="53"/>
  <c r="X264" i="53"/>
  <c r="X200" i="53"/>
  <c r="X319" i="53"/>
  <c r="X255" i="53"/>
  <c r="X191" i="53"/>
  <c r="X310" i="53"/>
  <c r="X246" i="53"/>
  <c r="X182" i="53"/>
  <c r="X301" i="53"/>
  <c r="X237" i="53"/>
  <c r="X348" i="53"/>
  <c r="X244" i="53"/>
  <c r="X243" i="53"/>
  <c r="X274" i="53"/>
  <c r="X273" i="53"/>
  <c r="X320" i="53"/>
  <c r="X256" i="53"/>
  <c r="X192" i="53"/>
  <c r="X311" i="53"/>
  <c r="X247" i="53"/>
  <c r="X183" i="53"/>
  <c r="X302" i="53"/>
  <c r="X238" i="53"/>
  <c r="AA174" i="53"/>
  <c r="Z175" i="53" s="1"/>
  <c r="X293" i="53"/>
  <c r="X229" i="53"/>
  <c r="X340" i="53"/>
  <c r="X236" i="53"/>
  <c r="X227" i="53"/>
  <c r="X234" i="53"/>
  <c r="X265" i="53"/>
  <c r="X312" i="53"/>
  <c r="X248" i="53"/>
  <c r="X184" i="53"/>
  <c r="X303" i="53"/>
  <c r="X239" i="53"/>
  <c r="X175" i="53"/>
  <c r="X294" i="53"/>
  <c r="X230" i="53"/>
  <c r="X349" i="53"/>
  <c r="X285" i="53"/>
  <c r="X221" i="53"/>
  <c r="X332" i="53"/>
  <c r="X196" i="53"/>
  <c r="X219" i="53"/>
  <c r="X218" i="53"/>
  <c r="X225" i="53"/>
  <c r="X304" i="53"/>
  <c r="X240" i="53"/>
  <c r="X176" i="53"/>
  <c r="X295" i="53"/>
  <c r="X231" i="53"/>
  <c r="X350" i="53"/>
  <c r="X286" i="53"/>
  <c r="X222" i="53"/>
  <c r="X341" i="53"/>
  <c r="X277" i="53"/>
  <c r="X213" i="53"/>
  <c r="X324" i="53"/>
  <c r="X180" i="53"/>
  <c r="X179" i="53"/>
  <c r="X210" i="53"/>
  <c r="X209" i="53"/>
  <c r="AJ255" i="53"/>
  <c r="AJ300" i="53"/>
  <c r="AJ337" i="53"/>
  <c r="AJ191" i="53"/>
  <c r="AJ236" i="53"/>
  <c r="AJ273" i="53"/>
  <c r="AJ310" i="53"/>
  <c r="AJ227" i="53"/>
  <c r="AJ264" i="53"/>
  <c r="H167" i="53"/>
  <c r="AJ301" i="53"/>
  <c r="AJ237" i="53"/>
  <c r="AJ348" i="53"/>
  <c r="AJ284" i="53"/>
  <c r="AJ220" i="53"/>
  <c r="AJ339" i="53"/>
  <c r="AJ275" i="53"/>
  <c r="AJ211" i="53"/>
  <c r="AJ330" i="53"/>
  <c r="AJ266" i="53"/>
  <c r="AJ202" i="53"/>
  <c r="AJ321" i="53"/>
  <c r="AJ257" i="53"/>
  <c r="AJ193" i="53"/>
  <c r="AJ312" i="53"/>
  <c r="AJ248" i="53"/>
  <c r="AJ184" i="53"/>
  <c r="AJ303" i="53"/>
  <c r="AJ239" i="53"/>
  <c r="AJ358" i="53"/>
  <c r="AJ294" i="53"/>
  <c r="AJ230" i="53"/>
  <c r="AJ357" i="53"/>
  <c r="AJ293" i="53"/>
  <c r="AJ229" i="53"/>
  <c r="AJ340" i="53"/>
  <c r="AJ276" i="53"/>
  <c r="AJ212" i="53"/>
  <c r="AJ331" i="53"/>
  <c r="AJ267" i="53"/>
  <c r="AJ203" i="53"/>
  <c r="AJ322" i="53"/>
  <c r="AJ258" i="53"/>
  <c r="AJ194" i="53"/>
  <c r="AJ313" i="53"/>
  <c r="AJ249" i="53"/>
  <c r="AJ185" i="53"/>
  <c r="AJ304" i="53"/>
  <c r="AJ240" i="53"/>
  <c r="AJ359" i="53"/>
  <c r="AJ295" i="53"/>
  <c r="AJ231" i="53"/>
  <c r="AJ350" i="53"/>
  <c r="AJ286" i="53"/>
  <c r="AJ222" i="53"/>
  <c r="AJ349" i="53"/>
  <c r="AJ285" i="53"/>
  <c r="AJ221" i="53"/>
  <c r="AJ332" i="53"/>
  <c r="AJ268" i="53"/>
  <c r="AJ204" i="53"/>
  <c r="AJ323" i="53"/>
  <c r="AJ259" i="53"/>
  <c r="AJ195" i="53"/>
  <c r="AJ314" i="53"/>
  <c r="AJ250" i="53"/>
  <c r="AJ186" i="53"/>
  <c r="AJ305" i="53"/>
  <c r="AJ241" i="53"/>
  <c r="AJ360" i="53"/>
  <c r="AJ296" i="53"/>
  <c r="AJ232" i="53"/>
  <c r="AJ351" i="53"/>
  <c r="AJ287" i="53"/>
  <c r="AJ223" i="53"/>
  <c r="AJ342" i="53"/>
  <c r="AJ278" i="53"/>
  <c r="AJ214" i="53"/>
  <c r="AJ341" i="53"/>
  <c r="AJ277" i="53"/>
  <c r="AJ213" i="53"/>
  <c r="AJ324" i="53"/>
  <c r="AJ260" i="53"/>
  <c r="AJ196" i="53"/>
  <c r="AJ315" i="53"/>
  <c r="AJ251" i="53"/>
  <c r="AJ187" i="53"/>
  <c r="AJ306" i="53"/>
  <c r="AJ242" i="53"/>
  <c r="AJ361" i="53"/>
  <c r="AJ297" i="53"/>
  <c r="AJ233" i="53"/>
  <c r="AJ352" i="53"/>
  <c r="AJ288" i="53"/>
  <c r="AJ224" i="53"/>
  <c r="AJ343" i="53"/>
  <c r="AJ279" i="53"/>
  <c r="AJ215" i="53"/>
  <c r="AJ334" i="53"/>
  <c r="AJ270" i="53"/>
  <c r="AJ206" i="53"/>
  <c r="AJ333" i="53"/>
  <c r="AJ269" i="53"/>
  <c r="AJ205" i="53"/>
  <c r="AJ316" i="53"/>
  <c r="AJ252" i="53"/>
  <c r="AJ188" i="53"/>
  <c r="AJ307" i="53"/>
  <c r="AJ243" i="53"/>
  <c r="AJ362" i="53"/>
  <c r="AJ298" i="53"/>
  <c r="AJ234" i="53"/>
  <c r="AJ353" i="53"/>
  <c r="AJ289" i="53"/>
  <c r="AJ225" i="53"/>
  <c r="AJ344" i="53"/>
  <c r="AJ280" i="53"/>
  <c r="AJ216" i="53"/>
  <c r="AJ335" i="53"/>
  <c r="AJ271" i="53"/>
  <c r="AJ207" i="53"/>
  <c r="AJ326" i="53"/>
  <c r="AJ262" i="53"/>
  <c r="AJ198" i="53"/>
  <c r="AJ325" i="53"/>
  <c r="AJ261" i="53"/>
  <c r="AJ197" i="53"/>
  <c r="AJ308" i="53"/>
  <c r="AJ244" i="53"/>
  <c r="AJ363" i="53"/>
  <c r="AJ299" i="53"/>
  <c r="AJ235" i="53"/>
  <c r="AJ354" i="53"/>
  <c r="AJ290" i="53"/>
  <c r="AJ226" i="53"/>
  <c r="AJ345" i="53"/>
  <c r="AJ281" i="53"/>
  <c r="AJ217" i="53"/>
  <c r="AJ336" i="53"/>
  <c r="AJ272" i="53"/>
  <c r="AJ208" i="53"/>
  <c r="AJ327" i="53"/>
  <c r="AJ263" i="53"/>
  <c r="AJ199" i="53"/>
  <c r="AJ318" i="53"/>
  <c r="AJ254" i="53"/>
  <c r="AJ190" i="53"/>
  <c r="AJ309" i="53"/>
  <c r="AJ245" i="53"/>
  <c r="AJ356" i="53"/>
  <c r="AJ292" i="53"/>
  <c r="AJ228" i="53"/>
  <c r="AJ347" i="53"/>
  <c r="AJ283" i="53"/>
  <c r="AJ219" i="53"/>
  <c r="AJ338" i="53"/>
  <c r="AJ274" i="53"/>
  <c r="AJ210" i="53"/>
  <c r="AJ329" i="53"/>
  <c r="AJ265" i="53"/>
  <c r="AJ201" i="53"/>
  <c r="AJ320" i="53"/>
  <c r="AJ256" i="53"/>
  <c r="AJ192" i="53"/>
  <c r="AJ311" i="53"/>
  <c r="AJ247" i="53"/>
  <c r="AM183" i="53"/>
  <c r="AL184" i="53" s="1"/>
  <c r="AJ302" i="53"/>
  <c r="H208" i="53"/>
  <c r="X252" i="53"/>
  <c r="X188" i="53"/>
  <c r="X299" i="53"/>
  <c r="X235" i="53"/>
  <c r="X354" i="53"/>
  <c r="X290" i="53"/>
  <c r="X226" i="53"/>
  <c r="X345" i="53"/>
  <c r="X281" i="53"/>
  <c r="X217" i="53"/>
  <c r="H231" i="53"/>
  <c r="H222" i="53"/>
  <c r="X292" i="53"/>
  <c r="X228" i="53"/>
  <c r="X339" i="53"/>
  <c r="X275" i="53"/>
  <c r="X211" i="53"/>
  <c r="X330" i="53"/>
  <c r="X266" i="53"/>
  <c r="X202" i="53"/>
  <c r="X321" i="53"/>
  <c r="X257" i="53"/>
  <c r="X193" i="53"/>
  <c r="H323" i="53"/>
  <c r="H332" i="53"/>
  <c r="X284" i="53"/>
  <c r="X220" i="53"/>
  <c r="X331" i="53"/>
  <c r="X267" i="53"/>
  <c r="X203" i="53"/>
  <c r="X322" i="53"/>
  <c r="X258" i="53"/>
  <c r="X194" i="53"/>
  <c r="X313" i="53"/>
  <c r="X249" i="53"/>
  <c r="X185" i="53"/>
  <c r="H242" i="53"/>
  <c r="H205" i="53"/>
  <c r="X276" i="53"/>
  <c r="X212" i="53"/>
  <c r="X323" i="53"/>
  <c r="X259" i="53"/>
  <c r="X195" i="53"/>
  <c r="X314" i="53"/>
  <c r="X250" i="53"/>
  <c r="X186" i="53"/>
  <c r="X305" i="53"/>
  <c r="X241" i="53"/>
  <c r="X177" i="53"/>
  <c r="H19" i="53"/>
  <c r="H20" i="53" s="1"/>
  <c r="H178" i="53"/>
  <c r="H276" i="53"/>
  <c r="X268" i="53"/>
  <c r="X204" i="53"/>
  <c r="X315" i="53"/>
  <c r="X251" i="53"/>
  <c r="X187" i="53"/>
  <c r="X306" i="53"/>
  <c r="X242" i="53"/>
  <c r="X178" i="53"/>
  <c r="X297" i="53"/>
  <c r="H272" i="53"/>
  <c r="H194" i="53"/>
  <c r="H224" i="53"/>
  <c r="H183" i="53"/>
  <c r="H174" i="53"/>
  <c r="H292" i="53"/>
  <c r="H251" i="53"/>
  <c r="H297" i="53"/>
  <c r="H316" i="53"/>
  <c r="H193" i="53"/>
  <c r="H185" i="53"/>
  <c r="H228" i="53"/>
  <c r="H235" i="53"/>
  <c r="H201" i="53"/>
  <c r="H321" i="53"/>
  <c r="H327" i="53"/>
  <c r="H333" i="53"/>
  <c r="H212" i="53"/>
  <c r="H322" i="53"/>
  <c r="H217" i="53"/>
  <c r="H311" i="53"/>
  <c r="H302" i="53"/>
  <c r="H285" i="53"/>
  <c r="H164" i="53"/>
  <c r="H306" i="53"/>
  <c r="H336" i="53"/>
  <c r="H295" i="53"/>
  <c r="H286" i="53"/>
  <c r="H269" i="53"/>
  <c r="H195" i="53"/>
  <c r="H258" i="53"/>
  <c r="H288" i="53"/>
  <c r="H247" i="53"/>
  <c r="H238" i="53"/>
  <c r="H221" i="53"/>
  <c r="H243" i="53"/>
  <c r="H314" i="53"/>
  <c r="H250" i="53"/>
  <c r="H186" i="53"/>
  <c r="H257" i="53"/>
  <c r="H177" i="53"/>
  <c r="H280" i="53"/>
  <c r="H216" i="53"/>
  <c r="H307" i="53"/>
  <c r="H303" i="53"/>
  <c r="H239" i="53"/>
  <c r="H175" i="53"/>
  <c r="H335" i="53"/>
  <c r="H294" i="53"/>
  <c r="H230" i="53"/>
  <c r="H166" i="53"/>
  <c r="H341" i="53"/>
  <c r="H277" i="53"/>
  <c r="H213" i="53"/>
  <c r="H284" i="53"/>
  <c r="H220" i="53"/>
  <c r="H203" i="53"/>
  <c r="H291" i="53"/>
  <c r="H227" i="53"/>
  <c r="H298" i="53"/>
  <c r="H234" i="53"/>
  <c r="H170" i="53"/>
  <c r="H308" i="53"/>
  <c r="H328" i="53"/>
  <c r="H264" i="53"/>
  <c r="H200" i="53"/>
  <c r="H281" i="53"/>
  <c r="H287" i="53"/>
  <c r="H223" i="53"/>
  <c r="H340" i="53"/>
  <c r="H342" i="53"/>
  <c r="H278" i="53"/>
  <c r="H214" i="53"/>
  <c r="H331" i="53"/>
  <c r="H325" i="53"/>
  <c r="H261" i="53"/>
  <c r="H197" i="53"/>
  <c r="H268" i="53"/>
  <c r="H204" i="53"/>
  <c r="H187" i="53"/>
  <c r="H283" i="53"/>
  <c r="H219" i="53"/>
  <c r="H290" i="53"/>
  <c r="H226" i="53"/>
  <c r="K162" i="53"/>
  <c r="J163" i="53" s="1"/>
  <c r="H315" i="53"/>
  <c r="H320" i="53"/>
  <c r="H256" i="53"/>
  <c r="H192" i="53"/>
  <c r="H241" i="53"/>
  <c r="H279" i="53"/>
  <c r="H215" i="53"/>
  <c r="H300" i="53"/>
  <c r="H334" i="53"/>
  <c r="H270" i="53"/>
  <c r="H206" i="53"/>
  <c r="H299" i="53"/>
  <c r="H317" i="53"/>
  <c r="H253" i="53"/>
  <c r="H189" i="53"/>
  <c r="H260" i="53"/>
  <c r="H196" i="53"/>
  <c r="H179" i="53"/>
  <c r="H275" i="53"/>
  <c r="H211" i="53"/>
  <c r="H282" i="53"/>
  <c r="H218" i="53"/>
  <c r="H324" i="53"/>
  <c r="H329" i="53"/>
  <c r="H312" i="53"/>
  <c r="H248" i="53"/>
  <c r="H184" i="53"/>
  <c r="H209" i="53"/>
  <c r="H271" i="53"/>
  <c r="H207" i="53"/>
  <c r="H305" i="53"/>
  <c r="H326" i="53"/>
  <c r="H262" i="53"/>
  <c r="H198" i="53"/>
  <c r="H313" i="53"/>
  <c r="H309" i="53"/>
  <c r="H245" i="53"/>
  <c r="H181" i="53"/>
  <c r="H252" i="53"/>
  <c r="H188" i="53"/>
  <c r="H171" i="53"/>
  <c r="H267" i="53"/>
  <c r="H338" i="53"/>
  <c r="H274" i="53"/>
  <c r="H210" i="53"/>
  <c r="H339" i="53"/>
  <c r="H289" i="53"/>
  <c r="H304" i="53"/>
  <c r="H240" i="53"/>
  <c r="H176" i="53"/>
  <c r="H169" i="53"/>
  <c r="H263" i="53"/>
  <c r="H199" i="53"/>
  <c r="H273" i="53"/>
  <c r="H318" i="53"/>
  <c r="H254" i="53"/>
  <c r="H190" i="53"/>
  <c r="H265" i="53"/>
  <c r="H301" i="53"/>
  <c r="H237" i="53"/>
  <c r="H173" i="53"/>
  <c r="H244" i="53"/>
  <c r="H180" i="53"/>
  <c r="H163" i="53"/>
  <c r="H259" i="53"/>
  <c r="H330" i="53"/>
  <c r="H266" i="53"/>
  <c r="H202" i="53"/>
  <c r="H337" i="53"/>
  <c r="H249" i="53"/>
  <c r="H296" i="53"/>
  <c r="H232" i="53"/>
  <c r="H168" i="53"/>
  <c r="H319" i="53"/>
  <c r="H255" i="53"/>
  <c r="H191" i="53"/>
  <c r="H233" i="53"/>
  <c r="H310" i="53"/>
  <c r="H246" i="53"/>
  <c r="H182" i="53"/>
  <c r="H225" i="53"/>
  <c r="H293" i="53"/>
  <c r="H229" i="53"/>
  <c r="H165" i="53"/>
  <c r="H236" i="53"/>
  <c r="BE199" i="53"/>
  <c r="BG199" i="53" s="1"/>
  <c r="BF200" i="53" s="1"/>
  <c r="BE200" i="53" s="1"/>
  <c r="BG200" i="53" s="1"/>
  <c r="BF201" i="53" s="1"/>
  <c r="BE201" i="53" s="1"/>
  <c r="BG201" i="53" s="1"/>
  <c r="BF202" i="53" s="1"/>
  <c r="BE202" i="53" s="1"/>
  <c r="BG202" i="53" s="1"/>
  <c r="BF203" i="53" s="1"/>
  <c r="BE203" i="53" s="1"/>
  <c r="BG203" i="53" s="1"/>
  <c r="BF204" i="53" s="1"/>
  <c r="BE204" i="53" s="1"/>
  <c r="BG204" i="53" s="1"/>
  <c r="BF205" i="53" s="1"/>
  <c r="BE205" i="53" s="1"/>
  <c r="BG205" i="53" s="1"/>
  <c r="BF206" i="53" s="1"/>
  <c r="BE206" i="53" s="1"/>
  <c r="BG206" i="53" s="1"/>
  <c r="BF207" i="53" s="1"/>
  <c r="BE207" i="53" s="1"/>
  <c r="BG207" i="53" s="1"/>
  <c r="BF208" i="53" s="1"/>
  <c r="BE208" i="53" s="1"/>
  <c r="BG208" i="53" s="1"/>
  <c r="BF209" i="53" s="1"/>
  <c r="BE209" i="53" s="1"/>
  <c r="BG209" i="53" s="1"/>
  <c r="BF210" i="53" s="1"/>
  <c r="BE210" i="53" s="1"/>
  <c r="BG210" i="53" s="1"/>
  <c r="BF211" i="53" s="1"/>
  <c r="BE211" i="53" s="1"/>
  <c r="BG211" i="53" s="1"/>
  <c r="BF212" i="53" s="1"/>
  <c r="BE212" i="53" s="1"/>
  <c r="BG212" i="53" s="1"/>
  <c r="BF213" i="53" s="1"/>
  <c r="BE213" i="53" s="1"/>
  <c r="BG213" i="53" s="1"/>
  <c r="BF214" i="53" s="1"/>
  <c r="BE214" i="53" s="1"/>
  <c r="BG214" i="53" s="1"/>
  <c r="BF215" i="53" s="1"/>
  <c r="BE215" i="53" s="1"/>
  <c r="BG215" i="53" s="1"/>
  <c r="BF216" i="53" s="1"/>
  <c r="BE216" i="53" s="1"/>
  <c r="BG216" i="53" s="1"/>
  <c r="BF217" i="53" s="1"/>
  <c r="BE217" i="53" s="1"/>
  <c r="BG217" i="53" s="1"/>
  <c r="BF218" i="53" s="1"/>
  <c r="BE218" i="53" s="1"/>
  <c r="BG218" i="53" s="1"/>
  <c r="BF219" i="53" s="1"/>
  <c r="BE219" i="53" s="1"/>
  <c r="BG219" i="53" s="1"/>
  <c r="BF220" i="53" s="1"/>
  <c r="BE220" i="53" s="1"/>
  <c r="BG220" i="53" s="1"/>
  <c r="BF221" i="53" s="1"/>
  <c r="BE221" i="53" s="1"/>
  <c r="BG221" i="53" s="1"/>
  <c r="BF222" i="53" s="1"/>
  <c r="BE222" i="53" s="1"/>
  <c r="BG222" i="53" s="1"/>
  <c r="BF223" i="53" s="1"/>
  <c r="BE223" i="53" s="1"/>
  <c r="BG223" i="53" s="1"/>
  <c r="BF224" i="53" s="1"/>
  <c r="BE224" i="53" s="1"/>
  <c r="BG224" i="53" s="1"/>
  <c r="BF225" i="53" s="1"/>
  <c r="BE225" i="53" s="1"/>
  <c r="BG225" i="53" s="1"/>
  <c r="BF226" i="53" s="1"/>
  <c r="BE226" i="53" s="1"/>
  <c r="BG226" i="53" s="1"/>
  <c r="BF227" i="53" s="1"/>
  <c r="BE227" i="53" s="1"/>
  <c r="BG227" i="53" s="1"/>
  <c r="BF228" i="53" s="1"/>
  <c r="BE228" i="53" s="1"/>
  <c r="BG228" i="53" s="1"/>
  <c r="BF229" i="53" s="1"/>
  <c r="BE229" i="53" s="1"/>
  <c r="BG229" i="53" s="1"/>
  <c r="BF230" i="53" s="1"/>
  <c r="BE230" i="53" s="1"/>
  <c r="BG230" i="53" s="1"/>
  <c r="BF231" i="53" s="1"/>
  <c r="BE231" i="53" s="1"/>
  <c r="BG231" i="53" s="1"/>
  <c r="BF232" i="53" s="1"/>
  <c r="BE232" i="53" s="1"/>
  <c r="BG232" i="53" s="1"/>
  <c r="BF233" i="53" s="1"/>
  <c r="BE233" i="53" s="1"/>
  <c r="BG233" i="53" s="1"/>
  <c r="BF234" i="53" s="1"/>
  <c r="BE234" i="53" s="1"/>
  <c r="BG234" i="53" s="1"/>
  <c r="BF235" i="53" s="1"/>
  <c r="BE235" i="53" s="1"/>
  <c r="BG235" i="53" s="1"/>
  <c r="BF236" i="53" s="1"/>
  <c r="BE236" i="53" s="1"/>
  <c r="BG236" i="53" s="1"/>
  <c r="BF237" i="53" s="1"/>
  <c r="BE237" i="53" s="1"/>
  <c r="BG237" i="53" s="1"/>
  <c r="BF238" i="53" s="1"/>
  <c r="BE238" i="53" s="1"/>
  <c r="BG238" i="53" s="1"/>
  <c r="BF239" i="53" s="1"/>
  <c r="BE239" i="53" s="1"/>
  <c r="BG239" i="53" s="1"/>
  <c r="BF240" i="53" s="1"/>
  <c r="BE240" i="53" s="1"/>
  <c r="BG240" i="53" s="1"/>
  <c r="BF241" i="53" s="1"/>
  <c r="BE241" i="53" s="1"/>
  <c r="BG241" i="53" s="1"/>
  <c r="BF242" i="53" s="1"/>
  <c r="BE242" i="53" s="1"/>
  <c r="BG242" i="53" s="1"/>
  <c r="BF243" i="53" s="1"/>
  <c r="BE243" i="53" s="1"/>
  <c r="BG243" i="53" s="1"/>
  <c r="BF244" i="53" s="1"/>
  <c r="BE244" i="53" s="1"/>
  <c r="BG244" i="53" s="1"/>
  <c r="BF245" i="53" s="1"/>
  <c r="BE245" i="53" s="1"/>
  <c r="BG245" i="53" s="1"/>
  <c r="BF246" i="53" s="1"/>
  <c r="BE246" i="53" s="1"/>
  <c r="BG246" i="53" s="1"/>
  <c r="BF247" i="53" s="1"/>
  <c r="BE247" i="53" s="1"/>
  <c r="BG247" i="53" s="1"/>
  <c r="BF248" i="53" s="1"/>
  <c r="BE248" i="53" s="1"/>
  <c r="BG248" i="53" s="1"/>
  <c r="BF249" i="53" s="1"/>
  <c r="BE249" i="53" s="1"/>
  <c r="BG249" i="53" s="1"/>
  <c r="BF250" i="53" s="1"/>
  <c r="BE250" i="53" s="1"/>
  <c r="BG250" i="53" s="1"/>
  <c r="BF251" i="53" s="1"/>
  <c r="BE251" i="53" s="1"/>
  <c r="BG251" i="53" s="1"/>
  <c r="BF252" i="53" s="1"/>
  <c r="BE252" i="53" s="1"/>
  <c r="BG252" i="53" s="1"/>
  <c r="BF253" i="53" s="1"/>
  <c r="BE253" i="53" s="1"/>
  <c r="BG253" i="53" s="1"/>
  <c r="BF254" i="53" s="1"/>
  <c r="BE254" i="53" s="1"/>
  <c r="BG254" i="53" s="1"/>
  <c r="BF255" i="53" s="1"/>
  <c r="BE255" i="53" s="1"/>
  <c r="BG255" i="53" s="1"/>
  <c r="BF256" i="53" s="1"/>
  <c r="BE256" i="53" s="1"/>
  <c r="BG256" i="53" s="1"/>
  <c r="BF257" i="53" s="1"/>
  <c r="BE257" i="53" s="1"/>
  <c r="BG257" i="53" s="1"/>
  <c r="BF258" i="53" s="1"/>
  <c r="BE258" i="53" s="1"/>
  <c r="BG258" i="53" s="1"/>
  <c r="BF259" i="53" s="1"/>
  <c r="BE259" i="53" s="1"/>
  <c r="BG259" i="53" s="1"/>
  <c r="BF260" i="53" s="1"/>
  <c r="BE260" i="53" s="1"/>
  <c r="BG260" i="53" s="1"/>
  <c r="BF261" i="53" s="1"/>
  <c r="BE261" i="53" s="1"/>
  <c r="BG261" i="53" s="1"/>
  <c r="BF262" i="53" s="1"/>
  <c r="BE262" i="53" s="1"/>
  <c r="BG262" i="53" s="1"/>
  <c r="BF263" i="53" s="1"/>
  <c r="BE263" i="53" s="1"/>
  <c r="BG263" i="53" s="1"/>
  <c r="BF264" i="53" s="1"/>
  <c r="BE264" i="53" s="1"/>
  <c r="BG264" i="53" s="1"/>
  <c r="BF265" i="53" s="1"/>
  <c r="BE265" i="53" s="1"/>
  <c r="BG265" i="53" s="1"/>
  <c r="BF266" i="53" s="1"/>
  <c r="BE266" i="53" s="1"/>
  <c r="BG266" i="53" s="1"/>
  <c r="BF267" i="53" s="1"/>
  <c r="BE267" i="53" s="1"/>
  <c r="BG267" i="53" s="1"/>
  <c r="BF268" i="53" s="1"/>
  <c r="BE268" i="53" s="1"/>
  <c r="BG268" i="53" s="1"/>
  <c r="BF269" i="53" s="1"/>
  <c r="BE269" i="53" s="1"/>
  <c r="BG269" i="53" s="1"/>
  <c r="BF270" i="53" s="1"/>
  <c r="BE270" i="53" s="1"/>
  <c r="BG270" i="53" s="1"/>
  <c r="BF271" i="53" s="1"/>
  <c r="BE271" i="53" s="1"/>
  <c r="BG271" i="53" s="1"/>
  <c r="BF272" i="53" s="1"/>
  <c r="BE272" i="53" s="1"/>
  <c r="BG272" i="53" s="1"/>
  <c r="BF273" i="53" s="1"/>
  <c r="BE273" i="53" s="1"/>
  <c r="BG273" i="53" s="1"/>
  <c r="BF274" i="53" s="1"/>
  <c r="BE274" i="53" s="1"/>
  <c r="BG274" i="53" s="1"/>
  <c r="BF275" i="53" s="1"/>
  <c r="BE275" i="53" s="1"/>
  <c r="BG275" i="53" s="1"/>
  <c r="BF276" i="53" s="1"/>
  <c r="BE276" i="53" s="1"/>
  <c r="BG276" i="53" s="1"/>
  <c r="BF277" i="53" s="1"/>
  <c r="BE277" i="53" s="1"/>
  <c r="BG277" i="53" s="1"/>
  <c r="BF278" i="53" s="1"/>
  <c r="BE278" i="53" s="1"/>
  <c r="BG278" i="53" s="1"/>
  <c r="BF279" i="53" s="1"/>
  <c r="BE279" i="53" s="1"/>
  <c r="BG279" i="53" s="1"/>
  <c r="BF280" i="53" s="1"/>
  <c r="BE280" i="53" s="1"/>
  <c r="BG280" i="53" s="1"/>
  <c r="BF281" i="53" s="1"/>
  <c r="BE281" i="53" s="1"/>
  <c r="BG281" i="53" s="1"/>
  <c r="BF282" i="53" s="1"/>
  <c r="BE282" i="53" s="1"/>
  <c r="BG282" i="53" s="1"/>
  <c r="BF283" i="53" s="1"/>
  <c r="BE283" i="53" s="1"/>
  <c r="BG283" i="53" s="1"/>
  <c r="BF284" i="53" s="1"/>
  <c r="BE284" i="53" s="1"/>
  <c r="BG284" i="53" s="1"/>
  <c r="BF285" i="53" s="1"/>
  <c r="BE285" i="53" s="1"/>
  <c r="BG285" i="53" s="1"/>
  <c r="BF286" i="53" s="1"/>
  <c r="BE286" i="53" s="1"/>
  <c r="BG286" i="53" s="1"/>
  <c r="BF287" i="53" s="1"/>
  <c r="BE287" i="53" s="1"/>
  <c r="BG287" i="53" s="1"/>
  <c r="BF288" i="53" s="1"/>
  <c r="BE288" i="53" s="1"/>
  <c r="BG288" i="53" s="1"/>
  <c r="BF289" i="53" s="1"/>
  <c r="BE289" i="53" s="1"/>
  <c r="BG289" i="53" s="1"/>
  <c r="BF290" i="53" s="1"/>
  <c r="BE290" i="53" s="1"/>
  <c r="BG290" i="53" s="1"/>
  <c r="BF291" i="53" s="1"/>
  <c r="BE291" i="53" s="1"/>
  <c r="BG291" i="53" s="1"/>
  <c r="BF292" i="53" s="1"/>
  <c r="BE292" i="53" s="1"/>
  <c r="BG292" i="53" s="1"/>
  <c r="BF293" i="53" s="1"/>
  <c r="BE293" i="53" s="1"/>
  <c r="BG293" i="53" s="1"/>
  <c r="BF294" i="53" s="1"/>
  <c r="BE294" i="53" s="1"/>
  <c r="BG294" i="53" s="1"/>
  <c r="BF295" i="53" s="1"/>
  <c r="BE295" i="53" s="1"/>
  <c r="BG295" i="53" s="1"/>
  <c r="BF296" i="53" s="1"/>
  <c r="BE296" i="53" s="1"/>
  <c r="BG296" i="53" s="1"/>
  <c r="BF297" i="53" s="1"/>
  <c r="BE297" i="53" s="1"/>
  <c r="BG297" i="53" s="1"/>
  <c r="BF298" i="53" s="1"/>
  <c r="BE298" i="53" s="1"/>
  <c r="BG298" i="53" s="1"/>
  <c r="BF299" i="53" s="1"/>
  <c r="BE299" i="53" s="1"/>
  <c r="BG299" i="53" s="1"/>
  <c r="BF300" i="53" s="1"/>
  <c r="BE300" i="53" s="1"/>
  <c r="BG300" i="53" s="1"/>
  <c r="BF301" i="53" s="1"/>
  <c r="BE301" i="53" s="1"/>
  <c r="BG301" i="53" s="1"/>
  <c r="BF302" i="53" s="1"/>
  <c r="BE302" i="53" s="1"/>
  <c r="BG302" i="53" s="1"/>
  <c r="BF303" i="53" s="1"/>
  <c r="BE303" i="53" s="1"/>
  <c r="BG303" i="53" s="1"/>
  <c r="BF304" i="53" s="1"/>
  <c r="BE304" i="53" s="1"/>
  <c r="BG304" i="53" s="1"/>
  <c r="BF305" i="53" s="1"/>
  <c r="BE305" i="53" s="1"/>
  <c r="BG305" i="53" s="1"/>
  <c r="BF306" i="53" s="1"/>
  <c r="BE306" i="53" s="1"/>
  <c r="BG306" i="53" s="1"/>
  <c r="BF307" i="53" s="1"/>
  <c r="BE307" i="53" s="1"/>
  <c r="BG307" i="53" s="1"/>
  <c r="BF308" i="53" s="1"/>
  <c r="BE308" i="53" s="1"/>
  <c r="BG308" i="53" s="1"/>
  <c r="BF309" i="53" s="1"/>
  <c r="BE309" i="53" s="1"/>
  <c r="BG309" i="53" s="1"/>
  <c r="BF310" i="53" s="1"/>
  <c r="BE310" i="53" s="1"/>
  <c r="BG310" i="53" s="1"/>
  <c r="BF311" i="53" s="1"/>
  <c r="BE311" i="53" s="1"/>
  <c r="BG311" i="53" s="1"/>
  <c r="BF312" i="53" s="1"/>
  <c r="BE312" i="53" s="1"/>
  <c r="BG312" i="53" s="1"/>
  <c r="BF313" i="53" s="1"/>
  <c r="BE313" i="53" s="1"/>
  <c r="BG313" i="53" s="1"/>
  <c r="BF314" i="53" s="1"/>
  <c r="BE314" i="53" s="1"/>
  <c r="BG314" i="53" s="1"/>
  <c r="BF315" i="53" s="1"/>
  <c r="BE315" i="53" s="1"/>
  <c r="BG315" i="53" s="1"/>
  <c r="BF316" i="53" s="1"/>
  <c r="BE316" i="53" s="1"/>
  <c r="BG316" i="53" s="1"/>
  <c r="BF317" i="53" s="1"/>
  <c r="BE317" i="53" s="1"/>
  <c r="BG317" i="53" s="1"/>
  <c r="BF318" i="53" s="1"/>
  <c r="BE318" i="53" s="1"/>
  <c r="BG318" i="53" s="1"/>
  <c r="BF319" i="53" s="1"/>
  <c r="BE319" i="53" s="1"/>
  <c r="BG319" i="53" s="1"/>
  <c r="BF320" i="53" s="1"/>
  <c r="BE320" i="53" s="1"/>
  <c r="BG320" i="53" s="1"/>
  <c r="BF321" i="53" s="1"/>
  <c r="BE321" i="53" s="1"/>
  <c r="BG321" i="53" s="1"/>
  <c r="BF322" i="53" s="1"/>
  <c r="BE322" i="53" s="1"/>
  <c r="BG322" i="53" s="1"/>
  <c r="BF323" i="53" s="1"/>
  <c r="BE323" i="53" s="1"/>
  <c r="BG323" i="53" s="1"/>
  <c r="BF324" i="53" s="1"/>
  <c r="BE324" i="53" s="1"/>
  <c r="BG324" i="53" s="1"/>
  <c r="BF325" i="53" s="1"/>
  <c r="BE325" i="53" s="1"/>
  <c r="BG325" i="53" s="1"/>
  <c r="BF326" i="53" s="1"/>
  <c r="BE326" i="53" s="1"/>
  <c r="BG326" i="53" s="1"/>
  <c r="BF327" i="53" s="1"/>
  <c r="BE327" i="53" s="1"/>
  <c r="BG327" i="53" s="1"/>
  <c r="BF328" i="53" s="1"/>
  <c r="BE328" i="53" s="1"/>
  <c r="BG328" i="53" s="1"/>
  <c r="BF329" i="53" s="1"/>
  <c r="BE329" i="53" s="1"/>
  <c r="BG329" i="53" s="1"/>
  <c r="BF330" i="53" s="1"/>
  <c r="BE330" i="53" s="1"/>
  <c r="BG330" i="53" s="1"/>
  <c r="BF331" i="53" s="1"/>
  <c r="BE331" i="53" s="1"/>
  <c r="BG331" i="53" s="1"/>
  <c r="BF332" i="53" s="1"/>
  <c r="BE332" i="53" s="1"/>
  <c r="BG332" i="53" s="1"/>
  <c r="BF333" i="53" s="1"/>
  <c r="BE333" i="53" s="1"/>
  <c r="BG333" i="53" s="1"/>
  <c r="BF334" i="53" s="1"/>
  <c r="BE334" i="53" s="1"/>
  <c r="BG334" i="53" s="1"/>
  <c r="BF335" i="53" s="1"/>
  <c r="BE335" i="53" s="1"/>
  <c r="BG335" i="53" s="1"/>
  <c r="BF336" i="53" s="1"/>
  <c r="BE336" i="53" s="1"/>
  <c r="BG336" i="53" s="1"/>
  <c r="BF337" i="53" s="1"/>
  <c r="BE337" i="53" s="1"/>
  <c r="BG337" i="53" s="1"/>
  <c r="BF338" i="53" s="1"/>
  <c r="BE338" i="53" s="1"/>
  <c r="BG338" i="53" s="1"/>
  <c r="BF339" i="53" s="1"/>
  <c r="BE339" i="53" s="1"/>
  <c r="BG339" i="53" s="1"/>
  <c r="BF340" i="53" s="1"/>
  <c r="BE340" i="53" s="1"/>
  <c r="BG340" i="53" s="1"/>
  <c r="BF341" i="53" s="1"/>
  <c r="BE341" i="53" s="1"/>
  <c r="BG341" i="53" s="1"/>
  <c r="BF342" i="53" s="1"/>
  <c r="BE342" i="53" s="1"/>
  <c r="BG342" i="53" s="1"/>
  <c r="BF343" i="53" s="1"/>
  <c r="BE343" i="53" s="1"/>
  <c r="BG343" i="53" s="1"/>
  <c r="BF344" i="53" s="1"/>
  <c r="BE344" i="53" s="1"/>
  <c r="BG344" i="53" s="1"/>
  <c r="BF345" i="53" s="1"/>
  <c r="BE345" i="53" s="1"/>
  <c r="BG345" i="53" s="1"/>
  <c r="BF346" i="53" s="1"/>
  <c r="BE346" i="53" s="1"/>
  <c r="BG346" i="53" s="1"/>
  <c r="BF347" i="53" s="1"/>
  <c r="BE347" i="53" s="1"/>
  <c r="BG347" i="53" s="1"/>
  <c r="BF348" i="53" s="1"/>
  <c r="BE348" i="53" s="1"/>
  <c r="BG348" i="53" s="1"/>
  <c r="BF349" i="53" s="1"/>
  <c r="BE349" i="53" s="1"/>
  <c r="BG349" i="53" s="1"/>
  <c r="BF350" i="53" s="1"/>
  <c r="BE350" i="53" s="1"/>
  <c r="BG350" i="53" s="1"/>
  <c r="BF351" i="53" s="1"/>
  <c r="BE351" i="53" s="1"/>
  <c r="BG351" i="53" s="1"/>
  <c r="BF352" i="53" s="1"/>
  <c r="BE352" i="53" s="1"/>
  <c r="BG352" i="53" s="1"/>
  <c r="BF353" i="53" s="1"/>
  <c r="BE353" i="53" s="1"/>
  <c r="BG353" i="53" s="1"/>
  <c r="BF354" i="53" s="1"/>
  <c r="BE354" i="53" s="1"/>
  <c r="BG354" i="53" s="1"/>
  <c r="BF355" i="53" s="1"/>
  <c r="BE355" i="53" s="1"/>
  <c r="BG355" i="53" s="1"/>
  <c r="BF356" i="53" s="1"/>
  <c r="BE356" i="53" s="1"/>
  <c r="BG356" i="53" s="1"/>
  <c r="BF357" i="53" s="1"/>
  <c r="BE357" i="53" s="1"/>
  <c r="BG357" i="53" s="1"/>
  <c r="BF358" i="53" s="1"/>
  <c r="BE358" i="53" s="1"/>
  <c r="BG358" i="53" s="1"/>
  <c r="BF359" i="53" s="1"/>
  <c r="BE359" i="53" s="1"/>
  <c r="BG359" i="53" s="1"/>
  <c r="BF360" i="53" s="1"/>
  <c r="BE360" i="53" s="1"/>
  <c r="BG360" i="53" s="1"/>
  <c r="BF361" i="53" s="1"/>
  <c r="BE361" i="53" s="1"/>
  <c r="BG361" i="53" s="1"/>
  <c r="BF362" i="53" s="1"/>
  <c r="BE362" i="53" s="1"/>
  <c r="BG362" i="53" s="1"/>
  <c r="BF363" i="53" s="1"/>
  <c r="BE363" i="53" s="1"/>
  <c r="BG363" i="53" s="1"/>
  <c r="BF364" i="53" s="1"/>
  <c r="BE364" i="53" s="1"/>
  <c r="BG364" i="53" s="1"/>
  <c r="BF365" i="53" s="1"/>
  <c r="BE365" i="53" s="1"/>
  <c r="BG365" i="53" s="1"/>
  <c r="BF366" i="53" s="1"/>
  <c r="BE366" i="53" s="1"/>
  <c r="BG366" i="53" s="1"/>
  <c r="BF367" i="53" s="1"/>
  <c r="BE367" i="53" s="1"/>
  <c r="BG367" i="53" s="1"/>
  <c r="BF368" i="53" s="1"/>
  <c r="BE368" i="53" s="1"/>
  <c r="BG368" i="53" s="1"/>
  <c r="BF369" i="53" s="1"/>
  <c r="BE369" i="53" s="1"/>
  <c r="BG369" i="53" s="1"/>
  <c r="BF370" i="53" s="1"/>
  <c r="BE370" i="53" s="1"/>
  <c r="BG370" i="53" s="1"/>
  <c r="BF371" i="53" s="1"/>
  <c r="BE371" i="53" s="1"/>
  <c r="BG371" i="53" s="1"/>
  <c r="BF372" i="53" s="1"/>
  <c r="BE372" i="53" s="1"/>
  <c r="BG372" i="53" s="1"/>
  <c r="BF373" i="53" s="1"/>
  <c r="BE373" i="53" s="1"/>
  <c r="BG373" i="53" s="1"/>
  <c r="BF374" i="53" s="1"/>
  <c r="BE374" i="53" s="1"/>
  <c r="BG374" i="53" s="1"/>
  <c r="BF375" i="53" s="1"/>
  <c r="BE375" i="53" s="1"/>
  <c r="BG375" i="53" s="1"/>
  <c r="BF376" i="53" s="1"/>
  <c r="BE376" i="53" s="1"/>
  <c r="BG376" i="53" s="1"/>
  <c r="BF377" i="53" s="1"/>
  <c r="BE377" i="53" s="1"/>
  <c r="BG377" i="53" s="1"/>
  <c r="BF378" i="53" s="1"/>
  <c r="BE378" i="53" s="1"/>
  <c r="BG378" i="53" s="1"/>
  <c r="BF379" i="53" s="1"/>
  <c r="BE379" i="53" s="1"/>
  <c r="BG379" i="53" s="1"/>
  <c r="BF380" i="53" s="1"/>
  <c r="BE380" i="53" s="1"/>
  <c r="BG380" i="53" s="1"/>
  <c r="BF381" i="53" s="1"/>
  <c r="BE381" i="53" s="1"/>
  <c r="BG381" i="53" s="1"/>
  <c r="BF382" i="53" s="1"/>
  <c r="BE382" i="53" s="1"/>
  <c r="BG382" i="53" s="1"/>
  <c r="BF383" i="53" s="1"/>
  <c r="BE383" i="53" s="1"/>
  <c r="BG383" i="53" s="1"/>
  <c r="BF384" i="53" s="1"/>
  <c r="BE384" i="53" s="1"/>
  <c r="BG384" i="53" s="1"/>
  <c r="BF385" i="53" s="1"/>
  <c r="BE385" i="53" s="1"/>
  <c r="BG385" i="53" s="1"/>
  <c r="BF386" i="53" s="1"/>
  <c r="BE386" i="53" s="1"/>
  <c r="BG386" i="53" s="1"/>
  <c r="BF387" i="53" s="1"/>
  <c r="BE387" i="53" s="1"/>
  <c r="BG387" i="53" s="1"/>
  <c r="BF388" i="53" s="1"/>
  <c r="BE388" i="53" s="1"/>
  <c r="BG388" i="53" s="1"/>
  <c r="BF389" i="53" s="1"/>
  <c r="BE389" i="53" s="1"/>
  <c r="BG389" i="53" s="1"/>
  <c r="BF390" i="53" s="1"/>
  <c r="BE390" i="53" s="1"/>
  <c r="BG390" i="53" s="1"/>
  <c r="BF391" i="53" s="1"/>
  <c r="BE391" i="53" s="1"/>
  <c r="BG391" i="53" s="1"/>
  <c r="BF392" i="53" s="1"/>
  <c r="BE392" i="53" s="1"/>
  <c r="BG392" i="53" s="1"/>
  <c r="BF393" i="53" s="1"/>
  <c r="BE393" i="53" s="1"/>
  <c r="BG393" i="53" s="1"/>
  <c r="BF394" i="53" s="1"/>
  <c r="BE394" i="53" s="1"/>
  <c r="BG394" i="53" s="1"/>
  <c r="BF395" i="53" s="1"/>
  <c r="BE395" i="53" s="1"/>
  <c r="BG395" i="53" s="1"/>
  <c r="BF396" i="53" s="1"/>
  <c r="BE396" i="53" s="1"/>
  <c r="BG396" i="53" s="1"/>
  <c r="BF397" i="53" s="1"/>
  <c r="BE397" i="53" s="1"/>
  <c r="BG397" i="53" s="1"/>
  <c r="BF398" i="53" s="1"/>
  <c r="BE398" i="53" s="1"/>
  <c r="BG398" i="53" s="1"/>
  <c r="BF399" i="53" s="1"/>
  <c r="BE399" i="53" s="1"/>
  <c r="BG399" i="53" s="1"/>
  <c r="BF400" i="53" s="1"/>
  <c r="BE400" i="53" s="1"/>
  <c r="BG400" i="53" s="1"/>
  <c r="BF401" i="53" s="1"/>
  <c r="BE401" i="53" s="1"/>
  <c r="BG401" i="53" s="1"/>
  <c r="BF402" i="53" s="1"/>
  <c r="BE402" i="53" s="1"/>
  <c r="BG402" i="53" s="1"/>
  <c r="BF403" i="53" s="1"/>
  <c r="BE403" i="53" s="1"/>
  <c r="BG403" i="53" s="1"/>
  <c r="BF404" i="53" s="1"/>
  <c r="BE404" i="53" s="1"/>
  <c r="BG404" i="53" s="1"/>
  <c r="BF405" i="53" s="1"/>
  <c r="BE405" i="53" s="1"/>
  <c r="BG405" i="53" s="1"/>
  <c r="BF406" i="53" s="1"/>
  <c r="BE406" i="53" s="1"/>
  <c r="BG406" i="53" s="1"/>
  <c r="BF407" i="53" s="1"/>
  <c r="BE407" i="53" s="1"/>
  <c r="BG407" i="53" s="1"/>
  <c r="BF408" i="53" s="1"/>
  <c r="BE408" i="53" s="1"/>
  <c r="BG408" i="53" s="1"/>
  <c r="BF409" i="53" s="1"/>
  <c r="BE409" i="53" s="1"/>
  <c r="BG409" i="53" s="1"/>
  <c r="BF410" i="53" s="1"/>
  <c r="BE410" i="53" s="1"/>
  <c r="BG410" i="53" s="1"/>
  <c r="BF411" i="53" s="1"/>
  <c r="BE411" i="53" s="1"/>
  <c r="BG411" i="53" s="1"/>
  <c r="BF412" i="53" s="1"/>
  <c r="BE412" i="53" s="1"/>
  <c r="BG412" i="53" s="1"/>
  <c r="BF413" i="53" s="1"/>
  <c r="BE413" i="53" s="1"/>
  <c r="BG413" i="53" s="1"/>
  <c r="BF414" i="53" s="1"/>
  <c r="BE414" i="53" s="1"/>
  <c r="BG414" i="53" s="1"/>
  <c r="BF415" i="53" s="1"/>
  <c r="BE415" i="53" s="1"/>
  <c r="BG415" i="53" s="1"/>
  <c r="BF416" i="53" s="1"/>
  <c r="BE416" i="53" s="1"/>
  <c r="BG416" i="53" s="1"/>
  <c r="BF417" i="53" s="1"/>
  <c r="BE417" i="53" s="1"/>
  <c r="BG417" i="53" s="1"/>
  <c r="BF418" i="53" s="1"/>
  <c r="BE418" i="53" s="1"/>
  <c r="BG418" i="53" s="1"/>
  <c r="BF419" i="53" s="1"/>
  <c r="BE419" i="53" s="1"/>
  <c r="BG419" i="53" s="1"/>
  <c r="BF420" i="53" s="1"/>
  <c r="BE420" i="53" s="1"/>
  <c r="BG420" i="53" s="1"/>
  <c r="BF421" i="53" s="1"/>
  <c r="BE421" i="53" s="1"/>
  <c r="BG421" i="53" s="1"/>
  <c r="BF422" i="53" s="1"/>
  <c r="BE422" i="53" s="1"/>
  <c r="BG422" i="53" s="1"/>
  <c r="BF423" i="53" s="1"/>
  <c r="BE423" i="53" s="1"/>
  <c r="BG423" i="53" s="1"/>
  <c r="BF424" i="53" s="1"/>
  <c r="BE424" i="53" s="1"/>
  <c r="BG424" i="53" s="1"/>
  <c r="BF425" i="53" s="1"/>
  <c r="BE425" i="53" s="1"/>
  <c r="BG425" i="53" s="1"/>
  <c r="BF426" i="53" s="1"/>
  <c r="BE426" i="53" s="1"/>
  <c r="BG426" i="53" s="1"/>
  <c r="BF427" i="53" s="1"/>
  <c r="BE427" i="53" s="1"/>
  <c r="BG427" i="53" s="1"/>
  <c r="BF428" i="53" s="1"/>
  <c r="BE428" i="53" s="1"/>
  <c r="BG428" i="53" s="1"/>
  <c r="BF429" i="53" s="1"/>
  <c r="BE429" i="53" s="1"/>
  <c r="BG429" i="53" s="1"/>
  <c r="BF430" i="53" s="1"/>
  <c r="BE430" i="53" s="1"/>
  <c r="BG430" i="53" s="1"/>
  <c r="BF431" i="53" s="1"/>
  <c r="BE431" i="53" s="1"/>
  <c r="BG431" i="53" s="1"/>
  <c r="BF432" i="53" s="1"/>
  <c r="BE432" i="53" s="1"/>
  <c r="BG432" i="53" s="1"/>
  <c r="BF433" i="53" s="1"/>
  <c r="BE433" i="53" s="1"/>
  <c r="BG433" i="53" s="1"/>
  <c r="BF434" i="53" s="1"/>
  <c r="BE434" i="53" s="1"/>
  <c r="BG434" i="53" s="1"/>
  <c r="BF435" i="53" s="1"/>
  <c r="BE435" i="53" s="1"/>
  <c r="BG435" i="53" s="1"/>
  <c r="BF436" i="53" s="1"/>
  <c r="BE436" i="53" s="1"/>
  <c r="BG436" i="53" s="1"/>
  <c r="BF437" i="53" s="1"/>
  <c r="BE437" i="53" s="1"/>
  <c r="BG437" i="53" s="1"/>
  <c r="BF438" i="53" s="1"/>
  <c r="BE438" i="53" s="1"/>
  <c r="BG438" i="53" s="1"/>
  <c r="BF439" i="53" s="1"/>
  <c r="BE439" i="53" s="1"/>
  <c r="BG439" i="53" s="1"/>
  <c r="BF440" i="53" s="1"/>
  <c r="BE440" i="53" s="1"/>
  <c r="BG440" i="53" s="1"/>
  <c r="BF441" i="53" s="1"/>
  <c r="BE441" i="53" s="1"/>
  <c r="BG441" i="53" s="1"/>
  <c r="BF442" i="53" s="1"/>
  <c r="BE442" i="53" s="1"/>
  <c r="BG442" i="53" s="1"/>
  <c r="BF443" i="53" s="1"/>
  <c r="BE443" i="53" s="1"/>
  <c r="BG443" i="53" s="1"/>
  <c r="BF444" i="53" s="1"/>
  <c r="BE444" i="53" s="1"/>
  <c r="BG444" i="53" s="1"/>
  <c r="BF445" i="53" s="1"/>
  <c r="BE445" i="53" s="1"/>
  <c r="BG445" i="53" s="1"/>
  <c r="BF446" i="53" s="1"/>
  <c r="BE446" i="53" s="1"/>
  <c r="BG446" i="53" s="1"/>
  <c r="BF447" i="53" s="1"/>
  <c r="BE447" i="53" s="1"/>
  <c r="BG447" i="53" s="1"/>
  <c r="BF448" i="53" s="1"/>
  <c r="BE448" i="53" s="1"/>
  <c r="BG448" i="53" s="1"/>
  <c r="BF449" i="53" s="1"/>
  <c r="BE449" i="53" s="1"/>
  <c r="BG449" i="53" s="1"/>
  <c r="BF450" i="53" s="1"/>
  <c r="BE450" i="53" s="1"/>
  <c r="BG450" i="53" s="1"/>
  <c r="BF451" i="53" s="1"/>
  <c r="BE451" i="53" s="1"/>
  <c r="BG451" i="53" s="1"/>
  <c r="BF452" i="53" s="1"/>
  <c r="BE452" i="53" s="1"/>
  <c r="BG452" i="53" s="1"/>
  <c r="BF453" i="53" s="1"/>
  <c r="BE453" i="53" s="1"/>
  <c r="BG453" i="53" s="1"/>
  <c r="I19" i="53"/>
  <c r="I20" i="53" s="1"/>
  <c r="G42" i="15" s="1"/>
  <c r="AR343" i="53"/>
  <c r="AR269" i="53"/>
  <c r="AR314" i="53"/>
  <c r="AR279" i="53"/>
  <c r="AR205" i="53"/>
  <c r="AR250" i="53"/>
  <c r="AR215" i="53"/>
  <c r="AR324" i="53"/>
  <c r="AR353" i="53"/>
  <c r="AR233" i="53"/>
  <c r="AR260" i="53"/>
  <c r="AR217" i="53"/>
  <c r="AR318" i="53"/>
  <c r="AR196" i="53"/>
  <c r="AR312" i="53"/>
  <c r="AR254" i="53"/>
  <c r="AR307" i="53"/>
  <c r="AR248" i="53"/>
  <c r="AR190" i="53"/>
  <c r="AR243" i="53"/>
  <c r="AR337" i="53"/>
  <c r="AR333" i="53"/>
  <c r="AR306" i="53"/>
  <c r="AR242" i="53"/>
  <c r="AR297" i="53"/>
  <c r="AR368" i="53"/>
  <c r="AR304" i="53"/>
  <c r="AR240" i="53"/>
  <c r="AR305" i="53"/>
  <c r="AR335" i="53"/>
  <c r="AR271" i="53"/>
  <c r="AR207" i="53"/>
  <c r="AR201" i="53"/>
  <c r="AR310" i="53"/>
  <c r="AR246" i="53"/>
  <c r="AR361" i="53"/>
  <c r="AR325" i="53"/>
  <c r="AR261" i="53"/>
  <c r="AR197" i="53"/>
  <c r="AR316" i="53"/>
  <c r="AR252" i="53"/>
  <c r="AR363" i="53"/>
  <c r="AR299" i="53"/>
  <c r="AR235" i="53"/>
  <c r="AR362" i="53"/>
  <c r="AR298" i="53"/>
  <c r="AR234" i="53"/>
  <c r="AR257" i="53"/>
  <c r="AR360" i="53"/>
  <c r="AR296" i="53"/>
  <c r="AR232" i="53"/>
  <c r="AR273" i="53"/>
  <c r="AR327" i="53"/>
  <c r="AR263" i="53"/>
  <c r="AR199" i="53"/>
  <c r="AR366" i="53"/>
  <c r="AR302" i="53"/>
  <c r="AR238" i="53"/>
  <c r="AR321" i="53"/>
  <c r="AR317" i="53"/>
  <c r="AR253" i="53"/>
  <c r="AU189" i="53"/>
  <c r="AT190" i="53" s="1"/>
  <c r="AR308" i="53"/>
  <c r="AR244" i="53"/>
  <c r="AR355" i="53"/>
  <c r="AR291" i="53"/>
  <c r="AR227" i="53"/>
  <c r="AR354" i="53"/>
  <c r="AR290" i="53"/>
  <c r="AR226" i="53"/>
  <c r="AR209" i="53"/>
  <c r="AR352" i="53"/>
  <c r="AR288" i="53"/>
  <c r="AR224" i="53"/>
  <c r="AR241" i="53"/>
  <c r="AR319" i="53"/>
  <c r="AR255" i="53"/>
  <c r="AR191" i="53"/>
  <c r="AR358" i="53"/>
  <c r="AR294" i="53"/>
  <c r="AR230" i="53"/>
  <c r="AR225" i="53"/>
  <c r="AR309" i="53"/>
  <c r="AR245" i="53"/>
  <c r="AR364" i="53"/>
  <c r="AR300" i="53"/>
  <c r="AR236" i="53"/>
  <c r="AR347" i="53"/>
  <c r="AR283" i="53"/>
  <c r="AR219" i="53"/>
  <c r="AR346" i="53"/>
  <c r="AR282" i="53"/>
  <c r="AR218" i="53"/>
  <c r="AR345" i="53"/>
  <c r="AR344" i="53"/>
  <c r="AR280" i="53"/>
  <c r="AR216" i="53"/>
  <c r="AR193" i="53"/>
  <c r="AR311" i="53"/>
  <c r="AR247" i="53"/>
  <c r="AR369" i="53"/>
  <c r="AR350" i="53"/>
  <c r="AR286" i="53"/>
  <c r="AR222" i="53"/>
  <c r="AR365" i="53"/>
  <c r="AR301" i="53"/>
  <c r="AR237" i="53"/>
  <c r="AR356" i="53"/>
  <c r="AR292" i="53"/>
  <c r="AR228" i="53"/>
  <c r="AR339" i="53"/>
  <c r="AR275" i="53"/>
  <c r="AR211" i="53"/>
  <c r="H75" i="53"/>
  <c r="AR338" i="53"/>
  <c r="AR274" i="53"/>
  <c r="AR210" i="53"/>
  <c r="AR313" i="53"/>
  <c r="AR336" i="53"/>
  <c r="AR272" i="53"/>
  <c r="AR208" i="53"/>
  <c r="AR367" i="53"/>
  <c r="AR303" i="53"/>
  <c r="AR239" i="53"/>
  <c r="AR329" i="53"/>
  <c r="AR342" i="53"/>
  <c r="AR278" i="53"/>
  <c r="AR214" i="53"/>
  <c r="AR357" i="53"/>
  <c r="AR293" i="53"/>
  <c r="AR229" i="53"/>
  <c r="AR348" i="53"/>
  <c r="AR284" i="53"/>
  <c r="AR220" i="53"/>
  <c r="AR331" i="53"/>
  <c r="AR267" i="53"/>
  <c r="AR203" i="53"/>
  <c r="AR330" i="53"/>
  <c r="AR266" i="53"/>
  <c r="AR202" i="53"/>
  <c r="AR281" i="53"/>
  <c r="AR328" i="53"/>
  <c r="AR264" i="53"/>
  <c r="AR200" i="53"/>
  <c r="AR359" i="53"/>
  <c r="AR295" i="53"/>
  <c r="AR231" i="53"/>
  <c r="AR289" i="53"/>
  <c r="AR334" i="53"/>
  <c r="AR270" i="53"/>
  <c r="AR206" i="53"/>
  <c r="AR349" i="53"/>
  <c r="AR285" i="53"/>
  <c r="AR221" i="53"/>
  <c r="AR340" i="53"/>
  <c r="AR276" i="53"/>
  <c r="AR212" i="53"/>
  <c r="AR323" i="53"/>
  <c r="AR259" i="53"/>
  <c r="AR195" i="53"/>
  <c r="AR322" i="53"/>
  <c r="AR258" i="53"/>
  <c r="AR194" i="53"/>
  <c r="AR249" i="53"/>
  <c r="AR320" i="53"/>
  <c r="AR256" i="53"/>
  <c r="AR192" i="53"/>
  <c r="AR351" i="53"/>
  <c r="AR287" i="53"/>
  <c r="AR223" i="53"/>
  <c r="AR265" i="53"/>
  <c r="AR326" i="53"/>
  <c r="AR262" i="53"/>
  <c r="AR198" i="53"/>
  <c r="AR341" i="53"/>
  <c r="AR277" i="53"/>
  <c r="AR213" i="53"/>
  <c r="AR332" i="53"/>
  <c r="AR268" i="53"/>
  <c r="AR204" i="53"/>
  <c r="AR315" i="53"/>
  <c r="AF187" i="53"/>
  <c r="AF195" i="53"/>
  <c r="AF203" i="53"/>
  <c r="AF211" i="53"/>
  <c r="AF219" i="53"/>
  <c r="AF227" i="53"/>
  <c r="AF235" i="53"/>
  <c r="AF243" i="53"/>
  <c r="AF251" i="53"/>
  <c r="AF259" i="53"/>
  <c r="AF267" i="53"/>
  <c r="AF275" i="53"/>
  <c r="AF283" i="53"/>
  <c r="AF291" i="53"/>
  <c r="AF299" i="53"/>
  <c r="AF307" i="53"/>
  <c r="AF315" i="53"/>
  <c r="AF323" i="53"/>
  <c r="AF331" i="53"/>
  <c r="AF339" i="53"/>
  <c r="AF347" i="53"/>
  <c r="AF355" i="53"/>
  <c r="AI180" i="53"/>
  <c r="AH181" i="53" s="1"/>
  <c r="AF188" i="53"/>
  <c r="AF196" i="53"/>
  <c r="AF204" i="53"/>
  <c r="AF212" i="53"/>
  <c r="AF220" i="53"/>
  <c r="AF228" i="53"/>
  <c r="AF236" i="53"/>
  <c r="AF244" i="53"/>
  <c r="AF252" i="53"/>
  <c r="AF260" i="53"/>
  <c r="AF268" i="53"/>
  <c r="AF276" i="53"/>
  <c r="AF284" i="53"/>
  <c r="AF292" i="53"/>
  <c r="AF300" i="53"/>
  <c r="AF308" i="53"/>
  <c r="AF316" i="53"/>
  <c r="AF324" i="53"/>
  <c r="AF332" i="53"/>
  <c r="AF340" i="53"/>
  <c r="AF348" i="53"/>
  <c r="AF356" i="53"/>
  <c r="AF213" i="53"/>
  <c r="AF205" i="53"/>
  <c r="AF261" i="53"/>
  <c r="AF301" i="53"/>
  <c r="AF349" i="53"/>
  <c r="AF182" i="53"/>
  <c r="AF190" i="53"/>
  <c r="AF198" i="53"/>
  <c r="AF206" i="53"/>
  <c r="AF214" i="53"/>
  <c r="AF222" i="53"/>
  <c r="AF230" i="53"/>
  <c r="AF238" i="53"/>
  <c r="AF246" i="53"/>
  <c r="AF254" i="53"/>
  <c r="AF262" i="53"/>
  <c r="AF270" i="53"/>
  <c r="AF278" i="53"/>
  <c r="AF286" i="53"/>
  <c r="AF294" i="53"/>
  <c r="AF302" i="53"/>
  <c r="AF310" i="53"/>
  <c r="AF318" i="53"/>
  <c r="AF326" i="53"/>
  <c r="AF334" i="53"/>
  <c r="AF342" i="53"/>
  <c r="AF350" i="53"/>
  <c r="AF358" i="53"/>
  <c r="AF181" i="53"/>
  <c r="AF237" i="53"/>
  <c r="AF269" i="53"/>
  <c r="AF317" i="53"/>
  <c r="AF183" i="53"/>
  <c r="AF191" i="53"/>
  <c r="AF199" i="53"/>
  <c r="AF207" i="53"/>
  <c r="AF215" i="53"/>
  <c r="AF223" i="53"/>
  <c r="AF231" i="53"/>
  <c r="AF239" i="53"/>
  <c r="AF247" i="53"/>
  <c r="AF255" i="53"/>
  <c r="AF263" i="53"/>
  <c r="AF271" i="53"/>
  <c r="AF279" i="53"/>
  <c r="AF287" i="53"/>
  <c r="AF295" i="53"/>
  <c r="AF303" i="53"/>
  <c r="AF311" i="53"/>
  <c r="AF319" i="53"/>
  <c r="AF327" i="53"/>
  <c r="AF335" i="53"/>
  <c r="AF343" i="53"/>
  <c r="AF351" i="53"/>
  <c r="AF359" i="53"/>
  <c r="AF189" i="53"/>
  <c r="AF245" i="53"/>
  <c r="AF285" i="53"/>
  <c r="AF325" i="53"/>
  <c r="AF184" i="53"/>
  <c r="AF192" i="53"/>
  <c r="AF200" i="53"/>
  <c r="AF208" i="53"/>
  <c r="AF216" i="53"/>
  <c r="AF224" i="53"/>
  <c r="AF232" i="53"/>
  <c r="AF240" i="53"/>
  <c r="AF248" i="53"/>
  <c r="AF256" i="53"/>
  <c r="AF264" i="53"/>
  <c r="AF272" i="53"/>
  <c r="AF280" i="53"/>
  <c r="AF288" i="53"/>
  <c r="AF296" i="53"/>
  <c r="AF304" i="53"/>
  <c r="AF312" i="53"/>
  <c r="AF320" i="53"/>
  <c r="AF328" i="53"/>
  <c r="AF336" i="53"/>
  <c r="AF344" i="53"/>
  <c r="AF352" i="53"/>
  <c r="AF360" i="53"/>
  <c r="AF197" i="53"/>
  <c r="AF253" i="53"/>
  <c r="AF293" i="53"/>
  <c r="AF333" i="53"/>
  <c r="AF185" i="53"/>
  <c r="AF193" i="53"/>
  <c r="AF201" i="53"/>
  <c r="AF209" i="53"/>
  <c r="AF217" i="53"/>
  <c r="AF225" i="53"/>
  <c r="AF233" i="53"/>
  <c r="AF241" i="53"/>
  <c r="AF249" i="53"/>
  <c r="AF257" i="53"/>
  <c r="AF265" i="53"/>
  <c r="AF273" i="53"/>
  <c r="AF281" i="53"/>
  <c r="AF289" i="53"/>
  <c r="AF297" i="53"/>
  <c r="AF305" i="53"/>
  <c r="AF313" i="53"/>
  <c r="AF321" i="53"/>
  <c r="AF329" i="53"/>
  <c r="AF337" i="53"/>
  <c r="AF345" i="53"/>
  <c r="AF353" i="53"/>
  <c r="AF221" i="53"/>
  <c r="AF277" i="53"/>
  <c r="AF341" i="53"/>
  <c r="AF186" i="53"/>
  <c r="AF194" i="53"/>
  <c r="AF202" i="53"/>
  <c r="AF210" i="53"/>
  <c r="AF218" i="53"/>
  <c r="AF226" i="53"/>
  <c r="AF234" i="53"/>
  <c r="AF242" i="53"/>
  <c r="AF250" i="53"/>
  <c r="AF258" i="53"/>
  <c r="AF266" i="53"/>
  <c r="AF274" i="53"/>
  <c r="AF282" i="53"/>
  <c r="AF290" i="53"/>
  <c r="AF298" i="53"/>
  <c r="AF306" i="53"/>
  <c r="AF314" i="53"/>
  <c r="AF322" i="53"/>
  <c r="AF330" i="53"/>
  <c r="AF338" i="53"/>
  <c r="AF346" i="53"/>
  <c r="AF354" i="53"/>
  <c r="AF229" i="53"/>
  <c r="AF309" i="53"/>
  <c r="AF357" i="53"/>
  <c r="D165" i="53"/>
  <c r="D173" i="53"/>
  <c r="D181" i="53"/>
  <c r="D189" i="53"/>
  <c r="D197" i="53"/>
  <c r="D205" i="53"/>
  <c r="D213" i="53"/>
  <c r="D221" i="53"/>
  <c r="D229" i="53"/>
  <c r="D237" i="53"/>
  <c r="D245" i="53"/>
  <c r="D253" i="53"/>
  <c r="D261" i="53"/>
  <c r="D269" i="53"/>
  <c r="D277" i="53"/>
  <c r="D285" i="53"/>
  <c r="D293" i="53"/>
  <c r="D301" i="53"/>
  <c r="D309" i="53"/>
  <c r="D317" i="53"/>
  <c r="D325" i="53"/>
  <c r="D333" i="53"/>
  <c r="I75" i="53"/>
  <c r="D166" i="53"/>
  <c r="D174" i="53"/>
  <c r="D182" i="53"/>
  <c r="D190" i="53"/>
  <c r="D198" i="53"/>
  <c r="D206" i="53"/>
  <c r="D214" i="53"/>
  <c r="D222" i="53"/>
  <c r="D230" i="53"/>
  <c r="D238" i="53"/>
  <c r="D246" i="53"/>
  <c r="D254" i="53"/>
  <c r="D262" i="53"/>
  <c r="D270" i="53"/>
  <c r="D278" i="53"/>
  <c r="D286" i="53"/>
  <c r="D294" i="53"/>
  <c r="D302" i="53"/>
  <c r="D310" i="53"/>
  <c r="D318" i="53"/>
  <c r="D326" i="53"/>
  <c r="D334" i="53"/>
  <c r="D239" i="53"/>
  <c r="D295" i="53"/>
  <c r="D199" i="53"/>
  <c r="D255" i="53"/>
  <c r="D311" i="53"/>
  <c r="D160" i="53"/>
  <c r="D168" i="53"/>
  <c r="D176" i="53"/>
  <c r="D184" i="53"/>
  <c r="D192" i="53"/>
  <c r="D200" i="53"/>
  <c r="D208" i="53"/>
  <c r="D216" i="53"/>
  <c r="D224" i="53"/>
  <c r="D232" i="53"/>
  <c r="D240" i="53"/>
  <c r="D248" i="53"/>
  <c r="D256" i="53"/>
  <c r="D264" i="53"/>
  <c r="D272" i="53"/>
  <c r="D280" i="53"/>
  <c r="D288" i="53"/>
  <c r="D296" i="53"/>
  <c r="D304" i="53"/>
  <c r="D312" i="53"/>
  <c r="D320" i="53"/>
  <c r="D328" i="53"/>
  <c r="D336" i="53"/>
  <c r="D167" i="53"/>
  <c r="D223" i="53"/>
  <c r="D279" i="53"/>
  <c r="D335" i="53"/>
  <c r="D161" i="53"/>
  <c r="D169" i="53"/>
  <c r="D177" i="53"/>
  <c r="D185" i="53"/>
  <c r="D193" i="53"/>
  <c r="D201" i="53"/>
  <c r="D209" i="53"/>
  <c r="D217" i="53"/>
  <c r="D225" i="53"/>
  <c r="D233" i="53"/>
  <c r="D241" i="53"/>
  <c r="D249" i="53"/>
  <c r="D257" i="53"/>
  <c r="D265" i="53"/>
  <c r="D273" i="53"/>
  <c r="D281" i="53"/>
  <c r="D289" i="53"/>
  <c r="D297" i="53"/>
  <c r="D305" i="53"/>
  <c r="D313" i="53"/>
  <c r="D321" i="53"/>
  <c r="D329" i="53"/>
  <c r="D337" i="53"/>
  <c r="G159" i="53"/>
  <c r="D207" i="53"/>
  <c r="D263" i="53"/>
  <c r="D319" i="53"/>
  <c r="D162" i="53"/>
  <c r="D170" i="53"/>
  <c r="D178" i="53"/>
  <c r="D186" i="53"/>
  <c r="D194" i="53"/>
  <c r="D202" i="53"/>
  <c r="D210" i="53"/>
  <c r="D218" i="53"/>
  <c r="D226" i="53"/>
  <c r="D234" i="53"/>
  <c r="D242" i="53"/>
  <c r="D250" i="53"/>
  <c r="D258" i="53"/>
  <c r="D266" i="53"/>
  <c r="D274" i="53"/>
  <c r="D282" i="53"/>
  <c r="D290" i="53"/>
  <c r="D298" i="53"/>
  <c r="D306" i="53"/>
  <c r="D314" i="53"/>
  <c r="D322" i="53"/>
  <c r="D330" i="53"/>
  <c r="D338" i="53"/>
  <c r="D175" i="53"/>
  <c r="D215" i="53"/>
  <c r="D271" i="53"/>
  <c r="D327" i="53"/>
  <c r="D163" i="53"/>
  <c r="D171" i="53"/>
  <c r="D179" i="53"/>
  <c r="D187" i="53"/>
  <c r="D195" i="53"/>
  <c r="D203" i="53"/>
  <c r="D211" i="53"/>
  <c r="D219" i="53"/>
  <c r="D227" i="53"/>
  <c r="D235" i="53"/>
  <c r="D243" i="53"/>
  <c r="D251" i="53"/>
  <c r="D259" i="53"/>
  <c r="D267" i="53"/>
  <c r="D275" i="53"/>
  <c r="D283" i="53"/>
  <c r="D291" i="53"/>
  <c r="D299" i="53"/>
  <c r="D307" i="53"/>
  <c r="D315" i="53"/>
  <c r="D323" i="53"/>
  <c r="D331" i="53"/>
  <c r="D339" i="53"/>
  <c r="D183" i="53"/>
  <c r="D231" i="53"/>
  <c r="D287" i="53"/>
  <c r="D164" i="53"/>
  <c r="D172" i="53"/>
  <c r="D180" i="53"/>
  <c r="D188" i="53"/>
  <c r="D196" i="53"/>
  <c r="D204" i="53"/>
  <c r="D212" i="53"/>
  <c r="D220" i="53"/>
  <c r="D228" i="53"/>
  <c r="D236" i="53"/>
  <c r="D244" i="53"/>
  <c r="D252" i="53"/>
  <c r="D260" i="53"/>
  <c r="D268" i="53"/>
  <c r="D276" i="53"/>
  <c r="D284" i="53"/>
  <c r="D292" i="53"/>
  <c r="D300" i="53"/>
  <c r="D308" i="53"/>
  <c r="D316" i="53"/>
  <c r="D324" i="53"/>
  <c r="D332" i="53"/>
  <c r="D191" i="53"/>
  <c r="D247" i="53"/>
  <c r="D303" i="53"/>
  <c r="P172" i="53"/>
  <c r="P180" i="53"/>
  <c r="P188" i="53"/>
  <c r="P196" i="53"/>
  <c r="P204" i="53"/>
  <c r="P212" i="53"/>
  <c r="P220" i="53"/>
  <c r="P228" i="53"/>
  <c r="P236" i="53"/>
  <c r="P244" i="53"/>
  <c r="P252" i="53"/>
  <c r="P260" i="53"/>
  <c r="P268" i="53"/>
  <c r="P276" i="53"/>
  <c r="P284" i="53"/>
  <c r="P292" i="53"/>
  <c r="P300" i="53"/>
  <c r="P308" i="53"/>
  <c r="P316" i="53"/>
  <c r="P324" i="53"/>
  <c r="P332" i="53"/>
  <c r="P340" i="53"/>
  <c r="P348" i="53"/>
  <c r="P173" i="53"/>
  <c r="P181" i="53"/>
  <c r="P189" i="53"/>
  <c r="P197" i="53"/>
  <c r="P205" i="53"/>
  <c r="P213" i="53"/>
  <c r="P221" i="53"/>
  <c r="P229" i="53"/>
  <c r="P237" i="53"/>
  <c r="P245" i="53"/>
  <c r="P253" i="53"/>
  <c r="P261" i="53"/>
  <c r="P269" i="53"/>
  <c r="P277" i="53"/>
  <c r="P285" i="53"/>
  <c r="P293" i="53"/>
  <c r="P301" i="53"/>
  <c r="P309" i="53"/>
  <c r="P317" i="53"/>
  <c r="P325" i="53"/>
  <c r="P333" i="53"/>
  <c r="P341" i="53"/>
  <c r="P174" i="53"/>
  <c r="P182" i="53"/>
  <c r="P190" i="53"/>
  <c r="P198" i="53"/>
  <c r="P206" i="53"/>
  <c r="P214" i="53"/>
  <c r="P222" i="53"/>
  <c r="P230" i="53"/>
  <c r="P238" i="53"/>
  <c r="P246" i="53"/>
  <c r="P254" i="53"/>
  <c r="P262" i="53"/>
  <c r="P294" i="53"/>
  <c r="P310" i="53"/>
  <c r="P326" i="53"/>
  <c r="P334" i="53"/>
  <c r="P175" i="53"/>
  <c r="P183" i="53"/>
  <c r="P191" i="53"/>
  <c r="P199" i="53"/>
  <c r="P207" i="53"/>
  <c r="P215" i="53"/>
  <c r="P223" i="53"/>
  <c r="P231" i="53"/>
  <c r="P239" i="53"/>
  <c r="P247" i="53"/>
  <c r="P255" i="53"/>
  <c r="P263" i="53"/>
  <c r="P271" i="53"/>
  <c r="P279" i="53"/>
  <c r="P287" i="53"/>
  <c r="P295" i="53"/>
  <c r="P303" i="53"/>
  <c r="P311" i="53"/>
  <c r="P319" i="53"/>
  <c r="P327" i="53"/>
  <c r="P335" i="53"/>
  <c r="P343" i="53"/>
  <c r="P278" i="53"/>
  <c r="S168" i="53"/>
  <c r="R169" i="53" s="1"/>
  <c r="P176" i="53"/>
  <c r="P184" i="53"/>
  <c r="P192" i="53"/>
  <c r="P200" i="53"/>
  <c r="P208" i="53"/>
  <c r="P216" i="53"/>
  <c r="P224" i="53"/>
  <c r="P232" i="53"/>
  <c r="P240" i="53"/>
  <c r="P248" i="53"/>
  <c r="P256" i="53"/>
  <c r="P264" i="53"/>
  <c r="P272" i="53"/>
  <c r="P280" i="53"/>
  <c r="P288" i="53"/>
  <c r="P296" i="53"/>
  <c r="P304" i="53"/>
  <c r="P312" i="53"/>
  <c r="P320" i="53"/>
  <c r="P328" i="53"/>
  <c r="P336" i="53"/>
  <c r="P344" i="53"/>
  <c r="P286" i="53"/>
  <c r="P169" i="53"/>
  <c r="P177" i="53"/>
  <c r="P185" i="53"/>
  <c r="P193" i="53"/>
  <c r="P201" i="53"/>
  <c r="P209" i="53"/>
  <c r="P217" i="53"/>
  <c r="P225" i="53"/>
  <c r="P233" i="53"/>
  <c r="P241" i="53"/>
  <c r="P249" i="53"/>
  <c r="P257" i="53"/>
  <c r="P265" i="53"/>
  <c r="P273" i="53"/>
  <c r="P281" i="53"/>
  <c r="P289" i="53"/>
  <c r="P297" i="53"/>
  <c r="P305" i="53"/>
  <c r="P313" i="53"/>
  <c r="P321" i="53"/>
  <c r="P329" i="53"/>
  <c r="P337" i="53"/>
  <c r="P345" i="53"/>
  <c r="P318" i="53"/>
  <c r="P170" i="53"/>
  <c r="P178" i="53"/>
  <c r="P186" i="53"/>
  <c r="P194" i="53"/>
  <c r="P202" i="53"/>
  <c r="P210" i="53"/>
  <c r="P218" i="53"/>
  <c r="P226" i="53"/>
  <c r="P234" i="53"/>
  <c r="P242" i="53"/>
  <c r="P250" i="53"/>
  <c r="P258" i="53"/>
  <c r="P266" i="53"/>
  <c r="P274" i="53"/>
  <c r="P282" i="53"/>
  <c r="P290" i="53"/>
  <c r="P298" i="53"/>
  <c r="P306" i="53"/>
  <c r="P314" i="53"/>
  <c r="P322" i="53"/>
  <c r="P330" i="53"/>
  <c r="P338" i="53"/>
  <c r="P346" i="53"/>
  <c r="P270" i="53"/>
  <c r="P342" i="53"/>
  <c r="P171" i="53"/>
  <c r="P179" i="53"/>
  <c r="P187" i="53"/>
  <c r="P195" i="53"/>
  <c r="P203" i="53"/>
  <c r="P211" i="53"/>
  <c r="P219" i="53"/>
  <c r="P227" i="53"/>
  <c r="P235" i="53"/>
  <c r="P243" i="53"/>
  <c r="P251" i="53"/>
  <c r="P259" i="53"/>
  <c r="P267" i="53"/>
  <c r="P275" i="53"/>
  <c r="P283" i="53"/>
  <c r="P291" i="53"/>
  <c r="P299" i="53"/>
  <c r="P307" i="53"/>
  <c r="P315" i="53"/>
  <c r="P323" i="53"/>
  <c r="P331" i="53"/>
  <c r="P339" i="53"/>
  <c r="P347" i="53"/>
  <c r="P302" i="53"/>
  <c r="H12" i="47"/>
  <c r="F19" i="47"/>
  <c r="G17" i="47"/>
  <c r="AG51" i="34"/>
  <c r="AG58" i="34" s="1"/>
  <c r="G20" i="53" l="1"/>
  <c r="Q169" i="53"/>
  <c r="S169" i="53" s="1"/>
  <c r="R170" i="53" s="1"/>
  <c r="BI202" i="53"/>
  <c r="BK202" i="53" s="1"/>
  <c r="BJ203" i="53" s="1"/>
  <c r="BI203" i="53" s="1"/>
  <c r="BK203" i="53" s="1"/>
  <c r="BJ204" i="53" s="1"/>
  <c r="BI204" i="53" s="1"/>
  <c r="BK204" i="53" s="1"/>
  <c r="BJ205" i="53" s="1"/>
  <c r="BI205" i="53" s="1"/>
  <c r="BK205" i="53" s="1"/>
  <c r="BJ206" i="53" s="1"/>
  <c r="BI206" i="53" s="1"/>
  <c r="BK206" i="53" s="1"/>
  <c r="BJ207" i="53" s="1"/>
  <c r="BI207" i="53" s="1"/>
  <c r="BK207" i="53" s="1"/>
  <c r="BJ208" i="53" s="1"/>
  <c r="BI208" i="53" s="1"/>
  <c r="BK208" i="53" s="1"/>
  <c r="BJ209" i="53" s="1"/>
  <c r="BI209" i="53" s="1"/>
  <c r="BK209" i="53" s="1"/>
  <c r="BJ210" i="53" s="1"/>
  <c r="BI210" i="53" s="1"/>
  <c r="BK210" i="53" s="1"/>
  <c r="BJ211" i="53" s="1"/>
  <c r="BI211" i="53" s="1"/>
  <c r="BK211" i="53" s="1"/>
  <c r="BJ212" i="53" s="1"/>
  <c r="BI212" i="53" s="1"/>
  <c r="BK212" i="53" s="1"/>
  <c r="BJ213" i="53" s="1"/>
  <c r="BI213" i="53" s="1"/>
  <c r="BK213" i="53" s="1"/>
  <c r="BJ214" i="53" s="1"/>
  <c r="BI214" i="53" s="1"/>
  <c r="BK214" i="53" s="1"/>
  <c r="BJ215" i="53" s="1"/>
  <c r="BI215" i="53" s="1"/>
  <c r="BK215" i="53" s="1"/>
  <c r="BJ216" i="53" s="1"/>
  <c r="BI216" i="53" s="1"/>
  <c r="BK216" i="53" s="1"/>
  <c r="BJ217" i="53" s="1"/>
  <c r="BI217" i="53" s="1"/>
  <c r="BK217" i="53" s="1"/>
  <c r="BJ218" i="53" s="1"/>
  <c r="BI218" i="53" s="1"/>
  <c r="BK218" i="53" s="1"/>
  <c r="BJ219" i="53" s="1"/>
  <c r="BI219" i="53" s="1"/>
  <c r="BK219" i="53" s="1"/>
  <c r="BJ220" i="53" s="1"/>
  <c r="BI220" i="53" s="1"/>
  <c r="BK220" i="53" s="1"/>
  <c r="BJ221" i="53" s="1"/>
  <c r="BI221" i="53" s="1"/>
  <c r="BK221" i="53" s="1"/>
  <c r="BJ222" i="53" s="1"/>
  <c r="BI222" i="53" s="1"/>
  <c r="BK222" i="53" s="1"/>
  <c r="BJ223" i="53" s="1"/>
  <c r="BI223" i="53" s="1"/>
  <c r="BK223" i="53" s="1"/>
  <c r="BJ224" i="53" s="1"/>
  <c r="BI224" i="53" s="1"/>
  <c r="BK224" i="53" s="1"/>
  <c r="BJ225" i="53" s="1"/>
  <c r="BI225" i="53" s="1"/>
  <c r="BK225" i="53" s="1"/>
  <c r="BJ226" i="53" s="1"/>
  <c r="BI226" i="53" s="1"/>
  <c r="BK226" i="53" s="1"/>
  <c r="BJ227" i="53" s="1"/>
  <c r="BI227" i="53" s="1"/>
  <c r="BK227" i="53" s="1"/>
  <c r="BJ228" i="53" s="1"/>
  <c r="BI228" i="53" s="1"/>
  <c r="BK228" i="53" s="1"/>
  <c r="BJ229" i="53" s="1"/>
  <c r="BI229" i="53" s="1"/>
  <c r="BK229" i="53" s="1"/>
  <c r="BJ230" i="53" s="1"/>
  <c r="BI230" i="53" s="1"/>
  <c r="BK230" i="53" s="1"/>
  <c r="BJ231" i="53" s="1"/>
  <c r="BI231" i="53" s="1"/>
  <c r="BK231" i="53" s="1"/>
  <c r="BJ232" i="53" s="1"/>
  <c r="BI232" i="53" s="1"/>
  <c r="BK232" i="53" s="1"/>
  <c r="BJ233" i="53" s="1"/>
  <c r="BI233" i="53" s="1"/>
  <c r="BK233" i="53" s="1"/>
  <c r="BJ234" i="53" s="1"/>
  <c r="BI234" i="53" s="1"/>
  <c r="BK234" i="53" s="1"/>
  <c r="BJ235" i="53" s="1"/>
  <c r="BI235" i="53" s="1"/>
  <c r="BK235" i="53" s="1"/>
  <c r="BJ236" i="53" s="1"/>
  <c r="BI236" i="53" s="1"/>
  <c r="BK236" i="53" s="1"/>
  <c r="BJ237" i="53" s="1"/>
  <c r="BI237" i="53" s="1"/>
  <c r="BK237" i="53" s="1"/>
  <c r="BJ238" i="53" s="1"/>
  <c r="BI238" i="53" s="1"/>
  <c r="BK238" i="53" s="1"/>
  <c r="BJ239" i="53" s="1"/>
  <c r="BI239" i="53" s="1"/>
  <c r="BK239" i="53" s="1"/>
  <c r="BJ240" i="53" s="1"/>
  <c r="BI240" i="53" s="1"/>
  <c r="BK240" i="53" s="1"/>
  <c r="BJ241" i="53" s="1"/>
  <c r="BI241" i="53" s="1"/>
  <c r="BK241" i="53" s="1"/>
  <c r="BJ242" i="53" s="1"/>
  <c r="BI242" i="53" s="1"/>
  <c r="BK242" i="53" s="1"/>
  <c r="BJ243" i="53" s="1"/>
  <c r="BI243" i="53" s="1"/>
  <c r="BK243" i="53" s="1"/>
  <c r="BJ244" i="53" s="1"/>
  <c r="BI244" i="53" s="1"/>
  <c r="BK244" i="53" s="1"/>
  <c r="BJ245" i="53" s="1"/>
  <c r="BI245" i="53" s="1"/>
  <c r="BK245" i="53" s="1"/>
  <c r="BJ246" i="53" s="1"/>
  <c r="BI246" i="53" s="1"/>
  <c r="BK246" i="53" s="1"/>
  <c r="BJ247" i="53" s="1"/>
  <c r="BI247" i="53" s="1"/>
  <c r="BK247" i="53" s="1"/>
  <c r="BJ248" i="53" s="1"/>
  <c r="BI248" i="53" s="1"/>
  <c r="BK248" i="53" s="1"/>
  <c r="BJ249" i="53" s="1"/>
  <c r="BI249" i="53" s="1"/>
  <c r="BK249" i="53" s="1"/>
  <c r="BJ250" i="53" s="1"/>
  <c r="BI250" i="53" s="1"/>
  <c r="BK250" i="53" s="1"/>
  <c r="BJ251" i="53" s="1"/>
  <c r="BI251" i="53" s="1"/>
  <c r="BK251" i="53" s="1"/>
  <c r="BJ252" i="53" s="1"/>
  <c r="BI252" i="53" s="1"/>
  <c r="BK252" i="53" s="1"/>
  <c r="BJ253" i="53" s="1"/>
  <c r="BI253" i="53" s="1"/>
  <c r="BK253" i="53" s="1"/>
  <c r="BJ254" i="53" s="1"/>
  <c r="BI254" i="53" s="1"/>
  <c r="BK254" i="53" s="1"/>
  <c r="BJ255" i="53" s="1"/>
  <c r="BI255" i="53" s="1"/>
  <c r="BK255" i="53" s="1"/>
  <c r="BJ256" i="53" s="1"/>
  <c r="BI256" i="53" s="1"/>
  <c r="BK256" i="53" s="1"/>
  <c r="BJ257" i="53" s="1"/>
  <c r="BI257" i="53" s="1"/>
  <c r="BK257" i="53" s="1"/>
  <c r="BJ258" i="53" s="1"/>
  <c r="BI258" i="53" s="1"/>
  <c r="BK258" i="53" s="1"/>
  <c r="BJ259" i="53" s="1"/>
  <c r="BI259" i="53" s="1"/>
  <c r="BK259" i="53" s="1"/>
  <c r="BJ260" i="53" s="1"/>
  <c r="BI260" i="53" s="1"/>
  <c r="BK260" i="53" s="1"/>
  <c r="BJ261" i="53" s="1"/>
  <c r="BI261" i="53" s="1"/>
  <c r="BK261" i="53" s="1"/>
  <c r="BJ262" i="53" s="1"/>
  <c r="BI262" i="53" s="1"/>
  <c r="BK262" i="53" s="1"/>
  <c r="BJ263" i="53" s="1"/>
  <c r="BI263" i="53" s="1"/>
  <c r="BK263" i="53" s="1"/>
  <c r="BJ264" i="53" s="1"/>
  <c r="BI264" i="53" s="1"/>
  <c r="BK264" i="53" s="1"/>
  <c r="BJ265" i="53" s="1"/>
  <c r="BI265" i="53" s="1"/>
  <c r="BK265" i="53" s="1"/>
  <c r="BJ266" i="53" s="1"/>
  <c r="BI266" i="53" s="1"/>
  <c r="BK266" i="53" s="1"/>
  <c r="BJ267" i="53" s="1"/>
  <c r="BI267" i="53" s="1"/>
  <c r="BK267" i="53" s="1"/>
  <c r="BJ268" i="53" s="1"/>
  <c r="BI268" i="53" s="1"/>
  <c r="BK268" i="53" s="1"/>
  <c r="BJ269" i="53" s="1"/>
  <c r="BI269" i="53" s="1"/>
  <c r="BK269" i="53" s="1"/>
  <c r="BJ270" i="53" s="1"/>
  <c r="BI270" i="53" s="1"/>
  <c r="BK270" i="53" s="1"/>
  <c r="BJ271" i="53" s="1"/>
  <c r="BI271" i="53" s="1"/>
  <c r="BK271" i="53" s="1"/>
  <c r="BJ272" i="53" s="1"/>
  <c r="BI272" i="53" s="1"/>
  <c r="BK272" i="53" s="1"/>
  <c r="BJ273" i="53" s="1"/>
  <c r="BI273" i="53" s="1"/>
  <c r="BK273" i="53" s="1"/>
  <c r="BJ274" i="53" s="1"/>
  <c r="BI274" i="53" s="1"/>
  <c r="BK274" i="53" s="1"/>
  <c r="BJ275" i="53" s="1"/>
  <c r="BI275" i="53" s="1"/>
  <c r="BK275" i="53" s="1"/>
  <c r="BJ276" i="53" s="1"/>
  <c r="BI276" i="53" s="1"/>
  <c r="BK276" i="53" s="1"/>
  <c r="BJ277" i="53" s="1"/>
  <c r="BI277" i="53" s="1"/>
  <c r="BK277" i="53" s="1"/>
  <c r="BJ278" i="53" s="1"/>
  <c r="BI278" i="53" s="1"/>
  <c r="BK278" i="53" s="1"/>
  <c r="BJ279" i="53" s="1"/>
  <c r="BI279" i="53" s="1"/>
  <c r="BK279" i="53" s="1"/>
  <c r="BJ280" i="53" s="1"/>
  <c r="BI280" i="53" s="1"/>
  <c r="BK280" i="53" s="1"/>
  <c r="BJ281" i="53" s="1"/>
  <c r="BI281" i="53" s="1"/>
  <c r="BK281" i="53" s="1"/>
  <c r="BJ282" i="53" s="1"/>
  <c r="BI282" i="53" s="1"/>
  <c r="BK282" i="53" s="1"/>
  <c r="BJ283" i="53" s="1"/>
  <c r="BI283" i="53" s="1"/>
  <c r="BK283" i="53" s="1"/>
  <c r="BJ284" i="53" s="1"/>
  <c r="BI284" i="53" s="1"/>
  <c r="BK284" i="53" s="1"/>
  <c r="BJ285" i="53" s="1"/>
  <c r="BI285" i="53" s="1"/>
  <c r="BK285" i="53" s="1"/>
  <c r="BJ286" i="53" s="1"/>
  <c r="BI286" i="53" s="1"/>
  <c r="BK286" i="53" s="1"/>
  <c r="BJ287" i="53" s="1"/>
  <c r="BI287" i="53" s="1"/>
  <c r="BK287" i="53" s="1"/>
  <c r="BJ288" i="53" s="1"/>
  <c r="BI288" i="53" s="1"/>
  <c r="BK288" i="53" s="1"/>
  <c r="BJ289" i="53" s="1"/>
  <c r="BI289" i="53" s="1"/>
  <c r="BK289" i="53" s="1"/>
  <c r="BJ290" i="53" s="1"/>
  <c r="BI290" i="53" s="1"/>
  <c r="BK290" i="53" s="1"/>
  <c r="BJ291" i="53" s="1"/>
  <c r="BI291" i="53" s="1"/>
  <c r="BK291" i="53" s="1"/>
  <c r="BJ292" i="53" s="1"/>
  <c r="BI292" i="53" s="1"/>
  <c r="BK292" i="53" s="1"/>
  <c r="BJ293" i="53" s="1"/>
  <c r="BI293" i="53" s="1"/>
  <c r="BK293" i="53" s="1"/>
  <c r="BJ294" i="53" s="1"/>
  <c r="BI294" i="53" s="1"/>
  <c r="BK294" i="53" s="1"/>
  <c r="BJ295" i="53" s="1"/>
  <c r="BI295" i="53" s="1"/>
  <c r="BK295" i="53" s="1"/>
  <c r="BJ296" i="53" s="1"/>
  <c r="BI296" i="53" s="1"/>
  <c r="BK296" i="53" s="1"/>
  <c r="BJ297" i="53" s="1"/>
  <c r="BI297" i="53" s="1"/>
  <c r="BK297" i="53" s="1"/>
  <c r="BJ298" i="53" s="1"/>
  <c r="BI298" i="53" s="1"/>
  <c r="BK298" i="53" s="1"/>
  <c r="BJ299" i="53" s="1"/>
  <c r="BI299" i="53" s="1"/>
  <c r="BK299" i="53" s="1"/>
  <c r="BJ300" i="53" s="1"/>
  <c r="BI300" i="53" s="1"/>
  <c r="BK300" i="53" s="1"/>
  <c r="BJ301" i="53" s="1"/>
  <c r="BI301" i="53" s="1"/>
  <c r="BK301" i="53" s="1"/>
  <c r="BJ302" i="53" s="1"/>
  <c r="BI302" i="53" s="1"/>
  <c r="BK302" i="53" s="1"/>
  <c r="BJ303" i="53" s="1"/>
  <c r="BI303" i="53" s="1"/>
  <c r="BK303" i="53" s="1"/>
  <c r="BJ304" i="53" s="1"/>
  <c r="BI304" i="53" s="1"/>
  <c r="BK304" i="53" s="1"/>
  <c r="BJ305" i="53" s="1"/>
  <c r="BI305" i="53" s="1"/>
  <c r="BK305" i="53" s="1"/>
  <c r="BJ306" i="53" s="1"/>
  <c r="BI306" i="53" s="1"/>
  <c r="BK306" i="53" s="1"/>
  <c r="BJ307" i="53" s="1"/>
  <c r="BI307" i="53" s="1"/>
  <c r="BK307" i="53" s="1"/>
  <c r="BJ308" i="53" s="1"/>
  <c r="BI308" i="53" s="1"/>
  <c r="BK308" i="53" s="1"/>
  <c r="BJ309" i="53" s="1"/>
  <c r="BI309" i="53" s="1"/>
  <c r="BK309" i="53" s="1"/>
  <c r="BJ310" i="53" s="1"/>
  <c r="BI310" i="53" s="1"/>
  <c r="BK310" i="53" s="1"/>
  <c r="BJ311" i="53" s="1"/>
  <c r="BI311" i="53" s="1"/>
  <c r="BK311" i="53" s="1"/>
  <c r="BJ312" i="53" s="1"/>
  <c r="BI312" i="53" s="1"/>
  <c r="BK312" i="53" s="1"/>
  <c r="BJ313" i="53" s="1"/>
  <c r="BI313" i="53" s="1"/>
  <c r="BK313" i="53" s="1"/>
  <c r="BJ314" i="53" s="1"/>
  <c r="BI314" i="53" s="1"/>
  <c r="BK314" i="53" s="1"/>
  <c r="BJ315" i="53" s="1"/>
  <c r="BI315" i="53" s="1"/>
  <c r="BK315" i="53" s="1"/>
  <c r="BJ316" i="53" s="1"/>
  <c r="BI316" i="53" s="1"/>
  <c r="BK316" i="53" s="1"/>
  <c r="BJ317" i="53" s="1"/>
  <c r="BI317" i="53" s="1"/>
  <c r="BK317" i="53" s="1"/>
  <c r="BJ318" i="53" s="1"/>
  <c r="BI318" i="53" s="1"/>
  <c r="BK318" i="53" s="1"/>
  <c r="BJ319" i="53" s="1"/>
  <c r="BI319" i="53" s="1"/>
  <c r="BK319" i="53" s="1"/>
  <c r="BJ320" i="53" s="1"/>
  <c r="BI320" i="53" s="1"/>
  <c r="BK320" i="53" s="1"/>
  <c r="BJ321" i="53" s="1"/>
  <c r="BI321" i="53" s="1"/>
  <c r="BK321" i="53" s="1"/>
  <c r="BJ322" i="53" s="1"/>
  <c r="BI322" i="53" s="1"/>
  <c r="BK322" i="53" s="1"/>
  <c r="BJ323" i="53" s="1"/>
  <c r="BI323" i="53" s="1"/>
  <c r="BK323" i="53" s="1"/>
  <c r="BJ324" i="53" s="1"/>
  <c r="BI324" i="53" s="1"/>
  <c r="BK324" i="53" s="1"/>
  <c r="BJ325" i="53" s="1"/>
  <c r="BI325" i="53" s="1"/>
  <c r="BK325" i="53" s="1"/>
  <c r="BJ326" i="53" s="1"/>
  <c r="BI326" i="53" s="1"/>
  <c r="BK326" i="53" s="1"/>
  <c r="BJ327" i="53" s="1"/>
  <c r="BI327" i="53" s="1"/>
  <c r="BK327" i="53" s="1"/>
  <c r="BJ328" i="53" s="1"/>
  <c r="BI328" i="53" s="1"/>
  <c r="BK328" i="53" s="1"/>
  <c r="BJ329" i="53" s="1"/>
  <c r="BI329" i="53" s="1"/>
  <c r="BK329" i="53" s="1"/>
  <c r="BJ330" i="53" s="1"/>
  <c r="BI330" i="53" s="1"/>
  <c r="BK330" i="53" s="1"/>
  <c r="BJ331" i="53" s="1"/>
  <c r="BI331" i="53" s="1"/>
  <c r="BK331" i="53" s="1"/>
  <c r="BJ332" i="53" s="1"/>
  <c r="BI332" i="53" s="1"/>
  <c r="BK332" i="53" s="1"/>
  <c r="BJ333" i="53" s="1"/>
  <c r="BI333" i="53" s="1"/>
  <c r="BK333" i="53" s="1"/>
  <c r="BJ334" i="53" s="1"/>
  <c r="BI334" i="53" s="1"/>
  <c r="BK334" i="53" s="1"/>
  <c r="BJ335" i="53" s="1"/>
  <c r="BI335" i="53" s="1"/>
  <c r="BK335" i="53" s="1"/>
  <c r="BJ336" i="53" s="1"/>
  <c r="BI336" i="53" s="1"/>
  <c r="BK336" i="53" s="1"/>
  <c r="BJ337" i="53" s="1"/>
  <c r="BI337" i="53" s="1"/>
  <c r="BK337" i="53" s="1"/>
  <c r="BJ338" i="53" s="1"/>
  <c r="BI338" i="53" s="1"/>
  <c r="BK338" i="53" s="1"/>
  <c r="BJ339" i="53" s="1"/>
  <c r="BI339" i="53" s="1"/>
  <c r="BK339" i="53" s="1"/>
  <c r="BJ340" i="53" s="1"/>
  <c r="BI340" i="53" s="1"/>
  <c r="BK340" i="53" s="1"/>
  <c r="BJ341" i="53" s="1"/>
  <c r="BI341" i="53" s="1"/>
  <c r="BK341" i="53" s="1"/>
  <c r="BJ342" i="53" s="1"/>
  <c r="BI342" i="53" s="1"/>
  <c r="BK342" i="53" s="1"/>
  <c r="BJ343" i="53" s="1"/>
  <c r="BI343" i="53" s="1"/>
  <c r="BK343" i="53" s="1"/>
  <c r="BJ344" i="53" s="1"/>
  <c r="BI344" i="53" s="1"/>
  <c r="BK344" i="53" s="1"/>
  <c r="BJ345" i="53" s="1"/>
  <c r="BI345" i="53" s="1"/>
  <c r="BK345" i="53" s="1"/>
  <c r="BJ346" i="53" s="1"/>
  <c r="BI346" i="53" s="1"/>
  <c r="BK346" i="53" s="1"/>
  <c r="BJ347" i="53" s="1"/>
  <c r="BI347" i="53" s="1"/>
  <c r="BK347" i="53" s="1"/>
  <c r="BJ348" i="53" s="1"/>
  <c r="BI348" i="53" s="1"/>
  <c r="BK348" i="53" s="1"/>
  <c r="BJ349" i="53" s="1"/>
  <c r="BI349" i="53" s="1"/>
  <c r="BK349" i="53" s="1"/>
  <c r="BJ350" i="53" s="1"/>
  <c r="BI350" i="53" s="1"/>
  <c r="BK350" i="53" s="1"/>
  <c r="BJ351" i="53" s="1"/>
  <c r="BI351" i="53" s="1"/>
  <c r="BK351" i="53" s="1"/>
  <c r="BJ352" i="53" s="1"/>
  <c r="BI352" i="53" s="1"/>
  <c r="BK352" i="53" s="1"/>
  <c r="BJ353" i="53" s="1"/>
  <c r="BI353" i="53" s="1"/>
  <c r="BK353" i="53" s="1"/>
  <c r="BJ354" i="53" s="1"/>
  <c r="BI354" i="53" s="1"/>
  <c r="BK354" i="53" s="1"/>
  <c r="BJ355" i="53" s="1"/>
  <c r="BI355" i="53" s="1"/>
  <c r="BK355" i="53" s="1"/>
  <c r="BJ356" i="53" s="1"/>
  <c r="BI356" i="53" s="1"/>
  <c r="BK356" i="53" s="1"/>
  <c r="BJ357" i="53" s="1"/>
  <c r="BI357" i="53" s="1"/>
  <c r="BK357" i="53" s="1"/>
  <c r="BJ358" i="53" s="1"/>
  <c r="BI358" i="53" s="1"/>
  <c r="BK358" i="53" s="1"/>
  <c r="BJ359" i="53" s="1"/>
  <c r="BI359" i="53" s="1"/>
  <c r="BK359" i="53" s="1"/>
  <c r="BJ360" i="53" s="1"/>
  <c r="BI360" i="53" s="1"/>
  <c r="BK360" i="53" s="1"/>
  <c r="BJ361" i="53" s="1"/>
  <c r="BI361" i="53" s="1"/>
  <c r="BK361" i="53" s="1"/>
  <c r="BJ362" i="53" s="1"/>
  <c r="BI362" i="53" s="1"/>
  <c r="BK362" i="53" s="1"/>
  <c r="BJ363" i="53" s="1"/>
  <c r="BI363" i="53" s="1"/>
  <c r="BK363" i="53" s="1"/>
  <c r="BJ364" i="53" s="1"/>
  <c r="BI364" i="53" s="1"/>
  <c r="BK364" i="53" s="1"/>
  <c r="BJ365" i="53" s="1"/>
  <c r="BI365" i="53" s="1"/>
  <c r="BK365" i="53" s="1"/>
  <c r="BJ366" i="53" s="1"/>
  <c r="BI366" i="53" s="1"/>
  <c r="BK366" i="53" s="1"/>
  <c r="BJ367" i="53" s="1"/>
  <c r="BI367" i="53" s="1"/>
  <c r="BK367" i="53" s="1"/>
  <c r="BJ368" i="53" s="1"/>
  <c r="BI368" i="53" s="1"/>
  <c r="BK368" i="53" s="1"/>
  <c r="BJ369" i="53" s="1"/>
  <c r="BI369" i="53" s="1"/>
  <c r="BK369" i="53" s="1"/>
  <c r="BJ370" i="53" s="1"/>
  <c r="BI370" i="53" s="1"/>
  <c r="BK370" i="53" s="1"/>
  <c r="BJ371" i="53" s="1"/>
  <c r="BI371" i="53" s="1"/>
  <c r="BK371" i="53" s="1"/>
  <c r="BJ372" i="53" s="1"/>
  <c r="BI372" i="53" s="1"/>
  <c r="BK372" i="53" s="1"/>
  <c r="BJ373" i="53" s="1"/>
  <c r="BI373" i="53" s="1"/>
  <c r="BK373" i="53" s="1"/>
  <c r="BJ374" i="53" s="1"/>
  <c r="BI374" i="53" s="1"/>
  <c r="BK374" i="53" s="1"/>
  <c r="BJ375" i="53" s="1"/>
  <c r="BI375" i="53" s="1"/>
  <c r="BK375" i="53" s="1"/>
  <c r="BJ376" i="53" s="1"/>
  <c r="BI376" i="53" s="1"/>
  <c r="BK376" i="53" s="1"/>
  <c r="BJ377" i="53" s="1"/>
  <c r="BI377" i="53" s="1"/>
  <c r="BK377" i="53" s="1"/>
  <c r="BJ378" i="53" s="1"/>
  <c r="BI378" i="53" s="1"/>
  <c r="BK378" i="53" s="1"/>
  <c r="BJ379" i="53" s="1"/>
  <c r="BI379" i="53" s="1"/>
  <c r="BK379" i="53" s="1"/>
  <c r="BJ380" i="53" s="1"/>
  <c r="BI380" i="53" s="1"/>
  <c r="BK380" i="53" s="1"/>
  <c r="BJ381" i="53" s="1"/>
  <c r="BI381" i="53" s="1"/>
  <c r="BK381" i="53" s="1"/>
  <c r="BJ382" i="53" s="1"/>
  <c r="BI382" i="53" s="1"/>
  <c r="BK382" i="53" s="1"/>
  <c r="BJ383" i="53" s="1"/>
  <c r="BI383" i="53" s="1"/>
  <c r="BK383" i="53" s="1"/>
  <c r="BJ384" i="53" s="1"/>
  <c r="BI384" i="53" s="1"/>
  <c r="BK384" i="53" s="1"/>
  <c r="BJ385" i="53" s="1"/>
  <c r="BI385" i="53" s="1"/>
  <c r="BK385" i="53" s="1"/>
  <c r="BJ386" i="53" s="1"/>
  <c r="BI386" i="53" s="1"/>
  <c r="BK386" i="53" s="1"/>
  <c r="BJ387" i="53" s="1"/>
  <c r="BI387" i="53" s="1"/>
  <c r="BK387" i="53" s="1"/>
  <c r="BJ388" i="53" s="1"/>
  <c r="BI388" i="53" s="1"/>
  <c r="BK388" i="53" s="1"/>
  <c r="BJ389" i="53" s="1"/>
  <c r="BI389" i="53" s="1"/>
  <c r="BK389" i="53" s="1"/>
  <c r="BJ390" i="53" s="1"/>
  <c r="BI390" i="53" s="1"/>
  <c r="BK390" i="53" s="1"/>
  <c r="BJ391" i="53" s="1"/>
  <c r="BI391" i="53" s="1"/>
  <c r="BK391" i="53" s="1"/>
  <c r="BJ392" i="53" s="1"/>
  <c r="BI392" i="53" s="1"/>
  <c r="BK392" i="53" s="1"/>
  <c r="BJ393" i="53" s="1"/>
  <c r="BI393" i="53" s="1"/>
  <c r="BK393" i="53" s="1"/>
  <c r="BJ394" i="53" s="1"/>
  <c r="BI394" i="53" s="1"/>
  <c r="BK394" i="53" s="1"/>
  <c r="BJ395" i="53" s="1"/>
  <c r="BI395" i="53" s="1"/>
  <c r="BK395" i="53" s="1"/>
  <c r="BJ396" i="53" s="1"/>
  <c r="BI396" i="53" s="1"/>
  <c r="BK396" i="53" s="1"/>
  <c r="BJ397" i="53" s="1"/>
  <c r="BI397" i="53" s="1"/>
  <c r="BK397" i="53" s="1"/>
  <c r="BJ398" i="53" s="1"/>
  <c r="BI398" i="53" s="1"/>
  <c r="BK398" i="53" s="1"/>
  <c r="BJ399" i="53" s="1"/>
  <c r="BI399" i="53" s="1"/>
  <c r="BK399" i="53" s="1"/>
  <c r="BJ400" i="53" s="1"/>
  <c r="BI400" i="53" s="1"/>
  <c r="BK400" i="53" s="1"/>
  <c r="BJ401" i="53" s="1"/>
  <c r="BI401" i="53" s="1"/>
  <c r="BK401" i="53" s="1"/>
  <c r="BJ402" i="53" s="1"/>
  <c r="BI402" i="53" s="1"/>
  <c r="BK402" i="53" s="1"/>
  <c r="BJ403" i="53" s="1"/>
  <c r="BI403" i="53" s="1"/>
  <c r="BK403" i="53" s="1"/>
  <c r="BJ404" i="53" s="1"/>
  <c r="BI404" i="53" s="1"/>
  <c r="BK404" i="53" s="1"/>
  <c r="BJ405" i="53" s="1"/>
  <c r="BI405" i="53" s="1"/>
  <c r="BK405" i="53" s="1"/>
  <c r="BJ406" i="53" s="1"/>
  <c r="BI406" i="53" s="1"/>
  <c r="BK406" i="53" s="1"/>
  <c r="BJ407" i="53" s="1"/>
  <c r="BI407" i="53" s="1"/>
  <c r="BK407" i="53" s="1"/>
  <c r="BJ408" i="53" s="1"/>
  <c r="BI408" i="53" s="1"/>
  <c r="BK408" i="53" s="1"/>
  <c r="BJ409" i="53" s="1"/>
  <c r="BI409" i="53" s="1"/>
  <c r="BK409" i="53" s="1"/>
  <c r="BJ410" i="53" s="1"/>
  <c r="BI410" i="53" s="1"/>
  <c r="BK410" i="53" s="1"/>
  <c r="BJ411" i="53" s="1"/>
  <c r="BI411" i="53" s="1"/>
  <c r="BK411" i="53" s="1"/>
  <c r="BJ412" i="53" s="1"/>
  <c r="BI412" i="53" s="1"/>
  <c r="BK412" i="53" s="1"/>
  <c r="BJ413" i="53" s="1"/>
  <c r="BI413" i="53" s="1"/>
  <c r="BK413" i="53" s="1"/>
  <c r="BJ414" i="53" s="1"/>
  <c r="BI414" i="53" s="1"/>
  <c r="BK414" i="53" s="1"/>
  <c r="BJ415" i="53" s="1"/>
  <c r="BI415" i="53" s="1"/>
  <c r="BK415" i="53" s="1"/>
  <c r="BJ416" i="53" s="1"/>
  <c r="BI416" i="53" s="1"/>
  <c r="BK416" i="53" s="1"/>
  <c r="BJ417" i="53" s="1"/>
  <c r="BI417" i="53" s="1"/>
  <c r="BK417" i="53" s="1"/>
  <c r="BJ418" i="53" s="1"/>
  <c r="BI418" i="53" s="1"/>
  <c r="BK418" i="53" s="1"/>
  <c r="BJ419" i="53" s="1"/>
  <c r="BI419" i="53" s="1"/>
  <c r="BK419" i="53" s="1"/>
  <c r="BJ420" i="53" s="1"/>
  <c r="BI420" i="53" s="1"/>
  <c r="BK420" i="53" s="1"/>
  <c r="BJ421" i="53" s="1"/>
  <c r="BI421" i="53" s="1"/>
  <c r="BK421" i="53" s="1"/>
  <c r="BJ422" i="53" s="1"/>
  <c r="BI422" i="53" s="1"/>
  <c r="BK422" i="53" s="1"/>
  <c r="BJ423" i="53" s="1"/>
  <c r="BI423" i="53" s="1"/>
  <c r="BK423" i="53" s="1"/>
  <c r="BJ424" i="53" s="1"/>
  <c r="BI424" i="53" s="1"/>
  <c r="BK424" i="53" s="1"/>
  <c r="BJ425" i="53" s="1"/>
  <c r="BI425" i="53" s="1"/>
  <c r="BK425" i="53" s="1"/>
  <c r="BJ426" i="53" s="1"/>
  <c r="BI426" i="53" s="1"/>
  <c r="BK426" i="53" s="1"/>
  <c r="BJ427" i="53" s="1"/>
  <c r="BI427" i="53" s="1"/>
  <c r="BK427" i="53" s="1"/>
  <c r="BJ428" i="53" s="1"/>
  <c r="BI428" i="53" s="1"/>
  <c r="BK428" i="53" s="1"/>
  <c r="BJ429" i="53" s="1"/>
  <c r="BI429" i="53" s="1"/>
  <c r="BK429" i="53" s="1"/>
  <c r="BJ430" i="53" s="1"/>
  <c r="BI430" i="53" s="1"/>
  <c r="BK430" i="53" s="1"/>
  <c r="BJ431" i="53" s="1"/>
  <c r="BI431" i="53" s="1"/>
  <c r="BK431" i="53" s="1"/>
  <c r="BJ432" i="53" s="1"/>
  <c r="BI432" i="53" s="1"/>
  <c r="BK432" i="53" s="1"/>
  <c r="BJ433" i="53" s="1"/>
  <c r="BI433" i="53" s="1"/>
  <c r="BK433" i="53" s="1"/>
  <c r="BJ434" i="53" s="1"/>
  <c r="BI434" i="53" s="1"/>
  <c r="BK434" i="53" s="1"/>
  <c r="BJ435" i="53" s="1"/>
  <c r="BI435" i="53" s="1"/>
  <c r="BK435" i="53" s="1"/>
  <c r="BJ436" i="53" s="1"/>
  <c r="BI436" i="53" s="1"/>
  <c r="BK436" i="53" s="1"/>
  <c r="BJ437" i="53" s="1"/>
  <c r="BI437" i="53" s="1"/>
  <c r="BK437" i="53" s="1"/>
  <c r="BJ438" i="53" s="1"/>
  <c r="BI438" i="53" s="1"/>
  <c r="BK438" i="53" s="1"/>
  <c r="BJ439" i="53" s="1"/>
  <c r="BI439" i="53" s="1"/>
  <c r="BK439" i="53" s="1"/>
  <c r="BJ440" i="53" s="1"/>
  <c r="BI440" i="53" s="1"/>
  <c r="BK440" i="53" s="1"/>
  <c r="BJ441" i="53" s="1"/>
  <c r="BI441" i="53" s="1"/>
  <c r="BK441" i="53" s="1"/>
  <c r="BJ442" i="53" s="1"/>
  <c r="BI442" i="53" s="1"/>
  <c r="BK442" i="53" s="1"/>
  <c r="BJ443" i="53" s="1"/>
  <c r="BI443" i="53" s="1"/>
  <c r="BK443" i="53" s="1"/>
  <c r="BJ444" i="53" s="1"/>
  <c r="BI444" i="53" s="1"/>
  <c r="BK444" i="53" s="1"/>
  <c r="BJ445" i="53" s="1"/>
  <c r="BI445" i="53" s="1"/>
  <c r="BK445" i="53" s="1"/>
  <c r="BJ446" i="53" s="1"/>
  <c r="BI446" i="53" s="1"/>
  <c r="BK446" i="53" s="1"/>
  <c r="BJ447" i="53" s="1"/>
  <c r="BI447" i="53" s="1"/>
  <c r="BK447" i="53" s="1"/>
  <c r="BJ448" i="53" s="1"/>
  <c r="BI448" i="53" s="1"/>
  <c r="BK448" i="53" s="1"/>
  <c r="BJ449" i="53" s="1"/>
  <c r="BI449" i="53" s="1"/>
  <c r="BK449" i="53" s="1"/>
  <c r="BJ450" i="53" s="1"/>
  <c r="BI450" i="53" s="1"/>
  <c r="BK450" i="53" s="1"/>
  <c r="BJ451" i="53" s="1"/>
  <c r="BI451" i="53" s="1"/>
  <c r="BK451" i="53" s="1"/>
  <c r="BJ452" i="53" s="1"/>
  <c r="BI452" i="53" s="1"/>
  <c r="BK452" i="53" s="1"/>
  <c r="BJ453" i="53" s="1"/>
  <c r="BI453" i="53" s="1"/>
  <c r="BK453" i="53" s="1"/>
  <c r="AC179" i="53"/>
  <c r="AE179" i="53" s="1"/>
  <c r="AD180" i="53" s="1"/>
  <c r="AC180" i="53" s="1"/>
  <c r="AE180" i="53" s="1"/>
  <c r="AD181" i="53" s="1"/>
  <c r="AC181" i="53" s="1"/>
  <c r="AE181" i="53" s="1"/>
  <c r="AD182" i="53" s="1"/>
  <c r="AC182" i="53" s="1"/>
  <c r="AE182" i="53" s="1"/>
  <c r="AD183" i="53" s="1"/>
  <c r="AC183" i="53" s="1"/>
  <c r="AE183" i="53" s="1"/>
  <c r="AD184" i="53" s="1"/>
  <c r="AC184" i="53" s="1"/>
  <c r="AE184" i="53" s="1"/>
  <c r="AD185" i="53" s="1"/>
  <c r="AC185" i="53" s="1"/>
  <c r="AE185" i="53" s="1"/>
  <c r="AD186" i="53" s="1"/>
  <c r="AC186" i="53" s="1"/>
  <c r="AE186" i="53" s="1"/>
  <c r="AD187" i="53" s="1"/>
  <c r="AC187" i="53" s="1"/>
  <c r="AE187" i="53" s="1"/>
  <c r="AD188" i="53" s="1"/>
  <c r="AC188" i="53" s="1"/>
  <c r="AE188" i="53" s="1"/>
  <c r="AD189" i="53" s="1"/>
  <c r="AC189" i="53" s="1"/>
  <c r="AE189" i="53" s="1"/>
  <c r="AD190" i="53" s="1"/>
  <c r="AC190" i="53" s="1"/>
  <c r="AE190" i="53" s="1"/>
  <c r="AD191" i="53" s="1"/>
  <c r="AC191" i="53" s="1"/>
  <c r="AE191" i="53" s="1"/>
  <c r="AD192" i="53" s="1"/>
  <c r="AC192" i="53" s="1"/>
  <c r="AE192" i="53" s="1"/>
  <c r="AD193" i="53" s="1"/>
  <c r="AC193" i="53" s="1"/>
  <c r="AE193" i="53" s="1"/>
  <c r="AD194" i="53" s="1"/>
  <c r="AC194" i="53" s="1"/>
  <c r="AE194" i="53" s="1"/>
  <c r="AD195" i="53" s="1"/>
  <c r="AC195" i="53" s="1"/>
  <c r="AE195" i="53" s="1"/>
  <c r="AD196" i="53" s="1"/>
  <c r="AC196" i="53" s="1"/>
  <c r="AE196" i="53" s="1"/>
  <c r="AD197" i="53" s="1"/>
  <c r="AC197" i="53" s="1"/>
  <c r="AE197" i="53" s="1"/>
  <c r="AD198" i="53" s="1"/>
  <c r="AC198" i="53" s="1"/>
  <c r="AE198" i="53" s="1"/>
  <c r="AD199" i="53" s="1"/>
  <c r="AC199" i="53" s="1"/>
  <c r="AE199" i="53" s="1"/>
  <c r="AD200" i="53" s="1"/>
  <c r="AC200" i="53" s="1"/>
  <c r="AE200" i="53" s="1"/>
  <c r="AD201" i="53" s="1"/>
  <c r="AC201" i="53" s="1"/>
  <c r="AE201" i="53" s="1"/>
  <c r="AD202" i="53" s="1"/>
  <c r="AC202" i="53" s="1"/>
  <c r="AE202" i="53" s="1"/>
  <c r="AD203" i="53" s="1"/>
  <c r="AC203" i="53" s="1"/>
  <c r="AE203" i="53" s="1"/>
  <c r="AD204" i="53" s="1"/>
  <c r="AC204" i="53" s="1"/>
  <c r="AE204" i="53" s="1"/>
  <c r="AD205" i="53" s="1"/>
  <c r="AC205" i="53" s="1"/>
  <c r="AE205" i="53" s="1"/>
  <c r="AD206" i="53" s="1"/>
  <c r="AC206" i="53" s="1"/>
  <c r="AE206" i="53" s="1"/>
  <c r="AD207" i="53" s="1"/>
  <c r="AC207" i="53" s="1"/>
  <c r="AE207" i="53" s="1"/>
  <c r="AD208" i="53" s="1"/>
  <c r="AC208" i="53" s="1"/>
  <c r="AE208" i="53" s="1"/>
  <c r="AD209" i="53" s="1"/>
  <c r="AC209" i="53" s="1"/>
  <c r="AE209" i="53" s="1"/>
  <c r="AD210" i="53" s="1"/>
  <c r="AC210" i="53" s="1"/>
  <c r="AE210" i="53" s="1"/>
  <c r="AD211" i="53" s="1"/>
  <c r="AC211" i="53" s="1"/>
  <c r="AE211" i="53" s="1"/>
  <c r="AD212" i="53" s="1"/>
  <c r="AC212" i="53" s="1"/>
  <c r="AE212" i="53" s="1"/>
  <c r="AD213" i="53" s="1"/>
  <c r="AC213" i="53" s="1"/>
  <c r="AE213" i="53" s="1"/>
  <c r="AD214" i="53" s="1"/>
  <c r="AC214" i="53" s="1"/>
  <c r="AE214" i="53" s="1"/>
  <c r="AD215" i="53" s="1"/>
  <c r="AC215" i="53" s="1"/>
  <c r="AE215" i="53" s="1"/>
  <c r="AD216" i="53" s="1"/>
  <c r="AC216" i="53" s="1"/>
  <c r="AE216" i="53" s="1"/>
  <c r="AD217" i="53" s="1"/>
  <c r="AC217" i="53" s="1"/>
  <c r="AE217" i="53" s="1"/>
  <c r="AD218" i="53" s="1"/>
  <c r="AC218" i="53" s="1"/>
  <c r="AE218" i="53" s="1"/>
  <c r="AD219" i="53" s="1"/>
  <c r="AC219" i="53" s="1"/>
  <c r="AE219" i="53" s="1"/>
  <c r="AD220" i="53" s="1"/>
  <c r="AC220" i="53" s="1"/>
  <c r="AE220" i="53" s="1"/>
  <c r="AD221" i="53" s="1"/>
  <c r="AC221" i="53" s="1"/>
  <c r="AE221" i="53" s="1"/>
  <c r="AD222" i="53" s="1"/>
  <c r="AC222" i="53" s="1"/>
  <c r="AE222" i="53" s="1"/>
  <c r="AD223" i="53" s="1"/>
  <c r="AC223" i="53" s="1"/>
  <c r="AE223" i="53" s="1"/>
  <c r="AD224" i="53" s="1"/>
  <c r="AC224" i="53" s="1"/>
  <c r="AE224" i="53" s="1"/>
  <c r="AD225" i="53" s="1"/>
  <c r="AC225" i="53" s="1"/>
  <c r="AE225" i="53" s="1"/>
  <c r="AD226" i="53" s="1"/>
  <c r="AC226" i="53" s="1"/>
  <c r="AE226" i="53" s="1"/>
  <c r="AD227" i="53" s="1"/>
  <c r="AC227" i="53" s="1"/>
  <c r="AE227" i="53" s="1"/>
  <c r="AD228" i="53" s="1"/>
  <c r="AC228" i="53" s="1"/>
  <c r="AE228" i="53" s="1"/>
  <c r="AD229" i="53" s="1"/>
  <c r="AC229" i="53" s="1"/>
  <c r="AE229" i="53" s="1"/>
  <c r="AD230" i="53" s="1"/>
  <c r="AC230" i="53" s="1"/>
  <c r="AE230" i="53" s="1"/>
  <c r="AD231" i="53" s="1"/>
  <c r="AC231" i="53" s="1"/>
  <c r="AE231" i="53" s="1"/>
  <c r="AD232" i="53" s="1"/>
  <c r="AC232" i="53" s="1"/>
  <c r="AE232" i="53" s="1"/>
  <c r="AD233" i="53" s="1"/>
  <c r="AC233" i="53" s="1"/>
  <c r="AE233" i="53" s="1"/>
  <c r="AD234" i="53" s="1"/>
  <c r="AC234" i="53" s="1"/>
  <c r="AE234" i="53" s="1"/>
  <c r="AD235" i="53" s="1"/>
  <c r="AC235" i="53" s="1"/>
  <c r="AE235" i="53" s="1"/>
  <c r="AD236" i="53" s="1"/>
  <c r="AC236" i="53" s="1"/>
  <c r="AE236" i="53" s="1"/>
  <c r="AD237" i="53" s="1"/>
  <c r="AC237" i="53" s="1"/>
  <c r="AE237" i="53" s="1"/>
  <c r="AD238" i="53" s="1"/>
  <c r="AC238" i="53" s="1"/>
  <c r="AE238" i="53" s="1"/>
  <c r="AD239" i="53" s="1"/>
  <c r="AC239" i="53" s="1"/>
  <c r="AE239" i="53" s="1"/>
  <c r="AD240" i="53" s="1"/>
  <c r="AC240" i="53" s="1"/>
  <c r="AE240" i="53" s="1"/>
  <c r="AD241" i="53" s="1"/>
  <c r="AC241" i="53" s="1"/>
  <c r="AE241" i="53" s="1"/>
  <c r="AD242" i="53" s="1"/>
  <c r="AC242" i="53" s="1"/>
  <c r="AE242" i="53" s="1"/>
  <c r="AD243" i="53" s="1"/>
  <c r="AC243" i="53" s="1"/>
  <c r="AE243" i="53" s="1"/>
  <c r="AD244" i="53" s="1"/>
  <c r="AC244" i="53" s="1"/>
  <c r="AE244" i="53" s="1"/>
  <c r="AD245" i="53" s="1"/>
  <c r="AC245" i="53" s="1"/>
  <c r="AE245" i="53" s="1"/>
  <c r="AD246" i="53" s="1"/>
  <c r="AC246" i="53" s="1"/>
  <c r="AE246" i="53" s="1"/>
  <c r="AD247" i="53" s="1"/>
  <c r="AC247" i="53" s="1"/>
  <c r="AE247" i="53" s="1"/>
  <c r="AD248" i="53" s="1"/>
  <c r="AC248" i="53" s="1"/>
  <c r="AE248" i="53" s="1"/>
  <c r="AD249" i="53" s="1"/>
  <c r="AC249" i="53" s="1"/>
  <c r="AE249" i="53" s="1"/>
  <c r="AD250" i="53" s="1"/>
  <c r="AC250" i="53" s="1"/>
  <c r="AE250" i="53" s="1"/>
  <c r="AD251" i="53" s="1"/>
  <c r="AC251" i="53" s="1"/>
  <c r="AE251" i="53" s="1"/>
  <c r="AD252" i="53" s="1"/>
  <c r="AC252" i="53" s="1"/>
  <c r="AE252" i="53" s="1"/>
  <c r="AD253" i="53" s="1"/>
  <c r="AC253" i="53" s="1"/>
  <c r="AE253" i="53" s="1"/>
  <c r="AD254" i="53" s="1"/>
  <c r="AC254" i="53" s="1"/>
  <c r="AE254" i="53" s="1"/>
  <c r="AD255" i="53" s="1"/>
  <c r="AC255" i="53" s="1"/>
  <c r="AE255" i="53" s="1"/>
  <c r="AD256" i="53" s="1"/>
  <c r="AC256" i="53" s="1"/>
  <c r="AE256" i="53" s="1"/>
  <c r="AD257" i="53" s="1"/>
  <c r="AC257" i="53" s="1"/>
  <c r="AE257" i="53" s="1"/>
  <c r="AD258" i="53" s="1"/>
  <c r="AC258" i="53" s="1"/>
  <c r="AE258" i="53" s="1"/>
  <c r="AD259" i="53" s="1"/>
  <c r="AC259" i="53" s="1"/>
  <c r="AE259" i="53" s="1"/>
  <c r="AD260" i="53" s="1"/>
  <c r="AC260" i="53" s="1"/>
  <c r="AE260" i="53" s="1"/>
  <c r="AD261" i="53" s="1"/>
  <c r="AC261" i="53" s="1"/>
  <c r="AE261" i="53" s="1"/>
  <c r="AD262" i="53" s="1"/>
  <c r="AC262" i="53" s="1"/>
  <c r="AE262" i="53" s="1"/>
  <c r="AD263" i="53" s="1"/>
  <c r="AC263" i="53" s="1"/>
  <c r="AE263" i="53" s="1"/>
  <c r="AD264" i="53" s="1"/>
  <c r="AC264" i="53" s="1"/>
  <c r="AE264" i="53" s="1"/>
  <c r="AD265" i="53" s="1"/>
  <c r="AC265" i="53" s="1"/>
  <c r="AE265" i="53" s="1"/>
  <c r="AD266" i="53" s="1"/>
  <c r="AC266" i="53" s="1"/>
  <c r="AE266" i="53" s="1"/>
  <c r="AD267" i="53" s="1"/>
  <c r="AC267" i="53" s="1"/>
  <c r="AE267" i="53" s="1"/>
  <c r="AD268" i="53" s="1"/>
  <c r="AC268" i="53" s="1"/>
  <c r="AE268" i="53" s="1"/>
  <c r="AD269" i="53" s="1"/>
  <c r="AC269" i="53" s="1"/>
  <c r="AE269" i="53" s="1"/>
  <c r="AD270" i="53" s="1"/>
  <c r="AC270" i="53" s="1"/>
  <c r="AE270" i="53" s="1"/>
  <c r="AD271" i="53" s="1"/>
  <c r="AC271" i="53" s="1"/>
  <c r="AE271" i="53" s="1"/>
  <c r="AD272" i="53" s="1"/>
  <c r="AC272" i="53" s="1"/>
  <c r="AE272" i="53" s="1"/>
  <c r="AD273" i="53" s="1"/>
  <c r="AC273" i="53" s="1"/>
  <c r="AE273" i="53" s="1"/>
  <c r="AD274" i="53" s="1"/>
  <c r="AC274" i="53" s="1"/>
  <c r="AE274" i="53" s="1"/>
  <c r="AD275" i="53" s="1"/>
  <c r="AC275" i="53" s="1"/>
  <c r="AE275" i="53" s="1"/>
  <c r="AD276" i="53" s="1"/>
  <c r="AC276" i="53" s="1"/>
  <c r="AE276" i="53" s="1"/>
  <c r="AD277" i="53" s="1"/>
  <c r="AC277" i="53" s="1"/>
  <c r="AE277" i="53" s="1"/>
  <c r="AD278" i="53" s="1"/>
  <c r="AC278" i="53" s="1"/>
  <c r="AE278" i="53" s="1"/>
  <c r="AD279" i="53" s="1"/>
  <c r="AC279" i="53" s="1"/>
  <c r="AE279" i="53" s="1"/>
  <c r="AD280" i="53" s="1"/>
  <c r="AC280" i="53" s="1"/>
  <c r="AE280" i="53" s="1"/>
  <c r="AD281" i="53" s="1"/>
  <c r="AC281" i="53" s="1"/>
  <c r="AE281" i="53" s="1"/>
  <c r="AD282" i="53" s="1"/>
  <c r="AC282" i="53" s="1"/>
  <c r="AE282" i="53" s="1"/>
  <c r="AD283" i="53" s="1"/>
  <c r="AC283" i="53" s="1"/>
  <c r="AE283" i="53" s="1"/>
  <c r="AD284" i="53" s="1"/>
  <c r="AC284" i="53" s="1"/>
  <c r="AE284" i="53" s="1"/>
  <c r="AD285" i="53" s="1"/>
  <c r="AC285" i="53" s="1"/>
  <c r="AE285" i="53" s="1"/>
  <c r="AD286" i="53" s="1"/>
  <c r="AC286" i="53" s="1"/>
  <c r="AE286" i="53" s="1"/>
  <c r="AD287" i="53" s="1"/>
  <c r="AC287" i="53" s="1"/>
  <c r="AE287" i="53" s="1"/>
  <c r="AD288" i="53" s="1"/>
  <c r="AC288" i="53" s="1"/>
  <c r="AE288" i="53" s="1"/>
  <c r="AD289" i="53" s="1"/>
  <c r="AC289" i="53" s="1"/>
  <c r="AE289" i="53" s="1"/>
  <c r="AD290" i="53" s="1"/>
  <c r="AC290" i="53" s="1"/>
  <c r="AE290" i="53" s="1"/>
  <c r="AD291" i="53" s="1"/>
  <c r="AC291" i="53" s="1"/>
  <c r="AE291" i="53" s="1"/>
  <c r="AD292" i="53" s="1"/>
  <c r="AC292" i="53" s="1"/>
  <c r="AE292" i="53" s="1"/>
  <c r="AD293" i="53" s="1"/>
  <c r="AC293" i="53" s="1"/>
  <c r="AE293" i="53" s="1"/>
  <c r="AD294" i="53" s="1"/>
  <c r="AC294" i="53" s="1"/>
  <c r="AE294" i="53" s="1"/>
  <c r="AD295" i="53" s="1"/>
  <c r="AC295" i="53" s="1"/>
  <c r="AE295" i="53" s="1"/>
  <c r="AD296" i="53" s="1"/>
  <c r="AC296" i="53" s="1"/>
  <c r="AE296" i="53" s="1"/>
  <c r="AD297" i="53" s="1"/>
  <c r="AC297" i="53" s="1"/>
  <c r="AE297" i="53" s="1"/>
  <c r="AD298" i="53" s="1"/>
  <c r="AC298" i="53" s="1"/>
  <c r="AE298" i="53" s="1"/>
  <c r="AD299" i="53" s="1"/>
  <c r="AC299" i="53" s="1"/>
  <c r="AE299" i="53" s="1"/>
  <c r="AD300" i="53" s="1"/>
  <c r="AC300" i="53" s="1"/>
  <c r="AE300" i="53" s="1"/>
  <c r="AD301" i="53" s="1"/>
  <c r="AC301" i="53" s="1"/>
  <c r="AE301" i="53" s="1"/>
  <c r="AD302" i="53" s="1"/>
  <c r="AC302" i="53" s="1"/>
  <c r="AE302" i="53" s="1"/>
  <c r="AD303" i="53" s="1"/>
  <c r="AC303" i="53" s="1"/>
  <c r="AE303" i="53" s="1"/>
  <c r="AD304" i="53" s="1"/>
  <c r="AC304" i="53" s="1"/>
  <c r="AE304" i="53" s="1"/>
  <c r="AD305" i="53" s="1"/>
  <c r="AC305" i="53" s="1"/>
  <c r="AE305" i="53" s="1"/>
  <c r="AD306" i="53" s="1"/>
  <c r="AC306" i="53" s="1"/>
  <c r="AE306" i="53" s="1"/>
  <c r="AD307" i="53" s="1"/>
  <c r="AC307" i="53" s="1"/>
  <c r="AE307" i="53" s="1"/>
  <c r="AD308" i="53" s="1"/>
  <c r="AC308" i="53" s="1"/>
  <c r="AE308" i="53" s="1"/>
  <c r="AD309" i="53" s="1"/>
  <c r="AC309" i="53" s="1"/>
  <c r="AE309" i="53" s="1"/>
  <c r="AD310" i="53" s="1"/>
  <c r="AC310" i="53" s="1"/>
  <c r="AE310" i="53" s="1"/>
  <c r="AD311" i="53" s="1"/>
  <c r="AC311" i="53" s="1"/>
  <c r="AE311" i="53" s="1"/>
  <c r="AD312" i="53" s="1"/>
  <c r="AC312" i="53" s="1"/>
  <c r="AE312" i="53" s="1"/>
  <c r="AD313" i="53" s="1"/>
  <c r="AC313" i="53" s="1"/>
  <c r="AE313" i="53" s="1"/>
  <c r="AD314" i="53" s="1"/>
  <c r="AC314" i="53" s="1"/>
  <c r="AE314" i="53" s="1"/>
  <c r="AD315" i="53" s="1"/>
  <c r="AC315" i="53" s="1"/>
  <c r="AE315" i="53" s="1"/>
  <c r="AD316" i="53" s="1"/>
  <c r="AC316" i="53" s="1"/>
  <c r="AE316" i="53" s="1"/>
  <c r="AD317" i="53" s="1"/>
  <c r="AC317" i="53" s="1"/>
  <c r="AE317" i="53" s="1"/>
  <c r="AD318" i="53" s="1"/>
  <c r="AC318" i="53" s="1"/>
  <c r="AE318" i="53" s="1"/>
  <c r="AD319" i="53" s="1"/>
  <c r="AC319" i="53" s="1"/>
  <c r="AE319" i="53" s="1"/>
  <c r="AD320" i="53" s="1"/>
  <c r="AC320" i="53" s="1"/>
  <c r="AE320" i="53" s="1"/>
  <c r="AD321" i="53" s="1"/>
  <c r="AC321" i="53" s="1"/>
  <c r="AE321" i="53" s="1"/>
  <c r="AD322" i="53" s="1"/>
  <c r="AC322" i="53" s="1"/>
  <c r="AE322" i="53" s="1"/>
  <c r="AD323" i="53" s="1"/>
  <c r="AC323" i="53" s="1"/>
  <c r="AE323" i="53" s="1"/>
  <c r="AD324" i="53" s="1"/>
  <c r="AC324" i="53" s="1"/>
  <c r="AE324" i="53" s="1"/>
  <c r="AD325" i="53" s="1"/>
  <c r="AC325" i="53" s="1"/>
  <c r="AE325" i="53" s="1"/>
  <c r="AD326" i="53" s="1"/>
  <c r="AC326" i="53" s="1"/>
  <c r="AE326" i="53" s="1"/>
  <c r="AD327" i="53" s="1"/>
  <c r="AC327" i="53" s="1"/>
  <c r="AE327" i="53" s="1"/>
  <c r="AD328" i="53" s="1"/>
  <c r="AC328" i="53" s="1"/>
  <c r="AE328" i="53" s="1"/>
  <c r="AD329" i="53" s="1"/>
  <c r="AC329" i="53" s="1"/>
  <c r="AE329" i="53" s="1"/>
  <c r="AD330" i="53" s="1"/>
  <c r="AC330" i="53" s="1"/>
  <c r="AE330" i="53" s="1"/>
  <c r="AD331" i="53" s="1"/>
  <c r="AC331" i="53" s="1"/>
  <c r="AE331" i="53" s="1"/>
  <c r="AD332" i="53" s="1"/>
  <c r="AC332" i="53" s="1"/>
  <c r="AE332" i="53" s="1"/>
  <c r="AD333" i="53" s="1"/>
  <c r="AC333" i="53" s="1"/>
  <c r="AE333" i="53" s="1"/>
  <c r="AD334" i="53" s="1"/>
  <c r="AC334" i="53" s="1"/>
  <c r="AE334" i="53" s="1"/>
  <c r="AD335" i="53" s="1"/>
  <c r="AC335" i="53" s="1"/>
  <c r="AE335" i="53" s="1"/>
  <c r="AD336" i="53" s="1"/>
  <c r="AC336" i="53" s="1"/>
  <c r="AE336" i="53" s="1"/>
  <c r="AD337" i="53" s="1"/>
  <c r="AC337" i="53" s="1"/>
  <c r="AE337" i="53" s="1"/>
  <c r="AD338" i="53" s="1"/>
  <c r="AC338" i="53" s="1"/>
  <c r="AE338" i="53" s="1"/>
  <c r="AD339" i="53" s="1"/>
  <c r="AC339" i="53" s="1"/>
  <c r="AE339" i="53" s="1"/>
  <c r="AD340" i="53" s="1"/>
  <c r="AC340" i="53" s="1"/>
  <c r="AE340" i="53" s="1"/>
  <c r="AD341" i="53" s="1"/>
  <c r="AC341" i="53" s="1"/>
  <c r="AE341" i="53" s="1"/>
  <c r="AD342" i="53" s="1"/>
  <c r="AC342" i="53" s="1"/>
  <c r="AE342" i="53" s="1"/>
  <c r="AD343" i="53" s="1"/>
  <c r="AC343" i="53" s="1"/>
  <c r="AE343" i="53" s="1"/>
  <c r="AD344" i="53" s="1"/>
  <c r="AC344" i="53" s="1"/>
  <c r="AE344" i="53" s="1"/>
  <c r="AD345" i="53" s="1"/>
  <c r="AC345" i="53" s="1"/>
  <c r="AE345" i="53" s="1"/>
  <c r="AD346" i="53" s="1"/>
  <c r="AC346" i="53" s="1"/>
  <c r="AE346" i="53" s="1"/>
  <c r="AD347" i="53" s="1"/>
  <c r="AC347" i="53" s="1"/>
  <c r="AE347" i="53" s="1"/>
  <c r="AD348" i="53" s="1"/>
  <c r="AC348" i="53" s="1"/>
  <c r="AE348" i="53" s="1"/>
  <c r="AD349" i="53" s="1"/>
  <c r="AC349" i="53" s="1"/>
  <c r="AE349" i="53" s="1"/>
  <c r="AD350" i="53" s="1"/>
  <c r="AC350" i="53" s="1"/>
  <c r="AE350" i="53" s="1"/>
  <c r="AD351" i="53" s="1"/>
  <c r="AC351" i="53" s="1"/>
  <c r="AE351" i="53" s="1"/>
  <c r="AD352" i="53" s="1"/>
  <c r="AC352" i="53" s="1"/>
  <c r="AE352" i="53" s="1"/>
  <c r="AD353" i="53" s="1"/>
  <c r="AC353" i="53" s="1"/>
  <c r="AE353" i="53" s="1"/>
  <c r="AD354" i="53" s="1"/>
  <c r="AC354" i="53" s="1"/>
  <c r="AE354" i="53" s="1"/>
  <c r="AD355" i="53" s="1"/>
  <c r="AC355" i="53" s="1"/>
  <c r="AE355" i="53" s="1"/>
  <c r="AD356" i="53" s="1"/>
  <c r="AC356" i="53" s="1"/>
  <c r="AE356" i="53" s="1"/>
  <c r="AD357" i="53" s="1"/>
  <c r="AC357" i="53" s="1"/>
  <c r="AE357" i="53" s="1"/>
  <c r="AD358" i="53" s="1"/>
  <c r="AC358" i="53" s="1"/>
  <c r="AE358" i="53" s="1"/>
  <c r="AD359" i="53" s="1"/>
  <c r="AC359" i="53" s="1"/>
  <c r="AE359" i="53" s="1"/>
  <c r="AD360" i="53" s="1"/>
  <c r="AC360" i="53" s="1"/>
  <c r="AE360" i="53" s="1"/>
  <c r="AD361" i="53" s="1"/>
  <c r="AC361" i="53" s="1"/>
  <c r="AE361" i="53" s="1"/>
  <c r="AD362" i="53" s="1"/>
  <c r="AC362" i="53" s="1"/>
  <c r="AE362" i="53" s="1"/>
  <c r="AD363" i="53" s="1"/>
  <c r="AC363" i="53" s="1"/>
  <c r="AE363" i="53" s="1"/>
  <c r="AD364" i="53" s="1"/>
  <c r="AC364" i="53" s="1"/>
  <c r="AE364" i="53" s="1"/>
  <c r="AD365" i="53" s="1"/>
  <c r="AC365" i="53" s="1"/>
  <c r="AE365" i="53" s="1"/>
  <c r="AD366" i="53" s="1"/>
  <c r="AC366" i="53" s="1"/>
  <c r="AE366" i="53" s="1"/>
  <c r="AD367" i="53" s="1"/>
  <c r="AC367" i="53" s="1"/>
  <c r="AE367" i="53" s="1"/>
  <c r="AD368" i="53" s="1"/>
  <c r="AC368" i="53" s="1"/>
  <c r="AE368" i="53" s="1"/>
  <c r="AD369" i="53" s="1"/>
  <c r="AC369" i="53" s="1"/>
  <c r="AE369" i="53" s="1"/>
  <c r="AD370" i="53" s="1"/>
  <c r="AC370" i="53" s="1"/>
  <c r="AE370" i="53" s="1"/>
  <c r="AD371" i="53" s="1"/>
  <c r="AC371" i="53" s="1"/>
  <c r="AE371" i="53" s="1"/>
  <c r="AD372" i="53" s="1"/>
  <c r="AC372" i="53" s="1"/>
  <c r="AE372" i="53" s="1"/>
  <c r="AD373" i="53" s="1"/>
  <c r="AC373" i="53" s="1"/>
  <c r="AE373" i="53" s="1"/>
  <c r="AD374" i="53" s="1"/>
  <c r="AC374" i="53" s="1"/>
  <c r="AE374" i="53" s="1"/>
  <c r="AD375" i="53" s="1"/>
  <c r="AC375" i="53" s="1"/>
  <c r="AE375" i="53" s="1"/>
  <c r="AD376" i="53" s="1"/>
  <c r="AC376" i="53" s="1"/>
  <c r="AE376" i="53" s="1"/>
  <c r="AD377" i="53" s="1"/>
  <c r="AC377" i="53" s="1"/>
  <c r="AE377" i="53" s="1"/>
  <c r="AD378" i="53" s="1"/>
  <c r="AC378" i="53" s="1"/>
  <c r="AE378" i="53" s="1"/>
  <c r="AD379" i="53" s="1"/>
  <c r="AC379" i="53" s="1"/>
  <c r="AE379" i="53" s="1"/>
  <c r="AD380" i="53" s="1"/>
  <c r="AC380" i="53" s="1"/>
  <c r="AE380" i="53" s="1"/>
  <c r="AD381" i="53" s="1"/>
  <c r="AC381" i="53" s="1"/>
  <c r="AE381" i="53" s="1"/>
  <c r="AD382" i="53" s="1"/>
  <c r="AC382" i="53" s="1"/>
  <c r="AE382" i="53" s="1"/>
  <c r="AD383" i="53" s="1"/>
  <c r="AC383" i="53" s="1"/>
  <c r="AE383" i="53" s="1"/>
  <c r="AD384" i="53" s="1"/>
  <c r="AC384" i="53" s="1"/>
  <c r="AE384" i="53" s="1"/>
  <c r="AD385" i="53" s="1"/>
  <c r="AC385" i="53" s="1"/>
  <c r="AE385" i="53" s="1"/>
  <c r="AD386" i="53" s="1"/>
  <c r="AC386" i="53" s="1"/>
  <c r="AE386" i="53" s="1"/>
  <c r="AD387" i="53" s="1"/>
  <c r="AC387" i="53" s="1"/>
  <c r="AE387" i="53" s="1"/>
  <c r="AD388" i="53" s="1"/>
  <c r="AC388" i="53" s="1"/>
  <c r="AE388" i="53" s="1"/>
  <c r="AD389" i="53" s="1"/>
  <c r="AC389" i="53" s="1"/>
  <c r="AE389" i="53" s="1"/>
  <c r="AD390" i="53" s="1"/>
  <c r="AC390" i="53" s="1"/>
  <c r="AE390" i="53" s="1"/>
  <c r="AD391" i="53" s="1"/>
  <c r="AC391" i="53" s="1"/>
  <c r="AE391" i="53" s="1"/>
  <c r="AD392" i="53" s="1"/>
  <c r="AC392" i="53" s="1"/>
  <c r="AE392" i="53" s="1"/>
  <c r="AD393" i="53" s="1"/>
  <c r="AC393" i="53" s="1"/>
  <c r="AE393" i="53" s="1"/>
  <c r="AD394" i="53" s="1"/>
  <c r="AC394" i="53" s="1"/>
  <c r="AE394" i="53" s="1"/>
  <c r="AD395" i="53" s="1"/>
  <c r="AC395" i="53" s="1"/>
  <c r="AE395" i="53" s="1"/>
  <c r="AD396" i="53" s="1"/>
  <c r="AC396" i="53" s="1"/>
  <c r="AE396" i="53" s="1"/>
  <c r="AD397" i="53" s="1"/>
  <c r="AC397" i="53" s="1"/>
  <c r="AE397" i="53" s="1"/>
  <c r="AD398" i="53" s="1"/>
  <c r="AC398" i="53" s="1"/>
  <c r="AE398" i="53" s="1"/>
  <c r="AD399" i="53" s="1"/>
  <c r="AC399" i="53" s="1"/>
  <c r="AE399" i="53" s="1"/>
  <c r="AD400" i="53" s="1"/>
  <c r="AC400" i="53" s="1"/>
  <c r="AE400" i="53" s="1"/>
  <c r="AD401" i="53" s="1"/>
  <c r="AC401" i="53" s="1"/>
  <c r="AE401" i="53" s="1"/>
  <c r="AD402" i="53" s="1"/>
  <c r="AC402" i="53" s="1"/>
  <c r="AE402" i="53" s="1"/>
  <c r="AD403" i="53" s="1"/>
  <c r="AC403" i="53" s="1"/>
  <c r="AE403" i="53" s="1"/>
  <c r="AD404" i="53" s="1"/>
  <c r="AC404" i="53" s="1"/>
  <c r="AE404" i="53" s="1"/>
  <c r="AD405" i="53" s="1"/>
  <c r="AC405" i="53" s="1"/>
  <c r="AE405" i="53" s="1"/>
  <c r="AD406" i="53" s="1"/>
  <c r="AC406" i="53" s="1"/>
  <c r="AE406" i="53" s="1"/>
  <c r="AD407" i="53" s="1"/>
  <c r="AC407" i="53" s="1"/>
  <c r="AE407" i="53" s="1"/>
  <c r="AD408" i="53" s="1"/>
  <c r="AC408" i="53" s="1"/>
  <c r="AE408" i="53" s="1"/>
  <c r="AD409" i="53" s="1"/>
  <c r="AC409" i="53" s="1"/>
  <c r="AE409" i="53" s="1"/>
  <c r="AD410" i="53" s="1"/>
  <c r="AC410" i="53" s="1"/>
  <c r="AE410" i="53" s="1"/>
  <c r="AD411" i="53" s="1"/>
  <c r="AC411" i="53" s="1"/>
  <c r="AE411" i="53" s="1"/>
  <c r="AD412" i="53" s="1"/>
  <c r="AC412" i="53" s="1"/>
  <c r="AE412" i="53" s="1"/>
  <c r="AD413" i="53" s="1"/>
  <c r="AC413" i="53" s="1"/>
  <c r="AE413" i="53" s="1"/>
  <c r="AD414" i="53" s="1"/>
  <c r="AC414" i="53" s="1"/>
  <c r="AE414" i="53" s="1"/>
  <c r="AD415" i="53" s="1"/>
  <c r="AC415" i="53" s="1"/>
  <c r="AE415" i="53" s="1"/>
  <c r="AD416" i="53" s="1"/>
  <c r="AC416" i="53" s="1"/>
  <c r="AE416" i="53" s="1"/>
  <c r="AD417" i="53" s="1"/>
  <c r="AC417" i="53" s="1"/>
  <c r="AE417" i="53" s="1"/>
  <c r="AD418" i="53" s="1"/>
  <c r="AC418" i="53" s="1"/>
  <c r="AE418" i="53" s="1"/>
  <c r="AD419" i="53" s="1"/>
  <c r="AC419" i="53" s="1"/>
  <c r="AE419" i="53" s="1"/>
  <c r="AD420" i="53" s="1"/>
  <c r="AC420" i="53" s="1"/>
  <c r="AE420" i="53" s="1"/>
  <c r="AD421" i="53" s="1"/>
  <c r="AC421" i="53" s="1"/>
  <c r="AE421" i="53" s="1"/>
  <c r="AD422" i="53" s="1"/>
  <c r="AC422" i="53" s="1"/>
  <c r="AE422" i="53" s="1"/>
  <c r="AD423" i="53" s="1"/>
  <c r="AC423" i="53" s="1"/>
  <c r="AE423" i="53" s="1"/>
  <c r="AD424" i="53" s="1"/>
  <c r="AC424" i="53" s="1"/>
  <c r="AE424" i="53" s="1"/>
  <c r="AD425" i="53" s="1"/>
  <c r="AC425" i="53" s="1"/>
  <c r="AE425" i="53" s="1"/>
  <c r="AD426" i="53" s="1"/>
  <c r="AC426" i="53" s="1"/>
  <c r="AE426" i="53" s="1"/>
  <c r="AD427" i="53" s="1"/>
  <c r="AC427" i="53" s="1"/>
  <c r="AE427" i="53" s="1"/>
  <c r="AD428" i="53" s="1"/>
  <c r="AC428" i="53" s="1"/>
  <c r="AE428" i="53" s="1"/>
  <c r="AD429" i="53" s="1"/>
  <c r="AC429" i="53" s="1"/>
  <c r="AE429" i="53" s="1"/>
  <c r="AD430" i="53" s="1"/>
  <c r="AC430" i="53" s="1"/>
  <c r="AE430" i="53" s="1"/>
  <c r="AD431" i="53" s="1"/>
  <c r="AC431" i="53" s="1"/>
  <c r="AE431" i="53" s="1"/>
  <c r="AD432" i="53" s="1"/>
  <c r="AC432" i="53" s="1"/>
  <c r="AE432" i="53" s="1"/>
  <c r="AD433" i="53" s="1"/>
  <c r="AC433" i="53" s="1"/>
  <c r="AE433" i="53" s="1"/>
  <c r="AD434" i="53" s="1"/>
  <c r="AC434" i="53" s="1"/>
  <c r="AE434" i="53" s="1"/>
  <c r="AD435" i="53" s="1"/>
  <c r="AC435" i="53" s="1"/>
  <c r="AE435" i="53" s="1"/>
  <c r="AD436" i="53" s="1"/>
  <c r="AC436" i="53" s="1"/>
  <c r="AE436" i="53" s="1"/>
  <c r="AD437" i="53" s="1"/>
  <c r="AC437" i="53" s="1"/>
  <c r="AE437" i="53" s="1"/>
  <c r="AD438" i="53" s="1"/>
  <c r="AC438" i="53" s="1"/>
  <c r="AE438" i="53" s="1"/>
  <c r="AD439" i="53" s="1"/>
  <c r="AC439" i="53" s="1"/>
  <c r="AE439" i="53" s="1"/>
  <c r="AD440" i="53" s="1"/>
  <c r="AC440" i="53" s="1"/>
  <c r="AE440" i="53" s="1"/>
  <c r="AD441" i="53" s="1"/>
  <c r="AC441" i="53" s="1"/>
  <c r="AE441" i="53" s="1"/>
  <c r="AD442" i="53" s="1"/>
  <c r="AC442" i="53" s="1"/>
  <c r="AE442" i="53" s="1"/>
  <c r="AD443" i="53" s="1"/>
  <c r="AC443" i="53" s="1"/>
  <c r="AE443" i="53" s="1"/>
  <c r="AD444" i="53" s="1"/>
  <c r="AC444" i="53" s="1"/>
  <c r="AE444" i="53" s="1"/>
  <c r="AD445" i="53" s="1"/>
  <c r="AC445" i="53" s="1"/>
  <c r="AE445" i="53" s="1"/>
  <c r="AD446" i="53" s="1"/>
  <c r="AC446" i="53" s="1"/>
  <c r="AE446" i="53" s="1"/>
  <c r="AD447" i="53" s="1"/>
  <c r="AC447" i="53" s="1"/>
  <c r="AE447" i="53" s="1"/>
  <c r="AD448" i="53" s="1"/>
  <c r="AC448" i="53" s="1"/>
  <c r="AE448" i="53" s="1"/>
  <c r="AD449" i="53" s="1"/>
  <c r="AC449" i="53" s="1"/>
  <c r="AE449" i="53" s="1"/>
  <c r="AD450" i="53" s="1"/>
  <c r="AC450" i="53" s="1"/>
  <c r="AE450" i="53" s="1"/>
  <c r="AD451" i="53" s="1"/>
  <c r="AC451" i="53" s="1"/>
  <c r="AE451" i="53" s="1"/>
  <c r="AD452" i="53" s="1"/>
  <c r="AC452" i="53" s="1"/>
  <c r="AE452" i="53" s="1"/>
  <c r="AD453" i="53" s="1"/>
  <c r="AC453" i="53" s="1"/>
  <c r="AE453" i="53" s="1"/>
  <c r="BA196" i="53"/>
  <c r="BC196" i="53" s="1"/>
  <c r="BB197" i="53" s="1"/>
  <c r="BA197" i="53" s="1"/>
  <c r="BC197" i="53" s="1"/>
  <c r="BB198" i="53" s="1"/>
  <c r="BA198" i="53" s="1"/>
  <c r="BC198" i="53" s="1"/>
  <c r="BB199" i="53" s="1"/>
  <c r="BA199" i="53" s="1"/>
  <c r="BC199" i="53" s="1"/>
  <c r="BB200" i="53" s="1"/>
  <c r="BA200" i="53" s="1"/>
  <c r="BC200" i="53" s="1"/>
  <c r="BB201" i="53" s="1"/>
  <c r="BA201" i="53" s="1"/>
  <c r="BC201" i="53" s="1"/>
  <c r="BB202" i="53" s="1"/>
  <c r="BA202" i="53" s="1"/>
  <c r="BC202" i="53" s="1"/>
  <c r="BB203" i="53" s="1"/>
  <c r="BA203" i="53" s="1"/>
  <c r="BC203" i="53" s="1"/>
  <c r="BB204" i="53" s="1"/>
  <c r="BA204" i="53" s="1"/>
  <c r="BC204" i="53" s="1"/>
  <c r="BB205" i="53" s="1"/>
  <c r="BA205" i="53" s="1"/>
  <c r="BC205" i="53" s="1"/>
  <c r="BB206" i="53" s="1"/>
  <c r="BA206" i="53" s="1"/>
  <c r="BC206" i="53" s="1"/>
  <c r="BB207" i="53" s="1"/>
  <c r="BA207" i="53" s="1"/>
  <c r="BC207" i="53" s="1"/>
  <c r="BB208" i="53" s="1"/>
  <c r="BA208" i="53" s="1"/>
  <c r="BC208" i="53" s="1"/>
  <c r="BB209" i="53" s="1"/>
  <c r="BA209" i="53" s="1"/>
  <c r="BC209" i="53" s="1"/>
  <c r="BB210" i="53" s="1"/>
  <c r="BA210" i="53" s="1"/>
  <c r="BC210" i="53" s="1"/>
  <c r="BB211" i="53" s="1"/>
  <c r="BA211" i="53" s="1"/>
  <c r="BC211" i="53" s="1"/>
  <c r="BB212" i="53" s="1"/>
  <c r="BA212" i="53" s="1"/>
  <c r="BC212" i="53" s="1"/>
  <c r="BB213" i="53" s="1"/>
  <c r="BA213" i="53" s="1"/>
  <c r="BC213" i="53" s="1"/>
  <c r="BB214" i="53" s="1"/>
  <c r="BA214" i="53" s="1"/>
  <c r="BC214" i="53" s="1"/>
  <c r="BB215" i="53" s="1"/>
  <c r="BA215" i="53" s="1"/>
  <c r="BC215" i="53" s="1"/>
  <c r="BB216" i="53" s="1"/>
  <c r="BA216" i="53" s="1"/>
  <c r="BC216" i="53" s="1"/>
  <c r="BB217" i="53" s="1"/>
  <c r="BA217" i="53" s="1"/>
  <c r="BC217" i="53" s="1"/>
  <c r="BB218" i="53" s="1"/>
  <c r="BA218" i="53" s="1"/>
  <c r="BC218" i="53" s="1"/>
  <c r="BB219" i="53" s="1"/>
  <c r="BA219" i="53" s="1"/>
  <c r="BC219" i="53" s="1"/>
  <c r="BB220" i="53" s="1"/>
  <c r="BA220" i="53" s="1"/>
  <c r="BC220" i="53" s="1"/>
  <c r="BB221" i="53" s="1"/>
  <c r="BA221" i="53" s="1"/>
  <c r="BC221" i="53" s="1"/>
  <c r="BB222" i="53" s="1"/>
  <c r="BA222" i="53" s="1"/>
  <c r="BC222" i="53" s="1"/>
  <c r="BB223" i="53" s="1"/>
  <c r="BA223" i="53" s="1"/>
  <c r="BC223" i="53" s="1"/>
  <c r="BB224" i="53" s="1"/>
  <c r="BA224" i="53" s="1"/>
  <c r="BC224" i="53" s="1"/>
  <c r="BB225" i="53" s="1"/>
  <c r="BA225" i="53" s="1"/>
  <c r="BC225" i="53" s="1"/>
  <c r="BB226" i="53" s="1"/>
  <c r="BA226" i="53" s="1"/>
  <c r="BC226" i="53" s="1"/>
  <c r="BB227" i="53" s="1"/>
  <c r="BA227" i="53" s="1"/>
  <c r="BC227" i="53" s="1"/>
  <c r="BB228" i="53" s="1"/>
  <c r="BA228" i="53" s="1"/>
  <c r="BC228" i="53" s="1"/>
  <c r="BB229" i="53" s="1"/>
  <c r="BA229" i="53" s="1"/>
  <c r="BC229" i="53" s="1"/>
  <c r="BB230" i="53" s="1"/>
  <c r="BA230" i="53" s="1"/>
  <c r="BC230" i="53" s="1"/>
  <c r="BB231" i="53" s="1"/>
  <c r="BA231" i="53" s="1"/>
  <c r="BC231" i="53" s="1"/>
  <c r="BB232" i="53" s="1"/>
  <c r="BA232" i="53" s="1"/>
  <c r="BC232" i="53" s="1"/>
  <c r="BB233" i="53" s="1"/>
  <c r="BA233" i="53" s="1"/>
  <c r="BC233" i="53" s="1"/>
  <c r="BB234" i="53" s="1"/>
  <c r="BA234" i="53" s="1"/>
  <c r="BC234" i="53" s="1"/>
  <c r="BB235" i="53" s="1"/>
  <c r="BA235" i="53" s="1"/>
  <c r="BC235" i="53" s="1"/>
  <c r="BB236" i="53" s="1"/>
  <c r="BA236" i="53" s="1"/>
  <c r="BC236" i="53" s="1"/>
  <c r="BB237" i="53" s="1"/>
  <c r="BA237" i="53" s="1"/>
  <c r="BC237" i="53" s="1"/>
  <c r="BB238" i="53" s="1"/>
  <c r="BA238" i="53" s="1"/>
  <c r="BC238" i="53" s="1"/>
  <c r="BB239" i="53" s="1"/>
  <c r="BA239" i="53" s="1"/>
  <c r="BC239" i="53" s="1"/>
  <c r="BB240" i="53" s="1"/>
  <c r="BA240" i="53" s="1"/>
  <c r="BC240" i="53" s="1"/>
  <c r="BB241" i="53" s="1"/>
  <c r="BA241" i="53" s="1"/>
  <c r="BC241" i="53" s="1"/>
  <c r="BB242" i="53" s="1"/>
  <c r="BA242" i="53" s="1"/>
  <c r="BC242" i="53" s="1"/>
  <c r="BB243" i="53" s="1"/>
  <c r="BA243" i="53" s="1"/>
  <c r="BC243" i="53" s="1"/>
  <c r="BB244" i="53" s="1"/>
  <c r="BA244" i="53" s="1"/>
  <c r="BC244" i="53" s="1"/>
  <c r="BB245" i="53" s="1"/>
  <c r="BA245" i="53" s="1"/>
  <c r="BC245" i="53" s="1"/>
  <c r="BB246" i="53" s="1"/>
  <c r="BA246" i="53" s="1"/>
  <c r="BC246" i="53" s="1"/>
  <c r="BB247" i="53" s="1"/>
  <c r="BA247" i="53" s="1"/>
  <c r="BC247" i="53" s="1"/>
  <c r="BB248" i="53" s="1"/>
  <c r="BA248" i="53" s="1"/>
  <c r="BC248" i="53" s="1"/>
  <c r="BB249" i="53" s="1"/>
  <c r="BA249" i="53" s="1"/>
  <c r="BC249" i="53" s="1"/>
  <c r="BB250" i="53" s="1"/>
  <c r="BA250" i="53" s="1"/>
  <c r="BC250" i="53" s="1"/>
  <c r="BB251" i="53" s="1"/>
  <c r="BA251" i="53" s="1"/>
  <c r="BC251" i="53" s="1"/>
  <c r="BB252" i="53" s="1"/>
  <c r="BA252" i="53" s="1"/>
  <c r="BC252" i="53" s="1"/>
  <c r="BB253" i="53" s="1"/>
  <c r="BA253" i="53" s="1"/>
  <c r="BC253" i="53" s="1"/>
  <c r="BB254" i="53" s="1"/>
  <c r="BA254" i="53" s="1"/>
  <c r="BC254" i="53" s="1"/>
  <c r="BB255" i="53" s="1"/>
  <c r="BA255" i="53" s="1"/>
  <c r="BC255" i="53" s="1"/>
  <c r="BB256" i="53" s="1"/>
  <c r="BA256" i="53" s="1"/>
  <c r="BC256" i="53" s="1"/>
  <c r="BB257" i="53" s="1"/>
  <c r="BA257" i="53" s="1"/>
  <c r="BC257" i="53" s="1"/>
  <c r="BB258" i="53" s="1"/>
  <c r="BA258" i="53" s="1"/>
  <c r="BC258" i="53" s="1"/>
  <c r="BB259" i="53" s="1"/>
  <c r="BA259" i="53" s="1"/>
  <c r="BC259" i="53" s="1"/>
  <c r="BB260" i="53" s="1"/>
  <c r="BA260" i="53" s="1"/>
  <c r="BC260" i="53" s="1"/>
  <c r="BB261" i="53" s="1"/>
  <c r="BA261" i="53" s="1"/>
  <c r="BC261" i="53" s="1"/>
  <c r="BB262" i="53" s="1"/>
  <c r="BA262" i="53" s="1"/>
  <c r="BC262" i="53" s="1"/>
  <c r="BB263" i="53" s="1"/>
  <c r="BA263" i="53" s="1"/>
  <c r="BC263" i="53" s="1"/>
  <c r="BB264" i="53" s="1"/>
  <c r="BA264" i="53" s="1"/>
  <c r="BC264" i="53" s="1"/>
  <c r="BB265" i="53" s="1"/>
  <c r="BA265" i="53" s="1"/>
  <c r="BC265" i="53" s="1"/>
  <c r="BB266" i="53" s="1"/>
  <c r="BA266" i="53" s="1"/>
  <c r="BC266" i="53" s="1"/>
  <c r="BB267" i="53" s="1"/>
  <c r="BA267" i="53" s="1"/>
  <c r="BC267" i="53" s="1"/>
  <c r="BB268" i="53" s="1"/>
  <c r="BA268" i="53" s="1"/>
  <c r="BC268" i="53" s="1"/>
  <c r="BB269" i="53" s="1"/>
  <c r="BA269" i="53" s="1"/>
  <c r="BC269" i="53" s="1"/>
  <c r="BB270" i="53" s="1"/>
  <c r="BA270" i="53" s="1"/>
  <c r="BC270" i="53" s="1"/>
  <c r="BB271" i="53" s="1"/>
  <c r="BA271" i="53" s="1"/>
  <c r="BC271" i="53" s="1"/>
  <c r="BB272" i="53" s="1"/>
  <c r="BA272" i="53" s="1"/>
  <c r="BC272" i="53" s="1"/>
  <c r="BB273" i="53" s="1"/>
  <c r="BA273" i="53" s="1"/>
  <c r="BC273" i="53" s="1"/>
  <c r="BB274" i="53" s="1"/>
  <c r="BA274" i="53" s="1"/>
  <c r="BC274" i="53" s="1"/>
  <c r="BB275" i="53" s="1"/>
  <c r="BA275" i="53" s="1"/>
  <c r="BC275" i="53" s="1"/>
  <c r="BB276" i="53" s="1"/>
  <c r="BA276" i="53" s="1"/>
  <c r="BC276" i="53" s="1"/>
  <c r="BB277" i="53" s="1"/>
  <c r="BA277" i="53" s="1"/>
  <c r="BC277" i="53" s="1"/>
  <c r="BB278" i="53" s="1"/>
  <c r="BA278" i="53" s="1"/>
  <c r="BC278" i="53" s="1"/>
  <c r="BB279" i="53" s="1"/>
  <c r="BA279" i="53" s="1"/>
  <c r="BC279" i="53" s="1"/>
  <c r="BB280" i="53" s="1"/>
  <c r="BA280" i="53" s="1"/>
  <c r="BC280" i="53" s="1"/>
  <c r="BB281" i="53" s="1"/>
  <c r="BA281" i="53" s="1"/>
  <c r="BC281" i="53" s="1"/>
  <c r="BB282" i="53" s="1"/>
  <c r="BA282" i="53" s="1"/>
  <c r="BC282" i="53" s="1"/>
  <c r="BB283" i="53" s="1"/>
  <c r="BA283" i="53" s="1"/>
  <c r="BC283" i="53" s="1"/>
  <c r="BB284" i="53" s="1"/>
  <c r="BA284" i="53" s="1"/>
  <c r="BC284" i="53" s="1"/>
  <c r="BB285" i="53" s="1"/>
  <c r="BA285" i="53" s="1"/>
  <c r="BC285" i="53" s="1"/>
  <c r="BB286" i="53" s="1"/>
  <c r="BA286" i="53" s="1"/>
  <c r="BC286" i="53" s="1"/>
  <c r="BB287" i="53" s="1"/>
  <c r="BA287" i="53" s="1"/>
  <c r="BC287" i="53" s="1"/>
  <c r="BB288" i="53" s="1"/>
  <c r="BA288" i="53" s="1"/>
  <c r="BC288" i="53" s="1"/>
  <c r="BB289" i="53" s="1"/>
  <c r="BA289" i="53" s="1"/>
  <c r="BC289" i="53" s="1"/>
  <c r="BB290" i="53" s="1"/>
  <c r="BA290" i="53" s="1"/>
  <c r="BC290" i="53" s="1"/>
  <c r="BB291" i="53" s="1"/>
  <c r="BA291" i="53" s="1"/>
  <c r="BC291" i="53" s="1"/>
  <c r="BB292" i="53" s="1"/>
  <c r="BA292" i="53" s="1"/>
  <c r="BC292" i="53" s="1"/>
  <c r="BB293" i="53" s="1"/>
  <c r="BA293" i="53" s="1"/>
  <c r="BC293" i="53" s="1"/>
  <c r="BB294" i="53" s="1"/>
  <c r="BA294" i="53" s="1"/>
  <c r="BC294" i="53" s="1"/>
  <c r="BB295" i="53" s="1"/>
  <c r="BA295" i="53" s="1"/>
  <c r="BC295" i="53" s="1"/>
  <c r="BB296" i="53" s="1"/>
  <c r="BA296" i="53" s="1"/>
  <c r="BC296" i="53" s="1"/>
  <c r="BB297" i="53" s="1"/>
  <c r="BA297" i="53" s="1"/>
  <c r="BC297" i="53" s="1"/>
  <c r="BB298" i="53" s="1"/>
  <c r="BA298" i="53" s="1"/>
  <c r="BC298" i="53" s="1"/>
  <c r="BB299" i="53" s="1"/>
  <c r="BA299" i="53" s="1"/>
  <c r="BC299" i="53" s="1"/>
  <c r="BB300" i="53" s="1"/>
  <c r="BA300" i="53" s="1"/>
  <c r="BC300" i="53" s="1"/>
  <c r="BB301" i="53" s="1"/>
  <c r="BA301" i="53" s="1"/>
  <c r="BC301" i="53" s="1"/>
  <c r="BB302" i="53" s="1"/>
  <c r="BA302" i="53" s="1"/>
  <c r="BC302" i="53" s="1"/>
  <c r="BB303" i="53" s="1"/>
  <c r="BA303" i="53" s="1"/>
  <c r="BC303" i="53" s="1"/>
  <c r="BB304" i="53" s="1"/>
  <c r="BA304" i="53" s="1"/>
  <c r="BC304" i="53" s="1"/>
  <c r="BB305" i="53" s="1"/>
  <c r="BA305" i="53" s="1"/>
  <c r="BC305" i="53" s="1"/>
  <c r="BB306" i="53" s="1"/>
  <c r="BA306" i="53" s="1"/>
  <c r="BC306" i="53" s="1"/>
  <c r="BB307" i="53" s="1"/>
  <c r="BA307" i="53" s="1"/>
  <c r="BC307" i="53" s="1"/>
  <c r="BB308" i="53" s="1"/>
  <c r="BA308" i="53" s="1"/>
  <c r="BC308" i="53" s="1"/>
  <c r="BB309" i="53" s="1"/>
  <c r="BA309" i="53" s="1"/>
  <c r="BC309" i="53" s="1"/>
  <c r="BB310" i="53" s="1"/>
  <c r="BA310" i="53" s="1"/>
  <c r="BC310" i="53" s="1"/>
  <c r="BB311" i="53" s="1"/>
  <c r="BA311" i="53" s="1"/>
  <c r="BC311" i="53" s="1"/>
  <c r="BB312" i="53" s="1"/>
  <c r="BA312" i="53" s="1"/>
  <c r="BC312" i="53" s="1"/>
  <c r="BB313" i="53" s="1"/>
  <c r="BA313" i="53" s="1"/>
  <c r="BC313" i="53" s="1"/>
  <c r="BB314" i="53" s="1"/>
  <c r="BA314" i="53" s="1"/>
  <c r="BC314" i="53" s="1"/>
  <c r="BB315" i="53" s="1"/>
  <c r="BA315" i="53" s="1"/>
  <c r="BC315" i="53" s="1"/>
  <c r="BB316" i="53" s="1"/>
  <c r="BA316" i="53" s="1"/>
  <c r="BC316" i="53" s="1"/>
  <c r="BB317" i="53" s="1"/>
  <c r="BA317" i="53" s="1"/>
  <c r="BC317" i="53" s="1"/>
  <c r="BB318" i="53" s="1"/>
  <c r="BA318" i="53" s="1"/>
  <c r="BC318" i="53" s="1"/>
  <c r="BB319" i="53" s="1"/>
  <c r="BA319" i="53" s="1"/>
  <c r="BC319" i="53" s="1"/>
  <c r="BB320" i="53" s="1"/>
  <c r="BA320" i="53" s="1"/>
  <c r="BC320" i="53" s="1"/>
  <c r="BB321" i="53" s="1"/>
  <c r="BA321" i="53" s="1"/>
  <c r="BC321" i="53" s="1"/>
  <c r="BB322" i="53" s="1"/>
  <c r="BA322" i="53" s="1"/>
  <c r="BC322" i="53" s="1"/>
  <c r="BB323" i="53" s="1"/>
  <c r="BA323" i="53" s="1"/>
  <c r="BC323" i="53" s="1"/>
  <c r="BB324" i="53" s="1"/>
  <c r="BA324" i="53" s="1"/>
  <c r="BC324" i="53" s="1"/>
  <c r="BB325" i="53" s="1"/>
  <c r="BA325" i="53" s="1"/>
  <c r="BC325" i="53" s="1"/>
  <c r="BB326" i="53" s="1"/>
  <c r="BA326" i="53" s="1"/>
  <c r="BC326" i="53" s="1"/>
  <c r="BB327" i="53" s="1"/>
  <c r="BA327" i="53" s="1"/>
  <c r="BC327" i="53" s="1"/>
  <c r="BB328" i="53" s="1"/>
  <c r="BA328" i="53" s="1"/>
  <c r="BC328" i="53" s="1"/>
  <c r="BB329" i="53" s="1"/>
  <c r="BA329" i="53" s="1"/>
  <c r="BC329" i="53" s="1"/>
  <c r="BB330" i="53" s="1"/>
  <c r="BA330" i="53" s="1"/>
  <c r="BC330" i="53" s="1"/>
  <c r="BB331" i="53" s="1"/>
  <c r="BA331" i="53" s="1"/>
  <c r="BC331" i="53" s="1"/>
  <c r="BB332" i="53" s="1"/>
  <c r="BA332" i="53" s="1"/>
  <c r="BC332" i="53" s="1"/>
  <c r="BB333" i="53" s="1"/>
  <c r="BA333" i="53" s="1"/>
  <c r="BC333" i="53" s="1"/>
  <c r="BB334" i="53" s="1"/>
  <c r="BA334" i="53" s="1"/>
  <c r="BC334" i="53" s="1"/>
  <c r="BB335" i="53" s="1"/>
  <c r="BA335" i="53" s="1"/>
  <c r="BC335" i="53" s="1"/>
  <c r="BB336" i="53" s="1"/>
  <c r="BA336" i="53" s="1"/>
  <c r="BC336" i="53" s="1"/>
  <c r="BB337" i="53" s="1"/>
  <c r="BA337" i="53" s="1"/>
  <c r="BC337" i="53" s="1"/>
  <c r="BB338" i="53" s="1"/>
  <c r="BA338" i="53" s="1"/>
  <c r="BC338" i="53" s="1"/>
  <c r="BB339" i="53" s="1"/>
  <c r="BA339" i="53" s="1"/>
  <c r="BC339" i="53" s="1"/>
  <c r="BB340" i="53" s="1"/>
  <c r="BA340" i="53" s="1"/>
  <c r="BC340" i="53" s="1"/>
  <c r="BB341" i="53" s="1"/>
  <c r="BA341" i="53" s="1"/>
  <c r="BC341" i="53" s="1"/>
  <c r="BB342" i="53" s="1"/>
  <c r="BA342" i="53" s="1"/>
  <c r="BC342" i="53" s="1"/>
  <c r="BB343" i="53" s="1"/>
  <c r="BA343" i="53" s="1"/>
  <c r="BC343" i="53" s="1"/>
  <c r="BB344" i="53" s="1"/>
  <c r="BA344" i="53" s="1"/>
  <c r="BC344" i="53" s="1"/>
  <c r="BB345" i="53" s="1"/>
  <c r="BA345" i="53" s="1"/>
  <c r="BC345" i="53" s="1"/>
  <c r="BB346" i="53" s="1"/>
  <c r="BA346" i="53" s="1"/>
  <c r="BC346" i="53" s="1"/>
  <c r="BB347" i="53" s="1"/>
  <c r="BA347" i="53" s="1"/>
  <c r="BC347" i="53" s="1"/>
  <c r="BB348" i="53" s="1"/>
  <c r="BA348" i="53" s="1"/>
  <c r="BC348" i="53" s="1"/>
  <c r="BB349" i="53" s="1"/>
  <c r="BA349" i="53" s="1"/>
  <c r="BC349" i="53" s="1"/>
  <c r="BB350" i="53" s="1"/>
  <c r="BA350" i="53" s="1"/>
  <c r="BC350" i="53" s="1"/>
  <c r="BB351" i="53" s="1"/>
  <c r="BA351" i="53" s="1"/>
  <c r="BC351" i="53" s="1"/>
  <c r="BB352" i="53" s="1"/>
  <c r="BA352" i="53" s="1"/>
  <c r="BC352" i="53" s="1"/>
  <c r="BB353" i="53" s="1"/>
  <c r="BA353" i="53" s="1"/>
  <c r="BC353" i="53" s="1"/>
  <c r="BB354" i="53" s="1"/>
  <c r="BA354" i="53" s="1"/>
  <c r="BC354" i="53" s="1"/>
  <c r="BB355" i="53" s="1"/>
  <c r="BA355" i="53" s="1"/>
  <c r="BC355" i="53" s="1"/>
  <c r="BB356" i="53" s="1"/>
  <c r="BA356" i="53" s="1"/>
  <c r="BC356" i="53" s="1"/>
  <c r="BB357" i="53" s="1"/>
  <c r="BA357" i="53" s="1"/>
  <c r="BC357" i="53" s="1"/>
  <c r="BB358" i="53" s="1"/>
  <c r="BA358" i="53" s="1"/>
  <c r="BC358" i="53" s="1"/>
  <c r="BB359" i="53" s="1"/>
  <c r="BA359" i="53" s="1"/>
  <c r="BC359" i="53" s="1"/>
  <c r="BB360" i="53" s="1"/>
  <c r="BA360" i="53" s="1"/>
  <c r="BC360" i="53" s="1"/>
  <c r="BB361" i="53" s="1"/>
  <c r="BA361" i="53" s="1"/>
  <c r="BC361" i="53" s="1"/>
  <c r="BB362" i="53" s="1"/>
  <c r="BA362" i="53" s="1"/>
  <c r="BC362" i="53" s="1"/>
  <c r="BB363" i="53" s="1"/>
  <c r="BA363" i="53" s="1"/>
  <c r="BC363" i="53" s="1"/>
  <c r="BB364" i="53" s="1"/>
  <c r="BA364" i="53" s="1"/>
  <c r="BC364" i="53" s="1"/>
  <c r="BB365" i="53" s="1"/>
  <c r="BA365" i="53" s="1"/>
  <c r="BC365" i="53" s="1"/>
  <c r="BB366" i="53" s="1"/>
  <c r="BA366" i="53" s="1"/>
  <c r="BC366" i="53" s="1"/>
  <c r="BB367" i="53" s="1"/>
  <c r="BA367" i="53" s="1"/>
  <c r="BC367" i="53" s="1"/>
  <c r="BB368" i="53" s="1"/>
  <c r="BA368" i="53" s="1"/>
  <c r="BC368" i="53" s="1"/>
  <c r="BB369" i="53" s="1"/>
  <c r="BA369" i="53" s="1"/>
  <c r="BC369" i="53" s="1"/>
  <c r="BB370" i="53" s="1"/>
  <c r="BA370" i="53" s="1"/>
  <c r="BC370" i="53" s="1"/>
  <c r="BB371" i="53" s="1"/>
  <c r="BA371" i="53" s="1"/>
  <c r="BC371" i="53" s="1"/>
  <c r="BB372" i="53" s="1"/>
  <c r="BA372" i="53" s="1"/>
  <c r="BC372" i="53" s="1"/>
  <c r="BB373" i="53" s="1"/>
  <c r="BA373" i="53" s="1"/>
  <c r="BC373" i="53" s="1"/>
  <c r="BB374" i="53" s="1"/>
  <c r="BA374" i="53" s="1"/>
  <c r="BC374" i="53" s="1"/>
  <c r="BB375" i="53" s="1"/>
  <c r="BA375" i="53" s="1"/>
  <c r="BC375" i="53" s="1"/>
  <c r="BB376" i="53" s="1"/>
  <c r="BA376" i="53" s="1"/>
  <c r="BC376" i="53" s="1"/>
  <c r="BB377" i="53" s="1"/>
  <c r="BA377" i="53" s="1"/>
  <c r="BC377" i="53" s="1"/>
  <c r="BB378" i="53" s="1"/>
  <c r="BA378" i="53" s="1"/>
  <c r="BC378" i="53" s="1"/>
  <c r="BB379" i="53" s="1"/>
  <c r="BA379" i="53" s="1"/>
  <c r="BC379" i="53" s="1"/>
  <c r="BB380" i="53" s="1"/>
  <c r="BA380" i="53" s="1"/>
  <c r="BC380" i="53" s="1"/>
  <c r="BB381" i="53" s="1"/>
  <c r="BA381" i="53" s="1"/>
  <c r="BC381" i="53" s="1"/>
  <c r="BB382" i="53" s="1"/>
  <c r="BA382" i="53" s="1"/>
  <c r="BC382" i="53" s="1"/>
  <c r="BB383" i="53" s="1"/>
  <c r="BA383" i="53" s="1"/>
  <c r="BC383" i="53" s="1"/>
  <c r="BB384" i="53" s="1"/>
  <c r="BA384" i="53" s="1"/>
  <c r="BC384" i="53" s="1"/>
  <c r="BB385" i="53" s="1"/>
  <c r="BA385" i="53" s="1"/>
  <c r="BC385" i="53" s="1"/>
  <c r="BB386" i="53" s="1"/>
  <c r="BA386" i="53" s="1"/>
  <c r="BC386" i="53" s="1"/>
  <c r="BB387" i="53" s="1"/>
  <c r="BA387" i="53" s="1"/>
  <c r="BC387" i="53" s="1"/>
  <c r="BB388" i="53" s="1"/>
  <c r="BA388" i="53" s="1"/>
  <c r="BC388" i="53" s="1"/>
  <c r="BB389" i="53" s="1"/>
  <c r="BA389" i="53" s="1"/>
  <c r="BC389" i="53" s="1"/>
  <c r="BB390" i="53" s="1"/>
  <c r="BA390" i="53" s="1"/>
  <c r="BC390" i="53" s="1"/>
  <c r="BB391" i="53" s="1"/>
  <c r="BA391" i="53" s="1"/>
  <c r="BC391" i="53" s="1"/>
  <c r="BB392" i="53" s="1"/>
  <c r="BA392" i="53" s="1"/>
  <c r="BC392" i="53" s="1"/>
  <c r="BB393" i="53" s="1"/>
  <c r="BA393" i="53" s="1"/>
  <c r="BC393" i="53" s="1"/>
  <c r="BB394" i="53" s="1"/>
  <c r="BA394" i="53" s="1"/>
  <c r="BC394" i="53" s="1"/>
  <c r="BB395" i="53" s="1"/>
  <c r="BA395" i="53" s="1"/>
  <c r="BC395" i="53" s="1"/>
  <c r="BB396" i="53" s="1"/>
  <c r="BA396" i="53" s="1"/>
  <c r="BC396" i="53" s="1"/>
  <c r="BB397" i="53" s="1"/>
  <c r="BA397" i="53" s="1"/>
  <c r="BC397" i="53" s="1"/>
  <c r="BB398" i="53" s="1"/>
  <c r="BA398" i="53" s="1"/>
  <c r="BC398" i="53" s="1"/>
  <c r="BB399" i="53" s="1"/>
  <c r="BA399" i="53" s="1"/>
  <c r="BC399" i="53" s="1"/>
  <c r="BB400" i="53" s="1"/>
  <c r="BA400" i="53" s="1"/>
  <c r="BC400" i="53" s="1"/>
  <c r="BB401" i="53" s="1"/>
  <c r="BA401" i="53" s="1"/>
  <c r="BC401" i="53" s="1"/>
  <c r="BB402" i="53" s="1"/>
  <c r="BA402" i="53" s="1"/>
  <c r="BC402" i="53" s="1"/>
  <c r="BB403" i="53" s="1"/>
  <c r="BA403" i="53" s="1"/>
  <c r="BC403" i="53" s="1"/>
  <c r="BB404" i="53" s="1"/>
  <c r="BA404" i="53" s="1"/>
  <c r="BC404" i="53" s="1"/>
  <c r="BB405" i="53" s="1"/>
  <c r="BA405" i="53" s="1"/>
  <c r="BC405" i="53" s="1"/>
  <c r="BB406" i="53" s="1"/>
  <c r="BA406" i="53" s="1"/>
  <c r="BC406" i="53" s="1"/>
  <c r="BB407" i="53" s="1"/>
  <c r="BA407" i="53" s="1"/>
  <c r="BC407" i="53" s="1"/>
  <c r="BB408" i="53" s="1"/>
  <c r="BA408" i="53" s="1"/>
  <c r="BC408" i="53" s="1"/>
  <c r="BB409" i="53" s="1"/>
  <c r="BA409" i="53" s="1"/>
  <c r="BC409" i="53" s="1"/>
  <c r="BB410" i="53" s="1"/>
  <c r="BA410" i="53" s="1"/>
  <c r="BC410" i="53" s="1"/>
  <c r="BB411" i="53" s="1"/>
  <c r="BA411" i="53" s="1"/>
  <c r="BC411" i="53" s="1"/>
  <c r="BB412" i="53" s="1"/>
  <c r="BA412" i="53" s="1"/>
  <c r="BC412" i="53" s="1"/>
  <c r="BB413" i="53" s="1"/>
  <c r="BA413" i="53" s="1"/>
  <c r="BC413" i="53" s="1"/>
  <c r="BB414" i="53" s="1"/>
  <c r="BA414" i="53" s="1"/>
  <c r="BC414" i="53" s="1"/>
  <c r="BB415" i="53" s="1"/>
  <c r="BA415" i="53" s="1"/>
  <c r="BC415" i="53" s="1"/>
  <c r="BB416" i="53" s="1"/>
  <c r="BA416" i="53" s="1"/>
  <c r="BC416" i="53" s="1"/>
  <c r="BB417" i="53" s="1"/>
  <c r="BA417" i="53" s="1"/>
  <c r="BC417" i="53" s="1"/>
  <c r="BB418" i="53" s="1"/>
  <c r="BA418" i="53" s="1"/>
  <c r="BC418" i="53" s="1"/>
  <c r="BB419" i="53" s="1"/>
  <c r="BA419" i="53" s="1"/>
  <c r="BC419" i="53" s="1"/>
  <c r="BB420" i="53" s="1"/>
  <c r="BA420" i="53" s="1"/>
  <c r="BC420" i="53" s="1"/>
  <c r="BB421" i="53" s="1"/>
  <c r="BA421" i="53" s="1"/>
  <c r="BC421" i="53" s="1"/>
  <c r="BB422" i="53" s="1"/>
  <c r="BA422" i="53" s="1"/>
  <c r="BC422" i="53" s="1"/>
  <c r="BB423" i="53" s="1"/>
  <c r="BA423" i="53" s="1"/>
  <c r="BC423" i="53" s="1"/>
  <c r="BB424" i="53" s="1"/>
  <c r="BA424" i="53" s="1"/>
  <c r="BC424" i="53" s="1"/>
  <c r="BB425" i="53" s="1"/>
  <c r="BA425" i="53" s="1"/>
  <c r="BC425" i="53" s="1"/>
  <c r="BB426" i="53" s="1"/>
  <c r="BA426" i="53" s="1"/>
  <c r="BC426" i="53" s="1"/>
  <c r="BB427" i="53" s="1"/>
  <c r="BA427" i="53" s="1"/>
  <c r="BC427" i="53" s="1"/>
  <c r="BB428" i="53" s="1"/>
  <c r="BA428" i="53" s="1"/>
  <c r="BC428" i="53" s="1"/>
  <c r="BB429" i="53" s="1"/>
  <c r="BA429" i="53" s="1"/>
  <c r="BC429" i="53" s="1"/>
  <c r="BB430" i="53" s="1"/>
  <c r="BA430" i="53" s="1"/>
  <c r="BC430" i="53" s="1"/>
  <c r="BB431" i="53" s="1"/>
  <c r="BA431" i="53" s="1"/>
  <c r="BC431" i="53" s="1"/>
  <c r="BB432" i="53" s="1"/>
  <c r="BA432" i="53" s="1"/>
  <c r="BC432" i="53" s="1"/>
  <c r="BB433" i="53" s="1"/>
  <c r="BA433" i="53" s="1"/>
  <c r="BC433" i="53" s="1"/>
  <c r="BB434" i="53" s="1"/>
  <c r="BA434" i="53" s="1"/>
  <c r="BC434" i="53" s="1"/>
  <c r="BB435" i="53" s="1"/>
  <c r="BA435" i="53" s="1"/>
  <c r="BC435" i="53" s="1"/>
  <c r="BB436" i="53" s="1"/>
  <c r="BA436" i="53" s="1"/>
  <c r="BC436" i="53" s="1"/>
  <c r="BB437" i="53" s="1"/>
  <c r="BA437" i="53" s="1"/>
  <c r="BC437" i="53" s="1"/>
  <c r="BB438" i="53" s="1"/>
  <c r="BA438" i="53" s="1"/>
  <c r="BC438" i="53" s="1"/>
  <c r="BB439" i="53" s="1"/>
  <c r="BA439" i="53" s="1"/>
  <c r="BC439" i="53" s="1"/>
  <c r="BB440" i="53" s="1"/>
  <c r="BA440" i="53" s="1"/>
  <c r="BC440" i="53" s="1"/>
  <c r="BB441" i="53" s="1"/>
  <c r="BA441" i="53" s="1"/>
  <c r="BC441" i="53" s="1"/>
  <c r="BB442" i="53" s="1"/>
  <c r="BA442" i="53" s="1"/>
  <c r="BC442" i="53" s="1"/>
  <c r="BB443" i="53" s="1"/>
  <c r="BA443" i="53" s="1"/>
  <c r="BC443" i="53" s="1"/>
  <c r="BB444" i="53" s="1"/>
  <c r="BA444" i="53" s="1"/>
  <c r="BC444" i="53" s="1"/>
  <c r="BB445" i="53" s="1"/>
  <c r="BA445" i="53" s="1"/>
  <c r="BC445" i="53" s="1"/>
  <c r="BB446" i="53" s="1"/>
  <c r="BA446" i="53" s="1"/>
  <c r="BC446" i="53" s="1"/>
  <c r="BB447" i="53" s="1"/>
  <c r="BA447" i="53" s="1"/>
  <c r="BC447" i="53" s="1"/>
  <c r="BB448" i="53" s="1"/>
  <c r="BA448" i="53" s="1"/>
  <c r="BC448" i="53" s="1"/>
  <c r="BB449" i="53" s="1"/>
  <c r="BA449" i="53" s="1"/>
  <c r="BC449" i="53" s="1"/>
  <c r="BB450" i="53" s="1"/>
  <c r="BA450" i="53" s="1"/>
  <c r="BC450" i="53" s="1"/>
  <c r="BB451" i="53" s="1"/>
  <c r="BA451" i="53" s="1"/>
  <c r="BC451" i="53" s="1"/>
  <c r="BB452" i="53" s="1"/>
  <c r="BA452" i="53" s="1"/>
  <c r="BC452" i="53" s="1"/>
  <c r="BB453" i="53" s="1"/>
  <c r="BA453" i="53" s="1"/>
  <c r="BC453" i="53" s="1"/>
  <c r="AO187" i="53"/>
  <c r="AQ187" i="53" s="1"/>
  <c r="AP188" i="53" s="1"/>
  <c r="AO188" i="53" s="1"/>
  <c r="AQ188" i="53" s="1"/>
  <c r="AP189" i="53" s="1"/>
  <c r="AO189" i="53" s="1"/>
  <c r="AQ189" i="53" s="1"/>
  <c r="AP190" i="53" s="1"/>
  <c r="AO190" i="53" s="1"/>
  <c r="AQ190" i="53" s="1"/>
  <c r="AP191" i="53" s="1"/>
  <c r="AO191" i="53" s="1"/>
  <c r="AQ191" i="53" s="1"/>
  <c r="AP192" i="53" s="1"/>
  <c r="AO192" i="53" s="1"/>
  <c r="AQ192" i="53" s="1"/>
  <c r="AP193" i="53" s="1"/>
  <c r="AO193" i="53" s="1"/>
  <c r="AQ193" i="53" s="1"/>
  <c r="AP194" i="53" s="1"/>
  <c r="AO194" i="53" s="1"/>
  <c r="AQ194" i="53" s="1"/>
  <c r="AP195" i="53" s="1"/>
  <c r="AO195" i="53" s="1"/>
  <c r="AQ195" i="53" s="1"/>
  <c r="AP196" i="53" s="1"/>
  <c r="AO196" i="53" s="1"/>
  <c r="AQ196" i="53" s="1"/>
  <c r="AP197" i="53" s="1"/>
  <c r="AO197" i="53" s="1"/>
  <c r="AQ197" i="53" s="1"/>
  <c r="AP198" i="53" s="1"/>
  <c r="AO198" i="53" s="1"/>
  <c r="AQ198" i="53" s="1"/>
  <c r="AP199" i="53" s="1"/>
  <c r="AO199" i="53" s="1"/>
  <c r="AQ199" i="53" s="1"/>
  <c r="AP200" i="53" s="1"/>
  <c r="AO200" i="53" s="1"/>
  <c r="AQ200" i="53" s="1"/>
  <c r="AP201" i="53" s="1"/>
  <c r="AO201" i="53" s="1"/>
  <c r="AQ201" i="53" s="1"/>
  <c r="AP202" i="53" s="1"/>
  <c r="AO202" i="53" s="1"/>
  <c r="AQ202" i="53" s="1"/>
  <c r="AP203" i="53" s="1"/>
  <c r="AO203" i="53" s="1"/>
  <c r="AQ203" i="53" s="1"/>
  <c r="AP204" i="53" s="1"/>
  <c r="AO204" i="53" s="1"/>
  <c r="AQ204" i="53" s="1"/>
  <c r="AP205" i="53" s="1"/>
  <c r="AO205" i="53" s="1"/>
  <c r="AQ205" i="53" s="1"/>
  <c r="AP206" i="53" s="1"/>
  <c r="AO206" i="53" s="1"/>
  <c r="AQ206" i="53" s="1"/>
  <c r="AP207" i="53" s="1"/>
  <c r="AO207" i="53" s="1"/>
  <c r="AQ207" i="53" s="1"/>
  <c r="AP208" i="53" s="1"/>
  <c r="AO208" i="53" s="1"/>
  <c r="AQ208" i="53" s="1"/>
  <c r="AP209" i="53" s="1"/>
  <c r="AO209" i="53" s="1"/>
  <c r="AQ209" i="53" s="1"/>
  <c r="AP210" i="53" s="1"/>
  <c r="AO210" i="53" s="1"/>
  <c r="AQ210" i="53" s="1"/>
  <c r="AP211" i="53" s="1"/>
  <c r="AO211" i="53" s="1"/>
  <c r="AQ211" i="53" s="1"/>
  <c r="AP212" i="53" s="1"/>
  <c r="AO212" i="53" s="1"/>
  <c r="AQ212" i="53" s="1"/>
  <c r="AP213" i="53" s="1"/>
  <c r="AO213" i="53" s="1"/>
  <c r="AQ213" i="53" s="1"/>
  <c r="AP214" i="53" s="1"/>
  <c r="AO214" i="53" s="1"/>
  <c r="AQ214" i="53" s="1"/>
  <c r="AP215" i="53" s="1"/>
  <c r="AO215" i="53" s="1"/>
  <c r="AQ215" i="53" s="1"/>
  <c r="AP216" i="53" s="1"/>
  <c r="AO216" i="53" s="1"/>
  <c r="AQ216" i="53" s="1"/>
  <c r="AP217" i="53" s="1"/>
  <c r="AO217" i="53" s="1"/>
  <c r="AQ217" i="53" s="1"/>
  <c r="AP218" i="53" s="1"/>
  <c r="AO218" i="53" s="1"/>
  <c r="AQ218" i="53" s="1"/>
  <c r="AP219" i="53" s="1"/>
  <c r="AO219" i="53" s="1"/>
  <c r="AQ219" i="53" s="1"/>
  <c r="AP220" i="53" s="1"/>
  <c r="AO220" i="53" s="1"/>
  <c r="AQ220" i="53" s="1"/>
  <c r="AP221" i="53" s="1"/>
  <c r="AO221" i="53" s="1"/>
  <c r="AQ221" i="53" s="1"/>
  <c r="AP222" i="53" s="1"/>
  <c r="AO222" i="53" s="1"/>
  <c r="AQ222" i="53" s="1"/>
  <c r="AP223" i="53" s="1"/>
  <c r="AO223" i="53" s="1"/>
  <c r="AQ223" i="53" s="1"/>
  <c r="AP224" i="53" s="1"/>
  <c r="AO224" i="53" s="1"/>
  <c r="AQ224" i="53" s="1"/>
  <c r="AP225" i="53" s="1"/>
  <c r="AO225" i="53" s="1"/>
  <c r="AQ225" i="53" s="1"/>
  <c r="AP226" i="53" s="1"/>
  <c r="AO226" i="53" s="1"/>
  <c r="AQ226" i="53" s="1"/>
  <c r="AP227" i="53" s="1"/>
  <c r="AO227" i="53" s="1"/>
  <c r="AQ227" i="53" s="1"/>
  <c r="AP228" i="53" s="1"/>
  <c r="AO228" i="53" s="1"/>
  <c r="AQ228" i="53" s="1"/>
  <c r="AP229" i="53" s="1"/>
  <c r="AO229" i="53" s="1"/>
  <c r="AQ229" i="53" s="1"/>
  <c r="AP230" i="53" s="1"/>
  <c r="AO230" i="53" s="1"/>
  <c r="AQ230" i="53" s="1"/>
  <c r="AP231" i="53" s="1"/>
  <c r="AO231" i="53" s="1"/>
  <c r="AQ231" i="53" s="1"/>
  <c r="AP232" i="53" s="1"/>
  <c r="AO232" i="53" s="1"/>
  <c r="AQ232" i="53" s="1"/>
  <c r="AP233" i="53" s="1"/>
  <c r="AO233" i="53" s="1"/>
  <c r="AQ233" i="53" s="1"/>
  <c r="AP234" i="53" s="1"/>
  <c r="AO234" i="53" s="1"/>
  <c r="AQ234" i="53" s="1"/>
  <c r="AP235" i="53" s="1"/>
  <c r="AO235" i="53" s="1"/>
  <c r="AQ235" i="53" s="1"/>
  <c r="AP236" i="53" s="1"/>
  <c r="AO236" i="53" s="1"/>
  <c r="AQ236" i="53" s="1"/>
  <c r="AP237" i="53" s="1"/>
  <c r="AO237" i="53" s="1"/>
  <c r="AQ237" i="53" s="1"/>
  <c r="AP238" i="53" s="1"/>
  <c r="AO238" i="53" s="1"/>
  <c r="AQ238" i="53" s="1"/>
  <c r="AP239" i="53" s="1"/>
  <c r="AO239" i="53" s="1"/>
  <c r="AQ239" i="53" s="1"/>
  <c r="AP240" i="53" s="1"/>
  <c r="AO240" i="53" s="1"/>
  <c r="AQ240" i="53" s="1"/>
  <c r="AP241" i="53" s="1"/>
  <c r="AO241" i="53" s="1"/>
  <c r="AQ241" i="53" s="1"/>
  <c r="AP242" i="53" s="1"/>
  <c r="AO242" i="53" s="1"/>
  <c r="AQ242" i="53" s="1"/>
  <c r="AP243" i="53" s="1"/>
  <c r="AO243" i="53" s="1"/>
  <c r="AQ243" i="53" s="1"/>
  <c r="AP244" i="53" s="1"/>
  <c r="AO244" i="53" s="1"/>
  <c r="AQ244" i="53" s="1"/>
  <c r="AP245" i="53" s="1"/>
  <c r="AO245" i="53" s="1"/>
  <c r="AQ245" i="53" s="1"/>
  <c r="AP246" i="53" s="1"/>
  <c r="AO246" i="53" s="1"/>
  <c r="AQ246" i="53" s="1"/>
  <c r="AP247" i="53" s="1"/>
  <c r="AO247" i="53" s="1"/>
  <c r="AQ247" i="53" s="1"/>
  <c r="AP248" i="53" s="1"/>
  <c r="AO248" i="53" s="1"/>
  <c r="AQ248" i="53" s="1"/>
  <c r="AP249" i="53" s="1"/>
  <c r="AO249" i="53" s="1"/>
  <c r="AQ249" i="53" s="1"/>
  <c r="AP250" i="53" s="1"/>
  <c r="AO250" i="53" s="1"/>
  <c r="AQ250" i="53" s="1"/>
  <c r="AP251" i="53" s="1"/>
  <c r="AO251" i="53" s="1"/>
  <c r="AQ251" i="53" s="1"/>
  <c r="AP252" i="53" s="1"/>
  <c r="AO252" i="53" s="1"/>
  <c r="AQ252" i="53" s="1"/>
  <c r="AP253" i="53" s="1"/>
  <c r="AO253" i="53" s="1"/>
  <c r="AQ253" i="53" s="1"/>
  <c r="AP254" i="53" s="1"/>
  <c r="AO254" i="53" s="1"/>
  <c r="AQ254" i="53" s="1"/>
  <c r="AP255" i="53" s="1"/>
  <c r="AO255" i="53" s="1"/>
  <c r="AQ255" i="53" s="1"/>
  <c r="AP256" i="53" s="1"/>
  <c r="AO256" i="53" s="1"/>
  <c r="AQ256" i="53" s="1"/>
  <c r="AP257" i="53" s="1"/>
  <c r="AO257" i="53" s="1"/>
  <c r="AQ257" i="53" s="1"/>
  <c r="AP258" i="53" s="1"/>
  <c r="AO258" i="53" s="1"/>
  <c r="AQ258" i="53" s="1"/>
  <c r="AP259" i="53" s="1"/>
  <c r="AO259" i="53" s="1"/>
  <c r="AQ259" i="53" s="1"/>
  <c r="AP260" i="53" s="1"/>
  <c r="AO260" i="53" s="1"/>
  <c r="AQ260" i="53" s="1"/>
  <c r="AP261" i="53" s="1"/>
  <c r="AO261" i="53" s="1"/>
  <c r="AQ261" i="53" s="1"/>
  <c r="AP262" i="53" s="1"/>
  <c r="AO262" i="53" s="1"/>
  <c r="AQ262" i="53" s="1"/>
  <c r="AP263" i="53" s="1"/>
  <c r="AO263" i="53" s="1"/>
  <c r="AQ263" i="53" s="1"/>
  <c r="AP264" i="53" s="1"/>
  <c r="AO264" i="53" s="1"/>
  <c r="AQ264" i="53" s="1"/>
  <c r="AP265" i="53" s="1"/>
  <c r="AO265" i="53" s="1"/>
  <c r="AQ265" i="53" s="1"/>
  <c r="AP266" i="53" s="1"/>
  <c r="AO266" i="53" s="1"/>
  <c r="AQ266" i="53" s="1"/>
  <c r="AP267" i="53" s="1"/>
  <c r="AO267" i="53" s="1"/>
  <c r="AQ267" i="53" s="1"/>
  <c r="AP268" i="53" s="1"/>
  <c r="AO268" i="53" s="1"/>
  <c r="AQ268" i="53" s="1"/>
  <c r="AP269" i="53" s="1"/>
  <c r="AO269" i="53" s="1"/>
  <c r="AQ269" i="53" s="1"/>
  <c r="AP270" i="53" s="1"/>
  <c r="AO270" i="53" s="1"/>
  <c r="AQ270" i="53" s="1"/>
  <c r="AP271" i="53" s="1"/>
  <c r="AO271" i="53" s="1"/>
  <c r="AQ271" i="53" s="1"/>
  <c r="AP272" i="53" s="1"/>
  <c r="AO272" i="53" s="1"/>
  <c r="AQ272" i="53" s="1"/>
  <c r="AP273" i="53" s="1"/>
  <c r="AO273" i="53" s="1"/>
  <c r="AQ273" i="53" s="1"/>
  <c r="AP274" i="53" s="1"/>
  <c r="AO274" i="53" s="1"/>
  <c r="AQ274" i="53" s="1"/>
  <c r="AP275" i="53" s="1"/>
  <c r="AO275" i="53" s="1"/>
  <c r="AQ275" i="53" s="1"/>
  <c r="AP276" i="53" s="1"/>
  <c r="AO276" i="53" s="1"/>
  <c r="AQ276" i="53" s="1"/>
  <c r="AP277" i="53" s="1"/>
  <c r="AO277" i="53" s="1"/>
  <c r="AQ277" i="53" s="1"/>
  <c r="AP278" i="53" s="1"/>
  <c r="AO278" i="53" s="1"/>
  <c r="AQ278" i="53" s="1"/>
  <c r="AP279" i="53" s="1"/>
  <c r="AO279" i="53" s="1"/>
  <c r="AQ279" i="53" s="1"/>
  <c r="AP280" i="53" s="1"/>
  <c r="AO280" i="53" s="1"/>
  <c r="AQ280" i="53" s="1"/>
  <c r="AP281" i="53" s="1"/>
  <c r="AO281" i="53" s="1"/>
  <c r="AQ281" i="53" s="1"/>
  <c r="AP282" i="53" s="1"/>
  <c r="AO282" i="53" s="1"/>
  <c r="AQ282" i="53" s="1"/>
  <c r="AP283" i="53" s="1"/>
  <c r="AO283" i="53" s="1"/>
  <c r="AQ283" i="53" s="1"/>
  <c r="AP284" i="53" s="1"/>
  <c r="AO284" i="53" s="1"/>
  <c r="AQ284" i="53" s="1"/>
  <c r="AP285" i="53" s="1"/>
  <c r="AO285" i="53" s="1"/>
  <c r="AQ285" i="53" s="1"/>
  <c r="AP286" i="53" s="1"/>
  <c r="AO286" i="53" s="1"/>
  <c r="AQ286" i="53" s="1"/>
  <c r="AP287" i="53" s="1"/>
  <c r="AO287" i="53" s="1"/>
  <c r="AQ287" i="53" s="1"/>
  <c r="AP288" i="53" s="1"/>
  <c r="AO288" i="53" s="1"/>
  <c r="AQ288" i="53" s="1"/>
  <c r="AP289" i="53" s="1"/>
  <c r="AO289" i="53" s="1"/>
  <c r="AQ289" i="53" s="1"/>
  <c r="AP290" i="53" s="1"/>
  <c r="AO290" i="53" s="1"/>
  <c r="AQ290" i="53" s="1"/>
  <c r="AP291" i="53" s="1"/>
  <c r="AO291" i="53" s="1"/>
  <c r="AQ291" i="53" s="1"/>
  <c r="AP292" i="53" s="1"/>
  <c r="AO292" i="53" s="1"/>
  <c r="AQ292" i="53" s="1"/>
  <c r="AP293" i="53" s="1"/>
  <c r="AO293" i="53" s="1"/>
  <c r="AQ293" i="53" s="1"/>
  <c r="AP294" i="53" s="1"/>
  <c r="AO294" i="53" s="1"/>
  <c r="AQ294" i="53" s="1"/>
  <c r="AP295" i="53" s="1"/>
  <c r="AO295" i="53" s="1"/>
  <c r="AQ295" i="53" s="1"/>
  <c r="AP296" i="53" s="1"/>
  <c r="AO296" i="53" s="1"/>
  <c r="AQ296" i="53" s="1"/>
  <c r="AP297" i="53" s="1"/>
  <c r="AO297" i="53" s="1"/>
  <c r="AQ297" i="53" s="1"/>
  <c r="AP298" i="53" s="1"/>
  <c r="AO298" i="53" s="1"/>
  <c r="AQ298" i="53" s="1"/>
  <c r="AP299" i="53" s="1"/>
  <c r="AO299" i="53" s="1"/>
  <c r="AQ299" i="53" s="1"/>
  <c r="AP300" i="53" s="1"/>
  <c r="AO300" i="53" s="1"/>
  <c r="AQ300" i="53" s="1"/>
  <c r="AP301" i="53" s="1"/>
  <c r="AO301" i="53" s="1"/>
  <c r="AQ301" i="53" s="1"/>
  <c r="AP302" i="53" s="1"/>
  <c r="AO302" i="53" s="1"/>
  <c r="AQ302" i="53" s="1"/>
  <c r="AP303" i="53" s="1"/>
  <c r="AO303" i="53" s="1"/>
  <c r="AQ303" i="53" s="1"/>
  <c r="AP304" i="53" s="1"/>
  <c r="AO304" i="53" s="1"/>
  <c r="AQ304" i="53" s="1"/>
  <c r="AP305" i="53" s="1"/>
  <c r="AO305" i="53" s="1"/>
  <c r="AQ305" i="53" s="1"/>
  <c r="AP306" i="53" s="1"/>
  <c r="AO306" i="53" s="1"/>
  <c r="AQ306" i="53" s="1"/>
  <c r="AP307" i="53" s="1"/>
  <c r="AO307" i="53" s="1"/>
  <c r="AQ307" i="53" s="1"/>
  <c r="AP308" i="53" s="1"/>
  <c r="AO308" i="53" s="1"/>
  <c r="AQ308" i="53" s="1"/>
  <c r="AP309" i="53" s="1"/>
  <c r="AO309" i="53" s="1"/>
  <c r="AQ309" i="53" s="1"/>
  <c r="AP310" i="53" s="1"/>
  <c r="AO310" i="53" s="1"/>
  <c r="AQ310" i="53" s="1"/>
  <c r="AP311" i="53" s="1"/>
  <c r="AO311" i="53" s="1"/>
  <c r="AQ311" i="53" s="1"/>
  <c r="AP312" i="53" s="1"/>
  <c r="AO312" i="53" s="1"/>
  <c r="AQ312" i="53" s="1"/>
  <c r="AP313" i="53" s="1"/>
  <c r="AO313" i="53" s="1"/>
  <c r="AQ313" i="53" s="1"/>
  <c r="AP314" i="53" s="1"/>
  <c r="AO314" i="53" s="1"/>
  <c r="AQ314" i="53" s="1"/>
  <c r="AP315" i="53" s="1"/>
  <c r="AO315" i="53" s="1"/>
  <c r="AQ315" i="53" s="1"/>
  <c r="AP316" i="53" s="1"/>
  <c r="AO316" i="53" s="1"/>
  <c r="AQ316" i="53" s="1"/>
  <c r="AP317" i="53" s="1"/>
  <c r="AO317" i="53" s="1"/>
  <c r="AQ317" i="53" s="1"/>
  <c r="AP318" i="53" s="1"/>
  <c r="AO318" i="53" s="1"/>
  <c r="AQ318" i="53" s="1"/>
  <c r="AP319" i="53" s="1"/>
  <c r="AO319" i="53" s="1"/>
  <c r="AQ319" i="53" s="1"/>
  <c r="AP320" i="53" s="1"/>
  <c r="AO320" i="53" s="1"/>
  <c r="AQ320" i="53" s="1"/>
  <c r="AP321" i="53" s="1"/>
  <c r="AO321" i="53" s="1"/>
  <c r="AQ321" i="53" s="1"/>
  <c r="AP322" i="53" s="1"/>
  <c r="AO322" i="53" s="1"/>
  <c r="AQ322" i="53" s="1"/>
  <c r="AP323" i="53" s="1"/>
  <c r="AO323" i="53" s="1"/>
  <c r="AQ323" i="53" s="1"/>
  <c r="AP324" i="53" s="1"/>
  <c r="AO324" i="53" s="1"/>
  <c r="AQ324" i="53" s="1"/>
  <c r="AP325" i="53" s="1"/>
  <c r="AO325" i="53" s="1"/>
  <c r="AQ325" i="53" s="1"/>
  <c r="AP326" i="53" s="1"/>
  <c r="AO326" i="53" s="1"/>
  <c r="AQ326" i="53" s="1"/>
  <c r="AP327" i="53" s="1"/>
  <c r="AO327" i="53" s="1"/>
  <c r="AQ327" i="53" s="1"/>
  <c r="AP328" i="53" s="1"/>
  <c r="AO328" i="53" s="1"/>
  <c r="AQ328" i="53" s="1"/>
  <c r="AP329" i="53" s="1"/>
  <c r="AO329" i="53" s="1"/>
  <c r="AQ329" i="53" s="1"/>
  <c r="AP330" i="53" s="1"/>
  <c r="AO330" i="53" s="1"/>
  <c r="AQ330" i="53" s="1"/>
  <c r="AP331" i="53" s="1"/>
  <c r="AO331" i="53" s="1"/>
  <c r="AQ331" i="53" s="1"/>
  <c r="AP332" i="53" s="1"/>
  <c r="AO332" i="53" s="1"/>
  <c r="AQ332" i="53" s="1"/>
  <c r="AP333" i="53" s="1"/>
  <c r="AO333" i="53" s="1"/>
  <c r="AQ333" i="53" s="1"/>
  <c r="AP334" i="53" s="1"/>
  <c r="AO334" i="53" s="1"/>
  <c r="AQ334" i="53" s="1"/>
  <c r="AP335" i="53" s="1"/>
  <c r="AO335" i="53" s="1"/>
  <c r="AQ335" i="53" s="1"/>
  <c r="AP336" i="53" s="1"/>
  <c r="AO336" i="53" s="1"/>
  <c r="AQ336" i="53" s="1"/>
  <c r="AP337" i="53" s="1"/>
  <c r="AO337" i="53" s="1"/>
  <c r="AQ337" i="53" s="1"/>
  <c r="AP338" i="53" s="1"/>
  <c r="AO338" i="53" s="1"/>
  <c r="AQ338" i="53" s="1"/>
  <c r="AP339" i="53" s="1"/>
  <c r="AO339" i="53" s="1"/>
  <c r="AQ339" i="53" s="1"/>
  <c r="AP340" i="53" s="1"/>
  <c r="AO340" i="53" s="1"/>
  <c r="AQ340" i="53" s="1"/>
  <c r="AP341" i="53" s="1"/>
  <c r="AO341" i="53" s="1"/>
  <c r="AQ341" i="53" s="1"/>
  <c r="AP342" i="53" s="1"/>
  <c r="AO342" i="53" s="1"/>
  <c r="AQ342" i="53" s="1"/>
  <c r="AP343" i="53" s="1"/>
  <c r="AO343" i="53" s="1"/>
  <c r="AQ343" i="53" s="1"/>
  <c r="AP344" i="53" s="1"/>
  <c r="AO344" i="53" s="1"/>
  <c r="AQ344" i="53" s="1"/>
  <c r="AP345" i="53" s="1"/>
  <c r="AO345" i="53" s="1"/>
  <c r="AQ345" i="53" s="1"/>
  <c r="AP346" i="53" s="1"/>
  <c r="AO346" i="53" s="1"/>
  <c r="AQ346" i="53" s="1"/>
  <c r="AP347" i="53" s="1"/>
  <c r="AO347" i="53" s="1"/>
  <c r="AQ347" i="53" s="1"/>
  <c r="AP348" i="53" s="1"/>
  <c r="AO348" i="53" s="1"/>
  <c r="AQ348" i="53" s="1"/>
  <c r="AP349" i="53" s="1"/>
  <c r="AO349" i="53" s="1"/>
  <c r="AQ349" i="53" s="1"/>
  <c r="AP350" i="53" s="1"/>
  <c r="AO350" i="53" s="1"/>
  <c r="AQ350" i="53" s="1"/>
  <c r="AP351" i="53" s="1"/>
  <c r="AO351" i="53" s="1"/>
  <c r="AQ351" i="53" s="1"/>
  <c r="AP352" i="53" s="1"/>
  <c r="AO352" i="53" s="1"/>
  <c r="AQ352" i="53" s="1"/>
  <c r="AP353" i="53" s="1"/>
  <c r="AO353" i="53" s="1"/>
  <c r="AQ353" i="53" s="1"/>
  <c r="AP354" i="53" s="1"/>
  <c r="AO354" i="53" s="1"/>
  <c r="AQ354" i="53" s="1"/>
  <c r="AP355" i="53" s="1"/>
  <c r="AO355" i="53" s="1"/>
  <c r="AQ355" i="53" s="1"/>
  <c r="AP356" i="53" s="1"/>
  <c r="AO356" i="53" s="1"/>
  <c r="AQ356" i="53" s="1"/>
  <c r="AP357" i="53" s="1"/>
  <c r="AO357" i="53" s="1"/>
  <c r="AQ357" i="53" s="1"/>
  <c r="AP358" i="53" s="1"/>
  <c r="AO358" i="53" s="1"/>
  <c r="AQ358" i="53" s="1"/>
  <c r="AP359" i="53" s="1"/>
  <c r="AO359" i="53" s="1"/>
  <c r="AQ359" i="53" s="1"/>
  <c r="AP360" i="53" s="1"/>
  <c r="AO360" i="53" s="1"/>
  <c r="AQ360" i="53" s="1"/>
  <c r="AP361" i="53" s="1"/>
  <c r="AO361" i="53" s="1"/>
  <c r="AQ361" i="53" s="1"/>
  <c r="AP362" i="53" s="1"/>
  <c r="AO362" i="53" s="1"/>
  <c r="AQ362" i="53" s="1"/>
  <c r="AP363" i="53" s="1"/>
  <c r="AO363" i="53" s="1"/>
  <c r="AQ363" i="53" s="1"/>
  <c r="AP364" i="53" s="1"/>
  <c r="AO364" i="53" s="1"/>
  <c r="AQ364" i="53" s="1"/>
  <c r="AP365" i="53" s="1"/>
  <c r="AO365" i="53" s="1"/>
  <c r="AQ365" i="53" s="1"/>
  <c r="AP366" i="53" s="1"/>
  <c r="AO366" i="53" s="1"/>
  <c r="AQ366" i="53" s="1"/>
  <c r="AP367" i="53" s="1"/>
  <c r="AO367" i="53" s="1"/>
  <c r="AQ367" i="53" s="1"/>
  <c r="AP368" i="53" s="1"/>
  <c r="AO368" i="53" s="1"/>
  <c r="AQ368" i="53" s="1"/>
  <c r="AP369" i="53" s="1"/>
  <c r="AO369" i="53" s="1"/>
  <c r="AQ369" i="53" s="1"/>
  <c r="AP370" i="53" s="1"/>
  <c r="AO370" i="53" s="1"/>
  <c r="AQ370" i="53" s="1"/>
  <c r="AP371" i="53" s="1"/>
  <c r="AO371" i="53" s="1"/>
  <c r="AQ371" i="53" s="1"/>
  <c r="AP372" i="53" s="1"/>
  <c r="AO372" i="53" s="1"/>
  <c r="AQ372" i="53" s="1"/>
  <c r="AP373" i="53" s="1"/>
  <c r="AO373" i="53" s="1"/>
  <c r="AQ373" i="53" s="1"/>
  <c r="AP374" i="53" s="1"/>
  <c r="AO374" i="53" s="1"/>
  <c r="AQ374" i="53" s="1"/>
  <c r="AP375" i="53" s="1"/>
  <c r="AO375" i="53" s="1"/>
  <c r="AQ375" i="53" s="1"/>
  <c r="AP376" i="53" s="1"/>
  <c r="AO376" i="53" s="1"/>
  <c r="AQ376" i="53" s="1"/>
  <c r="AP377" i="53" s="1"/>
  <c r="AO377" i="53" s="1"/>
  <c r="AQ377" i="53" s="1"/>
  <c r="AP378" i="53" s="1"/>
  <c r="AO378" i="53" s="1"/>
  <c r="AQ378" i="53" s="1"/>
  <c r="AP379" i="53" s="1"/>
  <c r="AO379" i="53" s="1"/>
  <c r="AQ379" i="53" s="1"/>
  <c r="AP380" i="53" s="1"/>
  <c r="AO380" i="53" s="1"/>
  <c r="AQ380" i="53" s="1"/>
  <c r="AP381" i="53" s="1"/>
  <c r="AO381" i="53" s="1"/>
  <c r="AQ381" i="53" s="1"/>
  <c r="AP382" i="53" s="1"/>
  <c r="AO382" i="53" s="1"/>
  <c r="AQ382" i="53" s="1"/>
  <c r="AP383" i="53" s="1"/>
  <c r="AO383" i="53" s="1"/>
  <c r="AQ383" i="53" s="1"/>
  <c r="AP384" i="53" s="1"/>
  <c r="AO384" i="53" s="1"/>
  <c r="AQ384" i="53" s="1"/>
  <c r="AP385" i="53" s="1"/>
  <c r="AO385" i="53" s="1"/>
  <c r="AQ385" i="53" s="1"/>
  <c r="AP386" i="53" s="1"/>
  <c r="AO386" i="53" s="1"/>
  <c r="AQ386" i="53" s="1"/>
  <c r="AP387" i="53" s="1"/>
  <c r="AO387" i="53" s="1"/>
  <c r="AQ387" i="53" s="1"/>
  <c r="AP388" i="53" s="1"/>
  <c r="AO388" i="53" s="1"/>
  <c r="AQ388" i="53" s="1"/>
  <c r="AP389" i="53" s="1"/>
  <c r="AO389" i="53" s="1"/>
  <c r="AQ389" i="53" s="1"/>
  <c r="AP390" i="53" s="1"/>
  <c r="AO390" i="53" s="1"/>
  <c r="AQ390" i="53" s="1"/>
  <c r="AP391" i="53" s="1"/>
  <c r="AO391" i="53" s="1"/>
  <c r="AQ391" i="53" s="1"/>
  <c r="AP392" i="53" s="1"/>
  <c r="AO392" i="53" s="1"/>
  <c r="AQ392" i="53" s="1"/>
  <c r="AP393" i="53" s="1"/>
  <c r="AO393" i="53" s="1"/>
  <c r="AQ393" i="53" s="1"/>
  <c r="AP394" i="53" s="1"/>
  <c r="AO394" i="53" s="1"/>
  <c r="AQ394" i="53" s="1"/>
  <c r="AP395" i="53" s="1"/>
  <c r="AO395" i="53" s="1"/>
  <c r="AQ395" i="53" s="1"/>
  <c r="AP396" i="53" s="1"/>
  <c r="AO396" i="53" s="1"/>
  <c r="AQ396" i="53" s="1"/>
  <c r="AP397" i="53" s="1"/>
  <c r="AO397" i="53" s="1"/>
  <c r="AQ397" i="53" s="1"/>
  <c r="AP398" i="53" s="1"/>
  <c r="AO398" i="53" s="1"/>
  <c r="AQ398" i="53" s="1"/>
  <c r="AP399" i="53" s="1"/>
  <c r="AO399" i="53" s="1"/>
  <c r="AQ399" i="53" s="1"/>
  <c r="AP400" i="53" s="1"/>
  <c r="AO400" i="53" s="1"/>
  <c r="AQ400" i="53" s="1"/>
  <c r="AP401" i="53" s="1"/>
  <c r="AO401" i="53" s="1"/>
  <c r="AQ401" i="53" s="1"/>
  <c r="AP402" i="53" s="1"/>
  <c r="AO402" i="53" s="1"/>
  <c r="AQ402" i="53" s="1"/>
  <c r="AP403" i="53" s="1"/>
  <c r="AO403" i="53" s="1"/>
  <c r="AQ403" i="53" s="1"/>
  <c r="AP404" i="53" s="1"/>
  <c r="AO404" i="53" s="1"/>
  <c r="AQ404" i="53" s="1"/>
  <c r="AP405" i="53" s="1"/>
  <c r="AO405" i="53" s="1"/>
  <c r="AQ405" i="53" s="1"/>
  <c r="AP406" i="53" s="1"/>
  <c r="AO406" i="53" s="1"/>
  <c r="AQ406" i="53" s="1"/>
  <c r="AP407" i="53" s="1"/>
  <c r="AO407" i="53" s="1"/>
  <c r="AQ407" i="53" s="1"/>
  <c r="AP408" i="53" s="1"/>
  <c r="AO408" i="53" s="1"/>
  <c r="AQ408" i="53" s="1"/>
  <c r="AP409" i="53" s="1"/>
  <c r="AO409" i="53" s="1"/>
  <c r="AQ409" i="53" s="1"/>
  <c r="AP410" i="53" s="1"/>
  <c r="AO410" i="53" s="1"/>
  <c r="AQ410" i="53" s="1"/>
  <c r="AP411" i="53" s="1"/>
  <c r="AO411" i="53" s="1"/>
  <c r="AQ411" i="53" s="1"/>
  <c r="AP412" i="53" s="1"/>
  <c r="AO412" i="53" s="1"/>
  <c r="AQ412" i="53" s="1"/>
  <c r="AP413" i="53" s="1"/>
  <c r="AO413" i="53" s="1"/>
  <c r="AQ413" i="53" s="1"/>
  <c r="AP414" i="53" s="1"/>
  <c r="AO414" i="53" s="1"/>
  <c r="AQ414" i="53" s="1"/>
  <c r="AP415" i="53" s="1"/>
  <c r="AO415" i="53" s="1"/>
  <c r="AQ415" i="53" s="1"/>
  <c r="AP416" i="53" s="1"/>
  <c r="AO416" i="53" s="1"/>
  <c r="AQ416" i="53" s="1"/>
  <c r="AP417" i="53" s="1"/>
  <c r="AO417" i="53" s="1"/>
  <c r="AQ417" i="53" s="1"/>
  <c r="AP418" i="53" s="1"/>
  <c r="AO418" i="53" s="1"/>
  <c r="AQ418" i="53" s="1"/>
  <c r="AP419" i="53" s="1"/>
  <c r="AO419" i="53" s="1"/>
  <c r="AQ419" i="53" s="1"/>
  <c r="AP420" i="53" s="1"/>
  <c r="AO420" i="53" s="1"/>
  <c r="AQ420" i="53" s="1"/>
  <c r="AP421" i="53" s="1"/>
  <c r="AO421" i="53" s="1"/>
  <c r="AQ421" i="53" s="1"/>
  <c r="AP422" i="53" s="1"/>
  <c r="AO422" i="53" s="1"/>
  <c r="AQ422" i="53" s="1"/>
  <c r="AP423" i="53" s="1"/>
  <c r="AO423" i="53" s="1"/>
  <c r="AQ423" i="53" s="1"/>
  <c r="AP424" i="53" s="1"/>
  <c r="AO424" i="53" s="1"/>
  <c r="AQ424" i="53" s="1"/>
  <c r="AP425" i="53" s="1"/>
  <c r="AO425" i="53" s="1"/>
  <c r="AQ425" i="53" s="1"/>
  <c r="AP426" i="53" s="1"/>
  <c r="AO426" i="53" s="1"/>
  <c r="AQ426" i="53" s="1"/>
  <c r="AP427" i="53" s="1"/>
  <c r="AO427" i="53" s="1"/>
  <c r="AQ427" i="53" s="1"/>
  <c r="AP428" i="53" s="1"/>
  <c r="AO428" i="53" s="1"/>
  <c r="AQ428" i="53" s="1"/>
  <c r="AP429" i="53" s="1"/>
  <c r="AO429" i="53" s="1"/>
  <c r="AQ429" i="53" s="1"/>
  <c r="AP430" i="53" s="1"/>
  <c r="AO430" i="53" s="1"/>
  <c r="AQ430" i="53" s="1"/>
  <c r="AP431" i="53" s="1"/>
  <c r="AO431" i="53" s="1"/>
  <c r="AQ431" i="53" s="1"/>
  <c r="AP432" i="53" s="1"/>
  <c r="AO432" i="53" s="1"/>
  <c r="AQ432" i="53" s="1"/>
  <c r="AP433" i="53" s="1"/>
  <c r="AO433" i="53" s="1"/>
  <c r="AQ433" i="53" s="1"/>
  <c r="AP434" i="53" s="1"/>
  <c r="AO434" i="53" s="1"/>
  <c r="AQ434" i="53" s="1"/>
  <c r="AP435" i="53" s="1"/>
  <c r="AO435" i="53" s="1"/>
  <c r="AQ435" i="53" s="1"/>
  <c r="AP436" i="53" s="1"/>
  <c r="AO436" i="53" s="1"/>
  <c r="AQ436" i="53" s="1"/>
  <c r="AP437" i="53" s="1"/>
  <c r="AO437" i="53" s="1"/>
  <c r="AQ437" i="53" s="1"/>
  <c r="AP438" i="53" s="1"/>
  <c r="AO438" i="53" s="1"/>
  <c r="AQ438" i="53" s="1"/>
  <c r="AP439" i="53" s="1"/>
  <c r="AO439" i="53" s="1"/>
  <c r="AQ439" i="53" s="1"/>
  <c r="AP440" i="53" s="1"/>
  <c r="AO440" i="53" s="1"/>
  <c r="AQ440" i="53" s="1"/>
  <c r="AP441" i="53" s="1"/>
  <c r="AO441" i="53" s="1"/>
  <c r="AQ441" i="53" s="1"/>
  <c r="AP442" i="53" s="1"/>
  <c r="AO442" i="53" s="1"/>
  <c r="AQ442" i="53" s="1"/>
  <c r="AP443" i="53" s="1"/>
  <c r="AO443" i="53" s="1"/>
  <c r="AQ443" i="53" s="1"/>
  <c r="AP444" i="53" s="1"/>
  <c r="AO444" i="53" s="1"/>
  <c r="AQ444" i="53" s="1"/>
  <c r="AP445" i="53" s="1"/>
  <c r="AO445" i="53" s="1"/>
  <c r="AQ445" i="53" s="1"/>
  <c r="AP446" i="53" s="1"/>
  <c r="AO446" i="53" s="1"/>
  <c r="AQ446" i="53" s="1"/>
  <c r="AP447" i="53" s="1"/>
  <c r="AO447" i="53" s="1"/>
  <c r="AQ447" i="53" s="1"/>
  <c r="AP448" i="53" s="1"/>
  <c r="AO448" i="53" s="1"/>
  <c r="AQ448" i="53" s="1"/>
  <c r="AP449" i="53" s="1"/>
  <c r="AO449" i="53" s="1"/>
  <c r="AQ449" i="53" s="1"/>
  <c r="AP450" i="53" s="1"/>
  <c r="AO450" i="53" s="1"/>
  <c r="AQ450" i="53" s="1"/>
  <c r="AP451" i="53" s="1"/>
  <c r="AO451" i="53" s="1"/>
  <c r="AQ451" i="53" s="1"/>
  <c r="AP452" i="53" s="1"/>
  <c r="AO452" i="53" s="1"/>
  <c r="AQ452" i="53" s="1"/>
  <c r="AP453" i="53" s="1"/>
  <c r="AO453" i="53" s="1"/>
  <c r="AQ453" i="53" s="1"/>
  <c r="I163" i="53"/>
  <c r="K163" i="53" s="1"/>
  <c r="J164" i="53" s="1"/>
  <c r="I164" i="53" s="1"/>
  <c r="K164" i="53" s="1"/>
  <c r="J165" i="53" s="1"/>
  <c r="I165" i="53" s="1"/>
  <c r="K165" i="53" s="1"/>
  <c r="J166" i="53" s="1"/>
  <c r="I166" i="53" s="1"/>
  <c r="K166" i="53" s="1"/>
  <c r="J167" i="53" s="1"/>
  <c r="I167" i="53" s="1"/>
  <c r="K167" i="53" s="1"/>
  <c r="J168" i="53" s="1"/>
  <c r="I168" i="53" s="1"/>
  <c r="K168" i="53" s="1"/>
  <c r="J169" i="53" s="1"/>
  <c r="I169" i="53" s="1"/>
  <c r="K169" i="53" s="1"/>
  <c r="J170" i="53" s="1"/>
  <c r="I170" i="53" s="1"/>
  <c r="K170" i="53" s="1"/>
  <c r="J171" i="53" s="1"/>
  <c r="I171" i="53" s="1"/>
  <c r="K171" i="53" s="1"/>
  <c r="J172" i="53" s="1"/>
  <c r="I172" i="53" s="1"/>
  <c r="K172" i="53" s="1"/>
  <c r="J173" i="53" s="1"/>
  <c r="I173" i="53" s="1"/>
  <c r="K173" i="53" s="1"/>
  <c r="J174" i="53" s="1"/>
  <c r="I174" i="53" s="1"/>
  <c r="K174" i="53" s="1"/>
  <c r="J175" i="53" s="1"/>
  <c r="I175" i="53" s="1"/>
  <c r="K175" i="53" s="1"/>
  <c r="J176" i="53" s="1"/>
  <c r="I176" i="53" s="1"/>
  <c r="K176" i="53" s="1"/>
  <c r="J177" i="53" s="1"/>
  <c r="I177" i="53" s="1"/>
  <c r="K177" i="53" s="1"/>
  <c r="J178" i="53" s="1"/>
  <c r="I178" i="53" s="1"/>
  <c r="K178" i="53" s="1"/>
  <c r="J179" i="53" s="1"/>
  <c r="I179" i="53" s="1"/>
  <c r="K179" i="53" s="1"/>
  <c r="J180" i="53" s="1"/>
  <c r="I180" i="53" s="1"/>
  <c r="K180" i="53" s="1"/>
  <c r="J181" i="53" s="1"/>
  <c r="I181" i="53" s="1"/>
  <c r="K181" i="53" s="1"/>
  <c r="J182" i="53" s="1"/>
  <c r="I182" i="53" s="1"/>
  <c r="K182" i="53" s="1"/>
  <c r="J183" i="53" s="1"/>
  <c r="I183" i="53" s="1"/>
  <c r="K183" i="53" s="1"/>
  <c r="J184" i="53" s="1"/>
  <c r="I184" i="53" s="1"/>
  <c r="K184" i="53" s="1"/>
  <c r="J185" i="53" s="1"/>
  <c r="I185" i="53" s="1"/>
  <c r="K185" i="53" s="1"/>
  <c r="J186" i="53" s="1"/>
  <c r="I186" i="53" s="1"/>
  <c r="K186" i="53" s="1"/>
  <c r="J187" i="53" s="1"/>
  <c r="I187" i="53" s="1"/>
  <c r="K187" i="53" s="1"/>
  <c r="J188" i="53" s="1"/>
  <c r="I188" i="53" s="1"/>
  <c r="K188" i="53" s="1"/>
  <c r="J189" i="53" s="1"/>
  <c r="I189" i="53" s="1"/>
  <c r="K189" i="53" s="1"/>
  <c r="J190" i="53" s="1"/>
  <c r="I190" i="53" s="1"/>
  <c r="K190" i="53" s="1"/>
  <c r="J191" i="53" s="1"/>
  <c r="I191" i="53" s="1"/>
  <c r="K191" i="53" s="1"/>
  <c r="J192" i="53" s="1"/>
  <c r="I192" i="53" s="1"/>
  <c r="K192" i="53" s="1"/>
  <c r="J193" i="53" s="1"/>
  <c r="I193" i="53" s="1"/>
  <c r="K193" i="53" s="1"/>
  <c r="J194" i="53" s="1"/>
  <c r="I194" i="53" s="1"/>
  <c r="K194" i="53" s="1"/>
  <c r="J195" i="53" s="1"/>
  <c r="I195" i="53" s="1"/>
  <c r="K195" i="53" s="1"/>
  <c r="J196" i="53" s="1"/>
  <c r="I196" i="53" s="1"/>
  <c r="K196" i="53" s="1"/>
  <c r="J197" i="53" s="1"/>
  <c r="I197" i="53" s="1"/>
  <c r="K197" i="53" s="1"/>
  <c r="J198" i="53" s="1"/>
  <c r="I198" i="53" s="1"/>
  <c r="K198" i="53" s="1"/>
  <c r="J199" i="53" s="1"/>
  <c r="I199" i="53" s="1"/>
  <c r="K199" i="53" s="1"/>
  <c r="J200" i="53" s="1"/>
  <c r="I200" i="53" s="1"/>
  <c r="K200" i="53" s="1"/>
  <c r="J201" i="53" s="1"/>
  <c r="I201" i="53" s="1"/>
  <c r="K201" i="53" s="1"/>
  <c r="J202" i="53" s="1"/>
  <c r="I202" i="53" s="1"/>
  <c r="K202" i="53" s="1"/>
  <c r="J203" i="53" s="1"/>
  <c r="I203" i="53" s="1"/>
  <c r="K203" i="53" s="1"/>
  <c r="J204" i="53" s="1"/>
  <c r="I204" i="53" s="1"/>
  <c r="K204" i="53" s="1"/>
  <c r="J205" i="53" s="1"/>
  <c r="I205" i="53" s="1"/>
  <c r="K205" i="53" s="1"/>
  <c r="J206" i="53" s="1"/>
  <c r="I206" i="53" s="1"/>
  <c r="K206" i="53" s="1"/>
  <c r="J207" i="53" s="1"/>
  <c r="I207" i="53" s="1"/>
  <c r="K207" i="53" s="1"/>
  <c r="J208" i="53" s="1"/>
  <c r="I208" i="53" s="1"/>
  <c r="K208" i="53" s="1"/>
  <c r="J209" i="53" s="1"/>
  <c r="I209" i="53" s="1"/>
  <c r="K209" i="53" s="1"/>
  <c r="J210" i="53" s="1"/>
  <c r="I210" i="53" s="1"/>
  <c r="K210" i="53" s="1"/>
  <c r="J211" i="53" s="1"/>
  <c r="I211" i="53" s="1"/>
  <c r="K211" i="53" s="1"/>
  <c r="J212" i="53" s="1"/>
  <c r="I212" i="53" s="1"/>
  <c r="K212" i="53" s="1"/>
  <c r="J213" i="53" s="1"/>
  <c r="I213" i="53" s="1"/>
  <c r="K213" i="53" s="1"/>
  <c r="J214" i="53" s="1"/>
  <c r="I214" i="53" s="1"/>
  <c r="K214" i="53" s="1"/>
  <c r="J215" i="53" s="1"/>
  <c r="I215" i="53" s="1"/>
  <c r="K215" i="53" s="1"/>
  <c r="J216" i="53" s="1"/>
  <c r="I216" i="53" s="1"/>
  <c r="K216" i="53" s="1"/>
  <c r="J217" i="53" s="1"/>
  <c r="I217" i="53" s="1"/>
  <c r="K217" i="53" s="1"/>
  <c r="J218" i="53" s="1"/>
  <c r="I218" i="53" s="1"/>
  <c r="K218" i="53" s="1"/>
  <c r="J219" i="53" s="1"/>
  <c r="I219" i="53" s="1"/>
  <c r="K219" i="53" s="1"/>
  <c r="J220" i="53" s="1"/>
  <c r="I220" i="53" s="1"/>
  <c r="K220" i="53" s="1"/>
  <c r="J221" i="53" s="1"/>
  <c r="I221" i="53" s="1"/>
  <c r="K221" i="53" s="1"/>
  <c r="J222" i="53" s="1"/>
  <c r="I222" i="53" s="1"/>
  <c r="K222" i="53" s="1"/>
  <c r="J223" i="53" s="1"/>
  <c r="I223" i="53" s="1"/>
  <c r="K223" i="53" s="1"/>
  <c r="J224" i="53" s="1"/>
  <c r="I224" i="53" s="1"/>
  <c r="K224" i="53" s="1"/>
  <c r="J225" i="53" s="1"/>
  <c r="I225" i="53" s="1"/>
  <c r="K225" i="53" s="1"/>
  <c r="J226" i="53" s="1"/>
  <c r="I226" i="53" s="1"/>
  <c r="K226" i="53" s="1"/>
  <c r="J227" i="53" s="1"/>
  <c r="I227" i="53" s="1"/>
  <c r="K227" i="53" s="1"/>
  <c r="J228" i="53" s="1"/>
  <c r="I228" i="53" s="1"/>
  <c r="K228" i="53" s="1"/>
  <c r="J229" i="53" s="1"/>
  <c r="I229" i="53" s="1"/>
  <c r="K229" i="53" s="1"/>
  <c r="J230" i="53" s="1"/>
  <c r="I230" i="53" s="1"/>
  <c r="K230" i="53" s="1"/>
  <c r="J231" i="53" s="1"/>
  <c r="I231" i="53" s="1"/>
  <c r="K231" i="53" s="1"/>
  <c r="J232" i="53" s="1"/>
  <c r="I232" i="53" s="1"/>
  <c r="K232" i="53" s="1"/>
  <c r="J233" i="53" s="1"/>
  <c r="I233" i="53" s="1"/>
  <c r="K233" i="53" s="1"/>
  <c r="J234" i="53" s="1"/>
  <c r="I234" i="53" s="1"/>
  <c r="K234" i="53" s="1"/>
  <c r="J235" i="53" s="1"/>
  <c r="I235" i="53" s="1"/>
  <c r="K235" i="53" s="1"/>
  <c r="J236" i="53" s="1"/>
  <c r="I236" i="53" s="1"/>
  <c r="K236" i="53" s="1"/>
  <c r="J237" i="53" s="1"/>
  <c r="I237" i="53" s="1"/>
  <c r="K237" i="53" s="1"/>
  <c r="J238" i="53" s="1"/>
  <c r="I238" i="53" s="1"/>
  <c r="K238" i="53" s="1"/>
  <c r="J239" i="53" s="1"/>
  <c r="I239" i="53" s="1"/>
  <c r="K239" i="53" s="1"/>
  <c r="J240" i="53" s="1"/>
  <c r="I240" i="53" s="1"/>
  <c r="K240" i="53" s="1"/>
  <c r="J241" i="53" s="1"/>
  <c r="I241" i="53" s="1"/>
  <c r="K241" i="53" s="1"/>
  <c r="J242" i="53" s="1"/>
  <c r="I242" i="53" s="1"/>
  <c r="K242" i="53" s="1"/>
  <c r="J243" i="53" s="1"/>
  <c r="I243" i="53" s="1"/>
  <c r="K243" i="53" s="1"/>
  <c r="J244" i="53" s="1"/>
  <c r="I244" i="53" s="1"/>
  <c r="K244" i="53" s="1"/>
  <c r="J245" i="53" s="1"/>
  <c r="I245" i="53" s="1"/>
  <c r="K245" i="53" s="1"/>
  <c r="J246" i="53" s="1"/>
  <c r="I246" i="53" s="1"/>
  <c r="K246" i="53" s="1"/>
  <c r="J247" i="53" s="1"/>
  <c r="I247" i="53" s="1"/>
  <c r="K247" i="53" s="1"/>
  <c r="J248" i="53" s="1"/>
  <c r="I248" i="53" s="1"/>
  <c r="K248" i="53" s="1"/>
  <c r="J249" i="53" s="1"/>
  <c r="I249" i="53" s="1"/>
  <c r="K249" i="53" s="1"/>
  <c r="J250" i="53" s="1"/>
  <c r="I250" i="53" s="1"/>
  <c r="K250" i="53" s="1"/>
  <c r="J251" i="53" s="1"/>
  <c r="I251" i="53" s="1"/>
  <c r="K251" i="53" s="1"/>
  <c r="J252" i="53" s="1"/>
  <c r="I252" i="53" s="1"/>
  <c r="K252" i="53" s="1"/>
  <c r="J253" i="53" s="1"/>
  <c r="I253" i="53" s="1"/>
  <c r="K253" i="53" s="1"/>
  <c r="J254" i="53" s="1"/>
  <c r="I254" i="53" s="1"/>
  <c r="K254" i="53" s="1"/>
  <c r="J255" i="53" s="1"/>
  <c r="I255" i="53" s="1"/>
  <c r="K255" i="53" s="1"/>
  <c r="J256" i="53" s="1"/>
  <c r="I256" i="53" s="1"/>
  <c r="K256" i="53" s="1"/>
  <c r="J257" i="53" s="1"/>
  <c r="I257" i="53" s="1"/>
  <c r="K257" i="53" s="1"/>
  <c r="J258" i="53" s="1"/>
  <c r="I258" i="53" s="1"/>
  <c r="K258" i="53" s="1"/>
  <c r="J259" i="53" s="1"/>
  <c r="I259" i="53" s="1"/>
  <c r="K259" i="53" s="1"/>
  <c r="J260" i="53" s="1"/>
  <c r="I260" i="53" s="1"/>
  <c r="K260" i="53" s="1"/>
  <c r="J261" i="53" s="1"/>
  <c r="I261" i="53" s="1"/>
  <c r="K261" i="53" s="1"/>
  <c r="J262" i="53" s="1"/>
  <c r="I262" i="53" s="1"/>
  <c r="K262" i="53" s="1"/>
  <c r="J263" i="53" s="1"/>
  <c r="I263" i="53" s="1"/>
  <c r="K263" i="53" s="1"/>
  <c r="J264" i="53" s="1"/>
  <c r="I264" i="53" s="1"/>
  <c r="K264" i="53" s="1"/>
  <c r="J265" i="53" s="1"/>
  <c r="I265" i="53" s="1"/>
  <c r="K265" i="53" s="1"/>
  <c r="J266" i="53" s="1"/>
  <c r="I266" i="53" s="1"/>
  <c r="K266" i="53" s="1"/>
  <c r="J267" i="53" s="1"/>
  <c r="I267" i="53" s="1"/>
  <c r="K267" i="53" s="1"/>
  <c r="J268" i="53" s="1"/>
  <c r="I268" i="53" s="1"/>
  <c r="K268" i="53" s="1"/>
  <c r="J269" i="53" s="1"/>
  <c r="I269" i="53" s="1"/>
  <c r="K269" i="53" s="1"/>
  <c r="J270" i="53" s="1"/>
  <c r="I270" i="53" s="1"/>
  <c r="K270" i="53" s="1"/>
  <c r="J271" i="53" s="1"/>
  <c r="I271" i="53" s="1"/>
  <c r="K271" i="53" s="1"/>
  <c r="J272" i="53" s="1"/>
  <c r="I272" i="53" s="1"/>
  <c r="K272" i="53" s="1"/>
  <c r="J273" i="53" s="1"/>
  <c r="I273" i="53" s="1"/>
  <c r="K273" i="53" s="1"/>
  <c r="J274" i="53" s="1"/>
  <c r="I274" i="53" s="1"/>
  <c r="K274" i="53" s="1"/>
  <c r="J275" i="53" s="1"/>
  <c r="I275" i="53" s="1"/>
  <c r="K275" i="53" s="1"/>
  <c r="J276" i="53" s="1"/>
  <c r="I276" i="53" s="1"/>
  <c r="K276" i="53" s="1"/>
  <c r="J277" i="53" s="1"/>
  <c r="I277" i="53" s="1"/>
  <c r="K277" i="53" s="1"/>
  <c r="J278" i="53" s="1"/>
  <c r="I278" i="53" s="1"/>
  <c r="K278" i="53" s="1"/>
  <c r="J279" i="53" s="1"/>
  <c r="I279" i="53" s="1"/>
  <c r="K279" i="53" s="1"/>
  <c r="J280" i="53" s="1"/>
  <c r="I280" i="53" s="1"/>
  <c r="K280" i="53" s="1"/>
  <c r="J281" i="53" s="1"/>
  <c r="I281" i="53" s="1"/>
  <c r="K281" i="53" s="1"/>
  <c r="J282" i="53" s="1"/>
  <c r="I282" i="53" s="1"/>
  <c r="K282" i="53" s="1"/>
  <c r="J283" i="53" s="1"/>
  <c r="I283" i="53" s="1"/>
  <c r="K283" i="53" s="1"/>
  <c r="J284" i="53" s="1"/>
  <c r="I284" i="53" s="1"/>
  <c r="K284" i="53" s="1"/>
  <c r="J285" i="53" s="1"/>
  <c r="I285" i="53" s="1"/>
  <c r="K285" i="53" s="1"/>
  <c r="J286" i="53" s="1"/>
  <c r="I286" i="53" s="1"/>
  <c r="K286" i="53" s="1"/>
  <c r="J287" i="53" s="1"/>
  <c r="I287" i="53" s="1"/>
  <c r="K287" i="53" s="1"/>
  <c r="J288" i="53" s="1"/>
  <c r="I288" i="53" s="1"/>
  <c r="K288" i="53" s="1"/>
  <c r="J289" i="53" s="1"/>
  <c r="I289" i="53" s="1"/>
  <c r="K289" i="53" s="1"/>
  <c r="J290" i="53" s="1"/>
  <c r="I290" i="53" s="1"/>
  <c r="K290" i="53" s="1"/>
  <c r="J291" i="53" s="1"/>
  <c r="I291" i="53" s="1"/>
  <c r="K291" i="53" s="1"/>
  <c r="J292" i="53" s="1"/>
  <c r="I292" i="53" s="1"/>
  <c r="K292" i="53" s="1"/>
  <c r="J293" i="53" s="1"/>
  <c r="I293" i="53" s="1"/>
  <c r="K293" i="53" s="1"/>
  <c r="J294" i="53" s="1"/>
  <c r="I294" i="53" s="1"/>
  <c r="K294" i="53" s="1"/>
  <c r="J295" i="53" s="1"/>
  <c r="I295" i="53" s="1"/>
  <c r="K295" i="53" s="1"/>
  <c r="J296" i="53" s="1"/>
  <c r="I296" i="53" s="1"/>
  <c r="K296" i="53" s="1"/>
  <c r="J297" i="53" s="1"/>
  <c r="I297" i="53" s="1"/>
  <c r="K297" i="53" s="1"/>
  <c r="J298" i="53" s="1"/>
  <c r="I298" i="53" s="1"/>
  <c r="K298" i="53" s="1"/>
  <c r="J299" i="53" s="1"/>
  <c r="I299" i="53" s="1"/>
  <c r="K299" i="53" s="1"/>
  <c r="J300" i="53" s="1"/>
  <c r="I300" i="53" s="1"/>
  <c r="K300" i="53" s="1"/>
  <c r="J301" i="53" s="1"/>
  <c r="I301" i="53" s="1"/>
  <c r="K301" i="53" s="1"/>
  <c r="J302" i="53" s="1"/>
  <c r="I302" i="53" s="1"/>
  <c r="K302" i="53" s="1"/>
  <c r="J303" i="53" s="1"/>
  <c r="I303" i="53" s="1"/>
  <c r="K303" i="53" s="1"/>
  <c r="J304" i="53" s="1"/>
  <c r="I304" i="53" s="1"/>
  <c r="K304" i="53" s="1"/>
  <c r="J305" i="53" s="1"/>
  <c r="I305" i="53" s="1"/>
  <c r="K305" i="53" s="1"/>
  <c r="J306" i="53" s="1"/>
  <c r="I306" i="53" s="1"/>
  <c r="K306" i="53" s="1"/>
  <c r="J307" i="53" s="1"/>
  <c r="I307" i="53" s="1"/>
  <c r="K307" i="53" s="1"/>
  <c r="J308" i="53" s="1"/>
  <c r="I308" i="53" s="1"/>
  <c r="K308" i="53" s="1"/>
  <c r="J309" i="53" s="1"/>
  <c r="I309" i="53" s="1"/>
  <c r="K309" i="53" s="1"/>
  <c r="J310" i="53" s="1"/>
  <c r="I310" i="53" s="1"/>
  <c r="K310" i="53" s="1"/>
  <c r="J311" i="53" s="1"/>
  <c r="I311" i="53" s="1"/>
  <c r="K311" i="53" s="1"/>
  <c r="J312" i="53" s="1"/>
  <c r="I312" i="53" s="1"/>
  <c r="K312" i="53" s="1"/>
  <c r="J313" i="53" s="1"/>
  <c r="I313" i="53" s="1"/>
  <c r="K313" i="53" s="1"/>
  <c r="J314" i="53" s="1"/>
  <c r="I314" i="53" s="1"/>
  <c r="K314" i="53" s="1"/>
  <c r="J315" i="53" s="1"/>
  <c r="I315" i="53" s="1"/>
  <c r="K315" i="53" s="1"/>
  <c r="J316" i="53" s="1"/>
  <c r="I316" i="53" s="1"/>
  <c r="K316" i="53" s="1"/>
  <c r="J317" i="53" s="1"/>
  <c r="I317" i="53" s="1"/>
  <c r="K317" i="53" s="1"/>
  <c r="J318" i="53" s="1"/>
  <c r="I318" i="53" s="1"/>
  <c r="K318" i="53" s="1"/>
  <c r="J319" i="53" s="1"/>
  <c r="I319" i="53" s="1"/>
  <c r="K319" i="53" s="1"/>
  <c r="J320" i="53" s="1"/>
  <c r="I320" i="53" s="1"/>
  <c r="K320" i="53" s="1"/>
  <c r="J321" i="53" s="1"/>
  <c r="I321" i="53" s="1"/>
  <c r="K321" i="53" s="1"/>
  <c r="J322" i="53" s="1"/>
  <c r="I322" i="53" s="1"/>
  <c r="K322" i="53" s="1"/>
  <c r="J323" i="53" s="1"/>
  <c r="I323" i="53" s="1"/>
  <c r="K323" i="53" s="1"/>
  <c r="J324" i="53" s="1"/>
  <c r="I324" i="53" s="1"/>
  <c r="K324" i="53" s="1"/>
  <c r="J325" i="53" s="1"/>
  <c r="I325" i="53" s="1"/>
  <c r="K325" i="53" s="1"/>
  <c r="J326" i="53" s="1"/>
  <c r="I326" i="53" s="1"/>
  <c r="K326" i="53" s="1"/>
  <c r="J327" i="53" s="1"/>
  <c r="I327" i="53" s="1"/>
  <c r="K327" i="53" s="1"/>
  <c r="J328" i="53" s="1"/>
  <c r="I328" i="53" s="1"/>
  <c r="K328" i="53" s="1"/>
  <c r="J329" i="53" s="1"/>
  <c r="I329" i="53" s="1"/>
  <c r="K329" i="53" s="1"/>
  <c r="J330" i="53" s="1"/>
  <c r="I330" i="53" s="1"/>
  <c r="K330" i="53" s="1"/>
  <c r="J331" i="53" s="1"/>
  <c r="I331" i="53" s="1"/>
  <c r="K331" i="53" s="1"/>
  <c r="J332" i="53" s="1"/>
  <c r="I332" i="53" s="1"/>
  <c r="K332" i="53" s="1"/>
  <c r="J333" i="53" s="1"/>
  <c r="I333" i="53" s="1"/>
  <c r="K333" i="53" s="1"/>
  <c r="J334" i="53" s="1"/>
  <c r="I334" i="53" s="1"/>
  <c r="K334" i="53" s="1"/>
  <c r="J335" i="53" s="1"/>
  <c r="I335" i="53" s="1"/>
  <c r="K335" i="53" s="1"/>
  <c r="J336" i="53" s="1"/>
  <c r="I336" i="53" s="1"/>
  <c r="K336" i="53" s="1"/>
  <c r="J337" i="53" s="1"/>
  <c r="I337" i="53" s="1"/>
  <c r="K337" i="53" s="1"/>
  <c r="J338" i="53" s="1"/>
  <c r="I338" i="53" s="1"/>
  <c r="K338" i="53" s="1"/>
  <c r="J339" i="53" s="1"/>
  <c r="I339" i="53" s="1"/>
  <c r="K339" i="53" s="1"/>
  <c r="J340" i="53" s="1"/>
  <c r="I340" i="53" s="1"/>
  <c r="K340" i="53" s="1"/>
  <c r="J341" i="53" s="1"/>
  <c r="I341" i="53" s="1"/>
  <c r="K341" i="53" s="1"/>
  <c r="J342" i="53" s="1"/>
  <c r="I342" i="53" s="1"/>
  <c r="K342" i="53" s="1"/>
  <c r="J343" i="53" s="1"/>
  <c r="I343" i="53" s="1"/>
  <c r="K343" i="53" s="1"/>
  <c r="J344" i="53" s="1"/>
  <c r="I344" i="53" s="1"/>
  <c r="K344" i="53" s="1"/>
  <c r="J345" i="53" s="1"/>
  <c r="I345" i="53" s="1"/>
  <c r="K345" i="53" s="1"/>
  <c r="J346" i="53" s="1"/>
  <c r="I346" i="53" s="1"/>
  <c r="K346" i="53" s="1"/>
  <c r="J347" i="53" s="1"/>
  <c r="I347" i="53" s="1"/>
  <c r="K347" i="53" s="1"/>
  <c r="J348" i="53" s="1"/>
  <c r="I348" i="53" s="1"/>
  <c r="K348" i="53" s="1"/>
  <c r="J349" i="53" s="1"/>
  <c r="I349" i="53" s="1"/>
  <c r="K349" i="53" s="1"/>
  <c r="J350" i="53" s="1"/>
  <c r="I350" i="53" s="1"/>
  <c r="K350" i="53" s="1"/>
  <c r="J351" i="53" s="1"/>
  <c r="I351" i="53" s="1"/>
  <c r="K351" i="53" s="1"/>
  <c r="J352" i="53" s="1"/>
  <c r="I352" i="53" s="1"/>
  <c r="K352" i="53" s="1"/>
  <c r="J353" i="53" s="1"/>
  <c r="I353" i="53" s="1"/>
  <c r="K353" i="53" s="1"/>
  <c r="J354" i="53" s="1"/>
  <c r="I354" i="53" s="1"/>
  <c r="K354" i="53" s="1"/>
  <c r="J355" i="53" s="1"/>
  <c r="I355" i="53" s="1"/>
  <c r="K355" i="53" s="1"/>
  <c r="J356" i="53" s="1"/>
  <c r="I356" i="53" s="1"/>
  <c r="K356" i="53" s="1"/>
  <c r="J357" i="53" s="1"/>
  <c r="I357" i="53" s="1"/>
  <c r="K357" i="53" s="1"/>
  <c r="J358" i="53" s="1"/>
  <c r="I358" i="53" s="1"/>
  <c r="K358" i="53" s="1"/>
  <c r="J359" i="53" s="1"/>
  <c r="I359" i="53" s="1"/>
  <c r="K359" i="53" s="1"/>
  <c r="J360" i="53" s="1"/>
  <c r="I360" i="53" s="1"/>
  <c r="K360" i="53" s="1"/>
  <c r="J361" i="53" s="1"/>
  <c r="I361" i="53" s="1"/>
  <c r="K361" i="53" s="1"/>
  <c r="J362" i="53" s="1"/>
  <c r="I362" i="53" s="1"/>
  <c r="K362" i="53" s="1"/>
  <c r="J363" i="53" s="1"/>
  <c r="I363" i="53" s="1"/>
  <c r="K363" i="53" s="1"/>
  <c r="J364" i="53" s="1"/>
  <c r="I364" i="53" s="1"/>
  <c r="K364" i="53" s="1"/>
  <c r="J365" i="53" s="1"/>
  <c r="I365" i="53" s="1"/>
  <c r="K365" i="53" s="1"/>
  <c r="J366" i="53" s="1"/>
  <c r="I366" i="53" s="1"/>
  <c r="K366" i="53" s="1"/>
  <c r="J367" i="53" s="1"/>
  <c r="I367" i="53" s="1"/>
  <c r="K367" i="53" s="1"/>
  <c r="J368" i="53" s="1"/>
  <c r="I368" i="53" s="1"/>
  <c r="K368" i="53" s="1"/>
  <c r="J369" i="53" s="1"/>
  <c r="I369" i="53" s="1"/>
  <c r="K369" i="53" s="1"/>
  <c r="J370" i="53" s="1"/>
  <c r="I370" i="53" s="1"/>
  <c r="K370" i="53" s="1"/>
  <c r="J371" i="53" s="1"/>
  <c r="I371" i="53" s="1"/>
  <c r="K371" i="53" s="1"/>
  <c r="J372" i="53" s="1"/>
  <c r="I372" i="53" s="1"/>
  <c r="K372" i="53" s="1"/>
  <c r="J373" i="53" s="1"/>
  <c r="I373" i="53" s="1"/>
  <c r="K373" i="53" s="1"/>
  <c r="J374" i="53" s="1"/>
  <c r="I374" i="53" s="1"/>
  <c r="K374" i="53" s="1"/>
  <c r="J375" i="53" s="1"/>
  <c r="I375" i="53" s="1"/>
  <c r="K375" i="53" s="1"/>
  <c r="J376" i="53" s="1"/>
  <c r="I376" i="53" s="1"/>
  <c r="K376" i="53" s="1"/>
  <c r="J377" i="53" s="1"/>
  <c r="I377" i="53" s="1"/>
  <c r="K377" i="53" s="1"/>
  <c r="J378" i="53" s="1"/>
  <c r="I378" i="53" s="1"/>
  <c r="K378" i="53" s="1"/>
  <c r="J379" i="53" s="1"/>
  <c r="I379" i="53" s="1"/>
  <c r="K379" i="53" s="1"/>
  <c r="J380" i="53" s="1"/>
  <c r="I380" i="53" s="1"/>
  <c r="K380" i="53" s="1"/>
  <c r="J381" i="53" s="1"/>
  <c r="I381" i="53" s="1"/>
  <c r="K381" i="53" s="1"/>
  <c r="J382" i="53" s="1"/>
  <c r="I382" i="53" s="1"/>
  <c r="K382" i="53" s="1"/>
  <c r="J383" i="53" s="1"/>
  <c r="I383" i="53" s="1"/>
  <c r="K383" i="53" s="1"/>
  <c r="J384" i="53" s="1"/>
  <c r="I384" i="53" s="1"/>
  <c r="K384" i="53" s="1"/>
  <c r="J385" i="53" s="1"/>
  <c r="I385" i="53" s="1"/>
  <c r="K385" i="53" s="1"/>
  <c r="J386" i="53" s="1"/>
  <c r="I386" i="53" s="1"/>
  <c r="K386" i="53" s="1"/>
  <c r="J387" i="53" s="1"/>
  <c r="I387" i="53" s="1"/>
  <c r="K387" i="53" s="1"/>
  <c r="J388" i="53" s="1"/>
  <c r="I388" i="53" s="1"/>
  <c r="K388" i="53" s="1"/>
  <c r="J389" i="53" s="1"/>
  <c r="I389" i="53" s="1"/>
  <c r="K389" i="53" s="1"/>
  <c r="J390" i="53" s="1"/>
  <c r="I390" i="53" s="1"/>
  <c r="K390" i="53" s="1"/>
  <c r="J391" i="53" s="1"/>
  <c r="I391" i="53" s="1"/>
  <c r="K391" i="53" s="1"/>
  <c r="J392" i="53" s="1"/>
  <c r="I392" i="53" s="1"/>
  <c r="K392" i="53" s="1"/>
  <c r="J393" i="53" s="1"/>
  <c r="I393" i="53" s="1"/>
  <c r="K393" i="53" s="1"/>
  <c r="J394" i="53" s="1"/>
  <c r="I394" i="53" s="1"/>
  <c r="K394" i="53" s="1"/>
  <c r="J395" i="53" s="1"/>
  <c r="I395" i="53" s="1"/>
  <c r="K395" i="53" s="1"/>
  <c r="J396" i="53" s="1"/>
  <c r="I396" i="53" s="1"/>
  <c r="K396" i="53" s="1"/>
  <c r="J397" i="53" s="1"/>
  <c r="I397" i="53" s="1"/>
  <c r="K397" i="53" s="1"/>
  <c r="J398" i="53" s="1"/>
  <c r="I398" i="53" s="1"/>
  <c r="K398" i="53" s="1"/>
  <c r="J399" i="53" s="1"/>
  <c r="I399" i="53" s="1"/>
  <c r="K399" i="53" s="1"/>
  <c r="J400" i="53" s="1"/>
  <c r="I400" i="53" s="1"/>
  <c r="K400" i="53" s="1"/>
  <c r="J401" i="53" s="1"/>
  <c r="I401" i="53" s="1"/>
  <c r="K401" i="53" s="1"/>
  <c r="J402" i="53" s="1"/>
  <c r="I402" i="53" s="1"/>
  <c r="K402" i="53" s="1"/>
  <c r="J403" i="53" s="1"/>
  <c r="I403" i="53" s="1"/>
  <c r="K403" i="53" s="1"/>
  <c r="J404" i="53" s="1"/>
  <c r="I404" i="53" s="1"/>
  <c r="K404" i="53" s="1"/>
  <c r="J405" i="53" s="1"/>
  <c r="I405" i="53" s="1"/>
  <c r="K405" i="53" s="1"/>
  <c r="J406" i="53" s="1"/>
  <c r="I406" i="53" s="1"/>
  <c r="K406" i="53" s="1"/>
  <c r="J407" i="53" s="1"/>
  <c r="I407" i="53" s="1"/>
  <c r="K407" i="53" s="1"/>
  <c r="J408" i="53" s="1"/>
  <c r="I408" i="53" s="1"/>
  <c r="K408" i="53" s="1"/>
  <c r="J409" i="53" s="1"/>
  <c r="I409" i="53" s="1"/>
  <c r="K409" i="53" s="1"/>
  <c r="J410" i="53" s="1"/>
  <c r="I410" i="53" s="1"/>
  <c r="K410" i="53" s="1"/>
  <c r="J411" i="53" s="1"/>
  <c r="I411" i="53" s="1"/>
  <c r="K411" i="53" s="1"/>
  <c r="J412" i="53" s="1"/>
  <c r="I412" i="53" s="1"/>
  <c r="K412" i="53" s="1"/>
  <c r="J413" i="53" s="1"/>
  <c r="I413" i="53" s="1"/>
  <c r="K413" i="53" s="1"/>
  <c r="J414" i="53" s="1"/>
  <c r="I414" i="53" s="1"/>
  <c r="K414" i="53" s="1"/>
  <c r="J415" i="53" s="1"/>
  <c r="I415" i="53" s="1"/>
  <c r="K415" i="53" s="1"/>
  <c r="J416" i="53" s="1"/>
  <c r="I416" i="53" s="1"/>
  <c r="K416" i="53" s="1"/>
  <c r="J417" i="53" s="1"/>
  <c r="I417" i="53" s="1"/>
  <c r="K417" i="53" s="1"/>
  <c r="J418" i="53" s="1"/>
  <c r="I418" i="53" s="1"/>
  <c r="K418" i="53" s="1"/>
  <c r="J419" i="53" s="1"/>
  <c r="I419" i="53" s="1"/>
  <c r="K419" i="53" s="1"/>
  <c r="J420" i="53" s="1"/>
  <c r="I420" i="53" s="1"/>
  <c r="K420" i="53" s="1"/>
  <c r="J421" i="53" s="1"/>
  <c r="I421" i="53" s="1"/>
  <c r="K421" i="53" s="1"/>
  <c r="J422" i="53" s="1"/>
  <c r="I422" i="53" s="1"/>
  <c r="K422" i="53" s="1"/>
  <c r="J423" i="53" s="1"/>
  <c r="I423" i="53" s="1"/>
  <c r="K423" i="53" s="1"/>
  <c r="J424" i="53" s="1"/>
  <c r="I424" i="53" s="1"/>
  <c r="K424" i="53" s="1"/>
  <c r="J425" i="53" s="1"/>
  <c r="I425" i="53" s="1"/>
  <c r="K425" i="53" s="1"/>
  <c r="J426" i="53" s="1"/>
  <c r="I426" i="53" s="1"/>
  <c r="K426" i="53" s="1"/>
  <c r="J427" i="53" s="1"/>
  <c r="I427" i="53" s="1"/>
  <c r="K427" i="53" s="1"/>
  <c r="J428" i="53" s="1"/>
  <c r="I428" i="53" s="1"/>
  <c r="K428" i="53" s="1"/>
  <c r="J429" i="53" s="1"/>
  <c r="I429" i="53" s="1"/>
  <c r="K429" i="53" s="1"/>
  <c r="J430" i="53" s="1"/>
  <c r="I430" i="53" s="1"/>
  <c r="K430" i="53" s="1"/>
  <c r="J431" i="53" s="1"/>
  <c r="I431" i="53" s="1"/>
  <c r="K431" i="53" s="1"/>
  <c r="J432" i="53" s="1"/>
  <c r="I432" i="53" s="1"/>
  <c r="K432" i="53" s="1"/>
  <c r="J433" i="53" s="1"/>
  <c r="I433" i="53" s="1"/>
  <c r="K433" i="53" s="1"/>
  <c r="J434" i="53" s="1"/>
  <c r="I434" i="53" s="1"/>
  <c r="K434" i="53" s="1"/>
  <c r="J435" i="53" s="1"/>
  <c r="I435" i="53" s="1"/>
  <c r="K435" i="53" s="1"/>
  <c r="J436" i="53" s="1"/>
  <c r="I436" i="53" s="1"/>
  <c r="K436" i="53" s="1"/>
  <c r="J437" i="53" s="1"/>
  <c r="I437" i="53" s="1"/>
  <c r="K437" i="53" s="1"/>
  <c r="J438" i="53" s="1"/>
  <c r="I438" i="53" s="1"/>
  <c r="K438" i="53" s="1"/>
  <c r="J439" i="53" s="1"/>
  <c r="I439" i="53" s="1"/>
  <c r="K439" i="53" s="1"/>
  <c r="J440" i="53" s="1"/>
  <c r="I440" i="53" s="1"/>
  <c r="K440" i="53" s="1"/>
  <c r="J441" i="53" s="1"/>
  <c r="I441" i="53" s="1"/>
  <c r="K441" i="53" s="1"/>
  <c r="J442" i="53" s="1"/>
  <c r="I442" i="53" s="1"/>
  <c r="K442" i="53" s="1"/>
  <c r="J443" i="53" s="1"/>
  <c r="I443" i="53" s="1"/>
  <c r="K443" i="53" s="1"/>
  <c r="J444" i="53" s="1"/>
  <c r="I444" i="53" s="1"/>
  <c r="K444" i="53" s="1"/>
  <c r="J445" i="53" s="1"/>
  <c r="I445" i="53" s="1"/>
  <c r="K445" i="53" s="1"/>
  <c r="J446" i="53" s="1"/>
  <c r="I446" i="53" s="1"/>
  <c r="K446" i="53" s="1"/>
  <c r="J447" i="53" s="1"/>
  <c r="I447" i="53" s="1"/>
  <c r="K447" i="53" s="1"/>
  <c r="J448" i="53" s="1"/>
  <c r="I448" i="53" s="1"/>
  <c r="K448" i="53" s="1"/>
  <c r="J449" i="53" s="1"/>
  <c r="I449" i="53" s="1"/>
  <c r="K449" i="53" s="1"/>
  <c r="J450" i="53" s="1"/>
  <c r="I450" i="53" s="1"/>
  <c r="K450" i="53" s="1"/>
  <c r="J451" i="53" s="1"/>
  <c r="I451" i="53" s="1"/>
  <c r="K451" i="53" s="1"/>
  <c r="J452" i="53" s="1"/>
  <c r="I452" i="53" s="1"/>
  <c r="K452" i="53" s="1"/>
  <c r="J453" i="53" s="1"/>
  <c r="I453" i="53" s="1"/>
  <c r="K453" i="53" s="1"/>
  <c r="M166" i="53"/>
  <c r="O166" i="53" s="1"/>
  <c r="N167" i="53" s="1"/>
  <c r="M167" i="53" s="1"/>
  <c r="O167" i="53" s="1"/>
  <c r="N168" i="53" s="1"/>
  <c r="M168" i="53" s="1"/>
  <c r="O168" i="53" s="1"/>
  <c r="N169" i="53" s="1"/>
  <c r="M169" i="53" s="1"/>
  <c r="O169" i="53" s="1"/>
  <c r="N170" i="53" s="1"/>
  <c r="M170" i="53" s="1"/>
  <c r="O170" i="53" s="1"/>
  <c r="N171" i="53" s="1"/>
  <c r="M171" i="53" s="1"/>
  <c r="O171" i="53" s="1"/>
  <c r="N172" i="53" s="1"/>
  <c r="M172" i="53" s="1"/>
  <c r="O172" i="53" s="1"/>
  <c r="N173" i="53" s="1"/>
  <c r="M173" i="53" s="1"/>
  <c r="O173" i="53" s="1"/>
  <c r="N174" i="53" s="1"/>
  <c r="M174" i="53" s="1"/>
  <c r="O174" i="53" s="1"/>
  <c r="N175" i="53" s="1"/>
  <c r="M175" i="53" s="1"/>
  <c r="O175" i="53" s="1"/>
  <c r="N176" i="53" s="1"/>
  <c r="M176" i="53" s="1"/>
  <c r="O176" i="53" s="1"/>
  <c r="N177" i="53" s="1"/>
  <c r="M177" i="53" s="1"/>
  <c r="O177" i="53" s="1"/>
  <c r="N178" i="53" s="1"/>
  <c r="M178" i="53" s="1"/>
  <c r="O178" i="53" s="1"/>
  <c r="N179" i="53" s="1"/>
  <c r="M179" i="53" s="1"/>
  <c r="O179" i="53" s="1"/>
  <c r="N180" i="53" s="1"/>
  <c r="M180" i="53" s="1"/>
  <c r="O180" i="53" s="1"/>
  <c r="N181" i="53" s="1"/>
  <c r="M181" i="53" s="1"/>
  <c r="O181" i="53" s="1"/>
  <c r="N182" i="53" s="1"/>
  <c r="M182" i="53" s="1"/>
  <c r="O182" i="53" s="1"/>
  <c r="N183" i="53" s="1"/>
  <c r="M183" i="53" s="1"/>
  <c r="O183" i="53" s="1"/>
  <c r="N184" i="53" s="1"/>
  <c r="M184" i="53" s="1"/>
  <c r="O184" i="53" s="1"/>
  <c r="N185" i="53" s="1"/>
  <c r="M185" i="53" s="1"/>
  <c r="O185" i="53" s="1"/>
  <c r="N186" i="53" s="1"/>
  <c r="M186" i="53" s="1"/>
  <c r="O186" i="53" s="1"/>
  <c r="N187" i="53" s="1"/>
  <c r="M187" i="53" s="1"/>
  <c r="O187" i="53" s="1"/>
  <c r="N188" i="53" s="1"/>
  <c r="M188" i="53" s="1"/>
  <c r="O188" i="53" s="1"/>
  <c r="N189" i="53" s="1"/>
  <c r="M189" i="53" s="1"/>
  <c r="O189" i="53" s="1"/>
  <c r="N190" i="53" s="1"/>
  <c r="M190" i="53" s="1"/>
  <c r="O190" i="53" s="1"/>
  <c r="N191" i="53" s="1"/>
  <c r="M191" i="53" s="1"/>
  <c r="O191" i="53" s="1"/>
  <c r="N192" i="53" s="1"/>
  <c r="M192" i="53" s="1"/>
  <c r="O192" i="53" s="1"/>
  <c r="N193" i="53" s="1"/>
  <c r="M193" i="53" s="1"/>
  <c r="O193" i="53" s="1"/>
  <c r="N194" i="53" s="1"/>
  <c r="M194" i="53" s="1"/>
  <c r="O194" i="53" s="1"/>
  <c r="N195" i="53" s="1"/>
  <c r="M195" i="53" s="1"/>
  <c r="O195" i="53" s="1"/>
  <c r="N196" i="53" s="1"/>
  <c r="M196" i="53" s="1"/>
  <c r="O196" i="53" s="1"/>
  <c r="N197" i="53" s="1"/>
  <c r="M197" i="53" s="1"/>
  <c r="O197" i="53" s="1"/>
  <c r="N198" i="53" s="1"/>
  <c r="M198" i="53" s="1"/>
  <c r="O198" i="53" s="1"/>
  <c r="N199" i="53" s="1"/>
  <c r="M199" i="53" s="1"/>
  <c r="O199" i="53" s="1"/>
  <c r="N200" i="53" s="1"/>
  <c r="M200" i="53" s="1"/>
  <c r="O200" i="53" s="1"/>
  <c r="N201" i="53" s="1"/>
  <c r="M201" i="53" s="1"/>
  <c r="O201" i="53" s="1"/>
  <c r="N202" i="53" s="1"/>
  <c r="M202" i="53" s="1"/>
  <c r="O202" i="53" s="1"/>
  <c r="N203" i="53" s="1"/>
  <c r="M203" i="53" s="1"/>
  <c r="O203" i="53" s="1"/>
  <c r="N204" i="53" s="1"/>
  <c r="M204" i="53" s="1"/>
  <c r="O204" i="53" s="1"/>
  <c r="N205" i="53" s="1"/>
  <c r="M205" i="53" s="1"/>
  <c r="O205" i="53" s="1"/>
  <c r="N206" i="53" s="1"/>
  <c r="M206" i="53" s="1"/>
  <c r="O206" i="53" s="1"/>
  <c r="N207" i="53" s="1"/>
  <c r="M207" i="53" s="1"/>
  <c r="O207" i="53" s="1"/>
  <c r="N208" i="53" s="1"/>
  <c r="M208" i="53" s="1"/>
  <c r="O208" i="53" s="1"/>
  <c r="N209" i="53" s="1"/>
  <c r="M209" i="53" s="1"/>
  <c r="O209" i="53" s="1"/>
  <c r="N210" i="53" s="1"/>
  <c r="M210" i="53" s="1"/>
  <c r="O210" i="53" s="1"/>
  <c r="N211" i="53" s="1"/>
  <c r="M211" i="53" s="1"/>
  <c r="O211" i="53" s="1"/>
  <c r="N212" i="53" s="1"/>
  <c r="M212" i="53" s="1"/>
  <c r="O212" i="53" s="1"/>
  <c r="N213" i="53" s="1"/>
  <c r="M213" i="53" s="1"/>
  <c r="O213" i="53" s="1"/>
  <c r="N214" i="53" s="1"/>
  <c r="M214" i="53" s="1"/>
  <c r="O214" i="53" s="1"/>
  <c r="N215" i="53" s="1"/>
  <c r="M215" i="53" s="1"/>
  <c r="O215" i="53" s="1"/>
  <c r="N216" i="53" s="1"/>
  <c r="M216" i="53" s="1"/>
  <c r="O216" i="53" s="1"/>
  <c r="N217" i="53" s="1"/>
  <c r="M217" i="53" s="1"/>
  <c r="O217" i="53" s="1"/>
  <c r="N218" i="53" s="1"/>
  <c r="M218" i="53" s="1"/>
  <c r="O218" i="53" s="1"/>
  <c r="N219" i="53" s="1"/>
  <c r="M219" i="53" s="1"/>
  <c r="O219" i="53" s="1"/>
  <c r="N220" i="53" s="1"/>
  <c r="M220" i="53" s="1"/>
  <c r="O220" i="53" s="1"/>
  <c r="N221" i="53" s="1"/>
  <c r="M221" i="53" s="1"/>
  <c r="O221" i="53" s="1"/>
  <c r="N222" i="53" s="1"/>
  <c r="M222" i="53" s="1"/>
  <c r="O222" i="53" s="1"/>
  <c r="N223" i="53" s="1"/>
  <c r="M223" i="53" s="1"/>
  <c r="O223" i="53" s="1"/>
  <c r="N224" i="53" s="1"/>
  <c r="M224" i="53" s="1"/>
  <c r="O224" i="53" s="1"/>
  <c r="N225" i="53" s="1"/>
  <c r="M225" i="53" s="1"/>
  <c r="O225" i="53" s="1"/>
  <c r="N226" i="53" s="1"/>
  <c r="M226" i="53" s="1"/>
  <c r="O226" i="53" s="1"/>
  <c r="N227" i="53" s="1"/>
  <c r="M227" i="53" s="1"/>
  <c r="O227" i="53" s="1"/>
  <c r="N228" i="53" s="1"/>
  <c r="M228" i="53" s="1"/>
  <c r="O228" i="53" s="1"/>
  <c r="N229" i="53" s="1"/>
  <c r="M229" i="53" s="1"/>
  <c r="O229" i="53" s="1"/>
  <c r="N230" i="53" s="1"/>
  <c r="M230" i="53" s="1"/>
  <c r="O230" i="53" s="1"/>
  <c r="N231" i="53" s="1"/>
  <c r="M231" i="53" s="1"/>
  <c r="O231" i="53" s="1"/>
  <c r="N232" i="53" s="1"/>
  <c r="M232" i="53" s="1"/>
  <c r="O232" i="53" s="1"/>
  <c r="N233" i="53" s="1"/>
  <c r="M233" i="53" s="1"/>
  <c r="O233" i="53" s="1"/>
  <c r="N234" i="53" s="1"/>
  <c r="M234" i="53" s="1"/>
  <c r="O234" i="53" s="1"/>
  <c r="N235" i="53" s="1"/>
  <c r="M235" i="53" s="1"/>
  <c r="O235" i="53" s="1"/>
  <c r="N236" i="53" s="1"/>
  <c r="M236" i="53" s="1"/>
  <c r="O236" i="53" s="1"/>
  <c r="N237" i="53" s="1"/>
  <c r="M237" i="53" s="1"/>
  <c r="O237" i="53" s="1"/>
  <c r="N238" i="53" s="1"/>
  <c r="M238" i="53" s="1"/>
  <c r="O238" i="53" s="1"/>
  <c r="N239" i="53" s="1"/>
  <c r="M239" i="53" s="1"/>
  <c r="O239" i="53" s="1"/>
  <c r="N240" i="53" s="1"/>
  <c r="M240" i="53" s="1"/>
  <c r="O240" i="53" s="1"/>
  <c r="N241" i="53" s="1"/>
  <c r="M241" i="53" s="1"/>
  <c r="O241" i="53" s="1"/>
  <c r="N242" i="53" s="1"/>
  <c r="M242" i="53" s="1"/>
  <c r="O242" i="53" s="1"/>
  <c r="N243" i="53" s="1"/>
  <c r="M243" i="53" s="1"/>
  <c r="O243" i="53" s="1"/>
  <c r="N244" i="53" s="1"/>
  <c r="M244" i="53" s="1"/>
  <c r="O244" i="53" s="1"/>
  <c r="N245" i="53" s="1"/>
  <c r="M245" i="53" s="1"/>
  <c r="O245" i="53" s="1"/>
  <c r="N246" i="53" s="1"/>
  <c r="M246" i="53" s="1"/>
  <c r="O246" i="53" s="1"/>
  <c r="N247" i="53" s="1"/>
  <c r="M247" i="53" s="1"/>
  <c r="O247" i="53" s="1"/>
  <c r="N248" i="53" s="1"/>
  <c r="M248" i="53" s="1"/>
  <c r="O248" i="53" s="1"/>
  <c r="N249" i="53" s="1"/>
  <c r="M249" i="53" s="1"/>
  <c r="O249" i="53" s="1"/>
  <c r="N250" i="53" s="1"/>
  <c r="M250" i="53" s="1"/>
  <c r="O250" i="53" s="1"/>
  <c r="N251" i="53" s="1"/>
  <c r="M251" i="53" s="1"/>
  <c r="O251" i="53" s="1"/>
  <c r="N252" i="53" s="1"/>
  <c r="M252" i="53" s="1"/>
  <c r="O252" i="53" s="1"/>
  <c r="N253" i="53" s="1"/>
  <c r="M253" i="53" s="1"/>
  <c r="O253" i="53" s="1"/>
  <c r="N254" i="53" s="1"/>
  <c r="M254" i="53" s="1"/>
  <c r="O254" i="53" s="1"/>
  <c r="N255" i="53" s="1"/>
  <c r="M255" i="53" s="1"/>
  <c r="O255" i="53" s="1"/>
  <c r="N256" i="53" s="1"/>
  <c r="M256" i="53" s="1"/>
  <c r="O256" i="53" s="1"/>
  <c r="N257" i="53" s="1"/>
  <c r="M257" i="53" s="1"/>
  <c r="O257" i="53" s="1"/>
  <c r="N258" i="53" s="1"/>
  <c r="M258" i="53" s="1"/>
  <c r="O258" i="53" s="1"/>
  <c r="N259" i="53" s="1"/>
  <c r="M259" i="53" s="1"/>
  <c r="O259" i="53" s="1"/>
  <c r="N260" i="53" s="1"/>
  <c r="M260" i="53" s="1"/>
  <c r="O260" i="53" s="1"/>
  <c r="N261" i="53" s="1"/>
  <c r="M261" i="53" s="1"/>
  <c r="O261" i="53" s="1"/>
  <c r="N262" i="53" s="1"/>
  <c r="M262" i="53" s="1"/>
  <c r="O262" i="53" s="1"/>
  <c r="N263" i="53" s="1"/>
  <c r="M263" i="53" s="1"/>
  <c r="O263" i="53" s="1"/>
  <c r="N264" i="53" s="1"/>
  <c r="M264" i="53" s="1"/>
  <c r="O264" i="53" s="1"/>
  <c r="N265" i="53" s="1"/>
  <c r="M265" i="53" s="1"/>
  <c r="O265" i="53" s="1"/>
  <c r="N266" i="53" s="1"/>
  <c r="M266" i="53" s="1"/>
  <c r="O266" i="53" s="1"/>
  <c r="N267" i="53" s="1"/>
  <c r="M267" i="53" s="1"/>
  <c r="O267" i="53" s="1"/>
  <c r="N268" i="53" s="1"/>
  <c r="M268" i="53" s="1"/>
  <c r="O268" i="53" s="1"/>
  <c r="N269" i="53" s="1"/>
  <c r="M269" i="53" s="1"/>
  <c r="O269" i="53" s="1"/>
  <c r="N270" i="53" s="1"/>
  <c r="M270" i="53" s="1"/>
  <c r="O270" i="53" s="1"/>
  <c r="N271" i="53" s="1"/>
  <c r="M271" i="53" s="1"/>
  <c r="O271" i="53" s="1"/>
  <c r="N272" i="53" s="1"/>
  <c r="M272" i="53" s="1"/>
  <c r="O272" i="53" s="1"/>
  <c r="N273" i="53" s="1"/>
  <c r="M273" i="53" s="1"/>
  <c r="O273" i="53" s="1"/>
  <c r="N274" i="53" s="1"/>
  <c r="M274" i="53" s="1"/>
  <c r="O274" i="53" s="1"/>
  <c r="N275" i="53" s="1"/>
  <c r="M275" i="53" s="1"/>
  <c r="O275" i="53" s="1"/>
  <c r="N276" i="53" s="1"/>
  <c r="M276" i="53" s="1"/>
  <c r="O276" i="53" s="1"/>
  <c r="N277" i="53" s="1"/>
  <c r="M277" i="53" s="1"/>
  <c r="O277" i="53" s="1"/>
  <c r="N278" i="53" s="1"/>
  <c r="M278" i="53" s="1"/>
  <c r="O278" i="53" s="1"/>
  <c r="N279" i="53" s="1"/>
  <c r="M279" i="53" s="1"/>
  <c r="O279" i="53" s="1"/>
  <c r="N280" i="53" s="1"/>
  <c r="M280" i="53" s="1"/>
  <c r="O280" i="53" s="1"/>
  <c r="N281" i="53" s="1"/>
  <c r="M281" i="53" s="1"/>
  <c r="O281" i="53" s="1"/>
  <c r="N282" i="53" s="1"/>
  <c r="M282" i="53" s="1"/>
  <c r="O282" i="53" s="1"/>
  <c r="N283" i="53" s="1"/>
  <c r="M283" i="53" s="1"/>
  <c r="O283" i="53" s="1"/>
  <c r="N284" i="53" s="1"/>
  <c r="M284" i="53" s="1"/>
  <c r="O284" i="53" s="1"/>
  <c r="N285" i="53" s="1"/>
  <c r="M285" i="53" s="1"/>
  <c r="O285" i="53" s="1"/>
  <c r="N286" i="53" s="1"/>
  <c r="M286" i="53" s="1"/>
  <c r="O286" i="53" s="1"/>
  <c r="N287" i="53" s="1"/>
  <c r="M287" i="53" s="1"/>
  <c r="O287" i="53" s="1"/>
  <c r="N288" i="53" s="1"/>
  <c r="M288" i="53" s="1"/>
  <c r="O288" i="53" s="1"/>
  <c r="N289" i="53" s="1"/>
  <c r="M289" i="53" s="1"/>
  <c r="O289" i="53" s="1"/>
  <c r="N290" i="53" s="1"/>
  <c r="M290" i="53" s="1"/>
  <c r="O290" i="53" s="1"/>
  <c r="N291" i="53" s="1"/>
  <c r="M291" i="53" s="1"/>
  <c r="O291" i="53" s="1"/>
  <c r="N292" i="53" s="1"/>
  <c r="M292" i="53" s="1"/>
  <c r="O292" i="53" s="1"/>
  <c r="N293" i="53" s="1"/>
  <c r="M293" i="53" s="1"/>
  <c r="O293" i="53" s="1"/>
  <c r="N294" i="53" s="1"/>
  <c r="M294" i="53" s="1"/>
  <c r="O294" i="53" s="1"/>
  <c r="N295" i="53" s="1"/>
  <c r="M295" i="53" s="1"/>
  <c r="O295" i="53" s="1"/>
  <c r="N296" i="53" s="1"/>
  <c r="M296" i="53" s="1"/>
  <c r="O296" i="53" s="1"/>
  <c r="N297" i="53" s="1"/>
  <c r="M297" i="53" s="1"/>
  <c r="O297" i="53" s="1"/>
  <c r="N298" i="53" s="1"/>
  <c r="M298" i="53" s="1"/>
  <c r="O298" i="53" s="1"/>
  <c r="N299" i="53" s="1"/>
  <c r="M299" i="53" s="1"/>
  <c r="O299" i="53" s="1"/>
  <c r="N300" i="53" s="1"/>
  <c r="M300" i="53" s="1"/>
  <c r="O300" i="53" s="1"/>
  <c r="N301" i="53" s="1"/>
  <c r="M301" i="53" s="1"/>
  <c r="O301" i="53" s="1"/>
  <c r="N302" i="53" s="1"/>
  <c r="M302" i="53" s="1"/>
  <c r="O302" i="53" s="1"/>
  <c r="N303" i="53" s="1"/>
  <c r="M303" i="53" s="1"/>
  <c r="O303" i="53" s="1"/>
  <c r="N304" i="53" s="1"/>
  <c r="M304" i="53" s="1"/>
  <c r="O304" i="53" s="1"/>
  <c r="N305" i="53" s="1"/>
  <c r="M305" i="53" s="1"/>
  <c r="O305" i="53" s="1"/>
  <c r="N306" i="53" s="1"/>
  <c r="M306" i="53" s="1"/>
  <c r="O306" i="53" s="1"/>
  <c r="N307" i="53" s="1"/>
  <c r="M307" i="53" s="1"/>
  <c r="O307" i="53" s="1"/>
  <c r="N308" i="53" s="1"/>
  <c r="M308" i="53" s="1"/>
  <c r="O308" i="53" s="1"/>
  <c r="N309" i="53" s="1"/>
  <c r="M309" i="53" s="1"/>
  <c r="O309" i="53" s="1"/>
  <c r="N310" i="53" s="1"/>
  <c r="M310" i="53" s="1"/>
  <c r="O310" i="53" s="1"/>
  <c r="N311" i="53" s="1"/>
  <c r="M311" i="53" s="1"/>
  <c r="O311" i="53" s="1"/>
  <c r="N312" i="53" s="1"/>
  <c r="M312" i="53" s="1"/>
  <c r="O312" i="53" s="1"/>
  <c r="N313" i="53" s="1"/>
  <c r="M313" i="53" s="1"/>
  <c r="O313" i="53" s="1"/>
  <c r="N314" i="53" s="1"/>
  <c r="M314" i="53" s="1"/>
  <c r="O314" i="53" s="1"/>
  <c r="N315" i="53" s="1"/>
  <c r="M315" i="53" s="1"/>
  <c r="O315" i="53" s="1"/>
  <c r="N316" i="53" s="1"/>
  <c r="M316" i="53" s="1"/>
  <c r="O316" i="53" s="1"/>
  <c r="N317" i="53" s="1"/>
  <c r="M317" i="53" s="1"/>
  <c r="O317" i="53" s="1"/>
  <c r="N318" i="53" s="1"/>
  <c r="M318" i="53" s="1"/>
  <c r="O318" i="53" s="1"/>
  <c r="N319" i="53" s="1"/>
  <c r="M319" i="53" s="1"/>
  <c r="O319" i="53" s="1"/>
  <c r="N320" i="53" s="1"/>
  <c r="M320" i="53" s="1"/>
  <c r="O320" i="53" s="1"/>
  <c r="N321" i="53" s="1"/>
  <c r="M321" i="53" s="1"/>
  <c r="O321" i="53" s="1"/>
  <c r="N322" i="53" s="1"/>
  <c r="M322" i="53" s="1"/>
  <c r="O322" i="53" s="1"/>
  <c r="N323" i="53" s="1"/>
  <c r="M323" i="53" s="1"/>
  <c r="O323" i="53" s="1"/>
  <c r="N324" i="53" s="1"/>
  <c r="M324" i="53" s="1"/>
  <c r="O324" i="53" s="1"/>
  <c r="N325" i="53" s="1"/>
  <c r="M325" i="53" s="1"/>
  <c r="O325" i="53" s="1"/>
  <c r="N326" i="53" s="1"/>
  <c r="M326" i="53" s="1"/>
  <c r="O326" i="53" s="1"/>
  <c r="N327" i="53" s="1"/>
  <c r="M327" i="53" s="1"/>
  <c r="O327" i="53" s="1"/>
  <c r="N328" i="53" s="1"/>
  <c r="M328" i="53" s="1"/>
  <c r="O328" i="53" s="1"/>
  <c r="N329" i="53" s="1"/>
  <c r="M329" i="53" s="1"/>
  <c r="O329" i="53" s="1"/>
  <c r="N330" i="53" s="1"/>
  <c r="M330" i="53" s="1"/>
  <c r="O330" i="53" s="1"/>
  <c r="N331" i="53" s="1"/>
  <c r="M331" i="53" s="1"/>
  <c r="O331" i="53" s="1"/>
  <c r="N332" i="53" s="1"/>
  <c r="M332" i="53" s="1"/>
  <c r="O332" i="53" s="1"/>
  <c r="N333" i="53" s="1"/>
  <c r="M333" i="53" s="1"/>
  <c r="O333" i="53" s="1"/>
  <c r="N334" i="53" s="1"/>
  <c r="M334" i="53" s="1"/>
  <c r="O334" i="53" s="1"/>
  <c r="N335" i="53" s="1"/>
  <c r="M335" i="53" s="1"/>
  <c r="O335" i="53" s="1"/>
  <c r="N336" i="53" s="1"/>
  <c r="M336" i="53" s="1"/>
  <c r="O336" i="53" s="1"/>
  <c r="N337" i="53" s="1"/>
  <c r="M337" i="53" s="1"/>
  <c r="O337" i="53" s="1"/>
  <c r="N338" i="53" s="1"/>
  <c r="M338" i="53" s="1"/>
  <c r="O338" i="53" s="1"/>
  <c r="N339" i="53" s="1"/>
  <c r="M339" i="53" s="1"/>
  <c r="O339" i="53" s="1"/>
  <c r="N340" i="53" s="1"/>
  <c r="M340" i="53" s="1"/>
  <c r="O340" i="53" s="1"/>
  <c r="N341" i="53" s="1"/>
  <c r="M341" i="53" s="1"/>
  <c r="O341" i="53" s="1"/>
  <c r="N342" i="53" s="1"/>
  <c r="M342" i="53" s="1"/>
  <c r="O342" i="53" s="1"/>
  <c r="N343" i="53" s="1"/>
  <c r="M343" i="53" s="1"/>
  <c r="O343" i="53" s="1"/>
  <c r="N344" i="53" s="1"/>
  <c r="M344" i="53" s="1"/>
  <c r="O344" i="53" s="1"/>
  <c r="N345" i="53" s="1"/>
  <c r="M345" i="53" s="1"/>
  <c r="O345" i="53" s="1"/>
  <c r="N346" i="53" s="1"/>
  <c r="M346" i="53" s="1"/>
  <c r="O346" i="53" s="1"/>
  <c r="N347" i="53" s="1"/>
  <c r="M347" i="53" s="1"/>
  <c r="O347" i="53" s="1"/>
  <c r="N348" i="53" s="1"/>
  <c r="M348" i="53" s="1"/>
  <c r="O348" i="53" s="1"/>
  <c r="N349" i="53" s="1"/>
  <c r="M349" i="53" s="1"/>
  <c r="O349" i="53" s="1"/>
  <c r="N350" i="53" s="1"/>
  <c r="M350" i="53" s="1"/>
  <c r="O350" i="53" s="1"/>
  <c r="N351" i="53" s="1"/>
  <c r="M351" i="53" s="1"/>
  <c r="O351" i="53" s="1"/>
  <c r="N352" i="53" s="1"/>
  <c r="M352" i="53" s="1"/>
  <c r="O352" i="53" s="1"/>
  <c r="N353" i="53" s="1"/>
  <c r="M353" i="53" s="1"/>
  <c r="O353" i="53" s="1"/>
  <c r="N354" i="53" s="1"/>
  <c r="M354" i="53" s="1"/>
  <c r="O354" i="53" s="1"/>
  <c r="N355" i="53" s="1"/>
  <c r="M355" i="53" s="1"/>
  <c r="O355" i="53" s="1"/>
  <c r="N356" i="53" s="1"/>
  <c r="M356" i="53" s="1"/>
  <c r="O356" i="53" s="1"/>
  <c r="N357" i="53" s="1"/>
  <c r="M357" i="53" s="1"/>
  <c r="O357" i="53" s="1"/>
  <c r="N358" i="53" s="1"/>
  <c r="M358" i="53" s="1"/>
  <c r="O358" i="53" s="1"/>
  <c r="N359" i="53" s="1"/>
  <c r="M359" i="53" s="1"/>
  <c r="O359" i="53" s="1"/>
  <c r="N360" i="53" s="1"/>
  <c r="M360" i="53" s="1"/>
  <c r="O360" i="53" s="1"/>
  <c r="N361" i="53" s="1"/>
  <c r="M361" i="53" s="1"/>
  <c r="O361" i="53" s="1"/>
  <c r="N362" i="53" s="1"/>
  <c r="M362" i="53" s="1"/>
  <c r="O362" i="53" s="1"/>
  <c r="N363" i="53" s="1"/>
  <c r="M363" i="53" s="1"/>
  <c r="O363" i="53" s="1"/>
  <c r="N364" i="53" s="1"/>
  <c r="M364" i="53" s="1"/>
  <c r="O364" i="53" s="1"/>
  <c r="N365" i="53" s="1"/>
  <c r="M365" i="53" s="1"/>
  <c r="O365" i="53" s="1"/>
  <c r="N366" i="53" s="1"/>
  <c r="M366" i="53" s="1"/>
  <c r="O366" i="53" s="1"/>
  <c r="N367" i="53" s="1"/>
  <c r="M367" i="53" s="1"/>
  <c r="O367" i="53" s="1"/>
  <c r="N368" i="53" s="1"/>
  <c r="M368" i="53" s="1"/>
  <c r="O368" i="53" s="1"/>
  <c r="N369" i="53" s="1"/>
  <c r="M369" i="53" s="1"/>
  <c r="O369" i="53" s="1"/>
  <c r="N370" i="53" s="1"/>
  <c r="M370" i="53" s="1"/>
  <c r="O370" i="53" s="1"/>
  <c r="N371" i="53" s="1"/>
  <c r="M371" i="53" s="1"/>
  <c r="O371" i="53" s="1"/>
  <c r="N372" i="53" s="1"/>
  <c r="M372" i="53" s="1"/>
  <c r="O372" i="53" s="1"/>
  <c r="N373" i="53" s="1"/>
  <c r="M373" i="53" s="1"/>
  <c r="O373" i="53" s="1"/>
  <c r="N374" i="53" s="1"/>
  <c r="M374" i="53" s="1"/>
  <c r="O374" i="53" s="1"/>
  <c r="N375" i="53" s="1"/>
  <c r="M375" i="53" s="1"/>
  <c r="O375" i="53" s="1"/>
  <c r="N376" i="53" s="1"/>
  <c r="M376" i="53" s="1"/>
  <c r="O376" i="53" s="1"/>
  <c r="N377" i="53" s="1"/>
  <c r="M377" i="53" s="1"/>
  <c r="O377" i="53" s="1"/>
  <c r="N378" i="53" s="1"/>
  <c r="M378" i="53" s="1"/>
  <c r="O378" i="53" s="1"/>
  <c r="N379" i="53" s="1"/>
  <c r="M379" i="53" s="1"/>
  <c r="O379" i="53" s="1"/>
  <c r="N380" i="53" s="1"/>
  <c r="M380" i="53" s="1"/>
  <c r="O380" i="53" s="1"/>
  <c r="N381" i="53" s="1"/>
  <c r="M381" i="53" s="1"/>
  <c r="O381" i="53" s="1"/>
  <c r="N382" i="53" s="1"/>
  <c r="M382" i="53" s="1"/>
  <c r="O382" i="53" s="1"/>
  <c r="N383" i="53" s="1"/>
  <c r="M383" i="53" s="1"/>
  <c r="O383" i="53" s="1"/>
  <c r="N384" i="53" s="1"/>
  <c r="M384" i="53" s="1"/>
  <c r="O384" i="53" s="1"/>
  <c r="N385" i="53" s="1"/>
  <c r="M385" i="53" s="1"/>
  <c r="O385" i="53" s="1"/>
  <c r="N386" i="53" s="1"/>
  <c r="M386" i="53" s="1"/>
  <c r="O386" i="53" s="1"/>
  <c r="N387" i="53" s="1"/>
  <c r="M387" i="53" s="1"/>
  <c r="O387" i="53" s="1"/>
  <c r="N388" i="53" s="1"/>
  <c r="M388" i="53" s="1"/>
  <c r="O388" i="53" s="1"/>
  <c r="N389" i="53" s="1"/>
  <c r="M389" i="53" s="1"/>
  <c r="O389" i="53" s="1"/>
  <c r="N390" i="53" s="1"/>
  <c r="M390" i="53" s="1"/>
  <c r="O390" i="53" s="1"/>
  <c r="N391" i="53" s="1"/>
  <c r="M391" i="53" s="1"/>
  <c r="O391" i="53" s="1"/>
  <c r="N392" i="53" s="1"/>
  <c r="M392" i="53" s="1"/>
  <c r="O392" i="53" s="1"/>
  <c r="N393" i="53" s="1"/>
  <c r="M393" i="53" s="1"/>
  <c r="O393" i="53" s="1"/>
  <c r="N394" i="53" s="1"/>
  <c r="M394" i="53" s="1"/>
  <c r="O394" i="53" s="1"/>
  <c r="N395" i="53" s="1"/>
  <c r="M395" i="53" s="1"/>
  <c r="O395" i="53" s="1"/>
  <c r="N396" i="53" s="1"/>
  <c r="M396" i="53" s="1"/>
  <c r="O396" i="53" s="1"/>
  <c r="N397" i="53" s="1"/>
  <c r="M397" i="53" s="1"/>
  <c r="O397" i="53" s="1"/>
  <c r="N398" i="53" s="1"/>
  <c r="M398" i="53" s="1"/>
  <c r="O398" i="53" s="1"/>
  <c r="N399" i="53" s="1"/>
  <c r="M399" i="53" s="1"/>
  <c r="O399" i="53" s="1"/>
  <c r="N400" i="53" s="1"/>
  <c r="M400" i="53" s="1"/>
  <c r="O400" i="53" s="1"/>
  <c r="N401" i="53" s="1"/>
  <c r="M401" i="53" s="1"/>
  <c r="O401" i="53" s="1"/>
  <c r="N402" i="53" s="1"/>
  <c r="M402" i="53" s="1"/>
  <c r="O402" i="53" s="1"/>
  <c r="N403" i="53" s="1"/>
  <c r="M403" i="53" s="1"/>
  <c r="O403" i="53" s="1"/>
  <c r="N404" i="53" s="1"/>
  <c r="M404" i="53" s="1"/>
  <c r="O404" i="53" s="1"/>
  <c r="N405" i="53" s="1"/>
  <c r="M405" i="53" s="1"/>
  <c r="O405" i="53" s="1"/>
  <c r="N406" i="53" s="1"/>
  <c r="M406" i="53" s="1"/>
  <c r="O406" i="53" s="1"/>
  <c r="N407" i="53" s="1"/>
  <c r="M407" i="53" s="1"/>
  <c r="O407" i="53" s="1"/>
  <c r="N408" i="53" s="1"/>
  <c r="M408" i="53" s="1"/>
  <c r="O408" i="53" s="1"/>
  <c r="N409" i="53" s="1"/>
  <c r="M409" i="53" s="1"/>
  <c r="O409" i="53" s="1"/>
  <c r="N410" i="53" s="1"/>
  <c r="M410" i="53" s="1"/>
  <c r="O410" i="53" s="1"/>
  <c r="N411" i="53" s="1"/>
  <c r="M411" i="53" s="1"/>
  <c r="O411" i="53" s="1"/>
  <c r="N412" i="53" s="1"/>
  <c r="M412" i="53" s="1"/>
  <c r="O412" i="53" s="1"/>
  <c r="N413" i="53" s="1"/>
  <c r="M413" i="53" s="1"/>
  <c r="O413" i="53" s="1"/>
  <c r="N414" i="53" s="1"/>
  <c r="M414" i="53" s="1"/>
  <c r="O414" i="53" s="1"/>
  <c r="N415" i="53" s="1"/>
  <c r="M415" i="53" s="1"/>
  <c r="O415" i="53" s="1"/>
  <c r="N416" i="53" s="1"/>
  <c r="M416" i="53" s="1"/>
  <c r="O416" i="53" s="1"/>
  <c r="N417" i="53" s="1"/>
  <c r="M417" i="53" s="1"/>
  <c r="O417" i="53" s="1"/>
  <c r="N418" i="53" s="1"/>
  <c r="M418" i="53" s="1"/>
  <c r="O418" i="53" s="1"/>
  <c r="N419" i="53" s="1"/>
  <c r="M419" i="53" s="1"/>
  <c r="O419" i="53" s="1"/>
  <c r="N420" i="53" s="1"/>
  <c r="M420" i="53" s="1"/>
  <c r="O420" i="53" s="1"/>
  <c r="N421" i="53" s="1"/>
  <c r="M421" i="53" s="1"/>
  <c r="O421" i="53" s="1"/>
  <c r="N422" i="53" s="1"/>
  <c r="M422" i="53" s="1"/>
  <c r="O422" i="53" s="1"/>
  <c r="N423" i="53" s="1"/>
  <c r="M423" i="53" s="1"/>
  <c r="O423" i="53" s="1"/>
  <c r="N424" i="53" s="1"/>
  <c r="M424" i="53" s="1"/>
  <c r="O424" i="53" s="1"/>
  <c r="N425" i="53" s="1"/>
  <c r="M425" i="53" s="1"/>
  <c r="O425" i="53" s="1"/>
  <c r="N426" i="53" s="1"/>
  <c r="M426" i="53" s="1"/>
  <c r="O426" i="53" s="1"/>
  <c r="N427" i="53" s="1"/>
  <c r="M427" i="53" s="1"/>
  <c r="O427" i="53" s="1"/>
  <c r="N428" i="53" s="1"/>
  <c r="M428" i="53" s="1"/>
  <c r="O428" i="53" s="1"/>
  <c r="N429" i="53" s="1"/>
  <c r="M429" i="53" s="1"/>
  <c r="O429" i="53" s="1"/>
  <c r="N430" i="53" s="1"/>
  <c r="M430" i="53" s="1"/>
  <c r="O430" i="53" s="1"/>
  <c r="N431" i="53" s="1"/>
  <c r="M431" i="53" s="1"/>
  <c r="O431" i="53" s="1"/>
  <c r="N432" i="53" s="1"/>
  <c r="M432" i="53" s="1"/>
  <c r="O432" i="53" s="1"/>
  <c r="N433" i="53" s="1"/>
  <c r="M433" i="53" s="1"/>
  <c r="O433" i="53" s="1"/>
  <c r="N434" i="53" s="1"/>
  <c r="M434" i="53" s="1"/>
  <c r="O434" i="53" s="1"/>
  <c r="N435" i="53" s="1"/>
  <c r="M435" i="53" s="1"/>
  <c r="O435" i="53" s="1"/>
  <c r="N436" i="53" s="1"/>
  <c r="M436" i="53" s="1"/>
  <c r="O436" i="53" s="1"/>
  <c r="N437" i="53" s="1"/>
  <c r="M437" i="53" s="1"/>
  <c r="O437" i="53" s="1"/>
  <c r="N438" i="53" s="1"/>
  <c r="M438" i="53" s="1"/>
  <c r="O438" i="53" s="1"/>
  <c r="N439" i="53" s="1"/>
  <c r="M439" i="53" s="1"/>
  <c r="O439" i="53" s="1"/>
  <c r="N440" i="53" s="1"/>
  <c r="M440" i="53" s="1"/>
  <c r="O440" i="53" s="1"/>
  <c r="N441" i="53" s="1"/>
  <c r="M441" i="53" s="1"/>
  <c r="O441" i="53" s="1"/>
  <c r="N442" i="53" s="1"/>
  <c r="M442" i="53" s="1"/>
  <c r="O442" i="53" s="1"/>
  <c r="N443" i="53" s="1"/>
  <c r="M443" i="53" s="1"/>
  <c r="O443" i="53" s="1"/>
  <c r="N444" i="53" s="1"/>
  <c r="M444" i="53" s="1"/>
  <c r="O444" i="53" s="1"/>
  <c r="N445" i="53" s="1"/>
  <c r="M445" i="53" s="1"/>
  <c r="O445" i="53" s="1"/>
  <c r="N446" i="53" s="1"/>
  <c r="M446" i="53" s="1"/>
  <c r="O446" i="53" s="1"/>
  <c r="N447" i="53" s="1"/>
  <c r="M447" i="53" s="1"/>
  <c r="O447" i="53" s="1"/>
  <c r="N448" i="53" s="1"/>
  <c r="M448" i="53" s="1"/>
  <c r="O448" i="53" s="1"/>
  <c r="N449" i="53" s="1"/>
  <c r="M449" i="53" s="1"/>
  <c r="O449" i="53" s="1"/>
  <c r="N450" i="53" s="1"/>
  <c r="M450" i="53" s="1"/>
  <c r="O450" i="53" s="1"/>
  <c r="N451" i="53" s="1"/>
  <c r="M451" i="53" s="1"/>
  <c r="O451" i="53" s="1"/>
  <c r="N452" i="53" s="1"/>
  <c r="M452" i="53" s="1"/>
  <c r="O452" i="53" s="1"/>
  <c r="N453" i="53" s="1"/>
  <c r="M453" i="53" s="1"/>
  <c r="O453" i="53" s="1"/>
  <c r="AK184" i="53"/>
  <c r="AM184" i="53" s="1"/>
  <c r="AL185" i="53" s="1"/>
  <c r="AK185" i="53" s="1"/>
  <c r="AM185" i="53" s="1"/>
  <c r="AL186" i="53" s="1"/>
  <c r="AK186" i="53" s="1"/>
  <c r="AM186" i="53" s="1"/>
  <c r="AL187" i="53" s="1"/>
  <c r="AK187" i="53" s="1"/>
  <c r="AM187" i="53" s="1"/>
  <c r="AL188" i="53" s="1"/>
  <c r="AK188" i="53" s="1"/>
  <c r="AM188" i="53" s="1"/>
  <c r="AL189" i="53" s="1"/>
  <c r="AK189" i="53" s="1"/>
  <c r="AM189" i="53" s="1"/>
  <c r="AL190" i="53" s="1"/>
  <c r="AK190" i="53" s="1"/>
  <c r="AM190" i="53" s="1"/>
  <c r="AL191" i="53" s="1"/>
  <c r="AK191" i="53" s="1"/>
  <c r="AM191" i="53" s="1"/>
  <c r="AL192" i="53" s="1"/>
  <c r="AK192" i="53" s="1"/>
  <c r="AM192" i="53" s="1"/>
  <c r="AL193" i="53" s="1"/>
  <c r="AK193" i="53" s="1"/>
  <c r="AM193" i="53" s="1"/>
  <c r="AL194" i="53" s="1"/>
  <c r="AK194" i="53" s="1"/>
  <c r="AM194" i="53" s="1"/>
  <c r="AL195" i="53" s="1"/>
  <c r="AK195" i="53" s="1"/>
  <c r="AM195" i="53" s="1"/>
  <c r="AL196" i="53" s="1"/>
  <c r="AK196" i="53" s="1"/>
  <c r="AM196" i="53" s="1"/>
  <c r="AL197" i="53" s="1"/>
  <c r="AK197" i="53" s="1"/>
  <c r="AM197" i="53" s="1"/>
  <c r="AL198" i="53" s="1"/>
  <c r="AK198" i="53" s="1"/>
  <c r="AM198" i="53" s="1"/>
  <c r="AL199" i="53" s="1"/>
  <c r="AK199" i="53" s="1"/>
  <c r="AM199" i="53" s="1"/>
  <c r="AL200" i="53" s="1"/>
  <c r="AK200" i="53" s="1"/>
  <c r="AM200" i="53" s="1"/>
  <c r="AL201" i="53" s="1"/>
  <c r="AK201" i="53" s="1"/>
  <c r="AM201" i="53" s="1"/>
  <c r="AL202" i="53" s="1"/>
  <c r="AK202" i="53" s="1"/>
  <c r="AM202" i="53" s="1"/>
  <c r="AL203" i="53" s="1"/>
  <c r="AK203" i="53" s="1"/>
  <c r="AM203" i="53" s="1"/>
  <c r="AL204" i="53" s="1"/>
  <c r="AK204" i="53" s="1"/>
  <c r="AM204" i="53" s="1"/>
  <c r="AL205" i="53" s="1"/>
  <c r="AK205" i="53" s="1"/>
  <c r="AM205" i="53" s="1"/>
  <c r="AL206" i="53" s="1"/>
  <c r="AK206" i="53" s="1"/>
  <c r="AM206" i="53" s="1"/>
  <c r="AL207" i="53" s="1"/>
  <c r="AK207" i="53" s="1"/>
  <c r="AM207" i="53" s="1"/>
  <c r="AL208" i="53" s="1"/>
  <c r="AK208" i="53" s="1"/>
  <c r="AM208" i="53" s="1"/>
  <c r="AL209" i="53" s="1"/>
  <c r="AK209" i="53" s="1"/>
  <c r="AM209" i="53" s="1"/>
  <c r="AL210" i="53" s="1"/>
  <c r="AK210" i="53" s="1"/>
  <c r="AM210" i="53" s="1"/>
  <c r="AL211" i="53" s="1"/>
  <c r="AK211" i="53" s="1"/>
  <c r="AM211" i="53" s="1"/>
  <c r="AL212" i="53" s="1"/>
  <c r="AK212" i="53" s="1"/>
  <c r="AM212" i="53" s="1"/>
  <c r="AL213" i="53" s="1"/>
  <c r="AK213" i="53" s="1"/>
  <c r="AM213" i="53" s="1"/>
  <c r="AL214" i="53" s="1"/>
  <c r="AK214" i="53" s="1"/>
  <c r="AM214" i="53" s="1"/>
  <c r="AL215" i="53" s="1"/>
  <c r="AK215" i="53" s="1"/>
  <c r="AM215" i="53" s="1"/>
  <c r="AL216" i="53" s="1"/>
  <c r="AK216" i="53" s="1"/>
  <c r="AM216" i="53" s="1"/>
  <c r="AL217" i="53" s="1"/>
  <c r="AK217" i="53" s="1"/>
  <c r="AM217" i="53" s="1"/>
  <c r="AL218" i="53" s="1"/>
  <c r="AK218" i="53" s="1"/>
  <c r="AM218" i="53" s="1"/>
  <c r="AL219" i="53" s="1"/>
  <c r="AK219" i="53" s="1"/>
  <c r="AM219" i="53" s="1"/>
  <c r="AL220" i="53" s="1"/>
  <c r="AK220" i="53" s="1"/>
  <c r="AM220" i="53" s="1"/>
  <c r="AL221" i="53" s="1"/>
  <c r="AK221" i="53" s="1"/>
  <c r="AM221" i="53" s="1"/>
  <c r="AL222" i="53" s="1"/>
  <c r="AK222" i="53" s="1"/>
  <c r="AM222" i="53" s="1"/>
  <c r="AL223" i="53" s="1"/>
  <c r="AK223" i="53" s="1"/>
  <c r="AM223" i="53" s="1"/>
  <c r="AL224" i="53" s="1"/>
  <c r="AK224" i="53" s="1"/>
  <c r="AM224" i="53" s="1"/>
  <c r="AL225" i="53" s="1"/>
  <c r="AK225" i="53" s="1"/>
  <c r="AM225" i="53" s="1"/>
  <c r="AL226" i="53" s="1"/>
  <c r="AK226" i="53" s="1"/>
  <c r="AM226" i="53" s="1"/>
  <c r="AL227" i="53" s="1"/>
  <c r="AK227" i="53" s="1"/>
  <c r="AM227" i="53" s="1"/>
  <c r="AL228" i="53" s="1"/>
  <c r="AK228" i="53" s="1"/>
  <c r="AM228" i="53" s="1"/>
  <c r="AL229" i="53" s="1"/>
  <c r="AK229" i="53" s="1"/>
  <c r="AM229" i="53" s="1"/>
  <c r="AL230" i="53" s="1"/>
  <c r="AK230" i="53" s="1"/>
  <c r="AM230" i="53" s="1"/>
  <c r="AL231" i="53" s="1"/>
  <c r="AK231" i="53" s="1"/>
  <c r="AM231" i="53" s="1"/>
  <c r="AL232" i="53" s="1"/>
  <c r="AK232" i="53" s="1"/>
  <c r="AM232" i="53" s="1"/>
  <c r="AL233" i="53" s="1"/>
  <c r="AK233" i="53" s="1"/>
  <c r="AM233" i="53" s="1"/>
  <c r="AL234" i="53" s="1"/>
  <c r="AK234" i="53" s="1"/>
  <c r="AM234" i="53" s="1"/>
  <c r="AL235" i="53" s="1"/>
  <c r="AK235" i="53" s="1"/>
  <c r="AM235" i="53" s="1"/>
  <c r="AL236" i="53" s="1"/>
  <c r="AK236" i="53" s="1"/>
  <c r="AM236" i="53" s="1"/>
  <c r="AL237" i="53" s="1"/>
  <c r="AK237" i="53" s="1"/>
  <c r="AM237" i="53" s="1"/>
  <c r="AL238" i="53" s="1"/>
  <c r="AK238" i="53" s="1"/>
  <c r="AM238" i="53" s="1"/>
  <c r="AL239" i="53" s="1"/>
  <c r="AK239" i="53" s="1"/>
  <c r="AM239" i="53" s="1"/>
  <c r="AL240" i="53" s="1"/>
  <c r="AK240" i="53" s="1"/>
  <c r="AM240" i="53" s="1"/>
  <c r="AL241" i="53" s="1"/>
  <c r="AK241" i="53" s="1"/>
  <c r="AM241" i="53" s="1"/>
  <c r="AL242" i="53" s="1"/>
  <c r="AK242" i="53" s="1"/>
  <c r="AM242" i="53" s="1"/>
  <c r="AL243" i="53" s="1"/>
  <c r="AK243" i="53" s="1"/>
  <c r="AM243" i="53" s="1"/>
  <c r="AL244" i="53" s="1"/>
  <c r="AK244" i="53" s="1"/>
  <c r="AM244" i="53" s="1"/>
  <c r="AL245" i="53" s="1"/>
  <c r="AK245" i="53" s="1"/>
  <c r="AM245" i="53" s="1"/>
  <c r="AL246" i="53" s="1"/>
  <c r="AK246" i="53" s="1"/>
  <c r="AM246" i="53" s="1"/>
  <c r="AL247" i="53" s="1"/>
  <c r="AK247" i="53" s="1"/>
  <c r="AM247" i="53" s="1"/>
  <c r="AL248" i="53" s="1"/>
  <c r="AK248" i="53" s="1"/>
  <c r="AM248" i="53" s="1"/>
  <c r="AL249" i="53" s="1"/>
  <c r="AK249" i="53" s="1"/>
  <c r="AM249" i="53" s="1"/>
  <c r="AL250" i="53" s="1"/>
  <c r="AK250" i="53" s="1"/>
  <c r="AM250" i="53" s="1"/>
  <c r="AL251" i="53" s="1"/>
  <c r="AK251" i="53" s="1"/>
  <c r="AM251" i="53" s="1"/>
  <c r="AL252" i="53" s="1"/>
  <c r="AK252" i="53" s="1"/>
  <c r="AM252" i="53" s="1"/>
  <c r="AL253" i="53" s="1"/>
  <c r="AK253" i="53" s="1"/>
  <c r="AM253" i="53" s="1"/>
  <c r="AL254" i="53" s="1"/>
  <c r="AK254" i="53" s="1"/>
  <c r="AM254" i="53" s="1"/>
  <c r="AL255" i="53" s="1"/>
  <c r="AK255" i="53" s="1"/>
  <c r="AM255" i="53" s="1"/>
  <c r="AL256" i="53" s="1"/>
  <c r="AK256" i="53" s="1"/>
  <c r="AM256" i="53" s="1"/>
  <c r="AL257" i="53" s="1"/>
  <c r="AK257" i="53" s="1"/>
  <c r="AM257" i="53" s="1"/>
  <c r="AL258" i="53" s="1"/>
  <c r="AK258" i="53" s="1"/>
  <c r="AM258" i="53" s="1"/>
  <c r="AL259" i="53" s="1"/>
  <c r="AK259" i="53" s="1"/>
  <c r="AM259" i="53" s="1"/>
  <c r="AL260" i="53" s="1"/>
  <c r="AK260" i="53" s="1"/>
  <c r="AM260" i="53" s="1"/>
  <c r="AL261" i="53" s="1"/>
  <c r="AK261" i="53" s="1"/>
  <c r="AM261" i="53" s="1"/>
  <c r="AL262" i="53" s="1"/>
  <c r="AK262" i="53" s="1"/>
  <c r="AM262" i="53" s="1"/>
  <c r="AL263" i="53" s="1"/>
  <c r="AK263" i="53" s="1"/>
  <c r="AM263" i="53" s="1"/>
  <c r="AL264" i="53" s="1"/>
  <c r="AK264" i="53" s="1"/>
  <c r="AM264" i="53" s="1"/>
  <c r="AL265" i="53" s="1"/>
  <c r="AK265" i="53" s="1"/>
  <c r="AM265" i="53" s="1"/>
  <c r="AL266" i="53" s="1"/>
  <c r="AK266" i="53" s="1"/>
  <c r="AM266" i="53" s="1"/>
  <c r="AL267" i="53" s="1"/>
  <c r="AK267" i="53" s="1"/>
  <c r="AM267" i="53" s="1"/>
  <c r="AL268" i="53" s="1"/>
  <c r="AK268" i="53" s="1"/>
  <c r="AM268" i="53" s="1"/>
  <c r="AL269" i="53" s="1"/>
  <c r="AK269" i="53" s="1"/>
  <c r="AM269" i="53" s="1"/>
  <c r="AL270" i="53" s="1"/>
  <c r="AK270" i="53" s="1"/>
  <c r="AM270" i="53" s="1"/>
  <c r="AL271" i="53" s="1"/>
  <c r="AK271" i="53" s="1"/>
  <c r="AM271" i="53" s="1"/>
  <c r="AL272" i="53" s="1"/>
  <c r="AK272" i="53" s="1"/>
  <c r="AM272" i="53" s="1"/>
  <c r="AL273" i="53" s="1"/>
  <c r="AK273" i="53" s="1"/>
  <c r="AM273" i="53" s="1"/>
  <c r="AL274" i="53" s="1"/>
  <c r="AK274" i="53" s="1"/>
  <c r="AM274" i="53" s="1"/>
  <c r="AL275" i="53" s="1"/>
  <c r="AK275" i="53" s="1"/>
  <c r="AM275" i="53" s="1"/>
  <c r="AL276" i="53" s="1"/>
  <c r="AK276" i="53" s="1"/>
  <c r="AM276" i="53" s="1"/>
  <c r="AL277" i="53" s="1"/>
  <c r="AK277" i="53" s="1"/>
  <c r="AM277" i="53" s="1"/>
  <c r="AL278" i="53" s="1"/>
  <c r="AK278" i="53" s="1"/>
  <c r="AM278" i="53" s="1"/>
  <c r="AL279" i="53" s="1"/>
  <c r="AK279" i="53" s="1"/>
  <c r="AM279" i="53" s="1"/>
  <c r="AL280" i="53" s="1"/>
  <c r="AK280" i="53" s="1"/>
  <c r="AM280" i="53" s="1"/>
  <c r="AL281" i="53" s="1"/>
  <c r="AK281" i="53" s="1"/>
  <c r="AM281" i="53" s="1"/>
  <c r="AL282" i="53" s="1"/>
  <c r="AK282" i="53" s="1"/>
  <c r="AM282" i="53" s="1"/>
  <c r="AL283" i="53" s="1"/>
  <c r="AK283" i="53" s="1"/>
  <c r="AM283" i="53" s="1"/>
  <c r="AL284" i="53" s="1"/>
  <c r="AK284" i="53" s="1"/>
  <c r="AM284" i="53" s="1"/>
  <c r="AL285" i="53" s="1"/>
  <c r="AK285" i="53" s="1"/>
  <c r="AM285" i="53" s="1"/>
  <c r="AL286" i="53" s="1"/>
  <c r="AK286" i="53" s="1"/>
  <c r="AM286" i="53" s="1"/>
  <c r="AL287" i="53" s="1"/>
  <c r="AK287" i="53" s="1"/>
  <c r="AM287" i="53" s="1"/>
  <c r="AL288" i="53" s="1"/>
  <c r="AK288" i="53" s="1"/>
  <c r="AM288" i="53" s="1"/>
  <c r="AL289" i="53" s="1"/>
  <c r="AK289" i="53" s="1"/>
  <c r="AM289" i="53" s="1"/>
  <c r="AL290" i="53" s="1"/>
  <c r="AK290" i="53" s="1"/>
  <c r="AM290" i="53" s="1"/>
  <c r="AL291" i="53" s="1"/>
  <c r="AK291" i="53" s="1"/>
  <c r="AM291" i="53" s="1"/>
  <c r="AL292" i="53" s="1"/>
  <c r="AK292" i="53" s="1"/>
  <c r="AM292" i="53" s="1"/>
  <c r="AL293" i="53" s="1"/>
  <c r="AK293" i="53" s="1"/>
  <c r="AM293" i="53" s="1"/>
  <c r="AL294" i="53" s="1"/>
  <c r="AK294" i="53" s="1"/>
  <c r="AM294" i="53" s="1"/>
  <c r="AL295" i="53" s="1"/>
  <c r="AK295" i="53" s="1"/>
  <c r="AM295" i="53" s="1"/>
  <c r="AL296" i="53" s="1"/>
  <c r="AK296" i="53" s="1"/>
  <c r="AM296" i="53" s="1"/>
  <c r="AL297" i="53" s="1"/>
  <c r="AK297" i="53" s="1"/>
  <c r="AM297" i="53" s="1"/>
  <c r="AL298" i="53" s="1"/>
  <c r="AK298" i="53" s="1"/>
  <c r="AM298" i="53" s="1"/>
  <c r="AL299" i="53" s="1"/>
  <c r="AK299" i="53" s="1"/>
  <c r="AM299" i="53" s="1"/>
  <c r="AL300" i="53" s="1"/>
  <c r="AK300" i="53" s="1"/>
  <c r="AM300" i="53" s="1"/>
  <c r="AL301" i="53" s="1"/>
  <c r="AK301" i="53" s="1"/>
  <c r="AM301" i="53" s="1"/>
  <c r="AL302" i="53" s="1"/>
  <c r="AK302" i="53" s="1"/>
  <c r="AM302" i="53" s="1"/>
  <c r="AL303" i="53" s="1"/>
  <c r="AK303" i="53" s="1"/>
  <c r="AM303" i="53" s="1"/>
  <c r="AL304" i="53" s="1"/>
  <c r="AK304" i="53" s="1"/>
  <c r="AM304" i="53" s="1"/>
  <c r="AL305" i="53" s="1"/>
  <c r="AK305" i="53" s="1"/>
  <c r="AM305" i="53" s="1"/>
  <c r="AL306" i="53" s="1"/>
  <c r="AK306" i="53" s="1"/>
  <c r="AM306" i="53" s="1"/>
  <c r="AL307" i="53" s="1"/>
  <c r="AK307" i="53" s="1"/>
  <c r="AM307" i="53" s="1"/>
  <c r="AL308" i="53" s="1"/>
  <c r="AK308" i="53" s="1"/>
  <c r="AM308" i="53" s="1"/>
  <c r="AL309" i="53" s="1"/>
  <c r="AK309" i="53" s="1"/>
  <c r="AM309" i="53" s="1"/>
  <c r="AL310" i="53" s="1"/>
  <c r="AK310" i="53" s="1"/>
  <c r="AM310" i="53" s="1"/>
  <c r="AL311" i="53" s="1"/>
  <c r="AK311" i="53" s="1"/>
  <c r="AM311" i="53" s="1"/>
  <c r="AL312" i="53" s="1"/>
  <c r="AK312" i="53" s="1"/>
  <c r="AM312" i="53" s="1"/>
  <c r="AL313" i="53" s="1"/>
  <c r="AK313" i="53" s="1"/>
  <c r="AM313" i="53" s="1"/>
  <c r="AL314" i="53" s="1"/>
  <c r="AK314" i="53" s="1"/>
  <c r="AM314" i="53" s="1"/>
  <c r="AL315" i="53" s="1"/>
  <c r="AK315" i="53" s="1"/>
  <c r="AM315" i="53" s="1"/>
  <c r="AL316" i="53" s="1"/>
  <c r="AK316" i="53" s="1"/>
  <c r="AM316" i="53" s="1"/>
  <c r="AL317" i="53" s="1"/>
  <c r="AK317" i="53" s="1"/>
  <c r="AM317" i="53" s="1"/>
  <c r="AL318" i="53" s="1"/>
  <c r="AK318" i="53" s="1"/>
  <c r="AM318" i="53" s="1"/>
  <c r="AL319" i="53" s="1"/>
  <c r="AK319" i="53" s="1"/>
  <c r="AM319" i="53" s="1"/>
  <c r="AL320" i="53" s="1"/>
  <c r="AK320" i="53" s="1"/>
  <c r="AM320" i="53" s="1"/>
  <c r="AL321" i="53" s="1"/>
  <c r="AK321" i="53" s="1"/>
  <c r="AM321" i="53" s="1"/>
  <c r="AL322" i="53" s="1"/>
  <c r="AK322" i="53" s="1"/>
  <c r="AM322" i="53" s="1"/>
  <c r="AL323" i="53" s="1"/>
  <c r="AK323" i="53" s="1"/>
  <c r="AM323" i="53" s="1"/>
  <c r="AL324" i="53" s="1"/>
  <c r="AK324" i="53" s="1"/>
  <c r="AM324" i="53" s="1"/>
  <c r="AL325" i="53" s="1"/>
  <c r="AK325" i="53" s="1"/>
  <c r="AM325" i="53" s="1"/>
  <c r="AL326" i="53" s="1"/>
  <c r="AK326" i="53" s="1"/>
  <c r="AM326" i="53" s="1"/>
  <c r="AL327" i="53" s="1"/>
  <c r="AK327" i="53" s="1"/>
  <c r="AM327" i="53" s="1"/>
  <c r="AL328" i="53" s="1"/>
  <c r="AK328" i="53" s="1"/>
  <c r="AM328" i="53" s="1"/>
  <c r="AL329" i="53" s="1"/>
  <c r="AK329" i="53" s="1"/>
  <c r="AM329" i="53" s="1"/>
  <c r="AL330" i="53" s="1"/>
  <c r="AK330" i="53" s="1"/>
  <c r="AM330" i="53" s="1"/>
  <c r="AL331" i="53" s="1"/>
  <c r="AK331" i="53" s="1"/>
  <c r="AM331" i="53" s="1"/>
  <c r="AL332" i="53" s="1"/>
  <c r="AK332" i="53" s="1"/>
  <c r="AM332" i="53" s="1"/>
  <c r="AL333" i="53" s="1"/>
  <c r="AK333" i="53" s="1"/>
  <c r="AM333" i="53" s="1"/>
  <c r="AL334" i="53" s="1"/>
  <c r="AK334" i="53" s="1"/>
  <c r="AM334" i="53" s="1"/>
  <c r="AL335" i="53" s="1"/>
  <c r="AK335" i="53" s="1"/>
  <c r="AM335" i="53" s="1"/>
  <c r="AL336" i="53" s="1"/>
  <c r="AK336" i="53" s="1"/>
  <c r="AM336" i="53" s="1"/>
  <c r="AL337" i="53" s="1"/>
  <c r="AK337" i="53" s="1"/>
  <c r="AM337" i="53" s="1"/>
  <c r="AL338" i="53" s="1"/>
  <c r="AK338" i="53" s="1"/>
  <c r="AM338" i="53" s="1"/>
  <c r="AL339" i="53" s="1"/>
  <c r="AK339" i="53" s="1"/>
  <c r="AM339" i="53" s="1"/>
  <c r="AL340" i="53" s="1"/>
  <c r="AK340" i="53" s="1"/>
  <c r="AM340" i="53" s="1"/>
  <c r="AL341" i="53" s="1"/>
  <c r="AK341" i="53" s="1"/>
  <c r="AM341" i="53" s="1"/>
  <c r="AL342" i="53" s="1"/>
  <c r="AK342" i="53" s="1"/>
  <c r="AM342" i="53" s="1"/>
  <c r="AL343" i="53" s="1"/>
  <c r="AK343" i="53" s="1"/>
  <c r="AM343" i="53" s="1"/>
  <c r="AL344" i="53" s="1"/>
  <c r="AK344" i="53" s="1"/>
  <c r="AM344" i="53" s="1"/>
  <c r="AL345" i="53" s="1"/>
  <c r="AK345" i="53" s="1"/>
  <c r="AM345" i="53" s="1"/>
  <c r="AL346" i="53" s="1"/>
  <c r="AK346" i="53" s="1"/>
  <c r="AM346" i="53" s="1"/>
  <c r="AL347" i="53" s="1"/>
  <c r="AK347" i="53" s="1"/>
  <c r="AM347" i="53" s="1"/>
  <c r="AL348" i="53" s="1"/>
  <c r="AK348" i="53" s="1"/>
  <c r="AM348" i="53" s="1"/>
  <c r="AL349" i="53" s="1"/>
  <c r="AK349" i="53" s="1"/>
  <c r="AM349" i="53" s="1"/>
  <c r="AL350" i="53" s="1"/>
  <c r="AK350" i="53" s="1"/>
  <c r="AM350" i="53" s="1"/>
  <c r="AL351" i="53" s="1"/>
  <c r="AK351" i="53" s="1"/>
  <c r="AM351" i="53" s="1"/>
  <c r="AL352" i="53" s="1"/>
  <c r="AK352" i="53" s="1"/>
  <c r="AM352" i="53" s="1"/>
  <c r="AL353" i="53" s="1"/>
  <c r="AK353" i="53" s="1"/>
  <c r="AM353" i="53" s="1"/>
  <c r="AL354" i="53" s="1"/>
  <c r="AK354" i="53" s="1"/>
  <c r="AM354" i="53" s="1"/>
  <c r="AL355" i="53" s="1"/>
  <c r="AK355" i="53" s="1"/>
  <c r="AM355" i="53" s="1"/>
  <c r="AL356" i="53" s="1"/>
  <c r="AK356" i="53" s="1"/>
  <c r="AM356" i="53" s="1"/>
  <c r="AL357" i="53" s="1"/>
  <c r="AK357" i="53" s="1"/>
  <c r="AM357" i="53" s="1"/>
  <c r="AL358" i="53" s="1"/>
  <c r="AK358" i="53" s="1"/>
  <c r="AM358" i="53" s="1"/>
  <c r="AL359" i="53" s="1"/>
  <c r="AK359" i="53" s="1"/>
  <c r="AM359" i="53" s="1"/>
  <c r="AL360" i="53" s="1"/>
  <c r="AK360" i="53" s="1"/>
  <c r="AM360" i="53" s="1"/>
  <c r="AL361" i="53" s="1"/>
  <c r="AK361" i="53" s="1"/>
  <c r="AM361" i="53" s="1"/>
  <c r="AL362" i="53" s="1"/>
  <c r="AK362" i="53" s="1"/>
  <c r="AM362" i="53" s="1"/>
  <c r="AL363" i="53" s="1"/>
  <c r="AK363" i="53" s="1"/>
  <c r="AM363" i="53" s="1"/>
  <c r="AL364" i="53" s="1"/>
  <c r="AK364" i="53" s="1"/>
  <c r="AM364" i="53" s="1"/>
  <c r="AL365" i="53" s="1"/>
  <c r="AK365" i="53" s="1"/>
  <c r="AM365" i="53" s="1"/>
  <c r="AL366" i="53" s="1"/>
  <c r="AK366" i="53" s="1"/>
  <c r="AM366" i="53" s="1"/>
  <c r="AL367" i="53" s="1"/>
  <c r="AK367" i="53" s="1"/>
  <c r="AM367" i="53" s="1"/>
  <c r="AL368" i="53" s="1"/>
  <c r="AK368" i="53" s="1"/>
  <c r="AM368" i="53" s="1"/>
  <c r="AL369" i="53" s="1"/>
  <c r="AK369" i="53" s="1"/>
  <c r="AM369" i="53" s="1"/>
  <c r="AL370" i="53" s="1"/>
  <c r="AK370" i="53" s="1"/>
  <c r="AM370" i="53" s="1"/>
  <c r="AL371" i="53" s="1"/>
  <c r="AK371" i="53" s="1"/>
  <c r="AM371" i="53" s="1"/>
  <c r="AL372" i="53" s="1"/>
  <c r="AK372" i="53" s="1"/>
  <c r="AM372" i="53" s="1"/>
  <c r="AL373" i="53" s="1"/>
  <c r="AK373" i="53" s="1"/>
  <c r="AM373" i="53" s="1"/>
  <c r="AL374" i="53" s="1"/>
  <c r="AK374" i="53" s="1"/>
  <c r="AM374" i="53" s="1"/>
  <c r="AL375" i="53" s="1"/>
  <c r="AK375" i="53" s="1"/>
  <c r="AM375" i="53" s="1"/>
  <c r="AL376" i="53" s="1"/>
  <c r="AK376" i="53" s="1"/>
  <c r="AM376" i="53" s="1"/>
  <c r="AL377" i="53" s="1"/>
  <c r="AK377" i="53" s="1"/>
  <c r="AM377" i="53" s="1"/>
  <c r="AL378" i="53" s="1"/>
  <c r="AK378" i="53" s="1"/>
  <c r="AM378" i="53" s="1"/>
  <c r="AL379" i="53" s="1"/>
  <c r="AK379" i="53" s="1"/>
  <c r="AM379" i="53" s="1"/>
  <c r="AL380" i="53" s="1"/>
  <c r="AK380" i="53" s="1"/>
  <c r="AM380" i="53" s="1"/>
  <c r="AL381" i="53" s="1"/>
  <c r="AK381" i="53" s="1"/>
  <c r="AM381" i="53" s="1"/>
  <c r="AL382" i="53" s="1"/>
  <c r="AK382" i="53" s="1"/>
  <c r="AM382" i="53" s="1"/>
  <c r="AL383" i="53" s="1"/>
  <c r="AK383" i="53" s="1"/>
  <c r="AM383" i="53" s="1"/>
  <c r="AL384" i="53" s="1"/>
  <c r="AK384" i="53" s="1"/>
  <c r="AM384" i="53" s="1"/>
  <c r="AL385" i="53" s="1"/>
  <c r="AK385" i="53" s="1"/>
  <c r="AM385" i="53" s="1"/>
  <c r="AL386" i="53" s="1"/>
  <c r="AK386" i="53" s="1"/>
  <c r="AM386" i="53" s="1"/>
  <c r="AL387" i="53" s="1"/>
  <c r="AK387" i="53" s="1"/>
  <c r="AM387" i="53" s="1"/>
  <c r="AL388" i="53" s="1"/>
  <c r="AK388" i="53" s="1"/>
  <c r="AM388" i="53" s="1"/>
  <c r="AL389" i="53" s="1"/>
  <c r="AK389" i="53" s="1"/>
  <c r="AM389" i="53" s="1"/>
  <c r="AL390" i="53" s="1"/>
  <c r="AK390" i="53" s="1"/>
  <c r="AM390" i="53" s="1"/>
  <c r="AL391" i="53" s="1"/>
  <c r="AK391" i="53" s="1"/>
  <c r="AM391" i="53" s="1"/>
  <c r="AL392" i="53" s="1"/>
  <c r="AK392" i="53" s="1"/>
  <c r="AM392" i="53" s="1"/>
  <c r="AL393" i="53" s="1"/>
  <c r="AK393" i="53" s="1"/>
  <c r="AM393" i="53" s="1"/>
  <c r="AL394" i="53" s="1"/>
  <c r="AK394" i="53" s="1"/>
  <c r="AM394" i="53" s="1"/>
  <c r="AL395" i="53" s="1"/>
  <c r="AK395" i="53" s="1"/>
  <c r="AM395" i="53" s="1"/>
  <c r="AL396" i="53" s="1"/>
  <c r="AK396" i="53" s="1"/>
  <c r="AM396" i="53" s="1"/>
  <c r="AL397" i="53" s="1"/>
  <c r="AK397" i="53" s="1"/>
  <c r="AM397" i="53" s="1"/>
  <c r="AL398" i="53" s="1"/>
  <c r="AK398" i="53" s="1"/>
  <c r="AM398" i="53" s="1"/>
  <c r="AL399" i="53" s="1"/>
  <c r="AK399" i="53" s="1"/>
  <c r="AM399" i="53" s="1"/>
  <c r="AL400" i="53" s="1"/>
  <c r="AK400" i="53" s="1"/>
  <c r="AM400" i="53" s="1"/>
  <c r="AL401" i="53" s="1"/>
  <c r="AK401" i="53" s="1"/>
  <c r="AM401" i="53" s="1"/>
  <c r="AL402" i="53" s="1"/>
  <c r="AK402" i="53" s="1"/>
  <c r="AM402" i="53" s="1"/>
  <c r="AL403" i="53" s="1"/>
  <c r="AK403" i="53" s="1"/>
  <c r="AM403" i="53" s="1"/>
  <c r="AL404" i="53" s="1"/>
  <c r="AK404" i="53" s="1"/>
  <c r="AM404" i="53" s="1"/>
  <c r="AL405" i="53" s="1"/>
  <c r="AK405" i="53" s="1"/>
  <c r="AM405" i="53" s="1"/>
  <c r="AL406" i="53" s="1"/>
  <c r="AK406" i="53" s="1"/>
  <c r="AM406" i="53" s="1"/>
  <c r="AL407" i="53" s="1"/>
  <c r="AK407" i="53" s="1"/>
  <c r="AM407" i="53" s="1"/>
  <c r="AL408" i="53" s="1"/>
  <c r="AK408" i="53" s="1"/>
  <c r="AM408" i="53" s="1"/>
  <c r="AL409" i="53" s="1"/>
  <c r="AK409" i="53" s="1"/>
  <c r="AM409" i="53" s="1"/>
  <c r="AL410" i="53" s="1"/>
  <c r="AK410" i="53" s="1"/>
  <c r="AM410" i="53" s="1"/>
  <c r="AL411" i="53" s="1"/>
  <c r="AK411" i="53" s="1"/>
  <c r="AM411" i="53" s="1"/>
  <c r="AL412" i="53" s="1"/>
  <c r="AK412" i="53" s="1"/>
  <c r="AM412" i="53" s="1"/>
  <c r="AL413" i="53" s="1"/>
  <c r="AK413" i="53" s="1"/>
  <c r="AM413" i="53" s="1"/>
  <c r="AL414" i="53" s="1"/>
  <c r="AK414" i="53" s="1"/>
  <c r="AM414" i="53" s="1"/>
  <c r="AL415" i="53" s="1"/>
  <c r="AK415" i="53" s="1"/>
  <c r="AM415" i="53" s="1"/>
  <c r="AL416" i="53" s="1"/>
  <c r="AK416" i="53" s="1"/>
  <c r="AM416" i="53" s="1"/>
  <c r="AL417" i="53" s="1"/>
  <c r="AK417" i="53" s="1"/>
  <c r="AM417" i="53" s="1"/>
  <c r="AL418" i="53" s="1"/>
  <c r="AK418" i="53" s="1"/>
  <c r="AM418" i="53" s="1"/>
  <c r="AL419" i="53" s="1"/>
  <c r="AK419" i="53" s="1"/>
  <c r="AM419" i="53" s="1"/>
  <c r="AL420" i="53" s="1"/>
  <c r="AK420" i="53" s="1"/>
  <c r="AM420" i="53" s="1"/>
  <c r="AL421" i="53" s="1"/>
  <c r="AK421" i="53" s="1"/>
  <c r="AM421" i="53" s="1"/>
  <c r="AL422" i="53" s="1"/>
  <c r="AK422" i="53" s="1"/>
  <c r="AM422" i="53" s="1"/>
  <c r="AL423" i="53" s="1"/>
  <c r="AK423" i="53" s="1"/>
  <c r="AM423" i="53" s="1"/>
  <c r="AL424" i="53" s="1"/>
  <c r="AK424" i="53" s="1"/>
  <c r="AM424" i="53" s="1"/>
  <c r="AL425" i="53" s="1"/>
  <c r="AK425" i="53" s="1"/>
  <c r="AM425" i="53" s="1"/>
  <c r="AL426" i="53" s="1"/>
  <c r="AK426" i="53" s="1"/>
  <c r="AM426" i="53" s="1"/>
  <c r="AL427" i="53" s="1"/>
  <c r="AK427" i="53" s="1"/>
  <c r="AM427" i="53" s="1"/>
  <c r="AL428" i="53" s="1"/>
  <c r="AK428" i="53" s="1"/>
  <c r="AM428" i="53" s="1"/>
  <c r="AL429" i="53" s="1"/>
  <c r="AK429" i="53" s="1"/>
  <c r="AM429" i="53" s="1"/>
  <c r="AL430" i="53" s="1"/>
  <c r="AK430" i="53" s="1"/>
  <c r="AM430" i="53" s="1"/>
  <c r="AL431" i="53" s="1"/>
  <c r="AK431" i="53" s="1"/>
  <c r="AM431" i="53" s="1"/>
  <c r="AL432" i="53" s="1"/>
  <c r="AK432" i="53" s="1"/>
  <c r="AM432" i="53" s="1"/>
  <c r="AL433" i="53" s="1"/>
  <c r="AK433" i="53" s="1"/>
  <c r="AM433" i="53" s="1"/>
  <c r="AL434" i="53" s="1"/>
  <c r="AK434" i="53" s="1"/>
  <c r="AM434" i="53" s="1"/>
  <c r="AL435" i="53" s="1"/>
  <c r="AK435" i="53" s="1"/>
  <c r="AM435" i="53" s="1"/>
  <c r="AL436" i="53" s="1"/>
  <c r="AK436" i="53" s="1"/>
  <c r="AM436" i="53" s="1"/>
  <c r="AL437" i="53" s="1"/>
  <c r="AK437" i="53" s="1"/>
  <c r="AM437" i="53" s="1"/>
  <c r="AL438" i="53" s="1"/>
  <c r="AK438" i="53" s="1"/>
  <c r="AM438" i="53" s="1"/>
  <c r="AL439" i="53" s="1"/>
  <c r="AK439" i="53" s="1"/>
  <c r="AM439" i="53" s="1"/>
  <c r="AL440" i="53" s="1"/>
  <c r="AK440" i="53" s="1"/>
  <c r="AM440" i="53" s="1"/>
  <c r="AL441" i="53" s="1"/>
  <c r="AK441" i="53" s="1"/>
  <c r="AM441" i="53" s="1"/>
  <c r="AL442" i="53" s="1"/>
  <c r="AK442" i="53" s="1"/>
  <c r="AM442" i="53" s="1"/>
  <c r="AL443" i="53" s="1"/>
  <c r="AK443" i="53" s="1"/>
  <c r="AM443" i="53" s="1"/>
  <c r="AL444" i="53" s="1"/>
  <c r="AK444" i="53" s="1"/>
  <c r="AM444" i="53" s="1"/>
  <c r="AL445" i="53" s="1"/>
  <c r="AK445" i="53" s="1"/>
  <c r="AM445" i="53" s="1"/>
  <c r="AL446" i="53" s="1"/>
  <c r="AK446" i="53" s="1"/>
  <c r="AM446" i="53" s="1"/>
  <c r="AL447" i="53" s="1"/>
  <c r="AK447" i="53" s="1"/>
  <c r="AM447" i="53" s="1"/>
  <c r="AL448" i="53" s="1"/>
  <c r="AK448" i="53" s="1"/>
  <c r="AM448" i="53" s="1"/>
  <c r="AL449" i="53" s="1"/>
  <c r="AK449" i="53" s="1"/>
  <c r="AM449" i="53" s="1"/>
  <c r="AL450" i="53" s="1"/>
  <c r="AK450" i="53" s="1"/>
  <c r="AM450" i="53" s="1"/>
  <c r="AL451" i="53" s="1"/>
  <c r="AK451" i="53" s="1"/>
  <c r="AM451" i="53" s="1"/>
  <c r="AL452" i="53" s="1"/>
  <c r="AK452" i="53" s="1"/>
  <c r="AM452" i="53" s="1"/>
  <c r="AL453" i="53" s="1"/>
  <c r="AK453" i="53" s="1"/>
  <c r="AM453" i="53" s="1"/>
  <c r="AW193" i="53"/>
  <c r="AY193" i="53" s="1"/>
  <c r="AX194" i="53" s="1"/>
  <c r="AW194" i="53" s="1"/>
  <c r="AY194" i="53" s="1"/>
  <c r="AX195" i="53" s="1"/>
  <c r="AW195" i="53" s="1"/>
  <c r="AY195" i="53" s="1"/>
  <c r="AX196" i="53" s="1"/>
  <c r="AW196" i="53" s="1"/>
  <c r="AY196" i="53" s="1"/>
  <c r="AX197" i="53" s="1"/>
  <c r="AW197" i="53" s="1"/>
  <c r="AY197" i="53" s="1"/>
  <c r="AX198" i="53" s="1"/>
  <c r="AW198" i="53" s="1"/>
  <c r="AY198" i="53" s="1"/>
  <c r="AX199" i="53" s="1"/>
  <c r="AW199" i="53" s="1"/>
  <c r="AY199" i="53" s="1"/>
  <c r="AX200" i="53" s="1"/>
  <c r="AW200" i="53" s="1"/>
  <c r="AY200" i="53" s="1"/>
  <c r="AX201" i="53" s="1"/>
  <c r="AW201" i="53" s="1"/>
  <c r="AY201" i="53" s="1"/>
  <c r="AX202" i="53" s="1"/>
  <c r="AW202" i="53" s="1"/>
  <c r="AY202" i="53" s="1"/>
  <c r="AX203" i="53" s="1"/>
  <c r="AW203" i="53" s="1"/>
  <c r="AY203" i="53" s="1"/>
  <c r="AX204" i="53" s="1"/>
  <c r="AW204" i="53" s="1"/>
  <c r="AY204" i="53" s="1"/>
  <c r="AX205" i="53" s="1"/>
  <c r="AW205" i="53" s="1"/>
  <c r="AY205" i="53" s="1"/>
  <c r="AX206" i="53" s="1"/>
  <c r="AW206" i="53" s="1"/>
  <c r="AY206" i="53" s="1"/>
  <c r="AX207" i="53" s="1"/>
  <c r="AW207" i="53" s="1"/>
  <c r="AY207" i="53" s="1"/>
  <c r="AX208" i="53" s="1"/>
  <c r="AW208" i="53" s="1"/>
  <c r="AY208" i="53" s="1"/>
  <c r="AX209" i="53" s="1"/>
  <c r="AW209" i="53" s="1"/>
  <c r="AY209" i="53" s="1"/>
  <c r="AX210" i="53" s="1"/>
  <c r="AW210" i="53" s="1"/>
  <c r="AY210" i="53" s="1"/>
  <c r="AX211" i="53" s="1"/>
  <c r="AW211" i="53" s="1"/>
  <c r="AY211" i="53" s="1"/>
  <c r="AX212" i="53" s="1"/>
  <c r="AW212" i="53" s="1"/>
  <c r="AY212" i="53" s="1"/>
  <c r="AX213" i="53" s="1"/>
  <c r="AW213" i="53" s="1"/>
  <c r="AY213" i="53" s="1"/>
  <c r="AX214" i="53" s="1"/>
  <c r="AW214" i="53" s="1"/>
  <c r="AY214" i="53" s="1"/>
  <c r="AX215" i="53" s="1"/>
  <c r="AW215" i="53" s="1"/>
  <c r="AY215" i="53" s="1"/>
  <c r="AX216" i="53" s="1"/>
  <c r="AW216" i="53" s="1"/>
  <c r="AY216" i="53" s="1"/>
  <c r="AX217" i="53" s="1"/>
  <c r="AW217" i="53" s="1"/>
  <c r="AY217" i="53" s="1"/>
  <c r="AX218" i="53" s="1"/>
  <c r="AW218" i="53" s="1"/>
  <c r="AY218" i="53" s="1"/>
  <c r="AX219" i="53" s="1"/>
  <c r="AW219" i="53" s="1"/>
  <c r="AY219" i="53" s="1"/>
  <c r="AX220" i="53" s="1"/>
  <c r="AW220" i="53" s="1"/>
  <c r="AY220" i="53" s="1"/>
  <c r="AX221" i="53" s="1"/>
  <c r="AW221" i="53" s="1"/>
  <c r="AY221" i="53" s="1"/>
  <c r="AX222" i="53" s="1"/>
  <c r="AW222" i="53" s="1"/>
  <c r="AY222" i="53" s="1"/>
  <c r="AX223" i="53" s="1"/>
  <c r="AW223" i="53" s="1"/>
  <c r="AY223" i="53" s="1"/>
  <c r="AX224" i="53" s="1"/>
  <c r="AW224" i="53" s="1"/>
  <c r="AY224" i="53" s="1"/>
  <c r="AX225" i="53" s="1"/>
  <c r="AW225" i="53" s="1"/>
  <c r="AY225" i="53" s="1"/>
  <c r="AX226" i="53" s="1"/>
  <c r="AW226" i="53" s="1"/>
  <c r="AY226" i="53" s="1"/>
  <c r="AX227" i="53" s="1"/>
  <c r="AW227" i="53" s="1"/>
  <c r="AY227" i="53" s="1"/>
  <c r="AX228" i="53" s="1"/>
  <c r="AW228" i="53" s="1"/>
  <c r="AY228" i="53" s="1"/>
  <c r="AX229" i="53" s="1"/>
  <c r="AW229" i="53" s="1"/>
  <c r="AY229" i="53" s="1"/>
  <c r="AX230" i="53" s="1"/>
  <c r="AW230" i="53" s="1"/>
  <c r="AY230" i="53" s="1"/>
  <c r="AX231" i="53" s="1"/>
  <c r="AW231" i="53" s="1"/>
  <c r="AY231" i="53" s="1"/>
  <c r="AX232" i="53" s="1"/>
  <c r="AW232" i="53" s="1"/>
  <c r="AY232" i="53" s="1"/>
  <c r="AX233" i="53" s="1"/>
  <c r="AW233" i="53" s="1"/>
  <c r="AY233" i="53" s="1"/>
  <c r="AX234" i="53" s="1"/>
  <c r="AW234" i="53" s="1"/>
  <c r="AY234" i="53" s="1"/>
  <c r="AX235" i="53" s="1"/>
  <c r="AW235" i="53" s="1"/>
  <c r="AY235" i="53" s="1"/>
  <c r="AX236" i="53" s="1"/>
  <c r="AW236" i="53" s="1"/>
  <c r="AY236" i="53" s="1"/>
  <c r="AX237" i="53" s="1"/>
  <c r="AW237" i="53" s="1"/>
  <c r="AY237" i="53" s="1"/>
  <c r="AX238" i="53" s="1"/>
  <c r="AW238" i="53" s="1"/>
  <c r="AY238" i="53" s="1"/>
  <c r="AX239" i="53" s="1"/>
  <c r="AW239" i="53" s="1"/>
  <c r="AY239" i="53" s="1"/>
  <c r="AX240" i="53" s="1"/>
  <c r="AW240" i="53" s="1"/>
  <c r="AY240" i="53" s="1"/>
  <c r="AX241" i="53" s="1"/>
  <c r="AW241" i="53" s="1"/>
  <c r="AY241" i="53" s="1"/>
  <c r="AX242" i="53" s="1"/>
  <c r="AW242" i="53" s="1"/>
  <c r="AY242" i="53" s="1"/>
  <c r="AX243" i="53" s="1"/>
  <c r="AW243" i="53" s="1"/>
  <c r="AY243" i="53" s="1"/>
  <c r="AX244" i="53" s="1"/>
  <c r="AW244" i="53" s="1"/>
  <c r="AY244" i="53" s="1"/>
  <c r="AX245" i="53" s="1"/>
  <c r="AW245" i="53" s="1"/>
  <c r="AY245" i="53" s="1"/>
  <c r="AX246" i="53" s="1"/>
  <c r="AW246" i="53" s="1"/>
  <c r="AY246" i="53" s="1"/>
  <c r="AX247" i="53" s="1"/>
  <c r="AW247" i="53" s="1"/>
  <c r="AY247" i="53" s="1"/>
  <c r="AX248" i="53" s="1"/>
  <c r="AW248" i="53" s="1"/>
  <c r="AY248" i="53" s="1"/>
  <c r="AX249" i="53" s="1"/>
  <c r="AW249" i="53" s="1"/>
  <c r="AY249" i="53" s="1"/>
  <c r="AX250" i="53" s="1"/>
  <c r="AW250" i="53" s="1"/>
  <c r="AY250" i="53" s="1"/>
  <c r="AX251" i="53" s="1"/>
  <c r="AW251" i="53" s="1"/>
  <c r="AY251" i="53" s="1"/>
  <c r="AX252" i="53" s="1"/>
  <c r="AW252" i="53" s="1"/>
  <c r="AY252" i="53" s="1"/>
  <c r="AX253" i="53" s="1"/>
  <c r="AW253" i="53" s="1"/>
  <c r="AY253" i="53" s="1"/>
  <c r="AX254" i="53" s="1"/>
  <c r="AW254" i="53" s="1"/>
  <c r="AY254" i="53" s="1"/>
  <c r="AX255" i="53" s="1"/>
  <c r="AW255" i="53" s="1"/>
  <c r="AY255" i="53" s="1"/>
  <c r="AX256" i="53" s="1"/>
  <c r="AW256" i="53" s="1"/>
  <c r="AY256" i="53" s="1"/>
  <c r="AX257" i="53" s="1"/>
  <c r="AW257" i="53" s="1"/>
  <c r="AY257" i="53" s="1"/>
  <c r="AX258" i="53" s="1"/>
  <c r="AW258" i="53" s="1"/>
  <c r="AY258" i="53" s="1"/>
  <c r="AX259" i="53" s="1"/>
  <c r="AW259" i="53" s="1"/>
  <c r="AY259" i="53" s="1"/>
  <c r="AX260" i="53" s="1"/>
  <c r="AW260" i="53" s="1"/>
  <c r="AY260" i="53" s="1"/>
  <c r="AX261" i="53" s="1"/>
  <c r="AW261" i="53" s="1"/>
  <c r="AY261" i="53" s="1"/>
  <c r="AX262" i="53" s="1"/>
  <c r="AW262" i="53" s="1"/>
  <c r="AY262" i="53" s="1"/>
  <c r="AX263" i="53" s="1"/>
  <c r="AW263" i="53" s="1"/>
  <c r="AY263" i="53" s="1"/>
  <c r="AX264" i="53" s="1"/>
  <c r="AW264" i="53" s="1"/>
  <c r="AY264" i="53" s="1"/>
  <c r="AX265" i="53" s="1"/>
  <c r="AW265" i="53" s="1"/>
  <c r="AY265" i="53" s="1"/>
  <c r="AX266" i="53" s="1"/>
  <c r="AW266" i="53" s="1"/>
  <c r="AY266" i="53" s="1"/>
  <c r="AX267" i="53" s="1"/>
  <c r="AW267" i="53" s="1"/>
  <c r="AY267" i="53" s="1"/>
  <c r="AX268" i="53" s="1"/>
  <c r="AW268" i="53" s="1"/>
  <c r="AY268" i="53" s="1"/>
  <c r="AX269" i="53" s="1"/>
  <c r="AW269" i="53" s="1"/>
  <c r="AY269" i="53" s="1"/>
  <c r="AX270" i="53" s="1"/>
  <c r="AW270" i="53" s="1"/>
  <c r="AY270" i="53" s="1"/>
  <c r="AX271" i="53" s="1"/>
  <c r="AW271" i="53" s="1"/>
  <c r="AY271" i="53" s="1"/>
  <c r="AX272" i="53" s="1"/>
  <c r="AW272" i="53" s="1"/>
  <c r="AY272" i="53" s="1"/>
  <c r="AX273" i="53" s="1"/>
  <c r="AW273" i="53" s="1"/>
  <c r="AY273" i="53" s="1"/>
  <c r="AX274" i="53" s="1"/>
  <c r="AW274" i="53" s="1"/>
  <c r="AY274" i="53" s="1"/>
  <c r="AX275" i="53" s="1"/>
  <c r="AW275" i="53" s="1"/>
  <c r="AY275" i="53" s="1"/>
  <c r="AX276" i="53" s="1"/>
  <c r="AW276" i="53" s="1"/>
  <c r="AY276" i="53" s="1"/>
  <c r="AX277" i="53" s="1"/>
  <c r="AW277" i="53" s="1"/>
  <c r="AY277" i="53" s="1"/>
  <c r="AX278" i="53" s="1"/>
  <c r="AW278" i="53" s="1"/>
  <c r="AY278" i="53" s="1"/>
  <c r="AX279" i="53" s="1"/>
  <c r="AW279" i="53" s="1"/>
  <c r="AY279" i="53" s="1"/>
  <c r="AX280" i="53" s="1"/>
  <c r="AW280" i="53" s="1"/>
  <c r="AY280" i="53" s="1"/>
  <c r="AX281" i="53" s="1"/>
  <c r="AW281" i="53" s="1"/>
  <c r="AY281" i="53" s="1"/>
  <c r="AX282" i="53" s="1"/>
  <c r="AW282" i="53" s="1"/>
  <c r="AY282" i="53" s="1"/>
  <c r="AX283" i="53" s="1"/>
  <c r="AW283" i="53" s="1"/>
  <c r="AY283" i="53" s="1"/>
  <c r="AX284" i="53" s="1"/>
  <c r="AW284" i="53" s="1"/>
  <c r="AY284" i="53" s="1"/>
  <c r="AX285" i="53" s="1"/>
  <c r="AW285" i="53" s="1"/>
  <c r="AY285" i="53" s="1"/>
  <c r="AX286" i="53" s="1"/>
  <c r="AW286" i="53" s="1"/>
  <c r="AY286" i="53" s="1"/>
  <c r="AX287" i="53" s="1"/>
  <c r="AW287" i="53" s="1"/>
  <c r="AY287" i="53" s="1"/>
  <c r="AX288" i="53" s="1"/>
  <c r="AW288" i="53" s="1"/>
  <c r="AY288" i="53" s="1"/>
  <c r="AX289" i="53" s="1"/>
  <c r="AW289" i="53" s="1"/>
  <c r="AY289" i="53" s="1"/>
  <c r="AX290" i="53" s="1"/>
  <c r="AW290" i="53" s="1"/>
  <c r="AY290" i="53" s="1"/>
  <c r="AX291" i="53" s="1"/>
  <c r="AW291" i="53" s="1"/>
  <c r="AY291" i="53" s="1"/>
  <c r="AX292" i="53" s="1"/>
  <c r="AW292" i="53" s="1"/>
  <c r="AY292" i="53" s="1"/>
  <c r="AX293" i="53" s="1"/>
  <c r="AW293" i="53" s="1"/>
  <c r="AY293" i="53" s="1"/>
  <c r="AX294" i="53" s="1"/>
  <c r="AW294" i="53" s="1"/>
  <c r="AY294" i="53" s="1"/>
  <c r="AX295" i="53" s="1"/>
  <c r="AW295" i="53" s="1"/>
  <c r="AY295" i="53" s="1"/>
  <c r="AX296" i="53" s="1"/>
  <c r="AW296" i="53" s="1"/>
  <c r="AY296" i="53" s="1"/>
  <c r="AX297" i="53" s="1"/>
  <c r="AW297" i="53" s="1"/>
  <c r="AY297" i="53" s="1"/>
  <c r="AX298" i="53" s="1"/>
  <c r="AW298" i="53" s="1"/>
  <c r="AY298" i="53" s="1"/>
  <c r="AX299" i="53" s="1"/>
  <c r="AW299" i="53" s="1"/>
  <c r="AY299" i="53" s="1"/>
  <c r="AX300" i="53" s="1"/>
  <c r="AW300" i="53" s="1"/>
  <c r="AY300" i="53" s="1"/>
  <c r="AX301" i="53" s="1"/>
  <c r="AW301" i="53" s="1"/>
  <c r="AY301" i="53" s="1"/>
  <c r="AX302" i="53" s="1"/>
  <c r="AW302" i="53" s="1"/>
  <c r="AY302" i="53" s="1"/>
  <c r="AX303" i="53" s="1"/>
  <c r="AW303" i="53" s="1"/>
  <c r="AY303" i="53" s="1"/>
  <c r="AX304" i="53" s="1"/>
  <c r="AW304" i="53" s="1"/>
  <c r="AY304" i="53" s="1"/>
  <c r="AX305" i="53" s="1"/>
  <c r="AW305" i="53" s="1"/>
  <c r="AY305" i="53" s="1"/>
  <c r="AX306" i="53" s="1"/>
  <c r="AW306" i="53" s="1"/>
  <c r="AY306" i="53" s="1"/>
  <c r="AX307" i="53" s="1"/>
  <c r="AW307" i="53" s="1"/>
  <c r="AY307" i="53" s="1"/>
  <c r="AX308" i="53" s="1"/>
  <c r="AW308" i="53" s="1"/>
  <c r="AY308" i="53" s="1"/>
  <c r="AX309" i="53" s="1"/>
  <c r="AW309" i="53" s="1"/>
  <c r="AY309" i="53" s="1"/>
  <c r="AX310" i="53" s="1"/>
  <c r="AW310" i="53" s="1"/>
  <c r="AY310" i="53" s="1"/>
  <c r="AX311" i="53" s="1"/>
  <c r="AW311" i="53" s="1"/>
  <c r="AY311" i="53" s="1"/>
  <c r="AX312" i="53" s="1"/>
  <c r="AW312" i="53" s="1"/>
  <c r="AY312" i="53" s="1"/>
  <c r="AX313" i="53" s="1"/>
  <c r="AW313" i="53" s="1"/>
  <c r="AY313" i="53" s="1"/>
  <c r="AX314" i="53" s="1"/>
  <c r="AW314" i="53" s="1"/>
  <c r="AY314" i="53" s="1"/>
  <c r="AX315" i="53" s="1"/>
  <c r="AW315" i="53" s="1"/>
  <c r="AY315" i="53" s="1"/>
  <c r="AX316" i="53" s="1"/>
  <c r="AW316" i="53" s="1"/>
  <c r="AY316" i="53" s="1"/>
  <c r="AX317" i="53" s="1"/>
  <c r="AW317" i="53" s="1"/>
  <c r="AY317" i="53" s="1"/>
  <c r="AX318" i="53" s="1"/>
  <c r="AW318" i="53" s="1"/>
  <c r="AY318" i="53" s="1"/>
  <c r="AX319" i="53" s="1"/>
  <c r="AW319" i="53" s="1"/>
  <c r="AY319" i="53" s="1"/>
  <c r="AX320" i="53" s="1"/>
  <c r="AW320" i="53" s="1"/>
  <c r="AY320" i="53" s="1"/>
  <c r="AX321" i="53" s="1"/>
  <c r="AW321" i="53" s="1"/>
  <c r="AY321" i="53" s="1"/>
  <c r="AX322" i="53" s="1"/>
  <c r="AW322" i="53" s="1"/>
  <c r="AY322" i="53" s="1"/>
  <c r="AX323" i="53" s="1"/>
  <c r="AW323" i="53" s="1"/>
  <c r="AY323" i="53" s="1"/>
  <c r="AX324" i="53" s="1"/>
  <c r="AW324" i="53" s="1"/>
  <c r="AY324" i="53" s="1"/>
  <c r="AX325" i="53" s="1"/>
  <c r="AW325" i="53" s="1"/>
  <c r="AY325" i="53" s="1"/>
  <c r="AX326" i="53" s="1"/>
  <c r="AW326" i="53" s="1"/>
  <c r="AY326" i="53" s="1"/>
  <c r="AX327" i="53" s="1"/>
  <c r="AW327" i="53" s="1"/>
  <c r="AY327" i="53" s="1"/>
  <c r="AX328" i="53" s="1"/>
  <c r="AW328" i="53" s="1"/>
  <c r="AY328" i="53" s="1"/>
  <c r="AX329" i="53" s="1"/>
  <c r="AW329" i="53" s="1"/>
  <c r="AY329" i="53" s="1"/>
  <c r="AX330" i="53" s="1"/>
  <c r="AW330" i="53" s="1"/>
  <c r="AY330" i="53" s="1"/>
  <c r="AX331" i="53" s="1"/>
  <c r="AW331" i="53" s="1"/>
  <c r="AY331" i="53" s="1"/>
  <c r="AX332" i="53" s="1"/>
  <c r="AW332" i="53" s="1"/>
  <c r="AY332" i="53" s="1"/>
  <c r="AX333" i="53" s="1"/>
  <c r="AW333" i="53" s="1"/>
  <c r="AY333" i="53" s="1"/>
  <c r="AX334" i="53" s="1"/>
  <c r="AW334" i="53" s="1"/>
  <c r="AY334" i="53" s="1"/>
  <c r="AX335" i="53" s="1"/>
  <c r="AW335" i="53" s="1"/>
  <c r="AY335" i="53" s="1"/>
  <c r="AX336" i="53" s="1"/>
  <c r="AW336" i="53" s="1"/>
  <c r="AY336" i="53" s="1"/>
  <c r="AX337" i="53" s="1"/>
  <c r="AW337" i="53" s="1"/>
  <c r="AY337" i="53" s="1"/>
  <c r="AX338" i="53" s="1"/>
  <c r="AW338" i="53" s="1"/>
  <c r="AY338" i="53" s="1"/>
  <c r="AX339" i="53" s="1"/>
  <c r="AW339" i="53" s="1"/>
  <c r="AY339" i="53" s="1"/>
  <c r="AX340" i="53" s="1"/>
  <c r="AW340" i="53" s="1"/>
  <c r="AY340" i="53" s="1"/>
  <c r="AX341" i="53" s="1"/>
  <c r="AW341" i="53" s="1"/>
  <c r="AY341" i="53" s="1"/>
  <c r="AX342" i="53" s="1"/>
  <c r="AW342" i="53" s="1"/>
  <c r="AY342" i="53" s="1"/>
  <c r="AX343" i="53" s="1"/>
  <c r="AW343" i="53" s="1"/>
  <c r="AY343" i="53" s="1"/>
  <c r="AX344" i="53" s="1"/>
  <c r="AW344" i="53" s="1"/>
  <c r="AY344" i="53" s="1"/>
  <c r="AX345" i="53" s="1"/>
  <c r="AW345" i="53" s="1"/>
  <c r="AY345" i="53" s="1"/>
  <c r="AX346" i="53" s="1"/>
  <c r="AW346" i="53" s="1"/>
  <c r="AY346" i="53" s="1"/>
  <c r="AX347" i="53" s="1"/>
  <c r="AW347" i="53" s="1"/>
  <c r="AY347" i="53" s="1"/>
  <c r="AX348" i="53" s="1"/>
  <c r="AW348" i="53" s="1"/>
  <c r="AY348" i="53" s="1"/>
  <c r="AX349" i="53" s="1"/>
  <c r="AW349" i="53" s="1"/>
  <c r="AY349" i="53" s="1"/>
  <c r="AX350" i="53" s="1"/>
  <c r="AW350" i="53" s="1"/>
  <c r="AY350" i="53" s="1"/>
  <c r="AX351" i="53" s="1"/>
  <c r="AW351" i="53" s="1"/>
  <c r="AY351" i="53" s="1"/>
  <c r="AX352" i="53" s="1"/>
  <c r="AW352" i="53" s="1"/>
  <c r="AY352" i="53" s="1"/>
  <c r="AX353" i="53" s="1"/>
  <c r="AW353" i="53" s="1"/>
  <c r="AY353" i="53" s="1"/>
  <c r="AX354" i="53" s="1"/>
  <c r="AW354" i="53" s="1"/>
  <c r="AY354" i="53" s="1"/>
  <c r="AX355" i="53" s="1"/>
  <c r="AW355" i="53" s="1"/>
  <c r="AY355" i="53" s="1"/>
  <c r="AX356" i="53" s="1"/>
  <c r="AW356" i="53" s="1"/>
  <c r="AY356" i="53" s="1"/>
  <c r="AX357" i="53" s="1"/>
  <c r="AW357" i="53" s="1"/>
  <c r="AY357" i="53" s="1"/>
  <c r="AX358" i="53" s="1"/>
  <c r="AW358" i="53" s="1"/>
  <c r="AY358" i="53" s="1"/>
  <c r="AX359" i="53" s="1"/>
  <c r="AW359" i="53" s="1"/>
  <c r="AY359" i="53" s="1"/>
  <c r="AX360" i="53" s="1"/>
  <c r="AW360" i="53" s="1"/>
  <c r="AY360" i="53" s="1"/>
  <c r="AX361" i="53" s="1"/>
  <c r="AW361" i="53" s="1"/>
  <c r="AY361" i="53" s="1"/>
  <c r="AX362" i="53" s="1"/>
  <c r="AW362" i="53" s="1"/>
  <c r="AY362" i="53" s="1"/>
  <c r="AX363" i="53" s="1"/>
  <c r="AW363" i="53" s="1"/>
  <c r="AY363" i="53" s="1"/>
  <c r="AX364" i="53" s="1"/>
  <c r="AW364" i="53" s="1"/>
  <c r="AY364" i="53" s="1"/>
  <c r="AX365" i="53" s="1"/>
  <c r="AW365" i="53" s="1"/>
  <c r="AY365" i="53" s="1"/>
  <c r="AX366" i="53" s="1"/>
  <c r="AW366" i="53" s="1"/>
  <c r="AY366" i="53" s="1"/>
  <c r="AX367" i="53" s="1"/>
  <c r="AW367" i="53" s="1"/>
  <c r="AY367" i="53" s="1"/>
  <c r="AX368" i="53" s="1"/>
  <c r="AW368" i="53" s="1"/>
  <c r="AY368" i="53" s="1"/>
  <c r="AX369" i="53" s="1"/>
  <c r="AW369" i="53" s="1"/>
  <c r="AY369" i="53" s="1"/>
  <c r="AX370" i="53" s="1"/>
  <c r="AW370" i="53" s="1"/>
  <c r="AY370" i="53" s="1"/>
  <c r="AX371" i="53" s="1"/>
  <c r="AW371" i="53" s="1"/>
  <c r="AY371" i="53" s="1"/>
  <c r="AX372" i="53" s="1"/>
  <c r="AW372" i="53" s="1"/>
  <c r="AY372" i="53" s="1"/>
  <c r="AX373" i="53" s="1"/>
  <c r="AW373" i="53" s="1"/>
  <c r="AY373" i="53" s="1"/>
  <c r="AX374" i="53" s="1"/>
  <c r="AW374" i="53" s="1"/>
  <c r="AY374" i="53" s="1"/>
  <c r="AX375" i="53" s="1"/>
  <c r="AW375" i="53" s="1"/>
  <c r="AY375" i="53" s="1"/>
  <c r="AX376" i="53" s="1"/>
  <c r="AW376" i="53" s="1"/>
  <c r="AY376" i="53" s="1"/>
  <c r="AX377" i="53" s="1"/>
  <c r="AW377" i="53" s="1"/>
  <c r="AY377" i="53" s="1"/>
  <c r="AX378" i="53" s="1"/>
  <c r="AW378" i="53" s="1"/>
  <c r="AY378" i="53" s="1"/>
  <c r="AX379" i="53" s="1"/>
  <c r="AW379" i="53" s="1"/>
  <c r="AY379" i="53" s="1"/>
  <c r="AX380" i="53" s="1"/>
  <c r="AW380" i="53" s="1"/>
  <c r="AY380" i="53" s="1"/>
  <c r="AX381" i="53" s="1"/>
  <c r="AW381" i="53" s="1"/>
  <c r="AY381" i="53" s="1"/>
  <c r="AX382" i="53" s="1"/>
  <c r="AW382" i="53" s="1"/>
  <c r="AY382" i="53" s="1"/>
  <c r="AX383" i="53" s="1"/>
  <c r="AW383" i="53" s="1"/>
  <c r="AY383" i="53" s="1"/>
  <c r="AX384" i="53" s="1"/>
  <c r="AW384" i="53" s="1"/>
  <c r="AY384" i="53" s="1"/>
  <c r="AX385" i="53" s="1"/>
  <c r="AW385" i="53" s="1"/>
  <c r="AY385" i="53" s="1"/>
  <c r="AX386" i="53" s="1"/>
  <c r="AW386" i="53" s="1"/>
  <c r="AY386" i="53" s="1"/>
  <c r="AX387" i="53" s="1"/>
  <c r="AW387" i="53" s="1"/>
  <c r="AY387" i="53" s="1"/>
  <c r="AX388" i="53" s="1"/>
  <c r="AW388" i="53" s="1"/>
  <c r="AY388" i="53" s="1"/>
  <c r="AX389" i="53" s="1"/>
  <c r="AW389" i="53" s="1"/>
  <c r="AY389" i="53" s="1"/>
  <c r="AX390" i="53" s="1"/>
  <c r="AW390" i="53" s="1"/>
  <c r="AY390" i="53" s="1"/>
  <c r="AX391" i="53" s="1"/>
  <c r="AW391" i="53" s="1"/>
  <c r="AY391" i="53" s="1"/>
  <c r="AX392" i="53" s="1"/>
  <c r="AW392" i="53" s="1"/>
  <c r="AY392" i="53" s="1"/>
  <c r="AX393" i="53" s="1"/>
  <c r="AW393" i="53" s="1"/>
  <c r="AY393" i="53" s="1"/>
  <c r="AX394" i="53" s="1"/>
  <c r="AW394" i="53" s="1"/>
  <c r="AY394" i="53" s="1"/>
  <c r="AX395" i="53" s="1"/>
  <c r="AW395" i="53" s="1"/>
  <c r="AY395" i="53" s="1"/>
  <c r="AX396" i="53" s="1"/>
  <c r="AW396" i="53" s="1"/>
  <c r="AY396" i="53" s="1"/>
  <c r="AX397" i="53" s="1"/>
  <c r="AW397" i="53" s="1"/>
  <c r="AY397" i="53" s="1"/>
  <c r="AX398" i="53" s="1"/>
  <c r="AW398" i="53" s="1"/>
  <c r="AY398" i="53" s="1"/>
  <c r="AX399" i="53" s="1"/>
  <c r="AW399" i="53" s="1"/>
  <c r="AY399" i="53" s="1"/>
  <c r="AX400" i="53" s="1"/>
  <c r="AW400" i="53" s="1"/>
  <c r="AY400" i="53" s="1"/>
  <c r="AX401" i="53" s="1"/>
  <c r="AW401" i="53" s="1"/>
  <c r="AY401" i="53" s="1"/>
  <c r="AX402" i="53" s="1"/>
  <c r="AW402" i="53" s="1"/>
  <c r="AY402" i="53" s="1"/>
  <c r="AX403" i="53" s="1"/>
  <c r="AW403" i="53" s="1"/>
  <c r="AY403" i="53" s="1"/>
  <c r="AX404" i="53" s="1"/>
  <c r="AW404" i="53" s="1"/>
  <c r="AY404" i="53" s="1"/>
  <c r="AX405" i="53" s="1"/>
  <c r="AW405" i="53" s="1"/>
  <c r="AY405" i="53" s="1"/>
  <c r="AX406" i="53" s="1"/>
  <c r="AW406" i="53" s="1"/>
  <c r="AY406" i="53" s="1"/>
  <c r="AX407" i="53" s="1"/>
  <c r="AW407" i="53" s="1"/>
  <c r="AY407" i="53" s="1"/>
  <c r="AX408" i="53" s="1"/>
  <c r="AW408" i="53" s="1"/>
  <c r="AY408" i="53" s="1"/>
  <c r="AX409" i="53" s="1"/>
  <c r="AW409" i="53" s="1"/>
  <c r="AY409" i="53" s="1"/>
  <c r="AX410" i="53" s="1"/>
  <c r="AW410" i="53" s="1"/>
  <c r="AY410" i="53" s="1"/>
  <c r="AX411" i="53" s="1"/>
  <c r="AW411" i="53" s="1"/>
  <c r="AY411" i="53" s="1"/>
  <c r="AX412" i="53" s="1"/>
  <c r="AW412" i="53" s="1"/>
  <c r="AY412" i="53" s="1"/>
  <c r="AX413" i="53" s="1"/>
  <c r="AW413" i="53" s="1"/>
  <c r="AY413" i="53" s="1"/>
  <c r="AX414" i="53" s="1"/>
  <c r="AW414" i="53" s="1"/>
  <c r="AY414" i="53" s="1"/>
  <c r="AX415" i="53" s="1"/>
  <c r="AW415" i="53" s="1"/>
  <c r="AY415" i="53" s="1"/>
  <c r="AX416" i="53" s="1"/>
  <c r="AW416" i="53" s="1"/>
  <c r="AY416" i="53" s="1"/>
  <c r="AX417" i="53" s="1"/>
  <c r="AW417" i="53" s="1"/>
  <c r="AY417" i="53" s="1"/>
  <c r="AX418" i="53" s="1"/>
  <c r="AW418" i="53" s="1"/>
  <c r="AY418" i="53" s="1"/>
  <c r="AX419" i="53" s="1"/>
  <c r="AW419" i="53" s="1"/>
  <c r="AY419" i="53" s="1"/>
  <c r="AX420" i="53" s="1"/>
  <c r="AW420" i="53" s="1"/>
  <c r="AY420" i="53" s="1"/>
  <c r="AX421" i="53" s="1"/>
  <c r="AW421" i="53" s="1"/>
  <c r="AY421" i="53" s="1"/>
  <c r="AX422" i="53" s="1"/>
  <c r="AW422" i="53" s="1"/>
  <c r="AY422" i="53" s="1"/>
  <c r="AX423" i="53" s="1"/>
  <c r="AW423" i="53" s="1"/>
  <c r="AY423" i="53" s="1"/>
  <c r="AX424" i="53" s="1"/>
  <c r="AW424" i="53" s="1"/>
  <c r="AY424" i="53" s="1"/>
  <c r="AX425" i="53" s="1"/>
  <c r="AW425" i="53" s="1"/>
  <c r="AY425" i="53" s="1"/>
  <c r="AX426" i="53" s="1"/>
  <c r="AW426" i="53" s="1"/>
  <c r="AY426" i="53" s="1"/>
  <c r="AX427" i="53" s="1"/>
  <c r="AW427" i="53" s="1"/>
  <c r="AY427" i="53" s="1"/>
  <c r="AX428" i="53" s="1"/>
  <c r="AW428" i="53" s="1"/>
  <c r="AY428" i="53" s="1"/>
  <c r="AX429" i="53" s="1"/>
  <c r="AW429" i="53" s="1"/>
  <c r="AY429" i="53" s="1"/>
  <c r="AX430" i="53" s="1"/>
  <c r="AW430" i="53" s="1"/>
  <c r="AY430" i="53" s="1"/>
  <c r="AX431" i="53" s="1"/>
  <c r="AW431" i="53" s="1"/>
  <c r="AY431" i="53" s="1"/>
  <c r="AX432" i="53" s="1"/>
  <c r="AW432" i="53" s="1"/>
  <c r="AY432" i="53" s="1"/>
  <c r="AX433" i="53" s="1"/>
  <c r="AW433" i="53" s="1"/>
  <c r="AY433" i="53" s="1"/>
  <c r="AX434" i="53" s="1"/>
  <c r="AW434" i="53" s="1"/>
  <c r="AY434" i="53" s="1"/>
  <c r="AX435" i="53" s="1"/>
  <c r="AW435" i="53" s="1"/>
  <c r="AY435" i="53" s="1"/>
  <c r="AX436" i="53" s="1"/>
  <c r="AW436" i="53" s="1"/>
  <c r="AY436" i="53" s="1"/>
  <c r="AX437" i="53" s="1"/>
  <c r="AW437" i="53" s="1"/>
  <c r="AY437" i="53" s="1"/>
  <c r="AX438" i="53" s="1"/>
  <c r="AW438" i="53" s="1"/>
  <c r="AY438" i="53" s="1"/>
  <c r="AX439" i="53" s="1"/>
  <c r="AW439" i="53" s="1"/>
  <c r="AY439" i="53" s="1"/>
  <c r="AX440" i="53" s="1"/>
  <c r="AW440" i="53" s="1"/>
  <c r="AY440" i="53" s="1"/>
  <c r="AX441" i="53" s="1"/>
  <c r="AW441" i="53" s="1"/>
  <c r="AY441" i="53" s="1"/>
  <c r="AX442" i="53" s="1"/>
  <c r="AW442" i="53" s="1"/>
  <c r="AY442" i="53" s="1"/>
  <c r="AX443" i="53" s="1"/>
  <c r="AW443" i="53" s="1"/>
  <c r="AY443" i="53" s="1"/>
  <c r="AX444" i="53" s="1"/>
  <c r="AW444" i="53" s="1"/>
  <c r="AY444" i="53" s="1"/>
  <c r="AX445" i="53" s="1"/>
  <c r="AW445" i="53" s="1"/>
  <c r="AY445" i="53" s="1"/>
  <c r="AX446" i="53" s="1"/>
  <c r="AW446" i="53" s="1"/>
  <c r="AY446" i="53" s="1"/>
  <c r="AX447" i="53" s="1"/>
  <c r="AW447" i="53" s="1"/>
  <c r="AY447" i="53" s="1"/>
  <c r="AX448" i="53" s="1"/>
  <c r="AW448" i="53" s="1"/>
  <c r="AY448" i="53" s="1"/>
  <c r="AX449" i="53" s="1"/>
  <c r="AW449" i="53" s="1"/>
  <c r="AY449" i="53" s="1"/>
  <c r="AX450" i="53" s="1"/>
  <c r="AW450" i="53" s="1"/>
  <c r="AY450" i="53" s="1"/>
  <c r="AX451" i="53" s="1"/>
  <c r="AW451" i="53" s="1"/>
  <c r="AY451" i="53" s="1"/>
  <c r="AX452" i="53" s="1"/>
  <c r="AW452" i="53" s="1"/>
  <c r="AY452" i="53" s="1"/>
  <c r="AX453" i="53" s="1"/>
  <c r="AW453" i="53" s="1"/>
  <c r="AY453" i="53" s="1"/>
  <c r="U172" i="53"/>
  <c r="W172" i="53" s="1"/>
  <c r="V173" i="53" s="1"/>
  <c r="U173" i="53" s="1"/>
  <c r="W173" i="53" s="1"/>
  <c r="V174" i="53" s="1"/>
  <c r="U174" i="53" s="1"/>
  <c r="W174" i="53" s="1"/>
  <c r="V175" i="53" s="1"/>
  <c r="U175" i="53" s="1"/>
  <c r="W175" i="53" s="1"/>
  <c r="V176" i="53" s="1"/>
  <c r="U176" i="53" s="1"/>
  <c r="W176" i="53" s="1"/>
  <c r="V177" i="53" s="1"/>
  <c r="U177" i="53" s="1"/>
  <c r="W177" i="53" s="1"/>
  <c r="V178" i="53" s="1"/>
  <c r="U178" i="53" s="1"/>
  <c r="W178" i="53" s="1"/>
  <c r="V179" i="53" s="1"/>
  <c r="U179" i="53" s="1"/>
  <c r="W179" i="53" s="1"/>
  <c r="V180" i="53" s="1"/>
  <c r="U180" i="53" s="1"/>
  <c r="W180" i="53" s="1"/>
  <c r="V181" i="53" s="1"/>
  <c r="U181" i="53" s="1"/>
  <c r="W181" i="53" s="1"/>
  <c r="V182" i="53" s="1"/>
  <c r="U182" i="53" s="1"/>
  <c r="W182" i="53" s="1"/>
  <c r="V183" i="53" s="1"/>
  <c r="U183" i="53" s="1"/>
  <c r="W183" i="53" s="1"/>
  <c r="V184" i="53" s="1"/>
  <c r="U184" i="53" s="1"/>
  <c r="W184" i="53" s="1"/>
  <c r="V185" i="53" s="1"/>
  <c r="U185" i="53" s="1"/>
  <c r="W185" i="53" s="1"/>
  <c r="V186" i="53" s="1"/>
  <c r="U186" i="53" s="1"/>
  <c r="W186" i="53" s="1"/>
  <c r="V187" i="53" s="1"/>
  <c r="U187" i="53" s="1"/>
  <c r="W187" i="53" s="1"/>
  <c r="V188" i="53" s="1"/>
  <c r="U188" i="53" s="1"/>
  <c r="W188" i="53" s="1"/>
  <c r="V189" i="53" s="1"/>
  <c r="U189" i="53" s="1"/>
  <c r="W189" i="53" s="1"/>
  <c r="V190" i="53" s="1"/>
  <c r="U190" i="53" s="1"/>
  <c r="W190" i="53" s="1"/>
  <c r="V191" i="53" s="1"/>
  <c r="U191" i="53" s="1"/>
  <c r="W191" i="53" s="1"/>
  <c r="V192" i="53" s="1"/>
  <c r="U192" i="53" s="1"/>
  <c r="W192" i="53" s="1"/>
  <c r="V193" i="53" s="1"/>
  <c r="U193" i="53" s="1"/>
  <c r="W193" i="53" s="1"/>
  <c r="V194" i="53" s="1"/>
  <c r="U194" i="53" s="1"/>
  <c r="W194" i="53" s="1"/>
  <c r="V195" i="53" s="1"/>
  <c r="U195" i="53" s="1"/>
  <c r="W195" i="53" s="1"/>
  <c r="V196" i="53" s="1"/>
  <c r="U196" i="53" s="1"/>
  <c r="W196" i="53" s="1"/>
  <c r="V197" i="53" s="1"/>
  <c r="U197" i="53" s="1"/>
  <c r="W197" i="53" s="1"/>
  <c r="V198" i="53" s="1"/>
  <c r="U198" i="53" s="1"/>
  <c r="W198" i="53" s="1"/>
  <c r="V199" i="53" s="1"/>
  <c r="U199" i="53" s="1"/>
  <c r="W199" i="53" s="1"/>
  <c r="V200" i="53" s="1"/>
  <c r="U200" i="53" s="1"/>
  <c r="W200" i="53" s="1"/>
  <c r="V201" i="53" s="1"/>
  <c r="U201" i="53" s="1"/>
  <c r="W201" i="53" s="1"/>
  <c r="V202" i="53" s="1"/>
  <c r="U202" i="53" s="1"/>
  <c r="W202" i="53" s="1"/>
  <c r="V203" i="53" s="1"/>
  <c r="U203" i="53" s="1"/>
  <c r="W203" i="53" s="1"/>
  <c r="V204" i="53" s="1"/>
  <c r="U204" i="53" s="1"/>
  <c r="W204" i="53" s="1"/>
  <c r="V205" i="53" s="1"/>
  <c r="U205" i="53" s="1"/>
  <c r="W205" i="53" s="1"/>
  <c r="V206" i="53" s="1"/>
  <c r="U206" i="53" s="1"/>
  <c r="W206" i="53" s="1"/>
  <c r="V207" i="53" s="1"/>
  <c r="U207" i="53" s="1"/>
  <c r="W207" i="53" s="1"/>
  <c r="V208" i="53" s="1"/>
  <c r="U208" i="53" s="1"/>
  <c r="W208" i="53" s="1"/>
  <c r="V209" i="53" s="1"/>
  <c r="U209" i="53" s="1"/>
  <c r="W209" i="53" s="1"/>
  <c r="V210" i="53" s="1"/>
  <c r="U210" i="53" s="1"/>
  <c r="W210" i="53" s="1"/>
  <c r="V211" i="53" s="1"/>
  <c r="U211" i="53" s="1"/>
  <c r="W211" i="53" s="1"/>
  <c r="V212" i="53" s="1"/>
  <c r="U212" i="53" s="1"/>
  <c r="W212" i="53" s="1"/>
  <c r="V213" i="53" s="1"/>
  <c r="U213" i="53" s="1"/>
  <c r="W213" i="53" s="1"/>
  <c r="V214" i="53" s="1"/>
  <c r="U214" i="53" s="1"/>
  <c r="W214" i="53" s="1"/>
  <c r="V215" i="53" s="1"/>
  <c r="U215" i="53" s="1"/>
  <c r="W215" i="53" s="1"/>
  <c r="V216" i="53" s="1"/>
  <c r="U216" i="53" s="1"/>
  <c r="W216" i="53" s="1"/>
  <c r="V217" i="53" s="1"/>
  <c r="U217" i="53" s="1"/>
  <c r="W217" i="53" s="1"/>
  <c r="V218" i="53" s="1"/>
  <c r="U218" i="53" s="1"/>
  <c r="W218" i="53" s="1"/>
  <c r="V219" i="53" s="1"/>
  <c r="U219" i="53" s="1"/>
  <c r="W219" i="53" s="1"/>
  <c r="V220" i="53" s="1"/>
  <c r="U220" i="53" s="1"/>
  <c r="W220" i="53" s="1"/>
  <c r="V221" i="53" s="1"/>
  <c r="U221" i="53" s="1"/>
  <c r="W221" i="53" s="1"/>
  <c r="V222" i="53" s="1"/>
  <c r="U222" i="53" s="1"/>
  <c r="W222" i="53" s="1"/>
  <c r="V223" i="53" s="1"/>
  <c r="U223" i="53" s="1"/>
  <c r="W223" i="53" s="1"/>
  <c r="V224" i="53" s="1"/>
  <c r="U224" i="53" s="1"/>
  <c r="W224" i="53" s="1"/>
  <c r="V225" i="53" s="1"/>
  <c r="U225" i="53" s="1"/>
  <c r="W225" i="53" s="1"/>
  <c r="V226" i="53" s="1"/>
  <c r="U226" i="53" s="1"/>
  <c r="W226" i="53" s="1"/>
  <c r="V227" i="53" s="1"/>
  <c r="U227" i="53" s="1"/>
  <c r="W227" i="53" s="1"/>
  <c r="V228" i="53" s="1"/>
  <c r="U228" i="53" s="1"/>
  <c r="W228" i="53" s="1"/>
  <c r="V229" i="53" s="1"/>
  <c r="U229" i="53" s="1"/>
  <c r="W229" i="53" s="1"/>
  <c r="V230" i="53" s="1"/>
  <c r="U230" i="53" s="1"/>
  <c r="W230" i="53" s="1"/>
  <c r="V231" i="53" s="1"/>
  <c r="U231" i="53" s="1"/>
  <c r="W231" i="53" s="1"/>
  <c r="V232" i="53" s="1"/>
  <c r="U232" i="53" s="1"/>
  <c r="W232" i="53" s="1"/>
  <c r="V233" i="53" s="1"/>
  <c r="U233" i="53" s="1"/>
  <c r="W233" i="53" s="1"/>
  <c r="V234" i="53" s="1"/>
  <c r="U234" i="53" s="1"/>
  <c r="W234" i="53" s="1"/>
  <c r="V235" i="53" s="1"/>
  <c r="U235" i="53" s="1"/>
  <c r="W235" i="53" s="1"/>
  <c r="V236" i="53" s="1"/>
  <c r="U236" i="53" s="1"/>
  <c r="W236" i="53" s="1"/>
  <c r="V237" i="53" s="1"/>
  <c r="U237" i="53" s="1"/>
  <c r="W237" i="53" s="1"/>
  <c r="V238" i="53" s="1"/>
  <c r="U238" i="53" s="1"/>
  <c r="W238" i="53" s="1"/>
  <c r="V239" i="53" s="1"/>
  <c r="U239" i="53" s="1"/>
  <c r="W239" i="53" s="1"/>
  <c r="V240" i="53" s="1"/>
  <c r="U240" i="53" s="1"/>
  <c r="W240" i="53" s="1"/>
  <c r="V241" i="53" s="1"/>
  <c r="U241" i="53" s="1"/>
  <c r="W241" i="53" s="1"/>
  <c r="V242" i="53" s="1"/>
  <c r="U242" i="53" s="1"/>
  <c r="W242" i="53" s="1"/>
  <c r="V243" i="53" s="1"/>
  <c r="U243" i="53" s="1"/>
  <c r="W243" i="53" s="1"/>
  <c r="V244" i="53" s="1"/>
  <c r="U244" i="53" s="1"/>
  <c r="W244" i="53" s="1"/>
  <c r="V245" i="53" s="1"/>
  <c r="U245" i="53" s="1"/>
  <c r="W245" i="53" s="1"/>
  <c r="V246" i="53" s="1"/>
  <c r="U246" i="53" s="1"/>
  <c r="W246" i="53" s="1"/>
  <c r="V247" i="53" s="1"/>
  <c r="U247" i="53" s="1"/>
  <c r="W247" i="53" s="1"/>
  <c r="V248" i="53" s="1"/>
  <c r="U248" i="53" s="1"/>
  <c r="W248" i="53" s="1"/>
  <c r="V249" i="53" s="1"/>
  <c r="U249" i="53" s="1"/>
  <c r="W249" i="53" s="1"/>
  <c r="V250" i="53" s="1"/>
  <c r="U250" i="53" s="1"/>
  <c r="W250" i="53" s="1"/>
  <c r="V251" i="53" s="1"/>
  <c r="U251" i="53" s="1"/>
  <c r="W251" i="53" s="1"/>
  <c r="V252" i="53" s="1"/>
  <c r="U252" i="53" s="1"/>
  <c r="W252" i="53" s="1"/>
  <c r="V253" i="53" s="1"/>
  <c r="U253" i="53" s="1"/>
  <c r="W253" i="53" s="1"/>
  <c r="V254" i="53" s="1"/>
  <c r="U254" i="53" s="1"/>
  <c r="W254" i="53" s="1"/>
  <c r="V255" i="53" s="1"/>
  <c r="U255" i="53" s="1"/>
  <c r="W255" i="53" s="1"/>
  <c r="V256" i="53" s="1"/>
  <c r="U256" i="53" s="1"/>
  <c r="W256" i="53" s="1"/>
  <c r="V257" i="53" s="1"/>
  <c r="U257" i="53" s="1"/>
  <c r="W257" i="53" s="1"/>
  <c r="V258" i="53" s="1"/>
  <c r="U258" i="53" s="1"/>
  <c r="W258" i="53" s="1"/>
  <c r="V259" i="53" s="1"/>
  <c r="U259" i="53" s="1"/>
  <c r="W259" i="53" s="1"/>
  <c r="V260" i="53" s="1"/>
  <c r="U260" i="53" s="1"/>
  <c r="W260" i="53" s="1"/>
  <c r="V261" i="53" s="1"/>
  <c r="U261" i="53" s="1"/>
  <c r="W261" i="53" s="1"/>
  <c r="V262" i="53" s="1"/>
  <c r="U262" i="53" s="1"/>
  <c r="W262" i="53" s="1"/>
  <c r="V263" i="53" s="1"/>
  <c r="U263" i="53" s="1"/>
  <c r="W263" i="53" s="1"/>
  <c r="V264" i="53" s="1"/>
  <c r="U264" i="53" s="1"/>
  <c r="W264" i="53" s="1"/>
  <c r="V265" i="53" s="1"/>
  <c r="U265" i="53" s="1"/>
  <c r="W265" i="53" s="1"/>
  <c r="V266" i="53" s="1"/>
  <c r="U266" i="53" s="1"/>
  <c r="W266" i="53" s="1"/>
  <c r="V267" i="53" s="1"/>
  <c r="U267" i="53" s="1"/>
  <c r="W267" i="53" s="1"/>
  <c r="V268" i="53" s="1"/>
  <c r="U268" i="53" s="1"/>
  <c r="W268" i="53" s="1"/>
  <c r="V269" i="53" s="1"/>
  <c r="U269" i="53" s="1"/>
  <c r="W269" i="53" s="1"/>
  <c r="V270" i="53" s="1"/>
  <c r="U270" i="53" s="1"/>
  <c r="W270" i="53" s="1"/>
  <c r="V271" i="53" s="1"/>
  <c r="U271" i="53" s="1"/>
  <c r="W271" i="53" s="1"/>
  <c r="V272" i="53" s="1"/>
  <c r="U272" i="53" s="1"/>
  <c r="W272" i="53" s="1"/>
  <c r="V273" i="53" s="1"/>
  <c r="U273" i="53" s="1"/>
  <c r="W273" i="53" s="1"/>
  <c r="V274" i="53" s="1"/>
  <c r="U274" i="53" s="1"/>
  <c r="W274" i="53" s="1"/>
  <c r="V275" i="53" s="1"/>
  <c r="U275" i="53" s="1"/>
  <c r="W275" i="53" s="1"/>
  <c r="V276" i="53" s="1"/>
  <c r="U276" i="53" s="1"/>
  <c r="W276" i="53" s="1"/>
  <c r="V277" i="53" s="1"/>
  <c r="U277" i="53" s="1"/>
  <c r="W277" i="53" s="1"/>
  <c r="V278" i="53" s="1"/>
  <c r="U278" i="53" s="1"/>
  <c r="W278" i="53" s="1"/>
  <c r="V279" i="53" s="1"/>
  <c r="U279" i="53" s="1"/>
  <c r="W279" i="53" s="1"/>
  <c r="V280" i="53" s="1"/>
  <c r="U280" i="53" s="1"/>
  <c r="W280" i="53" s="1"/>
  <c r="V281" i="53" s="1"/>
  <c r="U281" i="53" s="1"/>
  <c r="W281" i="53" s="1"/>
  <c r="V282" i="53" s="1"/>
  <c r="U282" i="53" s="1"/>
  <c r="W282" i="53" s="1"/>
  <c r="V283" i="53" s="1"/>
  <c r="U283" i="53" s="1"/>
  <c r="W283" i="53" s="1"/>
  <c r="V284" i="53" s="1"/>
  <c r="U284" i="53" s="1"/>
  <c r="W284" i="53" s="1"/>
  <c r="V285" i="53" s="1"/>
  <c r="U285" i="53" s="1"/>
  <c r="W285" i="53" s="1"/>
  <c r="V286" i="53" s="1"/>
  <c r="U286" i="53" s="1"/>
  <c r="W286" i="53" s="1"/>
  <c r="V287" i="53" s="1"/>
  <c r="U287" i="53" s="1"/>
  <c r="W287" i="53" s="1"/>
  <c r="V288" i="53" s="1"/>
  <c r="U288" i="53" s="1"/>
  <c r="W288" i="53" s="1"/>
  <c r="V289" i="53" s="1"/>
  <c r="U289" i="53" s="1"/>
  <c r="W289" i="53" s="1"/>
  <c r="V290" i="53" s="1"/>
  <c r="U290" i="53" s="1"/>
  <c r="W290" i="53" s="1"/>
  <c r="V291" i="53" s="1"/>
  <c r="U291" i="53" s="1"/>
  <c r="W291" i="53" s="1"/>
  <c r="V292" i="53" s="1"/>
  <c r="U292" i="53" s="1"/>
  <c r="W292" i="53" s="1"/>
  <c r="V293" i="53" s="1"/>
  <c r="U293" i="53" s="1"/>
  <c r="W293" i="53" s="1"/>
  <c r="V294" i="53" s="1"/>
  <c r="U294" i="53" s="1"/>
  <c r="W294" i="53" s="1"/>
  <c r="V295" i="53" s="1"/>
  <c r="U295" i="53" s="1"/>
  <c r="W295" i="53" s="1"/>
  <c r="V296" i="53" s="1"/>
  <c r="U296" i="53" s="1"/>
  <c r="W296" i="53" s="1"/>
  <c r="V297" i="53" s="1"/>
  <c r="U297" i="53" s="1"/>
  <c r="W297" i="53" s="1"/>
  <c r="V298" i="53" s="1"/>
  <c r="U298" i="53" s="1"/>
  <c r="W298" i="53" s="1"/>
  <c r="V299" i="53" s="1"/>
  <c r="U299" i="53" s="1"/>
  <c r="W299" i="53" s="1"/>
  <c r="V300" i="53" s="1"/>
  <c r="U300" i="53" s="1"/>
  <c r="W300" i="53" s="1"/>
  <c r="V301" i="53" s="1"/>
  <c r="U301" i="53" s="1"/>
  <c r="W301" i="53" s="1"/>
  <c r="V302" i="53" s="1"/>
  <c r="U302" i="53" s="1"/>
  <c r="W302" i="53" s="1"/>
  <c r="V303" i="53" s="1"/>
  <c r="U303" i="53" s="1"/>
  <c r="W303" i="53" s="1"/>
  <c r="V304" i="53" s="1"/>
  <c r="U304" i="53" s="1"/>
  <c r="W304" i="53" s="1"/>
  <c r="V305" i="53" s="1"/>
  <c r="U305" i="53" s="1"/>
  <c r="W305" i="53" s="1"/>
  <c r="V306" i="53" s="1"/>
  <c r="U306" i="53" s="1"/>
  <c r="W306" i="53" s="1"/>
  <c r="V307" i="53" s="1"/>
  <c r="U307" i="53" s="1"/>
  <c r="W307" i="53" s="1"/>
  <c r="V308" i="53" s="1"/>
  <c r="U308" i="53" s="1"/>
  <c r="W308" i="53" s="1"/>
  <c r="V309" i="53" s="1"/>
  <c r="U309" i="53" s="1"/>
  <c r="W309" i="53" s="1"/>
  <c r="V310" i="53" s="1"/>
  <c r="U310" i="53" s="1"/>
  <c r="W310" i="53" s="1"/>
  <c r="V311" i="53" s="1"/>
  <c r="U311" i="53" s="1"/>
  <c r="W311" i="53" s="1"/>
  <c r="V312" i="53" s="1"/>
  <c r="U312" i="53" s="1"/>
  <c r="W312" i="53" s="1"/>
  <c r="V313" i="53" s="1"/>
  <c r="U313" i="53" s="1"/>
  <c r="W313" i="53" s="1"/>
  <c r="V314" i="53" s="1"/>
  <c r="U314" i="53" s="1"/>
  <c r="W314" i="53" s="1"/>
  <c r="V315" i="53" s="1"/>
  <c r="U315" i="53" s="1"/>
  <c r="W315" i="53" s="1"/>
  <c r="V316" i="53" s="1"/>
  <c r="U316" i="53" s="1"/>
  <c r="W316" i="53" s="1"/>
  <c r="V317" i="53" s="1"/>
  <c r="U317" i="53" s="1"/>
  <c r="W317" i="53" s="1"/>
  <c r="V318" i="53" s="1"/>
  <c r="U318" i="53" s="1"/>
  <c r="W318" i="53" s="1"/>
  <c r="V319" i="53" s="1"/>
  <c r="U319" i="53" s="1"/>
  <c r="W319" i="53" s="1"/>
  <c r="V320" i="53" s="1"/>
  <c r="U320" i="53" s="1"/>
  <c r="W320" i="53" s="1"/>
  <c r="V321" i="53" s="1"/>
  <c r="U321" i="53" s="1"/>
  <c r="W321" i="53" s="1"/>
  <c r="V322" i="53" s="1"/>
  <c r="U322" i="53" s="1"/>
  <c r="W322" i="53" s="1"/>
  <c r="V323" i="53" s="1"/>
  <c r="U323" i="53" s="1"/>
  <c r="W323" i="53" s="1"/>
  <c r="V324" i="53" s="1"/>
  <c r="U324" i="53" s="1"/>
  <c r="W324" i="53" s="1"/>
  <c r="V325" i="53" s="1"/>
  <c r="U325" i="53" s="1"/>
  <c r="W325" i="53" s="1"/>
  <c r="V326" i="53" s="1"/>
  <c r="U326" i="53" s="1"/>
  <c r="W326" i="53" s="1"/>
  <c r="V327" i="53" s="1"/>
  <c r="U327" i="53" s="1"/>
  <c r="W327" i="53" s="1"/>
  <c r="V328" i="53" s="1"/>
  <c r="U328" i="53" s="1"/>
  <c r="W328" i="53" s="1"/>
  <c r="V329" i="53" s="1"/>
  <c r="U329" i="53" s="1"/>
  <c r="W329" i="53" s="1"/>
  <c r="V330" i="53" s="1"/>
  <c r="U330" i="53" s="1"/>
  <c r="W330" i="53" s="1"/>
  <c r="V331" i="53" s="1"/>
  <c r="U331" i="53" s="1"/>
  <c r="W331" i="53" s="1"/>
  <c r="V332" i="53" s="1"/>
  <c r="U332" i="53" s="1"/>
  <c r="W332" i="53" s="1"/>
  <c r="V333" i="53" s="1"/>
  <c r="U333" i="53" s="1"/>
  <c r="W333" i="53" s="1"/>
  <c r="V334" i="53" s="1"/>
  <c r="U334" i="53" s="1"/>
  <c r="W334" i="53" s="1"/>
  <c r="V335" i="53" s="1"/>
  <c r="U335" i="53" s="1"/>
  <c r="W335" i="53" s="1"/>
  <c r="V336" i="53" s="1"/>
  <c r="U336" i="53" s="1"/>
  <c r="W336" i="53" s="1"/>
  <c r="V337" i="53" s="1"/>
  <c r="U337" i="53" s="1"/>
  <c r="W337" i="53" s="1"/>
  <c r="V338" i="53" s="1"/>
  <c r="U338" i="53" s="1"/>
  <c r="W338" i="53" s="1"/>
  <c r="V339" i="53" s="1"/>
  <c r="U339" i="53" s="1"/>
  <c r="W339" i="53" s="1"/>
  <c r="V340" i="53" s="1"/>
  <c r="U340" i="53" s="1"/>
  <c r="W340" i="53" s="1"/>
  <c r="V341" i="53" s="1"/>
  <c r="U341" i="53" s="1"/>
  <c r="W341" i="53" s="1"/>
  <c r="V342" i="53" s="1"/>
  <c r="U342" i="53" s="1"/>
  <c r="W342" i="53" s="1"/>
  <c r="V343" i="53" s="1"/>
  <c r="U343" i="53" s="1"/>
  <c r="W343" i="53" s="1"/>
  <c r="V344" i="53" s="1"/>
  <c r="U344" i="53" s="1"/>
  <c r="W344" i="53" s="1"/>
  <c r="V345" i="53" s="1"/>
  <c r="U345" i="53" s="1"/>
  <c r="W345" i="53" s="1"/>
  <c r="V346" i="53" s="1"/>
  <c r="U346" i="53" s="1"/>
  <c r="W346" i="53" s="1"/>
  <c r="V347" i="53" s="1"/>
  <c r="U347" i="53" s="1"/>
  <c r="W347" i="53" s="1"/>
  <c r="V348" i="53" s="1"/>
  <c r="U348" i="53" s="1"/>
  <c r="W348" i="53" s="1"/>
  <c r="V349" i="53" s="1"/>
  <c r="U349" i="53" s="1"/>
  <c r="W349" i="53" s="1"/>
  <c r="V350" i="53" s="1"/>
  <c r="U350" i="53" s="1"/>
  <c r="W350" i="53" s="1"/>
  <c r="V351" i="53" s="1"/>
  <c r="U351" i="53" s="1"/>
  <c r="W351" i="53" s="1"/>
  <c r="V352" i="53" s="1"/>
  <c r="U352" i="53" s="1"/>
  <c r="W352" i="53" s="1"/>
  <c r="V353" i="53" s="1"/>
  <c r="U353" i="53" s="1"/>
  <c r="W353" i="53" s="1"/>
  <c r="V354" i="53" s="1"/>
  <c r="U354" i="53" s="1"/>
  <c r="W354" i="53" s="1"/>
  <c r="V355" i="53" s="1"/>
  <c r="U355" i="53" s="1"/>
  <c r="W355" i="53" s="1"/>
  <c r="V356" i="53" s="1"/>
  <c r="U356" i="53" s="1"/>
  <c r="W356" i="53" s="1"/>
  <c r="V357" i="53" s="1"/>
  <c r="U357" i="53" s="1"/>
  <c r="W357" i="53" s="1"/>
  <c r="V358" i="53" s="1"/>
  <c r="U358" i="53" s="1"/>
  <c r="W358" i="53" s="1"/>
  <c r="V359" i="53" s="1"/>
  <c r="U359" i="53" s="1"/>
  <c r="W359" i="53" s="1"/>
  <c r="V360" i="53" s="1"/>
  <c r="U360" i="53" s="1"/>
  <c r="W360" i="53" s="1"/>
  <c r="V361" i="53" s="1"/>
  <c r="U361" i="53" s="1"/>
  <c r="W361" i="53" s="1"/>
  <c r="V362" i="53" s="1"/>
  <c r="U362" i="53" s="1"/>
  <c r="W362" i="53" s="1"/>
  <c r="V363" i="53" s="1"/>
  <c r="U363" i="53" s="1"/>
  <c r="W363" i="53" s="1"/>
  <c r="V364" i="53" s="1"/>
  <c r="U364" i="53" s="1"/>
  <c r="W364" i="53" s="1"/>
  <c r="V365" i="53" s="1"/>
  <c r="U365" i="53" s="1"/>
  <c r="W365" i="53" s="1"/>
  <c r="V366" i="53" s="1"/>
  <c r="U366" i="53" s="1"/>
  <c r="W366" i="53" s="1"/>
  <c r="V367" i="53" s="1"/>
  <c r="U367" i="53" s="1"/>
  <c r="W367" i="53" s="1"/>
  <c r="V368" i="53" s="1"/>
  <c r="U368" i="53" s="1"/>
  <c r="W368" i="53" s="1"/>
  <c r="V369" i="53" s="1"/>
  <c r="U369" i="53" s="1"/>
  <c r="W369" i="53" s="1"/>
  <c r="V370" i="53" s="1"/>
  <c r="U370" i="53" s="1"/>
  <c r="W370" i="53" s="1"/>
  <c r="V371" i="53" s="1"/>
  <c r="U371" i="53" s="1"/>
  <c r="W371" i="53" s="1"/>
  <c r="V372" i="53" s="1"/>
  <c r="U372" i="53" s="1"/>
  <c r="W372" i="53" s="1"/>
  <c r="V373" i="53" s="1"/>
  <c r="U373" i="53" s="1"/>
  <c r="W373" i="53" s="1"/>
  <c r="V374" i="53" s="1"/>
  <c r="U374" i="53" s="1"/>
  <c r="W374" i="53" s="1"/>
  <c r="V375" i="53" s="1"/>
  <c r="U375" i="53" s="1"/>
  <c r="W375" i="53" s="1"/>
  <c r="V376" i="53" s="1"/>
  <c r="U376" i="53" s="1"/>
  <c r="W376" i="53" s="1"/>
  <c r="V377" i="53" s="1"/>
  <c r="U377" i="53" s="1"/>
  <c r="W377" i="53" s="1"/>
  <c r="V378" i="53" s="1"/>
  <c r="U378" i="53" s="1"/>
  <c r="W378" i="53" s="1"/>
  <c r="V379" i="53" s="1"/>
  <c r="U379" i="53" s="1"/>
  <c r="W379" i="53" s="1"/>
  <c r="V380" i="53" s="1"/>
  <c r="U380" i="53" s="1"/>
  <c r="W380" i="53" s="1"/>
  <c r="V381" i="53" s="1"/>
  <c r="U381" i="53" s="1"/>
  <c r="W381" i="53" s="1"/>
  <c r="V382" i="53" s="1"/>
  <c r="U382" i="53" s="1"/>
  <c r="W382" i="53" s="1"/>
  <c r="V383" i="53" s="1"/>
  <c r="U383" i="53" s="1"/>
  <c r="W383" i="53" s="1"/>
  <c r="V384" i="53" s="1"/>
  <c r="U384" i="53" s="1"/>
  <c r="W384" i="53" s="1"/>
  <c r="V385" i="53" s="1"/>
  <c r="U385" i="53" s="1"/>
  <c r="W385" i="53" s="1"/>
  <c r="V386" i="53" s="1"/>
  <c r="U386" i="53" s="1"/>
  <c r="W386" i="53" s="1"/>
  <c r="V387" i="53" s="1"/>
  <c r="U387" i="53" s="1"/>
  <c r="W387" i="53" s="1"/>
  <c r="V388" i="53" s="1"/>
  <c r="U388" i="53" s="1"/>
  <c r="W388" i="53" s="1"/>
  <c r="V389" i="53" s="1"/>
  <c r="U389" i="53" s="1"/>
  <c r="W389" i="53" s="1"/>
  <c r="V390" i="53" s="1"/>
  <c r="U390" i="53" s="1"/>
  <c r="W390" i="53" s="1"/>
  <c r="V391" i="53" s="1"/>
  <c r="U391" i="53" s="1"/>
  <c r="W391" i="53" s="1"/>
  <c r="V392" i="53" s="1"/>
  <c r="U392" i="53" s="1"/>
  <c r="W392" i="53" s="1"/>
  <c r="V393" i="53" s="1"/>
  <c r="U393" i="53" s="1"/>
  <c r="W393" i="53" s="1"/>
  <c r="V394" i="53" s="1"/>
  <c r="U394" i="53" s="1"/>
  <c r="W394" i="53" s="1"/>
  <c r="V395" i="53" s="1"/>
  <c r="U395" i="53" s="1"/>
  <c r="W395" i="53" s="1"/>
  <c r="V396" i="53" s="1"/>
  <c r="U396" i="53" s="1"/>
  <c r="W396" i="53" s="1"/>
  <c r="V397" i="53" s="1"/>
  <c r="U397" i="53" s="1"/>
  <c r="W397" i="53" s="1"/>
  <c r="V398" i="53" s="1"/>
  <c r="U398" i="53" s="1"/>
  <c r="W398" i="53" s="1"/>
  <c r="V399" i="53" s="1"/>
  <c r="U399" i="53" s="1"/>
  <c r="W399" i="53" s="1"/>
  <c r="V400" i="53" s="1"/>
  <c r="U400" i="53" s="1"/>
  <c r="W400" i="53" s="1"/>
  <c r="V401" i="53" s="1"/>
  <c r="U401" i="53" s="1"/>
  <c r="W401" i="53" s="1"/>
  <c r="V402" i="53" s="1"/>
  <c r="U402" i="53" s="1"/>
  <c r="W402" i="53" s="1"/>
  <c r="V403" i="53" s="1"/>
  <c r="U403" i="53" s="1"/>
  <c r="W403" i="53" s="1"/>
  <c r="V404" i="53" s="1"/>
  <c r="U404" i="53" s="1"/>
  <c r="W404" i="53" s="1"/>
  <c r="V405" i="53" s="1"/>
  <c r="U405" i="53" s="1"/>
  <c r="W405" i="53" s="1"/>
  <c r="V406" i="53" s="1"/>
  <c r="U406" i="53" s="1"/>
  <c r="W406" i="53" s="1"/>
  <c r="V407" i="53" s="1"/>
  <c r="U407" i="53" s="1"/>
  <c r="W407" i="53" s="1"/>
  <c r="V408" i="53" s="1"/>
  <c r="U408" i="53" s="1"/>
  <c r="W408" i="53" s="1"/>
  <c r="V409" i="53" s="1"/>
  <c r="U409" i="53" s="1"/>
  <c r="W409" i="53" s="1"/>
  <c r="V410" i="53" s="1"/>
  <c r="U410" i="53" s="1"/>
  <c r="W410" i="53" s="1"/>
  <c r="V411" i="53" s="1"/>
  <c r="U411" i="53" s="1"/>
  <c r="W411" i="53" s="1"/>
  <c r="V412" i="53" s="1"/>
  <c r="U412" i="53" s="1"/>
  <c r="W412" i="53" s="1"/>
  <c r="V413" i="53" s="1"/>
  <c r="U413" i="53" s="1"/>
  <c r="W413" i="53" s="1"/>
  <c r="V414" i="53" s="1"/>
  <c r="U414" i="53" s="1"/>
  <c r="W414" i="53" s="1"/>
  <c r="V415" i="53" s="1"/>
  <c r="U415" i="53" s="1"/>
  <c r="W415" i="53" s="1"/>
  <c r="V416" i="53" s="1"/>
  <c r="U416" i="53" s="1"/>
  <c r="W416" i="53" s="1"/>
  <c r="V417" i="53" s="1"/>
  <c r="U417" i="53" s="1"/>
  <c r="W417" i="53" s="1"/>
  <c r="V418" i="53" s="1"/>
  <c r="U418" i="53" s="1"/>
  <c r="W418" i="53" s="1"/>
  <c r="V419" i="53" s="1"/>
  <c r="U419" i="53" s="1"/>
  <c r="W419" i="53" s="1"/>
  <c r="V420" i="53" s="1"/>
  <c r="U420" i="53" s="1"/>
  <c r="W420" i="53" s="1"/>
  <c r="V421" i="53" s="1"/>
  <c r="U421" i="53" s="1"/>
  <c r="W421" i="53" s="1"/>
  <c r="V422" i="53" s="1"/>
  <c r="U422" i="53" s="1"/>
  <c r="W422" i="53" s="1"/>
  <c r="V423" i="53" s="1"/>
  <c r="U423" i="53" s="1"/>
  <c r="W423" i="53" s="1"/>
  <c r="V424" i="53" s="1"/>
  <c r="U424" i="53" s="1"/>
  <c r="W424" i="53" s="1"/>
  <c r="V425" i="53" s="1"/>
  <c r="U425" i="53" s="1"/>
  <c r="W425" i="53" s="1"/>
  <c r="V426" i="53" s="1"/>
  <c r="U426" i="53" s="1"/>
  <c r="W426" i="53" s="1"/>
  <c r="V427" i="53" s="1"/>
  <c r="U427" i="53" s="1"/>
  <c r="W427" i="53" s="1"/>
  <c r="V428" i="53" s="1"/>
  <c r="U428" i="53" s="1"/>
  <c r="W428" i="53" s="1"/>
  <c r="V429" i="53" s="1"/>
  <c r="U429" i="53" s="1"/>
  <c r="W429" i="53" s="1"/>
  <c r="V430" i="53" s="1"/>
  <c r="U430" i="53" s="1"/>
  <c r="W430" i="53" s="1"/>
  <c r="V431" i="53" s="1"/>
  <c r="U431" i="53" s="1"/>
  <c r="W431" i="53" s="1"/>
  <c r="V432" i="53" s="1"/>
  <c r="U432" i="53" s="1"/>
  <c r="W432" i="53" s="1"/>
  <c r="V433" i="53" s="1"/>
  <c r="U433" i="53" s="1"/>
  <c r="W433" i="53" s="1"/>
  <c r="V434" i="53" s="1"/>
  <c r="U434" i="53" s="1"/>
  <c r="W434" i="53" s="1"/>
  <c r="V435" i="53" s="1"/>
  <c r="U435" i="53" s="1"/>
  <c r="W435" i="53" s="1"/>
  <c r="V436" i="53" s="1"/>
  <c r="U436" i="53" s="1"/>
  <c r="W436" i="53" s="1"/>
  <c r="V437" i="53" s="1"/>
  <c r="U437" i="53" s="1"/>
  <c r="W437" i="53" s="1"/>
  <c r="V438" i="53" s="1"/>
  <c r="U438" i="53" s="1"/>
  <c r="W438" i="53" s="1"/>
  <c r="V439" i="53" s="1"/>
  <c r="U439" i="53" s="1"/>
  <c r="W439" i="53" s="1"/>
  <c r="V440" i="53" s="1"/>
  <c r="U440" i="53" s="1"/>
  <c r="W440" i="53" s="1"/>
  <c r="V441" i="53" s="1"/>
  <c r="U441" i="53" s="1"/>
  <c r="W441" i="53" s="1"/>
  <c r="V442" i="53" s="1"/>
  <c r="U442" i="53" s="1"/>
  <c r="W442" i="53" s="1"/>
  <c r="V443" i="53" s="1"/>
  <c r="U443" i="53" s="1"/>
  <c r="W443" i="53" s="1"/>
  <c r="V444" i="53" s="1"/>
  <c r="U444" i="53" s="1"/>
  <c r="W444" i="53" s="1"/>
  <c r="V445" i="53" s="1"/>
  <c r="U445" i="53" s="1"/>
  <c r="W445" i="53" s="1"/>
  <c r="V446" i="53" s="1"/>
  <c r="U446" i="53" s="1"/>
  <c r="W446" i="53" s="1"/>
  <c r="V447" i="53" s="1"/>
  <c r="U447" i="53" s="1"/>
  <c r="W447" i="53" s="1"/>
  <c r="V448" i="53" s="1"/>
  <c r="U448" i="53" s="1"/>
  <c r="W448" i="53" s="1"/>
  <c r="V449" i="53" s="1"/>
  <c r="U449" i="53" s="1"/>
  <c r="W449" i="53" s="1"/>
  <c r="V450" i="53" s="1"/>
  <c r="U450" i="53" s="1"/>
  <c r="W450" i="53" s="1"/>
  <c r="V451" i="53" s="1"/>
  <c r="U451" i="53" s="1"/>
  <c r="W451" i="53" s="1"/>
  <c r="V452" i="53" s="1"/>
  <c r="U452" i="53" s="1"/>
  <c r="W452" i="53" s="1"/>
  <c r="V453" i="53" s="1"/>
  <c r="U453" i="53" s="1"/>
  <c r="W453" i="53" s="1"/>
  <c r="Y175" i="53"/>
  <c r="AA175" i="53" s="1"/>
  <c r="Z176" i="53" s="1"/>
  <c r="Y176" i="53" s="1"/>
  <c r="AA176" i="53" s="1"/>
  <c r="Z177" i="53" s="1"/>
  <c r="Y177" i="53" s="1"/>
  <c r="AA177" i="53" s="1"/>
  <c r="Z178" i="53" s="1"/>
  <c r="Y178" i="53" s="1"/>
  <c r="AA178" i="53" s="1"/>
  <c r="Z179" i="53" s="1"/>
  <c r="Y179" i="53" s="1"/>
  <c r="AA179" i="53" s="1"/>
  <c r="Z180" i="53" s="1"/>
  <c r="Y180" i="53" s="1"/>
  <c r="AA180" i="53" s="1"/>
  <c r="Z181" i="53" s="1"/>
  <c r="Y181" i="53" s="1"/>
  <c r="AA181" i="53" s="1"/>
  <c r="Z182" i="53" s="1"/>
  <c r="Y182" i="53" s="1"/>
  <c r="AA182" i="53" s="1"/>
  <c r="Z183" i="53" s="1"/>
  <c r="Y183" i="53" s="1"/>
  <c r="AA183" i="53" s="1"/>
  <c r="Z184" i="53" s="1"/>
  <c r="Y184" i="53" s="1"/>
  <c r="AA184" i="53" s="1"/>
  <c r="Z185" i="53" s="1"/>
  <c r="Y185" i="53" s="1"/>
  <c r="AA185" i="53" s="1"/>
  <c r="Z186" i="53" s="1"/>
  <c r="Y186" i="53" s="1"/>
  <c r="AA186" i="53" s="1"/>
  <c r="Z187" i="53" s="1"/>
  <c r="Y187" i="53" s="1"/>
  <c r="AA187" i="53" s="1"/>
  <c r="Z188" i="53" s="1"/>
  <c r="Y188" i="53" s="1"/>
  <c r="AA188" i="53" s="1"/>
  <c r="Z189" i="53" s="1"/>
  <c r="Y189" i="53" s="1"/>
  <c r="AA189" i="53" s="1"/>
  <c r="Z190" i="53" s="1"/>
  <c r="Y190" i="53" s="1"/>
  <c r="AA190" i="53" s="1"/>
  <c r="Z191" i="53" s="1"/>
  <c r="Y191" i="53" s="1"/>
  <c r="AA191" i="53" s="1"/>
  <c r="Z192" i="53" s="1"/>
  <c r="Y192" i="53" s="1"/>
  <c r="AA192" i="53" s="1"/>
  <c r="Z193" i="53" s="1"/>
  <c r="Y193" i="53" s="1"/>
  <c r="AA193" i="53" s="1"/>
  <c r="Z194" i="53" s="1"/>
  <c r="Y194" i="53" s="1"/>
  <c r="AA194" i="53" s="1"/>
  <c r="Z195" i="53" s="1"/>
  <c r="Y195" i="53" s="1"/>
  <c r="AA195" i="53" s="1"/>
  <c r="Z196" i="53" s="1"/>
  <c r="Y196" i="53" s="1"/>
  <c r="AA196" i="53" s="1"/>
  <c r="Z197" i="53" s="1"/>
  <c r="Y197" i="53" s="1"/>
  <c r="AA197" i="53" s="1"/>
  <c r="Z198" i="53" s="1"/>
  <c r="Y198" i="53" s="1"/>
  <c r="AA198" i="53" s="1"/>
  <c r="Z199" i="53" s="1"/>
  <c r="Y199" i="53" s="1"/>
  <c r="AA199" i="53" s="1"/>
  <c r="Z200" i="53" s="1"/>
  <c r="Y200" i="53" s="1"/>
  <c r="AA200" i="53" s="1"/>
  <c r="Z201" i="53" s="1"/>
  <c r="Y201" i="53" s="1"/>
  <c r="AA201" i="53" s="1"/>
  <c r="Z202" i="53" s="1"/>
  <c r="Y202" i="53" s="1"/>
  <c r="AA202" i="53" s="1"/>
  <c r="Z203" i="53" s="1"/>
  <c r="Y203" i="53" s="1"/>
  <c r="AA203" i="53" s="1"/>
  <c r="Z204" i="53" s="1"/>
  <c r="Y204" i="53" s="1"/>
  <c r="AA204" i="53" s="1"/>
  <c r="Z205" i="53" s="1"/>
  <c r="Y205" i="53" s="1"/>
  <c r="AA205" i="53" s="1"/>
  <c r="Z206" i="53" s="1"/>
  <c r="Y206" i="53" s="1"/>
  <c r="AA206" i="53" s="1"/>
  <c r="Z207" i="53" s="1"/>
  <c r="Y207" i="53" s="1"/>
  <c r="AA207" i="53" s="1"/>
  <c r="Z208" i="53" s="1"/>
  <c r="Y208" i="53" s="1"/>
  <c r="AA208" i="53" s="1"/>
  <c r="Z209" i="53" s="1"/>
  <c r="Y209" i="53" s="1"/>
  <c r="AA209" i="53" s="1"/>
  <c r="Z210" i="53" s="1"/>
  <c r="Y210" i="53" s="1"/>
  <c r="AA210" i="53" s="1"/>
  <c r="Z211" i="53" s="1"/>
  <c r="Y211" i="53" s="1"/>
  <c r="AA211" i="53" s="1"/>
  <c r="Z212" i="53" s="1"/>
  <c r="Y212" i="53" s="1"/>
  <c r="AA212" i="53" s="1"/>
  <c r="Z213" i="53" s="1"/>
  <c r="Y213" i="53" s="1"/>
  <c r="AA213" i="53" s="1"/>
  <c r="Z214" i="53" s="1"/>
  <c r="Y214" i="53" s="1"/>
  <c r="AA214" i="53" s="1"/>
  <c r="Z215" i="53" s="1"/>
  <c r="Y215" i="53" s="1"/>
  <c r="AA215" i="53" s="1"/>
  <c r="Z216" i="53" s="1"/>
  <c r="Y216" i="53" s="1"/>
  <c r="AA216" i="53" s="1"/>
  <c r="Z217" i="53" s="1"/>
  <c r="Y217" i="53" s="1"/>
  <c r="AA217" i="53" s="1"/>
  <c r="Z218" i="53" s="1"/>
  <c r="Y218" i="53" s="1"/>
  <c r="AA218" i="53" s="1"/>
  <c r="Z219" i="53" s="1"/>
  <c r="Y219" i="53" s="1"/>
  <c r="AA219" i="53" s="1"/>
  <c r="Z220" i="53" s="1"/>
  <c r="Y220" i="53" s="1"/>
  <c r="AA220" i="53" s="1"/>
  <c r="Z221" i="53" s="1"/>
  <c r="Y221" i="53" s="1"/>
  <c r="AA221" i="53" s="1"/>
  <c r="Z222" i="53" s="1"/>
  <c r="Y222" i="53" s="1"/>
  <c r="AA222" i="53" s="1"/>
  <c r="Z223" i="53" s="1"/>
  <c r="Y223" i="53" s="1"/>
  <c r="AA223" i="53" s="1"/>
  <c r="Z224" i="53" s="1"/>
  <c r="Y224" i="53" s="1"/>
  <c r="AA224" i="53" s="1"/>
  <c r="Z225" i="53" s="1"/>
  <c r="Y225" i="53" s="1"/>
  <c r="AA225" i="53" s="1"/>
  <c r="Z226" i="53" s="1"/>
  <c r="Y226" i="53" s="1"/>
  <c r="AA226" i="53" s="1"/>
  <c r="Z227" i="53" s="1"/>
  <c r="Y227" i="53" s="1"/>
  <c r="AA227" i="53" s="1"/>
  <c r="Z228" i="53" s="1"/>
  <c r="Y228" i="53" s="1"/>
  <c r="AA228" i="53" s="1"/>
  <c r="Z229" i="53" s="1"/>
  <c r="Y229" i="53" s="1"/>
  <c r="AA229" i="53" s="1"/>
  <c r="Z230" i="53" s="1"/>
  <c r="Y230" i="53" s="1"/>
  <c r="AA230" i="53" s="1"/>
  <c r="Z231" i="53" s="1"/>
  <c r="Y231" i="53" s="1"/>
  <c r="AA231" i="53" s="1"/>
  <c r="Z232" i="53" s="1"/>
  <c r="Y232" i="53" s="1"/>
  <c r="AA232" i="53" s="1"/>
  <c r="Z233" i="53" s="1"/>
  <c r="Y233" i="53" s="1"/>
  <c r="AA233" i="53" s="1"/>
  <c r="Z234" i="53" s="1"/>
  <c r="Y234" i="53" s="1"/>
  <c r="AA234" i="53" s="1"/>
  <c r="Z235" i="53" s="1"/>
  <c r="Y235" i="53" s="1"/>
  <c r="AA235" i="53" s="1"/>
  <c r="Z236" i="53" s="1"/>
  <c r="Y236" i="53" s="1"/>
  <c r="AA236" i="53" s="1"/>
  <c r="Z237" i="53" s="1"/>
  <c r="Y237" i="53" s="1"/>
  <c r="AA237" i="53" s="1"/>
  <c r="Z238" i="53" s="1"/>
  <c r="Y238" i="53" s="1"/>
  <c r="AA238" i="53" s="1"/>
  <c r="Z239" i="53" s="1"/>
  <c r="Y239" i="53" s="1"/>
  <c r="AA239" i="53" s="1"/>
  <c r="Z240" i="53" s="1"/>
  <c r="Y240" i="53" s="1"/>
  <c r="AA240" i="53" s="1"/>
  <c r="Z241" i="53" s="1"/>
  <c r="Y241" i="53" s="1"/>
  <c r="AA241" i="53" s="1"/>
  <c r="Z242" i="53" s="1"/>
  <c r="Y242" i="53" s="1"/>
  <c r="AA242" i="53" s="1"/>
  <c r="Z243" i="53" s="1"/>
  <c r="Y243" i="53" s="1"/>
  <c r="AA243" i="53" s="1"/>
  <c r="Z244" i="53" s="1"/>
  <c r="Y244" i="53" s="1"/>
  <c r="AA244" i="53" s="1"/>
  <c r="Z245" i="53" s="1"/>
  <c r="Y245" i="53" s="1"/>
  <c r="AA245" i="53" s="1"/>
  <c r="Z246" i="53" s="1"/>
  <c r="Y246" i="53" s="1"/>
  <c r="AA246" i="53" s="1"/>
  <c r="Z247" i="53" s="1"/>
  <c r="Y247" i="53" s="1"/>
  <c r="AA247" i="53" s="1"/>
  <c r="Z248" i="53" s="1"/>
  <c r="Y248" i="53" s="1"/>
  <c r="AA248" i="53" s="1"/>
  <c r="Z249" i="53" s="1"/>
  <c r="Y249" i="53" s="1"/>
  <c r="AA249" i="53" s="1"/>
  <c r="Z250" i="53" s="1"/>
  <c r="Y250" i="53" s="1"/>
  <c r="AA250" i="53" s="1"/>
  <c r="Z251" i="53" s="1"/>
  <c r="Y251" i="53" s="1"/>
  <c r="AA251" i="53" s="1"/>
  <c r="Z252" i="53" s="1"/>
  <c r="Y252" i="53" s="1"/>
  <c r="AA252" i="53" s="1"/>
  <c r="Z253" i="53" s="1"/>
  <c r="Y253" i="53" s="1"/>
  <c r="AA253" i="53" s="1"/>
  <c r="Z254" i="53" s="1"/>
  <c r="Y254" i="53" s="1"/>
  <c r="AA254" i="53" s="1"/>
  <c r="Z255" i="53" s="1"/>
  <c r="Y255" i="53" s="1"/>
  <c r="AA255" i="53" s="1"/>
  <c r="Z256" i="53" s="1"/>
  <c r="Y256" i="53" s="1"/>
  <c r="AA256" i="53" s="1"/>
  <c r="Z257" i="53" s="1"/>
  <c r="Y257" i="53" s="1"/>
  <c r="AA257" i="53" s="1"/>
  <c r="Z258" i="53" s="1"/>
  <c r="Y258" i="53" s="1"/>
  <c r="AA258" i="53" s="1"/>
  <c r="Z259" i="53" s="1"/>
  <c r="Y259" i="53" s="1"/>
  <c r="AA259" i="53" s="1"/>
  <c r="Z260" i="53" s="1"/>
  <c r="Y260" i="53" s="1"/>
  <c r="AA260" i="53" s="1"/>
  <c r="Z261" i="53" s="1"/>
  <c r="Y261" i="53" s="1"/>
  <c r="AA261" i="53" s="1"/>
  <c r="Z262" i="53" s="1"/>
  <c r="Y262" i="53" s="1"/>
  <c r="AA262" i="53" s="1"/>
  <c r="Z263" i="53" s="1"/>
  <c r="Y263" i="53" s="1"/>
  <c r="AA263" i="53" s="1"/>
  <c r="Z264" i="53" s="1"/>
  <c r="Y264" i="53" s="1"/>
  <c r="AA264" i="53" s="1"/>
  <c r="Z265" i="53" s="1"/>
  <c r="Y265" i="53" s="1"/>
  <c r="AA265" i="53" s="1"/>
  <c r="Z266" i="53" s="1"/>
  <c r="Y266" i="53" s="1"/>
  <c r="AA266" i="53" s="1"/>
  <c r="Z267" i="53" s="1"/>
  <c r="Y267" i="53" s="1"/>
  <c r="AA267" i="53" s="1"/>
  <c r="Z268" i="53" s="1"/>
  <c r="Y268" i="53" s="1"/>
  <c r="AA268" i="53" s="1"/>
  <c r="Z269" i="53" s="1"/>
  <c r="Y269" i="53" s="1"/>
  <c r="AA269" i="53" s="1"/>
  <c r="Z270" i="53" s="1"/>
  <c r="Y270" i="53" s="1"/>
  <c r="AA270" i="53" s="1"/>
  <c r="Z271" i="53" s="1"/>
  <c r="Y271" i="53" s="1"/>
  <c r="AA271" i="53" s="1"/>
  <c r="Z272" i="53" s="1"/>
  <c r="Y272" i="53" s="1"/>
  <c r="AA272" i="53" s="1"/>
  <c r="Z273" i="53" s="1"/>
  <c r="Y273" i="53" s="1"/>
  <c r="AA273" i="53" s="1"/>
  <c r="Z274" i="53" s="1"/>
  <c r="Y274" i="53" s="1"/>
  <c r="AA274" i="53" s="1"/>
  <c r="Z275" i="53" s="1"/>
  <c r="Y275" i="53" s="1"/>
  <c r="AA275" i="53" s="1"/>
  <c r="Z276" i="53" s="1"/>
  <c r="Y276" i="53" s="1"/>
  <c r="AA276" i="53" s="1"/>
  <c r="Z277" i="53" s="1"/>
  <c r="Y277" i="53" s="1"/>
  <c r="AA277" i="53" s="1"/>
  <c r="Z278" i="53" s="1"/>
  <c r="Y278" i="53" s="1"/>
  <c r="AA278" i="53" s="1"/>
  <c r="Z279" i="53" s="1"/>
  <c r="Y279" i="53" s="1"/>
  <c r="AA279" i="53" s="1"/>
  <c r="Z280" i="53" s="1"/>
  <c r="Y280" i="53" s="1"/>
  <c r="AA280" i="53" s="1"/>
  <c r="Z281" i="53" s="1"/>
  <c r="Y281" i="53" s="1"/>
  <c r="AA281" i="53" s="1"/>
  <c r="Z282" i="53" s="1"/>
  <c r="Y282" i="53" s="1"/>
  <c r="AA282" i="53" s="1"/>
  <c r="Z283" i="53" s="1"/>
  <c r="Y283" i="53" s="1"/>
  <c r="AA283" i="53" s="1"/>
  <c r="Z284" i="53" s="1"/>
  <c r="Y284" i="53" s="1"/>
  <c r="AA284" i="53" s="1"/>
  <c r="Z285" i="53" s="1"/>
  <c r="Y285" i="53" s="1"/>
  <c r="AA285" i="53" s="1"/>
  <c r="Z286" i="53" s="1"/>
  <c r="Y286" i="53" s="1"/>
  <c r="AA286" i="53" s="1"/>
  <c r="Z287" i="53" s="1"/>
  <c r="Y287" i="53" s="1"/>
  <c r="AA287" i="53" s="1"/>
  <c r="Z288" i="53" s="1"/>
  <c r="Y288" i="53" s="1"/>
  <c r="AA288" i="53" s="1"/>
  <c r="Z289" i="53" s="1"/>
  <c r="Y289" i="53" s="1"/>
  <c r="AA289" i="53" s="1"/>
  <c r="Z290" i="53" s="1"/>
  <c r="Y290" i="53" s="1"/>
  <c r="AA290" i="53" s="1"/>
  <c r="Z291" i="53" s="1"/>
  <c r="Y291" i="53" s="1"/>
  <c r="AA291" i="53" s="1"/>
  <c r="Z292" i="53" s="1"/>
  <c r="Y292" i="53" s="1"/>
  <c r="AA292" i="53" s="1"/>
  <c r="Z293" i="53" s="1"/>
  <c r="Y293" i="53" s="1"/>
  <c r="AA293" i="53" s="1"/>
  <c r="Z294" i="53" s="1"/>
  <c r="Y294" i="53" s="1"/>
  <c r="AA294" i="53" s="1"/>
  <c r="Z295" i="53" s="1"/>
  <c r="Y295" i="53" s="1"/>
  <c r="AA295" i="53" s="1"/>
  <c r="Z296" i="53" s="1"/>
  <c r="Y296" i="53" s="1"/>
  <c r="AA296" i="53" s="1"/>
  <c r="Z297" i="53" s="1"/>
  <c r="Y297" i="53" s="1"/>
  <c r="AA297" i="53" s="1"/>
  <c r="Z298" i="53" s="1"/>
  <c r="Y298" i="53" s="1"/>
  <c r="AA298" i="53" s="1"/>
  <c r="Z299" i="53" s="1"/>
  <c r="Y299" i="53" s="1"/>
  <c r="AA299" i="53" s="1"/>
  <c r="Z300" i="53" s="1"/>
  <c r="Y300" i="53" s="1"/>
  <c r="AA300" i="53" s="1"/>
  <c r="Z301" i="53" s="1"/>
  <c r="Y301" i="53" s="1"/>
  <c r="AA301" i="53" s="1"/>
  <c r="Z302" i="53" s="1"/>
  <c r="Y302" i="53" s="1"/>
  <c r="AA302" i="53" s="1"/>
  <c r="Z303" i="53" s="1"/>
  <c r="Y303" i="53" s="1"/>
  <c r="AA303" i="53" s="1"/>
  <c r="Z304" i="53" s="1"/>
  <c r="Y304" i="53" s="1"/>
  <c r="AA304" i="53" s="1"/>
  <c r="Z305" i="53" s="1"/>
  <c r="Y305" i="53" s="1"/>
  <c r="AA305" i="53" s="1"/>
  <c r="Z306" i="53" s="1"/>
  <c r="Y306" i="53" s="1"/>
  <c r="AA306" i="53" s="1"/>
  <c r="Z307" i="53" s="1"/>
  <c r="Y307" i="53" s="1"/>
  <c r="AA307" i="53" s="1"/>
  <c r="Z308" i="53" s="1"/>
  <c r="Y308" i="53" s="1"/>
  <c r="AA308" i="53" s="1"/>
  <c r="Z309" i="53" s="1"/>
  <c r="Y309" i="53" s="1"/>
  <c r="AA309" i="53" s="1"/>
  <c r="Z310" i="53" s="1"/>
  <c r="Y310" i="53" s="1"/>
  <c r="AA310" i="53" s="1"/>
  <c r="Z311" i="53" s="1"/>
  <c r="Y311" i="53" s="1"/>
  <c r="AA311" i="53" s="1"/>
  <c r="Z312" i="53" s="1"/>
  <c r="Y312" i="53" s="1"/>
  <c r="AA312" i="53" s="1"/>
  <c r="Z313" i="53" s="1"/>
  <c r="Y313" i="53" s="1"/>
  <c r="AA313" i="53" s="1"/>
  <c r="Z314" i="53" s="1"/>
  <c r="Y314" i="53" s="1"/>
  <c r="AA314" i="53" s="1"/>
  <c r="Z315" i="53" s="1"/>
  <c r="Y315" i="53" s="1"/>
  <c r="AA315" i="53" s="1"/>
  <c r="Z316" i="53" s="1"/>
  <c r="Y316" i="53" s="1"/>
  <c r="AA316" i="53" s="1"/>
  <c r="Z317" i="53" s="1"/>
  <c r="Y317" i="53" s="1"/>
  <c r="AA317" i="53" s="1"/>
  <c r="Z318" i="53" s="1"/>
  <c r="Y318" i="53" s="1"/>
  <c r="AA318" i="53" s="1"/>
  <c r="Z319" i="53" s="1"/>
  <c r="Y319" i="53" s="1"/>
  <c r="AA319" i="53" s="1"/>
  <c r="Z320" i="53" s="1"/>
  <c r="Y320" i="53" s="1"/>
  <c r="AA320" i="53" s="1"/>
  <c r="Z321" i="53" s="1"/>
  <c r="Y321" i="53" s="1"/>
  <c r="AA321" i="53" s="1"/>
  <c r="Z322" i="53" s="1"/>
  <c r="Y322" i="53" s="1"/>
  <c r="AA322" i="53" s="1"/>
  <c r="Z323" i="53" s="1"/>
  <c r="Y323" i="53" s="1"/>
  <c r="AA323" i="53" s="1"/>
  <c r="Z324" i="53" s="1"/>
  <c r="Y324" i="53" s="1"/>
  <c r="AA324" i="53" s="1"/>
  <c r="Z325" i="53" s="1"/>
  <c r="Y325" i="53" s="1"/>
  <c r="AA325" i="53" s="1"/>
  <c r="Z326" i="53" s="1"/>
  <c r="Y326" i="53" s="1"/>
  <c r="AA326" i="53" s="1"/>
  <c r="Z327" i="53" s="1"/>
  <c r="Y327" i="53" s="1"/>
  <c r="AA327" i="53" s="1"/>
  <c r="Z328" i="53" s="1"/>
  <c r="Y328" i="53" s="1"/>
  <c r="AA328" i="53" s="1"/>
  <c r="Z329" i="53" s="1"/>
  <c r="Y329" i="53" s="1"/>
  <c r="AA329" i="53" s="1"/>
  <c r="Z330" i="53" s="1"/>
  <c r="Y330" i="53" s="1"/>
  <c r="AA330" i="53" s="1"/>
  <c r="Z331" i="53" s="1"/>
  <c r="Y331" i="53" s="1"/>
  <c r="AA331" i="53" s="1"/>
  <c r="Z332" i="53" s="1"/>
  <c r="Y332" i="53" s="1"/>
  <c r="AA332" i="53" s="1"/>
  <c r="Z333" i="53" s="1"/>
  <c r="Y333" i="53" s="1"/>
  <c r="AA333" i="53" s="1"/>
  <c r="Z334" i="53" s="1"/>
  <c r="Y334" i="53" s="1"/>
  <c r="AA334" i="53" s="1"/>
  <c r="Z335" i="53" s="1"/>
  <c r="Y335" i="53" s="1"/>
  <c r="AA335" i="53" s="1"/>
  <c r="Z336" i="53" s="1"/>
  <c r="Y336" i="53" s="1"/>
  <c r="AA336" i="53" s="1"/>
  <c r="Z337" i="53" s="1"/>
  <c r="Y337" i="53" s="1"/>
  <c r="AA337" i="53" s="1"/>
  <c r="Z338" i="53" s="1"/>
  <c r="Y338" i="53" s="1"/>
  <c r="AA338" i="53" s="1"/>
  <c r="Z339" i="53" s="1"/>
  <c r="Y339" i="53" s="1"/>
  <c r="AA339" i="53" s="1"/>
  <c r="Z340" i="53" s="1"/>
  <c r="Y340" i="53" s="1"/>
  <c r="AA340" i="53" s="1"/>
  <c r="Z341" i="53" s="1"/>
  <c r="Y341" i="53" s="1"/>
  <c r="AA341" i="53" s="1"/>
  <c r="Z342" i="53" s="1"/>
  <c r="Y342" i="53" s="1"/>
  <c r="AA342" i="53" s="1"/>
  <c r="Z343" i="53" s="1"/>
  <c r="Y343" i="53" s="1"/>
  <c r="AA343" i="53" s="1"/>
  <c r="Z344" i="53" s="1"/>
  <c r="Y344" i="53" s="1"/>
  <c r="AA344" i="53" s="1"/>
  <c r="Z345" i="53" s="1"/>
  <c r="Y345" i="53" s="1"/>
  <c r="AA345" i="53" s="1"/>
  <c r="Z346" i="53" s="1"/>
  <c r="Y346" i="53" s="1"/>
  <c r="AA346" i="53" s="1"/>
  <c r="Z347" i="53" s="1"/>
  <c r="Y347" i="53" s="1"/>
  <c r="AA347" i="53" s="1"/>
  <c r="Z348" i="53" s="1"/>
  <c r="Y348" i="53" s="1"/>
  <c r="AA348" i="53" s="1"/>
  <c r="Z349" i="53" s="1"/>
  <c r="Y349" i="53" s="1"/>
  <c r="AA349" i="53" s="1"/>
  <c r="Z350" i="53" s="1"/>
  <c r="Y350" i="53" s="1"/>
  <c r="AA350" i="53" s="1"/>
  <c r="Z351" i="53" s="1"/>
  <c r="Y351" i="53" s="1"/>
  <c r="AA351" i="53" s="1"/>
  <c r="Z352" i="53" s="1"/>
  <c r="Y352" i="53" s="1"/>
  <c r="AA352" i="53" s="1"/>
  <c r="Z353" i="53" s="1"/>
  <c r="Y353" i="53" s="1"/>
  <c r="AA353" i="53" s="1"/>
  <c r="Z354" i="53" s="1"/>
  <c r="Y354" i="53" s="1"/>
  <c r="AA354" i="53" s="1"/>
  <c r="Z355" i="53" s="1"/>
  <c r="Y355" i="53" s="1"/>
  <c r="AA355" i="53" s="1"/>
  <c r="Z356" i="53" s="1"/>
  <c r="Y356" i="53" s="1"/>
  <c r="AA356" i="53" s="1"/>
  <c r="Z357" i="53" s="1"/>
  <c r="Y357" i="53" s="1"/>
  <c r="AA357" i="53" s="1"/>
  <c r="Z358" i="53" s="1"/>
  <c r="Y358" i="53" s="1"/>
  <c r="AA358" i="53" s="1"/>
  <c r="Z359" i="53" s="1"/>
  <c r="Y359" i="53" s="1"/>
  <c r="AA359" i="53" s="1"/>
  <c r="Z360" i="53" s="1"/>
  <c r="Y360" i="53" s="1"/>
  <c r="AA360" i="53" s="1"/>
  <c r="Z361" i="53" s="1"/>
  <c r="Y361" i="53" s="1"/>
  <c r="AA361" i="53" s="1"/>
  <c r="Z362" i="53" s="1"/>
  <c r="Y362" i="53" s="1"/>
  <c r="AA362" i="53" s="1"/>
  <c r="Z363" i="53" s="1"/>
  <c r="Y363" i="53" s="1"/>
  <c r="AA363" i="53" s="1"/>
  <c r="Z364" i="53" s="1"/>
  <c r="Y364" i="53" s="1"/>
  <c r="AA364" i="53" s="1"/>
  <c r="Z365" i="53" s="1"/>
  <c r="Y365" i="53" s="1"/>
  <c r="AA365" i="53" s="1"/>
  <c r="Z366" i="53" s="1"/>
  <c r="Y366" i="53" s="1"/>
  <c r="AA366" i="53" s="1"/>
  <c r="Z367" i="53" s="1"/>
  <c r="Y367" i="53" s="1"/>
  <c r="AA367" i="53" s="1"/>
  <c r="Z368" i="53" s="1"/>
  <c r="Y368" i="53" s="1"/>
  <c r="AA368" i="53" s="1"/>
  <c r="Z369" i="53" s="1"/>
  <c r="Y369" i="53" s="1"/>
  <c r="AA369" i="53" s="1"/>
  <c r="Z370" i="53" s="1"/>
  <c r="Y370" i="53" s="1"/>
  <c r="AA370" i="53" s="1"/>
  <c r="Z371" i="53" s="1"/>
  <c r="Y371" i="53" s="1"/>
  <c r="AA371" i="53" s="1"/>
  <c r="Z372" i="53" s="1"/>
  <c r="Y372" i="53" s="1"/>
  <c r="AA372" i="53" s="1"/>
  <c r="Z373" i="53" s="1"/>
  <c r="Y373" i="53" s="1"/>
  <c r="AA373" i="53" s="1"/>
  <c r="Z374" i="53" s="1"/>
  <c r="Y374" i="53" s="1"/>
  <c r="AA374" i="53" s="1"/>
  <c r="Z375" i="53" s="1"/>
  <c r="Y375" i="53" s="1"/>
  <c r="AA375" i="53" s="1"/>
  <c r="Z376" i="53" s="1"/>
  <c r="Y376" i="53" s="1"/>
  <c r="AA376" i="53" s="1"/>
  <c r="Z377" i="53" s="1"/>
  <c r="Y377" i="53" s="1"/>
  <c r="AA377" i="53" s="1"/>
  <c r="Z378" i="53" s="1"/>
  <c r="Y378" i="53" s="1"/>
  <c r="AA378" i="53" s="1"/>
  <c r="Z379" i="53" s="1"/>
  <c r="Y379" i="53" s="1"/>
  <c r="AA379" i="53" s="1"/>
  <c r="Z380" i="53" s="1"/>
  <c r="Y380" i="53" s="1"/>
  <c r="AA380" i="53" s="1"/>
  <c r="Z381" i="53" s="1"/>
  <c r="Y381" i="53" s="1"/>
  <c r="AA381" i="53" s="1"/>
  <c r="Z382" i="53" s="1"/>
  <c r="Y382" i="53" s="1"/>
  <c r="AA382" i="53" s="1"/>
  <c r="Z383" i="53" s="1"/>
  <c r="Y383" i="53" s="1"/>
  <c r="AA383" i="53" s="1"/>
  <c r="Z384" i="53" s="1"/>
  <c r="Y384" i="53" s="1"/>
  <c r="AA384" i="53" s="1"/>
  <c r="Z385" i="53" s="1"/>
  <c r="Y385" i="53" s="1"/>
  <c r="AA385" i="53" s="1"/>
  <c r="Z386" i="53" s="1"/>
  <c r="Y386" i="53" s="1"/>
  <c r="AA386" i="53" s="1"/>
  <c r="Z387" i="53" s="1"/>
  <c r="Y387" i="53" s="1"/>
  <c r="AA387" i="53" s="1"/>
  <c r="Z388" i="53" s="1"/>
  <c r="Y388" i="53" s="1"/>
  <c r="AA388" i="53" s="1"/>
  <c r="Z389" i="53" s="1"/>
  <c r="Y389" i="53" s="1"/>
  <c r="AA389" i="53" s="1"/>
  <c r="Z390" i="53" s="1"/>
  <c r="Y390" i="53" s="1"/>
  <c r="AA390" i="53" s="1"/>
  <c r="Z391" i="53" s="1"/>
  <c r="Y391" i="53" s="1"/>
  <c r="AA391" i="53" s="1"/>
  <c r="Z392" i="53" s="1"/>
  <c r="Y392" i="53" s="1"/>
  <c r="AA392" i="53" s="1"/>
  <c r="Z393" i="53" s="1"/>
  <c r="Y393" i="53" s="1"/>
  <c r="AA393" i="53" s="1"/>
  <c r="Z394" i="53" s="1"/>
  <c r="Y394" i="53" s="1"/>
  <c r="AA394" i="53" s="1"/>
  <c r="Z395" i="53" s="1"/>
  <c r="Y395" i="53" s="1"/>
  <c r="AA395" i="53" s="1"/>
  <c r="Z396" i="53" s="1"/>
  <c r="Y396" i="53" s="1"/>
  <c r="AA396" i="53" s="1"/>
  <c r="Z397" i="53" s="1"/>
  <c r="Y397" i="53" s="1"/>
  <c r="AA397" i="53" s="1"/>
  <c r="Z398" i="53" s="1"/>
  <c r="Y398" i="53" s="1"/>
  <c r="AA398" i="53" s="1"/>
  <c r="Z399" i="53" s="1"/>
  <c r="Y399" i="53" s="1"/>
  <c r="AA399" i="53" s="1"/>
  <c r="Z400" i="53" s="1"/>
  <c r="Y400" i="53" s="1"/>
  <c r="AA400" i="53" s="1"/>
  <c r="Z401" i="53" s="1"/>
  <c r="Y401" i="53" s="1"/>
  <c r="AA401" i="53" s="1"/>
  <c r="Z402" i="53" s="1"/>
  <c r="Y402" i="53" s="1"/>
  <c r="AA402" i="53" s="1"/>
  <c r="Z403" i="53" s="1"/>
  <c r="Y403" i="53" s="1"/>
  <c r="AA403" i="53" s="1"/>
  <c r="Z404" i="53" s="1"/>
  <c r="Y404" i="53" s="1"/>
  <c r="AA404" i="53" s="1"/>
  <c r="Z405" i="53" s="1"/>
  <c r="Y405" i="53" s="1"/>
  <c r="AA405" i="53" s="1"/>
  <c r="Z406" i="53" s="1"/>
  <c r="Y406" i="53" s="1"/>
  <c r="AA406" i="53" s="1"/>
  <c r="Z407" i="53" s="1"/>
  <c r="Y407" i="53" s="1"/>
  <c r="AA407" i="53" s="1"/>
  <c r="Z408" i="53" s="1"/>
  <c r="Y408" i="53" s="1"/>
  <c r="AA408" i="53" s="1"/>
  <c r="Z409" i="53" s="1"/>
  <c r="Y409" i="53" s="1"/>
  <c r="AA409" i="53" s="1"/>
  <c r="Z410" i="53" s="1"/>
  <c r="Y410" i="53" s="1"/>
  <c r="AA410" i="53" s="1"/>
  <c r="Z411" i="53" s="1"/>
  <c r="Y411" i="53" s="1"/>
  <c r="AA411" i="53" s="1"/>
  <c r="Z412" i="53" s="1"/>
  <c r="Y412" i="53" s="1"/>
  <c r="AA412" i="53" s="1"/>
  <c r="Z413" i="53" s="1"/>
  <c r="Y413" i="53" s="1"/>
  <c r="AA413" i="53" s="1"/>
  <c r="Z414" i="53" s="1"/>
  <c r="Y414" i="53" s="1"/>
  <c r="AA414" i="53" s="1"/>
  <c r="Z415" i="53" s="1"/>
  <c r="Y415" i="53" s="1"/>
  <c r="AA415" i="53" s="1"/>
  <c r="Z416" i="53" s="1"/>
  <c r="Y416" i="53" s="1"/>
  <c r="AA416" i="53" s="1"/>
  <c r="Z417" i="53" s="1"/>
  <c r="Y417" i="53" s="1"/>
  <c r="AA417" i="53" s="1"/>
  <c r="Z418" i="53" s="1"/>
  <c r="Y418" i="53" s="1"/>
  <c r="AA418" i="53" s="1"/>
  <c r="Z419" i="53" s="1"/>
  <c r="Y419" i="53" s="1"/>
  <c r="AA419" i="53" s="1"/>
  <c r="Z420" i="53" s="1"/>
  <c r="Y420" i="53" s="1"/>
  <c r="AA420" i="53" s="1"/>
  <c r="Z421" i="53" s="1"/>
  <c r="Y421" i="53" s="1"/>
  <c r="AA421" i="53" s="1"/>
  <c r="Z422" i="53" s="1"/>
  <c r="Y422" i="53" s="1"/>
  <c r="AA422" i="53" s="1"/>
  <c r="Z423" i="53" s="1"/>
  <c r="Y423" i="53" s="1"/>
  <c r="AA423" i="53" s="1"/>
  <c r="Z424" i="53" s="1"/>
  <c r="Y424" i="53" s="1"/>
  <c r="AA424" i="53" s="1"/>
  <c r="Z425" i="53" s="1"/>
  <c r="Y425" i="53" s="1"/>
  <c r="AA425" i="53" s="1"/>
  <c r="Z426" i="53" s="1"/>
  <c r="Y426" i="53" s="1"/>
  <c r="AA426" i="53" s="1"/>
  <c r="Z427" i="53" s="1"/>
  <c r="Y427" i="53" s="1"/>
  <c r="AA427" i="53" s="1"/>
  <c r="Z428" i="53" s="1"/>
  <c r="Y428" i="53" s="1"/>
  <c r="AA428" i="53" s="1"/>
  <c r="Z429" i="53" s="1"/>
  <c r="Y429" i="53" s="1"/>
  <c r="AA429" i="53" s="1"/>
  <c r="Z430" i="53" s="1"/>
  <c r="Y430" i="53" s="1"/>
  <c r="AA430" i="53" s="1"/>
  <c r="Z431" i="53" s="1"/>
  <c r="Y431" i="53" s="1"/>
  <c r="AA431" i="53" s="1"/>
  <c r="Z432" i="53" s="1"/>
  <c r="Y432" i="53" s="1"/>
  <c r="AA432" i="53" s="1"/>
  <c r="Z433" i="53" s="1"/>
  <c r="Y433" i="53" s="1"/>
  <c r="AA433" i="53" s="1"/>
  <c r="Z434" i="53" s="1"/>
  <c r="Y434" i="53" s="1"/>
  <c r="AA434" i="53" s="1"/>
  <c r="Z435" i="53" s="1"/>
  <c r="Y435" i="53" s="1"/>
  <c r="AA435" i="53" s="1"/>
  <c r="Z436" i="53" s="1"/>
  <c r="Y436" i="53" s="1"/>
  <c r="AA436" i="53" s="1"/>
  <c r="Z437" i="53" s="1"/>
  <c r="Y437" i="53" s="1"/>
  <c r="AA437" i="53" s="1"/>
  <c r="Z438" i="53" s="1"/>
  <c r="Y438" i="53" s="1"/>
  <c r="AA438" i="53" s="1"/>
  <c r="Z439" i="53" s="1"/>
  <c r="Y439" i="53" s="1"/>
  <c r="AA439" i="53" s="1"/>
  <c r="Z440" i="53" s="1"/>
  <c r="Y440" i="53" s="1"/>
  <c r="AA440" i="53" s="1"/>
  <c r="Z441" i="53" s="1"/>
  <c r="Y441" i="53" s="1"/>
  <c r="AA441" i="53" s="1"/>
  <c r="Z442" i="53" s="1"/>
  <c r="Y442" i="53" s="1"/>
  <c r="AA442" i="53" s="1"/>
  <c r="Z443" i="53" s="1"/>
  <c r="Y443" i="53" s="1"/>
  <c r="AA443" i="53" s="1"/>
  <c r="Z444" i="53" s="1"/>
  <c r="Y444" i="53" s="1"/>
  <c r="AA444" i="53" s="1"/>
  <c r="Z445" i="53" s="1"/>
  <c r="Y445" i="53" s="1"/>
  <c r="AA445" i="53" s="1"/>
  <c r="Z446" i="53" s="1"/>
  <c r="Y446" i="53" s="1"/>
  <c r="AA446" i="53" s="1"/>
  <c r="Z447" i="53" s="1"/>
  <c r="Y447" i="53" s="1"/>
  <c r="AA447" i="53" s="1"/>
  <c r="Z448" i="53" s="1"/>
  <c r="Y448" i="53" s="1"/>
  <c r="AA448" i="53" s="1"/>
  <c r="Z449" i="53" s="1"/>
  <c r="Y449" i="53" s="1"/>
  <c r="AA449" i="53" s="1"/>
  <c r="Z450" i="53" s="1"/>
  <c r="Y450" i="53" s="1"/>
  <c r="AA450" i="53" s="1"/>
  <c r="Z451" i="53" s="1"/>
  <c r="Y451" i="53" s="1"/>
  <c r="AA451" i="53" s="1"/>
  <c r="Z452" i="53" s="1"/>
  <c r="Y452" i="53" s="1"/>
  <c r="AA452" i="53" s="1"/>
  <c r="Z453" i="53" s="1"/>
  <c r="Y453" i="53" s="1"/>
  <c r="AA453" i="53" s="1"/>
  <c r="I42" i="53"/>
  <c r="AS190" i="53"/>
  <c r="AU190" i="53" s="1"/>
  <c r="AT191" i="53" s="1"/>
  <c r="AS191" i="53" s="1"/>
  <c r="AU191" i="53" s="1"/>
  <c r="AT192" i="53" s="1"/>
  <c r="AS192" i="53" s="1"/>
  <c r="AU192" i="53" s="1"/>
  <c r="AT193" i="53" s="1"/>
  <c r="AS193" i="53" s="1"/>
  <c r="AU193" i="53" s="1"/>
  <c r="AT194" i="53" s="1"/>
  <c r="AS194" i="53" s="1"/>
  <c r="AU194" i="53" s="1"/>
  <c r="AT195" i="53" s="1"/>
  <c r="AS195" i="53" s="1"/>
  <c r="AU195" i="53" s="1"/>
  <c r="AT196" i="53" s="1"/>
  <c r="AS196" i="53" s="1"/>
  <c r="AU196" i="53" s="1"/>
  <c r="AT197" i="53" s="1"/>
  <c r="AS197" i="53" s="1"/>
  <c r="AU197" i="53" s="1"/>
  <c r="AT198" i="53" s="1"/>
  <c r="AS198" i="53" s="1"/>
  <c r="AU198" i="53" s="1"/>
  <c r="AT199" i="53" s="1"/>
  <c r="AS199" i="53" s="1"/>
  <c r="AU199" i="53" s="1"/>
  <c r="AT200" i="53" s="1"/>
  <c r="AS200" i="53" s="1"/>
  <c r="AU200" i="53" s="1"/>
  <c r="AT201" i="53" s="1"/>
  <c r="AS201" i="53" s="1"/>
  <c r="AU201" i="53" s="1"/>
  <c r="AT202" i="53" s="1"/>
  <c r="AS202" i="53" s="1"/>
  <c r="AU202" i="53" s="1"/>
  <c r="AT203" i="53" s="1"/>
  <c r="AS203" i="53" s="1"/>
  <c r="AU203" i="53" s="1"/>
  <c r="AT204" i="53" s="1"/>
  <c r="AS204" i="53" s="1"/>
  <c r="AU204" i="53" s="1"/>
  <c r="AT205" i="53" s="1"/>
  <c r="AS205" i="53" s="1"/>
  <c r="AU205" i="53" s="1"/>
  <c r="AT206" i="53" s="1"/>
  <c r="AS206" i="53" s="1"/>
  <c r="AU206" i="53" s="1"/>
  <c r="AT207" i="53" s="1"/>
  <c r="AS207" i="53" s="1"/>
  <c r="AU207" i="53" s="1"/>
  <c r="AT208" i="53" s="1"/>
  <c r="AS208" i="53" s="1"/>
  <c r="AU208" i="53" s="1"/>
  <c r="AT209" i="53" s="1"/>
  <c r="AS209" i="53" s="1"/>
  <c r="AU209" i="53" s="1"/>
  <c r="AT210" i="53" s="1"/>
  <c r="AS210" i="53" s="1"/>
  <c r="AU210" i="53" s="1"/>
  <c r="AT211" i="53" s="1"/>
  <c r="AS211" i="53" s="1"/>
  <c r="AU211" i="53" s="1"/>
  <c r="AT212" i="53" s="1"/>
  <c r="AS212" i="53" s="1"/>
  <c r="AU212" i="53" s="1"/>
  <c r="AT213" i="53" s="1"/>
  <c r="AS213" i="53" s="1"/>
  <c r="AU213" i="53" s="1"/>
  <c r="AT214" i="53" s="1"/>
  <c r="AS214" i="53" s="1"/>
  <c r="AU214" i="53" s="1"/>
  <c r="AT215" i="53" s="1"/>
  <c r="AS215" i="53" s="1"/>
  <c r="AU215" i="53" s="1"/>
  <c r="AT216" i="53" s="1"/>
  <c r="AS216" i="53" s="1"/>
  <c r="AU216" i="53" s="1"/>
  <c r="AT217" i="53" s="1"/>
  <c r="AS217" i="53" s="1"/>
  <c r="AU217" i="53" s="1"/>
  <c r="AT218" i="53" s="1"/>
  <c r="AS218" i="53" s="1"/>
  <c r="AU218" i="53" s="1"/>
  <c r="AT219" i="53" s="1"/>
  <c r="AS219" i="53" s="1"/>
  <c r="AU219" i="53" s="1"/>
  <c r="AT220" i="53" s="1"/>
  <c r="AS220" i="53" s="1"/>
  <c r="AU220" i="53" s="1"/>
  <c r="AT221" i="53" s="1"/>
  <c r="AS221" i="53" s="1"/>
  <c r="AU221" i="53" s="1"/>
  <c r="AT222" i="53" s="1"/>
  <c r="AS222" i="53" s="1"/>
  <c r="AU222" i="53" s="1"/>
  <c r="AT223" i="53" s="1"/>
  <c r="AS223" i="53" s="1"/>
  <c r="AU223" i="53" s="1"/>
  <c r="AT224" i="53" s="1"/>
  <c r="AS224" i="53" s="1"/>
  <c r="AU224" i="53" s="1"/>
  <c r="AT225" i="53" s="1"/>
  <c r="AS225" i="53" s="1"/>
  <c r="AU225" i="53" s="1"/>
  <c r="AT226" i="53" s="1"/>
  <c r="AS226" i="53" s="1"/>
  <c r="AU226" i="53" s="1"/>
  <c r="AT227" i="53" s="1"/>
  <c r="AS227" i="53" s="1"/>
  <c r="AU227" i="53" s="1"/>
  <c r="AT228" i="53" s="1"/>
  <c r="AS228" i="53" s="1"/>
  <c r="AU228" i="53" s="1"/>
  <c r="AT229" i="53" s="1"/>
  <c r="AS229" i="53" s="1"/>
  <c r="AU229" i="53" s="1"/>
  <c r="AT230" i="53" s="1"/>
  <c r="AS230" i="53" s="1"/>
  <c r="AU230" i="53" s="1"/>
  <c r="AT231" i="53" s="1"/>
  <c r="AS231" i="53" s="1"/>
  <c r="AU231" i="53" s="1"/>
  <c r="AT232" i="53" s="1"/>
  <c r="AS232" i="53" s="1"/>
  <c r="AU232" i="53" s="1"/>
  <c r="AT233" i="53" s="1"/>
  <c r="AS233" i="53" s="1"/>
  <c r="AU233" i="53" s="1"/>
  <c r="AT234" i="53" s="1"/>
  <c r="AS234" i="53" s="1"/>
  <c r="AU234" i="53" s="1"/>
  <c r="AT235" i="53" s="1"/>
  <c r="AS235" i="53" s="1"/>
  <c r="AU235" i="53" s="1"/>
  <c r="AT236" i="53" s="1"/>
  <c r="AS236" i="53" s="1"/>
  <c r="AU236" i="53" s="1"/>
  <c r="AT237" i="53" s="1"/>
  <c r="AS237" i="53" s="1"/>
  <c r="AU237" i="53" s="1"/>
  <c r="AT238" i="53" s="1"/>
  <c r="AS238" i="53" s="1"/>
  <c r="AU238" i="53" s="1"/>
  <c r="AT239" i="53" s="1"/>
  <c r="AS239" i="53" s="1"/>
  <c r="AU239" i="53" s="1"/>
  <c r="AT240" i="53" s="1"/>
  <c r="AS240" i="53" s="1"/>
  <c r="AU240" i="53" s="1"/>
  <c r="AT241" i="53" s="1"/>
  <c r="AS241" i="53" s="1"/>
  <c r="AU241" i="53" s="1"/>
  <c r="AT242" i="53" s="1"/>
  <c r="AS242" i="53" s="1"/>
  <c r="AU242" i="53" s="1"/>
  <c r="AT243" i="53" s="1"/>
  <c r="AS243" i="53" s="1"/>
  <c r="AU243" i="53" s="1"/>
  <c r="AT244" i="53" s="1"/>
  <c r="AS244" i="53" s="1"/>
  <c r="AU244" i="53" s="1"/>
  <c r="AT245" i="53" s="1"/>
  <c r="AS245" i="53" s="1"/>
  <c r="AU245" i="53" s="1"/>
  <c r="AT246" i="53" s="1"/>
  <c r="AS246" i="53" s="1"/>
  <c r="AU246" i="53" s="1"/>
  <c r="AT247" i="53" s="1"/>
  <c r="AS247" i="53" s="1"/>
  <c r="AU247" i="53" s="1"/>
  <c r="AT248" i="53" s="1"/>
  <c r="AS248" i="53" s="1"/>
  <c r="AU248" i="53" s="1"/>
  <c r="AT249" i="53" s="1"/>
  <c r="AS249" i="53" s="1"/>
  <c r="AU249" i="53" s="1"/>
  <c r="AT250" i="53" s="1"/>
  <c r="AS250" i="53" s="1"/>
  <c r="AU250" i="53" s="1"/>
  <c r="AT251" i="53" s="1"/>
  <c r="AS251" i="53" s="1"/>
  <c r="AU251" i="53" s="1"/>
  <c r="AT252" i="53" s="1"/>
  <c r="AS252" i="53" s="1"/>
  <c r="AU252" i="53" s="1"/>
  <c r="AT253" i="53" s="1"/>
  <c r="AS253" i="53" s="1"/>
  <c r="AU253" i="53" s="1"/>
  <c r="AT254" i="53" s="1"/>
  <c r="AS254" i="53" s="1"/>
  <c r="AU254" i="53" s="1"/>
  <c r="AT255" i="53" s="1"/>
  <c r="AS255" i="53" s="1"/>
  <c r="AU255" i="53" s="1"/>
  <c r="AT256" i="53" s="1"/>
  <c r="AS256" i="53" s="1"/>
  <c r="AU256" i="53" s="1"/>
  <c r="AT257" i="53" s="1"/>
  <c r="AS257" i="53" s="1"/>
  <c r="AU257" i="53" s="1"/>
  <c r="AT258" i="53" s="1"/>
  <c r="AS258" i="53" s="1"/>
  <c r="AU258" i="53" s="1"/>
  <c r="AT259" i="53" s="1"/>
  <c r="AS259" i="53" s="1"/>
  <c r="AU259" i="53" s="1"/>
  <c r="AT260" i="53" s="1"/>
  <c r="AS260" i="53" s="1"/>
  <c r="AU260" i="53" s="1"/>
  <c r="AT261" i="53" s="1"/>
  <c r="AS261" i="53" s="1"/>
  <c r="AU261" i="53" s="1"/>
  <c r="AT262" i="53" s="1"/>
  <c r="AS262" i="53" s="1"/>
  <c r="AU262" i="53" s="1"/>
  <c r="AT263" i="53" s="1"/>
  <c r="AS263" i="53" s="1"/>
  <c r="AU263" i="53" s="1"/>
  <c r="AT264" i="53" s="1"/>
  <c r="AS264" i="53" s="1"/>
  <c r="AU264" i="53" s="1"/>
  <c r="AT265" i="53" s="1"/>
  <c r="AS265" i="53" s="1"/>
  <c r="AU265" i="53" s="1"/>
  <c r="AT266" i="53" s="1"/>
  <c r="AS266" i="53" s="1"/>
  <c r="AU266" i="53" s="1"/>
  <c r="AT267" i="53" s="1"/>
  <c r="AS267" i="53" s="1"/>
  <c r="AU267" i="53" s="1"/>
  <c r="AT268" i="53" s="1"/>
  <c r="AS268" i="53" s="1"/>
  <c r="AU268" i="53" s="1"/>
  <c r="AT269" i="53" s="1"/>
  <c r="AS269" i="53" s="1"/>
  <c r="AU269" i="53" s="1"/>
  <c r="AT270" i="53" s="1"/>
  <c r="AS270" i="53" s="1"/>
  <c r="AU270" i="53" s="1"/>
  <c r="AT271" i="53" s="1"/>
  <c r="AS271" i="53" s="1"/>
  <c r="AU271" i="53" s="1"/>
  <c r="AT272" i="53" s="1"/>
  <c r="AS272" i="53" s="1"/>
  <c r="AU272" i="53" s="1"/>
  <c r="AT273" i="53" s="1"/>
  <c r="AS273" i="53" s="1"/>
  <c r="AU273" i="53" s="1"/>
  <c r="AT274" i="53" s="1"/>
  <c r="AS274" i="53" s="1"/>
  <c r="AU274" i="53" s="1"/>
  <c r="AT275" i="53" s="1"/>
  <c r="AS275" i="53" s="1"/>
  <c r="AU275" i="53" s="1"/>
  <c r="AT276" i="53" s="1"/>
  <c r="AS276" i="53" s="1"/>
  <c r="AU276" i="53" s="1"/>
  <c r="AT277" i="53" s="1"/>
  <c r="AS277" i="53" s="1"/>
  <c r="AU277" i="53" s="1"/>
  <c r="AT278" i="53" s="1"/>
  <c r="AS278" i="53" s="1"/>
  <c r="AU278" i="53" s="1"/>
  <c r="AT279" i="53" s="1"/>
  <c r="AS279" i="53" s="1"/>
  <c r="AU279" i="53" s="1"/>
  <c r="AT280" i="53" s="1"/>
  <c r="AS280" i="53" s="1"/>
  <c r="AU280" i="53" s="1"/>
  <c r="AT281" i="53" s="1"/>
  <c r="AS281" i="53" s="1"/>
  <c r="AU281" i="53" s="1"/>
  <c r="AT282" i="53" s="1"/>
  <c r="AS282" i="53" s="1"/>
  <c r="AU282" i="53" s="1"/>
  <c r="AT283" i="53" s="1"/>
  <c r="AS283" i="53" s="1"/>
  <c r="AU283" i="53" s="1"/>
  <c r="AT284" i="53" s="1"/>
  <c r="AS284" i="53" s="1"/>
  <c r="AU284" i="53" s="1"/>
  <c r="AT285" i="53" s="1"/>
  <c r="AS285" i="53" s="1"/>
  <c r="AU285" i="53" s="1"/>
  <c r="AT286" i="53" s="1"/>
  <c r="AS286" i="53" s="1"/>
  <c r="AU286" i="53" s="1"/>
  <c r="AT287" i="53" s="1"/>
  <c r="AS287" i="53" s="1"/>
  <c r="AU287" i="53" s="1"/>
  <c r="AT288" i="53" s="1"/>
  <c r="AS288" i="53" s="1"/>
  <c r="AU288" i="53" s="1"/>
  <c r="AT289" i="53" s="1"/>
  <c r="AS289" i="53" s="1"/>
  <c r="AU289" i="53" s="1"/>
  <c r="AT290" i="53" s="1"/>
  <c r="AS290" i="53" s="1"/>
  <c r="AU290" i="53" s="1"/>
  <c r="AT291" i="53" s="1"/>
  <c r="AS291" i="53" s="1"/>
  <c r="AU291" i="53" s="1"/>
  <c r="AT292" i="53" s="1"/>
  <c r="AS292" i="53" s="1"/>
  <c r="AU292" i="53" s="1"/>
  <c r="AT293" i="53" s="1"/>
  <c r="AS293" i="53" s="1"/>
  <c r="AU293" i="53" s="1"/>
  <c r="AT294" i="53" s="1"/>
  <c r="AS294" i="53" s="1"/>
  <c r="AU294" i="53" s="1"/>
  <c r="AT295" i="53" s="1"/>
  <c r="AS295" i="53" s="1"/>
  <c r="AU295" i="53" s="1"/>
  <c r="AT296" i="53" s="1"/>
  <c r="AS296" i="53" s="1"/>
  <c r="AU296" i="53" s="1"/>
  <c r="AT297" i="53" s="1"/>
  <c r="AS297" i="53" s="1"/>
  <c r="AU297" i="53" s="1"/>
  <c r="AT298" i="53" s="1"/>
  <c r="AS298" i="53" s="1"/>
  <c r="AU298" i="53" s="1"/>
  <c r="AT299" i="53" s="1"/>
  <c r="AS299" i="53" s="1"/>
  <c r="AU299" i="53" s="1"/>
  <c r="AT300" i="53" s="1"/>
  <c r="AS300" i="53" s="1"/>
  <c r="AU300" i="53" s="1"/>
  <c r="AT301" i="53" s="1"/>
  <c r="AS301" i="53" s="1"/>
  <c r="AU301" i="53" s="1"/>
  <c r="AT302" i="53" s="1"/>
  <c r="AS302" i="53" s="1"/>
  <c r="AU302" i="53" s="1"/>
  <c r="AT303" i="53" s="1"/>
  <c r="AS303" i="53" s="1"/>
  <c r="AU303" i="53" s="1"/>
  <c r="AT304" i="53" s="1"/>
  <c r="AS304" i="53" s="1"/>
  <c r="AU304" i="53" s="1"/>
  <c r="AT305" i="53" s="1"/>
  <c r="AS305" i="53" s="1"/>
  <c r="AU305" i="53" s="1"/>
  <c r="AT306" i="53" s="1"/>
  <c r="AS306" i="53" s="1"/>
  <c r="AU306" i="53" s="1"/>
  <c r="AT307" i="53" s="1"/>
  <c r="AS307" i="53" s="1"/>
  <c r="AU307" i="53" s="1"/>
  <c r="AT308" i="53" s="1"/>
  <c r="AS308" i="53" s="1"/>
  <c r="AU308" i="53" s="1"/>
  <c r="AT309" i="53" s="1"/>
  <c r="AS309" i="53" s="1"/>
  <c r="AU309" i="53" s="1"/>
  <c r="AT310" i="53" s="1"/>
  <c r="AS310" i="53" s="1"/>
  <c r="AU310" i="53" s="1"/>
  <c r="AT311" i="53" s="1"/>
  <c r="AS311" i="53" s="1"/>
  <c r="AU311" i="53" s="1"/>
  <c r="AT312" i="53" s="1"/>
  <c r="AS312" i="53" s="1"/>
  <c r="AU312" i="53" s="1"/>
  <c r="AT313" i="53" s="1"/>
  <c r="AS313" i="53" s="1"/>
  <c r="AU313" i="53" s="1"/>
  <c r="AT314" i="53" s="1"/>
  <c r="AS314" i="53" s="1"/>
  <c r="AU314" i="53" s="1"/>
  <c r="AT315" i="53" s="1"/>
  <c r="AS315" i="53" s="1"/>
  <c r="AU315" i="53" s="1"/>
  <c r="AT316" i="53" s="1"/>
  <c r="AS316" i="53" s="1"/>
  <c r="AU316" i="53" s="1"/>
  <c r="AT317" i="53" s="1"/>
  <c r="AS317" i="53" s="1"/>
  <c r="AU317" i="53" s="1"/>
  <c r="AT318" i="53" s="1"/>
  <c r="AS318" i="53" s="1"/>
  <c r="AU318" i="53" s="1"/>
  <c r="AT319" i="53" s="1"/>
  <c r="AS319" i="53" s="1"/>
  <c r="AU319" i="53" s="1"/>
  <c r="AT320" i="53" s="1"/>
  <c r="AS320" i="53" s="1"/>
  <c r="AU320" i="53" s="1"/>
  <c r="AT321" i="53" s="1"/>
  <c r="AS321" i="53" s="1"/>
  <c r="AU321" i="53" s="1"/>
  <c r="AT322" i="53" s="1"/>
  <c r="AS322" i="53" s="1"/>
  <c r="AU322" i="53" s="1"/>
  <c r="AT323" i="53" s="1"/>
  <c r="AS323" i="53" s="1"/>
  <c r="AU323" i="53" s="1"/>
  <c r="AT324" i="53" s="1"/>
  <c r="AS324" i="53" s="1"/>
  <c r="AU324" i="53" s="1"/>
  <c r="AT325" i="53" s="1"/>
  <c r="AS325" i="53" s="1"/>
  <c r="AU325" i="53" s="1"/>
  <c r="AT326" i="53" s="1"/>
  <c r="AS326" i="53" s="1"/>
  <c r="AU326" i="53" s="1"/>
  <c r="AT327" i="53" s="1"/>
  <c r="AS327" i="53" s="1"/>
  <c r="AU327" i="53" s="1"/>
  <c r="AT328" i="53" s="1"/>
  <c r="AS328" i="53" s="1"/>
  <c r="AU328" i="53" s="1"/>
  <c r="AT329" i="53" s="1"/>
  <c r="AS329" i="53" s="1"/>
  <c r="AU329" i="53" s="1"/>
  <c r="AT330" i="53" s="1"/>
  <c r="AS330" i="53" s="1"/>
  <c r="AU330" i="53" s="1"/>
  <c r="AT331" i="53" s="1"/>
  <c r="AS331" i="53" s="1"/>
  <c r="AU331" i="53" s="1"/>
  <c r="AT332" i="53" s="1"/>
  <c r="AS332" i="53" s="1"/>
  <c r="AU332" i="53" s="1"/>
  <c r="AT333" i="53" s="1"/>
  <c r="AS333" i="53" s="1"/>
  <c r="AU333" i="53" s="1"/>
  <c r="AT334" i="53" s="1"/>
  <c r="AS334" i="53" s="1"/>
  <c r="AU334" i="53" s="1"/>
  <c r="AT335" i="53" s="1"/>
  <c r="AS335" i="53" s="1"/>
  <c r="AU335" i="53" s="1"/>
  <c r="AT336" i="53" s="1"/>
  <c r="AS336" i="53" s="1"/>
  <c r="AU336" i="53" s="1"/>
  <c r="AT337" i="53" s="1"/>
  <c r="AS337" i="53" s="1"/>
  <c r="AU337" i="53" s="1"/>
  <c r="AT338" i="53" s="1"/>
  <c r="AS338" i="53" s="1"/>
  <c r="AU338" i="53" s="1"/>
  <c r="AT339" i="53" s="1"/>
  <c r="AS339" i="53" s="1"/>
  <c r="AU339" i="53" s="1"/>
  <c r="AT340" i="53" s="1"/>
  <c r="AS340" i="53" s="1"/>
  <c r="AU340" i="53" s="1"/>
  <c r="AT341" i="53" s="1"/>
  <c r="AS341" i="53" s="1"/>
  <c r="AU341" i="53" s="1"/>
  <c r="AT342" i="53" s="1"/>
  <c r="AS342" i="53" s="1"/>
  <c r="AU342" i="53" s="1"/>
  <c r="AT343" i="53" s="1"/>
  <c r="AS343" i="53" s="1"/>
  <c r="AU343" i="53" s="1"/>
  <c r="AT344" i="53" s="1"/>
  <c r="AS344" i="53" s="1"/>
  <c r="AU344" i="53" s="1"/>
  <c r="AT345" i="53" s="1"/>
  <c r="AS345" i="53" s="1"/>
  <c r="AU345" i="53" s="1"/>
  <c r="AT346" i="53" s="1"/>
  <c r="AS346" i="53" s="1"/>
  <c r="AU346" i="53" s="1"/>
  <c r="AT347" i="53" s="1"/>
  <c r="AS347" i="53" s="1"/>
  <c r="AU347" i="53" s="1"/>
  <c r="AT348" i="53" s="1"/>
  <c r="AS348" i="53" s="1"/>
  <c r="AU348" i="53" s="1"/>
  <c r="AT349" i="53" s="1"/>
  <c r="AS349" i="53" s="1"/>
  <c r="AU349" i="53" s="1"/>
  <c r="AT350" i="53" s="1"/>
  <c r="AS350" i="53" s="1"/>
  <c r="AU350" i="53" s="1"/>
  <c r="AT351" i="53" s="1"/>
  <c r="AS351" i="53" s="1"/>
  <c r="AU351" i="53" s="1"/>
  <c r="AT352" i="53" s="1"/>
  <c r="AS352" i="53" s="1"/>
  <c r="AU352" i="53" s="1"/>
  <c r="AT353" i="53" s="1"/>
  <c r="AS353" i="53" s="1"/>
  <c r="AU353" i="53" s="1"/>
  <c r="AT354" i="53" s="1"/>
  <c r="AS354" i="53" s="1"/>
  <c r="AU354" i="53" s="1"/>
  <c r="AT355" i="53" s="1"/>
  <c r="AS355" i="53" s="1"/>
  <c r="AU355" i="53" s="1"/>
  <c r="AT356" i="53" s="1"/>
  <c r="AS356" i="53" s="1"/>
  <c r="AU356" i="53" s="1"/>
  <c r="AT357" i="53" s="1"/>
  <c r="AS357" i="53" s="1"/>
  <c r="AU357" i="53" s="1"/>
  <c r="AT358" i="53" s="1"/>
  <c r="AS358" i="53" s="1"/>
  <c r="AU358" i="53" s="1"/>
  <c r="AT359" i="53" s="1"/>
  <c r="AS359" i="53" s="1"/>
  <c r="AU359" i="53" s="1"/>
  <c r="AT360" i="53" s="1"/>
  <c r="AS360" i="53" s="1"/>
  <c r="AU360" i="53" s="1"/>
  <c r="AT361" i="53" s="1"/>
  <c r="AS361" i="53" s="1"/>
  <c r="AU361" i="53" s="1"/>
  <c r="AT362" i="53" s="1"/>
  <c r="AS362" i="53" s="1"/>
  <c r="AU362" i="53" s="1"/>
  <c r="AT363" i="53" s="1"/>
  <c r="AS363" i="53" s="1"/>
  <c r="AU363" i="53" s="1"/>
  <c r="AT364" i="53" s="1"/>
  <c r="AS364" i="53" s="1"/>
  <c r="AU364" i="53" s="1"/>
  <c r="AT365" i="53" s="1"/>
  <c r="AS365" i="53" s="1"/>
  <c r="AU365" i="53" s="1"/>
  <c r="AT366" i="53" s="1"/>
  <c r="AS366" i="53" s="1"/>
  <c r="AU366" i="53" s="1"/>
  <c r="AT367" i="53" s="1"/>
  <c r="AS367" i="53" s="1"/>
  <c r="AU367" i="53" s="1"/>
  <c r="AT368" i="53" s="1"/>
  <c r="AS368" i="53" s="1"/>
  <c r="AU368" i="53" s="1"/>
  <c r="AT369" i="53" s="1"/>
  <c r="AS369" i="53" s="1"/>
  <c r="AU369" i="53" s="1"/>
  <c r="AT370" i="53" s="1"/>
  <c r="AS370" i="53" s="1"/>
  <c r="AU370" i="53" s="1"/>
  <c r="AT371" i="53" s="1"/>
  <c r="AS371" i="53" s="1"/>
  <c r="AU371" i="53" s="1"/>
  <c r="AT372" i="53" s="1"/>
  <c r="AS372" i="53" s="1"/>
  <c r="AU372" i="53" s="1"/>
  <c r="AT373" i="53" s="1"/>
  <c r="AS373" i="53" s="1"/>
  <c r="AU373" i="53" s="1"/>
  <c r="AT374" i="53" s="1"/>
  <c r="AS374" i="53" s="1"/>
  <c r="AU374" i="53" s="1"/>
  <c r="AT375" i="53" s="1"/>
  <c r="AS375" i="53" s="1"/>
  <c r="AU375" i="53" s="1"/>
  <c r="AT376" i="53" s="1"/>
  <c r="AS376" i="53" s="1"/>
  <c r="AU376" i="53" s="1"/>
  <c r="AT377" i="53" s="1"/>
  <c r="AS377" i="53" s="1"/>
  <c r="AU377" i="53" s="1"/>
  <c r="AT378" i="53" s="1"/>
  <c r="AS378" i="53" s="1"/>
  <c r="AU378" i="53" s="1"/>
  <c r="AT379" i="53" s="1"/>
  <c r="AS379" i="53" s="1"/>
  <c r="AU379" i="53" s="1"/>
  <c r="AT380" i="53" s="1"/>
  <c r="AS380" i="53" s="1"/>
  <c r="AU380" i="53" s="1"/>
  <c r="AT381" i="53" s="1"/>
  <c r="AS381" i="53" s="1"/>
  <c r="AU381" i="53" s="1"/>
  <c r="AT382" i="53" s="1"/>
  <c r="AS382" i="53" s="1"/>
  <c r="AU382" i="53" s="1"/>
  <c r="AT383" i="53" s="1"/>
  <c r="AS383" i="53" s="1"/>
  <c r="AU383" i="53" s="1"/>
  <c r="AT384" i="53" s="1"/>
  <c r="AS384" i="53" s="1"/>
  <c r="AU384" i="53" s="1"/>
  <c r="AT385" i="53" s="1"/>
  <c r="AS385" i="53" s="1"/>
  <c r="AU385" i="53" s="1"/>
  <c r="AT386" i="53" s="1"/>
  <c r="AS386" i="53" s="1"/>
  <c r="AU386" i="53" s="1"/>
  <c r="AT387" i="53" s="1"/>
  <c r="AS387" i="53" s="1"/>
  <c r="AU387" i="53" s="1"/>
  <c r="AT388" i="53" s="1"/>
  <c r="AS388" i="53" s="1"/>
  <c r="AU388" i="53" s="1"/>
  <c r="AT389" i="53" s="1"/>
  <c r="AS389" i="53" s="1"/>
  <c r="AU389" i="53" s="1"/>
  <c r="AT390" i="53" s="1"/>
  <c r="AS390" i="53" s="1"/>
  <c r="AU390" i="53" s="1"/>
  <c r="AT391" i="53" s="1"/>
  <c r="AS391" i="53" s="1"/>
  <c r="AU391" i="53" s="1"/>
  <c r="AT392" i="53" s="1"/>
  <c r="AS392" i="53" s="1"/>
  <c r="AU392" i="53" s="1"/>
  <c r="AT393" i="53" s="1"/>
  <c r="AS393" i="53" s="1"/>
  <c r="AU393" i="53" s="1"/>
  <c r="AT394" i="53" s="1"/>
  <c r="AS394" i="53" s="1"/>
  <c r="AU394" i="53" s="1"/>
  <c r="AT395" i="53" s="1"/>
  <c r="AS395" i="53" s="1"/>
  <c r="AU395" i="53" s="1"/>
  <c r="AT396" i="53" s="1"/>
  <c r="AS396" i="53" s="1"/>
  <c r="AU396" i="53" s="1"/>
  <c r="AT397" i="53" s="1"/>
  <c r="AS397" i="53" s="1"/>
  <c r="AU397" i="53" s="1"/>
  <c r="AT398" i="53" s="1"/>
  <c r="AS398" i="53" s="1"/>
  <c r="AU398" i="53" s="1"/>
  <c r="AT399" i="53" s="1"/>
  <c r="AS399" i="53" s="1"/>
  <c r="AU399" i="53" s="1"/>
  <c r="AT400" i="53" s="1"/>
  <c r="AS400" i="53" s="1"/>
  <c r="AU400" i="53" s="1"/>
  <c r="AT401" i="53" s="1"/>
  <c r="AS401" i="53" s="1"/>
  <c r="AU401" i="53" s="1"/>
  <c r="AT402" i="53" s="1"/>
  <c r="AS402" i="53" s="1"/>
  <c r="AU402" i="53" s="1"/>
  <c r="AT403" i="53" s="1"/>
  <c r="AS403" i="53" s="1"/>
  <c r="AU403" i="53" s="1"/>
  <c r="AT404" i="53" s="1"/>
  <c r="AS404" i="53" s="1"/>
  <c r="AU404" i="53" s="1"/>
  <c r="AT405" i="53" s="1"/>
  <c r="AS405" i="53" s="1"/>
  <c r="AU405" i="53" s="1"/>
  <c r="AT406" i="53" s="1"/>
  <c r="AS406" i="53" s="1"/>
  <c r="AU406" i="53" s="1"/>
  <c r="AT407" i="53" s="1"/>
  <c r="AS407" i="53" s="1"/>
  <c r="AU407" i="53" s="1"/>
  <c r="AT408" i="53" s="1"/>
  <c r="AS408" i="53" s="1"/>
  <c r="AU408" i="53" s="1"/>
  <c r="AT409" i="53" s="1"/>
  <c r="AS409" i="53" s="1"/>
  <c r="AU409" i="53" s="1"/>
  <c r="AT410" i="53" s="1"/>
  <c r="AS410" i="53" s="1"/>
  <c r="AU410" i="53" s="1"/>
  <c r="AT411" i="53" s="1"/>
  <c r="AS411" i="53" s="1"/>
  <c r="AU411" i="53" s="1"/>
  <c r="AT412" i="53" s="1"/>
  <c r="AS412" i="53" s="1"/>
  <c r="AU412" i="53" s="1"/>
  <c r="AT413" i="53" s="1"/>
  <c r="AS413" i="53" s="1"/>
  <c r="AU413" i="53" s="1"/>
  <c r="AT414" i="53" s="1"/>
  <c r="AS414" i="53" s="1"/>
  <c r="AU414" i="53" s="1"/>
  <c r="AT415" i="53" s="1"/>
  <c r="AS415" i="53" s="1"/>
  <c r="AU415" i="53" s="1"/>
  <c r="AT416" i="53" s="1"/>
  <c r="AS416" i="53" s="1"/>
  <c r="AU416" i="53" s="1"/>
  <c r="AT417" i="53" s="1"/>
  <c r="AS417" i="53" s="1"/>
  <c r="AU417" i="53" s="1"/>
  <c r="AT418" i="53" s="1"/>
  <c r="AS418" i="53" s="1"/>
  <c r="AU418" i="53" s="1"/>
  <c r="AT419" i="53" s="1"/>
  <c r="AS419" i="53" s="1"/>
  <c r="AU419" i="53" s="1"/>
  <c r="AT420" i="53" s="1"/>
  <c r="AS420" i="53" s="1"/>
  <c r="AU420" i="53" s="1"/>
  <c r="AT421" i="53" s="1"/>
  <c r="AS421" i="53" s="1"/>
  <c r="AU421" i="53" s="1"/>
  <c r="AT422" i="53" s="1"/>
  <c r="AS422" i="53" s="1"/>
  <c r="AU422" i="53" s="1"/>
  <c r="AT423" i="53" s="1"/>
  <c r="AS423" i="53" s="1"/>
  <c r="AU423" i="53" s="1"/>
  <c r="AT424" i="53" s="1"/>
  <c r="AS424" i="53" s="1"/>
  <c r="AU424" i="53" s="1"/>
  <c r="AT425" i="53" s="1"/>
  <c r="AS425" i="53" s="1"/>
  <c r="AU425" i="53" s="1"/>
  <c r="AT426" i="53" s="1"/>
  <c r="AS426" i="53" s="1"/>
  <c r="AU426" i="53" s="1"/>
  <c r="AT427" i="53" s="1"/>
  <c r="AS427" i="53" s="1"/>
  <c r="AU427" i="53" s="1"/>
  <c r="AT428" i="53" s="1"/>
  <c r="AS428" i="53" s="1"/>
  <c r="AU428" i="53" s="1"/>
  <c r="AT429" i="53" s="1"/>
  <c r="AS429" i="53" s="1"/>
  <c r="AU429" i="53" s="1"/>
  <c r="AT430" i="53" s="1"/>
  <c r="AS430" i="53" s="1"/>
  <c r="AU430" i="53" s="1"/>
  <c r="AT431" i="53" s="1"/>
  <c r="AS431" i="53" s="1"/>
  <c r="AU431" i="53" s="1"/>
  <c r="AT432" i="53" s="1"/>
  <c r="AS432" i="53" s="1"/>
  <c r="AU432" i="53" s="1"/>
  <c r="AT433" i="53" s="1"/>
  <c r="AS433" i="53" s="1"/>
  <c r="AU433" i="53" s="1"/>
  <c r="AT434" i="53" s="1"/>
  <c r="AS434" i="53" s="1"/>
  <c r="AU434" i="53" s="1"/>
  <c r="AT435" i="53" s="1"/>
  <c r="AS435" i="53" s="1"/>
  <c r="AU435" i="53" s="1"/>
  <c r="AT436" i="53" s="1"/>
  <c r="AS436" i="53" s="1"/>
  <c r="AU436" i="53" s="1"/>
  <c r="AT437" i="53" s="1"/>
  <c r="AS437" i="53" s="1"/>
  <c r="AU437" i="53" s="1"/>
  <c r="AT438" i="53" s="1"/>
  <c r="AS438" i="53" s="1"/>
  <c r="AU438" i="53" s="1"/>
  <c r="AT439" i="53" s="1"/>
  <c r="AS439" i="53" s="1"/>
  <c r="AU439" i="53" s="1"/>
  <c r="AT440" i="53" s="1"/>
  <c r="AS440" i="53" s="1"/>
  <c r="AU440" i="53" s="1"/>
  <c r="AT441" i="53" s="1"/>
  <c r="AS441" i="53" s="1"/>
  <c r="AU441" i="53" s="1"/>
  <c r="AT442" i="53" s="1"/>
  <c r="AS442" i="53" s="1"/>
  <c r="AU442" i="53" s="1"/>
  <c r="AT443" i="53" s="1"/>
  <c r="AS443" i="53" s="1"/>
  <c r="AU443" i="53" s="1"/>
  <c r="AT444" i="53" s="1"/>
  <c r="AS444" i="53" s="1"/>
  <c r="AU444" i="53" s="1"/>
  <c r="AT445" i="53" s="1"/>
  <c r="AS445" i="53" s="1"/>
  <c r="AU445" i="53" s="1"/>
  <c r="AT446" i="53" s="1"/>
  <c r="AS446" i="53" s="1"/>
  <c r="AU446" i="53" s="1"/>
  <c r="AT447" i="53" s="1"/>
  <c r="AS447" i="53" s="1"/>
  <c r="AU447" i="53" s="1"/>
  <c r="AT448" i="53" s="1"/>
  <c r="AS448" i="53" s="1"/>
  <c r="AU448" i="53" s="1"/>
  <c r="AT449" i="53" s="1"/>
  <c r="AS449" i="53" s="1"/>
  <c r="AU449" i="53" s="1"/>
  <c r="AT450" i="53" s="1"/>
  <c r="AS450" i="53" s="1"/>
  <c r="AU450" i="53" s="1"/>
  <c r="AT451" i="53" s="1"/>
  <c r="AS451" i="53" s="1"/>
  <c r="AU451" i="53" s="1"/>
  <c r="AT452" i="53" s="1"/>
  <c r="AS452" i="53" s="1"/>
  <c r="AU452" i="53" s="1"/>
  <c r="AT453" i="53" s="1"/>
  <c r="AS453" i="53" s="1"/>
  <c r="AU453" i="53" s="1"/>
  <c r="AG181" i="53"/>
  <c r="AI181" i="53" s="1"/>
  <c r="AH182" i="53" s="1"/>
  <c r="AG182" i="53" s="1"/>
  <c r="AI182" i="53" s="1"/>
  <c r="AH183" i="53" s="1"/>
  <c r="AG183" i="53" s="1"/>
  <c r="AI183" i="53" s="1"/>
  <c r="AH184" i="53" s="1"/>
  <c r="AG184" i="53" s="1"/>
  <c r="AI184" i="53" s="1"/>
  <c r="AH185" i="53" s="1"/>
  <c r="AG185" i="53" s="1"/>
  <c r="AI185" i="53" s="1"/>
  <c r="AH186" i="53" s="1"/>
  <c r="AG186" i="53" s="1"/>
  <c r="AI186" i="53" s="1"/>
  <c r="AH187" i="53" s="1"/>
  <c r="AG187" i="53" s="1"/>
  <c r="AI187" i="53" s="1"/>
  <c r="AH188" i="53" s="1"/>
  <c r="AG188" i="53" s="1"/>
  <c r="AI188" i="53" s="1"/>
  <c r="AH189" i="53" s="1"/>
  <c r="AG189" i="53" s="1"/>
  <c r="AI189" i="53" s="1"/>
  <c r="AH190" i="53" s="1"/>
  <c r="AG190" i="53" s="1"/>
  <c r="AI190" i="53" s="1"/>
  <c r="AH191" i="53" s="1"/>
  <c r="AG191" i="53" s="1"/>
  <c r="AI191" i="53" s="1"/>
  <c r="AH192" i="53" s="1"/>
  <c r="AG192" i="53" s="1"/>
  <c r="AI192" i="53" s="1"/>
  <c r="AH193" i="53" s="1"/>
  <c r="AG193" i="53" s="1"/>
  <c r="AI193" i="53" s="1"/>
  <c r="AH194" i="53" s="1"/>
  <c r="AG194" i="53" s="1"/>
  <c r="AI194" i="53" s="1"/>
  <c r="AH195" i="53" s="1"/>
  <c r="AG195" i="53" s="1"/>
  <c r="AI195" i="53" s="1"/>
  <c r="AH196" i="53" s="1"/>
  <c r="AG196" i="53" s="1"/>
  <c r="AI196" i="53" s="1"/>
  <c r="AH197" i="53" s="1"/>
  <c r="AG197" i="53" s="1"/>
  <c r="AI197" i="53" s="1"/>
  <c r="AH198" i="53" s="1"/>
  <c r="AG198" i="53" s="1"/>
  <c r="AI198" i="53" s="1"/>
  <c r="AH199" i="53" s="1"/>
  <c r="AG199" i="53" s="1"/>
  <c r="AI199" i="53" s="1"/>
  <c r="AH200" i="53" s="1"/>
  <c r="AG200" i="53" s="1"/>
  <c r="AI200" i="53" s="1"/>
  <c r="AH201" i="53" s="1"/>
  <c r="AG201" i="53" s="1"/>
  <c r="AI201" i="53" s="1"/>
  <c r="AH202" i="53" s="1"/>
  <c r="AG202" i="53" s="1"/>
  <c r="AI202" i="53" s="1"/>
  <c r="AH203" i="53" s="1"/>
  <c r="AG203" i="53" s="1"/>
  <c r="AI203" i="53" s="1"/>
  <c r="AH204" i="53" s="1"/>
  <c r="AG204" i="53" s="1"/>
  <c r="AI204" i="53" s="1"/>
  <c r="AH205" i="53" s="1"/>
  <c r="AG205" i="53" s="1"/>
  <c r="AI205" i="53" s="1"/>
  <c r="AH206" i="53" s="1"/>
  <c r="AG206" i="53" s="1"/>
  <c r="AI206" i="53" s="1"/>
  <c r="AH207" i="53" s="1"/>
  <c r="AG207" i="53" s="1"/>
  <c r="AI207" i="53" s="1"/>
  <c r="AH208" i="53" s="1"/>
  <c r="AG208" i="53" s="1"/>
  <c r="AI208" i="53" s="1"/>
  <c r="AH209" i="53" s="1"/>
  <c r="AG209" i="53" s="1"/>
  <c r="AI209" i="53" s="1"/>
  <c r="AH210" i="53" s="1"/>
  <c r="AG210" i="53" s="1"/>
  <c r="AI210" i="53" s="1"/>
  <c r="AH211" i="53" s="1"/>
  <c r="AG211" i="53" s="1"/>
  <c r="AI211" i="53" s="1"/>
  <c r="AH212" i="53" s="1"/>
  <c r="AG212" i="53" s="1"/>
  <c r="AI212" i="53" s="1"/>
  <c r="AH213" i="53" s="1"/>
  <c r="AG213" i="53" s="1"/>
  <c r="AI213" i="53" s="1"/>
  <c r="AH214" i="53" s="1"/>
  <c r="AG214" i="53" s="1"/>
  <c r="AI214" i="53" s="1"/>
  <c r="AH215" i="53" s="1"/>
  <c r="AG215" i="53" s="1"/>
  <c r="AI215" i="53" s="1"/>
  <c r="AH216" i="53" s="1"/>
  <c r="AG216" i="53" s="1"/>
  <c r="AI216" i="53" s="1"/>
  <c r="AH217" i="53" s="1"/>
  <c r="AG217" i="53" s="1"/>
  <c r="AI217" i="53" s="1"/>
  <c r="AH218" i="53" s="1"/>
  <c r="AG218" i="53" s="1"/>
  <c r="AI218" i="53" s="1"/>
  <c r="AH219" i="53" s="1"/>
  <c r="AG219" i="53" s="1"/>
  <c r="AI219" i="53" s="1"/>
  <c r="AH220" i="53" s="1"/>
  <c r="AG220" i="53" s="1"/>
  <c r="AI220" i="53" s="1"/>
  <c r="AH221" i="53" s="1"/>
  <c r="AG221" i="53" s="1"/>
  <c r="AI221" i="53" s="1"/>
  <c r="AH222" i="53" s="1"/>
  <c r="AG222" i="53" s="1"/>
  <c r="AI222" i="53" s="1"/>
  <c r="AH223" i="53" s="1"/>
  <c r="AG223" i="53" s="1"/>
  <c r="AI223" i="53" s="1"/>
  <c r="AH224" i="53" s="1"/>
  <c r="AG224" i="53" s="1"/>
  <c r="AI224" i="53" s="1"/>
  <c r="AH225" i="53" s="1"/>
  <c r="AG225" i="53" s="1"/>
  <c r="AI225" i="53" s="1"/>
  <c r="AH226" i="53" s="1"/>
  <c r="AG226" i="53" s="1"/>
  <c r="AI226" i="53" s="1"/>
  <c r="AH227" i="53" s="1"/>
  <c r="AG227" i="53" s="1"/>
  <c r="AI227" i="53" s="1"/>
  <c r="AH228" i="53" s="1"/>
  <c r="AG228" i="53" s="1"/>
  <c r="AI228" i="53" s="1"/>
  <c r="AH229" i="53" s="1"/>
  <c r="AG229" i="53" s="1"/>
  <c r="AI229" i="53" s="1"/>
  <c r="AH230" i="53" s="1"/>
  <c r="AG230" i="53" s="1"/>
  <c r="AI230" i="53" s="1"/>
  <c r="AH231" i="53" s="1"/>
  <c r="AG231" i="53" s="1"/>
  <c r="AI231" i="53" s="1"/>
  <c r="AH232" i="53" s="1"/>
  <c r="AG232" i="53" s="1"/>
  <c r="AI232" i="53" s="1"/>
  <c r="AH233" i="53" s="1"/>
  <c r="AG233" i="53" s="1"/>
  <c r="AI233" i="53" s="1"/>
  <c r="AH234" i="53" s="1"/>
  <c r="AG234" i="53" s="1"/>
  <c r="AI234" i="53" s="1"/>
  <c r="AH235" i="53" s="1"/>
  <c r="AG235" i="53" s="1"/>
  <c r="AI235" i="53" s="1"/>
  <c r="AH236" i="53" s="1"/>
  <c r="AG236" i="53" s="1"/>
  <c r="AI236" i="53" s="1"/>
  <c r="AH237" i="53" s="1"/>
  <c r="AG237" i="53" s="1"/>
  <c r="AI237" i="53" s="1"/>
  <c r="AH238" i="53" s="1"/>
  <c r="AG238" i="53" s="1"/>
  <c r="AI238" i="53" s="1"/>
  <c r="AH239" i="53" s="1"/>
  <c r="AG239" i="53" s="1"/>
  <c r="AI239" i="53" s="1"/>
  <c r="AH240" i="53" s="1"/>
  <c r="AG240" i="53" s="1"/>
  <c r="AI240" i="53" s="1"/>
  <c r="AH241" i="53" s="1"/>
  <c r="AG241" i="53" s="1"/>
  <c r="AI241" i="53" s="1"/>
  <c r="AH242" i="53" s="1"/>
  <c r="AG242" i="53" s="1"/>
  <c r="AI242" i="53" s="1"/>
  <c r="AH243" i="53" s="1"/>
  <c r="AG243" i="53" s="1"/>
  <c r="AI243" i="53" s="1"/>
  <c r="AH244" i="53" s="1"/>
  <c r="AG244" i="53" s="1"/>
  <c r="AI244" i="53" s="1"/>
  <c r="AH245" i="53" s="1"/>
  <c r="AG245" i="53" s="1"/>
  <c r="AI245" i="53" s="1"/>
  <c r="AH246" i="53" s="1"/>
  <c r="AG246" i="53" s="1"/>
  <c r="AI246" i="53" s="1"/>
  <c r="AH247" i="53" s="1"/>
  <c r="AG247" i="53" s="1"/>
  <c r="AI247" i="53" s="1"/>
  <c r="AH248" i="53" s="1"/>
  <c r="AG248" i="53" s="1"/>
  <c r="AI248" i="53" s="1"/>
  <c r="AH249" i="53" s="1"/>
  <c r="AG249" i="53" s="1"/>
  <c r="AI249" i="53" s="1"/>
  <c r="AH250" i="53" s="1"/>
  <c r="AG250" i="53" s="1"/>
  <c r="AI250" i="53" s="1"/>
  <c r="AH251" i="53" s="1"/>
  <c r="AG251" i="53" s="1"/>
  <c r="AI251" i="53" s="1"/>
  <c r="AH252" i="53" s="1"/>
  <c r="AG252" i="53" s="1"/>
  <c r="AI252" i="53" s="1"/>
  <c r="AH253" i="53" s="1"/>
  <c r="AG253" i="53" s="1"/>
  <c r="AI253" i="53" s="1"/>
  <c r="AH254" i="53" s="1"/>
  <c r="AG254" i="53" s="1"/>
  <c r="AI254" i="53" s="1"/>
  <c r="AH255" i="53" s="1"/>
  <c r="AG255" i="53" s="1"/>
  <c r="AI255" i="53" s="1"/>
  <c r="AH256" i="53" s="1"/>
  <c r="AG256" i="53" s="1"/>
  <c r="AI256" i="53" s="1"/>
  <c r="AH257" i="53" s="1"/>
  <c r="AG257" i="53" s="1"/>
  <c r="AI257" i="53" s="1"/>
  <c r="AH258" i="53" s="1"/>
  <c r="AG258" i="53" s="1"/>
  <c r="AI258" i="53" s="1"/>
  <c r="AH259" i="53" s="1"/>
  <c r="AG259" i="53" s="1"/>
  <c r="AI259" i="53" s="1"/>
  <c r="AH260" i="53" s="1"/>
  <c r="AG260" i="53" s="1"/>
  <c r="AI260" i="53" s="1"/>
  <c r="AH261" i="53" s="1"/>
  <c r="AG261" i="53" s="1"/>
  <c r="AI261" i="53" s="1"/>
  <c r="AH262" i="53" s="1"/>
  <c r="AG262" i="53" s="1"/>
  <c r="AI262" i="53" s="1"/>
  <c r="AH263" i="53" s="1"/>
  <c r="AG263" i="53" s="1"/>
  <c r="AI263" i="53" s="1"/>
  <c r="AH264" i="53" s="1"/>
  <c r="AG264" i="53" s="1"/>
  <c r="AI264" i="53" s="1"/>
  <c r="AH265" i="53" s="1"/>
  <c r="AG265" i="53" s="1"/>
  <c r="AI265" i="53" s="1"/>
  <c r="AH266" i="53" s="1"/>
  <c r="AG266" i="53" s="1"/>
  <c r="AI266" i="53" s="1"/>
  <c r="AH267" i="53" s="1"/>
  <c r="AG267" i="53" s="1"/>
  <c r="AI267" i="53" s="1"/>
  <c r="AH268" i="53" s="1"/>
  <c r="AG268" i="53" s="1"/>
  <c r="AI268" i="53" s="1"/>
  <c r="AH269" i="53" s="1"/>
  <c r="AG269" i="53" s="1"/>
  <c r="AI269" i="53" s="1"/>
  <c r="AH270" i="53" s="1"/>
  <c r="AG270" i="53" s="1"/>
  <c r="AI270" i="53" s="1"/>
  <c r="AH271" i="53" s="1"/>
  <c r="AG271" i="53" s="1"/>
  <c r="AI271" i="53" s="1"/>
  <c r="AH272" i="53" s="1"/>
  <c r="AG272" i="53" s="1"/>
  <c r="AI272" i="53" s="1"/>
  <c r="AH273" i="53" s="1"/>
  <c r="AG273" i="53" s="1"/>
  <c r="AI273" i="53" s="1"/>
  <c r="AH274" i="53" s="1"/>
  <c r="AG274" i="53" s="1"/>
  <c r="AI274" i="53" s="1"/>
  <c r="AH275" i="53" s="1"/>
  <c r="AG275" i="53" s="1"/>
  <c r="AI275" i="53" s="1"/>
  <c r="AH276" i="53" s="1"/>
  <c r="AG276" i="53" s="1"/>
  <c r="AI276" i="53" s="1"/>
  <c r="AH277" i="53" s="1"/>
  <c r="AG277" i="53" s="1"/>
  <c r="AI277" i="53" s="1"/>
  <c r="AH278" i="53" s="1"/>
  <c r="AG278" i="53" s="1"/>
  <c r="AI278" i="53" s="1"/>
  <c r="AH279" i="53" s="1"/>
  <c r="AG279" i="53" s="1"/>
  <c r="AI279" i="53" s="1"/>
  <c r="AH280" i="53" s="1"/>
  <c r="AG280" i="53" s="1"/>
  <c r="AI280" i="53" s="1"/>
  <c r="AH281" i="53" s="1"/>
  <c r="AG281" i="53" s="1"/>
  <c r="AI281" i="53" s="1"/>
  <c r="AH282" i="53" s="1"/>
  <c r="AG282" i="53" s="1"/>
  <c r="AI282" i="53" s="1"/>
  <c r="AH283" i="53" s="1"/>
  <c r="AG283" i="53" s="1"/>
  <c r="AI283" i="53" s="1"/>
  <c r="AH284" i="53" s="1"/>
  <c r="AG284" i="53" s="1"/>
  <c r="AI284" i="53" s="1"/>
  <c r="AH285" i="53" s="1"/>
  <c r="AG285" i="53" s="1"/>
  <c r="AI285" i="53" s="1"/>
  <c r="AH286" i="53" s="1"/>
  <c r="AG286" i="53" s="1"/>
  <c r="AI286" i="53" s="1"/>
  <c r="AH287" i="53" s="1"/>
  <c r="AG287" i="53" s="1"/>
  <c r="AI287" i="53" s="1"/>
  <c r="AH288" i="53" s="1"/>
  <c r="AG288" i="53" s="1"/>
  <c r="AI288" i="53" s="1"/>
  <c r="AH289" i="53" s="1"/>
  <c r="AG289" i="53" s="1"/>
  <c r="AI289" i="53" s="1"/>
  <c r="AH290" i="53" s="1"/>
  <c r="AG290" i="53" s="1"/>
  <c r="AI290" i="53" s="1"/>
  <c r="AH291" i="53" s="1"/>
  <c r="AG291" i="53" s="1"/>
  <c r="AI291" i="53" s="1"/>
  <c r="AH292" i="53" s="1"/>
  <c r="AG292" i="53" s="1"/>
  <c r="AI292" i="53" s="1"/>
  <c r="AH293" i="53" s="1"/>
  <c r="AG293" i="53" s="1"/>
  <c r="AI293" i="53" s="1"/>
  <c r="AH294" i="53" s="1"/>
  <c r="AG294" i="53" s="1"/>
  <c r="AI294" i="53" s="1"/>
  <c r="AH295" i="53" s="1"/>
  <c r="AG295" i="53" s="1"/>
  <c r="AI295" i="53" s="1"/>
  <c r="AH296" i="53" s="1"/>
  <c r="AG296" i="53" s="1"/>
  <c r="AI296" i="53" s="1"/>
  <c r="AH297" i="53" s="1"/>
  <c r="AG297" i="53" s="1"/>
  <c r="AI297" i="53" s="1"/>
  <c r="AH298" i="53" s="1"/>
  <c r="AG298" i="53" s="1"/>
  <c r="AI298" i="53" s="1"/>
  <c r="AH299" i="53" s="1"/>
  <c r="AG299" i="53" s="1"/>
  <c r="AI299" i="53" s="1"/>
  <c r="AH300" i="53" s="1"/>
  <c r="AG300" i="53" s="1"/>
  <c r="AI300" i="53" s="1"/>
  <c r="AH301" i="53" s="1"/>
  <c r="AG301" i="53" s="1"/>
  <c r="AI301" i="53" s="1"/>
  <c r="AH302" i="53" s="1"/>
  <c r="AG302" i="53" s="1"/>
  <c r="AI302" i="53" s="1"/>
  <c r="AH303" i="53" s="1"/>
  <c r="AG303" i="53" s="1"/>
  <c r="AI303" i="53" s="1"/>
  <c r="AH304" i="53" s="1"/>
  <c r="AG304" i="53" s="1"/>
  <c r="AI304" i="53" s="1"/>
  <c r="AH305" i="53" s="1"/>
  <c r="AG305" i="53" s="1"/>
  <c r="AI305" i="53" s="1"/>
  <c r="AH306" i="53" s="1"/>
  <c r="AG306" i="53" s="1"/>
  <c r="AI306" i="53" s="1"/>
  <c r="AH307" i="53" s="1"/>
  <c r="AG307" i="53" s="1"/>
  <c r="AI307" i="53" s="1"/>
  <c r="AH308" i="53" s="1"/>
  <c r="AG308" i="53" s="1"/>
  <c r="AI308" i="53" s="1"/>
  <c r="AH309" i="53" s="1"/>
  <c r="AG309" i="53" s="1"/>
  <c r="AI309" i="53" s="1"/>
  <c r="AH310" i="53" s="1"/>
  <c r="AG310" i="53" s="1"/>
  <c r="AI310" i="53" s="1"/>
  <c r="AH311" i="53" s="1"/>
  <c r="AG311" i="53" s="1"/>
  <c r="AI311" i="53" s="1"/>
  <c r="AH312" i="53" s="1"/>
  <c r="AG312" i="53" s="1"/>
  <c r="AI312" i="53" s="1"/>
  <c r="AH313" i="53" s="1"/>
  <c r="AG313" i="53" s="1"/>
  <c r="AI313" i="53" s="1"/>
  <c r="AH314" i="53" s="1"/>
  <c r="AG314" i="53" s="1"/>
  <c r="AI314" i="53" s="1"/>
  <c r="AH315" i="53" s="1"/>
  <c r="AG315" i="53" s="1"/>
  <c r="AI315" i="53" s="1"/>
  <c r="AH316" i="53" s="1"/>
  <c r="AG316" i="53" s="1"/>
  <c r="AI316" i="53" s="1"/>
  <c r="AH317" i="53" s="1"/>
  <c r="AG317" i="53" s="1"/>
  <c r="AI317" i="53" s="1"/>
  <c r="AH318" i="53" s="1"/>
  <c r="AG318" i="53" s="1"/>
  <c r="AI318" i="53" s="1"/>
  <c r="AH319" i="53" s="1"/>
  <c r="AG319" i="53" s="1"/>
  <c r="AI319" i="53" s="1"/>
  <c r="AH320" i="53" s="1"/>
  <c r="AG320" i="53" s="1"/>
  <c r="AI320" i="53" s="1"/>
  <c r="AH321" i="53" s="1"/>
  <c r="AG321" i="53" s="1"/>
  <c r="AI321" i="53" s="1"/>
  <c r="AH322" i="53" s="1"/>
  <c r="AG322" i="53" s="1"/>
  <c r="AI322" i="53" s="1"/>
  <c r="AH323" i="53" s="1"/>
  <c r="AG323" i="53" s="1"/>
  <c r="AI323" i="53" s="1"/>
  <c r="AH324" i="53" s="1"/>
  <c r="AG324" i="53" s="1"/>
  <c r="AI324" i="53" s="1"/>
  <c r="AH325" i="53" s="1"/>
  <c r="AG325" i="53" s="1"/>
  <c r="AI325" i="53" s="1"/>
  <c r="AH326" i="53" s="1"/>
  <c r="AG326" i="53" s="1"/>
  <c r="AI326" i="53" s="1"/>
  <c r="AH327" i="53" s="1"/>
  <c r="AG327" i="53" s="1"/>
  <c r="AI327" i="53" s="1"/>
  <c r="AH328" i="53" s="1"/>
  <c r="AG328" i="53" s="1"/>
  <c r="AI328" i="53" s="1"/>
  <c r="AH329" i="53" s="1"/>
  <c r="AG329" i="53" s="1"/>
  <c r="AI329" i="53" s="1"/>
  <c r="AH330" i="53" s="1"/>
  <c r="AG330" i="53" s="1"/>
  <c r="AI330" i="53" s="1"/>
  <c r="AH331" i="53" s="1"/>
  <c r="AG331" i="53" s="1"/>
  <c r="AI331" i="53" s="1"/>
  <c r="AH332" i="53" s="1"/>
  <c r="AG332" i="53" s="1"/>
  <c r="AI332" i="53" s="1"/>
  <c r="AH333" i="53" s="1"/>
  <c r="AG333" i="53" s="1"/>
  <c r="AI333" i="53" s="1"/>
  <c r="AH334" i="53" s="1"/>
  <c r="AG334" i="53" s="1"/>
  <c r="AI334" i="53" s="1"/>
  <c r="AH335" i="53" s="1"/>
  <c r="AG335" i="53" s="1"/>
  <c r="AI335" i="53" s="1"/>
  <c r="AH336" i="53" s="1"/>
  <c r="AG336" i="53" s="1"/>
  <c r="AI336" i="53" s="1"/>
  <c r="AH337" i="53" s="1"/>
  <c r="AG337" i="53" s="1"/>
  <c r="AI337" i="53" s="1"/>
  <c r="AH338" i="53" s="1"/>
  <c r="AG338" i="53" s="1"/>
  <c r="AI338" i="53" s="1"/>
  <c r="AH339" i="53" s="1"/>
  <c r="AG339" i="53" s="1"/>
  <c r="AI339" i="53" s="1"/>
  <c r="AH340" i="53" s="1"/>
  <c r="AG340" i="53" s="1"/>
  <c r="AI340" i="53" s="1"/>
  <c r="AH341" i="53" s="1"/>
  <c r="AG341" i="53" s="1"/>
  <c r="AI341" i="53" s="1"/>
  <c r="AH342" i="53" s="1"/>
  <c r="AG342" i="53" s="1"/>
  <c r="AI342" i="53" s="1"/>
  <c r="AH343" i="53" s="1"/>
  <c r="AG343" i="53" s="1"/>
  <c r="AI343" i="53" s="1"/>
  <c r="AH344" i="53" s="1"/>
  <c r="AG344" i="53" s="1"/>
  <c r="AI344" i="53" s="1"/>
  <c r="AH345" i="53" s="1"/>
  <c r="AG345" i="53" s="1"/>
  <c r="AI345" i="53" s="1"/>
  <c r="AH346" i="53" s="1"/>
  <c r="AG346" i="53" s="1"/>
  <c r="AI346" i="53" s="1"/>
  <c r="AH347" i="53" s="1"/>
  <c r="AG347" i="53" s="1"/>
  <c r="AI347" i="53" s="1"/>
  <c r="AH348" i="53" s="1"/>
  <c r="AG348" i="53" s="1"/>
  <c r="AI348" i="53" s="1"/>
  <c r="AH349" i="53" s="1"/>
  <c r="AG349" i="53" s="1"/>
  <c r="AI349" i="53" s="1"/>
  <c r="AH350" i="53" s="1"/>
  <c r="AG350" i="53" s="1"/>
  <c r="AI350" i="53" s="1"/>
  <c r="AH351" i="53" s="1"/>
  <c r="AG351" i="53" s="1"/>
  <c r="AI351" i="53" s="1"/>
  <c r="AH352" i="53" s="1"/>
  <c r="AG352" i="53" s="1"/>
  <c r="AI352" i="53" s="1"/>
  <c r="AH353" i="53" s="1"/>
  <c r="AG353" i="53" s="1"/>
  <c r="AI353" i="53" s="1"/>
  <c r="AH354" i="53" s="1"/>
  <c r="AG354" i="53" s="1"/>
  <c r="AI354" i="53" s="1"/>
  <c r="AH355" i="53" s="1"/>
  <c r="AG355" i="53" s="1"/>
  <c r="AI355" i="53" s="1"/>
  <c r="AH356" i="53" s="1"/>
  <c r="AG356" i="53" s="1"/>
  <c r="AI356" i="53" s="1"/>
  <c r="AH357" i="53" s="1"/>
  <c r="AG357" i="53" s="1"/>
  <c r="AI357" i="53" s="1"/>
  <c r="AH358" i="53" s="1"/>
  <c r="AG358" i="53" s="1"/>
  <c r="AI358" i="53" s="1"/>
  <c r="AH359" i="53" s="1"/>
  <c r="AG359" i="53" s="1"/>
  <c r="AI359" i="53" s="1"/>
  <c r="AH360" i="53" s="1"/>
  <c r="AG360" i="53" s="1"/>
  <c r="AI360" i="53" s="1"/>
  <c r="AH361" i="53" s="1"/>
  <c r="AG361" i="53" s="1"/>
  <c r="AI361" i="53" s="1"/>
  <c r="AH362" i="53" s="1"/>
  <c r="AG362" i="53" s="1"/>
  <c r="AI362" i="53" s="1"/>
  <c r="AH363" i="53" s="1"/>
  <c r="AG363" i="53" s="1"/>
  <c r="AI363" i="53" s="1"/>
  <c r="AH364" i="53" s="1"/>
  <c r="AG364" i="53" s="1"/>
  <c r="AI364" i="53" s="1"/>
  <c r="AH365" i="53" s="1"/>
  <c r="AG365" i="53" s="1"/>
  <c r="AI365" i="53" s="1"/>
  <c r="AH366" i="53" s="1"/>
  <c r="AG366" i="53" s="1"/>
  <c r="AI366" i="53" s="1"/>
  <c r="AH367" i="53" s="1"/>
  <c r="AG367" i="53" s="1"/>
  <c r="AI367" i="53" s="1"/>
  <c r="AH368" i="53" s="1"/>
  <c r="AG368" i="53" s="1"/>
  <c r="AI368" i="53" s="1"/>
  <c r="AH369" i="53" s="1"/>
  <c r="AG369" i="53" s="1"/>
  <c r="AI369" i="53" s="1"/>
  <c r="AH370" i="53" s="1"/>
  <c r="AG370" i="53" s="1"/>
  <c r="AI370" i="53" s="1"/>
  <c r="AH371" i="53" s="1"/>
  <c r="AG371" i="53" s="1"/>
  <c r="AI371" i="53" s="1"/>
  <c r="AH372" i="53" s="1"/>
  <c r="AG372" i="53" s="1"/>
  <c r="AI372" i="53" s="1"/>
  <c r="AH373" i="53" s="1"/>
  <c r="AG373" i="53" s="1"/>
  <c r="AI373" i="53" s="1"/>
  <c r="AH374" i="53" s="1"/>
  <c r="AG374" i="53" s="1"/>
  <c r="AI374" i="53" s="1"/>
  <c r="AH375" i="53" s="1"/>
  <c r="AG375" i="53" s="1"/>
  <c r="AI375" i="53" s="1"/>
  <c r="AH376" i="53" s="1"/>
  <c r="AG376" i="53" s="1"/>
  <c r="AI376" i="53" s="1"/>
  <c r="AH377" i="53" s="1"/>
  <c r="AG377" i="53" s="1"/>
  <c r="AI377" i="53" s="1"/>
  <c r="AH378" i="53" s="1"/>
  <c r="AG378" i="53" s="1"/>
  <c r="AI378" i="53" s="1"/>
  <c r="AH379" i="53" s="1"/>
  <c r="AG379" i="53" s="1"/>
  <c r="AI379" i="53" s="1"/>
  <c r="AH380" i="53" s="1"/>
  <c r="AG380" i="53" s="1"/>
  <c r="AI380" i="53" s="1"/>
  <c r="AH381" i="53" s="1"/>
  <c r="AG381" i="53" s="1"/>
  <c r="AI381" i="53" s="1"/>
  <c r="AH382" i="53" s="1"/>
  <c r="AG382" i="53" s="1"/>
  <c r="AI382" i="53" s="1"/>
  <c r="AH383" i="53" s="1"/>
  <c r="AG383" i="53" s="1"/>
  <c r="AI383" i="53" s="1"/>
  <c r="AH384" i="53" s="1"/>
  <c r="AG384" i="53" s="1"/>
  <c r="AI384" i="53" s="1"/>
  <c r="AH385" i="53" s="1"/>
  <c r="AG385" i="53" s="1"/>
  <c r="AI385" i="53" s="1"/>
  <c r="AH386" i="53" s="1"/>
  <c r="AG386" i="53" s="1"/>
  <c r="AI386" i="53" s="1"/>
  <c r="AH387" i="53" s="1"/>
  <c r="AG387" i="53" s="1"/>
  <c r="AI387" i="53" s="1"/>
  <c r="AH388" i="53" s="1"/>
  <c r="AG388" i="53" s="1"/>
  <c r="AI388" i="53" s="1"/>
  <c r="AH389" i="53" s="1"/>
  <c r="AG389" i="53" s="1"/>
  <c r="AI389" i="53" s="1"/>
  <c r="AH390" i="53" s="1"/>
  <c r="AG390" i="53" s="1"/>
  <c r="AI390" i="53" s="1"/>
  <c r="AH391" i="53" s="1"/>
  <c r="AG391" i="53" s="1"/>
  <c r="AI391" i="53" s="1"/>
  <c r="AH392" i="53" s="1"/>
  <c r="AG392" i="53" s="1"/>
  <c r="AI392" i="53" s="1"/>
  <c r="AH393" i="53" s="1"/>
  <c r="AG393" i="53" s="1"/>
  <c r="AI393" i="53" s="1"/>
  <c r="AH394" i="53" s="1"/>
  <c r="AG394" i="53" s="1"/>
  <c r="AI394" i="53" s="1"/>
  <c r="AH395" i="53" s="1"/>
  <c r="AG395" i="53" s="1"/>
  <c r="AI395" i="53" s="1"/>
  <c r="AH396" i="53" s="1"/>
  <c r="AG396" i="53" s="1"/>
  <c r="AI396" i="53" s="1"/>
  <c r="AH397" i="53" s="1"/>
  <c r="AG397" i="53" s="1"/>
  <c r="AI397" i="53" s="1"/>
  <c r="AH398" i="53" s="1"/>
  <c r="AG398" i="53" s="1"/>
  <c r="AI398" i="53" s="1"/>
  <c r="AH399" i="53" s="1"/>
  <c r="AG399" i="53" s="1"/>
  <c r="AI399" i="53" s="1"/>
  <c r="AH400" i="53" s="1"/>
  <c r="AG400" i="53" s="1"/>
  <c r="AI400" i="53" s="1"/>
  <c r="AH401" i="53" s="1"/>
  <c r="AG401" i="53" s="1"/>
  <c r="AI401" i="53" s="1"/>
  <c r="AH402" i="53" s="1"/>
  <c r="AG402" i="53" s="1"/>
  <c r="AI402" i="53" s="1"/>
  <c r="AH403" i="53" s="1"/>
  <c r="AG403" i="53" s="1"/>
  <c r="AI403" i="53" s="1"/>
  <c r="AH404" i="53" s="1"/>
  <c r="AG404" i="53" s="1"/>
  <c r="AI404" i="53" s="1"/>
  <c r="AH405" i="53" s="1"/>
  <c r="AG405" i="53" s="1"/>
  <c r="AI405" i="53" s="1"/>
  <c r="AH406" i="53" s="1"/>
  <c r="AG406" i="53" s="1"/>
  <c r="AI406" i="53" s="1"/>
  <c r="AH407" i="53" s="1"/>
  <c r="AG407" i="53" s="1"/>
  <c r="AI407" i="53" s="1"/>
  <c r="AH408" i="53" s="1"/>
  <c r="AG408" i="53" s="1"/>
  <c r="AI408" i="53" s="1"/>
  <c r="AH409" i="53" s="1"/>
  <c r="AG409" i="53" s="1"/>
  <c r="AI409" i="53" s="1"/>
  <c r="AH410" i="53" s="1"/>
  <c r="AG410" i="53" s="1"/>
  <c r="AI410" i="53" s="1"/>
  <c r="AH411" i="53" s="1"/>
  <c r="AG411" i="53" s="1"/>
  <c r="AI411" i="53" s="1"/>
  <c r="AH412" i="53" s="1"/>
  <c r="AG412" i="53" s="1"/>
  <c r="AI412" i="53" s="1"/>
  <c r="AH413" i="53" s="1"/>
  <c r="AG413" i="53" s="1"/>
  <c r="AI413" i="53" s="1"/>
  <c r="AH414" i="53" s="1"/>
  <c r="AG414" i="53" s="1"/>
  <c r="AI414" i="53" s="1"/>
  <c r="AH415" i="53" s="1"/>
  <c r="AG415" i="53" s="1"/>
  <c r="AI415" i="53" s="1"/>
  <c r="AH416" i="53" s="1"/>
  <c r="AG416" i="53" s="1"/>
  <c r="AI416" i="53" s="1"/>
  <c r="AH417" i="53" s="1"/>
  <c r="AG417" i="53" s="1"/>
  <c r="AI417" i="53" s="1"/>
  <c r="AH418" i="53" s="1"/>
  <c r="AG418" i="53" s="1"/>
  <c r="AI418" i="53" s="1"/>
  <c r="AH419" i="53" s="1"/>
  <c r="AG419" i="53" s="1"/>
  <c r="AI419" i="53" s="1"/>
  <c r="AH420" i="53" s="1"/>
  <c r="AG420" i="53" s="1"/>
  <c r="AI420" i="53" s="1"/>
  <c r="AH421" i="53" s="1"/>
  <c r="AG421" i="53" s="1"/>
  <c r="AI421" i="53" s="1"/>
  <c r="AH422" i="53" s="1"/>
  <c r="AG422" i="53" s="1"/>
  <c r="AI422" i="53" s="1"/>
  <c r="AH423" i="53" s="1"/>
  <c r="AG423" i="53" s="1"/>
  <c r="AI423" i="53" s="1"/>
  <c r="AH424" i="53" s="1"/>
  <c r="AG424" i="53" s="1"/>
  <c r="AI424" i="53" s="1"/>
  <c r="AH425" i="53" s="1"/>
  <c r="AG425" i="53" s="1"/>
  <c r="AI425" i="53" s="1"/>
  <c r="AH426" i="53" s="1"/>
  <c r="AG426" i="53" s="1"/>
  <c r="AI426" i="53" s="1"/>
  <c r="AH427" i="53" s="1"/>
  <c r="AG427" i="53" s="1"/>
  <c r="AI427" i="53" s="1"/>
  <c r="AH428" i="53" s="1"/>
  <c r="AG428" i="53" s="1"/>
  <c r="AI428" i="53" s="1"/>
  <c r="AH429" i="53" s="1"/>
  <c r="AG429" i="53" s="1"/>
  <c r="AI429" i="53" s="1"/>
  <c r="AH430" i="53" s="1"/>
  <c r="AG430" i="53" s="1"/>
  <c r="AI430" i="53" s="1"/>
  <c r="AH431" i="53" s="1"/>
  <c r="AG431" i="53" s="1"/>
  <c r="AI431" i="53" s="1"/>
  <c r="AH432" i="53" s="1"/>
  <c r="AG432" i="53" s="1"/>
  <c r="AI432" i="53" s="1"/>
  <c r="AH433" i="53" s="1"/>
  <c r="AG433" i="53" s="1"/>
  <c r="AI433" i="53" s="1"/>
  <c r="AH434" i="53" s="1"/>
  <c r="AG434" i="53" s="1"/>
  <c r="AI434" i="53" s="1"/>
  <c r="AH435" i="53" s="1"/>
  <c r="AG435" i="53" s="1"/>
  <c r="AI435" i="53" s="1"/>
  <c r="AH436" i="53" s="1"/>
  <c r="AG436" i="53" s="1"/>
  <c r="AI436" i="53" s="1"/>
  <c r="AH437" i="53" s="1"/>
  <c r="AG437" i="53" s="1"/>
  <c r="AI437" i="53" s="1"/>
  <c r="AH438" i="53" s="1"/>
  <c r="AG438" i="53" s="1"/>
  <c r="AI438" i="53" s="1"/>
  <c r="AH439" i="53" s="1"/>
  <c r="AG439" i="53" s="1"/>
  <c r="AI439" i="53" s="1"/>
  <c r="AH440" i="53" s="1"/>
  <c r="AG440" i="53" s="1"/>
  <c r="AI440" i="53" s="1"/>
  <c r="AH441" i="53" s="1"/>
  <c r="AG441" i="53" s="1"/>
  <c r="AI441" i="53" s="1"/>
  <c r="AH442" i="53" s="1"/>
  <c r="AG442" i="53" s="1"/>
  <c r="AI442" i="53" s="1"/>
  <c r="AH443" i="53" s="1"/>
  <c r="AG443" i="53" s="1"/>
  <c r="AI443" i="53" s="1"/>
  <c r="AH444" i="53" s="1"/>
  <c r="AG444" i="53" s="1"/>
  <c r="AI444" i="53" s="1"/>
  <c r="AH445" i="53" s="1"/>
  <c r="AG445" i="53" s="1"/>
  <c r="AI445" i="53" s="1"/>
  <c r="AH446" i="53" s="1"/>
  <c r="AG446" i="53" s="1"/>
  <c r="AI446" i="53" s="1"/>
  <c r="AH447" i="53" s="1"/>
  <c r="AG447" i="53" s="1"/>
  <c r="AI447" i="53" s="1"/>
  <c r="AH448" i="53" s="1"/>
  <c r="AG448" i="53" s="1"/>
  <c r="AI448" i="53" s="1"/>
  <c r="AH449" i="53" s="1"/>
  <c r="AG449" i="53" s="1"/>
  <c r="AI449" i="53" s="1"/>
  <c r="AH450" i="53" s="1"/>
  <c r="AG450" i="53" s="1"/>
  <c r="AI450" i="53" s="1"/>
  <c r="AH451" i="53" s="1"/>
  <c r="AG451" i="53" s="1"/>
  <c r="AI451" i="53" s="1"/>
  <c r="AH452" i="53" s="1"/>
  <c r="AG452" i="53" s="1"/>
  <c r="AI452" i="53" s="1"/>
  <c r="AH453" i="53" s="1"/>
  <c r="AG453" i="53" s="1"/>
  <c r="AI453" i="53" s="1"/>
  <c r="CR179" i="53"/>
  <c r="CR182" i="53"/>
  <c r="CR188" i="53"/>
  <c r="CR185" i="53"/>
  <c r="Q170" i="53"/>
  <c r="S170" i="53" s="1"/>
  <c r="R171" i="53" s="1"/>
  <c r="Q171" i="53" s="1"/>
  <c r="S171" i="53" s="1"/>
  <c r="R172" i="53" s="1"/>
  <c r="Q172" i="53" s="1"/>
  <c r="S172" i="53" s="1"/>
  <c r="R173" i="53" s="1"/>
  <c r="Q173" i="53" s="1"/>
  <c r="S173" i="53" s="1"/>
  <c r="R174" i="53" s="1"/>
  <c r="Q174" i="53" s="1"/>
  <c r="S174" i="53" s="1"/>
  <c r="R175" i="53" s="1"/>
  <c r="Q175" i="53" s="1"/>
  <c r="S175" i="53" s="1"/>
  <c r="R176" i="53" s="1"/>
  <c r="Q176" i="53" s="1"/>
  <c r="S176" i="53" s="1"/>
  <c r="R177" i="53" s="1"/>
  <c r="Q177" i="53" s="1"/>
  <c r="S177" i="53" s="1"/>
  <c r="R178" i="53" s="1"/>
  <c r="Q178" i="53" s="1"/>
  <c r="S178" i="53" s="1"/>
  <c r="R179" i="53" s="1"/>
  <c r="Q179" i="53" s="1"/>
  <c r="S179" i="53" s="1"/>
  <c r="R180" i="53" s="1"/>
  <c r="Q180" i="53" s="1"/>
  <c r="S180" i="53" s="1"/>
  <c r="R181" i="53" s="1"/>
  <c r="Q181" i="53" s="1"/>
  <c r="S181" i="53" s="1"/>
  <c r="R182" i="53" s="1"/>
  <c r="Q182" i="53" s="1"/>
  <c r="S182" i="53" s="1"/>
  <c r="R183" i="53" s="1"/>
  <c r="Q183" i="53" s="1"/>
  <c r="S183" i="53" s="1"/>
  <c r="R184" i="53" s="1"/>
  <c r="Q184" i="53" s="1"/>
  <c r="S184" i="53" s="1"/>
  <c r="R185" i="53" s="1"/>
  <c r="Q185" i="53" s="1"/>
  <c r="S185" i="53" s="1"/>
  <c r="R186" i="53" s="1"/>
  <c r="Q186" i="53" s="1"/>
  <c r="S186" i="53" s="1"/>
  <c r="R187" i="53" s="1"/>
  <c r="Q187" i="53" s="1"/>
  <c r="S187" i="53" s="1"/>
  <c r="R188" i="53" s="1"/>
  <c r="Q188" i="53" s="1"/>
  <c r="S188" i="53" s="1"/>
  <c r="R189" i="53" s="1"/>
  <c r="Q189" i="53" s="1"/>
  <c r="S189" i="53" s="1"/>
  <c r="R190" i="53" s="1"/>
  <c r="Q190" i="53" s="1"/>
  <c r="S190" i="53" s="1"/>
  <c r="R191" i="53" s="1"/>
  <c r="Q191" i="53" s="1"/>
  <c r="S191" i="53" s="1"/>
  <c r="R192" i="53" s="1"/>
  <c r="Q192" i="53" s="1"/>
  <c r="S192" i="53" s="1"/>
  <c r="R193" i="53" s="1"/>
  <c r="Q193" i="53" s="1"/>
  <c r="S193" i="53" s="1"/>
  <c r="R194" i="53" s="1"/>
  <c r="Q194" i="53" s="1"/>
  <c r="S194" i="53" s="1"/>
  <c r="R195" i="53" s="1"/>
  <c r="Q195" i="53" s="1"/>
  <c r="S195" i="53" s="1"/>
  <c r="R196" i="53" s="1"/>
  <c r="Q196" i="53" s="1"/>
  <c r="S196" i="53" s="1"/>
  <c r="R197" i="53" s="1"/>
  <c r="Q197" i="53" s="1"/>
  <c r="S197" i="53" s="1"/>
  <c r="R198" i="53" s="1"/>
  <c r="Q198" i="53" s="1"/>
  <c r="S198" i="53" s="1"/>
  <c r="R199" i="53" s="1"/>
  <c r="Q199" i="53" s="1"/>
  <c r="S199" i="53" s="1"/>
  <c r="R200" i="53" s="1"/>
  <c r="Q200" i="53" s="1"/>
  <c r="S200" i="53" s="1"/>
  <c r="R201" i="53" s="1"/>
  <c r="Q201" i="53" s="1"/>
  <c r="S201" i="53" s="1"/>
  <c r="R202" i="53" s="1"/>
  <c r="Q202" i="53" s="1"/>
  <c r="S202" i="53" s="1"/>
  <c r="R203" i="53" s="1"/>
  <c r="Q203" i="53" s="1"/>
  <c r="S203" i="53" s="1"/>
  <c r="R204" i="53" s="1"/>
  <c r="Q204" i="53" s="1"/>
  <c r="S204" i="53" s="1"/>
  <c r="R205" i="53" s="1"/>
  <c r="Q205" i="53" s="1"/>
  <c r="S205" i="53" s="1"/>
  <c r="R206" i="53" s="1"/>
  <c r="Q206" i="53" s="1"/>
  <c r="S206" i="53" s="1"/>
  <c r="R207" i="53" s="1"/>
  <c r="Q207" i="53" s="1"/>
  <c r="S207" i="53" s="1"/>
  <c r="R208" i="53" s="1"/>
  <c r="Q208" i="53" s="1"/>
  <c r="S208" i="53" s="1"/>
  <c r="R209" i="53" s="1"/>
  <c r="Q209" i="53" s="1"/>
  <c r="S209" i="53" s="1"/>
  <c r="R210" i="53" s="1"/>
  <c r="Q210" i="53" s="1"/>
  <c r="S210" i="53" s="1"/>
  <c r="R211" i="53" s="1"/>
  <c r="Q211" i="53" s="1"/>
  <c r="S211" i="53" s="1"/>
  <c r="R212" i="53" s="1"/>
  <c r="Q212" i="53" s="1"/>
  <c r="S212" i="53" s="1"/>
  <c r="R213" i="53" s="1"/>
  <c r="Q213" i="53" s="1"/>
  <c r="S213" i="53" s="1"/>
  <c r="R214" i="53" s="1"/>
  <c r="Q214" i="53" s="1"/>
  <c r="S214" i="53" s="1"/>
  <c r="R215" i="53" s="1"/>
  <c r="Q215" i="53" s="1"/>
  <c r="S215" i="53" s="1"/>
  <c r="R216" i="53" s="1"/>
  <c r="Q216" i="53" s="1"/>
  <c r="S216" i="53" s="1"/>
  <c r="R217" i="53" s="1"/>
  <c r="Q217" i="53" s="1"/>
  <c r="S217" i="53" s="1"/>
  <c r="R218" i="53" s="1"/>
  <c r="Q218" i="53" s="1"/>
  <c r="S218" i="53" s="1"/>
  <c r="R219" i="53" s="1"/>
  <c r="Q219" i="53" s="1"/>
  <c r="S219" i="53" s="1"/>
  <c r="R220" i="53" s="1"/>
  <c r="Q220" i="53" s="1"/>
  <c r="S220" i="53" s="1"/>
  <c r="R221" i="53" s="1"/>
  <c r="Q221" i="53" s="1"/>
  <c r="S221" i="53" s="1"/>
  <c r="R222" i="53" s="1"/>
  <c r="Q222" i="53" s="1"/>
  <c r="S222" i="53" s="1"/>
  <c r="R223" i="53" s="1"/>
  <c r="Q223" i="53" s="1"/>
  <c r="S223" i="53" s="1"/>
  <c r="R224" i="53" s="1"/>
  <c r="Q224" i="53" s="1"/>
  <c r="S224" i="53" s="1"/>
  <c r="R225" i="53" s="1"/>
  <c r="Q225" i="53" s="1"/>
  <c r="S225" i="53" s="1"/>
  <c r="R226" i="53" s="1"/>
  <c r="Q226" i="53" s="1"/>
  <c r="S226" i="53" s="1"/>
  <c r="R227" i="53" s="1"/>
  <c r="Q227" i="53" s="1"/>
  <c r="S227" i="53" s="1"/>
  <c r="R228" i="53" s="1"/>
  <c r="Q228" i="53" s="1"/>
  <c r="S228" i="53" s="1"/>
  <c r="R229" i="53" s="1"/>
  <c r="Q229" i="53" s="1"/>
  <c r="S229" i="53" s="1"/>
  <c r="R230" i="53" s="1"/>
  <c r="Q230" i="53" s="1"/>
  <c r="S230" i="53" s="1"/>
  <c r="R231" i="53" s="1"/>
  <c r="Q231" i="53" s="1"/>
  <c r="S231" i="53" s="1"/>
  <c r="R232" i="53" s="1"/>
  <c r="Q232" i="53" s="1"/>
  <c r="S232" i="53" s="1"/>
  <c r="R233" i="53" s="1"/>
  <c r="Q233" i="53" s="1"/>
  <c r="S233" i="53" s="1"/>
  <c r="R234" i="53" s="1"/>
  <c r="Q234" i="53" s="1"/>
  <c r="S234" i="53" s="1"/>
  <c r="R235" i="53" s="1"/>
  <c r="Q235" i="53" s="1"/>
  <c r="S235" i="53" s="1"/>
  <c r="R236" i="53" s="1"/>
  <c r="Q236" i="53" s="1"/>
  <c r="S236" i="53" s="1"/>
  <c r="R237" i="53" s="1"/>
  <c r="Q237" i="53" s="1"/>
  <c r="S237" i="53" s="1"/>
  <c r="R238" i="53" s="1"/>
  <c r="Q238" i="53" s="1"/>
  <c r="S238" i="53" s="1"/>
  <c r="R239" i="53" s="1"/>
  <c r="Q239" i="53" s="1"/>
  <c r="S239" i="53" s="1"/>
  <c r="R240" i="53" s="1"/>
  <c r="Q240" i="53" s="1"/>
  <c r="S240" i="53" s="1"/>
  <c r="R241" i="53" s="1"/>
  <c r="Q241" i="53" s="1"/>
  <c r="S241" i="53" s="1"/>
  <c r="R242" i="53" s="1"/>
  <c r="Q242" i="53" s="1"/>
  <c r="S242" i="53" s="1"/>
  <c r="R243" i="53" s="1"/>
  <c r="Q243" i="53" s="1"/>
  <c r="S243" i="53" s="1"/>
  <c r="R244" i="53" s="1"/>
  <c r="Q244" i="53" s="1"/>
  <c r="S244" i="53" s="1"/>
  <c r="R245" i="53" s="1"/>
  <c r="Q245" i="53" s="1"/>
  <c r="S245" i="53" s="1"/>
  <c r="R246" i="53" s="1"/>
  <c r="Q246" i="53" s="1"/>
  <c r="S246" i="53" s="1"/>
  <c r="R247" i="53" s="1"/>
  <c r="Q247" i="53" s="1"/>
  <c r="S247" i="53" s="1"/>
  <c r="R248" i="53" s="1"/>
  <c r="Q248" i="53" s="1"/>
  <c r="S248" i="53" s="1"/>
  <c r="R249" i="53" s="1"/>
  <c r="Q249" i="53" s="1"/>
  <c r="S249" i="53" s="1"/>
  <c r="R250" i="53" s="1"/>
  <c r="Q250" i="53" s="1"/>
  <c r="S250" i="53" s="1"/>
  <c r="R251" i="53" s="1"/>
  <c r="Q251" i="53" s="1"/>
  <c r="S251" i="53" s="1"/>
  <c r="R252" i="53" s="1"/>
  <c r="Q252" i="53" s="1"/>
  <c r="S252" i="53" s="1"/>
  <c r="R253" i="53" s="1"/>
  <c r="Q253" i="53" s="1"/>
  <c r="S253" i="53" s="1"/>
  <c r="R254" i="53" s="1"/>
  <c r="Q254" i="53" s="1"/>
  <c r="S254" i="53" s="1"/>
  <c r="R255" i="53" s="1"/>
  <c r="Q255" i="53" s="1"/>
  <c r="S255" i="53" s="1"/>
  <c r="R256" i="53" s="1"/>
  <c r="Q256" i="53" s="1"/>
  <c r="S256" i="53" s="1"/>
  <c r="R257" i="53" s="1"/>
  <c r="Q257" i="53" s="1"/>
  <c r="S257" i="53" s="1"/>
  <c r="R258" i="53" s="1"/>
  <c r="Q258" i="53" s="1"/>
  <c r="S258" i="53" s="1"/>
  <c r="R259" i="53" s="1"/>
  <c r="Q259" i="53" s="1"/>
  <c r="S259" i="53" s="1"/>
  <c r="R260" i="53" s="1"/>
  <c r="Q260" i="53" s="1"/>
  <c r="S260" i="53" s="1"/>
  <c r="R261" i="53" s="1"/>
  <c r="Q261" i="53" s="1"/>
  <c r="S261" i="53" s="1"/>
  <c r="R262" i="53" s="1"/>
  <c r="Q262" i="53" s="1"/>
  <c r="S262" i="53" s="1"/>
  <c r="R263" i="53" s="1"/>
  <c r="Q263" i="53" s="1"/>
  <c r="S263" i="53" s="1"/>
  <c r="R264" i="53" s="1"/>
  <c r="Q264" i="53" s="1"/>
  <c r="S264" i="53" s="1"/>
  <c r="R265" i="53" s="1"/>
  <c r="Q265" i="53" s="1"/>
  <c r="S265" i="53" s="1"/>
  <c r="R266" i="53" s="1"/>
  <c r="Q266" i="53" s="1"/>
  <c r="S266" i="53" s="1"/>
  <c r="R267" i="53" s="1"/>
  <c r="Q267" i="53" s="1"/>
  <c r="S267" i="53" s="1"/>
  <c r="R268" i="53" s="1"/>
  <c r="Q268" i="53" s="1"/>
  <c r="S268" i="53" s="1"/>
  <c r="R269" i="53" s="1"/>
  <c r="Q269" i="53" s="1"/>
  <c r="S269" i="53" s="1"/>
  <c r="R270" i="53" s="1"/>
  <c r="Q270" i="53" s="1"/>
  <c r="S270" i="53" s="1"/>
  <c r="R271" i="53" s="1"/>
  <c r="Q271" i="53" s="1"/>
  <c r="S271" i="53" s="1"/>
  <c r="R272" i="53" s="1"/>
  <c r="Q272" i="53" s="1"/>
  <c r="S272" i="53" s="1"/>
  <c r="R273" i="53" s="1"/>
  <c r="Q273" i="53" s="1"/>
  <c r="S273" i="53" s="1"/>
  <c r="R274" i="53" s="1"/>
  <c r="Q274" i="53" s="1"/>
  <c r="S274" i="53" s="1"/>
  <c r="R275" i="53" s="1"/>
  <c r="Q275" i="53" s="1"/>
  <c r="S275" i="53" s="1"/>
  <c r="R276" i="53" s="1"/>
  <c r="Q276" i="53" s="1"/>
  <c r="S276" i="53" s="1"/>
  <c r="R277" i="53" s="1"/>
  <c r="Q277" i="53" s="1"/>
  <c r="S277" i="53" s="1"/>
  <c r="R278" i="53" s="1"/>
  <c r="Q278" i="53" s="1"/>
  <c r="S278" i="53" s="1"/>
  <c r="R279" i="53" s="1"/>
  <c r="Q279" i="53" s="1"/>
  <c r="S279" i="53" s="1"/>
  <c r="R280" i="53" s="1"/>
  <c r="Q280" i="53" s="1"/>
  <c r="S280" i="53" s="1"/>
  <c r="R281" i="53" s="1"/>
  <c r="Q281" i="53" s="1"/>
  <c r="S281" i="53" s="1"/>
  <c r="R282" i="53" s="1"/>
  <c r="Q282" i="53" s="1"/>
  <c r="S282" i="53" s="1"/>
  <c r="R283" i="53" s="1"/>
  <c r="Q283" i="53" s="1"/>
  <c r="S283" i="53" s="1"/>
  <c r="R284" i="53" s="1"/>
  <c r="Q284" i="53" s="1"/>
  <c r="S284" i="53" s="1"/>
  <c r="R285" i="53" s="1"/>
  <c r="Q285" i="53" s="1"/>
  <c r="S285" i="53" s="1"/>
  <c r="R286" i="53" s="1"/>
  <c r="Q286" i="53" s="1"/>
  <c r="S286" i="53" s="1"/>
  <c r="R287" i="53" s="1"/>
  <c r="Q287" i="53" s="1"/>
  <c r="S287" i="53" s="1"/>
  <c r="R288" i="53" s="1"/>
  <c r="Q288" i="53" s="1"/>
  <c r="S288" i="53" s="1"/>
  <c r="R289" i="53" s="1"/>
  <c r="Q289" i="53" s="1"/>
  <c r="S289" i="53" s="1"/>
  <c r="R290" i="53" s="1"/>
  <c r="Q290" i="53" s="1"/>
  <c r="S290" i="53" s="1"/>
  <c r="R291" i="53" s="1"/>
  <c r="Q291" i="53" s="1"/>
  <c r="S291" i="53" s="1"/>
  <c r="R292" i="53" s="1"/>
  <c r="Q292" i="53" s="1"/>
  <c r="S292" i="53" s="1"/>
  <c r="R293" i="53" s="1"/>
  <c r="Q293" i="53" s="1"/>
  <c r="S293" i="53" s="1"/>
  <c r="R294" i="53" s="1"/>
  <c r="Q294" i="53" s="1"/>
  <c r="S294" i="53" s="1"/>
  <c r="R295" i="53" s="1"/>
  <c r="Q295" i="53" s="1"/>
  <c r="S295" i="53" s="1"/>
  <c r="R296" i="53" s="1"/>
  <c r="Q296" i="53" s="1"/>
  <c r="S296" i="53" s="1"/>
  <c r="R297" i="53" s="1"/>
  <c r="Q297" i="53" s="1"/>
  <c r="S297" i="53" s="1"/>
  <c r="R298" i="53" s="1"/>
  <c r="Q298" i="53" s="1"/>
  <c r="S298" i="53" s="1"/>
  <c r="R299" i="53" s="1"/>
  <c r="Q299" i="53" s="1"/>
  <c r="S299" i="53" s="1"/>
  <c r="R300" i="53" s="1"/>
  <c r="Q300" i="53" s="1"/>
  <c r="S300" i="53" s="1"/>
  <c r="R301" i="53" s="1"/>
  <c r="Q301" i="53" s="1"/>
  <c r="S301" i="53" s="1"/>
  <c r="R302" i="53" s="1"/>
  <c r="Q302" i="53" s="1"/>
  <c r="S302" i="53" s="1"/>
  <c r="R303" i="53" s="1"/>
  <c r="Q303" i="53" s="1"/>
  <c r="S303" i="53" s="1"/>
  <c r="R304" i="53" s="1"/>
  <c r="Q304" i="53" s="1"/>
  <c r="S304" i="53" s="1"/>
  <c r="R305" i="53" s="1"/>
  <c r="Q305" i="53" s="1"/>
  <c r="S305" i="53" s="1"/>
  <c r="R306" i="53" s="1"/>
  <c r="Q306" i="53" s="1"/>
  <c r="S306" i="53" s="1"/>
  <c r="R307" i="53" s="1"/>
  <c r="Q307" i="53" s="1"/>
  <c r="S307" i="53" s="1"/>
  <c r="R308" i="53" s="1"/>
  <c r="Q308" i="53" s="1"/>
  <c r="S308" i="53" s="1"/>
  <c r="R309" i="53" s="1"/>
  <c r="Q309" i="53" s="1"/>
  <c r="S309" i="53" s="1"/>
  <c r="R310" i="53" s="1"/>
  <c r="Q310" i="53" s="1"/>
  <c r="S310" i="53" s="1"/>
  <c r="R311" i="53" s="1"/>
  <c r="Q311" i="53" s="1"/>
  <c r="S311" i="53" s="1"/>
  <c r="R312" i="53" s="1"/>
  <c r="Q312" i="53" s="1"/>
  <c r="S312" i="53" s="1"/>
  <c r="R313" i="53" s="1"/>
  <c r="Q313" i="53" s="1"/>
  <c r="S313" i="53" s="1"/>
  <c r="R314" i="53" s="1"/>
  <c r="Q314" i="53" s="1"/>
  <c r="S314" i="53" s="1"/>
  <c r="R315" i="53" s="1"/>
  <c r="Q315" i="53" s="1"/>
  <c r="S315" i="53" s="1"/>
  <c r="R316" i="53" s="1"/>
  <c r="Q316" i="53" s="1"/>
  <c r="S316" i="53" s="1"/>
  <c r="R317" i="53" s="1"/>
  <c r="Q317" i="53" s="1"/>
  <c r="S317" i="53" s="1"/>
  <c r="R318" i="53" s="1"/>
  <c r="Q318" i="53" s="1"/>
  <c r="S318" i="53" s="1"/>
  <c r="R319" i="53" s="1"/>
  <c r="Q319" i="53" s="1"/>
  <c r="S319" i="53" s="1"/>
  <c r="R320" i="53" s="1"/>
  <c r="Q320" i="53" s="1"/>
  <c r="S320" i="53" s="1"/>
  <c r="R321" i="53" s="1"/>
  <c r="Q321" i="53" s="1"/>
  <c r="S321" i="53" s="1"/>
  <c r="R322" i="53" s="1"/>
  <c r="Q322" i="53" s="1"/>
  <c r="S322" i="53" s="1"/>
  <c r="R323" i="53" s="1"/>
  <c r="Q323" i="53" s="1"/>
  <c r="S323" i="53" s="1"/>
  <c r="R324" i="53" s="1"/>
  <c r="Q324" i="53" s="1"/>
  <c r="S324" i="53" s="1"/>
  <c r="R325" i="53" s="1"/>
  <c r="Q325" i="53" s="1"/>
  <c r="S325" i="53" s="1"/>
  <c r="R326" i="53" s="1"/>
  <c r="Q326" i="53" s="1"/>
  <c r="S326" i="53" s="1"/>
  <c r="R327" i="53" s="1"/>
  <c r="Q327" i="53" s="1"/>
  <c r="S327" i="53" s="1"/>
  <c r="R328" i="53" s="1"/>
  <c r="Q328" i="53" s="1"/>
  <c r="S328" i="53" s="1"/>
  <c r="R329" i="53" s="1"/>
  <c r="Q329" i="53" s="1"/>
  <c r="S329" i="53" s="1"/>
  <c r="R330" i="53" s="1"/>
  <c r="Q330" i="53" s="1"/>
  <c r="S330" i="53" s="1"/>
  <c r="R331" i="53" s="1"/>
  <c r="Q331" i="53" s="1"/>
  <c r="S331" i="53" s="1"/>
  <c r="R332" i="53" s="1"/>
  <c r="Q332" i="53" s="1"/>
  <c r="S332" i="53" s="1"/>
  <c r="R333" i="53" s="1"/>
  <c r="Q333" i="53" s="1"/>
  <c r="S333" i="53" s="1"/>
  <c r="R334" i="53" s="1"/>
  <c r="Q334" i="53" s="1"/>
  <c r="S334" i="53" s="1"/>
  <c r="R335" i="53" s="1"/>
  <c r="Q335" i="53" s="1"/>
  <c r="S335" i="53" s="1"/>
  <c r="R336" i="53" s="1"/>
  <c r="Q336" i="53" s="1"/>
  <c r="S336" i="53" s="1"/>
  <c r="R337" i="53" s="1"/>
  <c r="Q337" i="53" s="1"/>
  <c r="S337" i="53" s="1"/>
  <c r="R338" i="53" s="1"/>
  <c r="Q338" i="53" s="1"/>
  <c r="S338" i="53" s="1"/>
  <c r="R339" i="53" s="1"/>
  <c r="Q339" i="53" s="1"/>
  <c r="S339" i="53" s="1"/>
  <c r="R340" i="53" s="1"/>
  <c r="Q340" i="53" s="1"/>
  <c r="S340" i="53" s="1"/>
  <c r="R341" i="53" s="1"/>
  <c r="Q341" i="53" s="1"/>
  <c r="S341" i="53" s="1"/>
  <c r="R342" i="53" s="1"/>
  <c r="Q342" i="53" s="1"/>
  <c r="S342" i="53" s="1"/>
  <c r="R343" i="53" s="1"/>
  <c r="Q343" i="53" s="1"/>
  <c r="S343" i="53" s="1"/>
  <c r="R344" i="53" s="1"/>
  <c r="Q344" i="53" s="1"/>
  <c r="S344" i="53" s="1"/>
  <c r="R345" i="53" s="1"/>
  <c r="Q345" i="53" s="1"/>
  <c r="S345" i="53" s="1"/>
  <c r="R346" i="53" s="1"/>
  <c r="Q346" i="53" s="1"/>
  <c r="S346" i="53" s="1"/>
  <c r="R347" i="53" s="1"/>
  <c r="Q347" i="53" s="1"/>
  <c r="S347" i="53" s="1"/>
  <c r="R348" i="53" s="1"/>
  <c r="Q348" i="53" s="1"/>
  <c r="S348" i="53" s="1"/>
  <c r="R349" i="53" s="1"/>
  <c r="Q349" i="53" s="1"/>
  <c r="S349" i="53" s="1"/>
  <c r="R350" i="53" s="1"/>
  <c r="Q350" i="53" s="1"/>
  <c r="S350" i="53" s="1"/>
  <c r="R351" i="53" s="1"/>
  <c r="Q351" i="53" s="1"/>
  <c r="S351" i="53" s="1"/>
  <c r="R352" i="53" s="1"/>
  <c r="Q352" i="53" s="1"/>
  <c r="S352" i="53" s="1"/>
  <c r="R353" i="53" s="1"/>
  <c r="Q353" i="53" s="1"/>
  <c r="S353" i="53" s="1"/>
  <c r="R354" i="53" s="1"/>
  <c r="Q354" i="53" s="1"/>
  <c r="S354" i="53" s="1"/>
  <c r="R355" i="53" s="1"/>
  <c r="Q355" i="53" s="1"/>
  <c r="S355" i="53" s="1"/>
  <c r="R356" i="53" s="1"/>
  <c r="Q356" i="53" s="1"/>
  <c r="S356" i="53" s="1"/>
  <c r="R357" i="53" s="1"/>
  <c r="Q357" i="53" s="1"/>
  <c r="S357" i="53" s="1"/>
  <c r="R358" i="53" s="1"/>
  <c r="Q358" i="53" s="1"/>
  <c r="S358" i="53" s="1"/>
  <c r="R359" i="53" s="1"/>
  <c r="Q359" i="53" s="1"/>
  <c r="S359" i="53" s="1"/>
  <c r="R360" i="53" s="1"/>
  <c r="Q360" i="53" s="1"/>
  <c r="S360" i="53" s="1"/>
  <c r="R361" i="53" s="1"/>
  <c r="Q361" i="53" s="1"/>
  <c r="S361" i="53" s="1"/>
  <c r="R362" i="53" s="1"/>
  <c r="Q362" i="53" s="1"/>
  <c r="S362" i="53" s="1"/>
  <c r="R363" i="53" s="1"/>
  <c r="Q363" i="53" s="1"/>
  <c r="S363" i="53" s="1"/>
  <c r="R364" i="53" s="1"/>
  <c r="Q364" i="53" s="1"/>
  <c r="S364" i="53" s="1"/>
  <c r="R365" i="53" s="1"/>
  <c r="Q365" i="53" s="1"/>
  <c r="S365" i="53" s="1"/>
  <c r="R366" i="53" s="1"/>
  <c r="Q366" i="53" s="1"/>
  <c r="S366" i="53" s="1"/>
  <c r="R367" i="53" s="1"/>
  <c r="Q367" i="53" s="1"/>
  <c r="S367" i="53" s="1"/>
  <c r="R368" i="53" s="1"/>
  <c r="Q368" i="53" s="1"/>
  <c r="S368" i="53" s="1"/>
  <c r="R369" i="53" s="1"/>
  <c r="Q369" i="53" s="1"/>
  <c r="S369" i="53" s="1"/>
  <c r="R370" i="53" s="1"/>
  <c r="Q370" i="53" s="1"/>
  <c r="S370" i="53" s="1"/>
  <c r="R371" i="53" s="1"/>
  <c r="Q371" i="53" s="1"/>
  <c r="S371" i="53" s="1"/>
  <c r="R372" i="53" s="1"/>
  <c r="Q372" i="53" s="1"/>
  <c r="S372" i="53" s="1"/>
  <c r="R373" i="53" s="1"/>
  <c r="Q373" i="53" s="1"/>
  <c r="S373" i="53" s="1"/>
  <c r="R374" i="53" s="1"/>
  <c r="Q374" i="53" s="1"/>
  <c r="S374" i="53" s="1"/>
  <c r="R375" i="53" s="1"/>
  <c r="Q375" i="53" s="1"/>
  <c r="S375" i="53" s="1"/>
  <c r="R376" i="53" s="1"/>
  <c r="Q376" i="53" s="1"/>
  <c r="S376" i="53" s="1"/>
  <c r="R377" i="53" s="1"/>
  <c r="Q377" i="53" s="1"/>
  <c r="S377" i="53" s="1"/>
  <c r="R378" i="53" s="1"/>
  <c r="Q378" i="53" s="1"/>
  <c r="S378" i="53" s="1"/>
  <c r="R379" i="53" s="1"/>
  <c r="Q379" i="53" s="1"/>
  <c r="S379" i="53" s="1"/>
  <c r="R380" i="53" s="1"/>
  <c r="Q380" i="53" s="1"/>
  <c r="S380" i="53" s="1"/>
  <c r="R381" i="53" s="1"/>
  <c r="Q381" i="53" s="1"/>
  <c r="S381" i="53" s="1"/>
  <c r="R382" i="53" s="1"/>
  <c r="Q382" i="53" s="1"/>
  <c r="S382" i="53" s="1"/>
  <c r="R383" i="53" s="1"/>
  <c r="Q383" i="53" s="1"/>
  <c r="S383" i="53" s="1"/>
  <c r="R384" i="53" s="1"/>
  <c r="Q384" i="53" s="1"/>
  <c r="S384" i="53" s="1"/>
  <c r="R385" i="53" s="1"/>
  <c r="Q385" i="53" s="1"/>
  <c r="S385" i="53" s="1"/>
  <c r="R386" i="53" s="1"/>
  <c r="Q386" i="53" s="1"/>
  <c r="S386" i="53" s="1"/>
  <c r="R387" i="53" s="1"/>
  <c r="Q387" i="53" s="1"/>
  <c r="S387" i="53" s="1"/>
  <c r="R388" i="53" s="1"/>
  <c r="Q388" i="53" s="1"/>
  <c r="S388" i="53" s="1"/>
  <c r="R389" i="53" s="1"/>
  <c r="Q389" i="53" s="1"/>
  <c r="S389" i="53" s="1"/>
  <c r="R390" i="53" s="1"/>
  <c r="Q390" i="53" s="1"/>
  <c r="S390" i="53" s="1"/>
  <c r="R391" i="53" s="1"/>
  <c r="Q391" i="53" s="1"/>
  <c r="S391" i="53" s="1"/>
  <c r="R392" i="53" s="1"/>
  <c r="Q392" i="53" s="1"/>
  <c r="S392" i="53" s="1"/>
  <c r="R393" i="53" s="1"/>
  <c r="Q393" i="53" s="1"/>
  <c r="S393" i="53" s="1"/>
  <c r="R394" i="53" s="1"/>
  <c r="Q394" i="53" s="1"/>
  <c r="S394" i="53" s="1"/>
  <c r="R395" i="53" s="1"/>
  <c r="Q395" i="53" s="1"/>
  <c r="S395" i="53" s="1"/>
  <c r="R396" i="53" s="1"/>
  <c r="Q396" i="53" s="1"/>
  <c r="S396" i="53" s="1"/>
  <c r="R397" i="53" s="1"/>
  <c r="Q397" i="53" s="1"/>
  <c r="S397" i="53" s="1"/>
  <c r="R398" i="53" s="1"/>
  <c r="Q398" i="53" s="1"/>
  <c r="S398" i="53" s="1"/>
  <c r="R399" i="53" s="1"/>
  <c r="Q399" i="53" s="1"/>
  <c r="S399" i="53" s="1"/>
  <c r="R400" i="53" s="1"/>
  <c r="Q400" i="53" s="1"/>
  <c r="S400" i="53" s="1"/>
  <c r="R401" i="53" s="1"/>
  <c r="Q401" i="53" s="1"/>
  <c r="S401" i="53" s="1"/>
  <c r="R402" i="53" s="1"/>
  <c r="Q402" i="53" s="1"/>
  <c r="S402" i="53" s="1"/>
  <c r="R403" i="53" s="1"/>
  <c r="Q403" i="53" s="1"/>
  <c r="S403" i="53" s="1"/>
  <c r="R404" i="53" s="1"/>
  <c r="Q404" i="53" s="1"/>
  <c r="S404" i="53" s="1"/>
  <c r="R405" i="53" s="1"/>
  <c r="Q405" i="53" s="1"/>
  <c r="S405" i="53" s="1"/>
  <c r="R406" i="53" s="1"/>
  <c r="Q406" i="53" s="1"/>
  <c r="S406" i="53" s="1"/>
  <c r="R407" i="53" s="1"/>
  <c r="Q407" i="53" s="1"/>
  <c r="S407" i="53" s="1"/>
  <c r="R408" i="53" s="1"/>
  <c r="Q408" i="53" s="1"/>
  <c r="S408" i="53" s="1"/>
  <c r="R409" i="53" s="1"/>
  <c r="Q409" i="53" s="1"/>
  <c r="S409" i="53" s="1"/>
  <c r="R410" i="53" s="1"/>
  <c r="Q410" i="53" s="1"/>
  <c r="S410" i="53" s="1"/>
  <c r="R411" i="53" s="1"/>
  <c r="Q411" i="53" s="1"/>
  <c r="S411" i="53" s="1"/>
  <c r="R412" i="53" s="1"/>
  <c r="Q412" i="53" s="1"/>
  <c r="S412" i="53" s="1"/>
  <c r="R413" i="53" s="1"/>
  <c r="Q413" i="53" s="1"/>
  <c r="S413" i="53" s="1"/>
  <c r="R414" i="53" s="1"/>
  <c r="Q414" i="53" s="1"/>
  <c r="S414" i="53" s="1"/>
  <c r="R415" i="53" s="1"/>
  <c r="Q415" i="53" s="1"/>
  <c r="S415" i="53" s="1"/>
  <c r="R416" i="53" s="1"/>
  <c r="Q416" i="53" s="1"/>
  <c r="S416" i="53" s="1"/>
  <c r="R417" i="53" s="1"/>
  <c r="Q417" i="53" s="1"/>
  <c r="S417" i="53" s="1"/>
  <c r="R418" i="53" s="1"/>
  <c r="Q418" i="53" s="1"/>
  <c r="S418" i="53" s="1"/>
  <c r="R419" i="53" s="1"/>
  <c r="Q419" i="53" s="1"/>
  <c r="S419" i="53" s="1"/>
  <c r="R420" i="53" s="1"/>
  <c r="Q420" i="53" s="1"/>
  <c r="S420" i="53" s="1"/>
  <c r="R421" i="53" s="1"/>
  <c r="Q421" i="53" s="1"/>
  <c r="S421" i="53" s="1"/>
  <c r="R422" i="53" s="1"/>
  <c r="Q422" i="53" s="1"/>
  <c r="S422" i="53" s="1"/>
  <c r="R423" i="53" s="1"/>
  <c r="Q423" i="53" s="1"/>
  <c r="S423" i="53" s="1"/>
  <c r="R424" i="53" s="1"/>
  <c r="Q424" i="53" s="1"/>
  <c r="S424" i="53" s="1"/>
  <c r="R425" i="53" s="1"/>
  <c r="Q425" i="53" s="1"/>
  <c r="S425" i="53" s="1"/>
  <c r="R426" i="53" s="1"/>
  <c r="Q426" i="53" s="1"/>
  <c r="S426" i="53" s="1"/>
  <c r="R427" i="53" s="1"/>
  <c r="Q427" i="53" s="1"/>
  <c r="S427" i="53" s="1"/>
  <c r="R428" i="53" s="1"/>
  <c r="Q428" i="53" s="1"/>
  <c r="S428" i="53" s="1"/>
  <c r="R429" i="53" s="1"/>
  <c r="Q429" i="53" s="1"/>
  <c r="S429" i="53" s="1"/>
  <c r="R430" i="53" s="1"/>
  <c r="Q430" i="53" s="1"/>
  <c r="S430" i="53" s="1"/>
  <c r="R431" i="53" s="1"/>
  <c r="Q431" i="53" s="1"/>
  <c r="S431" i="53" s="1"/>
  <c r="R432" i="53" s="1"/>
  <c r="Q432" i="53" s="1"/>
  <c r="S432" i="53" s="1"/>
  <c r="R433" i="53" s="1"/>
  <c r="Q433" i="53" s="1"/>
  <c r="S433" i="53" s="1"/>
  <c r="R434" i="53" s="1"/>
  <c r="Q434" i="53" s="1"/>
  <c r="S434" i="53" s="1"/>
  <c r="R435" i="53" s="1"/>
  <c r="Q435" i="53" s="1"/>
  <c r="S435" i="53" s="1"/>
  <c r="R436" i="53" s="1"/>
  <c r="Q436" i="53" s="1"/>
  <c r="S436" i="53" s="1"/>
  <c r="R437" i="53" s="1"/>
  <c r="Q437" i="53" s="1"/>
  <c r="S437" i="53" s="1"/>
  <c r="R438" i="53" s="1"/>
  <c r="Q438" i="53" s="1"/>
  <c r="S438" i="53" s="1"/>
  <c r="R439" i="53" s="1"/>
  <c r="Q439" i="53" s="1"/>
  <c r="S439" i="53" s="1"/>
  <c r="R440" i="53" s="1"/>
  <c r="Q440" i="53" s="1"/>
  <c r="S440" i="53" s="1"/>
  <c r="R441" i="53" s="1"/>
  <c r="Q441" i="53" s="1"/>
  <c r="S441" i="53" s="1"/>
  <c r="R442" i="53" s="1"/>
  <c r="Q442" i="53" s="1"/>
  <c r="S442" i="53" s="1"/>
  <c r="R443" i="53" s="1"/>
  <c r="Q443" i="53" s="1"/>
  <c r="S443" i="53" s="1"/>
  <c r="R444" i="53" s="1"/>
  <c r="Q444" i="53" s="1"/>
  <c r="S444" i="53" s="1"/>
  <c r="R445" i="53" s="1"/>
  <c r="Q445" i="53" s="1"/>
  <c r="S445" i="53" s="1"/>
  <c r="R446" i="53" s="1"/>
  <c r="Q446" i="53" s="1"/>
  <c r="S446" i="53" s="1"/>
  <c r="R447" i="53" s="1"/>
  <c r="Q447" i="53" s="1"/>
  <c r="S447" i="53" s="1"/>
  <c r="R448" i="53" s="1"/>
  <c r="Q448" i="53" s="1"/>
  <c r="S448" i="53" s="1"/>
  <c r="R449" i="53" s="1"/>
  <c r="Q449" i="53" s="1"/>
  <c r="S449" i="53" s="1"/>
  <c r="R450" i="53" s="1"/>
  <c r="Q450" i="53" s="1"/>
  <c r="S450" i="53" s="1"/>
  <c r="R451" i="53" s="1"/>
  <c r="Q451" i="53" s="1"/>
  <c r="S451" i="53" s="1"/>
  <c r="R452" i="53" s="1"/>
  <c r="Q452" i="53" s="1"/>
  <c r="S452" i="53" s="1"/>
  <c r="R453" i="53" s="1"/>
  <c r="Q453" i="53" s="1"/>
  <c r="S453" i="53" s="1"/>
  <c r="CR171" i="53"/>
  <c r="F160" i="53"/>
  <c r="CT160" i="53" s="1"/>
  <c r="CU159" i="53"/>
  <c r="CR176" i="53"/>
  <c r="G19" i="47"/>
  <c r="H17" i="47"/>
  <c r="G18" i="47"/>
  <c r="CR163" i="53"/>
  <c r="CR186" i="53"/>
  <c r="CR168" i="53"/>
  <c r="CR189" i="53"/>
  <c r="G33" i="32"/>
  <c r="E24" i="41"/>
  <c r="F20" i="47"/>
  <c r="F21" i="47" s="1"/>
  <c r="CR183" i="53"/>
  <c r="CR178" i="53"/>
  <c r="CR160" i="53"/>
  <c r="CR181" i="53"/>
  <c r="CR170" i="53"/>
  <c r="CR167" i="53"/>
  <c r="CR173" i="53"/>
  <c r="CR162" i="53"/>
  <c r="CR174" i="53"/>
  <c r="CR165" i="53"/>
  <c r="L35" i="53" s="1"/>
  <c r="CR180" i="53"/>
  <c r="CR175" i="53"/>
  <c r="CR177" i="53"/>
  <c r="CR166" i="53"/>
  <c r="CR172" i="53"/>
  <c r="CR187" i="53"/>
  <c r="CR169" i="53"/>
  <c r="I12" i="47"/>
  <c r="CR164" i="53"/>
  <c r="CR161" i="53"/>
  <c r="CR184" i="53"/>
  <c r="H42" i="53"/>
  <c r="F42" i="15"/>
  <c r="G42" i="53"/>
  <c r="E42" i="15"/>
  <c r="E160" i="53" l="1"/>
  <c r="CS160" i="53" s="1"/>
  <c r="F22" i="47"/>
  <c r="L36" i="53"/>
  <c r="J46" i="15" s="1"/>
  <c r="L37" i="53"/>
  <c r="I17" i="47"/>
  <c r="H18" i="47"/>
  <c r="H19" i="47"/>
  <c r="F24" i="41"/>
  <c r="H33" i="32"/>
  <c r="G20" i="47"/>
  <c r="G21" i="47" s="1"/>
  <c r="J12" i="47"/>
  <c r="AH51" i="34"/>
  <c r="AH58" i="34" s="1"/>
  <c r="G160" i="53" l="1"/>
  <c r="F161" i="53" s="1"/>
  <c r="M35" i="53"/>
  <c r="M37" i="53" s="1"/>
  <c r="I33" i="32"/>
  <c r="G24" i="41"/>
  <c r="H20" i="47"/>
  <c r="H21" i="47" s="1"/>
  <c r="I19" i="47"/>
  <c r="J17" i="47"/>
  <c r="I18" i="47"/>
  <c r="G22" i="47"/>
  <c r="CU160" i="53" l="1"/>
  <c r="H22" i="47"/>
  <c r="M36" i="53"/>
  <c r="K46" i="15" s="1"/>
  <c r="CT161" i="53"/>
  <c r="E161" i="53"/>
  <c r="N35" i="53"/>
  <c r="N36" i="53" s="1"/>
  <c r="L46" i="15" s="1"/>
  <c r="J19" i="47"/>
  <c r="J18" i="47"/>
  <c r="J33" i="32"/>
  <c r="H24" i="41"/>
  <c r="I20" i="47"/>
  <c r="I21" i="47" s="1"/>
  <c r="I22" i="47" l="1"/>
  <c r="N37" i="53"/>
  <c r="CS161" i="53"/>
  <c r="G161" i="53"/>
  <c r="I24" i="41"/>
  <c r="K33" i="32"/>
  <c r="J20" i="47"/>
  <c r="J21" i="47" s="1"/>
  <c r="J22" i="47" l="1"/>
  <c r="F162" i="53"/>
  <c r="CU161" i="53"/>
  <c r="AJ77" i="34"/>
  <c r="CT162" i="53" l="1"/>
  <c r="E162" i="53"/>
  <c r="CS162" i="53" l="1"/>
  <c r="G162" i="53"/>
  <c r="AK77" i="34"/>
  <c r="F163" i="53" l="1"/>
  <c r="CU162" i="53"/>
  <c r="CT163" i="53" l="1"/>
  <c r="E163" i="53"/>
  <c r="CS163" i="53" l="1"/>
  <c r="G163" i="53"/>
  <c r="F164" i="53" l="1"/>
  <c r="CU163" i="53"/>
  <c r="CT164" i="53" l="1"/>
  <c r="E164" i="53"/>
  <c r="CS164" i="53" l="1"/>
  <c r="G164" i="53"/>
  <c r="AG7" i="49"/>
  <c r="Y7" i="49"/>
  <c r="I7" i="49"/>
  <c r="T7" i="49"/>
  <c r="J7" i="49"/>
  <c r="X7" i="49"/>
  <c r="P7" i="49"/>
  <c r="H7" i="49"/>
  <c r="AB7" i="49"/>
  <c r="K7" i="49"/>
  <c r="AE7" i="49"/>
  <c r="W7" i="49"/>
  <c r="O7" i="49"/>
  <c r="S7" i="49"/>
  <c r="Z7" i="49"/>
  <c r="AD7" i="49"/>
  <c r="N7" i="49"/>
  <c r="R7" i="49"/>
  <c r="AC7" i="49"/>
  <c r="U7" i="49"/>
  <c r="M7" i="49"/>
  <c r="AJ7" i="49"/>
  <c r="AI7" i="49"/>
  <c r="AH7" i="49"/>
  <c r="F165" i="53" l="1"/>
  <c r="CU164" i="53"/>
  <c r="CT165" i="53" l="1"/>
  <c r="L26" i="53" s="1"/>
  <c r="J45" i="15" s="1"/>
  <c r="E165" i="53"/>
  <c r="CS165" i="53" l="1"/>
  <c r="L25" i="53" s="1"/>
  <c r="G165" i="53"/>
  <c r="CU165" i="53" l="1"/>
  <c r="F166" i="53"/>
  <c r="CT166" i="53" l="1"/>
  <c r="E166" i="53"/>
  <c r="CS166" i="53" l="1"/>
  <c r="G166" i="53"/>
  <c r="F167" i="53" l="1"/>
  <c r="CU166" i="53"/>
  <c r="CT167" i="53" l="1"/>
  <c r="E167" i="53"/>
  <c r="CS167" i="53" l="1"/>
  <c r="G167" i="53"/>
  <c r="F168" i="53" l="1"/>
  <c r="CU167" i="53"/>
  <c r="CT168" i="53" l="1"/>
  <c r="E168" i="53"/>
  <c r="CS168" i="53" l="1"/>
  <c r="G168" i="53"/>
  <c r="CU168" i="53" l="1"/>
  <c r="F169" i="53"/>
  <c r="CT169" i="53" l="1"/>
  <c r="E169" i="53"/>
  <c r="CS169" i="53" l="1"/>
  <c r="G169" i="53"/>
  <c r="CU169" i="53" l="1"/>
  <c r="F170" i="53"/>
  <c r="CT170" i="53" l="1"/>
  <c r="E170" i="53"/>
  <c r="CS170" i="53" l="1"/>
  <c r="G170" i="53"/>
  <c r="F171" i="53" l="1"/>
  <c r="CU170" i="53"/>
  <c r="CT171" i="53" l="1"/>
  <c r="E171" i="53"/>
  <c r="CS171" i="53" l="1"/>
  <c r="G171" i="53"/>
  <c r="F172" i="53" l="1"/>
  <c r="CU171" i="53"/>
  <c r="CT172" i="53" l="1"/>
  <c r="E172" i="53"/>
  <c r="CS172" i="53" l="1"/>
  <c r="G172" i="53"/>
  <c r="F173" i="53" l="1"/>
  <c r="CU172" i="53"/>
  <c r="CT173" i="53" l="1"/>
  <c r="E173" i="53"/>
  <c r="CS173" i="53" l="1"/>
  <c r="G173" i="53"/>
  <c r="F174" i="53" l="1"/>
  <c r="CU173" i="53"/>
  <c r="CT174" i="53" l="1"/>
  <c r="E174" i="53"/>
  <c r="CS174" i="53" l="1"/>
  <c r="G174" i="53"/>
  <c r="F175" i="53" l="1"/>
  <c r="CU174" i="53"/>
  <c r="CT175" i="53" l="1"/>
  <c r="E175" i="53"/>
  <c r="CS175" i="53" l="1"/>
  <c r="G175" i="53"/>
  <c r="F176" i="53" l="1"/>
  <c r="CU175" i="53"/>
  <c r="CT176" i="53" l="1"/>
  <c r="E176" i="53"/>
  <c r="CS176" i="53" l="1"/>
  <c r="G176" i="53"/>
  <c r="F177" i="53" l="1"/>
  <c r="CU176" i="53"/>
  <c r="CT177" i="53" l="1"/>
  <c r="M26" i="53" s="1"/>
  <c r="K45" i="15" s="1"/>
  <c r="E177" i="53"/>
  <c r="CS177" i="53" l="1"/>
  <c r="M25" i="53" s="1"/>
  <c r="G177" i="53"/>
  <c r="F178" i="53" l="1"/>
  <c r="CU177" i="53"/>
  <c r="E178" i="53" l="1"/>
  <c r="CT178" i="53"/>
  <c r="CS178" i="53" l="1"/>
  <c r="G178" i="53"/>
  <c r="CU178" i="53" l="1"/>
  <c r="F179" i="53"/>
  <c r="CT179" i="53" l="1"/>
  <c r="E179" i="53"/>
  <c r="CS179" i="53" l="1"/>
  <c r="G179" i="53"/>
  <c r="F180" i="53" l="1"/>
  <c r="CU179" i="53"/>
  <c r="CT180" i="53" l="1"/>
  <c r="E180" i="53"/>
  <c r="CS180" i="53" l="1"/>
  <c r="G180" i="53"/>
  <c r="F181" i="53" l="1"/>
  <c r="CU180" i="53"/>
  <c r="E181" i="53" l="1"/>
  <c r="CT181" i="53"/>
  <c r="CS181" i="53" l="1"/>
  <c r="G181" i="53"/>
  <c r="F182" i="53" l="1"/>
  <c r="CU181" i="53"/>
  <c r="CT182" i="53" l="1"/>
  <c r="E182" i="53"/>
  <c r="CS182" i="53" l="1"/>
  <c r="G182" i="53"/>
  <c r="AE124" i="18"/>
  <c r="Z124" i="18"/>
  <c r="T124" i="18"/>
  <c r="I124" i="18"/>
  <c r="E124" i="18"/>
  <c r="AH124" i="18"/>
  <c r="AB124" i="18"/>
  <c r="F124" i="18"/>
  <c r="H124" i="18"/>
  <c r="K124" i="18"/>
  <c r="N124" i="18"/>
  <c r="P124" i="18"/>
  <c r="Y124" i="18"/>
  <c r="V124" i="18"/>
  <c r="S124" i="18"/>
  <c r="AG124" i="18"/>
  <c r="X124" i="18"/>
  <c r="AA124" i="18"/>
  <c r="M124" i="18"/>
  <c r="AD124" i="18"/>
  <c r="G124" i="18"/>
  <c r="AF124" i="18"/>
  <c r="U124" i="18"/>
  <c r="O124" i="18"/>
  <c r="J124" i="18"/>
  <c r="Q135" i="18"/>
  <c r="Q124" i="18"/>
  <c r="AC124" i="18"/>
  <c r="W135" i="18"/>
  <c r="W124" i="18"/>
  <c r="R124" i="18"/>
  <c r="L124" i="18"/>
  <c r="G135" i="18"/>
  <c r="AF135" i="18"/>
  <c r="U135" i="18"/>
  <c r="O135" i="18"/>
  <c r="J135" i="18"/>
  <c r="AC135" i="18"/>
  <c r="R135" i="18"/>
  <c r="L135" i="18"/>
  <c r="AE135" i="18"/>
  <c r="Z135" i="18"/>
  <c r="T135" i="18"/>
  <c r="I135" i="18"/>
  <c r="AH135" i="18"/>
  <c r="AB135" i="18"/>
  <c r="H135" i="18"/>
  <c r="K135" i="18"/>
  <c r="N135" i="18"/>
  <c r="P135" i="18"/>
  <c r="S135" i="18"/>
  <c r="Y135" i="18"/>
  <c r="V135" i="18"/>
  <c r="AG135" i="18"/>
  <c r="X135" i="18"/>
  <c r="AA135" i="18"/>
  <c r="M135" i="18"/>
  <c r="AD135" i="18"/>
  <c r="U8" i="56" l="1"/>
  <c r="O8" i="56"/>
  <c r="E8" i="56"/>
  <c r="F183" i="53"/>
  <c r="CU182" i="53"/>
  <c r="Q9" i="15"/>
  <c r="Q9" i="41"/>
  <c r="C8" i="56"/>
  <c r="E9" i="15"/>
  <c r="E9" i="41"/>
  <c r="W9" i="41"/>
  <c r="W9" i="15"/>
  <c r="G9" i="41"/>
  <c r="G9" i="15"/>
  <c r="V8" i="56"/>
  <c r="X9" i="41"/>
  <c r="X9" i="15"/>
  <c r="I8" i="56"/>
  <c r="K9" i="41"/>
  <c r="K9" i="15"/>
  <c r="J8" i="56"/>
  <c r="L9" i="41"/>
  <c r="L9" i="15"/>
  <c r="S8" i="56"/>
  <c r="U9" i="15"/>
  <c r="U9" i="41"/>
  <c r="AE8" i="56"/>
  <c r="AG9" i="41"/>
  <c r="AG9" i="15"/>
  <c r="H9" i="41"/>
  <c r="F8" i="56"/>
  <c r="H9" i="15"/>
  <c r="P8" i="56"/>
  <c r="R9" i="41"/>
  <c r="R9" i="15"/>
  <c r="T8" i="56"/>
  <c r="V9" i="15"/>
  <c r="V9" i="41"/>
  <c r="D8" i="56"/>
  <c r="F9" i="41"/>
  <c r="F9" i="15"/>
  <c r="AD8" i="56"/>
  <c r="AF9" i="15"/>
  <c r="AF9" i="41"/>
  <c r="Y9" i="15"/>
  <c r="W8" i="56"/>
  <c r="Y9" i="41"/>
  <c r="Z8" i="56"/>
  <c r="AB9" i="15"/>
  <c r="AB9" i="41"/>
  <c r="G8" i="56"/>
  <c r="I9" i="15"/>
  <c r="I9" i="41"/>
  <c r="Q8" i="56"/>
  <c r="S9" i="15"/>
  <c r="S9" i="41"/>
  <c r="AH9" i="15"/>
  <c r="AF8" i="56"/>
  <c r="AH9" i="41"/>
  <c r="R8" i="56"/>
  <c r="T9" i="15"/>
  <c r="T9" i="41"/>
  <c r="AB8" i="56"/>
  <c r="AD9" i="41"/>
  <c r="AD9" i="15"/>
  <c r="N8" i="56"/>
  <c r="P9" i="41"/>
  <c r="P9" i="15"/>
  <c r="X8" i="56"/>
  <c r="Z9" i="41"/>
  <c r="Z9" i="15"/>
  <c r="H8" i="56"/>
  <c r="J9" i="41"/>
  <c r="J9" i="15"/>
  <c r="M9" i="41"/>
  <c r="K8" i="56"/>
  <c r="M9" i="15"/>
  <c r="L8" i="56"/>
  <c r="N9" i="41"/>
  <c r="N9" i="15"/>
  <c r="AC8" i="56"/>
  <c r="AE9" i="15"/>
  <c r="AE9" i="41"/>
  <c r="M8" i="56"/>
  <c r="O9" i="41"/>
  <c r="O9" i="15"/>
  <c r="Y8" i="56"/>
  <c r="AA9" i="15"/>
  <c r="AA9" i="41"/>
  <c r="AC9" i="15"/>
  <c r="AA8" i="56"/>
  <c r="AC9" i="41"/>
  <c r="C11" i="56" l="1"/>
  <c r="D11" i="56" s="1"/>
  <c r="CT183" i="53"/>
  <c r="E183" i="53"/>
  <c r="CS183" i="53" l="1"/>
  <c r="G183" i="53"/>
  <c r="AE92" i="23"/>
  <c r="AE119" i="23" s="1"/>
  <c r="U92" i="23"/>
  <c r="U119" i="23" s="1"/>
  <c r="K92" i="23"/>
  <c r="K119" i="23" s="1"/>
  <c r="E56" i="28"/>
  <c r="E53" i="28"/>
  <c r="E52" i="28"/>
  <c r="F61" i="28"/>
  <c r="E60" i="28" l="1"/>
  <c r="E61" i="28" s="1"/>
  <c r="CU183" i="53"/>
  <c r="F184" i="53"/>
  <c r="K93" i="23"/>
  <c r="K106" i="23" s="1"/>
  <c r="U93" i="23"/>
  <c r="U106" i="23" s="1"/>
  <c r="AE93" i="23"/>
  <c r="AE106" i="23" s="1"/>
  <c r="E184" i="53" l="1"/>
  <c r="CT184" i="53"/>
  <c r="P57" i="13"/>
  <c r="Z57" i="13"/>
  <c r="U57" i="13"/>
  <c r="AE57" i="13"/>
  <c r="K57" i="13"/>
  <c r="E132" i="23"/>
  <c r="F74" i="28"/>
  <c r="K48" i="13" l="1"/>
  <c r="CS184" i="53"/>
  <c r="G184" i="53"/>
  <c r="AE133" i="23"/>
  <c r="AE48" i="13"/>
  <c r="N102" i="4" s="1"/>
  <c r="N106" i="4" s="1"/>
  <c r="U133" i="23"/>
  <c r="U48" i="13"/>
  <c r="D102" i="4" s="1"/>
  <c r="D106" i="4" s="1"/>
  <c r="K133" i="23"/>
  <c r="E57" i="13"/>
  <c r="E113" i="13"/>
  <c r="K88" i="13" l="1"/>
  <c r="J68" i="48" s="1"/>
  <c r="I93" i="4"/>
  <c r="I97" i="4" s="1"/>
  <c r="E177" i="13"/>
  <c r="E179" i="13"/>
  <c r="E180" i="13"/>
  <c r="E182" i="13"/>
  <c r="E183" i="13"/>
  <c r="E181" i="13"/>
  <c r="E178" i="13"/>
  <c r="E176" i="13"/>
  <c r="E184" i="13"/>
  <c r="M23" i="34"/>
  <c r="M20" i="34" s="1"/>
  <c r="J71" i="34" s="1"/>
  <c r="U88" i="13"/>
  <c r="W23" i="34"/>
  <c r="W20" i="34" s="1"/>
  <c r="T71" i="34" s="1"/>
  <c r="AE88" i="13"/>
  <c r="AG23" i="34"/>
  <c r="AG20" i="34" s="1"/>
  <c r="AD71" i="34" s="1"/>
  <c r="G8" i="53"/>
  <c r="CU184" i="53"/>
  <c r="F185" i="53"/>
  <c r="J33" i="15" l="1"/>
  <c r="K11" i="47"/>
  <c r="K16" i="47" s="1"/>
  <c r="L14" i="49"/>
  <c r="L13" i="49" s="1"/>
  <c r="L7" i="49" s="1"/>
  <c r="E175" i="13"/>
  <c r="AD68" i="48"/>
  <c r="AD33" i="15"/>
  <c r="AE11" i="47"/>
  <c r="AF14" i="49"/>
  <c r="AF13" i="49" s="1"/>
  <c r="AF7" i="49" s="1"/>
  <c r="J74" i="48"/>
  <c r="J69" i="48"/>
  <c r="H80" i="53"/>
  <c r="I80" i="53" s="1"/>
  <c r="H79" i="53"/>
  <c r="I79" i="53" s="1"/>
  <c r="J33" i="53"/>
  <c r="H78" i="53"/>
  <c r="H77" i="53"/>
  <c r="U11" i="47"/>
  <c r="V14" i="49"/>
  <c r="V13" i="49" s="1"/>
  <c r="V7" i="49" s="1"/>
  <c r="T68" i="48"/>
  <c r="T33" i="15"/>
  <c r="CT185" i="53"/>
  <c r="E185" i="53"/>
  <c r="K12" i="47" l="1"/>
  <c r="L12" i="47" s="1"/>
  <c r="L15" i="49"/>
  <c r="M15" i="49" s="1"/>
  <c r="N15" i="49" s="1"/>
  <c r="O15" i="49" s="1"/>
  <c r="P15" i="49" s="1"/>
  <c r="D68" i="4"/>
  <c r="D32" i="4"/>
  <c r="I77" i="53"/>
  <c r="H81" i="53"/>
  <c r="J19" i="53"/>
  <c r="AD74" i="48"/>
  <c r="AD69" i="48"/>
  <c r="J36" i="53"/>
  <c r="H46" i="15" s="1"/>
  <c r="BT197" i="53"/>
  <c r="BT205" i="53"/>
  <c r="BT213" i="53"/>
  <c r="BT221" i="53"/>
  <c r="BT229" i="53"/>
  <c r="BT237" i="53"/>
  <c r="BT245" i="53"/>
  <c r="BT253" i="53"/>
  <c r="BT261" i="53"/>
  <c r="BT269" i="53"/>
  <c r="BT277" i="53"/>
  <c r="BT285" i="53"/>
  <c r="BT293" i="53"/>
  <c r="BT301" i="53"/>
  <c r="BT309" i="53"/>
  <c r="BT317" i="53"/>
  <c r="BT325" i="53"/>
  <c r="BT333" i="53"/>
  <c r="BT341" i="53"/>
  <c r="BT349" i="53"/>
  <c r="BT357" i="53"/>
  <c r="BT365" i="53"/>
  <c r="BT373" i="53"/>
  <c r="BT198" i="53"/>
  <c r="BT206" i="53"/>
  <c r="BT214" i="53"/>
  <c r="BT222" i="53"/>
  <c r="BT230" i="53"/>
  <c r="BT238" i="53"/>
  <c r="BT246" i="53"/>
  <c r="BT254" i="53"/>
  <c r="BT262" i="53"/>
  <c r="BT270" i="53"/>
  <c r="BT278" i="53"/>
  <c r="BT286" i="53"/>
  <c r="BT294" i="53"/>
  <c r="BT302" i="53"/>
  <c r="BT310" i="53"/>
  <c r="BT318" i="53"/>
  <c r="BT326" i="53"/>
  <c r="BT334" i="53"/>
  <c r="BT342" i="53"/>
  <c r="BT350" i="53"/>
  <c r="BT358" i="53"/>
  <c r="BT366" i="53"/>
  <c r="BT374" i="53"/>
  <c r="BT199" i="53"/>
  <c r="BT207" i="53"/>
  <c r="BT215" i="53"/>
  <c r="BT223" i="53"/>
  <c r="BT231" i="53"/>
  <c r="BT239" i="53"/>
  <c r="BT247" i="53"/>
  <c r="BT255" i="53"/>
  <c r="BT263" i="53"/>
  <c r="BT271" i="53"/>
  <c r="BT279" i="53"/>
  <c r="BT287" i="53"/>
  <c r="BT295" i="53"/>
  <c r="BT303" i="53"/>
  <c r="BT311" i="53"/>
  <c r="BT319" i="53"/>
  <c r="BT327" i="53"/>
  <c r="BT335" i="53"/>
  <c r="BT343" i="53"/>
  <c r="BT351" i="53"/>
  <c r="BT359" i="53"/>
  <c r="BT367" i="53"/>
  <c r="BT375" i="53"/>
  <c r="BT200" i="53"/>
  <c r="BT208" i="53"/>
  <c r="BT216" i="53"/>
  <c r="BT224" i="53"/>
  <c r="BT232" i="53"/>
  <c r="BT240" i="53"/>
  <c r="BT248" i="53"/>
  <c r="BT256" i="53"/>
  <c r="BT264" i="53"/>
  <c r="BT272" i="53"/>
  <c r="BT280" i="53"/>
  <c r="BT288" i="53"/>
  <c r="BT296" i="53"/>
  <c r="BT304" i="53"/>
  <c r="BT312" i="53"/>
  <c r="BT320" i="53"/>
  <c r="BT328" i="53"/>
  <c r="BT336" i="53"/>
  <c r="BT344" i="53"/>
  <c r="BT352" i="53"/>
  <c r="BT360" i="53"/>
  <c r="BT368" i="53"/>
  <c r="BT201" i="53"/>
  <c r="BT209" i="53"/>
  <c r="BT217" i="53"/>
  <c r="BT225" i="53"/>
  <c r="BT233" i="53"/>
  <c r="BT241" i="53"/>
  <c r="BT249" i="53"/>
  <c r="BT257" i="53"/>
  <c r="BT265" i="53"/>
  <c r="BT273" i="53"/>
  <c r="BT281" i="53"/>
  <c r="BT289" i="53"/>
  <c r="BT297" i="53"/>
  <c r="BT305" i="53"/>
  <c r="BT313" i="53"/>
  <c r="BT321" i="53"/>
  <c r="BT329" i="53"/>
  <c r="BT337" i="53"/>
  <c r="BT345" i="53"/>
  <c r="BT353" i="53"/>
  <c r="BT361" i="53"/>
  <c r="BT369" i="53"/>
  <c r="BT202" i="53"/>
  <c r="BT210" i="53"/>
  <c r="BT218" i="53"/>
  <c r="BT226" i="53"/>
  <c r="BT234" i="53"/>
  <c r="BT242" i="53"/>
  <c r="BT250" i="53"/>
  <c r="BT258" i="53"/>
  <c r="BT266" i="53"/>
  <c r="BT274" i="53"/>
  <c r="BT282" i="53"/>
  <c r="BT290" i="53"/>
  <c r="BT298" i="53"/>
  <c r="BT306" i="53"/>
  <c r="BT314" i="53"/>
  <c r="BT322" i="53"/>
  <c r="BT330" i="53"/>
  <c r="BT338" i="53"/>
  <c r="BT346" i="53"/>
  <c r="BT354" i="53"/>
  <c r="BT362" i="53"/>
  <c r="BT370" i="53"/>
  <c r="BW195" i="53"/>
  <c r="BV196" i="53" s="1"/>
  <c r="BT203" i="53"/>
  <c r="BT211" i="53"/>
  <c r="BT219" i="53"/>
  <c r="BT227" i="53"/>
  <c r="BT235" i="53"/>
  <c r="BT243" i="53"/>
  <c r="BT251" i="53"/>
  <c r="BT259" i="53"/>
  <c r="BT267" i="53"/>
  <c r="BT275" i="53"/>
  <c r="BT283" i="53"/>
  <c r="BT291" i="53"/>
  <c r="BT299" i="53"/>
  <c r="BT307" i="53"/>
  <c r="BT315" i="53"/>
  <c r="BT323" i="53"/>
  <c r="BT331" i="53"/>
  <c r="BT339" i="53"/>
  <c r="BT347" i="53"/>
  <c r="BT355" i="53"/>
  <c r="BT363" i="53"/>
  <c r="BT371" i="53"/>
  <c r="BT196" i="53"/>
  <c r="BT204" i="53"/>
  <c r="BT212" i="53"/>
  <c r="BT220" i="53"/>
  <c r="BT228" i="53"/>
  <c r="BT236" i="53"/>
  <c r="BT244" i="53"/>
  <c r="BT252" i="53"/>
  <c r="BT260" i="53"/>
  <c r="BT268" i="53"/>
  <c r="BT276" i="53"/>
  <c r="BT284" i="53"/>
  <c r="BT292" i="53"/>
  <c r="BT300" i="53"/>
  <c r="BT308" i="53"/>
  <c r="BT316" i="53"/>
  <c r="BT324" i="53"/>
  <c r="BT332" i="53"/>
  <c r="BT340" i="53"/>
  <c r="BT348" i="53"/>
  <c r="BT356" i="53"/>
  <c r="BT364" i="53"/>
  <c r="BT372" i="53"/>
  <c r="I78" i="53"/>
  <c r="K19" i="53"/>
  <c r="K20" i="53" s="1"/>
  <c r="U16" i="47"/>
  <c r="BX205" i="53"/>
  <c r="BX213" i="53"/>
  <c r="BX221" i="53"/>
  <c r="BX229" i="53"/>
  <c r="BX237" i="53"/>
  <c r="BX245" i="53"/>
  <c r="BX253" i="53"/>
  <c r="BX261" i="53"/>
  <c r="BX269" i="53"/>
  <c r="BX277" i="53"/>
  <c r="BX285" i="53"/>
  <c r="BX293" i="53"/>
  <c r="BX301" i="53"/>
  <c r="BX309" i="53"/>
  <c r="BX317" i="53"/>
  <c r="BX325" i="53"/>
  <c r="BX333" i="53"/>
  <c r="BX341" i="53"/>
  <c r="BX349" i="53"/>
  <c r="BX357" i="53"/>
  <c r="BX365" i="53"/>
  <c r="BX373" i="53"/>
  <c r="CA198" i="53"/>
  <c r="BZ199" i="53" s="1"/>
  <c r="BX206" i="53"/>
  <c r="BX214" i="53"/>
  <c r="BX222" i="53"/>
  <c r="BX230" i="53"/>
  <c r="BX238" i="53"/>
  <c r="BX246" i="53"/>
  <c r="BX254" i="53"/>
  <c r="BX262" i="53"/>
  <c r="BX270" i="53"/>
  <c r="BX278" i="53"/>
  <c r="BX286" i="53"/>
  <c r="BX294" i="53"/>
  <c r="BX302" i="53"/>
  <c r="BX310" i="53"/>
  <c r="BX318" i="53"/>
  <c r="BX326" i="53"/>
  <c r="BX334" i="53"/>
  <c r="BX342" i="53"/>
  <c r="BX350" i="53"/>
  <c r="BX358" i="53"/>
  <c r="BX366" i="53"/>
  <c r="BX374" i="53"/>
  <c r="BX199" i="53"/>
  <c r="BX207" i="53"/>
  <c r="BX215" i="53"/>
  <c r="BX223" i="53"/>
  <c r="BX231" i="53"/>
  <c r="BX239" i="53"/>
  <c r="BX247" i="53"/>
  <c r="BX255" i="53"/>
  <c r="BX263" i="53"/>
  <c r="BX271" i="53"/>
  <c r="BX279" i="53"/>
  <c r="BX287" i="53"/>
  <c r="BX295" i="53"/>
  <c r="BX303" i="53"/>
  <c r="BX311" i="53"/>
  <c r="BX319" i="53"/>
  <c r="BX327" i="53"/>
  <c r="BX335" i="53"/>
  <c r="BX343" i="53"/>
  <c r="BX351" i="53"/>
  <c r="BX359" i="53"/>
  <c r="BX367" i="53"/>
  <c r="BX375" i="53"/>
  <c r="BX200" i="53"/>
  <c r="BX208" i="53"/>
  <c r="BX216" i="53"/>
  <c r="BX224" i="53"/>
  <c r="BX232" i="53"/>
  <c r="BX240" i="53"/>
  <c r="BX248" i="53"/>
  <c r="BX256" i="53"/>
  <c r="BX264" i="53"/>
  <c r="BX272" i="53"/>
  <c r="BX280" i="53"/>
  <c r="BX288" i="53"/>
  <c r="BX296" i="53"/>
  <c r="BX304" i="53"/>
  <c r="BX312" i="53"/>
  <c r="BX320" i="53"/>
  <c r="BX328" i="53"/>
  <c r="BX336" i="53"/>
  <c r="BX344" i="53"/>
  <c r="BX352" i="53"/>
  <c r="BX360" i="53"/>
  <c r="BX368" i="53"/>
  <c r="BX376" i="53"/>
  <c r="BX201" i="53"/>
  <c r="BX209" i="53"/>
  <c r="BX217" i="53"/>
  <c r="BX225" i="53"/>
  <c r="BX233" i="53"/>
  <c r="BX241" i="53"/>
  <c r="BX249" i="53"/>
  <c r="BX257" i="53"/>
  <c r="BX265" i="53"/>
  <c r="BX273" i="53"/>
  <c r="BX281" i="53"/>
  <c r="BX289" i="53"/>
  <c r="BX297" i="53"/>
  <c r="BX305" i="53"/>
  <c r="BX313" i="53"/>
  <c r="BX321" i="53"/>
  <c r="BX329" i="53"/>
  <c r="BX337" i="53"/>
  <c r="BX345" i="53"/>
  <c r="BX353" i="53"/>
  <c r="BX361" i="53"/>
  <c r="BX369" i="53"/>
  <c r="BX377" i="53"/>
  <c r="BX202" i="53"/>
  <c r="BX210" i="53"/>
  <c r="BX218" i="53"/>
  <c r="BX226" i="53"/>
  <c r="BX234" i="53"/>
  <c r="BX242" i="53"/>
  <c r="BX250" i="53"/>
  <c r="BX258" i="53"/>
  <c r="BX266" i="53"/>
  <c r="BX274" i="53"/>
  <c r="BX282" i="53"/>
  <c r="BX290" i="53"/>
  <c r="BX298" i="53"/>
  <c r="BX306" i="53"/>
  <c r="BX314" i="53"/>
  <c r="BX322" i="53"/>
  <c r="BX330" i="53"/>
  <c r="BX338" i="53"/>
  <c r="BX346" i="53"/>
  <c r="BX354" i="53"/>
  <c r="BX362" i="53"/>
  <c r="BX370" i="53"/>
  <c r="BX378" i="53"/>
  <c r="BX203" i="53"/>
  <c r="BX211" i="53"/>
  <c r="BX219" i="53"/>
  <c r="BX227" i="53"/>
  <c r="BX235" i="53"/>
  <c r="BX243" i="53"/>
  <c r="BX251" i="53"/>
  <c r="BX259" i="53"/>
  <c r="BX267" i="53"/>
  <c r="BX275" i="53"/>
  <c r="BX283" i="53"/>
  <c r="BX291" i="53"/>
  <c r="BX299" i="53"/>
  <c r="BX307" i="53"/>
  <c r="BX315" i="53"/>
  <c r="BX323" i="53"/>
  <c r="BX331" i="53"/>
  <c r="BX339" i="53"/>
  <c r="BX347" i="53"/>
  <c r="BX355" i="53"/>
  <c r="BX363" i="53"/>
  <c r="BX371" i="53"/>
  <c r="BX204" i="53"/>
  <c r="BX212" i="53"/>
  <c r="BX220" i="53"/>
  <c r="BX228" i="53"/>
  <c r="BX236" i="53"/>
  <c r="BX244" i="53"/>
  <c r="BX252" i="53"/>
  <c r="BX260" i="53"/>
  <c r="BX268" i="53"/>
  <c r="BX276" i="53"/>
  <c r="BX284" i="53"/>
  <c r="BX292" i="53"/>
  <c r="BX300" i="53"/>
  <c r="BX308" i="53"/>
  <c r="BX316" i="53"/>
  <c r="BX324" i="53"/>
  <c r="BX332" i="53"/>
  <c r="BX340" i="53"/>
  <c r="BX348" i="53"/>
  <c r="BX356" i="53"/>
  <c r="BX364" i="53"/>
  <c r="BX372" i="53"/>
  <c r="K17" i="47"/>
  <c r="K18" i="47" s="1"/>
  <c r="AE16" i="47"/>
  <c r="T69" i="48"/>
  <c r="T74" i="48"/>
  <c r="CS185" i="53"/>
  <c r="G185" i="53"/>
  <c r="BY199" i="53" l="1"/>
  <c r="CA199" i="53" s="1"/>
  <c r="BZ200" i="53" s="1"/>
  <c r="BY200" i="53" s="1"/>
  <c r="CA200" i="53" s="1"/>
  <c r="BZ201" i="53" s="1"/>
  <c r="BY201" i="53" s="1"/>
  <c r="CA201" i="53" s="1"/>
  <c r="BZ202" i="53" s="1"/>
  <c r="BY202" i="53" s="1"/>
  <c r="CA202" i="53" s="1"/>
  <c r="BZ203" i="53" s="1"/>
  <c r="BY203" i="53" s="1"/>
  <c r="CA203" i="53" s="1"/>
  <c r="BZ204" i="53" s="1"/>
  <c r="BY204" i="53" s="1"/>
  <c r="CA204" i="53" s="1"/>
  <c r="BZ205" i="53" s="1"/>
  <c r="BY205" i="53" s="1"/>
  <c r="CA205" i="53" s="1"/>
  <c r="BZ206" i="53" s="1"/>
  <c r="BY206" i="53" s="1"/>
  <c r="CA206" i="53" s="1"/>
  <c r="BZ207" i="53" s="1"/>
  <c r="BY207" i="53" s="1"/>
  <c r="CA207" i="53" s="1"/>
  <c r="BZ208" i="53" s="1"/>
  <c r="BY208" i="53" s="1"/>
  <c r="CA208" i="53" s="1"/>
  <c r="BZ209" i="53" s="1"/>
  <c r="BY209" i="53" s="1"/>
  <c r="CA209" i="53" s="1"/>
  <c r="BZ210" i="53" s="1"/>
  <c r="BY210" i="53" s="1"/>
  <c r="CA210" i="53" s="1"/>
  <c r="BZ211" i="53" s="1"/>
  <c r="BY211" i="53" s="1"/>
  <c r="CA211" i="53" s="1"/>
  <c r="BZ212" i="53" s="1"/>
  <c r="BY212" i="53" s="1"/>
  <c r="CA212" i="53" s="1"/>
  <c r="BZ213" i="53" s="1"/>
  <c r="BY213" i="53" s="1"/>
  <c r="CA213" i="53" s="1"/>
  <c r="BZ214" i="53" s="1"/>
  <c r="BY214" i="53" s="1"/>
  <c r="CA214" i="53" s="1"/>
  <c r="BZ215" i="53" s="1"/>
  <c r="BY215" i="53" s="1"/>
  <c r="CA215" i="53" s="1"/>
  <c r="BZ216" i="53" s="1"/>
  <c r="BY216" i="53" s="1"/>
  <c r="CA216" i="53" s="1"/>
  <c r="BZ217" i="53" s="1"/>
  <c r="BY217" i="53" s="1"/>
  <c r="CA217" i="53" s="1"/>
  <c r="BZ218" i="53" s="1"/>
  <c r="BY218" i="53" s="1"/>
  <c r="CA218" i="53" s="1"/>
  <c r="BZ219" i="53" s="1"/>
  <c r="BY219" i="53" s="1"/>
  <c r="CA219" i="53" s="1"/>
  <c r="BZ220" i="53" s="1"/>
  <c r="BY220" i="53" s="1"/>
  <c r="CA220" i="53" s="1"/>
  <c r="BZ221" i="53" s="1"/>
  <c r="BY221" i="53" s="1"/>
  <c r="CA221" i="53" s="1"/>
  <c r="BZ222" i="53" s="1"/>
  <c r="BY222" i="53" s="1"/>
  <c r="CA222" i="53" s="1"/>
  <c r="BZ223" i="53" s="1"/>
  <c r="BY223" i="53" s="1"/>
  <c r="CA223" i="53" s="1"/>
  <c r="BZ224" i="53" s="1"/>
  <c r="BY224" i="53" s="1"/>
  <c r="CA224" i="53" s="1"/>
  <c r="BZ225" i="53" s="1"/>
  <c r="BY225" i="53" s="1"/>
  <c r="CA225" i="53" s="1"/>
  <c r="BZ226" i="53" s="1"/>
  <c r="BY226" i="53" s="1"/>
  <c r="CA226" i="53" s="1"/>
  <c r="BZ227" i="53" s="1"/>
  <c r="BY227" i="53" s="1"/>
  <c r="CA227" i="53" s="1"/>
  <c r="BZ228" i="53" s="1"/>
  <c r="BY228" i="53" s="1"/>
  <c r="CA228" i="53" s="1"/>
  <c r="BZ229" i="53" s="1"/>
  <c r="BY229" i="53" s="1"/>
  <c r="CA229" i="53" s="1"/>
  <c r="BZ230" i="53" s="1"/>
  <c r="BY230" i="53" s="1"/>
  <c r="CA230" i="53" s="1"/>
  <c r="BZ231" i="53" s="1"/>
  <c r="BY231" i="53" s="1"/>
  <c r="CA231" i="53" s="1"/>
  <c r="BZ232" i="53" s="1"/>
  <c r="BY232" i="53" s="1"/>
  <c r="CA232" i="53" s="1"/>
  <c r="BZ233" i="53" s="1"/>
  <c r="BY233" i="53" s="1"/>
  <c r="CA233" i="53" s="1"/>
  <c r="BZ234" i="53" s="1"/>
  <c r="BY234" i="53" s="1"/>
  <c r="CA234" i="53" s="1"/>
  <c r="BZ235" i="53" s="1"/>
  <c r="BY235" i="53" s="1"/>
  <c r="CA235" i="53" s="1"/>
  <c r="BZ236" i="53" s="1"/>
  <c r="BY236" i="53" s="1"/>
  <c r="CA236" i="53" s="1"/>
  <c r="BZ237" i="53" s="1"/>
  <c r="BY237" i="53" s="1"/>
  <c r="CA237" i="53" s="1"/>
  <c r="BZ238" i="53" s="1"/>
  <c r="BY238" i="53" s="1"/>
  <c r="CA238" i="53" s="1"/>
  <c r="BZ239" i="53" s="1"/>
  <c r="BY239" i="53" s="1"/>
  <c r="CA239" i="53" s="1"/>
  <c r="BZ240" i="53" s="1"/>
  <c r="BY240" i="53" s="1"/>
  <c r="CA240" i="53" s="1"/>
  <c r="BZ241" i="53" s="1"/>
  <c r="BY241" i="53" s="1"/>
  <c r="CA241" i="53" s="1"/>
  <c r="BZ242" i="53" s="1"/>
  <c r="BY242" i="53" s="1"/>
  <c r="CA242" i="53" s="1"/>
  <c r="BZ243" i="53" s="1"/>
  <c r="BY243" i="53" s="1"/>
  <c r="CA243" i="53" s="1"/>
  <c r="BZ244" i="53" s="1"/>
  <c r="BY244" i="53" s="1"/>
  <c r="CA244" i="53" s="1"/>
  <c r="BZ245" i="53" s="1"/>
  <c r="BY245" i="53" s="1"/>
  <c r="CA245" i="53" s="1"/>
  <c r="BZ246" i="53" s="1"/>
  <c r="BY246" i="53" s="1"/>
  <c r="CA246" i="53" s="1"/>
  <c r="BZ247" i="53" s="1"/>
  <c r="BY247" i="53" s="1"/>
  <c r="CA247" i="53" s="1"/>
  <c r="BZ248" i="53" s="1"/>
  <c r="BY248" i="53" s="1"/>
  <c r="CA248" i="53" s="1"/>
  <c r="BZ249" i="53" s="1"/>
  <c r="BY249" i="53" s="1"/>
  <c r="CA249" i="53" s="1"/>
  <c r="BZ250" i="53" s="1"/>
  <c r="BY250" i="53" s="1"/>
  <c r="CA250" i="53" s="1"/>
  <c r="BZ251" i="53" s="1"/>
  <c r="BY251" i="53" s="1"/>
  <c r="CA251" i="53" s="1"/>
  <c r="BZ252" i="53" s="1"/>
  <c r="BY252" i="53" s="1"/>
  <c r="CA252" i="53" s="1"/>
  <c r="BZ253" i="53" s="1"/>
  <c r="BY253" i="53" s="1"/>
  <c r="CA253" i="53" s="1"/>
  <c r="BZ254" i="53" s="1"/>
  <c r="BY254" i="53" s="1"/>
  <c r="CA254" i="53" s="1"/>
  <c r="BZ255" i="53" s="1"/>
  <c r="BY255" i="53" s="1"/>
  <c r="CA255" i="53" s="1"/>
  <c r="BZ256" i="53" s="1"/>
  <c r="BY256" i="53" s="1"/>
  <c r="CA256" i="53" s="1"/>
  <c r="BZ257" i="53" s="1"/>
  <c r="BY257" i="53" s="1"/>
  <c r="CA257" i="53" s="1"/>
  <c r="BZ258" i="53" s="1"/>
  <c r="BY258" i="53" s="1"/>
  <c r="CA258" i="53" s="1"/>
  <c r="BZ259" i="53" s="1"/>
  <c r="BY259" i="53" s="1"/>
  <c r="CA259" i="53" s="1"/>
  <c r="BZ260" i="53" s="1"/>
  <c r="BY260" i="53" s="1"/>
  <c r="CA260" i="53" s="1"/>
  <c r="BZ261" i="53" s="1"/>
  <c r="BY261" i="53" s="1"/>
  <c r="CA261" i="53" s="1"/>
  <c r="BZ262" i="53" s="1"/>
  <c r="BY262" i="53" s="1"/>
  <c r="CA262" i="53" s="1"/>
  <c r="BZ263" i="53" s="1"/>
  <c r="BY263" i="53" s="1"/>
  <c r="CA263" i="53" s="1"/>
  <c r="BZ264" i="53" s="1"/>
  <c r="BY264" i="53" s="1"/>
  <c r="CA264" i="53" s="1"/>
  <c r="BZ265" i="53" s="1"/>
  <c r="BY265" i="53" s="1"/>
  <c r="CA265" i="53" s="1"/>
  <c r="BZ266" i="53" s="1"/>
  <c r="BY266" i="53" s="1"/>
  <c r="CA266" i="53" s="1"/>
  <c r="BZ267" i="53" s="1"/>
  <c r="BY267" i="53" s="1"/>
  <c r="CA267" i="53" s="1"/>
  <c r="BZ268" i="53" s="1"/>
  <c r="BY268" i="53" s="1"/>
  <c r="CA268" i="53" s="1"/>
  <c r="BZ269" i="53" s="1"/>
  <c r="BY269" i="53" s="1"/>
  <c r="CA269" i="53" s="1"/>
  <c r="BZ270" i="53" s="1"/>
  <c r="BY270" i="53" s="1"/>
  <c r="CA270" i="53" s="1"/>
  <c r="BZ271" i="53" s="1"/>
  <c r="BY271" i="53" s="1"/>
  <c r="CA271" i="53" s="1"/>
  <c r="BZ272" i="53" s="1"/>
  <c r="BY272" i="53" s="1"/>
  <c r="CA272" i="53" s="1"/>
  <c r="BZ273" i="53" s="1"/>
  <c r="BY273" i="53" s="1"/>
  <c r="CA273" i="53" s="1"/>
  <c r="BZ274" i="53" s="1"/>
  <c r="BY274" i="53" s="1"/>
  <c r="CA274" i="53" s="1"/>
  <c r="BZ275" i="53" s="1"/>
  <c r="BY275" i="53" s="1"/>
  <c r="CA275" i="53" s="1"/>
  <c r="BZ276" i="53" s="1"/>
  <c r="BY276" i="53" s="1"/>
  <c r="CA276" i="53" s="1"/>
  <c r="BZ277" i="53" s="1"/>
  <c r="BY277" i="53" s="1"/>
  <c r="CA277" i="53" s="1"/>
  <c r="BZ278" i="53" s="1"/>
  <c r="BY278" i="53" s="1"/>
  <c r="CA278" i="53" s="1"/>
  <c r="BZ279" i="53" s="1"/>
  <c r="BY279" i="53" s="1"/>
  <c r="CA279" i="53" s="1"/>
  <c r="BZ280" i="53" s="1"/>
  <c r="BY280" i="53" s="1"/>
  <c r="CA280" i="53" s="1"/>
  <c r="BZ281" i="53" s="1"/>
  <c r="BY281" i="53" s="1"/>
  <c r="CA281" i="53" s="1"/>
  <c r="BZ282" i="53" s="1"/>
  <c r="BY282" i="53" s="1"/>
  <c r="CA282" i="53" s="1"/>
  <c r="BZ283" i="53" s="1"/>
  <c r="BY283" i="53" s="1"/>
  <c r="CA283" i="53" s="1"/>
  <c r="BZ284" i="53" s="1"/>
  <c r="BY284" i="53" s="1"/>
  <c r="CA284" i="53" s="1"/>
  <c r="BZ285" i="53" s="1"/>
  <c r="BY285" i="53" s="1"/>
  <c r="CA285" i="53" s="1"/>
  <c r="BZ286" i="53" s="1"/>
  <c r="BY286" i="53" s="1"/>
  <c r="CA286" i="53" s="1"/>
  <c r="BZ287" i="53" s="1"/>
  <c r="BY287" i="53" s="1"/>
  <c r="CA287" i="53" s="1"/>
  <c r="BZ288" i="53" s="1"/>
  <c r="BY288" i="53" s="1"/>
  <c r="CA288" i="53" s="1"/>
  <c r="BZ289" i="53" s="1"/>
  <c r="BY289" i="53" s="1"/>
  <c r="CA289" i="53" s="1"/>
  <c r="BZ290" i="53" s="1"/>
  <c r="BY290" i="53" s="1"/>
  <c r="CA290" i="53" s="1"/>
  <c r="BZ291" i="53" s="1"/>
  <c r="BY291" i="53" s="1"/>
  <c r="CA291" i="53" s="1"/>
  <c r="BZ292" i="53" s="1"/>
  <c r="BY292" i="53" s="1"/>
  <c r="CA292" i="53" s="1"/>
  <c r="BZ293" i="53" s="1"/>
  <c r="BY293" i="53" s="1"/>
  <c r="CA293" i="53" s="1"/>
  <c r="BZ294" i="53" s="1"/>
  <c r="BY294" i="53" s="1"/>
  <c r="CA294" i="53" s="1"/>
  <c r="BZ295" i="53" s="1"/>
  <c r="BY295" i="53" s="1"/>
  <c r="CA295" i="53" s="1"/>
  <c r="BZ296" i="53" s="1"/>
  <c r="BY296" i="53" s="1"/>
  <c r="CA296" i="53" s="1"/>
  <c r="BZ297" i="53" s="1"/>
  <c r="BY297" i="53" s="1"/>
  <c r="CA297" i="53" s="1"/>
  <c r="BZ298" i="53" s="1"/>
  <c r="BY298" i="53" s="1"/>
  <c r="CA298" i="53" s="1"/>
  <c r="BZ299" i="53" s="1"/>
  <c r="BY299" i="53" s="1"/>
  <c r="CA299" i="53" s="1"/>
  <c r="BZ300" i="53" s="1"/>
  <c r="BY300" i="53" s="1"/>
  <c r="CA300" i="53" s="1"/>
  <c r="BZ301" i="53" s="1"/>
  <c r="BY301" i="53" s="1"/>
  <c r="CA301" i="53" s="1"/>
  <c r="BZ302" i="53" s="1"/>
  <c r="BY302" i="53" s="1"/>
  <c r="CA302" i="53" s="1"/>
  <c r="BZ303" i="53" s="1"/>
  <c r="BY303" i="53" s="1"/>
  <c r="CA303" i="53" s="1"/>
  <c r="BZ304" i="53" s="1"/>
  <c r="BY304" i="53" s="1"/>
  <c r="CA304" i="53" s="1"/>
  <c r="BZ305" i="53" s="1"/>
  <c r="BY305" i="53" s="1"/>
  <c r="CA305" i="53" s="1"/>
  <c r="BZ306" i="53" s="1"/>
  <c r="BY306" i="53" s="1"/>
  <c r="CA306" i="53" s="1"/>
  <c r="BZ307" i="53" s="1"/>
  <c r="BY307" i="53" s="1"/>
  <c r="CA307" i="53" s="1"/>
  <c r="BZ308" i="53" s="1"/>
  <c r="BY308" i="53" s="1"/>
  <c r="CA308" i="53" s="1"/>
  <c r="BZ309" i="53" s="1"/>
  <c r="BY309" i="53" s="1"/>
  <c r="CA309" i="53" s="1"/>
  <c r="BZ310" i="53" s="1"/>
  <c r="BY310" i="53" s="1"/>
  <c r="CA310" i="53" s="1"/>
  <c r="BZ311" i="53" s="1"/>
  <c r="BY311" i="53" s="1"/>
  <c r="CA311" i="53" s="1"/>
  <c r="BZ312" i="53" s="1"/>
  <c r="BY312" i="53" s="1"/>
  <c r="CA312" i="53" s="1"/>
  <c r="BZ313" i="53" s="1"/>
  <c r="BY313" i="53" s="1"/>
  <c r="CA313" i="53" s="1"/>
  <c r="BZ314" i="53" s="1"/>
  <c r="BY314" i="53" s="1"/>
  <c r="CA314" i="53" s="1"/>
  <c r="BZ315" i="53" s="1"/>
  <c r="BY315" i="53" s="1"/>
  <c r="CA315" i="53" s="1"/>
  <c r="BZ316" i="53" s="1"/>
  <c r="BY316" i="53" s="1"/>
  <c r="CA316" i="53" s="1"/>
  <c r="BZ317" i="53" s="1"/>
  <c r="BY317" i="53" s="1"/>
  <c r="CA317" i="53" s="1"/>
  <c r="BZ318" i="53" s="1"/>
  <c r="BY318" i="53" s="1"/>
  <c r="CA318" i="53" s="1"/>
  <c r="BZ319" i="53" s="1"/>
  <c r="BY319" i="53" s="1"/>
  <c r="CA319" i="53" s="1"/>
  <c r="BZ320" i="53" s="1"/>
  <c r="BY320" i="53" s="1"/>
  <c r="CA320" i="53" s="1"/>
  <c r="BZ321" i="53" s="1"/>
  <c r="BY321" i="53" s="1"/>
  <c r="CA321" i="53" s="1"/>
  <c r="BZ322" i="53" s="1"/>
  <c r="BY322" i="53" s="1"/>
  <c r="CA322" i="53" s="1"/>
  <c r="BZ323" i="53" s="1"/>
  <c r="BY323" i="53" s="1"/>
  <c r="CA323" i="53" s="1"/>
  <c r="BZ324" i="53" s="1"/>
  <c r="BY324" i="53" s="1"/>
  <c r="CA324" i="53" s="1"/>
  <c r="BZ325" i="53" s="1"/>
  <c r="BY325" i="53" s="1"/>
  <c r="CA325" i="53" s="1"/>
  <c r="BZ326" i="53" s="1"/>
  <c r="BY326" i="53" s="1"/>
  <c r="CA326" i="53" s="1"/>
  <c r="BZ327" i="53" s="1"/>
  <c r="BY327" i="53" s="1"/>
  <c r="CA327" i="53" s="1"/>
  <c r="BZ328" i="53" s="1"/>
  <c r="BY328" i="53" s="1"/>
  <c r="CA328" i="53" s="1"/>
  <c r="BZ329" i="53" s="1"/>
  <c r="BY329" i="53" s="1"/>
  <c r="CA329" i="53" s="1"/>
  <c r="BZ330" i="53" s="1"/>
  <c r="BY330" i="53" s="1"/>
  <c r="CA330" i="53" s="1"/>
  <c r="BZ331" i="53" s="1"/>
  <c r="BY331" i="53" s="1"/>
  <c r="CA331" i="53" s="1"/>
  <c r="BZ332" i="53" s="1"/>
  <c r="BY332" i="53" s="1"/>
  <c r="CA332" i="53" s="1"/>
  <c r="BZ333" i="53" s="1"/>
  <c r="BY333" i="53" s="1"/>
  <c r="CA333" i="53" s="1"/>
  <c r="BZ334" i="53" s="1"/>
  <c r="BY334" i="53" s="1"/>
  <c r="CA334" i="53" s="1"/>
  <c r="BZ335" i="53" s="1"/>
  <c r="BY335" i="53" s="1"/>
  <c r="CA335" i="53" s="1"/>
  <c r="BZ336" i="53" s="1"/>
  <c r="BY336" i="53" s="1"/>
  <c r="CA336" i="53" s="1"/>
  <c r="BZ337" i="53" s="1"/>
  <c r="BY337" i="53" s="1"/>
  <c r="CA337" i="53" s="1"/>
  <c r="BZ338" i="53" s="1"/>
  <c r="BY338" i="53" s="1"/>
  <c r="CA338" i="53" s="1"/>
  <c r="BZ339" i="53" s="1"/>
  <c r="BY339" i="53" s="1"/>
  <c r="CA339" i="53" s="1"/>
  <c r="BZ340" i="53" s="1"/>
  <c r="BY340" i="53" s="1"/>
  <c r="CA340" i="53" s="1"/>
  <c r="BZ341" i="53" s="1"/>
  <c r="BY341" i="53" s="1"/>
  <c r="CA341" i="53" s="1"/>
  <c r="BZ342" i="53" s="1"/>
  <c r="BY342" i="53" s="1"/>
  <c r="CA342" i="53" s="1"/>
  <c r="BZ343" i="53" s="1"/>
  <c r="BY343" i="53" s="1"/>
  <c r="CA343" i="53" s="1"/>
  <c r="BZ344" i="53" s="1"/>
  <c r="BY344" i="53" s="1"/>
  <c r="CA344" i="53" s="1"/>
  <c r="BZ345" i="53" s="1"/>
  <c r="BY345" i="53" s="1"/>
  <c r="CA345" i="53" s="1"/>
  <c r="BZ346" i="53" s="1"/>
  <c r="BY346" i="53" s="1"/>
  <c r="CA346" i="53" s="1"/>
  <c r="BZ347" i="53" s="1"/>
  <c r="BY347" i="53" s="1"/>
  <c r="CA347" i="53" s="1"/>
  <c r="BZ348" i="53" s="1"/>
  <c r="BY348" i="53" s="1"/>
  <c r="CA348" i="53" s="1"/>
  <c r="BZ349" i="53" s="1"/>
  <c r="BY349" i="53" s="1"/>
  <c r="CA349" i="53" s="1"/>
  <c r="BZ350" i="53" s="1"/>
  <c r="BY350" i="53" s="1"/>
  <c r="CA350" i="53" s="1"/>
  <c r="BZ351" i="53" s="1"/>
  <c r="BY351" i="53" s="1"/>
  <c r="CA351" i="53" s="1"/>
  <c r="BZ352" i="53" s="1"/>
  <c r="BY352" i="53" s="1"/>
  <c r="CA352" i="53" s="1"/>
  <c r="BZ353" i="53" s="1"/>
  <c r="BY353" i="53" s="1"/>
  <c r="CA353" i="53" s="1"/>
  <c r="BZ354" i="53" s="1"/>
  <c r="BY354" i="53" s="1"/>
  <c r="CA354" i="53" s="1"/>
  <c r="BZ355" i="53" s="1"/>
  <c r="BY355" i="53" s="1"/>
  <c r="CA355" i="53" s="1"/>
  <c r="BZ356" i="53" s="1"/>
  <c r="BY356" i="53" s="1"/>
  <c r="CA356" i="53" s="1"/>
  <c r="BZ357" i="53" s="1"/>
  <c r="BY357" i="53" s="1"/>
  <c r="CA357" i="53" s="1"/>
  <c r="BZ358" i="53" s="1"/>
  <c r="BY358" i="53" s="1"/>
  <c r="CA358" i="53" s="1"/>
  <c r="BZ359" i="53" s="1"/>
  <c r="BY359" i="53" s="1"/>
  <c r="CA359" i="53" s="1"/>
  <c r="BZ360" i="53" s="1"/>
  <c r="BY360" i="53" s="1"/>
  <c r="CA360" i="53" s="1"/>
  <c r="BZ361" i="53" s="1"/>
  <c r="BY361" i="53" s="1"/>
  <c r="CA361" i="53" s="1"/>
  <c r="BZ362" i="53" s="1"/>
  <c r="BY362" i="53" s="1"/>
  <c r="CA362" i="53" s="1"/>
  <c r="BZ363" i="53" s="1"/>
  <c r="BY363" i="53" s="1"/>
  <c r="CA363" i="53" s="1"/>
  <c r="BZ364" i="53" s="1"/>
  <c r="BY364" i="53" s="1"/>
  <c r="CA364" i="53" s="1"/>
  <c r="BZ365" i="53" s="1"/>
  <c r="BY365" i="53" s="1"/>
  <c r="CA365" i="53" s="1"/>
  <c r="BZ366" i="53" s="1"/>
  <c r="BY366" i="53" s="1"/>
  <c r="CA366" i="53" s="1"/>
  <c r="BZ367" i="53" s="1"/>
  <c r="BY367" i="53" s="1"/>
  <c r="CA367" i="53" s="1"/>
  <c r="BZ368" i="53" s="1"/>
  <c r="BY368" i="53" s="1"/>
  <c r="CA368" i="53" s="1"/>
  <c r="BZ369" i="53" s="1"/>
  <c r="BY369" i="53" s="1"/>
  <c r="CA369" i="53" s="1"/>
  <c r="BZ370" i="53" s="1"/>
  <c r="BY370" i="53" s="1"/>
  <c r="CA370" i="53" s="1"/>
  <c r="BZ371" i="53" s="1"/>
  <c r="BY371" i="53" s="1"/>
  <c r="CA371" i="53" s="1"/>
  <c r="BZ372" i="53" s="1"/>
  <c r="BY372" i="53" s="1"/>
  <c r="CA372" i="53" s="1"/>
  <c r="BZ373" i="53" s="1"/>
  <c r="BY373" i="53" s="1"/>
  <c r="CA373" i="53" s="1"/>
  <c r="BZ374" i="53" s="1"/>
  <c r="BY374" i="53" s="1"/>
  <c r="CA374" i="53" s="1"/>
  <c r="BZ375" i="53" s="1"/>
  <c r="BY375" i="53" s="1"/>
  <c r="CA375" i="53" s="1"/>
  <c r="BZ376" i="53" s="1"/>
  <c r="BY376" i="53" s="1"/>
  <c r="CA376" i="53" s="1"/>
  <c r="BZ377" i="53" s="1"/>
  <c r="BY377" i="53" s="1"/>
  <c r="CA377" i="53" s="1"/>
  <c r="BZ378" i="53" s="1"/>
  <c r="BY378" i="53" s="1"/>
  <c r="CA378" i="53" s="1"/>
  <c r="BZ379" i="53" s="1"/>
  <c r="BY379" i="53" s="1"/>
  <c r="CA379" i="53" s="1"/>
  <c r="BZ380" i="53" s="1"/>
  <c r="BY380" i="53" s="1"/>
  <c r="CA380" i="53" s="1"/>
  <c r="BZ381" i="53" s="1"/>
  <c r="BY381" i="53" s="1"/>
  <c r="CA381" i="53" s="1"/>
  <c r="BZ382" i="53" s="1"/>
  <c r="BY382" i="53" s="1"/>
  <c r="CA382" i="53" s="1"/>
  <c r="BZ383" i="53" s="1"/>
  <c r="BY383" i="53" s="1"/>
  <c r="CA383" i="53" s="1"/>
  <c r="BZ384" i="53" s="1"/>
  <c r="BY384" i="53" s="1"/>
  <c r="CA384" i="53" s="1"/>
  <c r="BZ385" i="53" s="1"/>
  <c r="BY385" i="53" s="1"/>
  <c r="CA385" i="53" s="1"/>
  <c r="BZ386" i="53" s="1"/>
  <c r="BY386" i="53" s="1"/>
  <c r="CA386" i="53" s="1"/>
  <c r="BZ387" i="53" s="1"/>
  <c r="BY387" i="53" s="1"/>
  <c r="CA387" i="53" s="1"/>
  <c r="BZ388" i="53" s="1"/>
  <c r="BY388" i="53" s="1"/>
  <c r="CA388" i="53" s="1"/>
  <c r="BZ389" i="53" s="1"/>
  <c r="BY389" i="53" s="1"/>
  <c r="CA389" i="53" s="1"/>
  <c r="BZ390" i="53" s="1"/>
  <c r="BY390" i="53" s="1"/>
  <c r="CA390" i="53" s="1"/>
  <c r="BZ391" i="53" s="1"/>
  <c r="BY391" i="53" s="1"/>
  <c r="CA391" i="53" s="1"/>
  <c r="BZ392" i="53" s="1"/>
  <c r="BY392" i="53" s="1"/>
  <c r="CA392" i="53" s="1"/>
  <c r="BZ393" i="53" s="1"/>
  <c r="BY393" i="53" s="1"/>
  <c r="CA393" i="53" s="1"/>
  <c r="BZ394" i="53" s="1"/>
  <c r="BY394" i="53" s="1"/>
  <c r="CA394" i="53" s="1"/>
  <c r="BZ395" i="53" s="1"/>
  <c r="BY395" i="53" s="1"/>
  <c r="CA395" i="53" s="1"/>
  <c r="BZ396" i="53" s="1"/>
  <c r="BY396" i="53" s="1"/>
  <c r="CA396" i="53" s="1"/>
  <c r="BZ397" i="53" s="1"/>
  <c r="BY397" i="53" s="1"/>
  <c r="CA397" i="53" s="1"/>
  <c r="BZ398" i="53" s="1"/>
  <c r="BY398" i="53" s="1"/>
  <c r="CA398" i="53" s="1"/>
  <c r="BZ399" i="53" s="1"/>
  <c r="BY399" i="53" s="1"/>
  <c r="CA399" i="53" s="1"/>
  <c r="BZ400" i="53" s="1"/>
  <c r="BY400" i="53" s="1"/>
  <c r="CA400" i="53" s="1"/>
  <c r="BZ401" i="53" s="1"/>
  <c r="BY401" i="53" s="1"/>
  <c r="CA401" i="53" s="1"/>
  <c r="BZ402" i="53" s="1"/>
  <c r="BY402" i="53" s="1"/>
  <c r="CA402" i="53" s="1"/>
  <c r="BZ403" i="53" s="1"/>
  <c r="BY403" i="53" s="1"/>
  <c r="CA403" i="53" s="1"/>
  <c r="BZ404" i="53" s="1"/>
  <c r="BY404" i="53" s="1"/>
  <c r="CA404" i="53" s="1"/>
  <c r="BZ405" i="53" s="1"/>
  <c r="BY405" i="53" s="1"/>
  <c r="CA405" i="53" s="1"/>
  <c r="BZ406" i="53" s="1"/>
  <c r="BY406" i="53" s="1"/>
  <c r="CA406" i="53" s="1"/>
  <c r="BZ407" i="53" s="1"/>
  <c r="BY407" i="53" s="1"/>
  <c r="CA407" i="53" s="1"/>
  <c r="BZ408" i="53" s="1"/>
  <c r="BY408" i="53" s="1"/>
  <c r="CA408" i="53" s="1"/>
  <c r="BZ409" i="53" s="1"/>
  <c r="BY409" i="53" s="1"/>
  <c r="CA409" i="53" s="1"/>
  <c r="BZ410" i="53" s="1"/>
  <c r="BY410" i="53" s="1"/>
  <c r="CA410" i="53" s="1"/>
  <c r="BZ411" i="53" s="1"/>
  <c r="BY411" i="53" s="1"/>
  <c r="CA411" i="53" s="1"/>
  <c r="BZ412" i="53" s="1"/>
  <c r="BY412" i="53" s="1"/>
  <c r="CA412" i="53" s="1"/>
  <c r="BZ413" i="53" s="1"/>
  <c r="BY413" i="53" s="1"/>
  <c r="CA413" i="53" s="1"/>
  <c r="BZ414" i="53" s="1"/>
  <c r="BY414" i="53" s="1"/>
  <c r="CA414" i="53" s="1"/>
  <c r="BZ415" i="53" s="1"/>
  <c r="BY415" i="53" s="1"/>
  <c r="CA415" i="53" s="1"/>
  <c r="BZ416" i="53" s="1"/>
  <c r="BY416" i="53" s="1"/>
  <c r="CA416" i="53" s="1"/>
  <c r="BZ417" i="53" s="1"/>
  <c r="BY417" i="53" s="1"/>
  <c r="CA417" i="53" s="1"/>
  <c r="BZ418" i="53" s="1"/>
  <c r="BY418" i="53" s="1"/>
  <c r="CA418" i="53" s="1"/>
  <c r="BZ419" i="53" s="1"/>
  <c r="BY419" i="53" s="1"/>
  <c r="CA419" i="53" s="1"/>
  <c r="BZ420" i="53" s="1"/>
  <c r="BY420" i="53" s="1"/>
  <c r="CA420" i="53" s="1"/>
  <c r="BZ421" i="53" s="1"/>
  <c r="BY421" i="53" s="1"/>
  <c r="CA421" i="53" s="1"/>
  <c r="BZ422" i="53" s="1"/>
  <c r="BY422" i="53" s="1"/>
  <c r="CA422" i="53" s="1"/>
  <c r="BZ423" i="53" s="1"/>
  <c r="BY423" i="53" s="1"/>
  <c r="CA423" i="53" s="1"/>
  <c r="BZ424" i="53" s="1"/>
  <c r="BY424" i="53" s="1"/>
  <c r="CA424" i="53" s="1"/>
  <c r="BZ425" i="53" s="1"/>
  <c r="BY425" i="53" s="1"/>
  <c r="CA425" i="53" s="1"/>
  <c r="BZ426" i="53" s="1"/>
  <c r="BY426" i="53" s="1"/>
  <c r="CA426" i="53" s="1"/>
  <c r="BZ427" i="53" s="1"/>
  <c r="BY427" i="53" s="1"/>
  <c r="CA427" i="53" s="1"/>
  <c r="BZ428" i="53" s="1"/>
  <c r="BY428" i="53" s="1"/>
  <c r="CA428" i="53" s="1"/>
  <c r="BZ429" i="53" s="1"/>
  <c r="BY429" i="53" s="1"/>
  <c r="CA429" i="53" s="1"/>
  <c r="BZ430" i="53" s="1"/>
  <c r="BY430" i="53" s="1"/>
  <c r="CA430" i="53" s="1"/>
  <c r="BZ431" i="53" s="1"/>
  <c r="BY431" i="53" s="1"/>
  <c r="CA431" i="53" s="1"/>
  <c r="BZ432" i="53" s="1"/>
  <c r="BY432" i="53" s="1"/>
  <c r="CA432" i="53" s="1"/>
  <c r="BZ433" i="53" s="1"/>
  <c r="BY433" i="53" s="1"/>
  <c r="CA433" i="53" s="1"/>
  <c r="BZ434" i="53" s="1"/>
  <c r="BY434" i="53" s="1"/>
  <c r="CA434" i="53" s="1"/>
  <c r="BZ435" i="53" s="1"/>
  <c r="BY435" i="53" s="1"/>
  <c r="CA435" i="53" s="1"/>
  <c r="BZ436" i="53" s="1"/>
  <c r="BY436" i="53" s="1"/>
  <c r="CA436" i="53" s="1"/>
  <c r="BZ437" i="53" s="1"/>
  <c r="BY437" i="53" s="1"/>
  <c r="CA437" i="53" s="1"/>
  <c r="BZ438" i="53" s="1"/>
  <c r="BY438" i="53" s="1"/>
  <c r="CA438" i="53" s="1"/>
  <c r="BZ439" i="53" s="1"/>
  <c r="BY439" i="53" s="1"/>
  <c r="CA439" i="53" s="1"/>
  <c r="BZ440" i="53" s="1"/>
  <c r="BY440" i="53" s="1"/>
  <c r="CA440" i="53" s="1"/>
  <c r="BZ441" i="53" s="1"/>
  <c r="BY441" i="53" s="1"/>
  <c r="CA441" i="53" s="1"/>
  <c r="BZ442" i="53" s="1"/>
  <c r="BY442" i="53" s="1"/>
  <c r="CA442" i="53" s="1"/>
  <c r="BZ443" i="53" s="1"/>
  <c r="BY443" i="53" s="1"/>
  <c r="CA443" i="53" s="1"/>
  <c r="BZ444" i="53" s="1"/>
  <c r="BY444" i="53" s="1"/>
  <c r="CA444" i="53" s="1"/>
  <c r="BZ445" i="53" s="1"/>
  <c r="BY445" i="53" s="1"/>
  <c r="CA445" i="53" s="1"/>
  <c r="BZ446" i="53" s="1"/>
  <c r="BY446" i="53" s="1"/>
  <c r="CA446" i="53" s="1"/>
  <c r="BZ447" i="53" s="1"/>
  <c r="BY447" i="53" s="1"/>
  <c r="CA447" i="53" s="1"/>
  <c r="BZ448" i="53" s="1"/>
  <c r="BY448" i="53" s="1"/>
  <c r="CA448" i="53" s="1"/>
  <c r="BZ449" i="53" s="1"/>
  <c r="BY449" i="53" s="1"/>
  <c r="CA449" i="53" s="1"/>
  <c r="BZ450" i="53" s="1"/>
  <c r="BY450" i="53" s="1"/>
  <c r="CA450" i="53" s="1"/>
  <c r="BZ451" i="53" s="1"/>
  <c r="BY451" i="53" s="1"/>
  <c r="CA451" i="53" s="1"/>
  <c r="BZ452" i="53" s="1"/>
  <c r="BY452" i="53" s="1"/>
  <c r="CA452" i="53" s="1"/>
  <c r="BZ453" i="53" s="1"/>
  <c r="BY453" i="53" s="1"/>
  <c r="CA453" i="53" s="1"/>
  <c r="K42" i="53"/>
  <c r="I42" i="15"/>
  <c r="BU196" i="53"/>
  <c r="BW196" i="53" s="1"/>
  <c r="BV197" i="53" s="1"/>
  <c r="BU197" i="53" s="1"/>
  <c r="BW197" i="53" s="1"/>
  <c r="BV198" i="53" s="1"/>
  <c r="BU198" i="53" s="1"/>
  <c r="BW198" i="53" s="1"/>
  <c r="BV199" i="53" s="1"/>
  <c r="BU199" i="53" s="1"/>
  <c r="BW199" i="53" s="1"/>
  <c r="BV200" i="53" s="1"/>
  <c r="BU200" i="53" s="1"/>
  <c r="BW200" i="53" s="1"/>
  <c r="BV201" i="53" s="1"/>
  <c r="BU201" i="53" s="1"/>
  <c r="BW201" i="53" s="1"/>
  <c r="BV202" i="53" s="1"/>
  <c r="BU202" i="53" s="1"/>
  <c r="BW202" i="53" s="1"/>
  <c r="BV203" i="53" s="1"/>
  <c r="BU203" i="53" s="1"/>
  <c r="BW203" i="53" s="1"/>
  <c r="BV204" i="53" s="1"/>
  <c r="BU204" i="53" s="1"/>
  <c r="BW204" i="53" s="1"/>
  <c r="BV205" i="53" s="1"/>
  <c r="BU205" i="53" s="1"/>
  <c r="BW205" i="53" s="1"/>
  <c r="BV206" i="53" s="1"/>
  <c r="BU206" i="53" s="1"/>
  <c r="BW206" i="53" s="1"/>
  <c r="BV207" i="53" s="1"/>
  <c r="BU207" i="53" s="1"/>
  <c r="BW207" i="53" s="1"/>
  <c r="BV208" i="53" s="1"/>
  <c r="BU208" i="53" s="1"/>
  <c r="BW208" i="53" s="1"/>
  <c r="BV209" i="53" s="1"/>
  <c r="BU209" i="53" s="1"/>
  <c r="BW209" i="53" s="1"/>
  <c r="BV210" i="53" s="1"/>
  <c r="BU210" i="53" s="1"/>
  <c r="BW210" i="53" s="1"/>
  <c r="BV211" i="53" s="1"/>
  <c r="BU211" i="53" s="1"/>
  <c r="BW211" i="53" s="1"/>
  <c r="BV212" i="53" s="1"/>
  <c r="BU212" i="53" s="1"/>
  <c r="BW212" i="53" s="1"/>
  <c r="BV213" i="53" s="1"/>
  <c r="BU213" i="53" s="1"/>
  <c r="BW213" i="53" s="1"/>
  <c r="BV214" i="53" s="1"/>
  <c r="BU214" i="53" s="1"/>
  <c r="BW214" i="53" s="1"/>
  <c r="BV215" i="53" s="1"/>
  <c r="BU215" i="53" s="1"/>
  <c r="BW215" i="53" s="1"/>
  <c r="BV216" i="53" s="1"/>
  <c r="BU216" i="53" s="1"/>
  <c r="BW216" i="53" s="1"/>
  <c r="BV217" i="53" s="1"/>
  <c r="BU217" i="53" s="1"/>
  <c r="BW217" i="53" s="1"/>
  <c r="BV218" i="53" s="1"/>
  <c r="BU218" i="53" s="1"/>
  <c r="BW218" i="53" s="1"/>
  <c r="BV219" i="53" s="1"/>
  <c r="BU219" i="53" s="1"/>
  <c r="BW219" i="53" s="1"/>
  <c r="BV220" i="53" s="1"/>
  <c r="BU220" i="53" s="1"/>
  <c r="BW220" i="53" s="1"/>
  <c r="BV221" i="53" s="1"/>
  <c r="BU221" i="53" s="1"/>
  <c r="BW221" i="53" s="1"/>
  <c r="BV222" i="53" s="1"/>
  <c r="BU222" i="53" s="1"/>
  <c r="BW222" i="53" s="1"/>
  <c r="BV223" i="53" s="1"/>
  <c r="BU223" i="53" s="1"/>
  <c r="BW223" i="53" s="1"/>
  <c r="BV224" i="53" s="1"/>
  <c r="BU224" i="53" s="1"/>
  <c r="BW224" i="53" s="1"/>
  <c r="BV225" i="53" s="1"/>
  <c r="BU225" i="53" s="1"/>
  <c r="BW225" i="53" s="1"/>
  <c r="BV226" i="53" s="1"/>
  <c r="BU226" i="53" s="1"/>
  <c r="BW226" i="53" s="1"/>
  <c r="BV227" i="53" s="1"/>
  <c r="BU227" i="53" s="1"/>
  <c r="BW227" i="53" s="1"/>
  <c r="BV228" i="53" s="1"/>
  <c r="BU228" i="53" s="1"/>
  <c r="BW228" i="53" s="1"/>
  <c r="BV229" i="53" s="1"/>
  <c r="BU229" i="53" s="1"/>
  <c r="BW229" i="53" s="1"/>
  <c r="BV230" i="53" s="1"/>
  <c r="BU230" i="53" s="1"/>
  <c r="BW230" i="53" s="1"/>
  <c r="BV231" i="53" s="1"/>
  <c r="BU231" i="53" s="1"/>
  <c r="BW231" i="53" s="1"/>
  <c r="BV232" i="53" s="1"/>
  <c r="BU232" i="53" s="1"/>
  <c r="BW232" i="53" s="1"/>
  <c r="BV233" i="53" s="1"/>
  <c r="BU233" i="53" s="1"/>
  <c r="BW233" i="53" s="1"/>
  <c r="BV234" i="53" s="1"/>
  <c r="BU234" i="53" s="1"/>
  <c r="BW234" i="53" s="1"/>
  <c r="BV235" i="53" s="1"/>
  <c r="BU235" i="53" s="1"/>
  <c r="BW235" i="53" s="1"/>
  <c r="BV236" i="53" s="1"/>
  <c r="BU236" i="53" s="1"/>
  <c r="BW236" i="53" s="1"/>
  <c r="BV237" i="53" s="1"/>
  <c r="BU237" i="53" s="1"/>
  <c r="BW237" i="53" s="1"/>
  <c r="BV238" i="53" s="1"/>
  <c r="BU238" i="53" s="1"/>
  <c r="BW238" i="53" s="1"/>
  <c r="BV239" i="53" s="1"/>
  <c r="BU239" i="53" s="1"/>
  <c r="BW239" i="53" s="1"/>
  <c r="BV240" i="53" s="1"/>
  <c r="BU240" i="53" s="1"/>
  <c r="BW240" i="53" s="1"/>
  <c r="BV241" i="53" s="1"/>
  <c r="BU241" i="53" s="1"/>
  <c r="BW241" i="53" s="1"/>
  <c r="BV242" i="53" s="1"/>
  <c r="BU242" i="53" s="1"/>
  <c r="BW242" i="53" s="1"/>
  <c r="BV243" i="53" s="1"/>
  <c r="BU243" i="53" s="1"/>
  <c r="BW243" i="53" s="1"/>
  <c r="BV244" i="53" s="1"/>
  <c r="BU244" i="53" s="1"/>
  <c r="BW244" i="53" s="1"/>
  <c r="BV245" i="53" s="1"/>
  <c r="BU245" i="53" s="1"/>
  <c r="BW245" i="53" s="1"/>
  <c r="BV246" i="53" s="1"/>
  <c r="BU246" i="53" s="1"/>
  <c r="BW246" i="53" s="1"/>
  <c r="BV247" i="53" s="1"/>
  <c r="BU247" i="53" s="1"/>
  <c r="BW247" i="53" s="1"/>
  <c r="BV248" i="53" s="1"/>
  <c r="BU248" i="53" s="1"/>
  <c r="BW248" i="53" s="1"/>
  <c r="BV249" i="53" s="1"/>
  <c r="BU249" i="53" s="1"/>
  <c r="BW249" i="53" s="1"/>
  <c r="BV250" i="53" s="1"/>
  <c r="BU250" i="53" s="1"/>
  <c r="BW250" i="53" s="1"/>
  <c r="BV251" i="53" s="1"/>
  <c r="BU251" i="53" s="1"/>
  <c r="BW251" i="53" s="1"/>
  <c r="BV252" i="53" s="1"/>
  <c r="BU252" i="53" s="1"/>
  <c r="BW252" i="53" s="1"/>
  <c r="BV253" i="53" s="1"/>
  <c r="BU253" i="53" s="1"/>
  <c r="BW253" i="53" s="1"/>
  <c r="BV254" i="53" s="1"/>
  <c r="BU254" i="53" s="1"/>
  <c r="BW254" i="53" s="1"/>
  <c r="BV255" i="53" s="1"/>
  <c r="BU255" i="53" s="1"/>
  <c r="BW255" i="53" s="1"/>
  <c r="BV256" i="53" s="1"/>
  <c r="BU256" i="53" s="1"/>
  <c r="BW256" i="53" s="1"/>
  <c r="BV257" i="53" s="1"/>
  <c r="BU257" i="53" s="1"/>
  <c r="BW257" i="53" s="1"/>
  <c r="BV258" i="53" s="1"/>
  <c r="BU258" i="53" s="1"/>
  <c r="BW258" i="53" s="1"/>
  <c r="BV259" i="53" s="1"/>
  <c r="BU259" i="53" s="1"/>
  <c r="BW259" i="53" s="1"/>
  <c r="BV260" i="53" s="1"/>
  <c r="BU260" i="53" s="1"/>
  <c r="BW260" i="53" s="1"/>
  <c r="BV261" i="53" s="1"/>
  <c r="BU261" i="53" s="1"/>
  <c r="BW261" i="53" s="1"/>
  <c r="BV262" i="53" s="1"/>
  <c r="BU262" i="53" s="1"/>
  <c r="BW262" i="53" s="1"/>
  <c r="BV263" i="53" s="1"/>
  <c r="BU263" i="53" s="1"/>
  <c r="BW263" i="53" s="1"/>
  <c r="BV264" i="53" s="1"/>
  <c r="BU264" i="53" s="1"/>
  <c r="BW264" i="53" s="1"/>
  <c r="BV265" i="53" s="1"/>
  <c r="BU265" i="53" s="1"/>
  <c r="BW265" i="53" s="1"/>
  <c r="BV266" i="53" s="1"/>
  <c r="BU266" i="53" s="1"/>
  <c r="BW266" i="53" s="1"/>
  <c r="BV267" i="53" s="1"/>
  <c r="BU267" i="53" s="1"/>
  <c r="BW267" i="53" s="1"/>
  <c r="BV268" i="53" s="1"/>
  <c r="BU268" i="53" s="1"/>
  <c r="BW268" i="53" s="1"/>
  <c r="BV269" i="53" s="1"/>
  <c r="BU269" i="53" s="1"/>
  <c r="BW269" i="53" s="1"/>
  <c r="BV270" i="53" s="1"/>
  <c r="BU270" i="53" s="1"/>
  <c r="BW270" i="53" s="1"/>
  <c r="BV271" i="53" s="1"/>
  <c r="BU271" i="53" s="1"/>
  <c r="BW271" i="53" s="1"/>
  <c r="BV272" i="53" s="1"/>
  <c r="BU272" i="53" s="1"/>
  <c r="BW272" i="53" s="1"/>
  <c r="BV273" i="53" s="1"/>
  <c r="BU273" i="53" s="1"/>
  <c r="BW273" i="53" s="1"/>
  <c r="BV274" i="53" s="1"/>
  <c r="BU274" i="53" s="1"/>
  <c r="BW274" i="53" s="1"/>
  <c r="BV275" i="53" s="1"/>
  <c r="BU275" i="53" s="1"/>
  <c r="BW275" i="53" s="1"/>
  <c r="BV276" i="53" s="1"/>
  <c r="BU276" i="53" s="1"/>
  <c r="BW276" i="53" s="1"/>
  <c r="BV277" i="53" s="1"/>
  <c r="BU277" i="53" s="1"/>
  <c r="BW277" i="53" s="1"/>
  <c r="BV278" i="53" s="1"/>
  <c r="BU278" i="53" s="1"/>
  <c r="BW278" i="53" s="1"/>
  <c r="BV279" i="53" s="1"/>
  <c r="BU279" i="53" s="1"/>
  <c r="BW279" i="53" s="1"/>
  <c r="BV280" i="53" s="1"/>
  <c r="BU280" i="53" s="1"/>
  <c r="BW280" i="53" s="1"/>
  <c r="BV281" i="53" s="1"/>
  <c r="BU281" i="53" s="1"/>
  <c r="BW281" i="53" s="1"/>
  <c r="BV282" i="53" s="1"/>
  <c r="BU282" i="53" s="1"/>
  <c r="BW282" i="53" s="1"/>
  <c r="BV283" i="53" s="1"/>
  <c r="BU283" i="53" s="1"/>
  <c r="BW283" i="53" s="1"/>
  <c r="BV284" i="53" s="1"/>
  <c r="BU284" i="53" s="1"/>
  <c r="BW284" i="53" s="1"/>
  <c r="BV285" i="53" s="1"/>
  <c r="BU285" i="53" s="1"/>
  <c r="BW285" i="53" s="1"/>
  <c r="BV286" i="53" s="1"/>
  <c r="BU286" i="53" s="1"/>
  <c r="BW286" i="53" s="1"/>
  <c r="BV287" i="53" s="1"/>
  <c r="BU287" i="53" s="1"/>
  <c r="BW287" i="53" s="1"/>
  <c r="BV288" i="53" s="1"/>
  <c r="BU288" i="53" s="1"/>
  <c r="BW288" i="53" s="1"/>
  <c r="BV289" i="53" s="1"/>
  <c r="BU289" i="53" s="1"/>
  <c r="BW289" i="53" s="1"/>
  <c r="BV290" i="53" s="1"/>
  <c r="BU290" i="53" s="1"/>
  <c r="BW290" i="53" s="1"/>
  <c r="BV291" i="53" s="1"/>
  <c r="BU291" i="53" s="1"/>
  <c r="BW291" i="53" s="1"/>
  <c r="BV292" i="53" s="1"/>
  <c r="BU292" i="53" s="1"/>
  <c r="BW292" i="53" s="1"/>
  <c r="BV293" i="53" s="1"/>
  <c r="BU293" i="53" s="1"/>
  <c r="BW293" i="53" s="1"/>
  <c r="BV294" i="53" s="1"/>
  <c r="BU294" i="53" s="1"/>
  <c r="BW294" i="53" s="1"/>
  <c r="BV295" i="53" s="1"/>
  <c r="BU295" i="53" s="1"/>
  <c r="BW295" i="53" s="1"/>
  <c r="BV296" i="53" s="1"/>
  <c r="BU296" i="53" s="1"/>
  <c r="BW296" i="53" s="1"/>
  <c r="BV297" i="53" s="1"/>
  <c r="BU297" i="53" s="1"/>
  <c r="BW297" i="53" s="1"/>
  <c r="BV298" i="53" s="1"/>
  <c r="BU298" i="53" s="1"/>
  <c r="BW298" i="53" s="1"/>
  <c r="BV299" i="53" s="1"/>
  <c r="BU299" i="53" s="1"/>
  <c r="BW299" i="53" s="1"/>
  <c r="BV300" i="53" s="1"/>
  <c r="BU300" i="53" s="1"/>
  <c r="BW300" i="53" s="1"/>
  <c r="BV301" i="53" s="1"/>
  <c r="BU301" i="53" s="1"/>
  <c r="BW301" i="53" s="1"/>
  <c r="BV302" i="53" s="1"/>
  <c r="BU302" i="53" s="1"/>
  <c r="BW302" i="53" s="1"/>
  <c r="BV303" i="53" s="1"/>
  <c r="BU303" i="53" s="1"/>
  <c r="BW303" i="53" s="1"/>
  <c r="BV304" i="53" s="1"/>
  <c r="BU304" i="53" s="1"/>
  <c r="BW304" i="53" s="1"/>
  <c r="BV305" i="53" s="1"/>
  <c r="BU305" i="53" s="1"/>
  <c r="BW305" i="53" s="1"/>
  <c r="BV306" i="53" s="1"/>
  <c r="BU306" i="53" s="1"/>
  <c r="BW306" i="53" s="1"/>
  <c r="BV307" i="53" s="1"/>
  <c r="BU307" i="53" s="1"/>
  <c r="BW307" i="53" s="1"/>
  <c r="BV308" i="53" s="1"/>
  <c r="BU308" i="53" s="1"/>
  <c r="BW308" i="53" s="1"/>
  <c r="BV309" i="53" s="1"/>
  <c r="BU309" i="53" s="1"/>
  <c r="BW309" i="53" s="1"/>
  <c r="BV310" i="53" s="1"/>
  <c r="BU310" i="53" s="1"/>
  <c r="BW310" i="53" s="1"/>
  <c r="BV311" i="53" s="1"/>
  <c r="BU311" i="53" s="1"/>
  <c r="BW311" i="53" s="1"/>
  <c r="BV312" i="53" s="1"/>
  <c r="BU312" i="53" s="1"/>
  <c r="BW312" i="53" s="1"/>
  <c r="BV313" i="53" s="1"/>
  <c r="BU313" i="53" s="1"/>
  <c r="BW313" i="53" s="1"/>
  <c r="BV314" i="53" s="1"/>
  <c r="BU314" i="53" s="1"/>
  <c r="BW314" i="53" s="1"/>
  <c r="BV315" i="53" s="1"/>
  <c r="BU315" i="53" s="1"/>
  <c r="BW315" i="53" s="1"/>
  <c r="BV316" i="53" s="1"/>
  <c r="BU316" i="53" s="1"/>
  <c r="BW316" i="53" s="1"/>
  <c r="BV317" i="53" s="1"/>
  <c r="BU317" i="53" s="1"/>
  <c r="BW317" i="53" s="1"/>
  <c r="BV318" i="53" s="1"/>
  <c r="BU318" i="53" s="1"/>
  <c r="BW318" i="53" s="1"/>
  <c r="BV319" i="53" s="1"/>
  <c r="BU319" i="53" s="1"/>
  <c r="BW319" i="53" s="1"/>
  <c r="BV320" i="53" s="1"/>
  <c r="BU320" i="53" s="1"/>
  <c r="BW320" i="53" s="1"/>
  <c r="BV321" i="53" s="1"/>
  <c r="BU321" i="53" s="1"/>
  <c r="BW321" i="53" s="1"/>
  <c r="BV322" i="53" s="1"/>
  <c r="BU322" i="53" s="1"/>
  <c r="BW322" i="53" s="1"/>
  <c r="BV323" i="53" s="1"/>
  <c r="BU323" i="53" s="1"/>
  <c r="BW323" i="53" s="1"/>
  <c r="BV324" i="53" s="1"/>
  <c r="BU324" i="53" s="1"/>
  <c r="BW324" i="53" s="1"/>
  <c r="BV325" i="53" s="1"/>
  <c r="BU325" i="53" s="1"/>
  <c r="BW325" i="53" s="1"/>
  <c r="BV326" i="53" s="1"/>
  <c r="BU326" i="53" s="1"/>
  <c r="BW326" i="53" s="1"/>
  <c r="BV327" i="53" s="1"/>
  <c r="BU327" i="53" s="1"/>
  <c r="BW327" i="53" s="1"/>
  <c r="BV328" i="53" s="1"/>
  <c r="BU328" i="53" s="1"/>
  <c r="BW328" i="53" s="1"/>
  <c r="BV329" i="53" s="1"/>
  <c r="BU329" i="53" s="1"/>
  <c r="BW329" i="53" s="1"/>
  <c r="BV330" i="53" s="1"/>
  <c r="BU330" i="53" s="1"/>
  <c r="BW330" i="53" s="1"/>
  <c r="BV331" i="53" s="1"/>
  <c r="BU331" i="53" s="1"/>
  <c r="BW331" i="53" s="1"/>
  <c r="BV332" i="53" s="1"/>
  <c r="BU332" i="53" s="1"/>
  <c r="BW332" i="53" s="1"/>
  <c r="BV333" i="53" s="1"/>
  <c r="BU333" i="53" s="1"/>
  <c r="BW333" i="53" s="1"/>
  <c r="BV334" i="53" s="1"/>
  <c r="BU334" i="53" s="1"/>
  <c r="BW334" i="53" s="1"/>
  <c r="BV335" i="53" s="1"/>
  <c r="BU335" i="53" s="1"/>
  <c r="BW335" i="53" s="1"/>
  <c r="BV336" i="53" s="1"/>
  <c r="BU336" i="53" s="1"/>
  <c r="BW336" i="53" s="1"/>
  <c r="BV337" i="53" s="1"/>
  <c r="BU337" i="53" s="1"/>
  <c r="BW337" i="53" s="1"/>
  <c r="BV338" i="53" s="1"/>
  <c r="BU338" i="53" s="1"/>
  <c r="BW338" i="53" s="1"/>
  <c r="BV339" i="53" s="1"/>
  <c r="BU339" i="53" s="1"/>
  <c r="BW339" i="53" s="1"/>
  <c r="BV340" i="53" s="1"/>
  <c r="BU340" i="53" s="1"/>
  <c r="BW340" i="53" s="1"/>
  <c r="BV341" i="53" s="1"/>
  <c r="BU341" i="53" s="1"/>
  <c r="BW341" i="53" s="1"/>
  <c r="BV342" i="53" s="1"/>
  <c r="BU342" i="53" s="1"/>
  <c r="BW342" i="53" s="1"/>
  <c r="BV343" i="53" s="1"/>
  <c r="BU343" i="53" s="1"/>
  <c r="BW343" i="53" s="1"/>
  <c r="BV344" i="53" s="1"/>
  <c r="BU344" i="53" s="1"/>
  <c r="BW344" i="53" s="1"/>
  <c r="BV345" i="53" s="1"/>
  <c r="BU345" i="53" s="1"/>
  <c r="BW345" i="53" s="1"/>
  <c r="BV346" i="53" s="1"/>
  <c r="BU346" i="53" s="1"/>
  <c r="BW346" i="53" s="1"/>
  <c r="BV347" i="53" s="1"/>
  <c r="BU347" i="53" s="1"/>
  <c r="BW347" i="53" s="1"/>
  <c r="BV348" i="53" s="1"/>
  <c r="BU348" i="53" s="1"/>
  <c r="BW348" i="53" s="1"/>
  <c r="BV349" i="53" s="1"/>
  <c r="BU349" i="53" s="1"/>
  <c r="BW349" i="53" s="1"/>
  <c r="BV350" i="53" s="1"/>
  <c r="BU350" i="53" s="1"/>
  <c r="BW350" i="53" s="1"/>
  <c r="BV351" i="53" s="1"/>
  <c r="BU351" i="53" s="1"/>
  <c r="BW351" i="53" s="1"/>
  <c r="BV352" i="53" s="1"/>
  <c r="BU352" i="53" s="1"/>
  <c r="BW352" i="53" s="1"/>
  <c r="BV353" i="53" s="1"/>
  <c r="BU353" i="53" s="1"/>
  <c r="BW353" i="53" s="1"/>
  <c r="BV354" i="53" s="1"/>
  <c r="BU354" i="53" s="1"/>
  <c r="BW354" i="53" s="1"/>
  <c r="BV355" i="53" s="1"/>
  <c r="BU355" i="53" s="1"/>
  <c r="BW355" i="53" s="1"/>
  <c r="BV356" i="53" s="1"/>
  <c r="BU356" i="53" s="1"/>
  <c r="BW356" i="53" s="1"/>
  <c r="BV357" i="53" s="1"/>
  <c r="BU357" i="53" s="1"/>
  <c r="BW357" i="53" s="1"/>
  <c r="BV358" i="53" s="1"/>
  <c r="BU358" i="53" s="1"/>
  <c r="BW358" i="53" s="1"/>
  <c r="BV359" i="53" s="1"/>
  <c r="BU359" i="53" s="1"/>
  <c r="BW359" i="53" s="1"/>
  <c r="BV360" i="53" s="1"/>
  <c r="BU360" i="53" s="1"/>
  <c r="BW360" i="53" s="1"/>
  <c r="BV361" i="53" s="1"/>
  <c r="BU361" i="53" s="1"/>
  <c r="BW361" i="53" s="1"/>
  <c r="BV362" i="53" s="1"/>
  <c r="BU362" i="53" s="1"/>
  <c r="BW362" i="53" s="1"/>
  <c r="BV363" i="53" s="1"/>
  <c r="BU363" i="53" s="1"/>
  <c r="BW363" i="53" s="1"/>
  <c r="BV364" i="53" s="1"/>
  <c r="BU364" i="53" s="1"/>
  <c r="BW364" i="53" s="1"/>
  <c r="BV365" i="53" s="1"/>
  <c r="BU365" i="53" s="1"/>
  <c r="BW365" i="53" s="1"/>
  <c r="BV366" i="53" s="1"/>
  <c r="BU366" i="53" s="1"/>
  <c r="BW366" i="53" s="1"/>
  <c r="BV367" i="53" s="1"/>
  <c r="BU367" i="53" s="1"/>
  <c r="BW367" i="53" s="1"/>
  <c r="BV368" i="53" s="1"/>
  <c r="BU368" i="53" s="1"/>
  <c r="BW368" i="53" s="1"/>
  <c r="BV369" i="53" s="1"/>
  <c r="BU369" i="53" s="1"/>
  <c r="BW369" i="53" s="1"/>
  <c r="BV370" i="53" s="1"/>
  <c r="BU370" i="53" s="1"/>
  <c r="BW370" i="53" s="1"/>
  <c r="BV371" i="53" s="1"/>
  <c r="BU371" i="53" s="1"/>
  <c r="BW371" i="53" s="1"/>
  <c r="BV372" i="53" s="1"/>
  <c r="BU372" i="53" s="1"/>
  <c r="BW372" i="53" s="1"/>
  <c r="BV373" i="53" s="1"/>
  <c r="BU373" i="53" s="1"/>
  <c r="BW373" i="53" s="1"/>
  <c r="BV374" i="53" s="1"/>
  <c r="BU374" i="53" s="1"/>
  <c r="BW374" i="53" s="1"/>
  <c r="BV375" i="53" s="1"/>
  <c r="BU375" i="53" s="1"/>
  <c r="BW375" i="53" s="1"/>
  <c r="BV376" i="53" s="1"/>
  <c r="BU376" i="53" s="1"/>
  <c r="BW376" i="53" s="1"/>
  <c r="BV377" i="53" s="1"/>
  <c r="BU377" i="53" s="1"/>
  <c r="BW377" i="53" s="1"/>
  <c r="BV378" i="53" s="1"/>
  <c r="BU378" i="53" s="1"/>
  <c r="BW378" i="53" s="1"/>
  <c r="BV379" i="53" s="1"/>
  <c r="BU379" i="53" s="1"/>
  <c r="BW379" i="53" s="1"/>
  <c r="BV380" i="53" s="1"/>
  <c r="BU380" i="53" s="1"/>
  <c r="BW380" i="53" s="1"/>
  <c r="BV381" i="53" s="1"/>
  <c r="BU381" i="53" s="1"/>
  <c r="BW381" i="53" s="1"/>
  <c r="BV382" i="53" s="1"/>
  <c r="BU382" i="53" s="1"/>
  <c r="BW382" i="53" s="1"/>
  <c r="BV383" i="53" s="1"/>
  <c r="BU383" i="53" s="1"/>
  <c r="BW383" i="53" s="1"/>
  <c r="BV384" i="53" s="1"/>
  <c r="BU384" i="53" s="1"/>
  <c r="BW384" i="53" s="1"/>
  <c r="BV385" i="53" s="1"/>
  <c r="BU385" i="53" s="1"/>
  <c r="BW385" i="53" s="1"/>
  <c r="BV386" i="53" s="1"/>
  <c r="BU386" i="53" s="1"/>
  <c r="BW386" i="53" s="1"/>
  <c r="BV387" i="53" s="1"/>
  <c r="BU387" i="53" s="1"/>
  <c r="BW387" i="53" s="1"/>
  <c r="BV388" i="53" s="1"/>
  <c r="BU388" i="53" s="1"/>
  <c r="BW388" i="53" s="1"/>
  <c r="BV389" i="53" s="1"/>
  <c r="BU389" i="53" s="1"/>
  <c r="BW389" i="53" s="1"/>
  <c r="BV390" i="53" s="1"/>
  <c r="BU390" i="53" s="1"/>
  <c r="BW390" i="53" s="1"/>
  <c r="BV391" i="53" s="1"/>
  <c r="BU391" i="53" s="1"/>
  <c r="BW391" i="53" s="1"/>
  <c r="BV392" i="53" s="1"/>
  <c r="BU392" i="53" s="1"/>
  <c r="BW392" i="53" s="1"/>
  <c r="BV393" i="53" s="1"/>
  <c r="BU393" i="53" s="1"/>
  <c r="BW393" i="53" s="1"/>
  <c r="BV394" i="53" s="1"/>
  <c r="BU394" i="53" s="1"/>
  <c r="BW394" i="53" s="1"/>
  <c r="BV395" i="53" s="1"/>
  <c r="BU395" i="53" s="1"/>
  <c r="BW395" i="53" s="1"/>
  <c r="BV396" i="53" s="1"/>
  <c r="BU396" i="53" s="1"/>
  <c r="BW396" i="53" s="1"/>
  <c r="BV397" i="53" s="1"/>
  <c r="BU397" i="53" s="1"/>
  <c r="BW397" i="53" s="1"/>
  <c r="BV398" i="53" s="1"/>
  <c r="BU398" i="53" s="1"/>
  <c r="BW398" i="53" s="1"/>
  <c r="BV399" i="53" s="1"/>
  <c r="BU399" i="53" s="1"/>
  <c r="BW399" i="53" s="1"/>
  <c r="BV400" i="53" s="1"/>
  <c r="BU400" i="53" s="1"/>
  <c r="BW400" i="53" s="1"/>
  <c r="BV401" i="53" s="1"/>
  <c r="BU401" i="53" s="1"/>
  <c r="BW401" i="53" s="1"/>
  <c r="BV402" i="53" s="1"/>
  <c r="BU402" i="53" s="1"/>
  <c r="BW402" i="53" s="1"/>
  <c r="BV403" i="53" s="1"/>
  <c r="BU403" i="53" s="1"/>
  <c r="BW403" i="53" s="1"/>
  <c r="BV404" i="53" s="1"/>
  <c r="BU404" i="53" s="1"/>
  <c r="BW404" i="53" s="1"/>
  <c r="BV405" i="53" s="1"/>
  <c r="BU405" i="53" s="1"/>
  <c r="BW405" i="53" s="1"/>
  <c r="BV406" i="53" s="1"/>
  <c r="BU406" i="53" s="1"/>
  <c r="BW406" i="53" s="1"/>
  <c r="BV407" i="53" s="1"/>
  <c r="BU407" i="53" s="1"/>
  <c r="BW407" i="53" s="1"/>
  <c r="BV408" i="53" s="1"/>
  <c r="BU408" i="53" s="1"/>
  <c r="BW408" i="53" s="1"/>
  <c r="BV409" i="53" s="1"/>
  <c r="BU409" i="53" s="1"/>
  <c r="BW409" i="53" s="1"/>
  <c r="BV410" i="53" s="1"/>
  <c r="BU410" i="53" s="1"/>
  <c r="BW410" i="53" s="1"/>
  <c r="BV411" i="53" s="1"/>
  <c r="BU411" i="53" s="1"/>
  <c r="BW411" i="53" s="1"/>
  <c r="BV412" i="53" s="1"/>
  <c r="BU412" i="53" s="1"/>
  <c r="BW412" i="53" s="1"/>
  <c r="BV413" i="53" s="1"/>
  <c r="BU413" i="53" s="1"/>
  <c r="BW413" i="53" s="1"/>
  <c r="BV414" i="53" s="1"/>
  <c r="BU414" i="53" s="1"/>
  <c r="BW414" i="53" s="1"/>
  <c r="BV415" i="53" s="1"/>
  <c r="BU415" i="53" s="1"/>
  <c r="BW415" i="53" s="1"/>
  <c r="BV416" i="53" s="1"/>
  <c r="BU416" i="53" s="1"/>
  <c r="BW416" i="53" s="1"/>
  <c r="BV417" i="53" s="1"/>
  <c r="BU417" i="53" s="1"/>
  <c r="BW417" i="53" s="1"/>
  <c r="BV418" i="53" s="1"/>
  <c r="BU418" i="53" s="1"/>
  <c r="BW418" i="53" s="1"/>
  <c r="BV419" i="53" s="1"/>
  <c r="BU419" i="53" s="1"/>
  <c r="BW419" i="53" s="1"/>
  <c r="BV420" i="53" s="1"/>
  <c r="BU420" i="53" s="1"/>
  <c r="BW420" i="53" s="1"/>
  <c r="BV421" i="53" s="1"/>
  <c r="BU421" i="53" s="1"/>
  <c r="BW421" i="53" s="1"/>
  <c r="BV422" i="53" s="1"/>
  <c r="BU422" i="53" s="1"/>
  <c r="BW422" i="53" s="1"/>
  <c r="BV423" i="53" s="1"/>
  <c r="BU423" i="53" s="1"/>
  <c r="BW423" i="53" s="1"/>
  <c r="BV424" i="53" s="1"/>
  <c r="BU424" i="53" s="1"/>
  <c r="BW424" i="53" s="1"/>
  <c r="BV425" i="53" s="1"/>
  <c r="BU425" i="53" s="1"/>
  <c r="BW425" i="53" s="1"/>
  <c r="BV426" i="53" s="1"/>
  <c r="BU426" i="53" s="1"/>
  <c r="BW426" i="53" s="1"/>
  <c r="BV427" i="53" s="1"/>
  <c r="BU427" i="53" s="1"/>
  <c r="BW427" i="53" s="1"/>
  <c r="BV428" i="53" s="1"/>
  <c r="BU428" i="53" s="1"/>
  <c r="BW428" i="53" s="1"/>
  <c r="BV429" i="53" s="1"/>
  <c r="BU429" i="53" s="1"/>
  <c r="BW429" i="53" s="1"/>
  <c r="BV430" i="53" s="1"/>
  <c r="BU430" i="53" s="1"/>
  <c r="BW430" i="53" s="1"/>
  <c r="BV431" i="53" s="1"/>
  <c r="BU431" i="53" s="1"/>
  <c r="BW431" i="53" s="1"/>
  <c r="BV432" i="53" s="1"/>
  <c r="BU432" i="53" s="1"/>
  <c r="BW432" i="53" s="1"/>
  <c r="BV433" i="53" s="1"/>
  <c r="BU433" i="53" s="1"/>
  <c r="BW433" i="53" s="1"/>
  <c r="BV434" i="53" s="1"/>
  <c r="BU434" i="53" s="1"/>
  <c r="BW434" i="53" s="1"/>
  <c r="BV435" i="53" s="1"/>
  <c r="BU435" i="53" s="1"/>
  <c r="BW435" i="53" s="1"/>
  <c r="BV436" i="53" s="1"/>
  <c r="BU436" i="53" s="1"/>
  <c r="BW436" i="53" s="1"/>
  <c r="BV437" i="53" s="1"/>
  <c r="BU437" i="53" s="1"/>
  <c r="BW437" i="53" s="1"/>
  <c r="BV438" i="53" s="1"/>
  <c r="BU438" i="53" s="1"/>
  <c r="BW438" i="53" s="1"/>
  <c r="BV439" i="53" s="1"/>
  <c r="BU439" i="53" s="1"/>
  <c r="BW439" i="53" s="1"/>
  <c r="BV440" i="53" s="1"/>
  <c r="BU440" i="53" s="1"/>
  <c r="BW440" i="53" s="1"/>
  <c r="BV441" i="53" s="1"/>
  <c r="BU441" i="53" s="1"/>
  <c r="BW441" i="53" s="1"/>
  <c r="BV442" i="53" s="1"/>
  <c r="BU442" i="53" s="1"/>
  <c r="BW442" i="53" s="1"/>
  <c r="BV443" i="53" s="1"/>
  <c r="BU443" i="53" s="1"/>
  <c r="BW443" i="53" s="1"/>
  <c r="BV444" i="53" s="1"/>
  <c r="BU444" i="53" s="1"/>
  <c r="BW444" i="53" s="1"/>
  <c r="BV445" i="53" s="1"/>
  <c r="BU445" i="53" s="1"/>
  <c r="BW445" i="53" s="1"/>
  <c r="BV446" i="53" s="1"/>
  <c r="BU446" i="53" s="1"/>
  <c r="BW446" i="53" s="1"/>
  <c r="BV447" i="53" s="1"/>
  <c r="BU447" i="53" s="1"/>
  <c r="BW447" i="53" s="1"/>
  <c r="BV448" i="53" s="1"/>
  <c r="BU448" i="53" s="1"/>
  <c r="BW448" i="53" s="1"/>
  <c r="BV449" i="53" s="1"/>
  <c r="BU449" i="53" s="1"/>
  <c r="BW449" i="53" s="1"/>
  <c r="BV450" i="53" s="1"/>
  <c r="BU450" i="53" s="1"/>
  <c r="BW450" i="53" s="1"/>
  <c r="BV451" i="53" s="1"/>
  <c r="BU451" i="53" s="1"/>
  <c r="BW451" i="53" s="1"/>
  <c r="BV452" i="53" s="1"/>
  <c r="BU452" i="53" s="1"/>
  <c r="BW452" i="53" s="1"/>
  <c r="BV453" i="53" s="1"/>
  <c r="BU453" i="53" s="1"/>
  <c r="BW453" i="53" s="1"/>
  <c r="J20" i="53"/>
  <c r="L17" i="47"/>
  <c r="K19" i="47"/>
  <c r="M12" i="47"/>
  <c r="BP194" i="53"/>
  <c r="BP202" i="53"/>
  <c r="BP210" i="53"/>
  <c r="BP218" i="53"/>
  <c r="BP226" i="53"/>
  <c r="BP234" i="53"/>
  <c r="BP242" i="53"/>
  <c r="BP250" i="53"/>
  <c r="BP258" i="53"/>
  <c r="BP266" i="53"/>
  <c r="BP274" i="53"/>
  <c r="BP282" i="53"/>
  <c r="BP290" i="53"/>
  <c r="BP298" i="53"/>
  <c r="BP306" i="53"/>
  <c r="BP314" i="53"/>
  <c r="BP322" i="53"/>
  <c r="BP330" i="53"/>
  <c r="BP338" i="53"/>
  <c r="BP346" i="53"/>
  <c r="BP354" i="53"/>
  <c r="BP362" i="53"/>
  <c r="BP370" i="53"/>
  <c r="BP195" i="53"/>
  <c r="BP203" i="53"/>
  <c r="BP211" i="53"/>
  <c r="BP219" i="53"/>
  <c r="BP227" i="53"/>
  <c r="BP235" i="53"/>
  <c r="BP243" i="53"/>
  <c r="BP251" i="53"/>
  <c r="BP259" i="53"/>
  <c r="BP267" i="53"/>
  <c r="BP275" i="53"/>
  <c r="BP283" i="53"/>
  <c r="BP291" i="53"/>
  <c r="BP299" i="53"/>
  <c r="BP307" i="53"/>
  <c r="BP315" i="53"/>
  <c r="BP323" i="53"/>
  <c r="BP331" i="53"/>
  <c r="BP339" i="53"/>
  <c r="BP347" i="53"/>
  <c r="BP355" i="53"/>
  <c r="BP363" i="53"/>
  <c r="BP371" i="53"/>
  <c r="BP196" i="53"/>
  <c r="BP204" i="53"/>
  <c r="BP212" i="53"/>
  <c r="BP220" i="53"/>
  <c r="BP228" i="53"/>
  <c r="BP236" i="53"/>
  <c r="BP244" i="53"/>
  <c r="BP252" i="53"/>
  <c r="BP260" i="53"/>
  <c r="BP268" i="53"/>
  <c r="BP276" i="53"/>
  <c r="BP284" i="53"/>
  <c r="BP292" i="53"/>
  <c r="BP300" i="53"/>
  <c r="BP308" i="53"/>
  <c r="BP316" i="53"/>
  <c r="BP324" i="53"/>
  <c r="BP332" i="53"/>
  <c r="BP340" i="53"/>
  <c r="BP348" i="53"/>
  <c r="BP356" i="53"/>
  <c r="BP364" i="53"/>
  <c r="BP372" i="53"/>
  <c r="BP197" i="53"/>
  <c r="BP205" i="53"/>
  <c r="BP213" i="53"/>
  <c r="BP221" i="53"/>
  <c r="BP229" i="53"/>
  <c r="BP237" i="53"/>
  <c r="BP245" i="53"/>
  <c r="BP253" i="53"/>
  <c r="BP261" i="53"/>
  <c r="BP269" i="53"/>
  <c r="BP277" i="53"/>
  <c r="BP285" i="53"/>
  <c r="BP293" i="53"/>
  <c r="BP301" i="53"/>
  <c r="BP309" i="53"/>
  <c r="BP317" i="53"/>
  <c r="BP325" i="53"/>
  <c r="BP333" i="53"/>
  <c r="BP341" i="53"/>
  <c r="BP349" i="53"/>
  <c r="BP357" i="53"/>
  <c r="BP365" i="53"/>
  <c r="BP198" i="53"/>
  <c r="BP206" i="53"/>
  <c r="BP214" i="53"/>
  <c r="BP222" i="53"/>
  <c r="BP230" i="53"/>
  <c r="BP238" i="53"/>
  <c r="BP246" i="53"/>
  <c r="BP254" i="53"/>
  <c r="BP262" i="53"/>
  <c r="BP270" i="53"/>
  <c r="BP278" i="53"/>
  <c r="BP286" i="53"/>
  <c r="BP294" i="53"/>
  <c r="BP302" i="53"/>
  <c r="BP310" i="53"/>
  <c r="BP318" i="53"/>
  <c r="BP326" i="53"/>
  <c r="BP334" i="53"/>
  <c r="BP342" i="53"/>
  <c r="BP350" i="53"/>
  <c r="BP358" i="53"/>
  <c r="BP366" i="53"/>
  <c r="BP199" i="53"/>
  <c r="BP207" i="53"/>
  <c r="BP215" i="53"/>
  <c r="BP223" i="53"/>
  <c r="BP231" i="53"/>
  <c r="BP239" i="53"/>
  <c r="BP247" i="53"/>
  <c r="BP255" i="53"/>
  <c r="BP263" i="53"/>
  <c r="BP271" i="53"/>
  <c r="BP279" i="53"/>
  <c r="BP287" i="53"/>
  <c r="BP295" i="53"/>
  <c r="BP303" i="53"/>
  <c r="BP311" i="53"/>
  <c r="BP319" i="53"/>
  <c r="BP327" i="53"/>
  <c r="BP335" i="53"/>
  <c r="BP343" i="53"/>
  <c r="BP351" i="53"/>
  <c r="BP359" i="53"/>
  <c r="BP367" i="53"/>
  <c r="BS192" i="53"/>
  <c r="BR193" i="53" s="1"/>
  <c r="BP200" i="53"/>
  <c r="BP208" i="53"/>
  <c r="BP216" i="53"/>
  <c r="BP224" i="53"/>
  <c r="BP232" i="53"/>
  <c r="BP240" i="53"/>
  <c r="BP248" i="53"/>
  <c r="BP256" i="53"/>
  <c r="BP264" i="53"/>
  <c r="BP272" i="53"/>
  <c r="BP280" i="53"/>
  <c r="BP288" i="53"/>
  <c r="BP296" i="53"/>
  <c r="BP304" i="53"/>
  <c r="BP312" i="53"/>
  <c r="BP320" i="53"/>
  <c r="BP328" i="53"/>
  <c r="BP336" i="53"/>
  <c r="BP344" i="53"/>
  <c r="BP352" i="53"/>
  <c r="BP360" i="53"/>
  <c r="BP368" i="53"/>
  <c r="BP193" i="53"/>
  <c r="BP201" i="53"/>
  <c r="BP209" i="53"/>
  <c r="BP217" i="53"/>
  <c r="BP225" i="53"/>
  <c r="BP233" i="53"/>
  <c r="BP241" i="53"/>
  <c r="BP249" i="53"/>
  <c r="BP257" i="53"/>
  <c r="BP265" i="53"/>
  <c r="BP273" i="53"/>
  <c r="BP281" i="53"/>
  <c r="BP289" i="53"/>
  <c r="BP297" i="53"/>
  <c r="BP305" i="53"/>
  <c r="BP313" i="53"/>
  <c r="BP321" i="53"/>
  <c r="BP329" i="53"/>
  <c r="BP337" i="53"/>
  <c r="BP345" i="53"/>
  <c r="BP353" i="53"/>
  <c r="BP361" i="53"/>
  <c r="BP369" i="53"/>
  <c r="BL193" i="53"/>
  <c r="BL201" i="53"/>
  <c r="BL209" i="53"/>
  <c r="BL217" i="53"/>
  <c r="BL225" i="53"/>
  <c r="BL233" i="53"/>
  <c r="BL241" i="53"/>
  <c r="BL249" i="53"/>
  <c r="BL257" i="53"/>
  <c r="BL265" i="53"/>
  <c r="BL273" i="53"/>
  <c r="BL281" i="53"/>
  <c r="BL289" i="53"/>
  <c r="BL297" i="53"/>
  <c r="BL305" i="53"/>
  <c r="BL313" i="53"/>
  <c r="BL321" i="53"/>
  <c r="BL329" i="53"/>
  <c r="BL337" i="53"/>
  <c r="BL345" i="53"/>
  <c r="BL353" i="53"/>
  <c r="BL361" i="53"/>
  <c r="BL369" i="53"/>
  <c r="BL194" i="53"/>
  <c r="BL202" i="53"/>
  <c r="BL210" i="53"/>
  <c r="BL218" i="53"/>
  <c r="BL226" i="53"/>
  <c r="BL234" i="53"/>
  <c r="BL242" i="53"/>
  <c r="BL250" i="53"/>
  <c r="BL258" i="53"/>
  <c r="BL266" i="53"/>
  <c r="BL274" i="53"/>
  <c r="BL282" i="53"/>
  <c r="BL290" i="53"/>
  <c r="BL298" i="53"/>
  <c r="BL306" i="53"/>
  <c r="BL314" i="53"/>
  <c r="BL322" i="53"/>
  <c r="BL330" i="53"/>
  <c r="BL338" i="53"/>
  <c r="BL346" i="53"/>
  <c r="BL354" i="53"/>
  <c r="BL362" i="53"/>
  <c r="BL195" i="53"/>
  <c r="BL203" i="53"/>
  <c r="BL211" i="53"/>
  <c r="BL219" i="53"/>
  <c r="BL227" i="53"/>
  <c r="BL235" i="53"/>
  <c r="BL243" i="53"/>
  <c r="BL251" i="53"/>
  <c r="BL259" i="53"/>
  <c r="BL267" i="53"/>
  <c r="BL275" i="53"/>
  <c r="BL283" i="53"/>
  <c r="BL291" i="53"/>
  <c r="BL299" i="53"/>
  <c r="BL307" i="53"/>
  <c r="BL315" i="53"/>
  <c r="BL323" i="53"/>
  <c r="BL331" i="53"/>
  <c r="BL339" i="53"/>
  <c r="BL347" i="53"/>
  <c r="BL355" i="53"/>
  <c r="BL363" i="53"/>
  <c r="I81" i="53"/>
  <c r="BL196" i="53"/>
  <c r="BL204" i="53"/>
  <c r="BL212" i="53"/>
  <c r="BL220" i="53"/>
  <c r="BL228" i="53"/>
  <c r="BL236" i="53"/>
  <c r="BL244" i="53"/>
  <c r="BL252" i="53"/>
  <c r="BL260" i="53"/>
  <c r="BL268" i="53"/>
  <c r="BL276" i="53"/>
  <c r="BL284" i="53"/>
  <c r="BL292" i="53"/>
  <c r="BL300" i="53"/>
  <c r="BL308" i="53"/>
  <c r="BL316" i="53"/>
  <c r="BL324" i="53"/>
  <c r="BL332" i="53"/>
  <c r="BL340" i="53"/>
  <c r="BL348" i="53"/>
  <c r="BL356" i="53"/>
  <c r="BL364" i="53"/>
  <c r="BO189" i="53"/>
  <c r="BN190" i="53" s="1"/>
  <c r="BL197" i="53"/>
  <c r="BL205" i="53"/>
  <c r="BL213" i="53"/>
  <c r="BL221" i="53"/>
  <c r="BL229" i="53"/>
  <c r="BL237" i="53"/>
  <c r="BL245" i="53"/>
  <c r="BL253" i="53"/>
  <c r="BL261" i="53"/>
  <c r="BL269" i="53"/>
  <c r="BL277" i="53"/>
  <c r="BL285" i="53"/>
  <c r="BL293" i="53"/>
  <c r="BL301" i="53"/>
  <c r="BL309" i="53"/>
  <c r="BL317" i="53"/>
  <c r="BL325" i="53"/>
  <c r="BL333" i="53"/>
  <c r="BL341" i="53"/>
  <c r="BL349" i="53"/>
  <c r="BL357" i="53"/>
  <c r="BL365" i="53"/>
  <c r="BL190" i="53"/>
  <c r="BL198" i="53"/>
  <c r="BL206" i="53"/>
  <c r="BL214" i="53"/>
  <c r="BL222" i="53"/>
  <c r="BL230" i="53"/>
  <c r="BL238" i="53"/>
  <c r="BL246" i="53"/>
  <c r="BL254" i="53"/>
  <c r="BL262" i="53"/>
  <c r="BL270" i="53"/>
  <c r="BL278" i="53"/>
  <c r="BL286" i="53"/>
  <c r="BL294" i="53"/>
  <c r="BL302" i="53"/>
  <c r="BL310" i="53"/>
  <c r="BL318" i="53"/>
  <c r="BL326" i="53"/>
  <c r="BL334" i="53"/>
  <c r="BL342" i="53"/>
  <c r="BL350" i="53"/>
  <c r="BL358" i="53"/>
  <c r="BL366" i="53"/>
  <c r="BL191" i="53"/>
  <c r="CR191" i="53" s="1"/>
  <c r="BL199" i="53"/>
  <c r="BL207" i="53"/>
  <c r="BL215" i="53"/>
  <c r="BL223" i="53"/>
  <c r="BL231" i="53"/>
  <c r="BL239" i="53"/>
  <c r="BL247" i="53"/>
  <c r="BL255" i="53"/>
  <c r="BL263" i="53"/>
  <c r="BL271" i="53"/>
  <c r="BL279" i="53"/>
  <c r="BL287" i="53"/>
  <c r="BL295" i="53"/>
  <c r="BL303" i="53"/>
  <c r="BL311" i="53"/>
  <c r="BL319" i="53"/>
  <c r="BL327" i="53"/>
  <c r="BL335" i="53"/>
  <c r="BL343" i="53"/>
  <c r="BL351" i="53"/>
  <c r="BL359" i="53"/>
  <c r="BL367" i="53"/>
  <c r="BL192" i="53"/>
  <c r="CR192" i="53" s="1"/>
  <c r="BL200" i="53"/>
  <c r="BL208" i="53"/>
  <c r="BL216" i="53"/>
  <c r="BL224" i="53"/>
  <c r="BL232" i="53"/>
  <c r="BL240" i="53"/>
  <c r="BL248" i="53"/>
  <c r="BL256" i="53"/>
  <c r="BL264" i="53"/>
  <c r="BL272" i="53"/>
  <c r="BL280" i="53"/>
  <c r="BL288" i="53"/>
  <c r="BL296" i="53"/>
  <c r="BL304" i="53"/>
  <c r="BL312" i="53"/>
  <c r="BL320" i="53"/>
  <c r="BL328" i="53"/>
  <c r="BL336" i="53"/>
  <c r="BL344" i="53"/>
  <c r="BL352" i="53"/>
  <c r="BL360" i="53"/>
  <c r="BL368" i="53"/>
  <c r="F186" i="53"/>
  <c r="CU185" i="53"/>
  <c r="CR198" i="53" l="1"/>
  <c r="CR218" i="53"/>
  <c r="CR224" i="53"/>
  <c r="CR215" i="53"/>
  <c r="CR214" i="53"/>
  <c r="CR205" i="53"/>
  <c r="CR260" i="53"/>
  <c r="CR196" i="53"/>
  <c r="CR234" i="53"/>
  <c r="CR251" i="53"/>
  <c r="CR257" i="53"/>
  <c r="CR193" i="53"/>
  <c r="CR245" i="53"/>
  <c r="CR236" i="53"/>
  <c r="CR227" i="53"/>
  <c r="CR233" i="53"/>
  <c r="CR249" i="53"/>
  <c r="CR240" i="53"/>
  <c r="CR231" i="53"/>
  <c r="CR261" i="53"/>
  <c r="CR197" i="53"/>
  <c r="CR252" i="53"/>
  <c r="CR243" i="53"/>
  <c r="CR194" i="53"/>
  <c r="CR238" i="53"/>
  <c r="CR258" i="53"/>
  <c r="CR201" i="53"/>
  <c r="O35" i="53" s="1"/>
  <c r="O36" i="53" s="1"/>
  <c r="M46" i="15" s="1"/>
  <c r="CR209" i="53"/>
  <c r="CR200" i="53"/>
  <c r="CR255" i="53"/>
  <c r="CR221" i="53"/>
  <c r="CR212" i="53"/>
  <c r="CR203" i="53"/>
  <c r="CR225" i="53"/>
  <c r="CR254" i="53"/>
  <c r="CR210" i="53"/>
  <c r="CR241" i="53"/>
  <c r="CR206" i="53"/>
  <c r="CR226" i="53"/>
  <c r="CR217" i="53"/>
  <c r="CR253" i="53"/>
  <c r="CR244" i="53"/>
  <c r="CR235" i="53"/>
  <c r="CR232" i="53"/>
  <c r="CR223" i="53"/>
  <c r="CR208" i="53"/>
  <c r="CR199" i="53"/>
  <c r="CR246" i="53"/>
  <c r="CR202" i="53"/>
  <c r="M17" i="47"/>
  <c r="L18" i="47"/>
  <c r="L19" i="47"/>
  <c r="CR216" i="53"/>
  <c r="CR207" i="53"/>
  <c r="CR256" i="53"/>
  <c r="CR247" i="53"/>
  <c r="CR229" i="53"/>
  <c r="CR220" i="53"/>
  <c r="CR211" i="53"/>
  <c r="H42" i="15"/>
  <c r="J42" i="53"/>
  <c r="CR237" i="53"/>
  <c r="CR219" i="53"/>
  <c r="BQ193" i="53"/>
  <c r="BS193" i="53" s="1"/>
  <c r="BR194" i="53" s="1"/>
  <c r="BQ194" i="53" s="1"/>
  <c r="BS194" i="53" s="1"/>
  <c r="BR195" i="53" s="1"/>
  <c r="BQ195" i="53" s="1"/>
  <c r="BS195" i="53" s="1"/>
  <c r="BR196" i="53" s="1"/>
  <c r="BQ196" i="53" s="1"/>
  <c r="BS196" i="53" s="1"/>
  <c r="BR197" i="53" s="1"/>
  <c r="BQ197" i="53" s="1"/>
  <c r="BS197" i="53" s="1"/>
  <c r="BR198" i="53" s="1"/>
  <c r="BQ198" i="53" s="1"/>
  <c r="BS198" i="53" s="1"/>
  <c r="BR199" i="53" s="1"/>
  <c r="BQ199" i="53" s="1"/>
  <c r="BS199" i="53" s="1"/>
  <c r="BR200" i="53" s="1"/>
  <c r="BQ200" i="53" s="1"/>
  <c r="BS200" i="53" s="1"/>
  <c r="BR201" i="53" s="1"/>
  <c r="BQ201" i="53" s="1"/>
  <c r="BS201" i="53" s="1"/>
  <c r="BR202" i="53" s="1"/>
  <c r="BQ202" i="53" s="1"/>
  <c r="BS202" i="53" s="1"/>
  <c r="BR203" i="53" s="1"/>
  <c r="BQ203" i="53" s="1"/>
  <c r="BS203" i="53" s="1"/>
  <c r="BR204" i="53" s="1"/>
  <c r="BQ204" i="53" s="1"/>
  <c r="BS204" i="53" s="1"/>
  <c r="BR205" i="53" s="1"/>
  <c r="BQ205" i="53" s="1"/>
  <c r="BS205" i="53" s="1"/>
  <c r="BR206" i="53" s="1"/>
  <c r="BQ206" i="53" s="1"/>
  <c r="BS206" i="53" s="1"/>
  <c r="BR207" i="53" s="1"/>
  <c r="BQ207" i="53" s="1"/>
  <c r="BS207" i="53" s="1"/>
  <c r="BR208" i="53" s="1"/>
  <c r="BQ208" i="53" s="1"/>
  <c r="BS208" i="53" s="1"/>
  <c r="BR209" i="53" s="1"/>
  <c r="BQ209" i="53" s="1"/>
  <c r="BS209" i="53" s="1"/>
  <c r="BR210" i="53" s="1"/>
  <c r="BQ210" i="53" s="1"/>
  <c r="BS210" i="53" s="1"/>
  <c r="BR211" i="53" s="1"/>
  <c r="BQ211" i="53" s="1"/>
  <c r="BS211" i="53" s="1"/>
  <c r="BR212" i="53" s="1"/>
  <c r="BQ212" i="53" s="1"/>
  <c r="BS212" i="53" s="1"/>
  <c r="BR213" i="53" s="1"/>
  <c r="BQ213" i="53" s="1"/>
  <c r="BS213" i="53" s="1"/>
  <c r="BR214" i="53" s="1"/>
  <c r="BQ214" i="53" s="1"/>
  <c r="BS214" i="53" s="1"/>
  <c r="BR215" i="53" s="1"/>
  <c r="BQ215" i="53" s="1"/>
  <c r="BS215" i="53" s="1"/>
  <c r="BR216" i="53" s="1"/>
  <c r="BQ216" i="53" s="1"/>
  <c r="BS216" i="53" s="1"/>
  <c r="BR217" i="53" s="1"/>
  <c r="BQ217" i="53" s="1"/>
  <c r="BS217" i="53" s="1"/>
  <c r="BR218" i="53" s="1"/>
  <c r="BQ218" i="53" s="1"/>
  <c r="BS218" i="53" s="1"/>
  <c r="BR219" i="53" s="1"/>
  <c r="BQ219" i="53" s="1"/>
  <c r="BS219" i="53" s="1"/>
  <c r="BR220" i="53" s="1"/>
  <c r="BQ220" i="53" s="1"/>
  <c r="BS220" i="53" s="1"/>
  <c r="BR221" i="53" s="1"/>
  <c r="BQ221" i="53" s="1"/>
  <c r="BS221" i="53" s="1"/>
  <c r="BR222" i="53" s="1"/>
  <c r="BQ222" i="53" s="1"/>
  <c r="BS222" i="53" s="1"/>
  <c r="BR223" i="53" s="1"/>
  <c r="BQ223" i="53" s="1"/>
  <c r="BS223" i="53" s="1"/>
  <c r="BR224" i="53" s="1"/>
  <c r="BQ224" i="53" s="1"/>
  <c r="BS224" i="53" s="1"/>
  <c r="BR225" i="53" s="1"/>
  <c r="BQ225" i="53" s="1"/>
  <c r="BS225" i="53" s="1"/>
  <c r="BR226" i="53" s="1"/>
  <c r="BQ226" i="53" s="1"/>
  <c r="BS226" i="53" s="1"/>
  <c r="BR227" i="53" s="1"/>
  <c r="BQ227" i="53" s="1"/>
  <c r="BS227" i="53" s="1"/>
  <c r="BR228" i="53" s="1"/>
  <c r="BQ228" i="53" s="1"/>
  <c r="BS228" i="53" s="1"/>
  <c r="BR229" i="53" s="1"/>
  <c r="BQ229" i="53" s="1"/>
  <c r="BS229" i="53" s="1"/>
  <c r="BR230" i="53" s="1"/>
  <c r="BQ230" i="53" s="1"/>
  <c r="BS230" i="53" s="1"/>
  <c r="BR231" i="53" s="1"/>
  <c r="BQ231" i="53" s="1"/>
  <c r="BS231" i="53" s="1"/>
  <c r="BR232" i="53" s="1"/>
  <c r="BQ232" i="53" s="1"/>
  <c r="BS232" i="53" s="1"/>
  <c r="BR233" i="53" s="1"/>
  <c r="BQ233" i="53" s="1"/>
  <c r="BS233" i="53" s="1"/>
  <c r="BR234" i="53" s="1"/>
  <c r="BQ234" i="53" s="1"/>
  <c r="BS234" i="53" s="1"/>
  <c r="BR235" i="53" s="1"/>
  <c r="BQ235" i="53" s="1"/>
  <c r="BS235" i="53" s="1"/>
  <c r="BR236" i="53" s="1"/>
  <c r="BQ236" i="53" s="1"/>
  <c r="BS236" i="53" s="1"/>
  <c r="BR237" i="53" s="1"/>
  <c r="BQ237" i="53" s="1"/>
  <c r="BS237" i="53" s="1"/>
  <c r="BR238" i="53" s="1"/>
  <c r="BQ238" i="53" s="1"/>
  <c r="BS238" i="53" s="1"/>
  <c r="BR239" i="53" s="1"/>
  <c r="BQ239" i="53" s="1"/>
  <c r="BS239" i="53" s="1"/>
  <c r="BR240" i="53" s="1"/>
  <c r="BQ240" i="53" s="1"/>
  <c r="BS240" i="53" s="1"/>
  <c r="BR241" i="53" s="1"/>
  <c r="BQ241" i="53" s="1"/>
  <c r="BS241" i="53" s="1"/>
  <c r="BR242" i="53" s="1"/>
  <c r="BQ242" i="53" s="1"/>
  <c r="BS242" i="53" s="1"/>
  <c r="BR243" i="53" s="1"/>
  <c r="BQ243" i="53" s="1"/>
  <c r="BS243" i="53" s="1"/>
  <c r="BR244" i="53" s="1"/>
  <c r="BQ244" i="53" s="1"/>
  <c r="BS244" i="53" s="1"/>
  <c r="BR245" i="53" s="1"/>
  <c r="BQ245" i="53" s="1"/>
  <c r="BS245" i="53" s="1"/>
  <c r="BR246" i="53" s="1"/>
  <c r="BQ246" i="53" s="1"/>
  <c r="BS246" i="53" s="1"/>
  <c r="BR247" i="53" s="1"/>
  <c r="BQ247" i="53" s="1"/>
  <c r="BS247" i="53" s="1"/>
  <c r="BR248" i="53" s="1"/>
  <c r="BQ248" i="53" s="1"/>
  <c r="BS248" i="53" s="1"/>
  <c r="BR249" i="53" s="1"/>
  <c r="BQ249" i="53" s="1"/>
  <c r="BS249" i="53" s="1"/>
  <c r="BR250" i="53" s="1"/>
  <c r="BQ250" i="53" s="1"/>
  <c r="BS250" i="53" s="1"/>
  <c r="BR251" i="53" s="1"/>
  <c r="BQ251" i="53" s="1"/>
  <c r="BS251" i="53" s="1"/>
  <c r="BR252" i="53" s="1"/>
  <c r="BQ252" i="53" s="1"/>
  <c r="BS252" i="53" s="1"/>
  <c r="BR253" i="53" s="1"/>
  <c r="BQ253" i="53" s="1"/>
  <c r="BS253" i="53" s="1"/>
  <c r="BR254" i="53" s="1"/>
  <c r="BQ254" i="53" s="1"/>
  <c r="BS254" i="53" s="1"/>
  <c r="BR255" i="53" s="1"/>
  <c r="BQ255" i="53" s="1"/>
  <c r="BS255" i="53" s="1"/>
  <c r="BR256" i="53" s="1"/>
  <c r="BQ256" i="53" s="1"/>
  <c r="BS256" i="53" s="1"/>
  <c r="BR257" i="53" s="1"/>
  <c r="BQ257" i="53" s="1"/>
  <c r="BS257" i="53" s="1"/>
  <c r="BR258" i="53" s="1"/>
  <c r="BQ258" i="53" s="1"/>
  <c r="BS258" i="53" s="1"/>
  <c r="BR259" i="53" s="1"/>
  <c r="BQ259" i="53" s="1"/>
  <c r="BS259" i="53" s="1"/>
  <c r="BR260" i="53" s="1"/>
  <c r="BQ260" i="53" s="1"/>
  <c r="BS260" i="53" s="1"/>
  <c r="BR261" i="53" s="1"/>
  <c r="BQ261" i="53" s="1"/>
  <c r="BS261" i="53" s="1"/>
  <c r="BR262" i="53" s="1"/>
  <c r="BQ262" i="53" s="1"/>
  <c r="BS262" i="53" s="1"/>
  <c r="BR263" i="53" s="1"/>
  <c r="BQ263" i="53" s="1"/>
  <c r="BS263" i="53" s="1"/>
  <c r="BR264" i="53" s="1"/>
  <c r="BQ264" i="53" s="1"/>
  <c r="BS264" i="53" s="1"/>
  <c r="BR265" i="53" s="1"/>
  <c r="BQ265" i="53" s="1"/>
  <c r="BS265" i="53" s="1"/>
  <c r="BR266" i="53" s="1"/>
  <c r="BQ266" i="53" s="1"/>
  <c r="BS266" i="53" s="1"/>
  <c r="BR267" i="53" s="1"/>
  <c r="BQ267" i="53" s="1"/>
  <c r="BS267" i="53" s="1"/>
  <c r="BR268" i="53" s="1"/>
  <c r="BQ268" i="53" s="1"/>
  <c r="BS268" i="53" s="1"/>
  <c r="BR269" i="53" s="1"/>
  <c r="BQ269" i="53" s="1"/>
  <c r="BS269" i="53" s="1"/>
  <c r="BR270" i="53" s="1"/>
  <c r="BQ270" i="53" s="1"/>
  <c r="BS270" i="53" s="1"/>
  <c r="BR271" i="53" s="1"/>
  <c r="BQ271" i="53" s="1"/>
  <c r="BS271" i="53" s="1"/>
  <c r="BR272" i="53" s="1"/>
  <c r="BQ272" i="53" s="1"/>
  <c r="BS272" i="53" s="1"/>
  <c r="BR273" i="53" s="1"/>
  <c r="BQ273" i="53" s="1"/>
  <c r="BS273" i="53" s="1"/>
  <c r="BR274" i="53" s="1"/>
  <c r="BQ274" i="53" s="1"/>
  <c r="BS274" i="53" s="1"/>
  <c r="BR275" i="53" s="1"/>
  <c r="BQ275" i="53" s="1"/>
  <c r="BS275" i="53" s="1"/>
  <c r="BR276" i="53" s="1"/>
  <c r="BQ276" i="53" s="1"/>
  <c r="BS276" i="53" s="1"/>
  <c r="BR277" i="53" s="1"/>
  <c r="BQ277" i="53" s="1"/>
  <c r="BS277" i="53" s="1"/>
  <c r="BR278" i="53" s="1"/>
  <c r="BQ278" i="53" s="1"/>
  <c r="BS278" i="53" s="1"/>
  <c r="BR279" i="53" s="1"/>
  <c r="BQ279" i="53" s="1"/>
  <c r="BS279" i="53" s="1"/>
  <c r="BR280" i="53" s="1"/>
  <c r="BQ280" i="53" s="1"/>
  <c r="BS280" i="53" s="1"/>
  <c r="BR281" i="53" s="1"/>
  <c r="BQ281" i="53" s="1"/>
  <c r="BS281" i="53" s="1"/>
  <c r="BR282" i="53" s="1"/>
  <c r="BQ282" i="53" s="1"/>
  <c r="BS282" i="53" s="1"/>
  <c r="BR283" i="53" s="1"/>
  <c r="BQ283" i="53" s="1"/>
  <c r="BS283" i="53" s="1"/>
  <c r="BR284" i="53" s="1"/>
  <c r="BQ284" i="53" s="1"/>
  <c r="BS284" i="53" s="1"/>
  <c r="BR285" i="53" s="1"/>
  <c r="BQ285" i="53" s="1"/>
  <c r="BS285" i="53" s="1"/>
  <c r="BR286" i="53" s="1"/>
  <c r="BQ286" i="53" s="1"/>
  <c r="BS286" i="53" s="1"/>
  <c r="BR287" i="53" s="1"/>
  <c r="BQ287" i="53" s="1"/>
  <c r="BS287" i="53" s="1"/>
  <c r="BR288" i="53" s="1"/>
  <c r="BQ288" i="53" s="1"/>
  <c r="BS288" i="53" s="1"/>
  <c r="BR289" i="53" s="1"/>
  <c r="BQ289" i="53" s="1"/>
  <c r="BS289" i="53" s="1"/>
  <c r="BR290" i="53" s="1"/>
  <c r="BQ290" i="53" s="1"/>
  <c r="BS290" i="53" s="1"/>
  <c r="BR291" i="53" s="1"/>
  <c r="BQ291" i="53" s="1"/>
  <c r="BS291" i="53" s="1"/>
  <c r="BR292" i="53" s="1"/>
  <c r="BQ292" i="53" s="1"/>
  <c r="BS292" i="53" s="1"/>
  <c r="BR293" i="53" s="1"/>
  <c r="BQ293" i="53" s="1"/>
  <c r="BS293" i="53" s="1"/>
  <c r="BR294" i="53" s="1"/>
  <c r="BQ294" i="53" s="1"/>
  <c r="BS294" i="53" s="1"/>
  <c r="BR295" i="53" s="1"/>
  <c r="BQ295" i="53" s="1"/>
  <c r="BS295" i="53" s="1"/>
  <c r="BR296" i="53" s="1"/>
  <c r="BQ296" i="53" s="1"/>
  <c r="BS296" i="53" s="1"/>
  <c r="BR297" i="53" s="1"/>
  <c r="BQ297" i="53" s="1"/>
  <c r="BS297" i="53" s="1"/>
  <c r="BR298" i="53" s="1"/>
  <c r="BQ298" i="53" s="1"/>
  <c r="BS298" i="53" s="1"/>
  <c r="BR299" i="53" s="1"/>
  <c r="BQ299" i="53" s="1"/>
  <c r="BS299" i="53" s="1"/>
  <c r="BR300" i="53" s="1"/>
  <c r="BQ300" i="53" s="1"/>
  <c r="BS300" i="53" s="1"/>
  <c r="BR301" i="53" s="1"/>
  <c r="BQ301" i="53" s="1"/>
  <c r="BS301" i="53" s="1"/>
  <c r="BR302" i="53" s="1"/>
  <c r="BQ302" i="53" s="1"/>
  <c r="BS302" i="53" s="1"/>
  <c r="BR303" i="53" s="1"/>
  <c r="BQ303" i="53" s="1"/>
  <c r="BS303" i="53" s="1"/>
  <c r="BR304" i="53" s="1"/>
  <c r="BQ304" i="53" s="1"/>
  <c r="BS304" i="53" s="1"/>
  <c r="BR305" i="53" s="1"/>
  <c r="BQ305" i="53" s="1"/>
  <c r="BS305" i="53" s="1"/>
  <c r="BR306" i="53" s="1"/>
  <c r="BQ306" i="53" s="1"/>
  <c r="BS306" i="53" s="1"/>
  <c r="BR307" i="53" s="1"/>
  <c r="BQ307" i="53" s="1"/>
  <c r="BS307" i="53" s="1"/>
  <c r="BR308" i="53" s="1"/>
  <c r="BQ308" i="53" s="1"/>
  <c r="BS308" i="53" s="1"/>
  <c r="BR309" i="53" s="1"/>
  <c r="BQ309" i="53" s="1"/>
  <c r="BS309" i="53" s="1"/>
  <c r="BR310" i="53" s="1"/>
  <c r="BQ310" i="53" s="1"/>
  <c r="BS310" i="53" s="1"/>
  <c r="BR311" i="53" s="1"/>
  <c r="BQ311" i="53" s="1"/>
  <c r="BS311" i="53" s="1"/>
  <c r="BR312" i="53" s="1"/>
  <c r="BQ312" i="53" s="1"/>
  <c r="BS312" i="53" s="1"/>
  <c r="BR313" i="53" s="1"/>
  <c r="BQ313" i="53" s="1"/>
  <c r="BS313" i="53" s="1"/>
  <c r="BR314" i="53" s="1"/>
  <c r="BQ314" i="53" s="1"/>
  <c r="BS314" i="53" s="1"/>
  <c r="BR315" i="53" s="1"/>
  <c r="BQ315" i="53" s="1"/>
  <c r="BS315" i="53" s="1"/>
  <c r="BR316" i="53" s="1"/>
  <c r="BQ316" i="53" s="1"/>
  <c r="BS316" i="53" s="1"/>
  <c r="BR317" i="53" s="1"/>
  <c r="BQ317" i="53" s="1"/>
  <c r="BS317" i="53" s="1"/>
  <c r="BR318" i="53" s="1"/>
  <c r="BQ318" i="53" s="1"/>
  <c r="BS318" i="53" s="1"/>
  <c r="BR319" i="53" s="1"/>
  <c r="BQ319" i="53" s="1"/>
  <c r="BS319" i="53" s="1"/>
  <c r="BR320" i="53" s="1"/>
  <c r="BQ320" i="53" s="1"/>
  <c r="BS320" i="53" s="1"/>
  <c r="BR321" i="53" s="1"/>
  <c r="BQ321" i="53" s="1"/>
  <c r="BS321" i="53" s="1"/>
  <c r="BR322" i="53" s="1"/>
  <c r="BQ322" i="53" s="1"/>
  <c r="BS322" i="53" s="1"/>
  <c r="BR323" i="53" s="1"/>
  <c r="BQ323" i="53" s="1"/>
  <c r="BS323" i="53" s="1"/>
  <c r="BR324" i="53" s="1"/>
  <c r="BQ324" i="53" s="1"/>
  <c r="BS324" i="53" s="1"/>
  <c r="BR325" i="53" s="1"/>
  <c r="BQ325" i="53" s="1"/>
  <c r="BS325" i="53" s="1"/>
  <c r="BR326" i="53" s="1"/>
  <c r="BQ326" i="53" s="1"/>
  <c r="BS326" i="53" s="1"/>
  <c r="BR327" i="53" s="1"/>
  <c r="BQ327" i="53" s="1"/>
  <c r="BS327" i="53" s="1"/>
  <c r="BR328" i="53" s="1"/>
  <c r="BQ328" i="53" s="1"/>
  <c r="BS328" i="53" s="1"/>
  <c r="BR329" i="53" s="1"/>
  <c r="BQ329" i="53" s="1"/>
  <c r="BS329" i="53" s="1"/>
  <c r="BR330" i="53" s="1"/>
  <c r="BQ330" i="53" s="1"/>
  <c r="BS330" i="53" s="1"/>
  <c r="BR331" i="53" s="1"/>
  <c r="BQ331" i="53" s="1"/>
  <c r="BS331" i="53" s="1"/>
  <c r="BR332" i="53" s="1"/>
  <c r="BQ332" i="53" s="1"/>
  <c r="BS332" i="53" s="1"/>
  <c r="BR333" i="53" s="1"/>
  <c r="BQ333" i="53" s="1"/>
  <c r="BS333" i="53" s="1"/>
  <c r="BR334" i="53" s="1"/>
  <c r="BQ334" i="53" s="1"/>
  <c r="BS334" i="53" s="1"/>
  <c r="BR335" i="53" s="1"/>
  <c r="BQ335" i="53" s="1"/>
  <c r="BS335" i="53" s="1"/>
  <c r="BR336" i="53" s="1"/>
  <c r="BQ336" i="53" s="1"/>
  <c r="BS336" i="53" s="1"/>
  <c r="BR337" i="53" s="1"/>
  <c r="BQ337" i="53" s="1"/>
  <c r="BS337" i="53" s="1"/>
  <c r="BR338" i="53" s="1"/>
  <c r="BQ338" i="53" s="1"/>
  <c r="BS338" i="53" s="1"/>
  <c r="BR339" i="53" s="1"/>
  <c r="BQ339" i="53" s="1"/>
  <c r="BS339" i="53" s="1"/>
  <c r="BR340" i="53" s="1"/>
  <c r="BQ340" i="53" s="1"/>
  <c r="BS340" i="53" s="1"/>
  <c r="BR341" i="53" s="1"/>
  <c r="BQ341" i="53" s="1"/>
  <c r="BS341" i="53" s="1"/>
  <c r="BR342" i="53" s="1"/>
  <c r="BQ342" i="53" s="1"/>
  <c r="BS342" i="53" s="1"/>
  <c r="BR343" i="53" s="1"/>
  <c r="BQ343" i="53" s="1"/>
  <c r="BS343" i="53" s="1"/>
  <c r="BR344" i="53" s="1"/>
  <c r="BQ344" i="53" s="1"/>
  <c r="BS344" i="53" s="1"/>
  <c r="BR345" i="53" s="1"/>
  <c r="BQ345" i="53" s="1"/>
  <c r="BS345" i="53" s="1"/>
  <c r="BR346" i="53" s="1"/>
  <c r="BQ346" i="53" s="1"/>
  <c r="BS346" i="53" s="1"/>
  <c r="BR347" i="53" s="1"/>
  <c r="BQ347" i="53" s="1"/>
  <c r="BS347" i="53" s="1"/>
  <c r="BR348" i="53" s="1"/>
  <c r="BQ348" i="53" s="1"/>
  <c r="BS348" i="53" s="1"/>
  <c r="BR349" i="53" s="1"/>
  <c r="BQ349" i="53" s="1"/>
  <c r="BS349" i="53" s="1"/>
  <c r="BR350" i="53" s="1"/>
  <c r="BQ350" i="53" s="1"/>
  <c r="BS350" i="53" s="1"/>
  <c r="BR351" i="53" s="1"/>
  <c r="BQ351" i="53" s="1"/>
  <c r="BS351" i="53" s="1"/>
  <c r="BR352" i="53" s="1"/>
  <c r="BQ352" i="53" s="1"/>
  <c r="BS352" i="53" s="1"/>
  <c r="BR353" i="53" s="1"/>
  <c r="BQ353" i="53" s="1"/>
  <c r="BS353" i="53" s="1"/>
  <c r="BR354" i="53" s="1"/>
  <c r="BQ354" i="53" s="1"/>
  <c r="BS354" i="53" s="1"/>
  <c r="BR355" i="53" s="1"/>
  <c r="BQ355" i="53" s="1"/>
  <c r="BS355" i="53" s="1"/>
  <c r="BR356" i="53" s="1"/>
  <c r="BQ356" i="53" s="1"/>
  <c r="BS356" i="53" s="1"/>
  <c r="BR357" i="53" s="1"/>
  <c r="BQ357" i="53" s="1"/>
  <c r="BS357" i="53" s="1"/>
  <c r="BR358" i="53" s="1"/>
  <c r="BQ358" i="53" s="1"/>
  <c r="BS358" i="53" s="1"/>
  <c r="BR359" i="53" s="1"/>
  <c r="BQ359" i="53" s="1"/>
  <c r="BS359" i="53" s="1"/>
  <c r="BR360" i="53" s="1"/>
  <c r="BQ360" i="53" s="1"/>
  <c r="BS360" i="53" s="1"/>
  <c r="BR361" i="53" s="1"/>
  <c r="BQ361" i="53" s="1"/>
  <c r="BS361" i="53" s="1"/>
  <c r="BR362" i="53" s="1"/>
  <c r="BQ362" i="53" s="1"/>
  <c r="BS362" i="53" s="1"/>
  <c r="BR363" i="53" s="1"/>
  <c r="BQ363" i="53" s="1"/>
  <c r="BS363" i="53" s="1"/>
  <c r="BR364" i="53" s="1"/>
  <c r="BQ364" i="53" s="1"/>
  <c r="BS364" i="53" s="1"/>
  <c r="BR365" i="53" s="1"/>
  <c r="BQ365" i="53" s="1"/>
  <c r="BS365" i="53" s="1"/>
  <c r="BR366" i="53" s="1"/>
  <c r="BQ366" i="53" s="1"/>
  <c r="BS366" i="53" s="1"/>
  <c r="BR367" i="53" s="1"/>
  <c r="BQ367" i="53" s="1"/>
  <c r="BS367" i="53" s="1"/>
  <c r="BR368" i="53" s="1"/>
  <c r="BQ368" i="53" s="1"/>
  <c r="BS368" i="53" s="1"/>
  <c r="BR369" i="53" s="1"/>
  <c r="BQ369" i="53" s="1"/>
  <c r="BS369" i="53" s="1"/>
  <c r="BR370" i="53" s="1"/>
  <c r="BQ370" i="53" s="1"/>
  <c r="BS370" i="53" s="1"/>
  <c r="BR371" i="53" s="1"/>
  <c r="BQ371" i="53" s="1"/>
  <c r="BS371" i="53" s="1"/>
  <c r="BR372" i="53" s="1"/>
  <c r="BQ372" i="53" s="1"/>
  <c r="BS372" i="53" s="1"/>
  <c r="BR373" i="53" s="1"/>
  <c r="BQ373" i="53" s="1"/>
  <c r="BS373" i="53" s="1"/>
  <c r="BR374" i="53" s="1"/>
  <c r="BQ374" i="53" s="1"/>
  <c r="BS374" i="53" s="1"/>
  <c r="BR375" i="53" s="1"/>
  <c r="BQ375" i="53" s="1"/>
  <c r="BS375" i="53" s="1"/>
  <c r="BR376" i="53" s="1"/>
  <c r="BQ376" i="53" s="1"/>
  <c r="BS376" i="53" s="1"/>
  <c r="BR377" i="53" s="1"/>
  <c r="BQ377" i="53" s="1"/>
  <c r="BS377" i="53" s="1"/>
  <c r="BR378" i="53" s="1"/>
  <c r="BQ378" i="53" s="1"/>
  <c r="BS378" i="53" s="1"/>
  <c r="BR379" i="53" s="1"/>
  <c r="BQ379" i="53" s="1"/>
  <c r="BS379" i="53" s="1"/>
  <c r="BR380" i="53" s="1"/>
  <c r="BQ380" i="53" s="1"/>
  <c r="BS380" i="53" s="1"/>
  <c r="BR381" i="53" s="1"/>
  <c r="BQ381" i="53" s="1"/>
  <c r="BS381" i="53" s="1"/>
  <c r="BR382" i="53" s="1"/>
  <c r="BQ382" i="53" s="1"/>
  <c r="BS382" i="53" s="1"/>
  <c r="BR383" i="53" s="1"/>
  <c r="BQ383" i="53" s="1"/>
  <c r="BS383" i="53" s="1"/>
  <c r="BR384" i="53" s="1"/>
  <c r="BQ384" i="53" s="1"/>
  <c r="BS384" i="53" s="1"/>
  <c r="BR385" i="53" s="1"/>
  <c r="BQ385" i="53" s="1"/>
  <c r="BS385" i="53" s="1"/>
  <c r="BR386" i="53" s="1"/>
  <c r="BQ386" i="53" s="1"/>
  <c r="BS386" i="53" s="1"/>
  <c r="BR387" i="53" s="1"/>
  <c r="BQ387" i="53" s="1"/>
  <c r="BS387" i="53" s="1"/>
  <c r="BR388" i="53" s="1"/>
  <c r="BQ388" i="53" s="1"/>
  <c r="BS388" i="53" s="1"/>
  <c r="BR389" i="53" s="1"/>
  <c r="BQ389" i="53" s="1"/>
  <c r="BS389" i="53" s="1"/>
  <c r="BR390" i="53" s="1"/>
  <c r="BQ390" i="53" s="1"/>
  <c r="BS390" i="53" s="1"/>
  <c r="BR391" i="53" s="1"/>
  <c r="BQ391" i="53" s="1"/>
  <c r="BS391" i="53" s="1"/>
  <c r="BR392" i="53" s="1"/>
  <c r="BQ392" i="53" s="1"/>
  <c r="BS392" i="53" s="1"/>
  <c r="BR393" i="53" s="1"/>
  <c r="BQ393" i="53" s="1"/>
  <c r="BS393" i="53" s="1"/>
  <c r="BR394" i="53" s="1"/>
  <c r="BQ394" i="53" s="1"/>
  <c r="BS394" i="53" s="1"/>
  <c r="BR395" i="53" s="1"/>
  <c r="BQ395" i="53" s="1"/>
  <c r="BS395" i="53" s="1"/>
  <c r="BR396" i="53" s="1"/>
  <c r="BQ396" i="53" s="1"/>
  <c r="BS396" i="53" s="1"/>
  <c r="BR397" i="53" s="1"/>
  <c r="BQ397" i="53" s="1"/>
  <c r="BS397" i="53" s="1"/>
  <c r="BR398" i="53" s="1"/>
  <c r="BQ398" i="53" s="1"/>
  <c r="BS398" i="53" s="1"/>
  <c r="BR399" i="53" s="1"/>
  <c r="BQ399" i="53" s="1"/>
  <c r="BS399" i="53" s="1"/>
  <c r="BR400" i="53" s="1"/>
  <c r="BQ400" i="53" s="1"/>
  <c r="BS400" i="53" s="1"/>
  <c r="BR401" i="53" s="1"/>
  <c r="BQ401" i="53" s="1"/>
  <c r="BS401" i="53" s="1"/>
  <c r="BR402" i="53" s="1"/>
  <c r="BQ402" i="53" s="1"/>
  <c r="BS402" i="53" s="1"/>
  <c r="BR403" i="53" s="1"/>
  <c r="BQ403" i="53" s="1"/>
  <c r="BS403" i="53" s="1"/>
  <c r="BR404" i="53" s="1"/>
  <c r="BQ404" i="53" s="1"/>
  <c r="BS404" i="53" s="1"/>
  <c r="BR405" i="53" s="1"/>
  <c r="BQ405" i="53" s="1"/>
  <c r="BS405" i="53" s="1"/>
  <c r="BR406" i="53" s="1"/>
  <c r="BQ406" i="53" s="1"/>
  <c r="BS406" i="53" s="1"/>
  <c r="BR407" i="53" s="1"/>
  <c r="BQ407" i="53" s="1"/>
  <c r="BS407" i="53" s="1"/>
  <c r="BR408" i="53" s="1"/>
  <c r="BQ408" i="53" s="1"/>
  <c r="BS408" i="53" s="1"/>
  <c r="BR409" i="53" s="1"/>
  <c r="BQ409" i="53" s="1"/>
  <c r="BS409" i="53" s="1"/>
  <c r="BR410" i="53" s="1"/>
  <c r="BQ410" i="53" s="1"/>
  <c r="BS410" i="53" s="1"/>
  <c r="BR411" i="53" s="1"/>
  <c r="BQ411" i="53" s="1"/>
  <c r="BS411" i="53" s="1"/>
  <c r="BR412" i="53" s="1"/>
  <c r="BQ412" i="53" s="1"/>
  <c r="BS412" i="53" s="1"/>
  <c r="BR413" i="53" s="1"/>
  <c r="BQ413" i="53" s="1"/>
  <c r="BS413" i="53" s="1"/>
  <c r="BR414" i="53" s="1"/>
  <c r="BQ414" i="53" s="1"/>
  <c r="BS414" i="53" s="1"/>
  <c r="BR415" i="53" s="1"/>
  <c r="BQ415" i="53" s="1"/>
  <c r="BS415" i="53" s="1"/>
  <c r="BR416" i="53" s="1"/>
  <c r="BQ416" i="53" s="1"/>
  <c r="BS416" i="53" s="1"/>
  <c r="BR417" i="53" s="1"/>
  <c r="BQ417" i="53" s="1"/>
  <c r="BS417" i="53" s="1"/>
  <c r="BR418" i="53" s="1"/>
  <c r="BQ418" i="53" s="1"/>
  <c r="BS418" i="53" s="1"/>
  <c r="BR419" i="53" s="1"/>
  <c r="BQ419" i="53" s="1"/>
  <c r="BS419" i="53" s="1"/>
  <c r="BR420" i="53" s="1"/>
  <c r="BQ420" i="53" s="1"/>
  <c r="BS420" i="53" s="1"/>
  <c r="BR421" i="53" s="1"/>
  <c r="BQ421" i="53" s="1"/>
  <c r="BS421" i="53" s="1"/>
  <c r="BR422" i="53" s="1"/>
  <c r="BQ422" i="53" s="1"/>
  <c r="BS422" i="53" s="1"/>
  <c r="BR423" i="53" s="1"/>
  <c r="BQ423" i="53" s="1"/>
  <c r="BS423" i="53" s="1"/>
  <c r="BR424" i="53" s="1"/>
  <c r="BQ424" i="53" s="1"/>
  <c r="BS424" i="53" s="1"/>
  <c r="BR425" i="53" s="1"/>
  <c r="BQ425" i="53" s="1"/>
  <c r="BS425" i="53" s="1"/>
  <c r="BR426" i="53" s="1"/>
  <c r="BQ426" i="53" s="1"/>
  <c r="BS426" i="53" s="1"/>
  <c r="BR427" i="53" s="1"/>
  <c r="BQ427" i="53" s="1"/>
  <c r="BS427" i="53" s="1"/>
  <c r="BR428" i="53" s="1"/>
  <c r="BQ428" i="53" s="1"/>
  <c r="BS428" i="53" s="1"/>
  <c r="BR429" i="53" s="1"/>
  <c r="BQ429" i="53" s="1"/>
  <c r="BS429" i="53" s="1"/>
  <c r="BR430" i="53" s="1"/>
  <c r="BQ430" i="53" s="1"/>
  <c r="BS430" i="53" s="1"/>
  <c r="BR431" i="53" s="1"/>
  <c r="BQ431" i="53" s="1"/>
  <c r="BS431" i="53" s="1"/>
  <c r="BR432" i="53" s="1"/>
  <c r="BQ432" i="53" s="1"/>
  <c r="BS432" i="53" s="1"/>
  <c r="BR433" i="53" s="1"/>
  <c r="BQ433" i="53" s="1"/>
  <c r="BS433" i="53" s="1"/>
  <c r="BR434" i="53" s="1"/>
  <c r="BQ434" i="53" s="1"/>
  <c r="BS434" i="53" s="1"/>
  <c r="BR435" i="53" s="1"/>
  <c r="BQ435" i="53" s="1"/>
  <c r="BS435" i="53" s="1"/>
  <c r="BR436" i="53" s="1"/>
  <c r="BQ436" i="53" s="1"/>
  <c r="BS436" i="53" s="1"/>
  <c r="BR437" i="53" s="1"/>
  <c r="BQ437" i="53" s="1"/>
  <c r="BS437" i="53" s="1"/>
  <c r="BR438" i="53" s="1"/>
  <c r="BQ438" i="53" s="1"/>
  <c r="BS438" i="53" s="1"/>
  <c r="BR439" i="53" s="1"/>
  <c r="BQ439" i="53" s="1"/>
  <c r="BS439" i="53" s="1"/>
  <c r="BR440" i="53" s="1"/>
  <c r="BQ440" i="53" s="1"/>
  <c r="BS440" i="53" s="1"/>
  <c r="BR441" i="53" s="1"/>
  <c r="BQ441" i="53" s="1"/>
  <c r="BS441" i="53" s="1"/>
  <c r="BR442" i="53" s="1"/>
  <c r="BQ442" i="53" s="1"/>
  <c r="BS442" i="53" s="1"/>
  <c r="BR443" i="53" s="1"/>
  <c r="BQ443" i="53" s="1"/>
  <c r="BS443" i="53" s="1"/>
  <c r="BR444" i="53" s="1"/>
  <c r="BQ444" i="53" s="1"/>
  <c r="BS444" i="53" s="1"/>
  <c r="BR445" i="53" s="1"/>
  <c r="BQ445" i="53" s="1"/>
  <c r="BS445" i="53" s="1"/>
  <c r="BR446" i="53" s="1"/>
  <c r="BQ446" i="53" s="1"/>
  <c r="BS446" i="53" s="1"/>
  <c r="BR447" i="53" s="1"/>
  <c r="BQ447" i="53" s="1"/>
  <c r="BS447" i="53" s="1"/>
  <c r="BR448" i="53" s="1"/>
  <c r="BQ448" i="53" s="1"/>
  <c r="BS448" i="53" s="1"/>
  <c r="BR449" i="53" s="1"/>
  <c r="BQ449" i="53" s="1"/>
  <c r="BS449" i="53" s="1"/>
  <c r="BR450" i="53" s="1"/>
  <c r="BQ450" i="53" s="1"/>
  <c r="BS450" i="53" s="1"/>
  <c r="BR451" i="53" s="1"/>
  <c r="BQ451" i="53" s="1"/>
  <c r="BS451" i="53" s="1"/>
  <c r="BR452" i="53" s="1"/>
  <c r="BQ452" i="53" s="1"/>
  <c r="BS452" i="53" s="1"/>
  <c r="BR453" i="53" s="1"/>
  <c r="BQ453" i="53" s="1"/>
  <c r="BS453" i="53" s="1"/>
  <c r="CR248" i="53"/>
  <c r="CR239" i="53"/>
  <c r="CR230" i="53"/>
  <c r="CR250" i="53"/>
  <c r="N12" i="47"/>
  <c r="BM190" i="53"/>
  <c r="BO190" i="53" s="1"/>
  <c r="BN191" i="53" s="1"/>
  <c r="BM191" i="53" s="1"/>
  <c r="BO191" i="53" s="1"/>
  <c r="BN192" i="53" s="1"/>
  <c r="BM192" i="53" s="1"/>
  <c r="BO192" i="53" s="1"/>
  <c r="BN193" i="53" s="1"/>
  <c r="BM193" i="53" s="1"/>
  <c r="BO193" i="53" s="1"/>
  <c r="BN194" i="53" s="1"/>
  <c r="BM194" i="53" s="1"/>
  <c r="BO194" i="53" s="1"/>
  <c r="BN195" i="53" s="1"/>
  <c r="BM195" i="53" s="1"/>
  <c r="BO195" i="53" s="1"/>
  <c r="BN196" i="53" s="1"/>
  <c r="BM196" i="53" s="1"/>
  <c r="BO196" i="53" s="1"/>
  <c r="BN197" i="53" s="1"/>
  <c r="BM197" i="53" s="1"/>
  <c r="BO197" i="53" s="1"/>
  <c r="BN198" i="53" s="1"/>
  <c r="BM198" i="53" s="1"/>
  <c r="BO198" i="53" s="1"/>
  <c r="BN199" i="53" s="1"/>
  <c r="BM199" i="53" s="1"/>
  <c r="BO199" i="53" s="1"/>
  <c r="BN200" i="53" s="1"/>
  <c r="BM200" i="53" s="1"/>
  <c r="BO200" i="53" s="1"/>
  <c r="BN201" i="53" s="1"/>
  <c r="BM201" i="53" s="1"/>
  <c r="BO201" i="53" s="1"/>
  <c r="BN202" i="53" s="1"/>
  <c r="BM202" i="53" s="1"/>
  <c r="BO202" i="53" s="1"/>
  <c r="BN203" i="53" s="1"/>
  <c r="BM203" i="53" s="1"/>
  <c r="BO203" i="53" s="1"/>
  <c r="BN204" i="53" s="1"/>
  <c r="BM204" i="53" s="1"/>
  <c r="BO204" i="53" s="1"/>
  <c r="BN205" i="53" s="1"/>
  <c r="BM205" i="53" s="1"/>
  <c r="BO205" i="53" s="1"/>
  <c r="BN206" i="53" s="1"/>
  <c r="BM206" i="53" s="1"/>
  <c r="BO206" i="53" s="1"/>
  <c r="BN207" i="53" s="1"/>
  <c r="BM207" i="53" s="1"/>
  <c r="BO207" i="53" s="1"/>
  <c r="BN208" i="53" s="1"/>
  <c r="BM208" i="53" s="1"/>
  <c r="BO208" i="53" s="1"/>
  <c r="BN209" i="53" s="1"/>
  <c r="BM209" i="53" s="1"/>
  <c r="BO209" i="53" s="1"/>
  <c r="BN210" i="53" s="1"/>
  <c r="BM210" i="53" s="1"/>
  <c r="BO210" i="53" s="1"/>
  <c r="BN211" i="53" s="1"/>
  <c r="BM211" i="53" s="1"/>
  <c r="BO211" i="53" s="1"/>
  <c r="BN212" i="53" s="1"/>
  <c r="BM212" i="53" s="1"/>
  <c r="BO212" i="53" s="1"/>
  <c r="BN213" i="53" s="1"/>
  <c r="BM213" i="53" s="1"/>
  <c r="BO213" i="53" s="1"/>
  <c r="BN214" i="53" s="1"/>
  <c r="BM214" i="53" s="1"/>
  <c r="BO214" i="53" s="1"/>
  <c r="BN215" i="53" s="1"/>
  <c r="BM215" i="53" s="1"/>
  <c r="BO215" i="53" s="1"/>
  <c r="BN216" i="53" s="1"/>
  <c r="BM216" i="53" s="1"/>
  <c r="BO216" i="53" s="1"/>
  <c r="BN217" i="53" s="1"/>
  <c r="BM217" i="53" s="1"/>
  <c r="BO217" i="53" s="1"/>
  <c r="BN218" i="53" s="1"/>
  <c r="BM218" i="53" s="1"/>
  <c r="BO218" i="53" s="1"/>
  <c r="BN219" i="53" s="1"/>
  <c r="BM219" i="53" s="1"/>
  <c r="BO219" i="53" s="1"/>
  <c r="BN220" i="53" s="1"/>
  <c r="BM220" i="53" s="1"/>
  <c r="BO220" i="53" s="1"/>
  <c r="BN221" i="53" s="1"/>
  <c r="BM221" i="53" s="1"/>
  <c r="BO221" i="53" s="1"/>
  <c r="BN222" i="53" s="1"/>
  <c r="BM222" i="53" s="1"/>
  <c r="BO222" i="53" s="1"/>
  <c r="BN223" i="53" s="1"/>
  <c r="BM223" i="53" s="1"/>
  <c r="BO223" i="53" s="1"/>
  <c r="BN224" i="53" s="1"/>
  <c r="BM224" i="53" s="1"/>
  <c r="BO224" i="53" s="1"/>
  <c r="BN225" i="53" s="1"/>
  <c r="BM225" i="53" s="1"/>
  <c r="BO225" i="53" s="1"/>
  <c r="BN226" i="53" s="1"/>
  <c r="BM226" i="53" s="1"/>
  <c r="BO226" i="53" s="1"/>
  <c r="BN227" i="53" s="1"/>
  <c r="BM227" i="53" s="1"/>
  <c r="BO227" i="53" s="1"/>
  <c r="BN228" i="53" s="1"/>
  <c r="BM228" i="53" s="1"/>
  <c r="BO228" i="53" s="1"/>
  <c r="BN229" i="53" s="1"/>
  <c r="BM229" i="53" s="1"/>
  <c r="BO229" i="53" s="1"/>
  <c r="BN230" i="53" s="1"/>
  <c r="BM230" i="53" s="1"/>
  <c r="BO230" i="53" s="1"/>
  <c r="BN231" i="53" s="1"/>
  <c r="BM231" i="53" s="1"/>
  <c r="BO231" i="53" s="1"/>
  <c r="BN232" i="53" s="1"/>
  <c r="BM232" i="53" s="1"/>
  <c r="BO232" i="53" s="1"/>
  <c r="BN233" i="53" s="1"/>
  <c r="BM233" i="53" s="1"/>
  <c r="BO233" i="53" s="1"/>
  <c r="BN234" i="53" s="1"/>
  <c r="BM234" i="53" s="1"/>
  <c r="BO234" i="53" s="1"/>
  <c r="BN235" i="53" s="1"/>
  <c r="BM235" i="53" s="1"/>
  <c r="BO235" i="53" s="1"/>
  <c r="BN236" i="53" s="1"/>
  <c r="BM236" i="53" s="1"/>
  <c r="BO236" i="53" s="1"/>
  <c r="BN237" i="53" s="1"/>
  <c r="BM237" i="53" s="1"/>
  <c r="BO237" i="53" s="1"/>
  <c r="BN238" i="53" s="1"/>
  <c r="BM238" i="53" s="1"/>
  <c r="BO238" i="53" s="1"/>
  <c r="BN239" i="53" s="1"/>
  <c r="BM239" i="53" s="1"/>
  <c r="BO239" i="53" s="1"/>
  <c r="BN240" i="53" s="1"/>
  <c r="BM240" i="53" s="1"/>
  <c r="BO240" i="53" s="1"/>
  <c r="BN241" i="53" s="1"/>
  <c r="BM241" i="53" s="1"/>
  <c r="BO241" i="53" s="1"/>
  <c r="BN242" i="53" s="1"/>
  <c r="BM242" i="53" s="1"/>
  <c r="BO242" i="53" s="1"/>
  <c r="BN243" i="53" s="1"/>
  <c r="BM243" i="53" s="1"/>
  <c r="BO243" i="53" s="1"/>
  <c r="BN244" i="53" s="1"/>
  <c r="BM244" i="53" s="1"/>
  <c r="BO244" i="53" s="1"/>
  <c r="BN245" i="53" s="1"/>
  <c r="BM245" i="53" s="1"/>
  <c r="BO245" i="53" s="1"/>
  <c r="BN246" i="53" s="1"/>
  <c r="BM246" i="53" s="1"/>
  <c r="BO246" i="53" s="1"/>
  <c r="BN247" i="53" s="1"/>
  <c r="BM247" i="53" s="1"/>
  <c r="BO247" i="53" s="1"/>
  <c r="BN248" i="53" s="1"/>
  <c r="BM248" i="53" s="1"/>
  <c r="BO248" i="53" s="1"/>
  <c r="BN249" i="53" s="1"/>
  <c r="BM249" i="53" s="1"/>
  <c r="BO249" i="53" s="1"/>
  <c r="BN250" i="53" s="1"/>
  <c r="BM250" i="53" s="1"/>
  <c r="BO250" i="53" s="1"/>
  <c r="BN251" i="53" s="1"/>
  <c r="BM251" i="53" s="1"/>
  <c r="BO251" i="53" s="1"/>
  <c r="BN252" i="53" s="1"/>
  <c r="BM252" i="53" s="1"/>
  <c r="BO252" i="53" s="1"/>
  <c r="BN253" i="53" s="1"/>
  <c r="BM253" i="53" s="1"/>
  <c r="BO253" i="53" s="1"/>
  <c r="BN254" i="53" s="1"/>
  <c r="BM254" i="53" s="1"/>
  <c r="BO254" i="53" s="1"/>
  <c r="BN255" i="53" s="1"/>
  <c r="BM255" i="53" s="1"/>
  <c r="BO255" i="53" s="1"/>
  <c r="BN256" i="53" s="1"/>
  <c r="BM256" i="53" s="1"/>
  <c r="BO256" i="53" s="1"/>
  <c r="BN257" i="53" s="1"/>
  <c r="BM257" i="53" s="1"/>
  <c r="BO257" i="53" s="1"/>
  <c r="BN258" i="53" s="1"/>
  <c r="BM258" i="53" s="1"/>
  <c r="BO258" i="53" s="1"/>
  <c r="BN259" i="53" s="1"/>
  <c r="BM259" i="53" s="1"/>
  <c r="BO259" i="53" s="1"/>
  <c r="BN260" i="53" s="1"/>
  <c r="BM260" i="53" s="1"/>
  <c r="BO260" i="53" s="1"/>
  <c r="BN261" i="53" s="1"/>
  <c r="BM261" i="53" s="1"/>
  <c r="BO261" i="53" s="1"/>
  <c r="BN262" i="53" s="1"/>
  <c r="BM262" i="53" s="1"/>
  <c r="BO262" i="53" s="1"/>
  <c r="BN263" i="53" s="1"/>
  <c r="BM263" i="53" s="1"/>
  <c r="BO263" i="53" s="1"/>
  <c r="BN264" i="53" s="1"/>
  <c r="BM264" i="53" s="1"/>
  <c r="BO264" i="53" s="1"/>
  <c r="BN265" i="53" s="1"/>
  <c r="BM265" i="53" s="1"/>
  <c r="BO265" i="53" s="1"/>
  <c r="BN266" i="53" s="1"/>
  <c r="BM266" i="53" s="1"/>
  <c r="BO266" i="53" s="1"/>
  <c r="BN267" i="53" s="1"/>
  <c r="BM267" i="53" s="1"/>
  <c r="BO267" i="53" s="1"/>
  <c r="BN268" i="53" s="1"/>
  <c r="BM268" i="53" s="1"/>
  <c r="BO268" i="53" s="1"/>
  <c r="BN269" i="53" s="1"/>
  <c r="BM269" i="53" s="1"/>
  <c r="BO269" i="53" s="1"/>
  <c r="BN270" i="53" s="1"/>
  <c r="BM270" i="53" s="1"/>
  <c r="BO270" i="53" s="1"/>
  <c r="BN271" i="53" s="1"/>
  <c r="BM271" i="53" s="1"/>
  <c r="BO271" i="53" s="1"/>
  <c r="BN272" i="53" s="1"/>
  <c r="BM272" i="53" s="1"/>
  <c r="BO272" i="53" s="1"/>
  <c r="BN273" i="53" s="1"/>
  <c r="BM273" i="53" s="1"/>
  <c r="BO273" i="53" s="1"/>
  <c r="BN274" i="53" s="1"/>
  <c r="BM274" i="53" s="1"/>
  <c r="BO274" i="53" s="1"/>
  <c r="BN275" i="53" s="1"/>
  <c r="BM275" i="53" s="1"/>
  <c r="BO275" i="53" s="1"/>
  <c r="BN276" i="53" s="1"/>
  <c r="BM276" i="53" s="1"/>
  <c r="BO276" i="53" s="1"/>
  <c r="BN277" i="53" s="1"/>
  <c r="BM277" i="53" s="1"/>
  <c r="BO277" i="53" s="1"/>
  <c r="BN278" i="53" s="1"/>
  <c r="BM278" i="53" s="1"/>
  <c r="BO278" i="53" s="1"/>
  <c r="BN279" i="53" s="1"/>
  <c r="BM279" i="53" s="1"/>
  <c r="BO279" i="53" s="1"/>
  <c r="BN280" i="53" s="1"/>
  <c r="BM280" i="53" s="1"/>
  <c r="BO280" i="53" s="1"/>
  <c r="BN281" i="53" s="1"/>
  <c r="BM281" i="53" s="1"/>
  <c r="BO281" i="53" s="1"/>
  <c r="BN282" i="53" s="1"/>
  <c r="BM282" i="53" s="1"/>
  <c r="BO282" i="53" s="1"/>
  <c r="BN283" i="53" s="1"/>
  <c r="BM283" i="53" s="1"/>
  <c r="BO283" i="53" s="1"/>
  <c r="BN284" i="53" s="1"/>
  <c r="BM284" i="53" s="1"/>
  <c r="BO284" i="53" s="1"/>
  <c r="BN285" i="53" s="1"/>
  <c r="BM285" i="53" s="1"/>
  <c r="BO285" i="53" s="1"/>
  <c r="BN286" i="53" s="1"/>
  <c r="BM286" i="53" s="1"/>
  <c r="BO286" i="53" s="1"/>
  <c r="BN287" i="53" s="1"/>
  <c r="BM287" i="53" s="1"/>
  <c r="BO287" i="53" s="1"/>
  <c r="BN288" i="53" s="1"/>
  <c r="BM288" i="53" s="1"/>
  <c r="BO288" i="53" s="1"/>
  <c r="BN289" i="53" s="1"/>
  <c r="BM289" i="53" s="1"/>
  <c r="BO289" i="53" s="1"/>
  <c r="BN290" i="53" s="1"/>
  <c r="BM290" i="53" s="1"/>
  <c r="BO290" i="53" s="1"/>
  <c r="BN291" i="53" s="1"/>
  <c r="BM291" i="53" s="1"/>
  <c r="BO291" i="53" s="1"/>
  <c r="BN292" i="53" s="1"/>
  <c r="BM292" i="53" s="1"/>
  <c r="BO292" i="53" s="1"/>
  <c r="BN293" i="53" s="1"/>
  <c r="BM293" i="53" s="1"/>
  <c r="BO293" i="53" s="1"/>
  <c r="BN294" i="53" s="1"/>
  <c r="BM294" i="53" s="1"/>
  <c r="BO294" i="53" s="1"/>
  <c r="BN295" i="53" s="1"/>
  <c r="BM295" i="53" s="1"/>
  <c r="BO295" i="53" s="1"/>
  <c r="BN296" i="53" s="1"/>
  <c r="BM296" i="53" s="1"/>
  <c r="BO296" i="53" s="1"/>
  <c r="BN297" i="53" s="1"/>
  <c r="BM297" i="53" s="1"/>
  <c r="BO297" i="53" s="1"/>
  <c r="BN298" i="53" s="1"/>
  <c r="BM298" i="53" s="1"/>
  <c r="BO298" i="53" s="1"/>
  <c r="BN299" i="53" s="1"/>
  <c r="BM299" i="53" s="1"/>
  <c r="BO299" i="53" s="1"/>
  <c r="BN300" i="53" s="1"/>
  <c r="BM300" i="53" s="1"/>
  <c r="BO300" i="53" s="1"/>
  <c r="BN301" i="53" s="1"/>
  <c r="BM301" i="53" s="1"/>
  <c r="BO301" i="53" s="1"/>
  <c r="BN302" i="53" s="1"/>
  <c r="BM302" i="53" s="1"/>
  <c r="BO302" i="53" s="1"/>
  <c r="BN303" i="53" s="1"/>
  <c r="BM303" i="53" s="1"/>
  <c r="BO303" i="53" s="1"/>
  <c r="BN304" i="53" s="1"/>
  <c r="BM304" i="53" s="1"/>
  <c r="BO304" i="53" s="1"/>
  <c r="BN305" i="53" s="1"/>
  <c r="BM305" i="53" s="1"/>
  <c r="BO305" i="53" s="1"/>
  <c r="BN306" i="53" s="1"/>
  <c r="BM306" i="53" s="1"/>
  <c r="BO306" i="53" s="1"/>
  <c r="BN307" i="53" s="1"/>
  <c r="BM307" i="53" s="1"/>
  <c r="BO307" i="53" s="1"/>
  <c r="BN308" i="53" s="1"/>
  <c r="BM308" i="53" s="1"/>
  <c r="BO308" i="53" s="1"/>
  <c r="BN309" i="53" s="1"/>
  <c r="BM309" i="53" s="1"/>
  <c r="BO309" i="53" s="1"/>
  <c r="BN310" i="53" s="1"/>
  <c r="BM310" i="53" s="1"/>
  <c r="BO310" i="53" s="1"/>
  <c r="BN311" i="53" s="1"/>
  <c r="BM311" i="53" s="1"/>
  <c r="BO311" i="53" s="1"/>
  <c r="BN312" i="53" s="1"/>
  <c r="BM312" i="53" s="1"/>
  <c r="BO312" i="53" s="1"/>
  <c r="BN313" i="53" s="1"/>
  <c r="BM313" i="53" s="1"/>
  <c r="BO313" i="53" s="1"/>
  <c r="BN314" i="53" s="1"/>
  <c r="BM314" i="53" s="1"/>
  <c r="BO314" i="53" s="1"/>
  <c r="BN315" i="53" s="1"/>
  <c r="BM315" i="53" s="1"/>
  <c r="BO315" i="53" s="1"/>
  <c r="BN316" i="53" s="1"/>
  <c r="BM316" i="53" s="1"/>
  <c r="BO316" i="53" s="1"/>
  <c r="BN317" i="53" s="1"/>
  <c r="BM317" i="53" s="1"/>
  <c r="BO317" i="53" s="1"/>
  <c r="BN318" i="53" s="1"/>
  <c r="BM318" i="53" s="1"/>
  <c r="BO318" i="53" s="1"/>
  <c r="BN319" i="53" s="1"/>
  <c r="BM319" i="53" s="1"/>
  <c r="BO319" i="53" s="1"/>
  <c r="BN320" i="53" s="1"/>
  <c r="BM320" i="53" s="1"/>
  <c r="BO320" i="53" s="1"/>
  <c r="BN321" i="53" s="1"/>
  <c r="BM321" i="53" s="1"/>
  <c r="BO321" i="53" s="1"/>
  <c r="BN322" i="53" s="1"/>
  <c r="BM322" i="53" s="1"/>
  <c r="BO322" i="53" s="1"/>
  <c r="BN323" i="53" s="1"/>
  <c r="BM323" i="53" s="1"/>
  <c r="BO323" i="53" s="1"/>
  <c r="BN324" i="53" s="1"/>
  <c r="BM324" i="53" s="1"/>
  <c r="BO324" i="53" s="1"/>
  <c r="BN325" i="53" s="1"/>
  <c r="BM325" i="53" s="1"/>
  <c r="BO325" i="53" s="1"/>
  <c r="BN326" i="53" s="1"/>
  <c r="BM326" i="53" s="1"/>
  <c r="BO326" i="53" s="1"/>
  <c r="BN327" i="53" s="1"/>
  <c r="BM327" i="53" s="1"/>
  <c r="BO327" i="53" s="1"/>
  <c r="BN328" i="53" s="1"/>
  <c r="BM328" i="53" s="1"/>
  <c r="BO328" i="53" s="1"/>
  <c r="BN329" i="53" s="1"/>
  <c r="BM329" i="53" s="1"/>
  <c r="BO329" i="53" s="1"/>
  <c r="BN330" i="53" s="1"/>
  <c r="BM330" i="53" s="1"/>
  <c r="BO330" i="53" s="1"/>
  <c r="BN331" i="53" s="1"/>
  <c r="BM331" i="53" s="1"/>
  <c r="BO331" i="53" s="1"/>
  <c r="BN332" i="53" s="1"/>
  <c r="BM332" i="53" s="1"/>
  <c r="BO332" i="53" s="1"/>
  <c r="BN333" i="53" s="1"/>
  <c r="BM333" i="53" s="1"/>
  <c r="BO333" i="53" s="1"/>
  <c r="BN334" i="53" s="1"/>
  <c r="BM334" i="53" s="1"/>
  <c r="BO334" i="53" s="1"/>
  <c r="BN335" i="53" s="1"/>
  <c r="BM335" i="53" s="1"/>
  <c r="BO335" i="53" s="1"/>
  <c r="BN336" i="53" s="1"/>
  <c r="BM336" i="53" s="1"/>
  <c r="BO336" i="53" s="1"/>
  <c r="BN337" i="53" s="1"/>
  <c r="BM337" i="53" s="1"/>
  <c r="BO337" i="53" s="1"/>
  <c r="BN338" i="53" s="1"/>
  <c r="BM338" i="53" s="1"/>
  <c r="BO338" i="53" s="1"/>
  <c r="BN339" i="53" s="1"/>
  <c r="BM339" i="53" s="1"/>
  <c r="BO339" i="53" s="1"/>
  <c r="BN340" i="53" s="1"/>
  <c r="BM340" i="53" s="1"/>
  <c r="BO340" i="53" s="1"/>
  <c r="BN341" i="53" s="1"/>
  <c r="BM341" i="53" s="1"/>
  <c r="BO341" i="53" s="1"/>
  <c r="BN342" i="53" s="1"/>
  <c r="BM342" i="53" s="1"/>
  <c r="BO342" i="53" s="1"/>
  <c r="BN343" i="53" s="1"/>
  <c r="BM343" i="53" s="1"/>
  <c r="BO343" i="53" s="1"/>
  <c r="BN344" i="53" s="1"/>
  <c r="BM344" i="53" s="1"/>
  <c r="BO344" i="53" s="1"/>
  <c r="BN345" i="53" s="1"/>
  <c r="BM345" i="53" s="1"/>
  <c r="BO345" i="53" s="1"/>
  <c r="BN346" i="53" s="1"/>
  <c r="BM346" i="53" s="1"/>
  <c r="BO346" i="53" s="1"/>
  <c r="BN347" i="53" s="1"/>
  <c r="BM347" i="53" s="1"/>
  <c r="BO347" i="53" s="1"/>
  <c r="BN348" i="53" s="1"/>
  <c r="BM348" i="53" s="1"/>
  <c r="BO348" i="53" s="1"/>
  <c r="BN349" i="53" s="1"/>
  <c r="BM349" i="53" s="1"/>
  <c r="BO349" i="53" s="1"/>
  <c r="BN350" i="53" s="1"/>
  <c r="BM350" i="53" s="1"/>
  <c r="BO350" i="53" s="1"/>
  <c r="BN351" i="53" s="1"/>
  <c r="BM351" i="53" s="1"/>
  <c r="BO351" i="53" s="1"/>
  <c r="BN352" i="53" s="1"/>
  <c r="BM352" i="53" s="1"/>
  <c r="BO352" i="53" s="1"/>
  <c r="BN353" i="53" s="1"/>
  <c r="BM353" i="53" s="1"/>
  <c r="BO353" i="53" s="1"/>
  <c r="BN354" i="53" s="1"/>
  <c r="BM354" i="53" s="1"/>
  <c r="BO354" i="53" s="1"/>
  <c r="BN355" i="53" s="1"/>
  <c r="BM355" i="53" s="1"/>
  <c r="BO355" i="53" s="1"/>
  <c r="BN356" i="53" s="1"/>
  <c r="BM356" i="53" s="1"/>
  <c r="BO356" i="53" s="1"/>
  <c r="BN357" i="53" s="1"/>
  <c r="BM357" i="53" s="1"/>
  <c r="BO357" i="53" s="1"/>
  <c r="BN358" i="53" s="1"/>
  <c r="BM358" i="53" s="1"/>
  <c r="BO358" i="53" s="1"/>
  <c r="BN359" i="53" s="1"/>
  <c r="BM359" i="53" s="1"/>
  <c r="BO359" i="53" s="1"/>
  <c r="BN360" i="53" s="1"/>
  <c r="BM360" i="53" s="1"/>
  <c r="BO360" i="53" s="1"/>
  <c r="BN361" i="53" s="1"/>
  <c r="BM361" i="53" s="1"/>
  <c r="BO361" i="53" s="1"/>
  <c r="BN362" i="53" s="1"/>
  <c r="BM362" i="53" s="1"/>
  <c r="BO362" i="53" s="1"/>
  <c r="BN363" i="53" s="1"/>
  <c r="BM363" i="53" s="1"/>
  <c r="BO363" i="53" s="1"/>
  <c r="BN364" i="53" s="1"/>
  <c r="BM364" i="53" s="1"/>
  <c r="BO364" i="53" s="1"/>
  <c r="BN365" i="53" s="1"/>
  <c r="BM365" i="53" s="1"/>
  <c r="BO365" i="53" s="1"/>
  <c r="BN366" i="53" s="1"/>
  <c r="BM366" i="53" s="1"/>
  <c r="BO366" i="53" s="1"/>
  <c r="BN367" i="53" s="1"/>
  <c r="BM367" i="53" s="1"/>
  <c r="BO367" i="53" s="1"/>
  <c r="BN368" i="53" s="1"/>
  <c r="BM368" i="53" s="1"/>
  <c r="BO368" i="53" s="1"/>
  <c r="BN369" i="53" s="1"/>
  <c r="BM369" i="53" s="1"/>
  <c r="BO369" i="53" s="1"/>
  <c r="BN370" i="53" s="1"/>
  <c r="BM370" i="53" s="1"/>
  <c r="BO370" i="53" s="1"/>
  <c r="BN371" i="53" s="1"/>
  <c r="BM371" i="53" s="1"/>
  <c r="BO371" i="53" s="1"/>
  <c r="BN372" i="53" s="1"/>
  <c r="BM372" i="53" s="1"/>
  <c r="BO372" i="53" s="1"/>
  <c r="BN373" i="53" s="1"/>
  <c r="BM373" i="53" s="1"/>
  <c r="BO373" i="53" s="1"/>
  <c r="BN374" i="53" s="1"/>
  <c r="BM374" i="53" s="1"/>
  <c r="BO374" i="53" s="1"/>
  <c r="BN375" i="53" s="1"/>
  <c r="BM375" i="53" s="1"/>
  <c r="BO375" i="53" s="1"/>
  <c r="BN376" i="53" s="1"/>
  <c r="BM376" i="53" s="1"/>
  <c r="BO376" i="53" s="1"/>
  <c r="BN377" i="53" s="1"/>
  <c r="BM377" i="53" s="1"/>
  <c r="BO377" i="53" s="1"/>
  <c r="BN378" i="53" s="1"/>
  <c r="BM378" i="53" s="1"/>
  <c r="BO378" i="53" s="1"/>
  <c r="BN379" i="53" s="1"/>
  <c r="BM379" i="53" s="1"/>
  <c r="BO379" i="53" s="1"/>
  <c r="BN380" i="53" s="1"/>
  <c r="BM380" i="53" s="1"/>
  <c r="BO380" i="53" s="1"/>
  <c r="BN381" i="53" s="1"/>
  <c r="BM381" i="53" s="1"/>
  <c r="BO381" i="53" s="1"/>
  <c r="BN382" i="53" s="1"/>
  <c r="BM382" i="53" s="1"/>
  <c r="BO382" i="53" s="1"/>
  <c r="BN383" i="53" s="1"/>
  <c r="BM383" i="53" s="1"/>
  <c r="BO383" i="53" s="1"/>
  <c r="BN384" i="53" s="1"/>
  <c r="BM384" i="53" s="1"/>
  <c r="BO384" i="53" s="1"/>
  <c r="BN385" i="53" s="1"/>
  <c r="BM385" i="53" s="1"/>
  <c r="BO385" i="53" s="1"/>
  <c r="BN386" i="53" s="1"/>
  <c r="BM386" i="53" s="1"/>
  <c r="BO386" i="53" s="1"/>
  <c r="BN387" i="53" s="1"/>
  <c r="BM387" i="53" s="1"/>
  <c r="BO387" i="53" s="1"/>
  <c r="BN388" i="53" s="1"/>
  <c r="BM388" i="53" s="1"/>
  <c r="BO388" i="53" s="1"/>
  <c r="BN389" i="53" s="1"/>
  <c r="BM389" i="53" s="1"/>
  <c r="BO389" i="53" s="1"/>
  <c r="BN390" i="53" s="1"/>
  <c r="BM390" i="53" s="1"/>
  <c r="BO390" i="53" s="1"/>
  <c r="BN391" i="53" s="1"/>
  <c r="BM391" i="53" s="1"/>
  <c r="BO391" i="53" s="1"/>
  <c r="BN392" i="53" s="1"/>
  <c r="BM392" i="53" s="1"/>
  <c r="BO392" i="53" s="1"/>
  <c r="BN393" i="53" s="1"/>
  <c r="BM393" i="53" s="1"/>
  <c r="BO393" i="53" s="1"/>
  <c r="BN394" i="53" s="1"/>
  <c r="BM394" i="53" s="1"/>
  <c r="BO394" i="53" s="1"/>
  <c r="BN395" i="53" s="1"/>
  <c r="BM395" i="53" s="1"/>
  <c r="BO395" i="53" s="1"/>
  <c r="BN396" i="53" s="1"/>
  <c r="BM396" i="53" s="1"/>
  <c r="BO396" i="53" s="1"/>
  <c r="BN397" i="53" s="1"/>
  <c r="BM397" i="53" s="1"/>
  <c r="BO397" i="53" s="1"/>
  <c r="BN398" i="53" s="1"/>
  <c r="BM398" i="53" s="1"/>
  <c r="BO398" i="53" s="1"/>
  <c r="BN399" i="53" s="1"/>
  <c r="BM399" i="53" s="1"/>
  <c r="BO399" i="53" s="1"/>
  <c r="BN400" i="53" s="1"/>
  <c r="BM400" i="53" s="1"/>
  <c r="BO400" i="53" s="1"/>
  <c r="BN401" i="53" s="1"/>
  <c r="BM401" i="53" s="1"/>
  <c r="BO401" i="53" s="1"/>
  <c r="BN402" i="53" s="1"/>
  <c r="BM402" i="53" s="1"/>
  <c r="BO402" i="53" s="1"/>
  <c r="BN403" i="53" s="1"/>
  <c r="BM403" i="53" s="1"/>
  <c r="BO403" i="53" s="1"/>
  <c r="BN404" i="53" s="1"/>
  <c r="BM404" i="53" s="1"/>
  <c r="BO404" i="53" s="1"/>
  <c r="BN405" i="53" s="1"/>
  <c r="BM405" i="53" s="1"/>
  <c r="BO405" i="53" s="1"/>
  <c r="BN406" i="53" s="1"/>
  <c r="BM406" i="53" s="1"/>
  <c r="BO406" i="53" s="1"/>
  <c r="BN407" i="53" s="1"/>
  <c r="BM407" i="53" s="1"/>
  <c r="BO407" i="53" s="1"/>
  <c r="BN408" i="53" s="1"/>
  <c r="BM408" i="53" s="1"/>
  <c r="BO408" i="53" s="1"/>
  <c r="BN409" i="53" s="1"/>
  <c r="BM409" i="53" s="1"/>
  <c r="BO409" i="53" s="1"/>
  <c r="BN410" i="53" s="1"/>
  <c r="BM410" i="53" s="1"/>
  <c r="BO410" i="53" s="1"/>
  <c r="BN411" i="53" s="1"/>
  <c r="BM411" i="53" s="1"/>
  <c r="BO411" i="53" s="1"/>
  <c r="BN412" i="53" s="1"/>
  <c r="BM412" i="53" s="1"/>
  <c r="BO412" i="53" s="1"/>
  <c r="BN413" i="53" s="1"/>
  <c r="BM413" i="53" s="1"/>
  <c r="BO413" i="53" s="1"/>
  <c r="BN414" i="53" s="1"/>
  <c r="BM414" i="53" s="1"/>
  <c r="BO414" i="53" s="1"/>
  <c r="BN415" i="53" s="1"/>
  <c r="BM415" i="53" s="1"/>
  <c r="BO415" i="53" s="1"/>
  <c r="BN416" i="53" s="1"/>
  <c r="BM416" i="53" s="1"/>
  <c r="BO416" i="53" s="1"/>
  <c r="BN417" i="53" s="1"/>
  <c r="BM417" i="53" s="1"/>
  <c r="BO417" i="53" s="1"/>
  <c r="BN418" i="53" s="1"/>
  <c r="BM418" i="53" s="1"/>
  <c r="BO418" i="53" s="1"/>
  <c r="BN419" i="53" s="1"/>
  <c r="BM419" i="53" s="1"/>
  <c r="BO419" i="53" s="1"/>
  <c r="BN420" i="53" s="1"/>
  <c r="BM420" i="53" s="1"/>
  <c r="BO420" i="53" s="1"/>
  <c r="BN421" i="53" s="1"/>
  <c r="BM421" i="53" s="1"/>
  <c r="BO421" i="53" s="1"/>
  <c r="BN422" i="53" s="1"/>
  <c r="BM422" i="53" s="1"/>
  <c r="BO422" i="53" s="1"/>
  <c r="BN423" i="53" s="1"/>
  <c r="BM423" i="53" s="1"/>
  <c r="BO423" i="53" s="1"/>
  <c r="BN424" i="53" s="1"/>
  <c r="BM424" i="53" s="1"/>
  <c r="BO424" i="53" s="1"/>
  <c r="BN425" i="53" s="1"/>
  <c r="BM425" i="53" s="1"/>
  <c r="BO425" i="53" s="1"/>
  <c r="BN426" i="53" s="1"/>
  <c r="BM426" i="53" s="1"/>
  <c r="BO426" i="53" s="1"/>
  <c r="BN427" i="53" s="1"/>
  <c r="BM427" i="53" s="1"/>
  <c r="BO427" i="53" s="1"/>
  <c r="BN428" i="53" s="1"/>
  <c r="BM428" i="53" s="1"/>
  <c r="BO428" i="53" s="1"/>
  <c r="BN429" i="53" s="1"/>
  <c r="BM429" i="53" s="1"/>
  <c r="BO429" i="53" s="1"/>
  <c r="BN430" i="53" s="1"/>
  <c r="BM430" i="53" s="1"/>
  <c r="BO430" i="53" s="1"/>
  <c r="BN431" i="53" s="1"/>
  <c r="BM431" i="53" s="1"/>
  <c r="BO431" i="53" s="1"/>
  <c r="BN432" i="53" s="1"/>
  <c r="BM432" i="53" s="1"/>
  <c r="BO432" i="53" s="1"/>
  <c r="BN433" i="53" s="1"/>
  <c r="BM433" i="53" s="1"/>
  <c r="BO433" i="53" s="1"/>
  <c r="BN434" i="53" s="1"/>
  <c r="BM434" i="53" s="1"/>
  <c r="BO434" i="53" s="1"/>
  <c r="BN435" i="53" s="1"/>
  <c r="BM435" i="53" s="1"/>
  <c r="BO435" i="53" s="1"/>
  <c r="BN436" i="53" s="1"/>
  <c r="BM436" i="53" s="1"/>
  <c r="BO436" i="53" s="1"/>
  <c r="BN437" i="53" s="1"/>
  <c r="BM437" i="53" s="1"/>
  <c r="BO437" i="53" s="1"/>
  <c r="BN438" i="53" s="1"/>
  <c r="BM438" i="53" s="1"/>
  <c r="BO438" i="53" s="1"/>
  <c r="BN439" i="53" s="1"/>
  <c r="BM439" i="53" s="1"/>
  <c r="BO439" i="53" s="1"/>
  <c r="BN440" i="53" s="1"/>
  <c r="BM440" i="53" s="1"/>
  <c r="BO440" i="53" s="1"/>
  <c r="BN441" i="53" s="1"/>
  <c r="BM441" i="53" s="1"/>
  <c r="BO441" i="53" s="1"/>
  <c r="BN442" i="53" s="1"/>
  <c r="BM442" i="53" s="1"/>
  <c r="BO442" i="53" s="1"/>
  <c r="BN443" i="53" s="1"/>
  <c r="BM443" i="53" s="1"/>
  <c r="BO443" i="53" s="1"/>
  <c r="BN444" i="53" s="1"/>
  <c r="BM444" i="53" s="1"/>
  <c r="BO444" i="53" s="1"/>
  <c r="BN445" i="53" s="1"/>
  <c r="BM445" i="53" s="1"/>
  <c r="BO445" i="53" s="1"/>
  <c r="BN446" i="53" s="1"/>
  <c r="BM446" i="53" s="1"/>
  <c r="BO446" i="53" s="1"/>
  <c r="BN447" i="53" s="1"/>
  <c r="BM447" i="53" s="1"/>
  <c r="BO447" i="53" s="1"/>
  <c r="BN448" i="53" s="1"/>
  <c r="BM448" i="53" s="1"/>
  <c r="BO448" i="53" s="1"/>
  <c r="BN449" i="53" s="1"/>
  <c r="BM449" i="53" s="1"/>
  <c r="BO449" i="53" s="1"/>
  <c r="BN450" i="53" s="1"/>
  <c r="BM450" i="53" s="1"/>
  <c r="BO450" i="53" s="1"/>
  <c r="BN451" i="53" s="1"/>
  <c r="BM451" i="53" s="1"/>
  <c r="BO451" i="53" s="1"/>
  <c r="BN452" i="53" s="1"/>
  <c r="BM452" i="53" s="1"/>
  <c r="BO452" i="53" s="1"/>
  <c r="BN453" i="53" s="1"/>
  <c r="BM453" i="53" s="1"/>
  <c r="BO453" i="53" s="1"/>
  <c r="CR190" i="53"/>
  <c r="CR228" i="53"/>
  <c r="CR222" i="53"/>
  <c r="CR213" i="53"/>
  <c r="CR204" i="53"/>
  <c r="CR259" i="53"/>
  <c r="CR195" i="53"/>
  <c r="CR242" i="53"/>
  <c r="J24" i="41"/>
  <c r="L33" i="32"/>
  <c r="K20" i="47"/>
  <c r="K21" i="47" s="1"/>
  <c r="K22" i="47" s="1"/>
  <c r="E186" i="53"/>
  <c r="CT186" i="53"/>
  <c r="O37" i="53" l="1"/>
  <c r="P35" i="53" s="1"/>
  <c r="M18" i="47"/>
  <c r="M19" i="47"/>
  <c r="N17" i="47"/>
  <c r="O12" i="47"/>
  <c r="K24" i="41"/>
  <c r="M33" i="32"/>
  <c r="L20" i="47"/>
  <c r="L21" i="47" s="1"/>
  <c r="L22" i="47" s="1"/>
  <c r="CS186" i="53"/>
  <c r="G186" i="53"/>
  <c r="P37" i="53" l="1"/>
  <c r="Q35" i="53" s="1"/>
  <c r="N19" i="47"/>
  <c r="O17" i="47"/>
  <c r="N18" i="47"/>
  <c r="L24" i="41"/>
  <c r="N33" i="32"/>
  <c r="M20" i="47"/>
  <c r="M21" i="47" s="1"/>
  <c r="M22" i="47" s="1"/>
  <c r="F187" i="53"/>
  <c r="CU186" i="53"/>
  <c r="Q36" i="53" l="1"/>
  <c r="O46" i="15" s="1"/>
  <c r="Q37" i="53"/>
  <c r="O18" i="47"/>
  <c r="O19" i="47"/>
  <c r="O33" i="32"/>
  <c r="M24" i="41"/>
  <c r="N20" i="47"/>
  <c r="N21" i="47" s="1"/>
  <c r="N22" i="47" s="1"/>
  <c r="CT187" i="53"/>
  <c r="E187" i="53"/>
  <c r="N24" i="41" l="1"/>
  <c r="P33" i="32"/>
  <c r="O20" i="47"/>
  <c r="O21" i="47" s="1"/>
  <c r="O22" i="47" s="1"/>
  <c r="R35" i="53"/>
  <c r="R37" i="53" s="1"/>
  <c r="CS187" i="53"/>
  <c r="G187" i="53"/>
  <c r="K44" i="15"/>
  <c r="K43" i="15" s="1"/>
  <c r="J44" i="15"/>
  <c r="J43" i="15" s="1"/>
  <c r="I44" i="15"/>
  <c r="I43" i="15" s="1"/>
  <c r="H44" i="15"/>
  <c r="H43" i="15" s="1"/>
  <c r="G44" i="15"/>
  <c r="G43" i="15" s="1"/>
  <c r="F44" i="15"/>
  <c r="F43" i="15" s="1"/>
  <c r="M28" i="53"/>
  <c r="L28" i="53"/>
  <c r="K28" i="53"/>
  <c r="J28" i="53"/>
  <c r="I28" i="53"/>
  <c r="H28" i="53"/>
  <c r="E44" i="15"/>
  <c r="E43" i="15" s="1"/>
  <c r="G28" i="53"/>
  <c r="S35" i="53" l="1"/>
  <c r="S36" i="53" s="1"/>
  <c r="Q46" i="15" s="1"/>
  <c r="R36" i="53"/>
  <c r="P46" i="15" s="1"/>
  <c r="F188" i="53"/>
  <c r="CU187" i="53"/>
  <c r="H7" i="55"/>
  <c r="I7" i="55"/>
  <c r="J7" i="55"/>
  <c r="K7" i="55"/>
  <c r="G7" i="55"/>
  <c r="L7" i="55"/>
  <c r="F7" i="55"/>
  <c r="S37" i="53" l="1"/>
  <c r="CT188" i="53"/>
  <c r="E188" i="53"/>
  <c r="T35" i="53" l="1"/>
  <c r="CS188" i="53"/>
  <c r="G188" i="53"/>
  <c r="T36" i="53" l="1"/>
  <c r="R46" i="15" s="1"/>
  <c r="T37" i="53"/>
  <c r="CU188" i="53"/>
  <c r="F189" i="53"/>
  <c r="CT189" i="53" l="1"/>
  <c r="N26" i="53" s="1"/>
  <c r="L45" i="15" s="1"/>
  <c r="E189" i="53"/>
  <c r="CS189" i="53" l="1"/>
  <c r="N25" i="53" s="1"/>
  <c r="G189" i="53"/>
  <c r="F190" i="53" l="1"/>
  <c r="CU189" i="53"/>
  <c r="L44" i="15"/>
  <c r="L43" i="15" s="1"/>
  <c r="M7" i="55" s="1"/>
  <c r="N28" i="53"/>
  <c r="E190" i="53" l="1"/>
  <c r="CT190" i="53"/>
  <c r="CS190" i="53" l="1"/>
  <c r="G190" i="53"/>
  <c r="F191" i="53" l="1"/>
  <c r="CU190" i="53"/>
  <c r="CT191" i="53" l="1"/>
  <c r="E191" i="53"/>
  <c r="CS191" i="53" l="1"/>
  <c r="G191" i="53"/>
  <c r="F192" i="53" l="1"/>
  <c r="CU191" i="53"/>
  <c r="E192" i="53" l="1"/>
  <c r="CT192" i="53"/>
  <c r="CS192" i="53" l="1"/>
  <c r="G192" i="53"/>
  <c r="F193" i="53" l="1"/>
  <c r="CU192" i="53"/>
  <c r="CT193" i="53" l="1"/>
  <c r="E193" i="53"/>
  <c r="CS193" i="53" l="1"/>
  <c r="G193" i="53"/>
  <c r="CU193" i="53" l="1"/>
  <c r="F194" i="53"/>
  <c r="CT194" i="53" l="1"/>
  <c r="E194" i="53"/>
  <c r="CS194" i="53" l="1"/>
  <c r="G194" i="53"/>
  <c r="CU194" i="53" l="1"/>
  <c r="F195" i="53"/>
  <c r="CT195" i="53" l="1"/>
  <c r="E195" i="53"/>
  <c r="CS195" i="53" l="1"/>
  <c r="G195" i="53"/>
  <c r="F196" i="53" l="1"/>
  <c r="CU195" i="53"/>
  <c r="E196" i="53" l="1"/>
  <c r="CT196" i="53"/>
  <c r="CS196" i="53" l="1"/>
  <c r="G196" i="53"/>
  <c r="CU196" i="53" l="1"/>
  <c r="F197" i="53"/>
  <c r="E197" i="53" l="1"/>
  <c r="CT197" i="53"/>
  <c r="CS197" i="53" l="1"/>
  <c r="G197" i="53"/>
  <c r="CU197" i="53" l="1"/>
  <c r="F198" i="53"/>
  <c r="CT198" i="53" l="1"/>
  <c r="E198" i="53"/>
  <c r="CS198" i="53" l="1"/>
  <c r="G198" i="53"/>
  <c r="F199" i="53" l="1"/>
  <c r="CU198" i="53"/>
  <c r="E199" i="53" l="1"/>
  <c r="CT199" i="53"/>
  <c r="CS199" i="53" l="1"/>
  <c r="G199" i="53"/>
  <c r="CU199" i="53" l="1"/>
  <c r="F200" i="53"/>
  <c r="CT200" i="53" l="1"/>
  <c r="E200" i="53"/>
  <c r="CS200" i="53" l="1"/>
  <c r="G200" i="53"/>
  <c r="CU200" i="53" l="1"/>
  <c r="F201" i="53"/>
  <c r="E201" i="53" l="1"/>
  <c r="CT201" i="53"/>
  <c r="O26" i="53" s="1"/>
  <c r="M45" i="15" s="1"/>
  <c r="CS201" i="53" l="1"/>
  <c r="O25" i="53" s="1"/>
  <c r="G201" i="53"/>
  <c r="CU201" i="53" l="1"/>
  <c r="F202" i="53"/>
  <c r="M44" i="15"/>
  <c r="M43" i="15" s="1"/>
  <c r="N7" i="55" s="1"/>
  <c r="O28" i="53"/>
  <c r="E202" i="53" l="1"/>
  <c r="CT202" i="53"/>
  <c r="CS202" i="53" l="1"/>
  <c r="G202" i="53"/>
  <c r="CU202" i="53" l="1"/>
  <c r="F203" i="53"/>
  <c r="CT203" i="53" l="1"/>
  <c r="E203" i="53"/>
  <c r="CS203" i="53" l="1"/>
  <c r="G203" i="53"/>
  <c r="CU203" i="53" l="1"/>
  <c r="F204" i="53"/>
  <c r="CT204" i="53" l="1"/>
  <c r="E204" i="53"/>
  <c r="CS204" i="53" l="1"/>
  <c r="G204" i="53"/>
  <c r="CU204" i="53" l="1"/>
  <c r="F205" i="53"/>
  <c r="CT205" i="53" l="1"/>
  <c r="E205" i="53"/>
  <c r="CS205" i="53" l="1"/>
  <c r="G205" i="53"/>
  <c r="CU205" i="53" l="1"/>
  <c r="F206" i="53"/>
  <c r="E206" i="53" l="1"/>
  <c r="CT206" i="53"/>
  <c r="CS206" i="53" l="1"/>
  <c r="G206" i="53"/>
  <c r="F207" i="53" l="1"/>
  <c r="CU206" i="53"/>
  <c r="E207" i="53" l="1"/>
  <c r="CT207" i="53"/>
  <c r="CS207" i="53" l="1"/>
  <c r="G207" i="53"/>
  <c r="F208" i="53" l="1"/>
  <c r="CU207" i="53"/>
  <c r="CT208" i="53" l="1"/>
  <c r="E208" i="53"/>
  <c r="CS208" i="53" l="1"/>
  <c r="G208" i="53"/>
  <c r="CU208" i="53" l="1"/>
  <c r="F209" i="53"/>
  <c r="E209" i="53" l="1"/>
  <c r="CT209" i="53"/>
  <c r="CS209" i="53" l="1"/>
  <c r="G209" i="53"/>
  <c r="CU209" i="53" l="1"/>
  <c r="F210" i="53"/>
  <c r="CT210" i="53" l="1"/>
  <c r="E210" i="53"/>
  <c r="CS210" i="53" l="1"/>
  <c r="G210" i="53"/>
  <c r="CU210" i="53" l="1"/>
  <c r="F211" i="53"/>
  <c r="E211" i="53" l="1"/>
  <c r="CT211" i="53"/>
  <c r="CS211" i="53" l="1"/>
  <c r="G211" i="53"/>
  <c r="CU211" i="53" l="1"/>
  <c r="F212" i="53"/>
  <c r="CT212" i="53" l="1"/>
  <c r="E212" i="53"/>
  <c r="CS212" i="53" l="1"/>
  <c r="G212" i="53"/>
  <c r="CU212" i="53" l="1"/>
  <c r="F213" i="53"/>
  <c r="E213" i="53" l="1"/>
  <c r="CT213" i="53"/>
  <c r="P26" i="53" s="1"/>
  <c r="N45" i="15" l="1"/>
  <c r="CS213" i="53"/>
  <c r="P25" i="53" s="1"/>
  <c r="G213" i="53"/>
  <c r="F214" i="53" l="1"/>
  <c r="CU213" i="53"/>
  <c r="P28" i="53"/>
  <c r="N44" i="15"/>
  <c r="N43" i="15" s="1"/>
  <c r="O7" i="55" l="1"/>
  <c r="E214" i="53"/>
  <c r="CT214" i="53"/>
  <c r="CS214" i="53" l="1"/>
  <c r="G214" i="53"/>
  <c r="F215" i="53" l="1"/>
  <c r="CU214" i="53"/>
  <c r="E215" i="53" l="1"/>
  <c r="CT215" i="53"/>
  <c r="CS215" i="53" l="1"/>
  <c r="G215" i="53"/>
  <c r="CU215" i="53" l="1"/>
  <c r="F216" i="53"/>
  <c r="CT216" i="53" l="1"/>
  <c r="E216" i="53"/>
  <c r="CS216" i="53" l="1"/>
  <c r="G216" i="53"/>
  <c r="CU216" i="53" l="1"/>
  <c r="F217" i="53"/>
  <c r="E217" i="53" l="1"/>
  <c r="CT217" i="53"/>
  <c r="CS217" i="53" l="1"/>
  <c r="G217" i="53"/>
  <c r="F218" i="53" l="1"/>
  <c r="CU217" i="53"/>
  <c r="CT218" i="53" l="1"/>
  <c r="E218" i="53"/>
  <c r="CS218" i="53" l="1"/>
  <c r="G218" i="53"/>
  <c r="F219" i="53" l="1"/>
  <c r="CU218" i="53"/>
  <c r="CT219" i="53" l="1"/>
  <c r="E219" i="53"/>
  <c r="CS219" i="53" l="1"/>
  <c r="G219" i="53"/>
  <c r="F220" i="53" l="1"/>
  <c r="CU219" i="53"/>
  <c r="CT220" i="53" l="1"/>
  <c r="E220" i="53"/>
  <c r="CS220" i="53" l="1"/>
  <c r="G220" i="53"/>
  <c r="F221" i="53" l="1"/>
  <c r="CU220" i="53"/>
  <c r="E221" i="53" l="1"/>
  <c r="CT221" i="53"/>
  <c r="CS221" i="53" l="1"/>
  <c r="G221" i="53"/>
  <c r="CU221" i="53" l="1"/>
  <c r="F222" i="53"/>
  <c r="CT222" i="53" l="1"/>
  <c r="E222" i="53"/>
  <c r="CS222" i="53" l="1"/>
  <c r="G222" i="53"/>
  <c r="F223" i="53" l="1"/>
  <c r="CU222" i="53"/>
  <c r="E223" i="53" l="1"/>
  <c r="CT223" i="53"/>
  <c r="CS223" i="53" l="1"/>
  <c r="G223" i="53"/>
  <c r="F224" i="53" l="1"/>
  <c r="CU223" i="53"/>
  <c r="CT224" i="53" l="1"/>
  <c r="E224" i="53"/>
  <c r="CS224" i="53" l="1"/>
  <c r="G224" i="53"/>
  <c r="F225" i="53" l="1"/>
  <c r="CU224" i="53"/>
  <c r="CT225" i="53" l="1"/>
  <c r="Q26" i="53" s="1"/>
  <c r="E225" i="53"/>
  <c r="CS225" i="53" l="1"/>
  <c r="Q25" i="53" s="1"/>
  <c r="G225" i="53"/>
  <c r="O45" i="15"/>
  <c r="F226" i="53" l="1"/>
  <c r="CU225" i="53"/>
  <c r="Q28" i="53"/>
  <c r="O44" i="15"/>
  <c r="O43" i="15" s="1"/>
  <c r="E226" i="53" l="1"/>
  <c r="CT226" i="53"/>
  <c r="P7" i="55"/>
  <c r="CS226" i="53" l="1"/>
  <c r="G226" i="53"/>
  <c r="F227" i="53" l="1"/>
  <c r="CU226" i="53"/>
  <c r="E227" i="53" l="1"/>
  <c r="CT227" i="53"/>
  <c r="CS227" i="53" l="1"/>
  <c r="G227" i="53"/>
  <c r="CU227" i="53" l="1"/>
  <c r="F228" i="53"/>
  <c r="CT228" i="53" l="1"/>
  <c r="E228" i="53"/>
  <c r="CS228" i="53" l="1"/>
  <c r="G228" i="53"/>
  <c r="CU228" i="53" l="1"/>
  <c r="F229" i="53"/>
  <c r="CT229" i="53" l="1"/>
  <c r="E229" i="53"/>
  <c r="CS229" i="53" l="1"/>
  <c r="G229" i="53"/>
  <c r="CU229" i="53" l="1"/>
  <c r="F230" i="53"/>
  <c r="CT230" i="53" l="1"/>
  <c r="E230" i="53"/>
  <c r="CS230" i="53" l="1"/>
  <c r="G230" i="53"/>
  <c r="CU230" i="53" l="1"/>
  <c r="F231" i="53"/>
  <c r="CT231" i="53" l="1"/>
  <c r="E231" i="53"/>
  <c r="CS231" i="53" l="1"/>
  <c r="G231" i="53"/>
  <c r="CU231" i="53" l="1"/>
  <c r="F232" i="53"/>
  <c r="CT232" i="53" l="1"/>
  <c r="E232" i="53"/>
  <c r="CS232" i="53" l="1"/>
  <c r="G232" i="53"/>
  <c r="F233" i="53" l="1"/>
  <c r="CU232" i="53"/>
  <c r="E233" i="53" l="1"/>
  <c r="CT233" i="53"/>
  <c r="CS233" i="53" l="1"/>
  <c r="G233" i="53"/>
  <c r="CU233" i="53" l="1"/>
  <c r="F234" i="53"/>
  <c r="CT234" i="53" l="1"/>
  <c r="E234" i="53"/>
  <c r="CS234" i="53" l="1"/>
  <c r="G234" i="53"/>
  <c r="F235" i="53" l="1"/>
  <c r="CU234" i="53"/>
  <c r="CT235" i="53" l="1"/>
  <c r="E235" i="53"/>
  <c r="CS235" i="53" l="1"/>
  <c r="G235" i="53"/>
  <c r="F236" i="53" l="1"/>
  <c r="CU235" i="53"/>
  <c r="E236" i="53" l="1"/>
  <c r="CT236" i="53"/>
  <c r="CS236" i="53" l="1"/>
  <c r="G236" i="53"/>
  <c r="CU236" i="53" l="1"/>
  <c r="F237" i="53"/>
  <c r="CT237" i="53" l="1"/>
  <c r="R26" i="53" s="1"/>
  <c r="E237" i="53"/>
  <c r="CS237" i="53" l="1"/>
  <c r="R25" i="53" s="1"/>
  <c r="G237" i="53"/>
  <c r="P45" i="15"/>
  <c r="CU237" i="53" l="1"/>
  <c r="F238" i="53"/>
  <c r="R28" i="53"/>
  <c r="P44" i="15"/>
  <c r="P43" i="15" s="1"/>
  <c r="Q7" i="55" s="1"/>
  <c r="CT238" i="53" l="1"/>
  <c r="E238" i="53"/>
  <c r="CS238" i="53" l="1"/>
  <c r="G238" i="53"/>
  <c r="F239" i="53" l="1"/>
  <c r="CU238" i="53"/>
  <c r="E239" i="53" l="1"/>
  <c r="CT239" i="53"/>
  <c r="CS239" i="53" l="1"/>
  <c r="G239" i="53"/>
  <c r="F240" i="53" l="1"/>
  <c r="CU239" i="53"/>
  <c r="E240" i="53" l="1"/>
  <c r="CT240" i="53"/>
  <c r="CS240" i="53" l="1"/>
  <c r="G240" i="53"/>
  <c r="F241" i="53" l="1"/>
  <c r="CU240" i="53"/>
  <c r="E241" i="53" l="1"/>
  <c r="CT241" i="53"/>
  <c r="CS241" i="53" l="1"/>
  <c r="G241" i="53"/>
  <c r="CU241" i="53" l="1"/>
  <c r="F242" i="53"/>
  <c r="E242" i="53" l="1"/>
  <c r="CT242" i="53"/>
  <c r="CS242" i="53" l="1"/>
  <c r="G242" i="53"/>
  <c r="CU242" i="53" l="1"/>
  <c r="F243" i="53"/>
  <c r="E243" i="53" l="1"/>
  <c r="CT243" i="53"/>
  <c r="CS243" i="53" l="1"/>
  <c r="G243" i="53"/>
  <c r="F244" i="53" l="1"/>
  <c r="CU243" i="53"/>
  <c r="CT244" i="53" l="1"/>
  <c r="E244" i="53"/>
  <c r="CS244" i="53" l="1"/>
  <c r="G244" i="53"/>
  <c r="F245" i="53" l="1"/>
  <c r="CU244" i="53"/>
  <c r="CT245" i="53" l="1"/>
  <c r="E245" i="53"/>
  <c r="CS245" i="53" l="1"/>
  <c r="G245" i="53"/>
  <c r="F246" i="53" l="1"/>
  <c r="CU245" i="53"/>
  <c r="E246" i="53" l="1"/>
  <c r="CT246" i="53"/>
  <c r="CS246" i="53" l="1"/>
  <c r="G246" i="53"/>
  <c r="CU246" i="53" l="1"/>
  <c r="F247" i="53"/>
  <c r="E247" i="53" l="1"/>
  <c r="CT247" i="53"/>
  <c r="CS247" i="53" l="1"/>
  <c r="G247" i="53"/>
  <c r="F248" i="53" l="1"/>
  <c r="CU247" i="53"/>
  <c r="CT248" i="53" l="1"/>
  <c r="E248" i="53"/>
  <c r="CS248" i="53" l="1"/>
  <c r="G248" i="53"/>
  <c r="F249" i="53" l="1"/>
  <c r="CU248" i="53"/>
  <c r="E249" i="53" l="1"/>
  <c r="CT249" i="53"/>
  <c r="S26" i="53" s="1"/>
  <c r="Q45" i="15" l="1"/>
  <c r="CS249" i="53"/>
  <c r="S25" i="53" s="1"/>
  <c r="G249" i="53"/>
  <c r="F250" i="53" l="1"/>
  <c r="CU249" i="53"/>
  <c r="S28" i="53"/>
  <c r="Q44" i="15"/>
  <c r="Q43" i="15" s="1"/>
  <c r="R7" i="55" s="1"/>
  <c r="E250" i="53" l="1"/>
  <c r="CT250" i="53"/>
  <c r="CS250" i="53" l="1"/>
  <c r="G250" i="53"/>
  <c r="CU250" i="53" l="1"/>
  <c r="F251" i="53"/>
  <c r="CT251" i="53" l="1"/>
  <c r="E251" i="53"/>
  <c r="CS251" i="53" l="1"/>
  <c r="G251" i="53"/>
  <c r="CU251" i="53" l="1"/>
  <c r="F252" i="53"/>
  <c r="E252" i="53" l="1"/>
  <c r="CT252" i="53"/>
  <c r="CS252" i="53" l="1"/>
  <c r="G252" i="53"/>
  <c r="F253" i="53" l="1"/>
  <c r="CU252" i="53"/>
  <c r="E253" i="53" l="1"/>
  <c r="CT253" i="53"/>
  <c r="CS253" i="53" l="1"/>
  <c r="G253" i="53"/>
  <c r="CU253" i="53" l="1"/>
  <c r="F254" i="53"/>
  <c r="E254" i="53" l="1"/>
  <c r="CT254" i="53"/>
  <c r="CS254" i="53" l="1"/>
  <c r="G254" i="53"/>
  <c r="CU254" i="53" l="1"/>
  <c r="F255" i="53"/>
  <c r="CT255" i="53" l="1"/>
  <c r="E255" i="53"/>
  <c r="CS255" i="53" l="1"/>
  <c r="G255" i="53"/>
  <c r="F256" i="53" l="1"/>
  <c r="CU255" i="53"/>
  <c r="CT256" i="53" l="1"/>
  <c r="E256" i="53"/>
  <c r="CS256" i="53" l="1"/>
  <c r="G256" i="53"/>
  <c r="F257" i="53" l="1"/>
  <c r="CU256" i="53"/>
  <c r="E257" i="53" l="1"/>
  <c r="CT257" i="53"/>
  <c r="CS257" i="53" l="1"/>
  <c r="G257" i="53"/>
  <c r="F258" i="53" l="1"/>
  <c r="CU257" i="53"/>
  <c r="CT258" i="53" l="1"/>
  <c r="E258" i="53"/>
  <c r="CS258" i="53" l="1"/>
  <c r="G258" i="53"/>
  <c r="F259" i="53" l="1"/>
  <c r="CU258" i="53"/>
  <c r="CT259" i="53" l="1"/>
  <c r="E259" i="53"/>
  <c r="CS259" i="53" l="1"/>
  <c r="G259" i="53"/>
  <c r="F260" i="53" l="1"/>
  <c r="CU259" i="53"/>
  <c r="E260" i="53" l="1"/>
  <c r="CT260" i="53"/>
  <c r="CS260" i="53" l="1"/>
  <c r="G260" i="53"/>
  <c r="CU260" i="53" l="1"/>
  <c r="F261" i="53"/>
  <c r="CT261" i="53" l="1"/>
  <c r="T26" i="53" s="1"/>
  <c r="E261" i="53"/>
  <c r="CS261" i="53" l="1"/>
  <c r="T25" i="53" s="1"/>
  <c r="G261" i="53"/>
  <c r="R45" i="15"/>
  <c r="F262" i="53" l="1"/>
  <c r="T28" i="53"/>
  <c r="R44" i="15"/>
  <c r="R43" i="15" s="1"/>
  <c r="S7" i="55" s="1"/>
  <c r="E262" i="53" l="1"/>
  <c r="G262" i="53" l="1"/>
  <c r="F263" i="53" l="1"/>
  <c r="E263" i="53" l="1"/>
  <c r="G263" i="53" l="1"/>
  <c r="F264" i="53" l="1"/>
  <c r="E264" i="53" l="1"/>
  <c r="G264" i="53" l="1"/>
  <c r="F265" i="53" l="1"/>
  <c r="E265" i="53" l="1"/>
  <c r="G265" i="53" l="1"/>
  <c r="F266" i="53" l="1"/>
  <c r="E266" i="53" l="1"/>
  <c r="G266" i="53" l="1"/>
  <c r="F267" i="53" l="1"/>
  <c r="E267" i="53" l="1"/>
  <c r="G267" i="53" l="1"/>
  <c r="F268" i="53" l="1"/>
  <c r="E268" i="53" l="1"/>
  <c r="G268" i="53" l="1"/>
  <c r="F269" i="53" l="1"/>
  <c r="E269" i="53" l="1"/>
  <c r="G269" i="53" l="1"/>
  <c r="F270" i="53" l="1"/>
  <c r="E270" i="53" l="1"/>
  <c r="G270" i="53" l="1"/>
  <c r="F271" i="53" l="1"/>
  <c r="E271" i="53" l="1"/>
  <c r="G271" i="53" l="1"/>
  <c r="F272" i="53" l="1"/>
  <c r="E272" i="53" l="1"/>
  <c r="G272" i="53" l="1"/>
  <c r="F273" i="53" l="1"/>
  <c r="E273" i="53" l="1"/>
  <c r="G273" i="53" l="1"/>
  <c r="F274" i="53" l="1"/>
  <c r="E274" i="53" l="1"/>
  <c r="G274" i="53" l="1"/>
  <c r="F275" i="53" l="1"/>
  <c r="E275" i="53" l="1"/>
  <c r="G275" i="53" l="1"/>
  <c r="F276" i="53" l="1"/>
  <c r="E276" i="53" l="1"/>
  <c r="G276" i="53" l="1"/>
  <c r="F277" i="53" l="1"/>
  <c r="E277" i="53" l="1"/>
  <c r="G277" i="53" l="1"/>
  <c r="F278" i="53" l="1"/>
  <c r="E278" i="53" l="1"/>
  <c r="G278" i="53" l="1"/>
  <c r="F279" i="53" l="1"/>
  <c r="E279" i="53" l="1"/>
  <c r="G279" i="53" l="1"/>
  <c r="F280" i="53" l="1"/>
  <c r="E280" i="53" l="1"/>
  <c r="G280" i="53" l="1"/>
  <c r="F281" i="53" l="1"/>
  <c r="E281" i="53" l="1"/>
  <c r="G281" i="53" l="1"/>
  <c r="F282" i="53" l="1"/>
  <c r="E282" i="53" l="1"/>
  <c r="G282" i="53" l="1"/>
  <c r="F283" i="53" l="1"/>
  <c r="E283" i="53" l="1"/>
  <c r="G283" i="53" l="1"/>
  <c r="F284" i="53" l="1"/>
  <c r="E284" i="53" l="1"/>
  <c r="G284" i="53" l="1"/>
  <c r="F285" i="53" l="1"/>
  <c r="E285" i="53" l="1"/>
  <c r="G285" i="53" l="1"/>
  <c r="F286" i="53" l="1"/>
  <c r="E286" i="53" l="1"/>
  <c r="G286" i="53" l="1"/>
  <c r="F287" i="53" l="1"/>
  <c r="E287" i="53" l="1"/>
  <c r="G287" i="53" l="1"/>
  <c r="F288" i="53" l="1"/>
  <c r="E288" i="53" l="1"/>
  <c r="G288" i="53" l="1"/>
  <c r="F289" i="53" l="1"/>
  <c r="E289" i="53" l="1"/>
  <c r="G289" i="53" l="1"/>
  <c r="F290" i="53" l="1"/>
  <c r="E290" i="53" l="1"/>
  <c r="G290" i="53" l="1"/>
  <c r="F291" i="53" l="1"/>
  <c r="E291" i="53" l="1"/>
  <c r="G291" i="53" l="1"/>
  <c r="F292" i="53" l="1"/>
  <c r="E292" i="53" l="1"/>
  <c r="G292" i="53" l="1"/>
  <c r="F293" i="53" l="1"/>
  <c r="E293" i="53" l="1"/>
  <c r="G293" i="53" l="1"/>
  <c r="F294" i="53" l="1"/>
  <c r="E294" i="53" l="1"/>
  <c r="G294" i="53" l="1"/>
  <c r="F295" i="53" l="1"/>
  <c r="E295" i="53" l="1"/>
  <c r="G295" i="53" l="1"/>
  <c r="F296" i="53" l="1"/>
  <c r="E296" i="53" l="1"/>
  <c r="G296" i="53" l="1"/>
  <c r="F297" i="53" l="1"/>
  <c r="E297" i="53" l="1"/>
  <c r="G297" i="53" l="1"/>
  <c r="F298" i="53" l="1"/>
  <c r="E298" i="53" l="1"/>
  <c r="G298" i="53" l="1"/>
  <c r="F299" i="53" l="1"/>
  <c r="E299" i="53" l="1"/>
  <c r="G299" i="53" l="1"/>
  <c r="F300" i="53" l="1"/>
  <c r="E300" i="53" l="1"/>
  <c r="G300" i="53" l="1"/>
  <c r="F301" i="53" l="1"/>
  <c r="E301" i="53" l="1"/>
  <c r="G301" i="53" l="1"/>
  <c r="F302" i="53" l="1"/>
  <c r="E302" i="53" l="1"/>
  <c r="G302" i="53" l="1"/>
  <c r="F303" i="53" l="1"/>
  <c r="E303" i="53" l="1"/>
  <c r="G303" i="53" l="1"/>
  <c r="F304" i="53" l="1"/>
  <c r="E304" i="53" l="1"/>
  <c r="G304" i="53" l="1"/>
  <c r="F305" i="53" l="1"/>
  <c r="E305" i="53" l="1"/>
  <c r="G305" i="53" l="1"/>
  <c r="F306" i="53" l="1"/>
  <c r="E306" i="53" l="1"/>
  <c r="G306" i="53" l="1"/>
  <c r="F307" i="53" l="1"/>
  <c r="E307" i="53" l="1"/>
  <c r="G307" i="53" l="1"/>
  <c r="F308" i="53" l="1"/>
  <c r="E308" i="53" l="1"/>
  <c r="G308" i="53" l="1"/>
  <c r="F309" i="53" l="1"/>
  <c r="E309" i="53" l="1"/>
  <c r="G309" i="53" l="1"/>
  <c r="F310" i="53" l="1"/>
  <c r="E310" i="53" l="1"/>
  <c r="G310" i="53" l="1"/>
  <c r="F311" i="53" l="1"/>
  <c r="E311" i="53" l="1"/>
  <c r="G311" i="53" l="1"/>
  <c r="F312" i="53" l="1"/>
  <c r="E312" i="53" l="1"/>
  <c r="G312" i="53" l="1"/>
  <c r="F313" i="53" l="1"/>
  <c r="E313" i="53" l="1"/>
  <c r="G313" i="53" l="1"/>
  <c r="F314" i="53" l="1"/>
  <c r="E314" i="53" l="1"/>
  <c r="G314" i="53" l="1"/>
  <c r="F315" i="53" l="1"/>
  <c r="E315" i="53" l="1"/>
  <c r="G315" i="53" l="1"/>
  <c r="F316" i="53" l="1"/>
  <c r="E316" i="53" l="1"/>
  <c r="G316" i="53" l="1"/>
  <c r="F317" i="53" l="1"/>
  <c r="E317" i="53" l="1"/>
  <c r="G317" i="53" l="1"/>
  <c r="F318" i="53" l="1"/>
  <c r="E318" i="53" l="1"/>
  <c r="G318" i="53" l="1"/>
  <c r="F319" i="53" l="1"/>
  <c r="E319" i="53" l="1"/>
  <c r="G319" i="53" l="1"/>
  <c r="F320" i="53" l="1"/>
  <c r="E320" i="53" l="1"/>
  <c r="G320" i="53" l="1"/>
  <c r="F321" i="53" l="1"/>
  <c r="E321" i="53" l="1"/>
  <c r="G321" i="53" l="1"/>
  <c r="F322" i="53" l="1"/>
  <c r="E322" i="53" l="1"/>
  <c r="G322" i="53" l="1"/>
  <c r="F323" i="53" l="1"/>
  <c r="E323" i="53" l="1"/>
  <c r="G323" i="53" l="1"/>
  <c r="F324" i="53" l="1"/>
  <c r="E324" i="53" l="1"/>
  <c r="G324" i="53" l="1"/>
  <c r="F325" i="53" l="1"/>
  <c r="E325" i="53" l="1"/>
  <c r="G325" i="53" l="1"/>
  <c r="F326" i="53" l="1"/>
  <c r="E326" i="53" l="1"/>
  <c r="G326" i="53" l="1"/>
  <c r="F327" i="53" l="1"/>
  <c r="E327" i="53" l="1"/>
  <c r="G327" i="53" l="1"/>
  <c r="F328" i="53" l="1"/>
  <c r="E328" i="53" l="1"/>
  <c r="G328" i="53" l="1"/>
  <c r="F329" i="53" l="1"/>
  <c r="E329" i="53" l="1"/>
  <c r="G329" i="53" l="1"/>
  <c r="F330" i="53" l="1"/>
  <c r="E330" i="53" l="1"/>
  <c r="G330" i="53" l="1"/>
  <c r="F331" i="53" l="1"/>
  <c r="E331" i="53" l="1"/>
  <c r="G331" i="53" l="1"/>
  <c r="F332" i="53" l="1"/>
  <c r="E332" i="53" l="1"/>
  <c r="G332" i="53" l="1"/>
  <c r="F333" i="53" l="1"/>
  <c r="E333" i="53" l="1"/>
  <c r="G333" i="53" l="1"/>
  <c r="F334" i="53" l="1"/>
  <c r="E334" i="53" l="1"/>
  <c r="G334" i="53" l="1"/>
  <c r="F335" i="53" l="1"/>
  <c r="E335" i="53" l="1"/>
  <c r="G335" i="53" l="1"/>
  <c r="F336" i="53" l="1"/>
  <c r="E336" i="53" l="1"/>
  <c r="G336" i="53" l="1"/>
  <c r="F337" i="53" l="1"/>
  <c r="E337" i="53" l="1"/>
  <c r="G337" i="53" l="1"/>
  <c r="F338" i="53" l="1"/>
  <c r="E338" i="53" l="1"/>
  <c r="G338" i="53" l="1"/>
  <c r="F339" i="53" l="1"/>
  <c r="E339" i="53" l="1"/>
  <c r="G339" i="53" l="1"/>
  <c r="F340" i="53" l="1"/>
  <c r="E340" i="53" l="1"/>
  <c r="G340" i="53" l="1"/>
  <c r="F341" i="53" l="1"/>
  <c r="E341" i="53" l="1"/>
  <c r="G341" i="53" l="1"/>
  <c r="F342" i="53" l="1"/>
  <c r="E342" i="53" l="1"/>
  <c r="G342" i="53" l="1"/>
  <c r="F343" i="53" l="1"/>
  <c r="E343" i="53" l="1"/>
  <c r="G343" i="53" l="1"/>
  <c r="F344" i="53" l="1"/>
  <c r="E344" i="53" l="1"/>
  <c r="G344" i="53" l="1"/>
  <c r="F345" i="53" l="1"/>
  <c r="E345" i="53" l="1"/>
  <c r="G345" i="53" l="1"/>
  <c r="F346" i="53" l="1"/>
  <c r="E346" i="53" l="1"/>
  <c r="G346" i="53" l="1"/>
  <c r="F347" i="53" l="1"/>
  <c r="E347" i="53" l="1"/>
  <c r="G347" i="53" l="1"/>
  <c r="F348" i="53" l="1"/>
  <c r="E348" i="53" l="1"/>
  <c r="G348" i="53" l="1"/>
  <c r="F349" i="53" l="1"/>
  <c r="E349" i="53" l="1"/>
  <c r="G349" i="53" l="1"/>
  <c r="F350" i="53" l="1"/>
  <c r="E350" i="53" l="1"/>
  <c r="G350" i="53" l="1"/>
  <c r="F351" i="53" l="1"/>
  <c r="E351" i="53" l="1"/>
  <c r="G351" i="53" l="1"/>
  <c r="F352" i="53" l="1"/>
  <c r="E352" i="53" l="1"/>
  <c r="G352" i="53" l="1"/>
  <c r="F353" i="53" l="1"/>
  <c r="E353" i="53" l="1"/>
  <c r="G353" i="53" l="1"/>
  <c r="F354" i="53" l="1"/>
  <c r="E354" i="53" l="1"/>
  <c r="G354" i="53" l="1"/>
  <c r="F355" i="53" l="1"/>
  <c r="E355" i="53" l="1"/>
  <c r="G355" i="53" l="1"/>
  <c r="F356" i="53" l="1"/>
  <c r="E356" i="53" l="1"/>
  <c r="G356" i="53" l="1"/>
  <c r="F357" i="53" l="1"/>
  <c r="E357" i="53" l="1"/>
  <c r="G357" i="53" l="1"/>
  <c r="F358" i="53" l="1"/>
  <c r="E358" i="53" l="1"/>
  <c r="G358" i="53" l="1"/>
  <c r="F359" i="53" l="1"/>
  <c r="E359" i="53" l="1"/>
  <c r="G359" i="53" l="1"/>
  <c r="F360" i="53" l="1"/>
  <c r="E360" i="53" l="1"/>
  <c r="G360" i="53" l="1"/>
  <c r="F361" i="53" l="1"/>
  <c r="E361" i="53" l="1"/>
  <c r="G361" i="53" l="1"/>
  <c r="F362" i="53" l="1"/>
  <c r="E362" i="53" l="1"/>
  <c r="G362" i="53" l="1"/>
  <c r="F363" i="53" l="1"/>
  <c r="E363" i="53" l="1"/>
  <c r="G363" i="53" l="1"/>
  <c r="F364" i="53" l="1"/>
  <c r="E364" i="53" l="1"/>
  <c r="G364" i="53" l="1"/>
  <c r="F365" i="53" l="1"/>
  <c r="E365" i="53" l="1"/>
  <c r="G365" i="53" l="1"/>
  <c r="F366" i="53" l="1"/>
  <c r="E366" i="53" l="1"/>
  <c r="G366" i="53" l="1"/>
  <c r="F367" i="53" l="1"/>
  <c r="E367" i="53" l="1"/>
  <c r="G367" i="53" l="1"/>
  <c r="F368" i="53" l="1"/>
  <c r="E368" i="53" l="1"/>
  <c r="G368" i="53" l="1"/>
  <c r="F369" i="53" l="1"/>
  <c r="E369" i="53" l="1"/>
  <c r="G369" i="53" l="1"/>
  <c r="F370" i="53" l="1"/>
  <c r="E370" i="53" l="1"/>
  <c r="G370" i="53" l="1"/>
  <c r="F371" i="53" l="1"/>
  <c r="E371" i="53" l="1"/>
  <c r="G371" i="53" l="1"/>
  <c r="F372" i="53" l="1"/>
  <c r="E372" i="53" l="1"/>
  <c r="G372" i="53" l="1"/>
  <c r="F373" i="53" l="1"/>
  <c r="E373" i="53" l="1"/>
  <c r="G373" i="53" l="1"/>
  <c r="F374" i="53" l="1"/>
  <c r="E374" i="53" l="1"/>
  <c r="G374" i="53" l="1"/>
  <c r="F375" i="53" l="1"/>
  <c r="E375" i="53" l="1"/>
  <c r="G375" i="53" l="1"/>
  <c r="F376" i="53" l="1"/>
  <c r="E376" i="53" l="1"/>
  <c r="G376" i="53" l="1"/>
  <c r="F377" i="53" l="1"/>
  <c r="E377" i="53" l="1"/>
  <c r="G377" i="53" l="1"/>
  <c r="F378" i="53" l="1"/>
  <c r="E378" i="53" l="1"/>
  <c r="G378" i="53" l="1"/>
  <c r="F379" i="53" l="1"/>
  <c r="E379" i="53" l="1"/>
  <c r="G379" i="53" l="1"/>
  <c r="F380" i="53" l="1"/>
  <c r="E380" i="53" l="1"/>
  <c r="G380" i="53" l="1"/>
  <c r="F381" i="53" l="1"/>
  <c r="E381" i="53" l="1"/>
  <c r="G381" i="53" l="1"/>
  <c r="F382" i="53" l="1"/>
  <c r="E382" i="53" l="1"/>
  <c r="G382" i="53" l="1"/>
  <c r="F383" i="53" l="1"/>
  <c r="E383" i="53" l="1"/>
  <c r="G383" i="53" l="1"/>
  <c r="F384" i="53" l="1"/>
  <c r="E384" i="53" l="1"/>
  <c r="G384" i="53" l="1"/>
  <c r="F385" i="53" l="1"/>
  <c r="E385" i="53" l="1"/>
  <c r="G385" i="53" l="1"/>
  <c r="F386" i="53" l="1"/>
  <c r="E386" i="53" l="1"/>
  <c r="G386" i="53" l="1"/>
  <c r="F387" i="53" l="1"/>
  <c r="E387" i="53" l="1"/>
  <c r="G387" i="53" l="1"/>
  <c r="F388" i="53" l="1"/>
  <c r="E388" i="53" l="1"/>
  <c r="G388" i="53" l="1"/>
  <c r="F389" i="53" l="1"/>
  <c r="E389" i="53" l="1"/>
  <c r="G389" i="53" l="1"/>
  <c r="F390" i="53" l="1"/>
  <c r="E390" i="53" l="1"/>
  <c r="G390" i="53" l="1"/>
  <c r="F391" i="53" l="1"/>
  <c r="E391" i="53" l="1"/>
  <c r="G391" i="53" l="1"/>
  <c r="F392" i="53" l="1"/>
  <c r="E392" i="53" l="1"/>
  <c r="G392" i="53" l="1"/>
  <c r="F393" i="53" l="1"/>
  <c r="E393" i="53" l="1"/>
  <c r="G393" i="53" l="1"/>
  <c r="F394" i="53" l="1"/>
  <c r="E394" i="53" l="1"/>
  <c r="G394" i="53" l="1"/>
  <c r="F395" i="53" l="1"/>
  <c r="E395" i="53" l="1"/>
  <c r="G395" i="53" l="1"/>
  <c r="F396" i="53" l="1"/>
  <c r="E396" i="53" l="1"/>
  <c r="G396" i="53" l="1"/>
  <c r="F397" i="53" l="1"/>
  <c r="E397" i="53" l="1"/>
  <c r="G397" i="53" l="1"/>
  <c r="F398" i="53" l="1"/>
  <c r="E398" i="53" l="1"/>
  <c r="G398" i="53" l="1"/>
  <c r="F399" i="53" l="1"/>
  <c r="E399" i="53" l="1"/>
  <c r="G399" i="53" l="1"/>
  <c r="F400" i="53" l="1"/>
  <c r="E400" i="53" l="1"/>
  <c r="G400" i="53" l="1"/>
  <c r="F401" i="53" l="1"/>
  <c r="E401" i="53" l="1"/>
  <c r="G401" i="53" l="1"/>
  <c r="F402" i="53" l="1"/>
  <c r="E402" i="53" l="1"/>
  <c r="G402" i="53" l="1"/>
  <c r="F403" i="53" l="1"/>
  <c r="E403" i="53" l="1"/>
  <c r="G403" i="53" l="1"/>
  <c r="F404" i="53" l="1"/>
  <c r="E404" i="53" l="1"/>
  <c r="G404" i="53" l="1"/>
  <c r="F405" i="53" l="1"/>
  <c r="E405" i="53" l="1"/>
  <c r="G405" i="53" l="1"/>
  <c r="F406" i="53" l="1"/>
  <c r="E406" i="53" l="1"/>
  <c r="G406" i="53" l="1"/>
  <c r="F407" i="53" l="1"/>
  <c r="E407" i="53" l="1"/>
  <c r="G407" i="53" l="1"/>
  <c r="F408" i="53" l="1"/>
  <c r="E408" i="53" l="1"/>
  <c r="G408" i="53" l="1"/>
  <c r="F409" i="53" l="1"/>
  <c r="E409" i="53" l="1"/>
  <c r="G409" i="53" l="1"/>
  <c r="F410" i="53" l="1"/>
  <c r="E410" i="53" l="1"/>
  <c r="G410" i="53" l="1"/>
  <c r="F411" i="53" l="1"/>
  <c r="E411" i="53" l="1"/>
  <c r="G411" i="53" l="1"/>
  <c r="F412" i="53" l="1"/>
  <c r="E412" i="53" l="1"/>
  <c r="G412" i="53" l="1"/>
  <c r="F413" i="53" l="1"/>
  <c r="E413" i="53" l="1"/>
  <c r="G413" i="53" l="1"/>
  <c r="F414" i="53" l="1"/>
  <c r="E414" i="53" l="1"/>
  <c r="G414" i="53" l="1"/>
  <c r="F415" i="53" l="1"/>
  <c r="E415" i="53" l="1"/>
  <c r="G415" i="53" l="1"/>
  <c r="F416" i="53" l="1"/>
  <c r="E416" i="53" l="1"/>
  <c r="G416" i="53" l="1"/>
  <c r="F417" i="53" l="1"/>
  <c r="E417" i="53" l="1"/>
  <c r="G417" i="53" l="1"/>
  <c r="F418" i="53" l="1"/>
  <c r="E418" i="53" l="1"/>
  <c r="G418" i="53" l="1"/>
  <c r="F419" i="53" l="1"/>
  <c r="E419" i="53" l="1"/>
  <c r="G419" i="53" l="1"/>
  <c r="F420" i="53" l="1"/>
  <c r="E420" i="53" l="1"/>
  <c r="G420" i="53" l="1"/>
  <c r="F421" i="53" l="1"/>
  <c r="E421" i="53" l="1"/>
  <c r="G421" i="53" l="1"/>
  <c r="F422" i="53" l="1"/>
  <c r="E422" i="53" l="1"/>
  <c r="G422" i="53" l="1"/>
  <c r="F423" i="53" l="1"/>
  <c r="E423" i="53" l="1"/>
  <c r="G423" i="53" l="1"/>
  <c r="F424" i="53" l="1"/>
  <c r="E424" i="53" l="1"/>
  <c r="G424" i="53" l="1"/>
  <c r="F425" i="53" l="1"/>
  <c r="E425" i="53" l="1"/>
  <c r="G425" i="53" l="1"/>
  <c r="F426" i="53" l="1"/>
  <c r="E426" i="53" l="1"/>
  <c r="G426" i="53" l="1"/>
  <c r="F427" i="53" l="1"/>
  <c r="E427" i="53" l="1"/>
  <c r="G427" i="53" l="1"/>
  <c r="F428" i="53" l="1"/>
  <c r="E428" i="53" l="1"/>
  <c r="G428" i="53" l="1"/>
  <c r="F429" i="53" l="1"/>
  <c r="E429" i="53" l="1"/>
  <c r="G429" i="53" l="1"/>
  <c r="F430" i="53" l="1"/>
  <c r="E430" i="53" l="1"/>
  <c r="G430" i="53" l="1"/>
  <c r="F431" i="53" l="1"/>
  <c r="E431" i="53" l="1"/>
  <c r="G431" i="53" l="1"/>
  <c r="F432" i="53" l="1"/>
  <c r="E432" i="53" l="1"/>
  <c r="G432" i="53" l="1"/>
  <c r="F433" i="53" l="1"/>
  <c r="E433" i="53" l="1"/>
  <c r="G433" i="53" l="1"/>
  <c r="F434" i="53" l="1"/>
  <c r="E434" i="53" l="1"/>
  <c r="G434" i="53" l="1"/>
  <c r="F435" i="53" l="1"/>
  <c r="E435" i="53" l="1"/>
  <c r="G435" i="53" l="1"/>
  <c r="F436" i="53" l="1"/>
  <c r="E436" i="53" l="1"/>
  <c r="G436" i="53" l="1"/>
  <c r="F437" i="53" l="1"/>
  <c r="E437" i="53" l="1"/>
  <c r="G437" i="53" l="1"/>
  <c r="F438" i="53" l="1"/>
  <c r="E438" i="53" l="1"/>
  <c r="G438" i="53" l="1"/>
  <c r="F439" i="53" l="1"/>
  <c r="E439" i="53" l="1"/>
  <c r="G439" i="53" l="1"/>
  <c r="F440" i="53" l="1"/>
  <c r="E440" i="53" l="1"/>
  <c r="G440" i="53" l="1"/>
  <c r="F441" i="53" l="1"/>
  <c r="E441" i="53" l="1"/>
  <c r="G441" i="53" l="1"/>
  <c r="F442" i="53" l="1"/>
  <c r="E442" i="53" l="1"/>
  <c r="G442" i="53" l="1"/>
  <c r="F443" i="53" l="1"/>
  <c r="E443" i="53" l="1"/>
  <c r="G443" i="53" l="1"/>
  <c r="F444" i="53" l="1"/>
  <c r="E444" i="53" l="1"/>
  <c r="G444" i="53" l="1"/>
  <c r="F445" i="53" l="1"/>
  <c r="E445" i="53" l="1"/>
  <c r="G445" i="53" l="1"/>
  <c r="F446" i="53" l="1"/>
  <c r="E446" i="53" l="1"/>
  <c r="G446" i="53" l="1"/>
  <c r="F447" i="53" l="1"/>
  <c r="E447" i="53" l="1"/>
  <c r="G447" i="53" l="1"/>
  <c r="F448" i="53" l="1"/>
  <c r="E448" i="53" l="1"/>
  <c r="G448" i="53" l="1"/>
  <c r="F449" i="53" l="1"/>
  <c r="E449" i="53" l="1"/>
  <c r="G449" i="53" l="1"/>
  <c r="F450" i="53" l="1"/>
  <c r="E450" i="53" l="1"/>
  <c r="G450" i="53" l="1"/>
  <c r="F451" i="53" l="1"/>
  <c r="E451" i="53" l="1"/>
  <c r="G451" i="53" l="1"/>
  <c r="F452" i="53" l="1"/>
  <c r="E452" i="53" l="1"/>
  <c r="G452" i="53" l="1"/>
  <c r="F453" i="53" l="1"/>
  <c r="E453" i="53" l="1"/>
  <c r="G453" i="53" l="1"/>
  <c r="Z92" i="23" l="1"/>
  <c r="Z119" i="23" s="1"/>
  <c r="P92" i="23"/>
  <c r="P93" i="23" s="1"/>
  <c r="P106" i="23" s="1"/>
  <c r="E83" i="23"/>
  <c r="E92" i="23" s="1"/>
  <c r="E119" i="23" s="1"/>
  <c r="P49" i="13"/>
  <c r="Z49" i="13" l="1"/>
  <c r="Z48" i="13" s="1"/>
  <c r="I102" i="4" s="1"/>
  <c r="I106" i="4" s="1"/>
  <c r="P119" i="23"/>
  <c r="P48" i="13"/>
  <c r="N93" i="4" s="1"/>
  <c r="N97" i="4" s="1"/>
  <c r="P133" i="23"/>
  <c r="E124" i="23"/>
  <c r="E133" i="23" s="1"/>
  <c r="Z133" i="23"/>
  <c r="Z93" i="23"/>
  <c r="Z106" i="23" s="1"/>
  <c r="E49" i="13" l="1"/>
  <c r="Z88" i="13"/>
  <c r="Y33" i="15" s="1"/>
  <c r="AB23" i="34"/>
  <c r="AB20" i="34" s="1"/>
  <c r="Y71" i="34" s="1"/>
  <c r="E105" i="13"/>
  <c r="R23" i="34"/>
  <c r="R20" i="34" s="1"/>
  <c r="O71" i="34" s="1"/>
  <c r="P88" i="13"/>
  <c r="E48" i="13"/>
  <c r="E88" i="13" l="1"/>
  <c r="E284" i="13"/>
  <c r="Y68" i="48"/>
  <c r="Y69" i="48" s="1"/>
  <c r="Z11" i="47"/>
  <c r="Z16" i="47" s="1"/>
  <c r="AA14" i="49"/>
  <c r="AA13" i="49" s="1"/>
  <c r="AA7" i="49" s="1"/>
  <c r="O33" i="15"/>
  <c r="Q14" i="49"/>
  <c r="P11" i="47"/>
  <c r="O68" i="48"/>
  <c r="G9" i="53"/>
  <c r="D15" i="4"/>
  <c r="D19" i="4" s="1"/>
  <c r="H82" i="52"/>
  <c r="H85" i="52" s="1"/>
  <c r="I10" i="53" l="1"/>
  <c r="G10" i="53"/>
  <c r="P89" i="13"/>
  <c r="N98" i="4" s="1"/>
  <c r="D35" i="21"/>
  <c r="Y74" i="48"/>
  <c r="P33" i="53"/>
  <c r="H85" i="53"/>
  <c r="I85" i="53" s="1"/>
  <c r="H86" i="53"/>
  <c r="I86" i="53" s="1"/>
  <c r="H84" i="53"/>
  <c r="H83" i="53"/>
  <c r="AE89" i="13"/>
  <c r="N107" i="4" s="1"/>
  <c r="T89" i="13"/>
  <c r="R98" i="4" s="1"/>
  <c r="O89" i="13"/>
  <c r="M98" i="4" s="1"/>
  <c r="AB89" i="13"/>
  <c r="K107" i="4" s="1"/>
  <c r="X89" i="13"/>
  <c r="G107" i="4" s="1"/>
  <c r="G89" i="13"/>
  <c r="E98" i="4" s="1"/>
  <c r="V89" i="13"/>
  <c r="E107" i="4" s="1"/>
  <c r="AC89" i="13"/>
  <c r="L107" i="4" s="1"/>
  <c r="AF89" i="13"/>
  <c r="O107" i="4" s="1"/>
  <c r="H132" i="1"/>
  <c r="D83" i="4" s="1"/>
  <c r="W89" i="13"/>
  <c r="F107" i="4" s="1"/>
  <c r="AH89" i="13"/>
  <c r="Q107" i="4" s="1"/>
  <c r="AD89" i="13"/>
  <c r="M107" i="4" s="1"/>
  <c r="AA89" i="13"/>
  <c r="J107" i="4" s="1"/>
  <c r="S89" i="13"/>
  <c r="Q98" i="4" s="1"/>
  <c r="Q89" i="13"/>
  <c r="O98" i="4" s="1"/>
  <c r="Y89" i="13"/>
  <c r="H107" i="4" s="1"/>
  <c r="H89" i="13"/>
  <c r="F98" i="4" s="1"/>
  <c r="AI89" i="13"/>
  <c r="R107" i="4" s="1"/>
  <c r="N89" i="13"/>
  <c r="L98" i="4" s="1"/>
  <c r="L89" i="13"/>
  <c r="J98" i="4" s="1"/>
  <c r="K89" i="13"/>
  <c r="I98" i="4" s="1"/>
  <c r="U89" i="13"/>
  <c r="D107" i="4" s="1"/>
  <c r="AG89" i="13"/>
  <c r="P107" i="4" s="1"/>
  <c r="D36" i="21"/>
  <c r="J89" i="13"/>
  <c r="H98" i="4" s="1"/>
  <c r="R89" i="13"/>
  <c r="P98" i="4" s="1"/>
  <c r="I89" i="13"/>
  <c r="G98" i="4" s="1"/>
  <c r="M89" i="13"/>
  <c r="K98" i="4" s="1"/>
  <c r="F89" i="13"/>
  <c r="D98" i="4" s="1"/>
  <c r="Z89" i="13"/>
  <c r="I107" i="4" s="1"/>
  <c r="O69" i="48"/>
  <c r="D69" i="48" s="1"/>
  <c r="O74" i="48"/>
  <c r="D68" i="48"/>
  <c r="E11" i="47"/>
  <c r="P12" i="47"/>
  <c r="P16" i="47"/>
  <c r="Q15" i="49"/>
  <c r="R15" i="49" s="1"/>
  <c r="S15" i="49" s="1"/>
  <c r="T15" i="49" s="1"/>
  <c r="U15" i="49" s="1"/>
  <c r="V15" i="49" s="1"/>
  <c r="W15" i="49" s="1"/>
  <c r="X15" i="49" s="1"/>
  <c r="Y15" i="49" s="1"/>
  <c r="Z15" i="49" s="1"/>
  <c r="AA15" i="49" s="1"/>
  <c r="AB15" i="49" s="1"/>
  <c r="AC15" i="49" s="1"/>
  <c r="AD15" i="49" s="1"/>
  <c r="AE15" i="49" s="1"/>
  <c r="AF15" i="49" s="1"/>
  <c r="AG15" i="49" s="1"/>
  <c r="AH15" i="49" s="1"/>
  <c r="AI15" i="49" s="1"/>
  <c r="AJ15" i="49" s="1"/>
  <c r="Q13" i="49"/>
  <c r="Q7" i="49" s="1"/>
  <c r="F7" i="49" s="1"/>
  <c r="E16" i="47" l="1"/>
  <c r="P17" i="47"/>
  <c r="H87" i="53"/>
  <c r="H88" i="53" s="1"/>
  <c r="P19" i="53"/>
  <c r="I83" i="53"/>
  <c r="E89" i="13"/>
  <c r="Q12" i="47"/>
  <c r="Q19" i="53"/>
  <c r="Q20" i="53" s="1"/>
  <c r="I84" i="53"/>
  <c r="CN271" i="53"/>
  <c r="CN449" i="53"/>
  <c r="CN450" i="53"/>
  <c r="CN440" i="53"/>
  <c r="CN437" i="53"/>
  <c r="CN424" i="53"/>
  <c r="CN421" i="53"/>
  <c r="CN408" i="53"/>
  <c r="CN405" i="53"/>
  <c r="CN446" i="53"/>
  <c r="CN443" i="53"/>
  <c r="CN430" i="53"/>
  <c r="CN427" i="53"/>
  <c r="CN414" i="53"/>
  <c r="CN411" i="53"/>
  <c r="CN398" i="53"/>
  <c r="CN395" i="53"/>
  <c r="CN392" i="53"/>
  <c r="CN387" i="53"/>
  <c r="CN385" i="53"/>
  <c r="CN383" i="53"/>
  <c r="CN381" i="53"/>
  <c r="CN379" i="53"/>
  <c r="CN377" i="53"/>
  <c r="CN375" i="53"/>
  <c r="CN436" i="53"/>
  <c r="CN433" i="53"/>
  <c r="CN420" i="53"/>
  <c r="CN417" i="53"/>
  <c r="CN404" i="53"/>
  <c r="CN401" i="53"/>
  <c r="CN389" i="53"/>
  <c r="CN442" i="53"/>
  <c r="CN439" i="53"/>
  <c r="CN426" i="53"/>
  <c r="CN423" i="53"/>
  <c r="CN410" i="53"/>
  <c r="CN407" i="53"/>
  <c r="CN394" i="53"/>
  <c r="CN448" i="53"/>
  <c r="CN445" i="53"/>
  <c r="CN432" i="53"/>
  <c r="CN429" i="53"/>
  <c r="CN416" i="53"/>
  <c r="CN413" i="53"/>
  <c r="CN400" i="53"/>
  <c r="CN397" i="53"/>
  <c r="CN391" i="53"/>
  <c r="CN438" i="53"/>
  <c r="CN435" i="53"/>
  <c r="CN422" i="53"/>
  <c r="CN419" i="53"/>
  <c r="CN406" i="53"/>
  <c r="CN403" i="53"/>
  <c r="CN388" i="53"/>
  <c r="CN386" i="53"/>
  <c r="CN399" i="53"/>
  <c r="CN354" i="53"/>
  <c r="CN351" i="53"/>
  <c r="CN338" i="53"/>
  <c r="CN335" i="53"/>
  <c r="CN322" i="53"/>
  <c r="CN315" i="53"/>
  <c r="CN306" i="53"/>
  <c r="CN299" i="53"/>
  <c r="CN409" i="53"/>
  <c r="CN396" i="53"/>
  <c r="CN380" i="53"/>
  <c r="CN371" i="53"/>
  <c r="CN367" i="53"/>
  <c r="CN360" i="53"/>
  <c r="CN357" i="53"/>
  <c r="CN344" i="53"/>
  <c r="CN341" i="53"/>
  <c r="CN324" i="53"/>
  <c r="CN317" i="53"/>
  <c r="CN308" i="53"/>
  <c r="CN301" i="53"/>
  <c r="CN447" i="53"/>
  <c r="CN434" i="53"/>
  <c r="CN374" i="53"/>
  <c r="CN370" i="53"/>
  <c r="CN366" i="53"/>
  <c r="CN363" i="53"/>
  <c r="CN350" i="53"/>
  <c r="CN347" i="53"/>
  <c r="CN334" i="53"/>
  <c r="CN331" i="53"/>
  <c r="CN326" i="53"/>
  <c r="CN319" i="53"/>
  <c r="CN310" i="53"/>
  <c r="CN303" i="53"/>
  <c r="CN294" i="53"/>
  <c r="CN292" i="53"/>
  <c r="CN290" i="53"/>
  <c r="CN288" i="53"/>
  <c r="CN286" i="53"/>
  <c r="CN284" i="53"/>
  <c r="CN282" i="53"/>
  <c r="CN280" i="53"/>
  <c r="CN278" i="53"/>
  <c r="CN276" i="53"/>
  <c r="CN274" i="53"/>
  <c r="CN272" i="53"/>
  <c r="CN444" i="53"/>
  <c r="CN393" i="53"/>
  <c r="CN384" i="53"/>
  <c r="CN356" i="53"/>
  <c r="CN353" i="53"/>
  <c r="CN340" i="53"/>
  <c r="CN337" i="53"/>
  <c r="CN328" i="53"/>
  <c r="CN321" i="53"/>
  <c r="CN312" i="53"/>
  <c r="CN305" i="53"/>
  <c r="CN296" i="53"/>
  <c r="CN431" i="53"/>
  <c r="CN418" i="53"/>
  <c r="CN378" i="53"/>
  <c r="CN362" i="53"/>
  <c r="CN359" i="53"/>
  <c r="CN346" i="53"/>
  <c r="CN343" i="53"/>
  <c r="CN330" i="53"/>
  <c r="CN323" i="53"/>
  <c r="CN314" i="53"/>
  <c r="CN307" i="53"/>
  <c r="CN298" i="53"/>
  <c r="CN441" i="53"/>
  <c r="CN428" i="53"/>
  <c r="CN373" i="53"/>
  <c r="CN369" i="53"/>
  <c r="CN365" i="53"/>
  <c r="CN352" i="53"/>
  <c r="CN349" i="53"/>
  <c r="CN336" i="53"/>
  <c r="CN333" i="53"/>
  <c r="CN325" i="53"/>
  <c r="CN316" i="53"/>
  <c r="CN309" i="53"/>
  <c r="CN300" i="53"/>
  <c r="CN425" i="53"/>
  <c r="CN364" i="53"/>
  <c r="CN415" i="53"/>
  <c r="CN289" i="53"/>
  <c r="CN281" i="53"/>
  <c r="CN273" i="53"/>
  <c r="CN412" i="53"/>
  <c r="CN376" i="53"/>
  <c r="CN361" i="53"/>
  <c r="CN348" i="53"/>
  <c r="CN297" i="53"/>
  <c r="CN402" i="53"/>
  <c r="CN372" i="53"/>
  <c r="CN358" i="53"/>
  <c r="CN295" i="53"/>
  <c r="CN287" i="53"/>
  <c r="CN279" i="53"/>
  <c r="CQ270" i="53"/>
  <c r="CN345" i="53"/>
  <c r="CN332" i="53"/>
  <c r="CN313" i="53"/>
  <c r="CN304" i="53"/>
  <c r="CN390" i="53"/>
  <c r="CN368" i="53"/>
  <c r="CN355" i="53"/>
  <c r="CN342" i="53"/>
  <c r="CN311" i="53"/>
  <c r="CN302" i="53"/>
  <c r="CN293" i="53"/>
  <c r="CN285" i="53"/>
  <c r="CN277" i="53"/>
  <c r="CN382" i="53"/>
  <c r="CN327" i="53"/>
  <c r="CN291" i="53"/>
  <c r="CN320" i="53"/>
  <c r="CN318" i="53"/>
  <c r="CN283" i="53"/>
  <c r="CN275" i="53"/>
  <c r="CN339" i="53"/>
  <c r="CN329" i="53"/>
  <c r="I84" i="52"/>
  <c r="I83" i="52"/>
  <c r="I81" i="52"/>
  <c r="C68" i="52" s="1"/>
  <c r="CJ445" i="53"/>
  <c r="CJ443" i="53"/>
  <c r="CJ441" i="53"/>
  <c r="CJ439" i="53"/>
  <c r="CJ437" i="53"/>
  <c r="CJ435" i="53"/>
  <c r="CJ433" i="53"/>
  <c r="CJ431" i="53"/>
  <c r="CJ429" i="53"/>
  <c r="CJ427" i="53"/>
  <c r="CJ425" i="53"/>
  <c r="CJ423" i="53"/>
  <c r="CJ421" i="53"/>
  <c r="CJ419" i="53"/>
  <c r="CJ417" i="53"/>
  <c r="CJ415" i="53"/>
  <c r="CJ413" i="53"/>
  <c r="CJ411" i="53"/>
  <c r="CJ409" i="53"/>
  <c r="CJ407" i="53"/>
  <c r="CJ405" i="53"/>
  <c r="CJ447" i="53"/>
  <c r="CJ268" i="53"/>
  <c r="CJ444" i="53"/>
  <c r="CJ442" i="53"/>
  <c r="CJ440" i="53"/>
  <c r="CJ438" i="53"/>
  <c r="CJ436" i="53"/>
  <c r="CJ434" i="53"/>
  <c r="CJ432" i="53"/>
  <c r="CJ430" i="53"/>
  <c r="CJ428" i="53"/>
  <c r="CJ426" i="53"/>
  <c r="CJ424" i="53"/>
  <c r="CJ422" i="53"/>
  <c r="CJ420" i="53"/>
  <c r="CJ418" i="53"/>
  <c r="CJ416" i="53"/>
  <c r="CJ414" i="53"/>
  <c r="CJ412" i="53"/>
  <c r="CJ410" i="53"/>
  <c r="CJ408" i="53"/>
  <c r="CJ406" i="53"/>
  <c r="CJ404" i="53"/>
  <c r="CJ401" i="53"/>
  <c r="CJ397" i="53"/>
  <c r="CJ393" i="53"/>
  <c r="CJ389" i="53"/>
  <c r="CJ385" i="53"/>
  <c r="CJ381" i="53"/>
  <c r="CJ377" i="53"/>
  <c r="CJ373" i="53"/>
  <c r="CJ369" i="53"/>
  <c r="CJ365" i="53"/>
  <c r="CJ361" i="53"/>
  <c r="CJ357" i="53"/>
  <c r="CJ353" i="53"/>
  <c r="CJ349" i="53"/>
  <c r="CJ345" i="53"/>
  <c r="CJ341" i="53"/>
  <c r="CJ337" i="53"/>
  <c r="CJ330" i="53"/>
  <c r="CJ327" i="53"/>
  <c r="CJ324" i="53"/>
  <c r="CJ316" i="53"/>
  <c r="CJ314" i="53"/>
  <c r="CJ312" i="53"/>
  <c r="CJ310" i="53"/>
  <c r="CJ308" i="53"/>
  <c r="CJ306" i="53"/>
  <c r="CJ304" i="53"/>
  <c r="CJ302" i="53"/>
  <c r="CJ300" i="53"/>
  <c r="CJ298" i="53"/>
  <c r="CJ296" i="53"/>
  <c r="CJ294" i="53"/>
  <c r="CJ292" i="53"/>
  <c r="CJ333" i="53"/>
  <c r="CJ321" i="53"/>
  <c r="CJ400" i="53"/>
  <c r="CJ396" i="53"/>
  <c r="CJ392" i="53"/>
  <c r="CJ388" i="53"/>
  <c r="CJ384" i="53"/>
  <c r="CJ380" i="53"/>
  <c r="CJ376" i="53"/>
  <c r="CJ372" i="53"/>
  <c r="CJ368" i="53"/>
  <c r="CJ364" i="53"/>
  <c r="CJ360" i="53"/>
  <c r="CJ356" i="53"/>
  <c r="CJ352" i="53"/>
  <c r="CJ348" i="53"/>
  <c r="CJ344" i="53"/>
  <c r="CJ340" i="53"/>
  <c r="CJ336" i="53"/>
  <c r="CJ326" i="53"/>
  <c r="CJ318" i="53"/>
  <c r="CJ332" i="53"/>
  <c r="CJ329" i="53"/>
  <c r="CJ323" i="53"/>
  <c r="CJ403" i="53"/>
  <c r="CJ399" i="53"/>
  <c r="CJ395" i="53"/>
  <c r="CJ391" i="53"/>
  <c r="CJ387" i="53"/>
  <c r="CJ383" i="53"/>
  <c r="CJ379" i="53"/>
  <c r="CJ375" i="53"/>
  <c r="CJ371" i="53"/>
  <c r="CJ367" i="53"/>
  <c r="CJ363" i="53"/>
  <c r="CJ359" i="53"/>
  <c r="CJ355" i="53"/>
  <c r="CJ351" i="53"/>
  <c r="CJ347" i="53"/>
  <c r="CJ343" i="53"/>
  <c r="CJ339" i="53"/>
  <c r="CJ335" i="53"/>
  <c r="CJ320" i="53"/>
  <c r="CJ315" i="53"/>
  <c r="CJ313" i="53"/>
  <c r="CJ311" i="53"/>
  <c r="CJ309" i="53"/>
  <c r="CJ307" i="53"/>
  <c r="CJ305" i="53"/>
  <c r="CJ328" i="53"/>
  <c r="CJ325" i="53"/>
  <c r="CJ317" i="53"/>
  <c r="CJ301" i="53"/>
  <c r="CJ402" i="53"/>
  <c r="CJ386" i="53"/>
  <c r="CJ370" i="53"/>
  <c r="CJ354" i="53"/>
  <c r="CJ338" i="53"/>
  <c r="CJ295" i="53"/>
  <c r="CJ290" i="53"/>
  <c r="CJ286" i="53"/>
  <c r="CJ282" i="53"/>
  <c r="CJ278" i="53"/>
  <c r="CJ274" i="53"/>
  <c r="CJ270" i="53"/>
  <c r="CJ446" i="53"/>
  <c r="CJ398" i="53"/>
  <c r="CJ382" i="53"/>
  <c r="CJ366" i="53"/>
  <c r="CJ350" i="53"/>
  <c r="CJ334" i="53"/>
  <c r="CJ322" i="53"/>
  <c r="CJ299" i="53"/>
  <c r="CJ289" i="53"/>
  <c r="CJ285" i="53"/>
  <c r="CJ281" i="53"/>
  <c r="CJ277" i="53"/>
  <c r="CJ273" i="53"/>
  <c r="CJ269" i="53"/>
  <c r="CJ293" i="53"/>
  <c r="CM267" i="53"/>
  <c r="CJ394" i="53"/>
  <c r="CJ378" i="53"/>
  <c r="CJ362" i="53"/>
  <c r="CJ346" i="53"/>
  <c r="CJ331" i="53"/>
  <c r="CJ303" i="53"/>
  <c r="CJ390" i="53"/>
  <c r="CJ279" i="53"/>
  <c r="CJ319" i="53"/>
  <c r="CJ276" i="53"/>
  <c r="CJ374" i="53"/>
  <c r="CJ291" i="53"/>
  <c r="CJ275" i="53"/>
  <c r="CJ288" i="53"/>
  <c r="CJ272" i="53"/>
  <c r="CJ358" i="53"/>
  <c r="CJ287" i="53"/>
  <c r="CJ271" i="53"/>
  <c r="CJ284" i="53"/>
  <c r="CJ297" i="53"/>
  <c r="CJ283" i="53"/>
  <c r="CJ280" i="53"/>
  <c r="CJ342" i="53"/>
  <c r="D74" i="48"/>
  <c r="I82" i="52"/>
  <c r="F33" i="53"/>
  <c r="P36" i="53"/>
  <c r="N46" i="15" s="1"/>
  <c r="D68" i="52" l="1"/>
  <c r="D69" i="52"/>
  <c r="C71" i="52"/>
  <c r="C70" i="52"/>
  <c r="C69" i="52"/>
  <c r="CR445" i="53"/>
  <c r="CR450" i="53"/>
  <c r="I85" i="52"/>
  <c r="C73" i="52"/>
  <c r="C74" i="52"/>
  <c r="C75" i="52"/>
  <c r="C72" i="52"/>
  <c r="C76" i="52"/>
  <c r="CR449" i="53"/>
  <c r="I87" i="53"/>
  <c r="I88" i="53" s="1"/>
  <c r="CB263" i="53"/>
  <c r="CB267" i="53"/>
  <c r="CB271" i="53"/>
  <c r="CB276" i="53"/>
  <c r="CB280" i="53"/>
  <c r="CB284" i="53"/>
  <c r="CB288" i="53"/>
  <c r="CB292" i="53"/>
  <c r="CB296" i="53"/>
  <c r="CB300" i="53"/>
  <c r="CB304" i="53"/>
  <c r="CB308" i="53"/>
  <c r="CB312" i="53"/>
  <c r="CB316" i="53"/>
  <c r="CB320" i="53"/>
  <c r="CB324" i="53"/>
  <c r="CB328" i="53"/>
  <c r="CB332" i="53"/>
  <c r="CB336" i="53"/>
  <c r="CB340" i="53"/>
  <c r="CB344" i="53"/>
  <c r="CB348" i="53"/>
  <c r="CB352" i="53"/>
  <c r="CB356" i="53"/>
  <c r="CB360" i="53"/>
  <c r="CB364" i="53"/>
  <c r="CB368" i="53"/>
  <c r="CB372" i="53"/>
  <c r="CB376" i="53"/>
  <c r="CB380" i="53"/>
  <c r="CB384" i="53"/>
  <c r="CB388" i="53"/>
  <c r="CB392" i="53"/>
  <c r="CB396" i="53"/>
  <c r="CB400" i="53"/>
  <c r="CB404" i="53"/>
  <c r="CB408" i="53"/>
  <c r="CB412" i="53"/>
  <c r="CB416" i="53"/>
  <c r="CB420" i="53"/>
  <c r="CB424" i="53"/>
  <c r="CB428" i="53"/>
  <c r="CB432" i="53"/>
  <c r="CB436" i="53"/>
  <c r="CB440" i="53"/>
  <c r="CB262" i="53"/>
  <c r="CB310" i="53"/>
  <c r="CB322" i="53"/>
  <c r="CB370" i="53"/>
  <c r="CB266" i="53"/>
  <c r="CB270" i="53"/>
  <c r="CB275" i="53"/>
  <c r="CB279" i="53"/>
  <c r="CB283" i="53"/>
  <c r="CB285" i="53"/>
  <c r="CB274" i="53"/>
  <c r="CB287" i="53"/>
  <c r="CB291" i="53"/>
  <c r="CB295" i="53"/>
  <c r="CB297" i="53"/>
  <c r="CB286" i="53"/>
  <c r="CB299" i="53"/>
  <c r="CB303" i="53"/>
  <c r="CB307" i="53"/>
  <c r="CB309" i="53"/>
  <c r="CB298" i="53"/>
  <c r="CB311" i="53"/>
  <c r="CB315" i="53"/>
  <c r="CB319" i="53"/>
  <c r="CB323" i="53"/>
  <c r="CB327" i="53"/>
  <c r="CB331" i="53"/>
  <c r="CB335" i="53"/>
  <c r="CB339" i="53"/>
  <c r="CB343" i="53"/>
  <c r="CB345" i="53"/>
  <c r="CB334" i="53"/>
  <c r="CB347" i="53"/>
  <c r="CB351" i="53"/>
  <c r="CB355" i="53"/>
  <c r="CB357" i="53"/>
  <c r="CB346" i="53"/>
  <c r="CB359" i="53"/>
  <c r="CB363" i="53"/>
  <c r="CB367" i="53"/>
  <c r="CB369" i="53"/>
  <c r="CB358" i="53"/>
  <c r="CB371" i="53"/>
  <c r="CB375" i="53"/>
  <c r="CB379" i="53"/>
  <c r="CB383" i="53"/>
  <c r="CB387" i="53"/>
  <c r="CB391" i="53"/>
  <c r="CB382" i="53"/>
  <c r="CB395" i="53"/>
  <c r="CB399" i="53"/>
  <c r="CB403" i="53"/>
  <c r="CB394" i="53"/>
  <c r="CB407" i="53"/>
  <c r="CB411" i="53"/>
  <c r="CB415" i="53"/>
  <c r="CB417" i="53"/>
  <c r="CB419" i="53"/>
  <c r="CB423" i="53"/>
  <c r="CB427" i="53"/>
  <c r="CB418" i="53"/>
  <c r="CB431" i="53"/>
  <c r="CB435" i="53"/>
  <c r="CB439" i="53"/>
  <c r="CB430" i="53"/>
  <c r="CB406" i="53"/>
  <c r="CB265" i="53"/>
  <c r="CB269" i="53"/>
  <c r="CB273" i="53"/>
  <c r="CB278" i="53"/>
  <c r="CB282" i="53"/>
  <c r="CB290" i="53"/>
  <c r="CB294" i="53"/>
  <c r="CB302" i="53"/>
  <c r="CB306" i="53"/>
  <c r="CB314" i="53"/>
  <c r="CB318" i="53"/>
  <c r="CB326" i="53"/>
  <c r="CB330" i="53"/>
  <c r="CB338" i="53"/>
  <c r="CB342" i="53"/>
  <c r="CB350" i="53"/>
  <c r="CB354" i="53"/>
  <c r="CB362" i="53"/>
  <c r="CB366" i="53"/>
  <c r="CB374" i="53"/>
  <c r="CB378" i="53"/>
  <c r="CB386" i="53"/>
  <c r="CB390" i="53"/>
  <c r="CB398" i="53"/>
  <c r="CB402" i="53"/>
  <c r="CB281" i="53"/>
  <c r="CB329" i="53"/>
  <c r="CB377" i="53"/>
  <c r="CB268" i="53"/>
  <c r="CB301" i="53"/>
  <c r="CB349" i="53"/>
  <c r="CB393" i="53"/>
  <c r="CB397" i="53"/>
  <c r="CB413" i="53"/>
  <c r="CB317" i="53"/>
  <c r="CB365" i="53"/>
  <c r="CB414" i="53"/>
  <c r="CB426" i="53"/>
  <c r="CB438" i="53"/>
  <c r="CB289" i="53"/>
  <c r="CB333" i="53"/>
  <c r="CB337" i="53"/>
  <c r="CB381" i="53"/>
  <c r="CB385" i="53"/>
  <c r="CB409" i="53"/>
  <c r="CB421" i="53"/>
  <c r="CB429" i="53"/>
  <c r="CB433" i="53"/>
  <c r="CB441" i="53"/>
  <c r="CB272" i="53"/>
  <c r="CB305" i="53"/>
  <c r="CB353" i="53"/>
  <c r="CB401" i="53"/>
  <c r="CB410" i="53"/>
  <c r="CE261" i="53"/>
  <c r="CB277" i="53"/>
  <c r="CB321" i="53"/>
  <c r="CB325" i="53"/>
  <c r="CB373" i="53"/>
  <c r="CB264" i="53"/>
  <c r="CB293" i="53"/>
  <c r="CB341" i="53"/>
  <c r="CB389" i="53"/>
  <c r="CB422" i="53"/>
  <c r="CB434" i="53"/>
  <c r="CB313" i="53"/>
  <c r="CB361" i="53"/>
  <c r="CB405" i="53"/>
  <c r="CB425" i="53"/>
  <c r="CB437" i="53"/>
  <c r="R12" i="47"/>
  <c r="CR446" i="53"/>
  <c r="P20" i="53"/>
  <c r="F19" i="53"/>
  <c r="F20" i="53" s="1"/>
  <c r="CL268" i="53"/>
  <c r="CK268" i="53" s="1"/>
  <c r="CM268" i="53" s="1"/>
  <c r="CR447" i="53"/>
  <c r="CR448" i="53"/>
  <c r="CF265" i="53"/>
  <c r="CF444" i="53"/>
  <c r="CF440" i="53"/>
  <c r="CF436" i="53"/>
  <c r="CF432" i="53"/>
  <c r="CF428" i="53"/>
  <c r="CF424" i="53"/>
  <c r="CF420" i="53"/>
  <c r="CF443" i="53"/>
  <c r="CF439" i="53"/>
  <c r="CF435" i="53"/>
  <c r="CF431" i="53"/>
  <c r="CF427" i="53"/>
  <c r="CF423" i="53"/>
  <c r="CF417" i="53"/>
  <c r="CF415" i="53"/>
  <c r="CF413" i="53"/>
  <c r="CF411" i="53"/>
  <c r="CF409" i="53"/>
  <c r="CF407" i="53"/>
  <c r="CF405" i="53"/>
  <c r="CF403" i="53"/>
  <c r="CF401" i="53"/>
  <c r="CF399" i="53"/>
  <c r="CF397" i="53"/>
  <c r="CF395" i="53"/>
  <c r="CF393" i="53"/>
  <c r="CF391" i="53"/>
  <c r="CF389" i="53"/>
  <c r="CF387" i="53"/>
  <c r="CF385" i="53"/>
  <c r="CF383" i="53"/>
  <c r="CF381" i="53"/>
  <c r="CF379" i="53"/>
  <c r="CF377" i="53"/>
  <c r="CF375" i="53"/>
  <c r="CF373" i="53"/>
  <c r="CF371" i="53"/>
  <c r="CF369" i="53"/>
  <c r="CF367" i="53"/>
  <c r="CF365" i="53"/>
  <c r="CF363" i="53"/>
  <c r="CF361" i="53"/>
  <c r="CF359" i="53"/>
  <c r="CF357" i="53"/>
  <c r="CF355" i="53"/>
  <c r="CF353" i="53"/>
  <c r="CF351" i="53"/>
  <c r="CF349" i="53"/>
  <c r="CF347" i="53"/>
  <c r="CF345" i="53"/>
  <c r="CF343" i="53"/>
  <c r="CF341" i="53"/>
  <c r="CF339" i="53"/>
  <c r="CF337" i="53"/>
  <c r="CF335" i="53"/>
  <c r="CF333" i="53"/>
  <c r="CF331" i="53"/>
  <c r="CF329" i="53"/>
  <c r="CF327" i="53"/>
  <c r="CF325" i="53"/>
  <c r="CF323" i="53"/>
  <c r="CF321" i="53"/>
  <c r="CF319" i="53"/>
  <c r="CF317" i="53"/>
  <c r="CF315" i="53"/>
  <c r="CF313" i="53"/>
  <c r="CF311" i="53"/>
  <c r="CF309" i="53"/>
  <c r="CF307" i="53"/>
  <c r="CF305" i="53"/>
  <c r="CF303" i="53"/>
  <c r="CF301" i="53"/>
  <c r="CF299" i="53"/>
  <c r="CF442" i="53"/>
  <c r="CF438" i="53"/>
  <c r="CF434" i="53"/>
  <c r="CF430" i="53"/>
  <c r="CF426" i="53"/>
  <c r="CF422" i="53"/>
  <c r="CF419" i="53"/>
  <c r="CF296" i="53"/>
  <c r="CF291" i="53"/>
  <c r="CF280" i="53"/>
  <c r="CF441" i="53"/>
  <c r="CF425" i="53"/>
  <c r="CF414" i="53"/>
  <c r="CF406" i="53"/>
  <c r="CF398" i="53"/>
  <c r="CF390" i="53"/>
  <c r="CF382" i="53"/>
  <c r="CF374" i="53"/>
  <c r="CF366" i="53"/>
  <c r="CF358" i="53"/>
  <c r="CF350" i="53"/>
  <c r="CF342" i="53"/>
  <c r="CF334" i="53"/>
  <c r="CF326" i="53"/>
  <c r="CF318" i="53"/>
  <c r="CF310" i="53"/>
  <c r="CF302" i="53"/>
  <c r="CF290" i="53"/>
  <c r="CF285" i="53"/>
  <c r="CF295" i="53"/>
  <c r="CF284" i="53"/>
  <c r="CF279" i="53"/>
  <c r="CF275" i="53"/>
  <c r="CF271" i="53"/>
  <c r="CF267" i="53"/>
  <c r="CF437" i="53"/>
  <c r="CF412" i="53"/>
  <c r="CF404" i="53"/>
  <c r="CF396" i="53"/>
  <c r="CF388" i="53"/>
  <c r="CF380" i="53"/>
  <c r="CF372" i="53"/>
  <c r="CF364" i="53"/>
  <c r="CF356" i="53"/>
  <c r="CF348" i="53"/>
  <c r="CF340" i="53"/>
  <c r="CF332" i="53"/>
  <c r="CF324" i="53"/>
  <c r="CF316" i="53"/>
  <c r="CF308" i="53"/>
  <c r="CF300" i="53"/>
  <c r="CF294" i="53"/>
  <c r="CF289" i="53"/>
  <c r="CF278" i="53"/>
  <c r="CF274" i="53"/>
  <c r="CF270" i="53"/>
  <c r="CF266" i="53"/>
  <c r="CF421" i="53"/>
  <c r="CF288" i="53"/>
  <c r="CF283" i="53"/>
  <c r="CF433" i="53"/>
  <c r="CF410" i="53"/>
  <c r="CF402" i="53"/>
  <c r="CF394" i="53"/>
  <c r="CF386" i="53"/>
  <c r="CF378" i="53"/>
  <c r="CF370" i="53"/>
  <c r="CF362" i="53"/>
  <c r="CF354" i="53"/>
  <c r="CF346" i="53"/>
  <c r="CF338" i="53"/>
  <c r="CF330" i="53"/>
  <c r="CF322" i="53"/>
  <c r="CF314" i="53"/>
  <c r="CF306" i="53"/>
  <c r="CF298" i="53"/>
  <c r="CF293" i="53"/>
  <c r="CF282" i="53"/>
  <c r="CF416" i="53"/>
  <c r="CF384" i="53"/>
  <c r="CF352" i="53"/>
  <c r="CF320" i="53"/>
  <c r="CF272" i="53"/>
  <c r="CF287" i="53"/>
  <c r="CF269" i="53"/>
  <c r="CF408" i="53"/>
  <c r="CF376" i="53"/>
  <c r="CF344" i="53"/>
  <c r="CF312" i="53"/>
  <c r="CF286" i="53"/>
  <c r="CF268" i="53"/>
  <c r="CI264" i="53"/>
  <c r="CF400" i="53"/>
  <c r="CF368" i="53"/>
  <c r="CF336" i="53"/>
  <c r="CF304" i="53"/>
  <c r="CF281" i="53"/>
  <c r="CF277" i="53"/>
  <c r="CF429" i="53"/>
  <c r="CF392" i="53"/>
  <c r="CF360" i="53"/>
  <c r="CF328" i="53"/>
  <c r="CF297" i="53"/>
  <c r="CF276" i="53"/>
  <c r="CF292" i="53"/>
  <c r="CF273" i="53"/>
  <c r="CF418" i="53"/>
  <c r="CP271" i="53"/>
  <c r="CO271" i="53" s="1"/>
  <c r="CQ271" i="53" s="1"/>
  <c r="Q42" i="53"/>
  <c r="O42" i="15"/>
  <c r="P19" i="47"/>
  <c r="Q17" i="47"/>
  <c r="P18" i="47"/>
  <c r="D72" i="52"/>
  <c r="D74" i="52"/>
  <c r="D75" i="52"/>
  <c r="D73" i="52"/>
  <c r="D70" i="52"/>
  <c r="D76" i="52"/>
  <c r="D71" i="52"/>
  <c r="E68" i="52" l="1"/>
  <c r="O153" i="29"/>
  <c r="O174" i="29" s="1"/>
  <c r="O176" i="29" s="1"/>
  <c r="W153" i="29"/>
  <c r="W174" i="29" s="1"/>
  <c r="W176" i="29" s="1"/>
  <c r="AE153" i="29"/>
  <c r="AE174" i="29" s="1"/>
  <c r="AE176" i="29" s="1"/>
  <c r="F147" i="29"/>
  <c r="E69" i="52"/>
  <c r="CP272" i="53"/>
  <c r="CO272" i="53" s="1"/>
  <c r="CQ272" i="53" s="1"/>
  <c r="CL269" i="53"/>
  <c r="CK269" i="53" s="1"/>
  <c r="CM269" i="53" s="1"/>
  <c r="Q33" i="32"/>
  <c r="O24" i="41"/>
  <c r="P20" i="47"/>
  <c r="P21" i="47" s="1"/>
  <c r="CH265" i="53"/>
  <c r="CG265" i="53" s="1"/>
  <c r="CI265" i="53" s="1"/>
  <c r="CR422" i="53"/>
  <c r="CR277" i="53"/>
  <c r="CR433" i="53"/>
  <c r="CR289" i="53"/>
  <c r="CR393" i="53"/>
  <c r="CR398" i="53"/>
  <c r="CR350" i="53"/>
  <c r="CR302" i="53"/>
  <c r="CR406" i="53"/>
  <c r="CR419" i="53"/>
  <c r="CR395" i="53"/>
  <c r="CR358" i="53"/>
  <c r="CR351" i="53"/>
  <c r="CR327" i="53"/>
  <c r="CR303" i="53"/>
  <c r="CR285" i="53"/>
  <c r="CR310" i="53"/>
  <c r="CR416" i="53"/>
  <c r="CR384" i="53"/>
  <c r="CR352" i="53"/>
  <c r="CR320" i="53"/>
  <c r="CR288" i="53"/>
  <c r="E75" i="52"/>
  <c r="CR389" i="53"/>
  <c r="CD262" i="53"/>
  <c r="CT262" i="53" s="1"/>
  <c r="CU261" i="53"/>
  <c r="CR429" i="53"/>
  <c r="CR438" i="53"/>
  <c r="CR349" i="53"/>
  <c r="CR390" i="53"/>
  <c r="CR342" i="53"/>
  <c r="CR294" i="53"/>
  <c r="CR430" i="53"/>
  <c r="CR417" i="53"/>
  <c r="CR382" i="53"/>
  <c r="CR369" i="53"/>
  <c r="CR347" i="53"/>
  <c r="CR323" i="53"/>
  <c r="CR299" i="53"/>
  <c r="CR283" i="53"/>
  <c r="CR262" i="53"/>
  <c r="CR412" i="53"/>
  <c r="CR380" i="53"/>
  <c r="CR348" i="53"/>
  <c r="CR316" i="53"/>
  <c r="CR284" i="53"/>
  <c r="E76" i="52"/>
  <c r="E74" i="52"/>
  <c r="S12" i="47"/>
  <c r="CR437" i="53"/>
  <c r="CR341" i="53"/>
  <c r="CR410" i="53"/>
  <c r="CR421" i="53"/>
  <c r="CR426" i="53"/>
  <c r="CR301" i="53"/>
  <c r="CR386" i="53"/>
  <c r="CR338" i="53"/>
  <c r="CR290" i="53"/>
  <c r="CR439" i="53"/>
  <c r="CR415" i="53"/>
  <c r="CR391" i="53"/>
  <c r="CR367" i="53"/>
  <c r="CR334" i="53"/>
  <c r="CR319" i="53"/>
  <c r="CR286" i="53"/>
  <c r="CR279" i="53"/>
  <c r="CR440" i="53"/>
  <c r="CR408" i="53"/>
  <c r="CR376" i="53"/>
  <c r="CR344" i="53"/>
  <c r="CR312" i="53"/>
  <c r="CR280" i="53"/>
  <c r="E71" i="52"/>
  <c r="CR442" i="53"/>
  <c r="CR425" i="53"/>
  <c r="CR293" i="53"/>
  <c r="CR401" i="53"/>
  <c r="CR409" i="53"/>
  <c r="CR414" i="53"/>
  <c r="CR268" i="53"/>
  <c r="CR378" i="53"/>
  <c r="CR330" i="53"/>
  <c r="CR282" i="53"/>
  <c r="CR435" i="53"/>
  <c r="CR411" i="53"/>
  <c r="CR387" i="53"/>
  <c r="CR363" i="53"/>
  <c r="CR345" i="53"/>
  <c r="CR315" i="53"/>
  <c r="CR297" i="53"/>
  <c r="CR275" i="53"/>
  <c r="CR436" i="53"/>
  <c r="CR404" i="53"/>
  <c r="CR372" i="53"/>
  <c r="CR340" i="53"/>
  <c r="CR308" i="53"/>
  <c r="CR276" i="53"/>
  <c r="E73" i="52"/>
  <c r="CR444" i="53"/>
  <c r="N42" i="15"/>
  <c r="P42" i="53"/>
  <c r="CR405" i="53"/>
  <c r="CR264" i="53"/>
  <c r="CR353" i="53"/>
  <c r="CR385" i="53"/>
  <c r="CR365" i="53"/>
  <c r="CR377" i="53"/>
  <c r="CR374" i="53"/>
  <c r="CR326" i="53"/>
  <c r="CR278" i="53"/>
  <c r="CR431" i="53"/>
  <c r="CR407" i="53"/>
  <c r="CR383" i="53"/>
  <c r="CR359" i="53"/>
  <c r="CR343" i="53"/>
  <c r="CR311" i="53"/>
  <c r="CR295" i="53"/>
  <c r="CR270" i="53"/>
  <c r="CR432" i="53"/>
  <c r="CR400" i="53"/>
  <c r="CR368" i="53"/>
  <c r="CR336" i="53"/>
  <c r="CR304" i="53"/>
  <c r="CR271" i="53"/>
  <c r="E70" i="52"/>
  <c r="CR443" i="53"/>
  <c r="CR361" i="53"/>
  <c r="CR373" i="53"/>
  <c r="CR305" i="53"/>
  <c r="CR381" i="53"/>
  <c r="CR317" i="53"/>
  <c r="CR329" i="53"/>
  <c r="CR366" i="53"/>
  <c r="CR318" i="53"/>
  <c r="CR273" i="53"/>
  <c r="U35" i="53" s="1"/>
  <c r="CR418" i="53"/>
  <c r="CR394" i="53"/>
  <c r="CR379" i="53"/>
  <c r="CR346" i="53"/>
  <c r="CR339" i="53"/>
  <c r="CR298" i="53"/>
  <c r="CR291" i="53"/>
  <c r="CR266" i="53"/>
  <c r="CR428" i="53"/>
  <c r="CR396" i="53"/>
  <c r="CR364" i="53"/>
  <c r="CR332" i="53"/>
  <c r="CR300" i="53"/>
  <c r="CR267" i="53"/>
  <c r="CR313" i="53"/>
  <c r="CR325" i="53"/>
  <c r="CR272" i="53"/>
  <c r="CR337" i="53"/>
  <c r="CR413" i="53"/>
  <c r="CR281" i="53"/>
  <c r="CR362" i="53"/>
  <c r="CR314" i="53"/>
  <c r="CR269" i="53"/>
  <c r="CR427" i="53"/>
  <c r="CR403" i="53"/>
  <c r="CR375" i="53"/>
  <c r="CR357" i="53"/>
  <c r="CR335" i="53"/>
  <c r="CR309" i="53"/>
  <c r="CR287" i="53"/>
  <c r="CR370" i="53"/>
  <c r="CR424" i="53"/>
  <c r="CR392" i="53"/>
  <c r="CR360" i="53"/>
  <c r="CR328" i="53"/>
  <c r="CR296" i="53"/>
  <c r="CR263" i="53"/>
  <c r="E72" i="52"/>
  <c r="Q19" i="47"/>
  <c r="R17" i="47"/>
  <c r="Q18" i="47"/>
  <c r="CR434" i="53"/>
  <c r="CR321" i="53"/>
  <c r="CR441" i="53"/>
  <c r="CR333" i="53"/>
  <c r="CR397" i="53"/>
  <c r="CR402" i="53"/>
  <c r="CR354" i="53"/>
  <c r="CR306" i="53"/>
  <c r="CR265" i="53"/>
  <c r="CR423" i="53"/>
  <c r="CR399" i="53"/>
  <c r="CR371" i="53"/>
  <c r="CR355" i="53"/>
  <c r="CR331" i="53"/>
  <c r="CR307" i="53"/>
  <c r="CR274" i="53"/>
  <c r="CR322" i="53"/>
  <c r="CR420" i="53"/>
  <c r="CR388" i="53"/>
  <c r="CR356" i="53"/>
  <c r="CR324" i="53"/>
  <c r="CR292" i="53"/>
  <c r="G74" i="52" l="1"/>
  <c r="G75" i="52"/>
  <c r="G69" i="52"/>
  <c r="G70" i="52"/>
  <c r="G72" i="52"/>
  <c r="G73" i="52"/>
  <c r="G71" i="52"/>
  <c r="C53" i="52"/>
  <c r="G68" i="52"/>
  <c r="AD153" i="29"/>
  <c r="AD174" i="29" s="1"/>
  <c r="AD176" i="29" s="1"/>
  <c r="V153" i="29"/>
  <c r="V174" i="29" s="1"/>
  <c r="V176" i="29" s="1"/>
  <c r="N153" i="29"/>
  <c r="N174" i="29" s="1"/>
  <c r="N176" i="29" s="1"/>
  <c r="F149" i="29"/>
  <c r="AC153" i="29"/>
  <c r="AC174" i="29" s="1"/>
  <c r="AC176" i="29" s="1"/>
  <c r="U153" i="29"/>
  <c r="U174" i="29" s="1"/>
  <c r="U176" i="29" s="1"/>
  <c r="M153" i="29"/>
  <c r="M174" i="29" s="1"/>
  <c r="M176" i="29" s="1"/>
  <c r="F148" i="29"/>
  <c r="AJ153" i="29"/>
  <c r="AJ174" i="29" s="1"/>
  <c r="AJ176" i="29" s="1"/>
  <c r="AB153" i="29"/>
  <c r="AB174" i="29" s="1"/>
  <c r="AB176" i="29" s="1"/>
  <c r="T153" i="29"/>
  <c r="T174" i="29" s="1"/>
  <c r="T176" i="29" s="1"/>
  <c r="L153" i="29"/>
  <c r="L174" i="29" s="1"/>
  <c r="L176" i="29" s="1"/>
  <c r="F146" i="29"/>
  <c r="AI153" i="29"/>
  <c r="AI174" i="29" s="1"/>
  <c r="AI176" i="29" s="1"/>
  <c r="AA153" i="29"/>
  <c r="AA174" i="29" s="1"/>
  <c r="AA176" i="29" s="1"/>
  <c r="S153" i="29"/>
  <c r="S174" i="29" s="1"/>
  <c r="S176" i="29" s="1"/>
  <c r="K153" i="29"/>
  <c r="K174" i="29" s="1"/>
  <c r="K176" i="29" s="1"/>
  <c r="F150" i="29"/>
  <c r="AH153" i="29"/>
  <c r="AH174" i="29" s="1"/>
  <c r="AH176" i="29" s="1"/>
  <c r="Z153" i="29"/>
  <c r="Z174" i="29" s="1"/>
  <c r="Z176" i="29" s="1"/>
  <c r="R153" i="29"/>
  <c r="R174" i="29" s="1"/>
  <c r="R176" i="29" s="1"/>
  <c r="J153" i="29"/>
  <c r="J174" i="29" s="1"/>
  <c r="J176" i="29" s="1"/>
  <c r="F151" i="29"/>
  <c r="F145" i="29"/>
  <c r="AG153" i="29"/>
  <c r="AG174" i="29" s="1"/>
  <c r="AG176" i="29" s="1"/>
  <c r="Y153" i="29"/>
  <c r="Y174" i="29" s="1"/>
  <c r="Y176" i="29" s="1"/>
  <c r="Q153" i="29"/>
  <c r="Q174" i="29" s="1"/>
  <c r="Q176" i="29" s="1"/>
  <c r="AF153" i="29"/>
  <c r="AF174" i="29" s="1"/>
  <c r="AF176" i="29" s="1"/>
  <c r="X153" i="29"/>
  <c r="X174" i="29" s="1"/>
  <c r="X176" i="29" s="1"/>
  <c r="P153" i="29"/>
  <c r="P174" i="29" s="1"/>
  <c r="P176" i="29" s="1"/>
  <c r="H153" i="29"/>
  <c r="CC262" i="53"/>
  <c r="CS262" i="53" s="1"/>
  <c r="CL270" i="53"/>
  <c r="CK270" i="53" s="1"/>
  <c r="CM270" i="53" s="1"/>
  <c r="CH266" i="53"/>
  <c r="CG266" i="53" s="1"/>
  <c r="CI266" i="53" s="1"/>
  <c r="CP273" i="53"/>
  <c r="CO273" i="53" s="1"/>
  <c r="CQ273" i="53" s="1"/>
  <c r="U36" i="53"/>
  <c r="S46" i="15" s="1"/>
  <c r="U37" i="53"/>
  <c r="V35" i="53" s="1"/>
  <c r="V36" i="53" s="1"/>
  <c r="T46" i="15" s="1"/>
  <c r="P22" i="47"/>
  <c r="C55" i="52"/>
  <c r="C60" i="52"/>
  <c r="C54" i="52"/>
  <c r="T12" i="47"/>
  <c r="R19" i="47"/>
  <c r="R18" i="47"/>
  <c r="S17" i="47"/>
  <c r="C58" i="52"/>
  <c r="C56" i="52"/>
  <c r="C59" i="52"/>
  <c r="G76" i="52"/>
  <c r="C61" i="52"/>
  <c r="P24" i="41"/>
  <c r="R33" i="32"/>
  <c r="Q20" i="47"/>
  <c r="Q21" i="47" s="1"/>
  <c r="C57" i="52"/>
  <c r="I176" i="29" l="1"/>
  <c r="H174" i="29"/>
  <c r="H176" i="29" s="1"/>
  <c r="F153" i="29"/>
  <c r="F174" i="29"/>
  <c r="E115" i="18"/>
  <c r="L115" i="52" s="1"/>
  <c r="L124" i="52" s="1"/>
  <c r="E109" i="18"/>
  <c r="L109" i="52" s="1"/>
  <c r="E111" i="18"/>
  <c r="L111" i="52" s="1"/>
  <c r="E116" i="18"/>
  <c r="L116" i="52" s="1"/>
  <c r="L125" i="52" s="1"/>
  <c r="E113" i="18"/>
  <c r="L113" i="52" s="1"/>
  <c r="E112" i="18"/>
  <c r="L112" i="52" s="1"/>
  <c r="E110" i="18"/>
  <c r="L110" i="52" s="1"/>
  <c r="E114" i="18"/>
  <c r="L114" i="52" s="1"/>
  <c r="L123" i="52" s="1"/>
  <c r="E108" i="18"/>
  <c r="E106" i="18"/>
  <c r="K111" i="18"/>
  <c r="K110" i="18"/>
  <c r="I112" i="18"/>
  <c r="H114" i="18"/>
  <c r="J114" i="18"/>
  <c r="J111" i="18"/>
  <c r="K115" i="18"/>
  <c r="K116" i="18"/>
  <c r="I111" i="18"/>
  <c r="H115" i="18"/>
  <c r="J110" i="18"/>
  <c r="J113" i="18"/>
  <c r="K108" i="18"/>
  <c r="M111" i="18"/>
  <c r="M114" i="18"/>
  <c r="I108" i="18"/>
  <c r="H112" i="18"/>
  <c r="J109" i="18"/>
  <c r="J115" i="18"/>
  <c r="M108" i="18"/>
  <c r="I109" i="18"/>
  <c r="H116" i="18"/>
  <c r="H108" i="18"/>
  <c r="K109" i="18"/>
  <c r="M115" i="18"/>
  <c r="M116" i="18"/>
  <c r="I113" i="18"/>
  <c r="J112" i="18"/>
  <c r="K113" i="18"/>
  <c r="I110" i="18"/>
  <c r="I114" i="18"/>
  <c r="L114" i="18"/>
  <c r="H113" i="18"/>
  <c r="K114" i="18"/>
  <c r="M113" i="18"/>
  <c r="M110" i="18"/>
  <c r="M112" i="18"/>
  <c r="H110" i="18"/>
  <c r="H109" i="18"/>
  <c r="H111" i="18"/>
  <c r="J116" i="18"/>
  <c r="J108" i="18"/>
  <c r="L108" i="18"/>
  <c r="M109" i="18"/>
  <c r="I115" i="18"/>
  <c r="L110" i="18"/>
  <c r="L113" i="18"/>
  <c r="L109" i="18"/>
  <c r="F110" i="18"/>
  <c r="F109" i="18"/>
  <c r="N114" i="18"/>
  <c r="N110" i="18"/>
  <c r="G114" i="18"/>
  <c r="G108" i="18"/>
  <c r="L106" i="18"/>
  <c r="M106" i="18"/>
  <c r="I116" i="18"/>
  <c r="F115" i="18"/>
  <c r="F108" i="18"/>
  <c r="N109" i="18"/>
  <c r="G113" i="18"/>
  <c r="I106" i="18"/>
  <c r="K112" i="18"/>
  <c r="L112" i="18"/>
  <c r="F114" i="18"/>
  <c r="G116" i="18"/>
  <c r="K106" i="18"/>
  <c r="L115" i="18"/>
  <c r="N116" i="18"/>
  <c r="N115" i="18"/>
  <c r="G110" i="18"/>
  <c r="G109" i="18"/>
  <c r="F116" i="18"/>
  <c r="N112" i="18"/>
  <c r="N108" i="18"/>
  <c r="N111" i="18"/>
  <c r="L116" i="18"/>
  <c r="F112" i="18"/>
  <c r="F113" i="18"/>
  <c r="F111" i="18"/>
  <c r="N113" i="18"/>
  <c r="G111" i="18"/>
  <c r="G115" i="18"/>
  <c r="J106" i="18"/>
  <c r="H106" i="18"/>
  <c r="L111" i="18"/>
  <c r="N106" i="18"/>
  <c r="G106" i="18"/>
  <c r="F106" i="18"/>
  <c r="G112" i="18"/>
  <c r="O114" i="18"/>
  <c r="O110" i="18"/>
  <c r="O112" i="18"/>
  <c r="O106" i="18"/>
  <c r="O113" i="18"/>
  <c r="O111" i="18"/>
  <c r="O115" i="18"/>
  <c r="O109" i="18"/>
  <c r="O108" i="18"/>
  <c r="O116" i="18"/>
  <c r="P115" i="18"/>
  <c r="P106" i="18"/>
  <c r="P112" i="18"/>
  <c r="P108" i="18"/>
  <c r="P109" i="18"/>
  <c r="P114" i="18"/>
  <c r="P116" i="18"/>
  <c r="P111" i="18"/>
  <c r="P113" i="18"/>
  <c r="P110" i="18"/>
  <c r="Q106" i="18"/>
  <c r="Q109" i="18"/>
  <c r="Q110" i="18"/>
  <c r="Q113" i="18"/>
  <c r="Q114" i="18"/>
  <c r="Q108" i="18"/>
  <c r="Q116" i="18"/>
  <c r="Q111" i="18"/>
  <c r="Q115" i="18"/>
  <c r="Q112" i="18"/>
  <c r="R115" i="18"/>
  <c r="R114" i="18"/>
  <c r="R113" i="18"/>
  <c r="R110" i="18"/>
  <c r="R106" i="18"/>
  <c r="R112" i="18"/>
  <c r="R108" i="18"/>
  <c r="R116" i="18"/>
  <c r="R109" i="18"/>
  <c r="R111" i="18"/>
  <c r="S114" i="18"/>
  <c r="S111" i="18"/>
  <c r="S115" i="18"/>
  <c r="S116" i="18"/>
  <c r="S106" i="18"/>
  <c r="S109" i="18"/>
  <c r="S112" i="18"/>
  <c r="S113" i="18"/>
  <c r="S108" i="18"/>
  <c r="S110" i="18"/>
  <c r="T115" i="18"/>
  <c r="T113" i="18"/>
  <c r="T110" i="18"/>
  <c r="T111" i="18"/>
  <c r="T109" i="18"/>
  <c r="T106" i="18"/>
  <c r="T116" i="18"/>
  <c r="T112" i="18"/>
  <c r="T108" i="18"/>
  <c r="T114" i="18"/>
  <c r="U111" i="18"/>
  <c r="U112" i="18"/>
  <c r="U106" i="18"/>
  <c r="U108" i="18"/>
  <c r="U115" i="18"/>
  <c r="U116" i="18"/>
  <c r="U110" i="18"/>
  <c r="U113" i="18"/>
  <c r="U109" i="18"/>
  <c r="U114" i="18"/>
  <c r="V112" i="18"/>
  <c r="V108" i="18"/>
  <c r="V115" i="18"/>
  <c r="V109" i="18"/>
  <c r="V113" i="18"/>
  <c r="V106" i="18"/>
  <c r="V114" i="18"/>
  <c r="V110" i="18"/>
  <c r="V116" i="18"/>
  <c r="V111" i="18"/>
  <c r="W113" i="18"/>
  <c r="W108" i="18"/>
  <c r="W109" i="18"/>
  <c r="W110" i="18"/>
  <c r="W106" i="18"/>
  <c r="W114" i="18"/>
  <c r="W116" i="18"/>
  <c r="W111" i="18"/>
  <c r="W115" i="18"/>
  <c r="W112" i="18"/>
  <c r="X114" i="18"/>
  <c r="X115" i="18"/>
  <c r="X106" i="18"/>
  <c r="X112" i="18"/>
  <c r="X116" i="18"/>
  <c r="X113" i="18"/>
  <c r="X109" i="18"/>
  <c r="X111" i="18"/>
  <c r="X108" i="18"/>
  <c r="X110" i="18"/>
  <c r="Y112" i="18"/>
  <c r="Y111" i="18"/>
  <c r="Y116" i="18"/>
  <c r="Y106" i="18"/>
  <c r="Y109" i="18"/>
  <c r="Y113" i="18"/>
  <c r="Y114" i="18"/>
  <c r="Y108" i="18"/>
  <c r="Y115" i="18"/>
  <c r="Y110" i="18"/>
  <c r="Z116" i="18"/>
  <c r="Z113" i="18"/>
  <c r="Z114" i="18"/>
  <c r="Z110" i="18"/>
  <c r="Z108" i="18"/>
  <c r="Z115" i="18"/>
  <c r="Z111" i="18"/>
  <c r="Z106" i="18"/>
  <c r="Z112" i="18"/>
  <c r="Z109" i="18"/>
  <c r="AA109" i="18"/>
  <c r="AA113" i="18"/>
  <c r="AA110" i="18"/>
  <c r="AA108" i="18"/>
  <c r="AA106" i="18"/>
  <c r="AA114" i="18"/>
  <c r="AA116" i="18"/>
  <c r="AA111" i="18"/>
  <c r="AA115" i="18"/>
  <c r="AA112" i="18"/>
  <c r="AB106" i="18"/>
  <c r="AB110" i="18"/>
  <c r="AB111" i="18"/>
  <c r="AB113" i="18"/>
  <c r="AB116" i="18"/>
  <c r="AB112" i="18"/>
  <c r="AB108" i="18"/>
  <c r="AB115" i="18"/>
  <c r="AB109" i="18"/>
  <c r="AB114" i="18"/>
  <c r="AC111" i="18"/>
  <c r="AC114" i="18"/>
  <c r="AC115" i="18"/>
  <c r="AC116" i="18"/>
  <c r="AC112" i="18"/>
  <c r="AC108" i="18"/>
  <c r="AC113" i="18"/>
  <c r="AC109" i="18"/>
  <c r="AC110" i="18"/>
  <c r="AC106" i="18"/>
  <c r="AD112" i="18"/>
  <c r="AD108" i="18"/>
  <c r="AD113" i="18"/>
  <c r="AD111" i="18"/>
  <c r="AD114" i="18"/>
  <c r="AD110" i="18"/>
  <c r="AD109" i="18"/>
  <c r="AD106" i="18"/>
  <c r="AD116" i="18"/>
  <c r="AD115" i="18"/>
  <c r="AE113" i="18"/>
  <c r="AE116" i="18"/>
  <c r="AE106" i="18"/>
  <c r="AE109" i="18"/>
  <c r="AE110" i="18"/>
  <c r="AE108" i="18"/>
  <c r="AE114" i="18"/>
  <c r="AE111" i="18"/>
  <c r="AE115" i="18"/>
  <c r="AE112" i="18"/>
  <c r="AF114" i="18"/>
  <c r="AF108" i="18"/>
  <c r="AF115" i="18"/>
  <c r="AF106" i="18"/>
  <c r="AF112" i="18"/>
  <c r="AF111" i="18"/>
  <c r="AF109" i="18"/>
  <c r="AF116" i="18"/>
  <c r="AF113" i="18"/>
  <c r="AF110" i="18"/>
  <c r="AG115" i="18"/>
  <c r="AG110" i="18"/>
  <c r="AG106" i="18"/>
  <c r="AG111" i="18"/>
  <c r="AG112" i="18"/>
  <c r="AG114" i="18"/>
  <c r="AG116" i="18"/>
  <c r="AG109" i="18"/>
  <c r="AG113" i="18"/>
  <c r="AG108" i="18"/>
  <c r="AH116" i="18"/>
  <c r="AH111" i="18"/>
  <c r="AH109" i="18"/>
  <c r="AH106" i="18"/>
  <c r="AH110" i="18"/>
  <c r="AH114" i="18"/>
  <c r="AH115" i="18"/>
  <c r="AH113" i="18"/>
  <c r="AH112" i="18"/>
  <c r="AH108" i="18"/>
  <c r="E63" i="18"/>
  <c r="H111" i="52" s="1"/>
  <c r="E67" i="18"/>
  <c r="H115" i="52" s="1"/>
  <c r="H124" i="52" s="1"/>
  <c r="E61" i="18"/>
  <c r="H109" i="52" s="1"/>
  <c r="E66" i="18"/>
  <c r="H114" i="52" s="1"/>
  <c r="H123" i="52" s="1"/>
  <c r="E58" i="18"/>
  <c r="E62" i="18"/>
  <c r="H110" i="52" s="1"/>
  <c r="E60" i="18"/>
  <c r="E65" i="18"/>
  <c r="H113" i="52" s="1"/>
  <c r="E64" i="18"/>
  <c r="H112" i="52" s="1"/>
  <c r="E68" i="18"/>
  <c r="J64" i="18"/>
  <c r="J67" i="18"/>
  <c r="K66" i="18"/>
  <c r="M67" i="18"/>
  <c r="I65" i="18"/>
  <c r="I60" i="18"/>
  <c r="H61" i="18"/>
  <c r="K68" i="18"/>
  <c r="M64" i="18"/>
  <c r="I64" i="18"/>
  <c r="I68" i="18"/>
  <c r="H62" i="18"/>
  <c r="H68" i="18"/>
  <c r="J66" i="18"/>
  <c r="I67" i="18"/>
  <c r="H60" i="18"/>
  <c r="J68" i="18"/>
  <c r="J61" i="18"/>
  <c r="K61" i="18"/>
  <c r="K67" i="18"/>
  <c r="M61" i="18"/>
  <c r="H63" i="18"/>
  <c r="J60" i="18"/>
  <c r="J63" i="18"/>
  <c r="M68" i="18"/>
  <c r="I62" i="18"/>
  <c r="H67" i="18"/>
  <c r="K64" i="18"/>
  <c r="M66" i="18"/>
  <c r="M60" i="18"/>
  <c r="I63" i="18"/>
  <c r="I61" i="18"/>
  <c r="H66" i="18"/>
  <c r="H65" i="18"/>
  <c r="H64" i="18"/>
  <c r="J62" i="18"/>
  <c r="K63" i="18"/>
  <c r="K62" i="18"/>
  <c r="M63" i="18"/>
  <c r="J65" i="18"/>
  <c r="L64" i="18"/>
  <c r="F60" i="18"/>
  <c r="F62" i="18"/>
  <c r="G64" i="18"/>
  <c r="G62" i="18"/>
  <c r="K65" i="18"/>
  <c r="N63" i="18"/>
  <c r="N67" i="18"/>
  <c r="N65" i="18"/>
  <c r="G61" i="18"/>
  <c r="G66" i="18"/>
  <c r="K60" i="18"/>
  <c r="M65" i="18"/>
  <c r="I66" i="18"/>
  <c r="F64" i="18"/>
  <c r="F67" i="18"/>
  <c r="N64" i="18"/>
  <c r="G63" i="18"/>
  <c r="J58" i="18"/>
  <c r="M62" i="18"/>
  <c r="L61" i="18"/>
  <c r="L63" i="18"/>
  <c r="F61" i="18"/>
  <c r="K58" i="18"/>
  <c r="L66" i="18"/>
  <c r="L67" i="18"/>
  <c r="F66" i="18"/>
  <c r="N68" i="18"/>
  <c r="G68" i="18"/>
  <c r="L58" i="18"/>
  <c r="M58" i="18"/>
  <c r="L60" i="18"/>
  <c r="N66" i="18"/>
  <c r="L62" i="18"/>
  <c r="L65" i="18"/>
  <c r="F68" i="18"/>
  <c r="F65" i="18"/>
  <c r="N60" i="18"/>
  <c r="N61" i="18"/>
  <c r="G65" i="18"/>
  <c r="G67" i="18"/>
  <c r="L68" i="18"/>
  <c r="I58" i="18"/>
  <c r="F58" i="18"/>
  <c r="G58" i="18"/>
  <c r="F63" i="18"/>
  <c r="H58" i="18"/>
  <c r="N62" i="18"/>
  <c r="G60" i="18"/>
  <c r="N58" i="18"/>
  <c r="O65" i="18"/>
  <c r="O64" i="18"/>
  <c r="O67" i="18"/>
  <c r="O58" i="18"/>
  <c r="O63" i="18"/>
  <c r="O62" i="18"/>
  <c r="O66" i="18"/>
  <c r="O61" i="18"/>
  <c r="O60" i="18"/>
  <c r="O68" i="18"/>
  <c r="P68" i="18"/>
  <c r="P62" i="18"/>
  <c r="P65" i="18"/>
  <c r="P67" i="18"/>
  <c r="P60" i="18"/>
  <c r="P58" i="18"/>
  <c r="P64" i="18"/>
  <c r="P61" i="18"/>
  <c r="P63" i="18"/>
  <c r="P66" i="18"/>
  <c r="Q62" i="18"/>
  <c r="Q64" i="18"/>
  <c r="Q58" i="18"/>
  <c r="Q68" i="18"/>
  <c r="Q63" i="18"/>
  <c r="Q66" i="18"/>
  <c r="Q67" i="18"/>
  <c r="Q61" i="18"/>
  <c r="Q65" i="18"/>
  <c r="Q60" i="18"/>
  <c r="R61" i="18"/>
  <c r="R60" i="18"/>
  <c r="R65" i="18"/>
  <c r="R62" i="18"/>
  <c r="R63" i="18"/>
  <c r="R66" i="18"/>
  <c r="R58" i="18"/>
  <c r="R67" i="18"/>
  <c r="R68" i="18"/>
  <c r="R64" i="18"/>
  <c r="S61" i="18"/>
  <c r="S66" i="18"/>
  <c r="S68" i="18"/>
  <c r="S64" i="18"/>
  <c r="S58" i="18"/>
  <c r="S65" i="18"/>
  <c r="S63" i="18"/>
  <c r="S62" i="18"/>
  <c r="S60" i="18"/>
  <c r="S67" i="18"/>
  <c r="T66" i="18"/>
  <c r="T58" i="18"/>
  <c r="T61" i="18"/>
  <c r="T68" i="18"/>
  <c r="T60" i="18"/>
  <c r="T63" i="18"/>
  <c r="T62" i="18"/>
  <c r="T64" i="18"/>
  <c r="T65" i="18"/>
  <c r="T67" i="18"/>
  <c r="U64" i="18"/>
  <c r="U68" i="18"/>
  <c r="U63" i="18"/>
  <c r="U58" i="18"/>
  <c r="U61" i="18"/>
  <c r="U62" i="18"/>
  <c r="U60" i="18"/>
  <c r="U66" i="18"/>
  <c r="U67" i="18"/>
  <c r="U65" i="18"/>
  <c r="V66" i="18"/>
  <c r="V61" i="18"/>
  <c r="V58" i="18"/>
  <c r="V60" i="18"/>
  <c r="V63" i="18"/>
  <c r="V65" i="18"/>
  <c r="V68" i="18"/>
  <c r="V62" i="18"/>
  <c r="V64" i="18"/>
  <c r="V67" i="18"/>
  <c r="W68" i="18"/>
  <c r="W65" i="18"/>
  <c r="W60" i="18"/>
  <c r="W67" i="18"/>
  <c r="W61" i="18"/>
  <c r="W64" i="18"/>
  <c r="W62" i="18"/>
  <c r="W58" i="18"/>
  <c r="W63" i="18"/>
  <c r="W66" i="18"/>
  <c r="X60" i="18"/>
  <c r="X58" i="18"/>
  <c r="X66" i="18"/>
  <c r="X68" i="18"/>
  <c r="X65" i="18"/>
  <c r="X63" i="18"/>
  <c r="X62" i="18"/>
  <c r="X67" i="18"/>
  <c r="X61" i="18"/>
  <c r="X64" i="18"/>
  <c r="Y65" i="18"/>
  <c r="Y60" i="18"/>
  <c r="Y58" i="18"/>
  <c r="Y64" i="18"/>
  <c r="Y63" i="18"/>
  <c r="Y68" i="18"/>
  <c r="Y67" i="18"/>
  <c r="Y62" i="18"/>
  <c r="Y61" i="18"/>
  <c r="Y66" i="18"/>
  <c r="Z64" i="18"/>
  <c r="Z62" i="18"/>
  <c r="Z65" i="18"/>
  <c r="Z58" i="18"/>
  <c r="Z67" i="18"/>
  <c r="Z61" i="18"/>
  <c r="Z63" i="18"/>
  <c r="Z60" i="18"/>
  <c r="Z66" i="18"/>
  <c r="Z68" i="18"/>
  <c r="AA67" i="18"/>
  <c r="AA62" i="18"/>
  <c r="AA68" i="18"/>
  <c r="AA58" i="18"/>
  <c r="AA61" i="18"/>
  <c r="AA63" i="18"/>
  <c r="AA66" i="18"/>
  <c r="AA64" i="18"/>
  <c r="AA65" i="18"/>
  <c r="AA60" i="18"/>
  <c r="AB64" i="18"/>
  <c r="AB66" i="18"/>
  <c r="AB67" i="18"/>
  <c r="AB58" i="18"/>
  <c r="AB61" i="18"/>
  <c r="AB63" i="18"/>
  <c r="AB68" i="18"/>
  <c r="AB60" i="18"/>
  <c r="AB65" i="18"/>
  <c r="AB62" i="18"/>
  <c r="AC58" i="18"/>
  <c r="AC63" i="18"/>
  <c r="AC61" i="18"/>
  <c r="AC64" i="18"/>
  <c r="AC66" i="18"/>
  <c r="AC68" i="18"/>
  <c r="AC67" i="18"/>
  <c r="AC65" i="18"/>
  <c r="AC60" i="18"/>
  <c r="AC62" i="18"/>
  <c r="AD62" i="18"/>
  <c r="AD61" i="18"/>
  <c r="AD58" i="18"/>
  <c r="AD63" i="18"/>
  <c r="AD60" i="18"/>
  <c r="AD68" i="18"/>
  <c r="AD65" i="18"/>
  <c r="AD64" i="18"/>
  <c r="AD67" i="18"/>
  <c r="AD66" i="18"/>
  <c r="AE61" i="18"/>
  <c r="AE64" i="18"/>
  <c r="AE68" i="18"/>
  <c r="AE62" i="18"/>
  <c r="AE63" i="18"/>
  <c r="AE66" i="18"/>
  <c r="AE65" i="18"/>
  <c r="AE60" i="18"/>
  <c r="AE67" i="18"/>
  <c r="AE58" i="18"/>
  <c r="AF60" i="18"/>
  <c r="AF61" i="18"/>
  <c r="AF58" i="18"/>
  <c r="AF63" i="18"/>
  <c r="AF62" i="18"/>
  <c r="AF65" i="18"/>
  <c r="AF67" i="18"/>
  <c r="AF66" i="18"/>
  <c r="AF64" i="18"/>
  <c r="AF68" i="18"/>
  <c r="AG67" i="18"/>
  <c r="AG60" i="18"/>
  <c r="AG61" i="18"/>
  <c r="AG58" i="18"/>
  <c r="AG62" i="18"/>
  <c r="AG64" i="18"/>
  <c r="AG66" i="18"/>
  <c r="AG63" i="18"/>
  <c r="AG65" i="18"/>
  <c r="AG68" i="18"/>
  <c r="AH60" i="18"/>
  <c r="AH66" i="18"/>
  <c r="AH58" i="18"/>
  <c r="AH68" i="18"/>
  <c r="AH63" i="18"/>
  <c r="AH64" i="18"/>
  <c r="AH62" i="18"/>
  <c r="AH65" i="18"/>
  <c r="AH67" i="18"/>
  <c r="AH61" i="18"/>
  <c r="E90" i="18"/>
  <c r="J114" i="52" s="1"/>
  <c r="J123" i="52" s="1"/>
  <c r="E87" i="18"/>
  <c r="J111" i="52" s="1"/>
  <c r="E92" i="18"/>
  <c r="J116" i="52" s="1"/>
  <c r="J125" i="52" s="1"/>
  <c r="E89" i="18"/>
  <c r="J113" i="52" s="1"/>
  <c r="E91" i="18"/>
  <c r="J115" i="52" s="1"/>
  <c r="J124" i="52" s="1"/>
  <c r="E85" i="18"/>
  <c r="J109" i="52" s="1"/>
  <c r="E86" i="18"/>
  <c r="J110" i="52" s="1"/>
  <c r="E82" i="18"/>
  <c r="E84" i="18"/>
  <c r="E88" i="18"/>
  <c r="J112" i="52" s="1"/>
  <c r="H84" i="18"/>
  <c r="H85" i="18"/>
  <c r="J87" i="18"/>
  <c r="J86" i="18"/>
  <c r="K89" i="18"/>
  <c r="M91" i="18"/>
  <c r="I87" i="18"/>
  <c r="I91" i="18"/>
  <c r="L86" i="18"/>
  <c r="H92" i="18"/>
  <c r="J89" i="18"/>
  <c r="J85" i="18"/>
  <c r="K86" i="18"/>
  <c r="K92" i="18"/>
  <c r="M90" i="18"/>
  <c r="H91" i="18"/>
  <c r="J90" i="18"/>
  <c r="J88" i="18"/>
  <c r="K88" i="18"/>
  <c r="K87" i="18"/>
  <c r="I92" i="18"/>
  <c r="I84" i="18"/>
  <c r="J91" i="18"/>
  <c r="K85" i="18"/>
  <c r="M85" i="18"/>
  <c r="H88" i="18"/>
  <c r="H86" i="18"/>
  <c r="J84" i="18"/>
  <c r="M86" i="18"/>
  <c r="I88" i="18"/>
  <c r="I90" i="18"/>
  <c r="H87" i="18"/>
  <c r="K90" i="18"/>
  <c r="K91" i="18"/>
  <c r="M92" i="18"/>
  <c r="M87" i="18"/>
  <c r="M84" i="18"/>
  <c r="I85" i="18"/>
  <c r="I86" i="18"/>
  <c r="H90" i="18"/>
  <c r="J92" i="18"/>
  <c r="K84" i="18"/>
  <c r="H89" i="18"/>
  <c r="M88" i="18"/>
  <c r="L87" i="18"/>
  <c r="L85" i="18"/>
  <c r="F88" i="18"/>
  <c r="F84" i="18"/>
  <c r="N89" i="18"/>
  <c r="G84" i="18"/>
  <c r="F91" i="18"/>
  <c r="F85" i="18"/>
  <c r="N91" i="18"/>
  <c r="N85" i="18"/>
  <c r="G91" i="18"/>
  <c r="G89" i="18"/>
  <c r="M82" i="18"/>
  <c r="G82" i="18"/>
  <c r="L92" i="18"/>
  <c r="L91" i="18"/>
  <c r="L88" i="18"/>
  <c r="F86" i="18"/>
  <c r="F92" i="18"/>
  <c r="F90" i="18"/>
  <c r="N90" i="18"/>
  <c r="I82" i="18"/>
  <c r="L84" i="18"/>
  <c r="F89" i="18"/>
  <c r="F87" i="18"/>
  <c r="N92" i="18"/>
  <c r="G85" i="18"/>
  <c r="F82" i="18"/>
  <c r="G92" i="18"/>
  <c r="M89" i="18"/>
  <c r="N88" i="18"/>
  <c r="N86" i="18"/>
  <c r="L90" i="18"/>
  <c r="N87" i="18"/>
  <c r="G87" i="18"/>
  <c r="J82" i="18"/>
  <c r="H82" i="18"/>
  <c r="L82" i="18"/>
  <c r="G86" i="18"/>
  <c r="L89" i="18"/>
  <c r="N84" i="18"/>
  <c r="G88" i="18"/>
  <c r="K82" i="18"/>
  <c r="I89" i="18"/>
  <c r="G90" i="18"/>
  <c r="N82" i="18"/>
  <c r="O88" i="18"/>
  <c r="O89" i="18"/>
  <c r="O90" i="18"/>
  <c r="O87" i="18"/>
  <c r="O82" i="18"/>
  <c r="O86" i="18"/>
  <c r="O84" i="18"/>
  <c r="O85" i="18"/>
  <c r="O91" i="18"/>
  <c r="O92" i="18"/>
  <c r="P84" i="18"/>
  <c r="P85" i="18"/>
  <c r="P82" i="18"/>
  <c r="P90" i="18"/>
  <c r="P91" i="18"/>
  <c r="P86" i="18"/>
  <c r="P92" i="18"/>
  <c r="P89" i="18"/>
  <c r="P88" i="18"/>
  <c r="P87" i="18"/>
  <c r="Q92" i="18"/>
  <c r="Q87" i="18"/>
  <c r="Q90" i="18"/>
  <c r="Q85" i="18"/>
  <c r="Q88" i="18"/>
  <c r="Q84" i="18"/>
  <c r="Q86" i="18"/>
  <c r="Q91" i="18"/>
  <c r="Q89" i="18"/>
  <c r="Q82" i="18"/>
  <c r="R85" i="18"/>
  <c r="R82" i="18"/>
  <c r="R91" i="18"/>
  <c r="R90" i="18"/>
  <c r="R89" i="18"/>
  <c r="R84" i="18"/>
  <c r="R86" i="18"/>
  <c r="R92" i="18"/>
  <c r="R87" i="18"/>
  <c r="R88" i="18"/>
  <c r="S91" i="18"/>
  <c r="S84" i="18"/>
  <c r="S87" i="18"/>
  <c r="S90" i="18"/>
  <c r="S92" i="18"/>
  <c r="S86" i="18"/>
  <c r="S88" i="18"/>
  <c r="S89" i="18"/>
  <c r="S85" i="18"/>
  <c r="S82" i="18"/>
  <c r="T86" i="18"/>
  <c r="T84" i="18"/>
  <c r="T89" i="18"/>
  <c r="T87" i="18"/>
  <c r="T82" i="18"/>
  <c r="T88" i="18"/>
  <c r="T92" i="18"/>
  <c r="T85" i="18"/>
  <c r="T91" i="18"/>
  <c r="T90" i="18"/>
  <c r="U82" i="18"/>
  <c r="U88" i="18"/>
  <c r="U87" i="18"/>
  <c r="U90" i="18"/>
  <c r="U85" i="18"/>
  <c r="U84" i="18"/>
  <c r="U86" i="18"/>
  <c r="U92" i="18"/>
  <c r="U89" i="18"/>
  <c r="U91" i="18"/>
  <c r="V88" i="18"/>
  <c r="V87" i="18"/>
  <c r="V84" i="18"/>
  <c r="V92" i="18"/>
  <c r="V85" i="18"/>
  <c r="V89" i="18"/>
  <c r="V82" i="18"/>
  <c r="V90" i="18"/>
  <c r="V86" i="18"/>
  <c r="V91" i="18"/>
  <c r="W82" i="18"/>
  <c r="W86" i="18"/>
  <c r="W89" i="18"/>
  <c r="W88" i="18"/>
  <c r="W91" i="18"/>
  <c r="W92" i="18"/>
  <c r="W90" i="18"/>
  <c r="W87" i="18"/>
  <c r="W84" i="18"/>
  <c r="W85" i="18"/>
  <c r="X82" i="18"/>
  <c r="X91" i="18"/>
  <c r="X90" i="18"/>
  <c r="X86" i="18"/>
  <c r="X87" i="18"/>
  <c r="X84" i="18"/>
  <c r="X85" i="18"/>
  <c r="X88" i="18"/>
  <c r="X89" i="18"/>
  <c r="X92" i="18"/>
  <c r="Y86" i="18"/>
  <c r="Y87" i="18"/>
  <c r="Y91" i="18"/>
  <c r="Y89" i="18"/>
  <c r="Y88" i="18"/>
  <c r="Y82" i="18"/>
  <c r="Y92" i="18"/>
  <c r="Y90" i="18"/>
  <c r="Y85" i="18"/>
  <c r="Y84" i="18"/>
  <c r="Z85" i="18"/>
  <c r="Z92" i="18"/>
  <c r="Z87" i="18"/>
  <c r="Z82" i="18"/>
  <c r="Z86" i="18"/>
  <c r="Z91" i="18"/>
  <c r="Z88" i="18"/>
  <c r="Z89" i="18"/>
  <c r="Z90" i="18"/>
  <c r="Z84" i="18"/>
  <c r="AA87" i="18"/>
  <c r="AA86" i="18"/>
  <c r="AA91" i="18"/>
  <c r="AA90" i="18"/>
  <c r="AA85" i="18"/>
  <c r="AA92" i="18"/>
  <c r="AA88" i="18"/>
  <c r="AA82" i="18"/>
  <c r="AA84" i="18"/>
  <c r="AA89" i="18"/>
  <c r="AB86" i="18"/>
  <c r="AB82" i="18"/>
  <c r="AB90" i="18"/>
  <c r="AB87" i="18"/>
  <c r="AB91" i="18"/>
  <c r="AB88" i="18"/>
  <c r="AB89" i="18"/>
  <c r="AB92" i="18"/>
  <c r="AB85" i="18"/>
  <c r="AB84" i="18"/>
  <c r="AC82" i="18"/>
  <c r="AC92" i="18"/>
  <c r="AC90" i="18"/>
  <c r="AC89" i="18"/>
  <c r="AC88" i="18"/>
  <c r="AC87" i="18"/>
  <c r="AC84" i="18"/>
  <c r="AC85" i="18"/>
  <c r="AC91" i="18"/>
  <c r="AC86" i="18"/>
  <c r="AD88" i="18"/>
  <c r="AD84" i="18"/>
  <c r="AD89" i="18"/>
  <c r="AD85" i="18"/>
  <c r="AD90" i="18"/>
  <c r="AD82" i="18"/>
  <c r="AD91" i="18"/>
  <c r="AD92" i="18"/>
  <c r="AD87" i="18"/>
  <c r="AD86" i="18"/>
  <c r="AE82" i="18"/>
  <c r="AE88" i="18"/>
  <c r="AE85" i="18"/>
  <c r="AE92" i="18"/>
  <c r="AE86" i="18"/>
  <c r="AE87" i="18"/>
  <c r="AE89" i="18"/>
  <c r="AE84" i="18"/>
  <c r="AE91" i="18"/>
  <c r="AE90" i="18"/>
  <c r="AF89" i="18"/>
  <c r="AF90" i="18"/>
  <c r="AF82" i="18"/>
  <c r="AF91" i="18"/>
  <c r="AF84" i="18"/>
  <c r="AF85" i="18"/>
  <c r="AF86" i="18"/>
  <c r="AF88" i="18"/>
  <c r="AF92" i="18"/>
  <c r="AF87" i="18"/>
  <c r="AG91" i="18"/>
  <c r="AG82" i="18"/>
  <c r="AG90" i="18"/>
  <c r="AG88" i="18"/>
  <c r="AG92" i="18"/>
  <c r="AG89" i="18"/>
  <c r="AG84" i="18"/>
  <c r="AG85" i="18"/>
  <c r="AG86" i="18"/>
  <c r="AG87" i="18"/>
  <c r="AH82" i="18"/>
  <c r="AH92" i="18"/>
  <c r="AH91" i="18"/>
  <c r="AH85" i="18"/>
  <c r="AH89" i="18"/>
  <c r="AH88" i="18"/>
  <c r="AH87" i="18"/>
  <c r="AH86" i="18"/>
  <c r="AH90" i="18"/>
  <c r="AH84" i="18"/>
  <c r="E52" i="18"/>
  <c r="G112" i="52" s="1"/>
  <c r="E56" i="18"/>
  <c r="G116" i="52" s="1"/>
  <c r="G125" i="52" s="1"/>
  <c r="E55" i="18"/>
  <c r="G115" i="52" s="1"/>
  <c r="G124" i="52" s="1"/>
  <c r="E54" i="18"/>
  <c r="G114" i="52" s="1"/>
  <c r="G123" i="52" s="1"/>
  <c r="E50" i="18"/>
  <c r="G110" i="52" s="1"/>
  <c r="E53" i="18"/>
  <c r="G113" i="52" s="1"/>
  <c r="E49" i="18"/>
  <c r="G109" i="52" s="1"/>
  <c r="E51" i="18"/>
  <c r="G111" i="52" s="1"/>
  <c r="E46" i="18"/>
  <c r="E48" i="18"/>
  <c r="H49" i="18"/>
  <c r="H50" i="18"/>
  <c r="J51" i="18"/>
  <c r="K54" i="18"/>
  <c r="K51" i="18"/>
  <c r="M50" i="18"/>
  <c r="M48" i="18"/>
  <c r="I48" i="18"/>
  <c r="J53" i="18"/>
  <c r="J56" i="18"/>
  <c r="J52" i="18"/>
  <c r="K52" i="18"/>
  <c r="K48" i="18"/>
  <c r="M56" i="18"/>
  <c r="I54" i="18"/>
  <c r="H53" i="18"/>
  <c r="J50" i="18"/>
  <c r="J54" i="18"/>
  <c r="J49" i="18"/>
  <c r="K50" i="18"/>
  <c r="K49" i="18"/>
  <c r="I51" i="18"/>
  <c r="H51" i="18"/>
  <c r="H48" i="18"/>
  <c r="J48" i="18"/>
  <c r="J55" i="18"/>
  <c r="I56" i="18"/>
  <c r="I52" i="18"/>
  <c r="K56" i="18"/>
  <c r="K55" i="18"/>
  <c r="I50" i="18"/>
  <c r="H56" i="18"/>
  <c r="M49" i="18"/>
  <c r="I55" i="18"/>
  <c r="K53" i="18"/>
  <c r="M55" i="18"/>
  <c r="M54" i="18"/>
  <c r="M53" i="18"/>
  <c r="H55" i="18"/>
  <c r="H54" i="18"/>
  <c r="H52" i="18"/>
  <c r="L52" i="18"/>
  <c r="L54" i="18"/>
  <c r="N51" i="18"/>
  <c r="G54" i="18"/>
  <c r="G49" i="18"/>
  <c r="J46" i="18"/>
  <c r="M52" i="18"/>
  <c r="L53" i="18"/>
  <c r="F53" i="18"/>
  <c r="L56" i="18"/>
  <c r="F48" i="18"/>
  <c r="F54" i="18"/>
  <c r="N52" i="18"/>
  <c r="N50" i="18"/>
  <c r="L46" i="18"/>
  <c r="I53" i="18"/>
  <c r="F52" i="18"/>
  <c r="N53" i="18"/>
  <c r="N56" i="18"/>
  <c r="G53" i="18"/>
  <c r="I46" i="18"/>
  <c r="M51" i="18"/>
  <c r="L50" i="18"/>
  <c r="F49" i="18"/>
  <c r="F50" i="18"/>
  <c r="N49" i="18"/>
  <c r="G48" i="18"/>
  <c r="G55" i="18"/>
  <c r="K46" i="18"/>
  <c r="L55" i="18"/>
  <c r="L48" i="18"/>
  <c r="F55" i="18"/>
  <c r="F56" i="18"/>
  <c r="N54" i="18"/>
  <c r="L49" i="18"/>
  <c r="N48" i="18"/>
  <c r="G51" i="18"/>
  <c r="F51" i="18"/>
  <c r="N55" i="18"/>
  <c r="G56" i="18"/>
  <c r="G52" i="18"/>
  <c r="N46" i="18"/>
  <c r="F46" i="18"/>
  <c r="G50" i="18"/>
  <c r="H46" i="18"/>
  <c r="M46" i="18"/>
  <c r="I49" i="18"/>
  <c r="L51" i="18"/>
  <c r="G46" i="18"/>
  <c r="O54" i="18"/>
  <c r="O49" i="18"/>
  <c r="O55" i="18"/>
  <c r="O56" i="18"/>
  <c r="O52" i="18"/>
  <c r="O48" i="18"/>
  <c r="O53" i="18"/>
  <c r="O46" i="18"/>
  <c r="O50" i="18"/>
  <c r="O51" i="18"/>
  <c r="P55" i="18"/>
  <c r="P48" i="18"/>
  <c r="P46" i="18"/>
  <c r="P51" i="18"/>
  <c r="P54" i="18"/>
  <c r="P56" i="18"/>
  <c r="P53" i="18"/>
  <c r="P52" i="18"/>
  <c r="P49" i="18"/>
  <c r="P50" i="18"/>
  <c r="Q52" i="18"/>
  <c r="Q49" i="18"/>
  <c r="Q55" i="18"/>
  <c r="Q53" i="18"/>
  <c r="Q56" i="18"/>
  <c r="Q48" i="18"/>
  <c r="Q50" i="18"/>
  <c r="Q51" i="18"/>
  <c r="Q46" i="18"/>
  <c r="Q54" i="18"/>
  <c r="R53" i="18"/>
  <c r="R46" i="18"/>
  <c r="R55" i="18"/>
  <c r="R51" i="18"/>
  <c r="R48" i="18"/>
  <c r="R50" i="18"/>
  <c r="R49" i="18"/>
  <c r="R56" i="18"/>
  <c r="R52" i="18"/>
  <c r="R54" i="18"/>
  <c r="S56" i="18"/>
  <c r="S53" i="18"/>
  <c r="S55" i="18"/>
  <c r="S52" i="18"/>
  <c r="S48" i="18"/>
  <c r="S54" i="18"/>
  <c r="S51" i="18"/>
  <c r="S49" i="18"/>
  <c r="S46" i="18"/>
  <c r="S50" i="18"/>
  <c r="T52" i="18"/>
  <c r="T56" i="18"/>
  <c r="T48" i="18"/>
  <c r="T46" i="18"/>
  <c r="T55" i="18"/>
  <c r="T50" i="18"/>
  <c r="T54" i="18"/>
  <c r="T49" i="18"/>
  <c r="T53" i="18"/>
  <c r="T51" i="18"/>
  <c r="U51" i="18"/>
  <c r="U48" i="18"/>
  <c r="U50" i="18"/>
  <c r="U46" i="18"/>
  <c r="U52" i="18"/>
  <c r="U49" i="18"/>
  <c r="U53" i="18"/>
  <c r="U55" i="18"/>
  <c r="U56" i="18"/>
  <c r="U54" i="18"/>
  <c r="V55" i="18"/>
  <c r="V52" i="18"/>
  <c r="V49" i="18"/>
  <c r="V51" i="18"/>
  <c r="V54" i="18"/>
  <c r="V48" i="18"/>
  <c r="V50" i="18"/>
  <c r="V46" i="18"/>
  <c r="V53" i="18"/>
  <c r="V56" i="18"/>
  <c r="W52" i="18"/>
  <c r="W48" i="18"/>
  <c r="W55" i="18"/>
  <c r="W49" i="18"/>
  <c r="W51" i="18"/>
  <c r="W56" i="18"/>
  <c r="W50" i="18"/>
  <c r="W54" i="18"/>
  <c r="W46" i="18"/>
  <c r="W53" i="18"/>
  <c r="X52" i="18"/>
  <c r="X50" i="18"/>
  <c r="X46" i="18"/>
  <c r="X48" i="18"/>
  <c r="X54" i="18"/>
  <c r="X51" i="18"/>
  <c r="X53" i="18"/>
  <c r="X56" i="18"/>
  <c r="X49" i="18"/>
  <c r="X55" i="18"/>
  <c r="Y46" i="18"/>
  <c r="Y48" i="18"/>
  <c r="Y54" i="18"/>
  <c r="Y53" i="18"/>
  <c r="Y50" i="18"/>
  <c r="Y49" i="18"/>
  <c r="Y55" i="18"/>
  <c r="Y56" i="18"/>
  <c r="Y51" i="18"/>
  <c r="Y52" i="18"/>
  <c r="Z49" i="18"/>
  <c r="Z53" i="18"/>
  <c r="Z50" i="18"/>
  <c r="Z55" i="18"/>
  <c r="Z54" i="18"/>
  <c r="Z51" i="18"/>
  <c r="Z56" i="18"/>
  <c r="Z52" i="18"/>
  <c r="Z46" i="18"/>
  <c r="Z48" i="18"/>
  <c r="AA50" i="18"/>
  <c r="AA55" i="18"/>
  <c r="AA56" i="18"/>
  <c r="AA51" i="18"/>
  <c r="AA52" i="18"/>
  <c r="AA46" i="18"/>
  <c r="AA48" i="18"/>
  <c r="AA53" i="18"/>
  <c r="AA49" i="18"/>
  <c r="AA54" i="18"/>
  <c r="AB56" i="18"/>
  <c r="AB46" i="18"/>
  <c r="AB53" i="18"/>
  <c r="AB51" i="18"/>
  <c r="AB55" i="18"/>
  <c r="AB49" i="18"/>
  <c r="AB54" i="18"/>
  <c r="AB48" i="18"/>
  <c r="AB52" i="18"/>
  <c r="AB50" i="18"/>
  <c r="AC51" i="18"/>
  <c r="AC48" i="18"/>
  <c r="AC46" i="18"/>
  <c r="AC52" i="18"/>
  <c r="AC55" i="18"/>
  <c r="AC49" i="18"/>
  <c r="AC53" i="18"/>
  <c r="AC54" i="18"/>
  <c r="AC56" i="18"/>
  <c r="AC50" i="18"/>
  <c r="AD55" i="18"/>
  <c r="AD46" i="18"/>
  <c r="AD52" i="18"/>
  <c r="AD48" i="18"/>
  <c r="AD51" i="18"/>
  <c r="AD53" i="18"/>
  <c r="AD56" i="18"/>
  <c r="AD50" i="18"/>
  <c r="AD49" i="18"/>
  <c r="AD54" i="18"/>
  <c r="AE50" i="18"/>
  <c r="AE55" i="18"/>
  <c r="AE49" i="18"/>
  <c r="AE46" i="18"/>
  <c r="AE48" i="18"/>
  <c r="AE52" i="18"/>
  <c r="AE51" i="18"/>
  <c r="AE54" i="18"/>
  <c r="AE56" i="18"/>
  <c r="AE53" i="18"/>
  <c r="AF50" i="18"/>
  <c r="AF46" i="18"/>
  <c r="AF48" i="18"/>
  <c r="AF51" i="18"/>
  <c r="AF54" i="18"/>
  <c r="AF52" i="18"/>
  <c r="AF56" i="18"/>
  <c r="AF55" i="18"/>
  <c r="AF49" i="18"/>
  <c r="AF53" i="18"/>
  <c r="AG54" i="18"/>
  <c r="AG53" i="18"/>
  <c r="AG56" i="18"/>
  <c r="AG51" i="18"/>
  <c r="AG46" i="18"/>
  <c r="AG48" i="18"/>
  <c r="AG52" i="18"/>
  <c r="AG50" i="18"/>
  <c r="AG49" i="18"/>
  <c r="AG55" i="18"/>
  <c r="AH51" i="18"/>
  <c r="AH52" i="18"/>
  <c r="AH50" i="18"/>
  <c r="AH46" i="18"/>
  <c r="AH53" i="18"/>
  <c r="AH54" i="18"/>
  <c r="AH49" i="18"/>
  <c r="AH56" i="18"/>
  <c r="AH55" i="18"/>
  <c r="AH48" i="18"/>
  <c r="E32" i="18"/>
  <c r="E116" i="52" s="1"/>
  <c r="E125" i="52" s="1"/>
  <c r="E24" i="18"/>
  <c r="E26" i="18"/>
  <c r="E110" i="52" s="1"/>
  <c r="E30" i="18"/>
  <c r="E22" i="18"/>
  <c r="E29" i="18"/>
  <c r="E113" i="52" s="1"/>
  <c r="E25" i="18"/>
  <c r="E109" i="52" s="1"/>
  <c r="E28" i="18"/>
  <c r="E112" i="52" s="1"/>
  <c r="E31" i="18"/>
  <c r="E115" i="52" s="1"/>
  <c r="E124" i="52" s="1"/>
  <c r="E27" i="18"/>
  <c r="E111" i="52" s="1"/>
  <c r="H25" i="18"/>
  <c r="H26" i="18"/>
  <c r="J29" i="18"/>
  <c r="I25" i="18"/>
  <c r="H28" i="18"/>
  <c r="K31" i="18"/>
  <c r="M26" i="18"/>
  <c r="M31" i="18"/>
  <c r="I24" i="18"/>
  <c r="H31" i="18"/>
  <c r="M32" i="18"/>
  <c r="M30" i="18"/>
  <c r="H29" i="18"/>
  <c r="H30" i="18"/>
  <c r="J28" i="18"/>
  <c r="K32" i="18"/>
  <c r="K26" i="18"/>
  <c r="M24" i="18"/>
  <c r="M25" i="18"/>
  <c r="H24" i="18"/>
  <c r="J24" i="18"/>
  <c r="J30" i="18"/>
  <c r="J32" i="18"/>
  <c r="K30" i="18"/>
  <c r="K24" i="18"/>
  <c r="M28" i="18"/>
  <c r="I27" i="18"/>
  <c r="I26" i="18"/>
  <c r="H32" i="18"/>
  <c r="J27" i="18"/>
  <c r="K27" i="18"/>
  <c r="K25" i="18"/>
  <c r="I30" i="18"/>
  <c r="K28" i="18"/>
  <c r="M27" i="18"/>
  <c r="H27" i="18"/>
  <c r="J25" i="18"/>
  <c r="J31" i="18"/>
  <c r="J26" i="18"/>
  <c r="I32" i="18"/>
  <c r="L31" i="18"/>
  <c r="F29" i="18"/>
  <c r="F25" i="18"/>
  <c r="N28" i="18"/>
  <c r="G31" i="18"/>
  <c r="L24" i="18"/>
  <c r="F26" i="18"/>
  <c r="F32" i="18"/>
  <c r="G24" i="18"/>
  <c r="F22" i="18"/>
  <c r="L27" i="18"/>
  <c r="L32" i="18"/>
  <c r="F28" i="18"/>
  <c r="F24" i="18"/>
  <c r="N30" i="18"/>
  <c r="G26" i="18"/>
  <c r="G28" i="18"/>
  <c r="G32" i="18"/>
  <c r="I29" i="18"/>
  <c r="L30" i="18"/>
  <c r="L25" i="18"/>
  <c r="N29" i="18"/>
  <c r="G27" i="18"/>
  <c r="L26" i="18"/>
  <c r="N31" i="18"/>
  <c r="N25" i="18"/>
  <c r="G30" i="18"/>
  <c r="I22" i="18"/>
  <c r="J22" i="18"/>
  <c r="H22" i="18"/>
  <c r="I28" i="18"/>
  <c r="I31" i="18"/>
  <c r="L28" i="18"/>
  <c r="F27" i="18"/>
  <c r="N24" i="18"/>
  <c r="K29" i="18"/>
  <c r="F30" i="18"/>
  <c r="N27" i="18"/>
  <c r="N32" i="18"/>
  <c r="G25" i="18"/>
  <c r="L22" i="18"/>
  <c r="N22" i="18"/>
  <c r="L29" i="18"/>
  <c r="F31" i="18"/>
  <c r="N26" i="18"/>
  <c r="M22" i="18"/>
  <c r="M29" i="18"/>
  <c r="G22" i="18"/>
  <c r="K22" i="18"/>
  <c r="G29" i="18"/>
  <c r="O26" i="18"/>
  <c r="O29" i="18"/>
  <c r="O22" i="18"/>
  <c r="O28" i="18"/>
  <c r="O30" i="18"/>
  <c r="O25" i="18"/>
  <c r="O31" i="18"/>
  <c r="O24" i="18"/>
  <c r="O32" i="18"/>
  <c r="O27" i="18"/>
  <c r="P32" i="18"/>
  <c r="P30" i="18"/>
  <c r="P24" i="18"/>
  <c r="P27" i="18"/>
  <c r="P26" i="18"/>
  <c r="P29" i="18"/>
  <c r="P25" i="18"/>
  <c r="P31" i="18"/>
  <c r="P28" i="18"/>
  <c r="P22" i="18"/>
  <c r="Q25" i="18"/>
  <c r="Q30" i="18"/>
  <c r="Q29" i="18"/>
  <c r="Q22" i="18"/>
  <c r="Q26" i="18"/>
  <c r="Q28" i="18"/>
  <c r="Q24" i="18"/>
  <c r="Q27" i="18"/>
  <c r="Q32" i="18"/>
  <c r="Q31" i="18"/>
  <c r="R28" i="18"/>
  <c r="R25" i="18"/>
  <c r="R24" i="18"/>
  <c r="R30" i="18"/>
  <c r="R32" i="18"/>
  <c r="R31" i="18"/>
  <c r="R27" i="18"/>
  <c r="R26" i="18"/>
  <c r="R29" i="18"/>
  <c r="R22" i="18"/>
  <c r="S30" i="18"/>
  <c r="S28" i="18"/>
  <c r="S29" i="18"/>
  <c r="S31" i="18"/>
  <c r="S26" i="18"/>
  <c r="S22" i="18"/>
  <c r="S25" i="18"/>
  <c r="S32" i="18"/>
  <c r="S24" i="18"/>
  <c r="S27" i="18"/>
  <c r="T32" i="18"/>
  <c r="T25" i="18"/>
  <c r="T31" i="18"/>
  <c r="T24" i="18"/>
  <c r="T27" i="18"/>
  <c r="T22" i="18"/>
  <c r="T29" i="18"/>
  <c r="T28" i="18"/>
  <c r="T30" i="18"/>
  <c r="T26" i="18"/>
  <c r="U25" i="18"/>
  <c r="U28" i="18"/>
  <c r="U32" i="18"/>
  <c r="U27" i="18"/>
  <c r="U24" i="18"/>
  <c r="U29" i="18"/>
  <c r="U31" i="18"/>
  <c r="U22" i="18"/>
  <c r="U30" i="18"/>
  <c r="U26" i="18"/>
  <c r="V26" i="18"/>
  <c r="V32" i="18"/>
  <c r="V29" i="18"/>
  <c r="V28" i="18"/>
  <c r="V27" i="18"/>
  <c r="V30" i="18"/>
  <c r="V22" i="18"/>
  <c r="V25" i="18"/>
  <c r="V24" i="18"/>
  <c r="V31" i="18"/>
  <c r="W22" i="18"/>
  <c r="W32" i="18"/>
  <c r="W27" i="18"/>
  <c r="W31" i="18"/>
  <c r="W26" i="18"/>
  <c r="W24" i="18"/>
  <c r="W29" i="18"/>
  <c r="W30" i="18"/>
  <c r="W28" i="18"/>
  <c r="W25" i="18"/>
  <c r="X25" i="18"/>
  <c r="X24" i="18"/>
  <c r="X32" i="18"/>
  <c r="X29" i="18"/>
  <c r="X31" i="18"/>
  <c r="X27" i="18"/>
  <c r="X26" i="18"/>
  <c r="X28" i="18"/>
  <c r="X22" i="18"/>
  <c r="X30" i="18"/>
  <c r="Y26" i="18"/>
  <c r="Y29" i="18"/>
  <c r="Y22" i="18"/>
  <c r="Y31" i="18"/>
  <c r="Y24" i="18"/>
  <c r="Y32" i="18"/>
  <c r="Y25" i="18"/>
  <c r="Y30" i="18"/>
  <c r="Y28" i="18"/>
  <c r="Y27" i="18"/>
  <c r="Z25" i="18"/>
  <c r="Z24" i="18"/>
  <c r="Z22" i="18"/>
  <c r="Z26" i="18"/>
  <c r="Z28" i="18"/>
  <c r="Z30" i="18"/>
  <c r="Z32" i="18"/>
  <c r="Z31" i="18"/>
  <c r="Z29" i="18"/>
  <c r="Z27" i="18"/>
  <c r="AA30" i="18"/>
  <c r="AA24" i="18"/>
  <c r="AA26" i="18"/>
  <c r="AA31" i="18"/>
  <c r="AA22" i="18"/>
  <c r="AA25" i="18"/>
  <c r="AA29" i="18"/>
  <c r="AA27" i="18"/>
  <c r="AA28" i="18"/>
  <c r="AA32" i="18"/>
  <c r="AB27" i="18"/>
  <c r="AB28" i="18"/>
  <c r="AB26" i="18"/>
  <c r="AB32" i="18"/>
  <c r="AB22" i="18"/>
  <c r="AB31" i="18"/>
  <c r="AB24" i="18"/>
  <c r="AB30" i="18"/>
  <c r="AB29" i="18"/>
  <c r="AB25" i="18"/>
  <c r="AC28" i="18"/>
  <c r="AC22" i="18"/>
  <c r="AC27" i="18"/>
  <c r="AC32" i="18"/>
  <c r="AC29" i="18"/>
  <c r="AC24" i="18"/>
  <c r="AC31" i="18"/>
  <c r="AC30" i="18"/>
  <c r="AC25" i="18"/>
  <c r="AC26" i="18"/>
  <c r="AD27" i="18"/>
  <c r="AD25" i="18"/>
  <c r="AD30" i="18"/>
  <c r="AD24" i="18"/>
  <c r="AD22" i="18"/>
  <c r="AD26" i="18"/>
  <c r="AD32" i="18"/>
  <c r="AD28" i="18"/>
  <c r="AD29" i="18"/>
  <c r="AD31" i="18"/>
  <c r="AE31" i="18"/>
  <c r="AE26" i="18"/>
  <c r="AE24" i="18"/>
  <c r="AE22" i="18"/>
  <c r="AE32" i="18"/>
  <c r="AE27" i="18"/>
  <c r="AE29" i="18"/>
  <c r="AE30" i="18"/>
  <c r="AE25" i="18"/>
  <c r="AE28" i="18"/>
  <c r="AF25" i="18"/>
  <c r="AF32" i="18"/>
  <c r="AF27" i="18"/>
  <c r="AF24" i="18"/>
  <c r="AF26" i="18"/>
  <c r="AF30" i="18"/>
  <c r="AF22" i="18"/>
  <c r="AF31" i="18"/>
  <c r="AF28" i="18"/>
  <c r="AF29" i="18"/>
  <c r="AG29" i="18"/>
  <c r="AG26" i="18"/>
  <c r="AG32" i="18"/>
  <c r="AG25" i="18"/>
  <c r="AG31" i="18"/>
  <c r="AG27" i="18"/>
  <c r="AG28" i="18"/>
  <c r="AG30" i="18"/>
  <c r="AG22" i="18"/>
  <c r="AG24" i="18"/>
  <c r="AH27" i="18"/>
  <c r="AH29" i="18"/>
  <c r="AH30" i="18"/>
  <c r="AH26" i="18"/>
  <c r="AH32" i="18"/>
  <c r="AH31" i="18"/>
  <c r="AH22" i="18"/>
  <c r="AH28" i="18"/>
  <c r="AH24" i="18"/>
  <c r="AH25" i="18"/>
  <c r="E76" i="18"/>
  <c r="I112" i="52" s="1"/>
  <c r="E73" i="18"/>
  <c r="I109" i="52" s="1"/>
  <c r="E78" i="18"/>
  <c r="I114" i="52" s="1"/>
  <c r="I123" i="52" s="1"/>
  <c r="E75" i="18"/>
  <c r="I111" i="52" s="1"/>
  <c r="E72" i="18"/>
  <c r="E70" i="18"/>
  <c r="E77" i="18"/>
  <c r="I113" i="52" s="1"/>
  <c r="E80" i="18"/>
  <c r="I116" i="52" s="1"/>
  <c r="I125" i="52" s="1"/>
  <c r="E74" i="18"/>
  <c r="I110" i="52" s="1"/>
  <c r="E79" i="18"/>
  <c r="I115" i="52" s="1"/>
  <c r="I124" i="52" s="1"/>
  <c r="H77" i="18"/>
  <c r="K72" i="18"/>
  <c r="K74" i="18"/>
  <c r="H74" i="18"/>
  <c r="H76" i="18"/>
  <c r="J76" i="18"/>
  <c r="I73" i="18"/>
  <c r="H73" i="18"/>
  <c r="H75" i="18"/>
  <c r="J77" i="18"/>
  <c r="K79" i="18"/>
  <c r="K73" i="18"/>
  <c r="M79" i="18"/>
  <c r="M73" i="18"/>
  <c r="M72" i="18"/>
  <c r="I72" i="18"/>
  <c r="H79" i="18"/>
  <c r="J75" i="18"/>
  <c r="K77" i="18"/>
  <c r="M75" i="18"/>
  <c r="I78" i="18"/>
  <c r="I80" i="18"/>
  <c r="I74" i="18"/>
  <c r="M76" i="18"/>
  <c r="M77" i="18"/>
  <c r="M78" i="18"/>
  <c r="J78" i="18"/>
  <c r="K75" i="18"/>
  <c r="I76" i="18"/>
  <c r="H80" i="18"/>
  <c r="J74" i="18"/>
  <c r="J79" i="18"/>
  <c r="K76" i="18"/>
  <c r="H78" i="18"/>
  <c r="H72" i="18"/>
  <c r="J80" i="18"/>
  <c r="J72" i="18"/>
  <c r="J73" i="18"/>
  <c r="I77" i="18"/>
  <c r="F80" i="18"/>
  <c r="N80" i="18"/>
  <c r="G76" i="18"/>
  <c r="I79" i="18"/>
  <c r="L77" i="18"/>
  <c r="L76" i="18"/>
  <c r="L73" i="18"/>
  <c r="F72" i="18"/>
  <c r="G78" i="18"/>
  <c r="L75" i="18"/>
  <c r="L72" i="18"/>
  <c r="N73" i="18"/>
  <c r="G74" i="18"/>
  <c r="G80" i="18"/>
  <c r="L80" i="18"/>
  <c r="N79" i="18"/>
  <c r="G79" i="18"/>
  <c r="J70" i="18"/>
  <c r="L78" i="18"/>
  <c r="F79" i="18"/>
  <c r="F75" i="18"/>
  <c r="N77" i="18"/>
  <c r="N74" i="18"/>
  <c r="G73" i="18"/>
  <c r="H70" i="18"/>
  <c r="L74" i="18"/>
  <c r="F78" i="18"/>
  <c r="F74" i="18"/>
  <c r="N78" i="18"/>
  <c r="K80" i="18"/>
  <c r="M74" i="18"/>
  <c r="I75" i="18"/>
  <c r="L79" i="18"/>
  <c r="F77" i="18"/>
  <c r="F76" i="18"/>
  <c r="G77" i="18"/>
  <c r="I70" i="18"/>
  <c r="K78" i="18"/>
  <c r="N72" i="18"/>
  <c r="G72" i="18"/>
  <c r="K70" i="18"/>
  <c r="F70" i="18"/>
  <c r="G70" i="18"/>
  <c r="M80" i="18"/>
  <c r="M70" i="18"/>
  <c r="N76" i="18"/>
  <c r="L70" i="18"/>
  <c r="N70" i="18"/>
  <c r="N75" i="18"/>
  <c r="G75" i="18"/>
  <c r="F73" i="18"/>
  <c r="O70" i="18"/>
  <c r="O80" i="18"/>
  <c r="O76" i="18"/>
  <c r="O78" i="18"/>
  <c r="O77" i="18"/>
  <c r="O79" i="18"/>
  <c r="O72" i="18"/>
  <c r="O74" i="18"/>
  <c r="O73" i="18"/>
  <c r="O75" i="18"/>
  <c r="P72" i="18"/>
  <c r="P77" i="18"/>
  <c r="P79" i="18"/>
  <c r="P75" i="18"/>
  <c r="P76" i="18"/>
  <c r="P78" i="18"/>
  <c r="P73" i="18"/>
  <c r="P80" i="18"/>
  <c r="P74" i="18"/>
  <c r="P70" i="18"/>
  <c r="Q80" i="18"/>
  <c r="Q74" i="18"/>
  <c r="Q76" i="18"/>
  <c r="Q78" i="18"/>
  <c r="Q73" i="18"/>
  <c r="Q79" i="18"/>
  <c r="Q72" i="18"/>
  <c r="Q70" i="18"/>
  <c r="Q77" i="18"/>
  <c r="Q75" i="18"/>
  <c r="R77" i="18"/>
  <c r="R79" i="18"/>
  <c r="R75" i="18"/>
  <c r="R76" i="18"/>
  <c r="R73" i="18"/>
  <c r="R72" i="18"/>
  <c r="R80" i="18"/>
  <c r="R74" i="18"/>
  <c r="R70" i="18"/>
  <c r="R78" i="18"/>
  <c r="S80" i="18"/>
  <c r="S76" i="18"/>
  <c r="S72" i="18"/>
  <c r="S75" i="18"/>
  <c r="S74" i="18"/>
  <c r="S70" i="18"/>
  <c r="S78" i="18"/>
  <c r="S73" i="18"/>
  <c r="S77" i="18"/>
  <c r="S79" i="18"/>
  <c r="T76" i="18"/>
  <c r="T72" i="18"/>
  <c r="T74" i="18"/>
  <c r="T78" i="18"/>
  <c r="T73" i="18"/>
  <c r="T77" i="18"/>
  <c r="T80" i="18"/>
  <c r="T79" i="18"/>
  <c r="T70" i="18"/>
  <c r="T75" i="18"/>
  <c r="U72" i="18"/>
  <c r="U78" i="18"/>
  <c r="U70" i="18"/>
  <c r="U75" i="18"/>
  <c r="U77" i="18"/>
  <c r="U74" i="18"/>
  <c r="U76" i="18"/>
  <c r="U80" i="18"/>
  <c r="U79" i="18"/>
  <c r="U73" i="18"/>
  <c r="V70" i="18"/>
  <c r="V76" i="18"/>
  <c r="V78" i="18"/>
  <c r="V72" i="18"/>
  <c r="V79" i="18"/>
  <c r="V77" i="18"/>
  <c r="V73" i="18"/>
  <c r="V80" i="18"/>
  <c r="V74" i="18"/>
  <c r="V75" i="18"/>
  <c r="W74" i="18"/>
  <c r="W73" i="18"/>
  <c r="W75" i="18"/>
  <c r="W72" i="18"/>
  <c r="W70" i="18"/>
  <c r="W77" i="18"/>
  <c r="W79" i="18"/>
  <c r="W78" i="18"/>
  <c r="W80" i="18"/>
  <c r="W76" i="18"/>
  <c r="X72" i="18"/>
  <c r="X78" i="18"/>
  <c r="X76" i="18"/>
  <c r="X70" i="18"/>
  <c r="X77" i="18"/>
  <c r="X73" i="18"/>
  <c r="X74" i="18"/>
  <c r="X75" i="18"/>
  <c r="X79" i="18"/>
  <c r="X80" i="18"/>
  <c r="Y77" i="18"/>
  <c r="Y72" i="18"/>
  <c r="Y75" i="18"/>
  <c r="Y74" i="18"/>
  <c r="Y79" i="18"/>
  <c r="Y73" i="18"/>
  <c r="Y70" i="18"/>
  <c r="Y78" i="18"/>
  <c r="Y80" i="18"/>
  <c r="Y76" i="18"/>
  <c r="Z79" i="18"/>
  <c r="Z70" i="18"/>
  <c r="Z76" i="18"/>
  <c r="Z78" i="18"/>
  <c r="Z75" i="18"/>
  <c r="Z77" i="18"/>
  <c r="Z73" i="18"/>
  <c r="Z72" i="18"/>
  <c r="Z80" i="18"/>
  <c r="Z74" i="18"/>
  <c r="AA76" i="18"/>
  <c r="AA70" i="18"/>
  <c r="AA77" i="18"/>
  <c r="AA73" i="18"/>
  <c r="AA79" i="18"/>
  <c r="AA80" i="18"/>
  <c r="AA72" i="18"/>
  <c r="AA75" i="18"/>
  <c r="AA78" i="18"/>
  <c r="AA74" i="18"/>
  <c r="AB76" i="18"/>
  <c r="AB74" i="18"/>
  <c r="AB73" i="18"/>
  <c r="AB80" i="18"/>
  <c r="AB77" i="18"/>
  <c r="AB79" i="18"/>
  <c r="AB75" i="18"/>
  <c r="AB72" i="18"/>
  <c r="AB78" i="18"/>
  <c r="AB70" i="18"/>
  <c r="AC79" i="18"/>
  <c r="AC73" i="18"/>
  <c r="AC70" i="18"/>
  <c r="AC78" i="18"/>
  <c r="AC77" i="18"/>
  <c r="AC76" i="18"/>
  <c r="AC72" i="18"/>
  <c r="AC74" i="18"/>
  <c r="AC80" i="18"/>
  <c r="AC75" i="18"/>
  <c r="AD77" i="18"/>
  <c r="AD76" i="18"/>
  <c r="AD78" i="18"/>
  <c r="AD74" i="18"/>
  <c r="AD80" i="18"/>
  <c r="AD70" i="18"/>
  <c r="AD79" i="18"/>
  <c r="AD75" i="18"/>
  <c r="AD72" i="18"/>
  <c r="AD73" i="18"/>
  <c r="AE75" i="18"/>
  <c r="AE70" i="18"/>
  <c r="AE73" i="18"/>
  <c r="AE80" i="18"/>
  <c r="AE79" i="18"/>
  <c r="AE77" i="18"/>
  <c r="AE72" i="18"/>
  <c r="AE76" i="18"/>
  <c r="AE78" i="18"/>
  <c r="AE74" i="18"/>
  <c r="AF80" i="18"/>
  <c r="AF76" i="18"/>
  <c r="AF72" i="18"/>
  <c r="AF77" i="18"/>
  <c r="AF78" i="18"/>
  <c r="AF74" i="18"/>
  <c r="AF70" i="18"/>
  <c r="AF79" i="18"/>
  <c r="AF73" i="18"/>
  <c r="AF75" i="18"/>
  <c r="AG70" i="18"/>
  <c r="AG72" i="18"/>
  <c r="AG80" i="18"/>
  <c r="AG73" i="18"/>
  <c r="AG77" i="18"/>
  <c r="AG76" i="18"/>
  <c r="AG78" i="18"/>
  <c r="AG74" i="18"/>
  <c r="AG75" i="18"/>
  <c r="AG79" i="18"/>
  <c r="AH73" i="18"/>
  <c r="AH74" i="18"/>
  <c r="AH70" i="18"/>
  <c r="AH80" i="18"/>
  <c r="AH72" i="18"/>
  <c r="AH77" i="18"/>
  <c r="AH79" i="18"/>
  <c r="AH78" i="18"/>
  <c r="AH75" i="18"/>
  <c r="AH76" i="18"/>
  <c r="E96" i="18"/>
  <c r="E97" i="18"/>
  <c r="K109" i="52" s="1"/>
  <c r="E94" i="18"/>
  <c r="E100" i="18"/>
  <c r="K112" i="52" s="1"/>
  <c r="E102" i="18"/>
  <c r="K114" i="52" s="1"/>
  <c r="K123" i="52" s="1"/>
  <c r="E101" i="18"/>
  <c r="K113" i="52" s="1"/>
  <c r="E98" i="18"/>
  <c r="K110" i="52" s="1"/>
  <c r="E103" i="18"/>
  <c r="K115" i="52" s="1"/>
  <c r="K124" i="52" s="1"/>
  <c r="E104" i="18"/>
  <c r="K116" i="52" s="1"/>
  <c r="K125" i="52" s="1"/>
  <c r="E99" i="18"/>
  <c r="K111" i="52" s="1"/>
  <c r="J101" i="18"/>
  <c r="J96" i="18"/>
  <c r="M97" i="18"/>
  <c r="I103" i="18"/>
  <c r="H98" i="18"/>
  <c r="K96" i="18"/>
  <c r="I98" i="18"/>
  <c r="I97" i="18"/>
  <c r="K103" i="18"/>
  <c r="M96" i="18"/>
  <c r="H99" i="18"/>
  <c r="J98" i="18"/>
  <c r="M102" i="18"/>
  <c r="M99" i="18"/>
  <c r="M101" i="18"/>
  <c r="H102" i="18"/>
  <c r="H97" i="18"/>
  <c r="J99" i="18"/>
  <c r="K100" i="18"/>
  <c r="K102" i="18"/>
  <c r="M98" i="18"/>
  <c r="I100" i="18"/>
  <c r="L96" i="18"/>
  <c r="H103" i="18"/>
  <c r="H100" i="18"/>
  <c r="J100" i="18"/>
  <c r="J97" i="18"/>
  <c r="K101" i="18"/>
  <c r="K97" i="18"/>
  <c r="K104" i="18"/>
  <c r="M100" i="18"/>
  <c r="I104" i="18"/>
  <c r="I102" i="18"/>
  <c r="H104" i="18"/>
  <c r="H96" i="18"/>
  <c r="J103" i="18"/>
  <c r="K99" i="18"/>
  <c r="M103" i="18"/>
  <c r="M104" i="18"/>
  <c r="I101" i="18"/>
  <c r="I96" i="18"/>
  <c r="H101" i="18"/>
  <c r="J102" i="18"/>
  <c r="J104" i="18"/>
  <c r="F99" i="18"/>
  <c r="N96" i="18"/>
  <c r="G99" i="18"/>
  <c r="G98" i="18"/>
  <c r="F98" i="18"/>
  <c r="N102" i="18"/>
  <c r="N104" i="18"/>
  <c r="J94" i="18"/>
  <c r="K94" i="18"/>
  <c r="F101" i="18"/>
  <c r="N97" i="18"/>
  <c r="G103" i="18"/>
  <c r="L94" i="18"/>
  <c r="H94" i="18"/>
  <c r="L103" i="18"/>
  <c r="L104" i="18"/>
  <c r="L102" i="18"/>
  <c r="F103" i="18"/>
  <c r="N99" i="18"/>
  <c r="G102" i="18"/>
  <c r="G104" i="18"/>
  <c r="G96" i="18"/>
  <c r="G101" i="18"/>
  <c r="M94" i="18"/>
  <c r="K98" i="18"/>
  <c r="L100" i="18"/>
  <c r="L97" i="18"/>
  <c r="L98" i="18"/>
  <c r="F104" i="18"/>
  <c r="N101" i="18"/>
  <c r="G100" i="18"/>
  <c r="I99" i="18"/>
  <c r="L101" i="18"/>
  <c r="F102" i="18"/>
  <c r="F97" i="18"/>
  <c r="F100" i="18"/>
  <c r="F96" i="18"/>
  <c r="G97" i="18"/>
  <c r="L99" i="18"/>
  <c r="N103" i="18"/>
  <c r="N100" i="18"/>
  <c r="G94" i="18"/>
  <c r="N98" i="18"/>
  <c r="I94" i="18"/>
  <c r="N94" i="18"/>
  <c r="F94" i="18"/>
  <c r="O104" i="18"/>
  <c r="O96" i="18"/>
  <c r="O94" i="18"/>
  <c r="O97" i="18"/>
  <c r="O103" i="18"/>
  <c r="O101" i="18"/>
  <c r="O102" i="18"/>
  <c r="O98" i="18"/>
  <c r="O100" i="18"/>
  <c r="O99" i="18"/>
  <c r="P103" i="18"/>
  <c r="P99" i="18"/>
  <c r="P100" i="18"/>
  <c r="P102" i="18"/>
  <c r="P98" i="18"/>
  <c r="P97" i="18"/>
  <c r="P96" i="18"/>
  <c r="P94" i="18"/>
  <c r="P101" i="18"/>
  <c r="P104" i="18"/>
  <c r="Q101" i="18"/>
  <c r="Q96" i="18"/>
  <c r="Q98" i="18"/>
  <c r="Q100" i="18"/>
  <c r="Q94" i="18"/>
  <c r="Q102" i="18"/>
  <c r="Q103" i="18"/>
  <c r="Q97" i="18"/>
  <c r="Q99" i="18"/>
  <c r="Q104" i="18"/>
  <c r="R104" i="18"/>
  <c r="R96" i="18"/>
  <c r="R99" i="18"/>
  <c r="R98" i="18"/>
  <c r="R103" i="18"/>
  <c r="R102" i="18"/>
  <c r="R97" i="18"/>
  <c r="R94" i="18"/>
  <c r="R100" i="18"/>
  <c r="R101" i="18"/>
  <c r="S100" i="18"/>
  <c r="S98" i="18"/>
  <c r="S94" i="18"/>
  <c r="S97" i="18"/>
  <c r="S103" i="18"/>
  <c r="S101" i="18"/>
  <c r="S102" i="18"/>
  <c r="S104" i="18"/>
  <c r="S99" i="18"/>
  <c r="S96" i="18"/>
  <c r="T94" i="18"/>
  <c r="T103" i="18"/>
  <c r="T101" i="18"/>
  <c r="T102" i="18"/>
  <c r="T104" i="18"/>
  <c r="T98" i="18"/>
  <c r="T100" i="18"/>
  <c r="T99" i="18"/>
  <c r="T96" i="18"/>
  <c r="T97" i="18"/>
  <c r="U96" i="18"/>
  <c r="U97" i="18"/>
  <c r="U94" i="18"/>
  <c r="U102" i="18"/>
  <c r="U103" i="18"/>
  <c r="U98" i="18"/>
  <c r="U99" i="18"/>
  <c r="U100" i="18"/>
  <c r="U104" i="18"/>
  <c r="U101" i="18"/>
  <c r="V94" i="18"/>
  <c r="V99" i="18"/>
  <c r="V98" i="18"/>
  <c r="V104" i="18"/>
  <c r="V101" i="18"/>
  <c r="V97" i="18"/>
  <c r="V100" i="18"/>
  <c r="V102" i="18"/>
  <c r="V103" i="18"/>
  <c r="V96" i="18"/>
  <c r="W97" i="18"/>
  <c r="W102" i="18"/>
  <c r="W103" i="18"/>
  <c r="W94" i="18"/>
  <c r="W99" i="18"/>
  <c r="W101" i="18"/>
  <c r="W98" i="18"/>
  <c r="W100" i="18"/>
  <c r="W104" i="18"/>
  <c r="W96" i="18"/>
  <c r="X102" i="18"/>
  <c r="X100" i="18"/>
  <c r="X94" i="18"/>
  <c r="X98" i="18"/>
  <c r="X99" i="18"/>
  <c r="X103" i="18"/>
  <c r="X96" i="18"/>
  <c r="X104" i="18"/>
  <c r="X101" i="18"/>
  <c r="X97" i="18"/>
  <c r="Y98" i="18"/>
  <c r="Y94" i="18"/>
  <c r="Y100" i="18"/>
  <c r="Y97" i="18"/>
  <c r="Y103" i="18"/>
  <c r="Y104" i="18"/>
  <c r="Y101" i="18"/>
  <c r="Y99" i="18"/>
  <c r="Y102" i="18"/>
  <c r="Y96" i="18"/>
  <c r="Z99" i="18"/>
  <c r="Z94" i="18"/>
  <c r="Z96" i="18"/>
  <c r="Z104" i="18"/>
  <c r="Z102" i="18"/>
  <c r="Z101" i="18"/>
  <c r="Z98" i="18"/>
  <c r="Z100" i="18"/>
  <c r="Z103" i="18"/>
  <c r="Z97" i="18"/>
  <c r="AA100" i="18"/>
  <c r="AA96" i="18"/>
  <c r="AA104" i="18"/>
  <c r="AA94" i="18"/>
  <c r="AA98" i="18"/>
  <c r="AA97" i="18"/>
  <c r="AA103" i="18"/>
  <c r="AA101" i="18"/>
  <c r="AA102" i="18"/>
  <c r="AA99" i="18"/>
  <c r="AB101" i="18"/>
  <c r="AB102" i="18"/>
  <c r="AB98" i="18"/>
  <c r="AB99" i="18"/>
  <c r="AB103" i="18"/>
  <c r="AB96" i="18"/>
  <c r="AB94" i="18"/>
  <c r="AB97" i="18"/>
  <c r="AB100" i="18"/>
  <c r="AB104" i="18"/>
  <c r="AC104" i="18"/>
  <c r="AC94" i="18"/>
  <c r="AC101" i="18"/>
  <c r="AC103" i="18"/>
  <c r="AC100" i="18"/>
  <c r="AC96" i="18"/>
  <c r="AC97" i="18"/>
  <c r="AC99" i="18"/>
  <c r="AC102" i="18"/>
  <c r="AC98" i="18"/>
  <c r="AD98" i="18"/>
  <c r="AD94" i="18"/>
  <c r="AD99" i="18"/>
  <c r="AD100" i="18"/>
  <c r="AD104" i="18"/>
  <c r="AD96" i="18"/>
  <c r="AD97" i="18"/>
  <c r="AD103" i="18"/>
  <c r="AD101" i="18"/>
  <c r="AD102" i="18"/>
  <c r="AE94" i="18"/>
  <c r="AE104" i="18"/>
  <c r="AE96" i="18"/>
  <c r="AE101" i="18"/>
  <c r="AE103" i="18"/>
  <c r="AE102" i="18"/>
  <c r="AE98" i="18"/>
  <c r="AE97" i="18"/>
  <c r="AE99" i="18"/>
  <c r="AE100" i="18"/>
  <c r="AF102" i="18"/>
  <c r="AF97" i="18"/>
  <c r="AF94" i="18"/>
  <c r="AF99" i="18"/>
  <c r="AF104" i="18"/>
  <c r="AF98" i="18"/>
  <c r="AF103" i="18"/>
  <c r="AF100" i="18"/>
  <c r="AF101" i="18"/>
  <c r="AF96" i="18"/>
  <c r="AG100" i="18"/>
  <c r="AG104" i="18"/>
  <c r="AG99" i="18"/>
  <c r="AG94" i="18"/>
  <c r="AG101" i="18"/>
  <c r="AG96" i="18"/>
  <c r="AG102" i="18"/>
  <c r="AG97" i="18"/>
  <c r="AG103" i="18"/>
  <c r="AG98" i="18"/>
  <c r="AH99" i="18"/>
  <c r="AH100" i="18"/>
  <c r="AH94" i="18"/>
  <c r="AH103" i="18"/>
  <c r="AH96" i="18"/>
  <c r="AH101" i="18"/>
  <c r="AH102" i="18"/>
  <c r="AH97" i="18"/>
  <c r="AH104" i="18"/>
  <c r="AH98" i="18"/>
  <c r="E44" i="18"/>
  <c r="F116" i="52" s="1"/>
  <c r="F125" i="52" s="1"/>
  <c r="E43" i="18"/>
  <c r="F115" i="52" s="1"/>
  <c r="F124" i="52" s="1"/>
  <c r="E37" i="18"/>
  <c r="F109" i="52" s="1"/>
  <c r="E34" i="18"/>
  <c r="E40" i="18"/>
  <c r="F112" i="52" s="1"/>
  <c r="E36" i="18"/>
  <c r="E39" i="18"/>
  <c r="F111" i="52" s="1"/>
  <c r="E42" i="18"/>
  <c r="F114" i="52" s="1"/>
  <c r="F123" i="52" s="1"/>
  <c r="E38" i="18"/>
  <c r="F110" i="52" s="1"/>
  <c r="E41" i="18"/>
  <c r="F113" i="52" s="1"/>
  <c r="H38" i="18"/>
  <c r="J37" i="18"/>
  <c r="K39" i="18"/>
  <c r="M37" i="18"/>
  <c r="M38" i="18"/>
  <c r="I40" i="18"/>
  <c r="H42" i="18"/>
  <c r="M43" i="18"/>
  <c r="M40" i="18"/>
  <c r="H39" i="18"/>
  <c r="H37" i="18"/>
  <c r="K43" i="18"/>
  <c r="M44" i="18"/>
  <c r="M42" i="18"/>
  <c r="H41" i="18"/>
  <c r="J40" i="18"/>
  <c r="J39" i="18"/>
  <c r="K41" i="18"/>
  <c r="M41" i="18"/>
  <c r="M36" i="18"/>
  <c r="H43" i="18"/>
  <c r="H40" i="18"/>
  <c r="J43" i="18"/>
  <c r="J38" i="18"/>
  <c r="K37" i="18"/>
  <c r="K42" i="18"/>
  <c r="I41" i="18"/>
  <c r="I42" i="18"/>
  <c r="J44" i="18"/>
  <c r="K38" i="18"/>
  <c r="I38" i="18"/>
  <c r="H44" i="18"/>
  <c r="J36" i="18"/>
  <c r="J41" i="18"/>
  <c r="K36" i="18"/>
  <c r="M39" i="18"/>
  <c r="H36" i="18"/>
  <c r="J42" i="18"/>
  <c r="F36" i="18"/>
  <c r="N43" i="18"/>
  <c r="N39" i="18"/>
  <c r="G44" i="18"/>
  <c r="G36" i="18"/>
  <c r="L38" i="18"/>
  <c r="L42" i="18"/>
  <c r="F41" i="18"/>
  <c r="N38" i="18"/>
  <c r="G37" i="18"/>
  <c r="G39" i="18"/>
  <c r="G42" i="18"/>
  <c r="I34" i="18"/>
  <c r="I36" i="18"/>
  <c r="L43" i="18"/>
  <c r="N40" i="18"/>
  <c r="K44" i="18"/>
  <c r="F43" i="18"/>
  <c r="N42" i="18"/>
  <c r="G38" i="18"/>
  <c r="N34" i="18"/>
  <c r="I39" i="18"/>
  <c r="I44" i="18"/>
  <c r="L44" i="18"/>
  <c r="F37" i="18"/>
  <c r="N44" i="18"/>
  <c r="N41" i="18"/>
  <c r="L40" i="18"/>
  <c r="F42" i="18"/>
  <c r="F39" i="18"/>
  <c r="F44" i="18"/>
  <c r="N36" i="18"/>
  <c r="I37" i="18"/>
  <c r="L37" i="18"/>
  <c r="L39" i="18"/>
  <c r="F40" i="18"/>
  <c r="G41" i="18"/>
  <c r="G40" i="18"/>
  <c r="L34" i="18"/>
  <c r="K34" i="18"/>
  <c r="F34" i="18"/>
  <c r="K40" i="18"/>
  <c r="N37" i="18"/>
  <c r="G43" i="18"/>
  <c r="L41" i="18"/>
  <c r="J34" i="18"/>
  <c r="I43" i="18"/>
  <c r="L36" i="18"/>
  <c r="F38" i="18"/>
  <c r="G34" i="18"/>
  <c r="H34" i="18"/>
  <c r="M34" i="18"/>
  <c r="O44" i="18"/>
  <c r="O37" i="18"/>
  <c r="O41" i="18"/>
  <c r="O34" i="18"/>
  <c r="O42" i="18"/>
  <c r="O39" i="18"/>
  <c r="O43" i="18"/>
  <c r="O40" i="18"/>
  <c r="O36" i="18"/>
  <c r="O38" i="18"/>
  <c r="P43" i="18"/>
  <c r="P40" i="18"/>
  <c r="P41" i="18"/>
  <c r="P42" i="18"/>
  <c r="P37" i="18"/>
  <c r="P34" i="18"/>
  <c r="P39" i="18"/>
  <c r="P44" i="18"/>
  <c r="P38" i="18"/>
  <c r="P36" i="18"/>
  <c r="Q42" i="18"/>
  <c r="Q37" i="18"/>
  <c r="Q38" i="18"/>
  <c r="Q34" i="18"/>
  <c r="Q41" i="18"/>
  <c r="Q44" i="18"/>
  <c r="Q40" i="18"/>
  <c r="Q39" i="18"/>
  <c r="Q43" i="18"/>
  <c r="Q36" i="18"/>
  <c r="R36" i="18"/>
  <c r="R40" i="18"/>
  <c r="R34" i="18"/>
  <c r="R39" i="18"/>
  <c r="R43" i="18"/>
  <c r="R41" i="18"/>
  <c r="R38" i="18"/>
  <c r="R42" i="18"/>
  <c r="R37" i="18"/>
  <c r="R44" i="18"/>
  <c r="S40" i="18"/>
  <c r="S42" i="18"/>
  <c r="S44" i="18"/>
  <c r="S43" i="18"/>
  <c r="S37" i="18"/>
  <c r="S34" i="18"/>
  <c r="S41" i="18"/>
  <c r="S39" i="18"/>
  <c r="S38" i="18"/>
  <c r="S36" i="18"/>
  <c r="T42" i="18"/>
  <c r="T41" i="18"/>
  <c r="T37" i="18"/>
  <c r="T34" i="18"/>
  <c r="T44" i="18"/>
  <c r="T39" i="18"/>
  <c r="T40" i="18"/>
  <c r="T43" i="18"/>
  <c r="T38" i="18"/>
  <c r="T36" i="18"/>
  <c r="U41" i="18"/>
  <c r="U36" i="18"/>
  <c r="U38" i="18"/>
  <c r="U43" i="18"/>
  <c r="U39" i="18"/>
  <c r="U40" i="18"/>
  <c r="U42" i="18"/>
  <c r="U44" i="18"/>
  <c r="U37" i="18"/>
  <c r="U34" i="18"/>
  <c r="V40" i="18"/>
  <c r="V34" i="18"/>
  <c r="V36" i="18"/>
  <c r="V44" i="18"/>
  <c r="V38" i="18"/>
  <c r="V37" i="18"/>
  <c r="V39" i="18"/>
  <c r="V42" i="18"/>
  <c r="V43" i="18"/>
  <c r="V41" i="18"/>
  <c r="W40" i="18"/>
  <c r="W43" i="18"/>
  <c r="W41" i="18"/>
  <c r="W36" i="18"/>
  <c r="W42" i="18"/>
  <c r="W38" i="18"/>
  <c r="W34" i="18"/>
  <c r="W44" i="18"/>
  <c r="W39" i="18"/>
  <c r="W37" i="18"/>
  <c r="X40" i="18"/>
  <c r="X34" i="18"/>
  <c r="X42" i="18"/>
  <c r="X38" i="18"/>
  <c r="X43" i="18"/>
  <c r="X44" i="18"/>
  <c r="X37" i="18"/>
  <c r="X39" i="18"/>
  <c r="X36" i="18"/>
  <c r="X41" i="18"/>
  <c r="Y37" i="18"/>
  <c r="Y44" i="18"/>
  <c r="Y34" i="18"/>
  <c r="Y41" i="18"/>
  <c r="Y39" i="18"/>
  <c r="Y40" i="18"/>
  <c r="Y38" i="18"/>
  <c r="Y42" i="18"/>
  <c r="Y43" i="18"/>
  <c r="Y36" i="18"/>
  <c r="Z43" i="18"/>
  <c r="Z34" i="18"/>
  <c r="Z40" i="18"/>
  <c r="Z39" i="18"/>
  <c r="Z42" i="18"/>
  <c r="Z41" i="18"/>
  <c r="Z44" i="18"/>
  <c r="Z37" i="18"/>
  <c r="Z38" i="18"/>
  <c r="Z36" i="18"/>
  <c r="AA39" i="18"/>
  <c r="AA34" i="18"/>
  <c r="AA43" i="18"/>
  <c r="AA42" i="18"/>
  <c r="AA37" i="18"/>
  <c r="AA40" i="18"/>
  <c r="AA44" i="18"/>
  <c r="AA36" i="18"/>
  <c r="AA38" i="18"/>
  <c r="AA41" i="18"/>
  <c r="AB36" i="18"/>
  <c r="AB34" i="18"/>
  <c r="AB37" i="18"/>
  <c r="AB39" i="18"/>
  <c r="AB44" i="18"/>
  <c r="AB43" i="18"/>
  <c r="AB40" i="18"/>
  <c r="AB42" i="18"/>
  <c r="AB41" i="18"/>
  <c r="AB38" i="18"/>
  <c r="AC42" i="18"/>
  <c r="AC43" i="18"/>
  <c r="AC39" i="18"/>
  <c r="AC41" i="18"/>
  <c r="AC44" i="18"/>
  <c r="AC38" i="18"/>
  <c r="AC34" i="18"/>
  <c r="AC40" i="18"/>
  <c r="AC36" i="18"/>
  <c r="AC37" i="18"/>
  <c r="AD38" i="18"/>
  <c r="AD40" i="18"/>
  <c r="AD41" i="18"/>
  <c r="AD37" i="18"/>
  <c r="AD44" i="18"/>
  <c r="AD36" i="18"/>
  <c r="AD42" i="18"/>
  <c r="AD34" i="18"/>
  <c r="AD43" i="18"/>
  <c r="AD39" i="18"/>
  <c r="AE37" i="18"/>
  <c r="AE40" i="18"/>
  <c r="AE42" i="18"/>
  <c r="AE36" i="18"/>
  <c r="AE34" i="18"/>
  <c r="AE38" i="18"/>
  <c r="AE43" i="18"/>
  <c r="AE39" i="18"/>
  <c r="AE44" i="18"/>
  <c r="AE41" i="18"/>
  <c r="AF34" i="18"/>
  <c r="AF41" i="18"/>
  <c r="AF40" i="18"/>
  <c r="AF39" i="18"/>
  <c r="AF42" i="18"/>
  <c r="AF38" i="18"/>
  <c r="AF43" i="18"/>
  <c r="AF37" i="18"/>
  <c r="AF44" i="18"/>
  <c r="AF36" i="18"/>
  <c r="AG43" i="18"/>
  <c r="AG42" i="18"/>
  <c r="AG34" i="18"/>
  <c r="AG39" i="18"/>
  <c r="AG41" i="18"/>
  <c r="AG36" i="18"/>
  <c r="AG37" i="18"/>
  <c r="AG40" i="18"/>
  <c r="AG44" i="18"/>
  <c r="AG38" i="18"/>
  <c r="AH43" i="18"/>
  <c r="AH40" i="18"/>
  <c r="AH39" i="18"/>
  <c r="AH44" i="18"/>
  <c r="AH41" i="18"/>
  <c r="AH42" i="18"/>
  <c r="AH36" i="18"/>
  <c r="AH34" i="18"/>
  <c r="AH37" i="18"/>
  <c r="AH38" i="18"/>
  <c r="E19" i="18"/>
  <c r="D115" i="52" s="1"/>
  <c r="D124" i="52" s="1"/>
  <c r="E13" i="18"/>
  <c r="D109" i="52" s="1"/>
  <c r="E12" i="18"/>
  <c r="E18" i="18"/>
  <c r="D114" i="52" s="1"/>
  <c r="D123" i="52" s="1"/>
  <c r="E10" i="18"/>
  <c r="E17" i="18"/>
  <c r="D113" i="52" s="1"/>
  <c r="E16" i="18"/>
  <c r="D112" i="52" s="1"/>
  <c r="E15" i="18"/>
  <c r="D111" i="52" s="1"/>
  <c r="E20" i="18"/>
  <c r="D116" i="52" s="1"/>
  <c r="D125" i="52" s="1"/>
  <c r="E14" i="18"/>
  <c r="D110" i="52" s="1"/>
  <c r="J13" i="18"/>
  <c r="K14" i="18"/>
  <c r="K16" i="18"/>
  <c r="I14" i="18"/>
  <c r="H19" i="18"/>
  <c r="J17" i="18"/>
  <c r="J19" i="18"/>
  <c r="K15" i="18"/>
  <c r="M20" i="18"/>
  <c r="H18" i="18"/>
  <c r="J16" i="18"/>
  <c r="J15" i="18"/>
  <c r="J18" i="18"/>
  <c r="K13" i="18"/>
  <c r="K20" i="18"/>
  <c r="I20" i="18"/>
  <c r="H12" i="18"/>
  <c r="J14" i="18"/>
  <c r="K19" i="18"/>
  <c r="K12" i="18"/>
  <c r="M19" i="18"/>
  <c r="H15" i="18"/>
  <c r="H17" i="18"/>
  <c r="M12" i="18"/>
  <c r="H16" i="18"/>
  <c r="K18" i="18"/>
  <c r="M16" i="18"/>
  <c r="M15" i="18"/>
  <c r="M18" i="18"/>
  <c r="I19" i="18"/>
  <c r="I18" i="18"/>
  <c r="I16" i="18"/>
  <c r="H14" i="18"/>
  <c r="J20" i="18"/>
  <c r="M17" i="18"/>
  <c r="H20" i="18"/>
  <c r="H13" i="18"/>
  <c r="J12" i="18"/>
  <c r="K17" i="18"/>
  <c r="M13" i="18"/>
  <c r="L13" i="18"/>
  <c r="F17" i="18"/>
  <c r="F16" i="18"/>
  <c r="G15" i="18"/>
  <c r="I12" i="18"/>
  <c r="F15" i="18"/>
  <c r="N13" i="18"/>
  <c r="N15" i="18"/>
  <c r="L10" i="18"/>
  <c r="K10" i="18"/>
  <c r="L12" i="18"/>
  <c r="F14" i="18"/>
  <c r="N20" i="18"/>
  <c r="N14" i="18"/>
  <c r="I17" i="18"/>
  <c r="L19" i="18"/>
  <c r="F20" i="18"/>
  <c r="N18" i="18"/>
  <c r="N12" i="18"/>
  <c r="N19" i="18"/>
  <c r="G13" i="18"/>
  <c r="I10" i="18"/>
  <c r="I15" i="18"/>
  <c r="L17" i="18"/>
  <c r="L20" i="18"/>
  <c r="F13" i="18"/>
  <c r="F12" i="18"/>
  <c r="G14" i="18"/>
  <c r="L18" i="18"/>
  <c r="L16" i="18"/>
  <c r="M14" i="18"/>
  <c r="I13" i="18"/>
  <c r="L14" i="18"/>
  <c r="F18" i="18"/>
  <c r="N16" i="18"/>
  <c r="G19" i="18"/>
  <c r="G17" i="18"/>
  <c r="M10" i="18"/>
  <c r="G16" i="18"/>
  <c r="N17" i="18"/>
  <c r="G20" i="18"/>
  <c r="J10" i="18"/>
  <c r="F19" i="18"/>
  <c r="G12" i="18"/>
  <c r="L15" i="18"/>
  <c r="G18" i="18"/>
  <c r="G10" i="18"/>
  <c r="N10" i="18"/>
  <c r="H10" i="18"/>
  <c r="F10" i="18"/>
  <c r="O12" i="18"/>
  <c r="O20" i="18"/>
  <c r="O17" i="18"/>
  <c r="O19" i="18"/>
  <c r="O13" i="18"/>
  <c r="O18" i="18"/>
  <c r="O16" i="18"/>
  <c r="O15" i="18"/>
  <c r="O14" i="18"/>
  <c r="O10" i="18"/>
  <c r="P18" i="18"/>
  <c r="P16" i="18"/>
  <c r="P10" i="18"/>
  <c r="P19" i="18"/>
  <c r="P15" i="18"/>
  <c r="P17" i="18"/>
  <c r="P14" i="18"/>
  <c r="P12" i="18"/>
  <c r="P20" i="18"/>
  <c r="P13" i="18"/>
  <c r="Q20" i="18"/>
  <c r="Q16" i="18"/>
  <c r="Q14" i="18"/>
  <c r="Q12" i="18"/>
  <c r="Q18" i="18"/>
  <c r="Q15" i="18"/>
  <c r="Q19" i="18"/>
  <c r="Q13" i="18"/>
  <c r="Q17" i="18"/>
  <c r="Q10" i="18"/>
  <c r="R19" i="18"/>
  <c r="R10" i="18"/>
  <c r="R17" i="18"/>
  <c r="R18" i="18"/>
  <c r="R16" i="18"/>
  <c r="R14" i="18"/>
  <c r="R15" i="18"/>
  <c r="R13" i="18"/>
  <c r="R12" i="18"/>
  <c r="R20" i="18"/>
  <c r="S18" i="18"/>
  <c r="S10" i="18"/>
  <c r="S17" i="18"/>
  <c r="S14" i="18"/>
  <c r="S16" i="18"/>
  <c r="S15" i="18"/>
  <c r="S13" i="18"/>
  <c r="S20" i="18"/>
  <c r="S19" i="18"/>
  <c r="S12" i="18"/>
  <c r="T17" i="18"/>
  <c r="T20" i="18"/>
  <c r="T15" i="18"/>
  <c r="T13" i="18"/>
  <c r="T19" i="18"/>
  <c r="T18" i="18"/>
  <c r="T10" i="18"/>
  <c r="T14" i="18"/>
  <c r="T12" i="18"/>
  <c r="T16" i="18"/>
  <c r="U10" i="18"/>
  <c r="U18" i="18"/>
  <c r="U19" i="18"/>
  <c r="U15" i="18"/>
  <c r="U14" i="18"/>
  <c r="U16" i="18"/>
  <c r="U17" i="18"/>
  <c r="U13" i="18"/>
  <c r="U20" i="18"/>
  <c r="U12" i="18"/>
  <c r="V17" i="18"/>
  <c r="V20" i="18"/>
  <c r="V12" i="18"/>
  <c r="V18" i="18"/>
  <c r="V15" i="18"/>
  <c r="V10" i="18"/>
  <c r="V16" i="18"/>
  <c r="V14" i="18"/>
  <c r="V19" i="18"/>
  <c r="V13" i="18"/>
  <c r="W13" i="18"/>
  <c r="W20" i="18"/>
  <c r="W19" i="18"/>
  <c r="W14" i="18"/>
  <c r="W10" i="18"/>
  <c r="W17" i="18"/>
  <c r="W16" i="18"/>
  <c r="W18" i="18"/>
  <c r="W12" i="18"/>
  <c r="W15" i="18"/>
  <c r="X19" i="18"/>
  <c r="X18" i="18"/>
  <c r="X15" i="18"/>
  <c r="X16" i="18"/>
  <c r="X17" i="18"/>
  <c r="X10" i="18"/>
  <c r="X12" i="18"/>
  <c r="X14" i="18"/>
  <c r="X13" i="18"/>
  <c r="X20" i="18"/>
  <c r="Y15" i="18"/>
  <c r="Y16" i="18"/>
  <c r="Y10" i="18"/>
  <c r="Y20" i="18"/>
  <c r="Y14" i="18"/>
  <c r="Y13" i="18"/>
  <c r="Y12" i="18"/>
  <c r="Y19" i="18"/>
  <c r="Y18" i="18"/>
  <c r="Y17" i="18"/>
  <c r="Z20" i="18"/>
  <c r="Z16" i="18"/>
  <c r="Z12" i="18"/>
  <c r="Z13" i="18"/>
  <c r="Z19" i="18"/>
  <c r="Z17" i="18"/>
  <c r="Z18" i="18"/>
  <c r="Z15" i="18"/>
  <c r="Z10" i="18"/>
  <c r="Z14" i="18"/>
  <c r="AA18" i="18"/>
  <c r="AA20" i="18"/>
  <c r="AA17" i="18"/>
  <c r="AA14" i="18"/>
  <c r="AA15" i="18"/>
  <c r="AA16" i="18"/>
  <c r="AA13" i="18"/>
  <c r="AA10" i="18"/>
  <c r="AA12" i="18"/>
  <c r="AA19" i="18"/>
  <c r="AB13" i="18"/>
  <c r="AB19" i="18"/>
  <c r="AB18" i="18"/>
  <c r="AB12" i="18"/>
  <c r="AB10" i="18"/>
  <c r="AB17" i="18"/>
  <c r="AB16" i="18"/>
  <c r="AB15" i="18"/>
  <c r="AB20" i="18"/>
  <c r="AB14" i="18"/>
  <c r="AC20" i="18"/>
  <c r="AC16" i="18"/>
  <c r="AC14" i="18"/>
  <c r="AC19" i="18"/>
  <c r="AC10" i="18"/>
  <c r="AC18" i="18"/>
  <c r="AC12" i="18"/>
  <c r="AC15" i="18"/>
  <c r="AC17" i="18"/>
  <c r="AC13" i="18"/>
  <c r="AD17" i="18"/>
  <c r="AD16" i="18"/>
  <c r="AD10" i="18"/>
  <c r="AD15" i="18"/>
  <c r="AD19" i="18"/>
  <c r="AD13" i="18"/>
  <c r="AD20" i="18"/>
  <c r="AD12" i="18"/>
  <c r="AD14" i="18"/>
  <c r="AD18" i="18"/>
  <c r="AE13" i="18"/>
  <c r="AE10" i="18"/>
  <c r="AE12" i="18"/>
  <c r="AE15" i="18"/>
  <c r="AE18" i="18"/>
  <c r="AE17" i="18"/>
  <c r="AE14" i="18"/>
  <c r="AE20" i="18"/>
  <c r="AE19" i="18"/>
  <c r="AE16" i="18"/>
  <c r="AF20" i="18"/>
  <c r="AF18" i="18"/>
  <c r="AF10" i="18"/>
  <c r="AF19" i="18"/>
  <c r="AF12" i="18"/>
  <c r="AF17" i="18"/>
  <c r="AF16" i="18"/>
  <c r="AF15" i="18"/>
  <c r="AF14" i="18"/>
  <c r="AF13" i="18"/>
  <c r="AG14" i="18"/>
  <c r="AG18" i="18"/>
  <c r="AG20" i="18"/>
  <c r="AG15" i="18"/>
  <c r="AG10" i="18"/>
  <c r="AG12" i="18"/>
  <c r="AG19" i="18"/>
  <c r="AG16" i="18"/>
  <c r="AG13" i="18"/>
  <c r="AG17" i="18"/>
  <c r="AH20" i="18"/>
  <c r="AH12" i="18"/>
  <c r="AH14" i="18"/>
  <c r="AH19" i="18"/>
  <c r="AH15" i="18"/>
  <c r="AH13" i="18"/>
  <c r="AH18" i="18"/>
  <c r="AH17" i="18"/>
  <c r="AH16" i="18"/>
  <c r="AH10" i="18"/>
  <c r="CE262" i="53"/>
  <c r="CU262" i="53" s="1"/>
  <c r="Q22" i="47"/>
  <c r="CH267" i="53"/>
  <c r="CG267" i="53" s="1"/>
  <c r="CI267" i="53" s="1"/>
  <c r="CL271" i="53"/>
  <c r="CK271" i="53" s="1"/>
  <c r="CM271" i="53" s="1"/>
  <c r="CP274" i="53"/>
  <c r="CO274" i="53" s="1"/>
  <c r="CQ274" i="53" s="1"/>
  <c r="E107" i="52"/>
  <c r="K107" i="52"/>
  <c r="G107" i="52"/>
  <c r="H107" i="52"/>
  <c r="I107" i="52"/>
  <c r="V37" i="53"/>
  <c r="S33" i="32"/>
  <c r="Q24" i="41"/>
  <c r="R20" i="47"/>
  <c r="R21" i="47" s="1"/>
  <c r="L107" i="52"/>
  <c r="J107" i="52"/>
  <c r="S18" i="47"/>
  <c r="S19" i="47"/>
  <c r="T17" i="47"/>
  <c r="U12" i="47"/>
  <c r="F107" i="52"/>
  <c r="F176" i="29" l="1"/>
  <c r="CD263" i="53"/>
  <c r="CC263" i="53" s="1"/>
  <c r="E114" i="52"/>
  <c r="E123" i="52" s="1"/>
  <c r="E21" i="18"/>
  <c r="K108" i="52"/>
  <c r="K106" i="52"/>
  <c r="K122" i="52" s="1"/>
  <c r="I106" i="52"/>
  <c r="I122" i="52" s="1"/>
  <c r="H108" i="52"/>
  <c r="H106" i="52"/>
  <c r="H122" i="52" s="1"/>
  <c r="J108" i="52"/>
  <c r="J106" i="52"/>
  <c r="J122" i="52" s="1"/>
  <c r="G108" i="52"/>
  <c r="G106" i="52"/>
  <c r="G122" i="52" s="1"/>
  <c r="L108" i="52"/>
  <c r="L106" i="52"/>
  <c r="L122" i="52" s="1"/>
  <c r="D108" i="52"/>
  <c r="D106" i="52"/>
  <c r="D122" i="52" s="1"/>
  <c r="F108" i="52"/>
  <c r="F106" i="52"/>
  <c r="F122" i="52" s="1"/>
  <c r="E108" i="52"/>
  <c r="E106" i="52"/>
  <c r="E122" i="52" s="1"/>
  <c r="I108" i="52"/>
  <c r="E93" i="18"/>
  <c r="E9" i="18"/>
  <c r="O45" i="18"/>
  <c r="Q14" i="33" s="1"/>
  <c r="AG9" i="18"/>
  <c r="Z9" i="18"/>
  <c r="P105" i="18"/>
  <c r="R21" i="32" s="1"/>
  <c r="H9" i="18"/>
  <c r="AE81" i="18"/>
  <c r="AG19" i="32" s="1"/>
  <c r="AD33" i="18"/>
  <c r="AF13" i="33" s="1"/>
  <c r="X81" i="18"/>
  <c r="Z19" i="32" s="1"/>
  <c r="M105" i="18"/>
  <c r="O19" i="33" s="1"/>
  <c r="N33" i="18"/>
  <c r="P15" i="32" s="1"/>
  <c r="W81" i="18"/>
  <c r="Y19" i="32" s="1"/>
  <c r="Z105" i="18"/>
  <c r="AB21" i="32" s="1"/>
  <c r="J69" i="18"/>
  <c r="M57" i="18"/>
  <c r="O17" i="32" s="1"/>
  <c r="AC57" i="18"/>
  <c r="AE15" i="33" s="1"/>
  <c r="L45" i="18"/>
  <c r="N16" i="32" s="1"/>
  <c r="N93" i="18"/>
  <c r="P18" i="33" s="1"/>
  <c r="AB21" i="18"/>
  <c r="AD14" i="32" s="1"/>
  <c r="J33" i="18"/>
  <c r="L13" i="33" s="1"/>
  <c r="AE33" i="18"/>
  <c r="AG15" i="32" s="1"/>
  <c r="W105" i="18"/>
  <c r="Y19" i="33" s="1"/>
  <c r="N105" i="18"/>
  <c r="P19" i="33" s="1"/>
  <c r="Y69" i="18"/>
  <c r="AC21" i="18"/>
  <c r="AE12" i="33" s="1"/>
  <c r="AG33" i="18"/>
  <c r="AI13" i="33" s="1"/>
  <c r="AB81" i="18"/>
  <c r="AD19" i="32" s="1"/>
  <c r="K81" i="18"/>
  <c r="M19" i="32" s="1"/>
  <c r="AC69" i="18"/>
  <c r="AD57" i="18"/>
  <c r="AF17" i="32" s="1"/>
  <c r="K57" i="18"/>
  <c r="M15" i="33" s="1"/>
  <c r="O57" i="18"/>
  <c r="Q17" i="32" s="1"/>
  <c r="H45" i="18"/>
  <c r="J16" i="32" s="1"/>
  <c r="I45" i="18"/>
  <c r="K16" i="32" s="1"/>
  <c r="W45" i="18"/>
  <c r="Y16" i="32" s="1"/>
  <c r="AF9" i="18"/>
  <c r="T69" i="18"/>
  <c r="J93" i="18"/>
  <c r="L18" i="33" s="1"/>
  <c r="O21" i="18"/>
  <c r="Q12" i="33" s="1"/>
  <c r="J57" i="18"/>
  <c r="L17" i="32" s="1"/>
  <c r="Z45" i="18"/>
  <c r="AB14" i="33" s="1"/>
  <c r="L81" i="18"/>
  <c r="N17" i="33" s="1"/>
  <c r="R57" i="18"/>
  <c r="T17" i="32" s="1"/>
  <c r="AB93" i="18"/>
  <c r="AD18" i="33" s="1"/>
  <c r="AG45" i="18"/>
  <c r="AI16" i="32" s="1"/>
  <c r="G81" i="18"/>
  <c r="I19" i="32" s="1"/>
  <c r="AF69" i="18"/>
  <c r="S69" i="18"/>
  <c r="V57" i="18"/>
  <c r="X15" i="33" s="1"/>
  <c r="K45" i="18"/>
  <c r="M16" i="32" s="1"/>
  <c r="J21" i="18"/>
  <c r="L12" i="33" s="1"/>
  <c r="R9" i="18"/>
  <c r="G33" i="18"/>
  <c r="I15" i="32" s="1"/>
  <c r="J81" i="18"/>
  <c r="L19" i="32" s="1"/>
  <c r="G105" i="18"/>
  <c r="I21" i="32" s="1"/>
  <c r="P45" i="18"/>
  <c r="R16" i="32" s="1"/>
  <c r="AG93" i="18"/>
  <c r="AI18" i="33" s="1"/>
  <c r="I93" i="18"/>
  <c r="K20" i="32" s="1"/>
  <c r="AD93" i="18"/>
  <c r="AF18" i="33" s="1"/>
  <c r="AH33" i="18"/>
  <c r="AJ15" i="32" s="1"/>
  <c r="T105" i="18"/>
  <c r="V19" i="33" s="1"/>
  <c r="H69" i="18"/>
  <c r="M21" i="18"/>
  <c r="O14" i="32" s="1"/>
  <c r="P93" i="18"/>
  <c r="R18" i="33" s="1"/>
  <c r="P81" i="18"/>
  <c r="R17" i="33" s="1"/>
  <c r="AG81" i="18"/>
  <c r="AI17" i="33" s="1"/>
  <c r="AD105" i="18"/>
  <c r="AF21" i="32" s="1"/>
  <c r="AG105" i="18"/>
  <c r="AI19" i="33" s="1"/>
  <c r="M93" i="18"/>
  <c r="O20" i="32" s="1"/>
  <c r="G93" i="18"/>
  <c r="I18" i="33" s="1"/>
  <c r="AC93" i="18"/>
  <c r="AE18" i="33" s="1"/>
  <c r="X9" i="18"/>
  <c r="L9" i="18"/>
  <c r="G45" i="18"/>
  <c r="I16" i="32" s="1"/>
  <c r="S93" i="18"/>
  <c r="U18" i="33" s="1"/>
  <c r="V93" i="18"/>
  <c r="X20" i="32" s="1"/>
  <c r="AG21" i="18"/>
  <c r="AI12" i="33" s="1"/>
  <c r="H21" i="18"/>
  <c r="J14" i="32" s="1"/>
  <c r="AH69" i="18"/>
  <c r="G69" i="18"/>
  <c r="N57" i="18"/>
  <c r="P17" i="32" s="1"/>
  <c r="AH21" i="18"/>
  <c r="AJ14" i="32" s="1"/>
  <c r="L69" i="18"/>
  <c r="Z69" i="18"/>
  <c r="AF57" i="18"/>
  <c r="AH17" i="32" s="1"/>
  <c r="G57" i="18"/>
  <c r="I15" i="33" s="1"/>
  <c r="Y45" i="18"/>
  <c r="AA14" i="33" s="1"/>
  <c r="S45" i="18"/>
  <c r="U16" i="32" s="1"/>
  <c r="AA21" i="18"/>
  <c r="AC14" i="32" s="1"/>
  <c r="AD21" i="18"/>
  <c r="AF12" i="33" s="1"/>
  <c r="O9" i="18"/>
  <c r="M9" i="18"/>
  <c r="Q33" i="18"/>
  <c r="S13" i="33" s="1"/>
  <c r="V81" i="18"/>
  <c r="X19" i="32" s="1"/>
  <c r="AH81" i="18"/>
  <c r="AJ17" i="33" s="1"/>
  <c r="Q69" i="18"/>
  <c r="X57" i="18"/>
  <c r="Z17" i="32" s="1"/>
  <c r="U45" i="18"/>
  <c r="W14" i="33" s="1"/>
  <c r="Z21" i="18"/>
  <c r="AB12" i="33" s="1"/>
  <c r="AE21" i="18"/>
  <c r="AG12" i="33" s="1"/>
  <c r="AH9" i="18"/>
  <c r="S9" i="18"/>
  <c r="F9" i="18"/>
  <c r="T33" i="18"/>
  <c r="V15" i="32" s="1"/>
  <c r="H33" i="18"/>
  <c r="J13" i="33" s="1"/>
  <c r="L33" i="18"/>
  <c r="N13" i="33" s="1"/>
  <c r="N81" i="18"/>
  <c r="P17" i="33" s="1"/>
  <c r="V105" i="18"/>
  <c r="X21" i="32" s="1"/>
  <c r="X105" i="18"/>
  <c r="Z21" i="32" s="1"/>
  <c r="L105" i="18"/>
  <c r="N21" i="32" s="1"/>
  <c r="AH105" i="18"/>
  <c r="AJ19" i="33" s="1"/>
  <c r="N69" i="18"/>
  <c r="W69" i="18"/>
  <c r="AH93" i="18"/>
  <c r="AJ18" i="33" s="1"/>
  <c r="H93" i="18"/>
  <c r="J20" i="32" s="1"/>
  <c r="S21" i="18"/>
  <c r="U12" i="33" s="1"/>
  <c r="F21" i="18"/>
  <c r="H14" i="32" s="1"/>
  <c r="N21" i="18"/>
  <c r="P14" i="32" s="1"/>
  <c r="I9" i="18"/>
  <c r="CP275" i="53"/>
  <c r="CO275" i="53" s="1"/>
  <c r="CQ275" i="53" s="1"/>
  <c r="CL272" i="53"/>
  <c r="CK272" i="53" s="1"/>
  <c r="CM272" i="53" s="1"/>
  <c r="CH268" i="53"/>
  <c r="CG268" i="53" s="1"/>
  <c r="CI268" i="53" s="1"/>
  <c r="V12" i="47"/>
  <c r="F33" i="18"/>
  <c r="R24" i="41"/>
  <c r="T33" i="32"/>
  <c r="S20" i="47"/>
  <c r="S21" i="47" s="1"/>
  <c r="AD81" i="18"/>
  <c r="J105" i="52"/>
  <c r="J121" i="52" s="1"/>
  <c r="E81" i="18"/>
  <c r="I105" i="18"/>
  <c r="S105" i="18"/>
  <c r="AD69" i="18"/>
  <c r="F69" i="18"/>
  <c r="P69" i="18"/>
  <c r="I57" i="18"/>
  <c r="S57" i="18"/>
  <c r="L57" i="18"/>
  <c r="AG57" i="18"/>
  <c r="AC45" i="18"/>
  <c r="F45" i="18"/>
  <c r="AH45" i="18"/>
  <c r="AB45" i="18"/>
  <c r="G21" i="18"/>
  <c r="P21" i="18"/>
  <c r="F105" i="52"/>
  <c r="F121" i="52" s="1"/>
  <c r="E33" i="18"/>
  <c r="T81" i="18"/>
  <c r="R69" i="18"/>
  <c r="AG69" i="18"/>
  <c r="Q57" i="18"/>
  <c r="J45" i="18"/>
  <c r="G105" i="52"/>
  <c r="G121" i="52" s="1"/>
  <c r="E45" i="18"/>
  <c r="AE9" i="18"/>
  <c r="Y9" i="18"/>
  <c r="U33" i="18"/>
  <c r="AA9" i="18"/>
  <c r="O33" i="18"/>
  <c r="S33" i="18"/>
  <c r="M33" i="18"/>
  <c r="I81" i="18"/>
  <c r="R81" i="18"/>
  <c r="AF81" i="18"/>
  <c r="R105" i="18"/>
  <c r="L105" i="52"/>
  <c r="L121" i="52" s="1"/>
  <c r="E105" i="18"/>
  <c r="I69" i="18"/>
  <c r="X69" i="18"/>
  <c r="V69" i="18"/>
  <c r="I105" i="52"/>
  <c r="I121" i="52" s="1"/>
  <c r="E69" i="18"/>
  <c r="AH57" i="18"/>
  <c r="AE57" i="18"/>
  <c r="T93" i="18"/>
  <c r="Y93" i="18"/>
  <c r="W93" i="18"/>
  <c r="U21" i="18"/>
  <c r="X21" i="18"/>
  <c r="Q9" i="18"/>
  <c r="H105" i="52"/>
  <c r="H121" i="52" s="1"/>
  <c r="E57" i="18"/>
  <c r="AA33" i="18"/>
  <c r="I33" i="18"/>
  <c r="Y33" i="18"/>
  <c r="W33" i="18"/>
  <c r="U81" i="18"/>
  <c r="S81" i="18"/>
  <c r="Q81" i="18"/>
  <c r="K105" i="18"/>
  <c r="O105" i="18"/>
  <c r="AB105" i="18"/>
  <c r="H105" i="18"/>
  <c r="W35" i="53"/>
  <c r="O69" i="18"/>
  <c r="K69" i="18"/>
  <c r="AB57" i="18"/>
  <c r="T57" i="18"/>
  <c r="R45" i="18"/>
  <c r="AA45" i="18"/>
  <c r="AD45" i="18"/>
  <c r="L93" i="18"/>
  <c r="AE93" i="18"/>
  <c r="R93" i="18"/>
  <c r="X93" i="18"/>
  <c r="R21" i="18"/>
  <c r="W21" i="18"/>
  <c r="D105" i="52"/>
  <c r="D121" i="52" s="1"/>
  <c r="P9" i="18"/>
  <c r="W9" i="18"/>
  <c r="K9" i="18"/>
  <c r="X33" i="18"/>
  <c r="Z33" i="18"/>
  <c r="P33" i="18"/>
  <c r="R33" i="18"/>
  <c r="V33" i="18"/>
  <c r="Y81" i="18"/>
  <c r="M81" i="18"/>
  <c r="AA81" i="18"/>
  <c r="O81" i="18"/>
  <c r="Y105" i="18"/>
  <c r="F105" i="18"/>
  <c r="AE105" i="18"/>
  <c r="U69" i="18"/>
  <c r="M69" i="18"/>
  <c r="AE69" i="18"/>
  <c r="Z57" i="18"/>
  <c r="Y57" i="18"/>
  <c r="P57" i="18"/>
  <c r="W57" i="18"/>
  <c r="AA57" i="18"/>
  <c r="N45" i="18"/>
  <c r="Q45" i="18"/>
  <c r="AE45" i="18"/>
  <c r="AF45" i="18"/>
  <c r="M45" i="18"/>
  <c r="AA93" i="18"/>
  <c r="U93" i="18"/>
  <c r="AF93" i="18"/>
  <c r="K93" i="18"/>
  <c r="L21" i="18"/>
  <c r="K21" i="18"/>
  <c r="I21" i="18"/>
  <c r="Y21" i="18"/>
  <c r="AD9" i="18"/>
  <c r="V9" i="18"/>
  <c r="G9" i="18"/>
  <c r="K33" i="18"/>
  <c r="U17" i="47"/>
  <c r="T19" i="47"/>
  <c r="T18" i="47"/>
  <c r="AC33" i="18"/>
  <c r="AB33" i="18"/>
  <c r="AF33" i="18"/>
  <c r="AC81" i="18"/>
  <c r="F81" i="18"/>
  <c r="Q105" i="18"/>
  <c r="AA69" i="18"/>
  <c r="H116" i="52"/>
  <c r="H125" i="52" s="1"/>
  <c r="V45" i="18"/>
  <c r="O93" i="18"/>
  <c r="F93" i="18"/>
  <c r="K105" i="52"/>
  <c r="K121" i="52" s="1"/>
  <c r="T21" i="18"/>
  <c r="E105" i="52"/>
  <c r="E121" i="52" s="1"/>
  <c r="R22" i="47"/>
  <c r="AC9" i="18"/>
  <c r="U9" i="18"/>
  <c r="N9" i="18"/>
  <c r="H81" i="18"/>
  <c r="Z81" i="18"/>
  <c r="AC105" i="18"/>
  <c r="J105" i="18"/>
  <c r="U105" i="18"/>
  <c r="AF105" i="18"/>
  <c r="AA105" i="18"/>
  <c r="AB69" i="18"/>
  <c r="U57" i="18"/>
  <c r="F57" i="18"/>
  <c r="H57" i="18"/>
  <c r="X45" i="18"/>
  <c r="T45" i="18"/>
  <c r="Q93" i="18"/>
  <c r="Z93" i="18"/>
  <c r="AF21" i="18"/>
  <c r="V21" i="18"/>
  <c r="Q21" i="18"/>
  <c r="J9" i="18"/>
  <c r="AB9" i="18"/>
  <c r="T9" i="18"/>
  <c r="CT263" i="53" l="1"/>
  <c r="AC118" i="18"/>
  <c r="AA118" i="18"/>
  <c r="N118" i="18"/>
  <c r="AB13" i="32"/>
  <c r="Z118" i="18"/>
  <c r="Y118" i="18"/>
  <c r="Z13" i="32"/>
  <c r="X118" i="18"/>
  <c r="AB118" i="18"/>
  <c r="G118" i="18"/>
  <c r="K118" i="18"/>
  <c r="AE118" i="18"/>
  <c r="U13" i="32"/>
  <c r="S118" i="18"/>
  <c r="AI13" i="32"/>
  <c r="AG118" i="18"/>
  <c r="T118" i="18"/>
  <c r="H13" i="32"/>
  <c r="F118" i="18"/>
  <c r="J118" i="18"/>
  <c r="V118" i="18"/>
  <c r="W118" i="18"/>
  <c r="Q118" i="18"/>
  <c r="AJ11" i="33"/>
  <c r="AH118" i="18"/>
  <c r="AJ16" i="49" s="1"/>
  <c r="T11" i="33"/>
  <c r="R118" i="18"/>
  <c r="E118" i="18"/>
  <c r="Q11" i="33"/>
  <c r="O118" i="18"/>
  <c r="AD118" i="18"/>
  <c r="P118" i="18"/>
  <c r="O13" i="32"/>
  <c r="M118" i="18"/>
  <c r="K13" i="32"/>
  <c r="I118" i="18"/>
  <c r="J13" i="32"/>
  <c r="H118" i="18"/>
  <c r="U118" i="18"/>
  <c r="N13" i="32"/>
  <c r="L118" i="18"/>
  <c r="AH13" i="32"/>
  <c r="AF118" i="18"/>
  <c r="AH16" i="49" s="1"/>
  <c r="G14" i="33"/>
  <c r="G16" i="32"/>
  <c r="G11" i="33"/>
  <c r="G13" i="32"/>
  <c r="G18" i="33"/>
  <c r="G20" i="32"/>
  <c r="G19" i="33"/>
  <c r="G21" i="32"/>
  <c r="G17" i="32"/>
  <c r="G15" i="33"/>
  <c r="G13" i="33"/>
  <c r="G15" i="32"/>
  <c r="G19" i="32"/>
  <c r="G17" i="33"/>
  <c r="G12" i="33"/>
  <c r="G14" i="32"/>
  <c r="G18" i="32"/>
  <c r="G16" i="33"/>
  <c r="AA119" i="18"/>
  <c r="Y16" i="33"/>
  <c r="P16" i="33"/>
  <c r="N16" i="33"/>
  <c r="AA18" i="32"/>
  <c r="V18" i="32"/>
  <c r="I18" i="32"/>
  <c r="U18" i="32"/>
  <c r="AE18" i="32"/>
  <c r="AJ18" i="32"/>
  <c r="AH18" i="32"/>
  <c r="J18" i="32"/>
  <c r="L16" i="33"/>
  <c r="S18" i="32"/>
  <c r="AB16" i="33"/>
  <c r="AB11" i="33"/>
  <c r="AI11" i="33"/>
  <c r="Q16" i="32"/>
  <c r="Y17" i="33"/>
  <c r="J11" i="33"/>
  <c r="V16" i="33"/>
  <c r="AF15" i="32"/>
  <c r="O15" i="33"/>
  <c r="N15" i="32"/>
  <c r="AE14" i="32"/>
  <c r="J14" i="33"/>
  <c r="R19" i="32"/>
  <c r="L14" i="32"/>
  <c r="U14" i="33"/>
  <c r="AI14" i="32"/>
  <c r="J15" i="32"/>
  <c r="AB14" i="32"/>
  <c r="AJ13" i="33"/>
  <c r="AJ19" i="32"/>
  <c r="Y18" i="32"/>
  <c r="Y21" i="32"/>
  <c r="M17" i="33"/>
  <c r="Q13" i="32"/>
  <c r="AB16" i="32"/>
  <c r="AE20" i="32"/>
  <c r="R19" i="33"/>
  <c r="U14" i="32"/>
  <c r="AH16" i="33"/>
  <c r="I14" i="33"/>
  <c r="AG17" i="33"/>
  <c r="AG13" i="33"/>
  <c r="AE17" i="32"/>
  <c r="Z17" i="33"/>
  <c r="T15" i="33"/>
  <c r="AA16" i="33"/>
  <c r="AF15" i="33"/>
  <c r="O21" i="32"/>
  <c r="Q15" i="33"/>
  <c r="AI14" i="33"/>
  <c r="S16" i="33"/>
  <c r="AI15" i="32"/>
  <c r="AB19" i="33"/>
  <c r="AG14" i="32"/>
  <c r="J12" i="33"/>
  <c r="AI19" i="32"/>
  <c r="AB18" i="32"/>
  <c r="AI20" i="32"/>
  <c r="O11" i="33"/>
  <c r="K14" i="33"/>
  <c r="L15" i="32"/>
  <c r="T13" i="32"/>
  <c r="H12" i="33"/>
  <c r="V21" i="32"/>
  <c r="Q14" i="32"/>
  <c r="P13" i="33"/>
  <c r="I20" i="32"/>
  <c r="X17" i="33"/>
  <c r="AD12" i="33"/>
  <c r="N18" i="32"/>
  <c r="Z15" i="33"/>
  <c r="U11" i="33"/>
  <c r="P19" i="32"/>
  <c r="L20" i="32"/>
  <c r="AH15" i="33"/>
  <c r="I13" i="33"/>
  <c r="AC12" i="33"/>
  <c r="K18" i="33"/>
  <c r="AA16" i="32"/>
  <c r="W16" i="32"/>
  <c r="I17" i="33"/>
  <c r="AJ13" i="32"/>
  <c r="AJ20" i="32"/>
  <c r="AI21" i="32"/>
  <c r="AD17" i="33"/>
  <c r="J16" i="33"/>
  <c r="P12" i="33"/>
  <c r="Y14" i="33"/>
  <c r="O18" i="33"/>
  <c r="L18" i="32"/>
  <c r="N14" i="33"/>
  <c r="I17" i="32"/>
  <c r="M14" i="33"/>
  <c r="AJ21" i="32"/>
  <c r="P20" i="32"/>
  <c r="M17" i="32"/>
  <c r="S15" i="32"/>
  <c r="N11" i="33"/>
  <c r="L15" i="33"/>
  <c r="AH11" i="33"/>
  <c r="R20" i="32"/>
  <c r="AJ12" i="33"/>
  <c r="Z19" i="33"/>
  <c r="J18" i="33"/>
  <c r="R14" i="33"/>
  <c r="AJ16" i="33"/>
  <c r="U16" i="33"/>
  <c r="H11" i="33"/>
  <c r="AE16" i="33"/>
  <c r="I16" i="33"/>
  <c r="U20" i="32"/>
  <c r="AF19" i="33"/>
  <c r="L17" i="33"/>
  <c r="P21" i="32"/>
  <c r="N19" i="32"/>
  <c r="AF20" i="32"/>
  <c r="X19" i="33"/>
  <c r="S22" i="47"/>
  <c r="O12" i="33"/>
  <c r="P15" i="33"/>
  <c r="Z11" i="33"/>
  <c r="X17" i="32"/>
  <c r="X18" i="33"/>
  <c r="N19" i="33"/>
  <c r="AD20" i="32"/>
  <c r="I19" i="33"/>
  <c r="K11" i="33"/>
  <c r="AF14" i="32"/>
  <c r="P18" i="32"/>
  <c r="V13" i="33"/>
  <c r="CH269" i="53"/>
  <c r="CG269" i="53" s="1"/>
  <c r="CI269" i="53" s="1"/>
  <c r="CL273" i="53"/>
  <c r="CK273" i="53" s="1"/>
  <c r="CM273" i="53" s="1"/>
  <c r="S24" i="41"/>
  <c r="U33" i="32"/>
  <c r="T20" i="47"/>
  <c r="T21" i="47" s="1"/>
  <c r="N14" i="32"/>
  <c r="N12" i="33"/>
  <c r="W20" i="32"/>
  <c r="W18" i="33"/>
  <c r="R17" i="32"/>
  <c r="R15" i="33"/>
  <c r="D117" i="52"/>
  <c r="D126" i="52" s="1"/>
  <c r="AG20" i="32"/>
  <c r="AG18" i="33"/>
  <c r="M16" i="33"/>
  <c r="M18" i="32"/>
  <c r="S11" i="33"/>
  <c r="S13" i="32"/>
  <c r="R18" i="32"/>
  <c r="R16" i="33"/>
  <c r="L21" i="32"/>
  <c r="L19" i="33"/>
  <c r="Q20" i="32"/>
  <c r="Q18" i="33"/>
  <c r="U18" i="47"/>
  <c r="U19" i="47"/>
  <c r="V17" i="47"/>
  <c r="I13" i="32"/>
  <c r="I11" i="33"/>
  <c r="AC18" i="33"/>
  <c r="AC20" i="32"/>
  <c r="O14" i="33"/>
  <c r="O16" i="32"/>
  <c r="AA17" i="32"/>
  <c r="AA15" i="33"/>
  <c r="AA19" i="33"/>
  <c r="AA21" i="32"/>
  <c r="T13" i="33"/>
  <c r="T15" i="32"/>
  <c r="N18" i="33"/>
  <c r="N20" i="32"/>
  <c r="AD21" i="32"/>
  <c r="AD19" i="33"/>
  <c r="Y13" i="33"/>
  <c r="Y15" i="32"/>
  <c r="AA20" i="32"/>
  <c r="AA18" i="33"/>
  <c r="T19" i="32"/>
  <c r="T17" i="33"/>
  <c r="AA11" i="33"/>
  <c r="AA13" i="32"/>
  <c r="AE16" i="32"/>
  <c r="AE14" i="33"/>
  <c r="V14" i="32"/>
  <c r="V12" i="33"/>
  <c r="H19" i="33"/>
  <c r="H21" i="32"/>
  <c r="T14" i="33"/>
  <c r="T16" i="32"/>
  <c r="J19" i="33"/>
  <c r="J21" i="32"/>
  <c r="Y20" i="32"/>
  <c r="Y18" i="33"/>
  <c r="K16" i="33"/>
  <c r="K18" i="32"/>
  <c r="F117" i="52"/>
  <c r="F126" i="52" s="1"/>
  <c r="I14" i="32"/>
  <c r="I12" i="33"/>
  <c r="U21" i="32"/>
  <c r="U19" i="33"/>
  <c r="S14" i="32"/>
  <c r="S12" i="33"/>
  <c r="AB20" i="32"/>
  <c r="AB18" i="33"/>
  <c r="X14" i="32"/>
  <c r="X12" i="33"/>
  <c r="S18" i="33"/>
  <c r="S20" i="32"/>
  <c r="V14" i="33"/>
  <c r="V16" i="32"/>
  <c r="AC16" i="33"/>
  <c r="AC18" i="32"/>
  <c r="S19" i="33"/>
  <c r="S21" i="32"/>
  <c r="M15" i="32"/>
  <c r="M13" i="33"/>
  <c r="X13" i="32"/>
  <c r="X11" i="33"/>
  <c r="AH14" i="33"/>
  <c r="AH16" i="32"/>
  <c r="AB15" i="33"/>
  <c r="AB17" i="32"/>
  <c r="Q19" i="32"/>
  <c r="Q17" i="33"/>
  <c r="Y14" i="32"/>
  <c r="Y12" i="33"/>
  <c r="Q21" i="32"/>
  <c r="Q19" i="33"/>
  <c r="AA15" i="32"/>
  <c r="AA13" i="33"/>
  <c r="V20" i="32"/>
  <c r="V18" i="33"/>
  <c r="AG15" i="33"/>
  <c r="AG17" i="32"/>
  <c r="L117" i="52"/>
  <c r="L126" i="52" s="1"/>
  <c r="K17" i="33"/>
  <c r="K19" i="32"/>
  <c r="AC11" i="33"/>
  <c r="AC13" i="32"/>
  <c r="AG13" i="32"/>
  <c r="AG11" i="33"/>
  <c r="AI16" i="33"/>
  <c r="AI18" i="32"/>
  <c r="AD16" i="32"/>
  <c r="AD14" i="33"/>
  <c r="AI15" i="33"/>
  <c r="AI17" i="32"/>
  <c r="J117" i="52"/>
  <c r="J126" i="52" s="1"/>
  <c r="H15" i="32"/>
  <c r="H13" i="33"/>
  <c r="Z14" i="33"/>
  <c r="Z16" i="32"/>
  <c r="AG16" i="32"/>
  <c r="AG14" i="33"/>
  <c r="L16" i="32"/>
  <c r="L14" i="33"/>
  <c r="T18" i="32"/>
  <c r="T16" i="33"/>
  <c r="AJ14" i="33"/>
  <c r="AJ16" i="32"/>
  <c r="N17" i="32"/>
  <c r="N15" i="33"/>
  <c r="H18" i="32"/>
  <c r="H16" i="33"/>
  <c r="K21" i="32"/>
  <c r="K19" i="33"/>
  <c r="Z20" i="32"/>
  <c r="Z18" i="33"/>
  <c r="AD17" i="32"/>
  <c r="AD15" i="33"/>
  <c r="S17" i="33"/>
  <c r="S19" i="32"/>
  <c r="AC15" i="32"/>
  <c r="AC13" i="33"/>
  <c r="H117" i="52"/>
  <c r="H126" i="52" s="1"/>
  <c r="I117" i="52"/>
  <c r="I126" i="52" s="1"/>
  <c r="U15" i="32"/>
  <c r="U13" i="33"/>
  <c r="U17" i="32"/>
  <c r="U15" i="33"/>
  <c r="W12" i="47"/>
  <c r="AH15" i="32"/>
  <c r="AH13" i="33"/>
  <c r="AF13" i="32"/>
  <c r="AF11" i="33"/>
  <c r="AG16" i="33"/>
  <c r="AG18" i="32"/>
  <c r="AC19" i="32"/>
  <c r="AC17" i="33"/>
  <c r="V17" i="32"/>
  <c r="V15" i="33"/>
  <c r="AD11" i="33"/>
  <c r="AD13" i="32"/>
  <c r="AB19" i="32"/>
  <c r="AB17" i="33"/>
  <c r="K117" i="52"/>
  <c r="K126" i="52" s="1"/>
  <c r="X14" i="33"/>
  <c r="X16" i="32"/>
  <c r="AD15" i="32"/>
  <c r="AD13" i="33"/>
  <c r="S14" i="33"/>
  <c r="S16" i="32"/>
  <c r="O18" i="32"/>
  <c r="O16" i="33"/>
  <c r="O17" i="33"/>
  <c r="O19" i="32"/>
  <c r="L13" i="32"/>
  <c r="L11" i="33"/>
  <c r="AD16" i="33"/>
  <c r="AD18" i="32"/>
  <c r="J19" i="32"/>
  <c r="J17" i="33"/>
  <c r="P11" i="33"/>
  <c r="P13" i="32"/>
  <c r="H19" i="32"/>
  <c r="H17" i="33"/>
  <c r="AA12" i="33"/>
  <c r="AA14" i="32"/>
  <c r="P16" i="32"/>
  <c r="P14" i="33"/>
  <c r="AA19" i="32"/>
  <c r="AA17" i="33"/>
  <c r="R15" i="32"/>
  <c r="R13" i="33"/>
  <c r="M11" i="33"/>
  <c r="M13" i="32"/>
  <c r="U19" i="32"/>
  <c r="U17" i="33"/>
  <c r="Q15" i="32"/>
  <c r="Q13" i="33"/>
  <c r="R12" i="33"/>
  <c r="R14" i="32"/>
  <c r="W15" i="33"/>
  <c r="W17" i="32"/>
  <c r="V13" i="32"/>
  <c r="V11" i="33"/>
  <c r="AE21" i="32"/>
  <c r="AE19" i="33"/>
  <c r="O15" i="32"/>
  <c r="O13" i="33"/>
  <c r="J15" i="33"/>
  <c r="J17" i="32"/>
  <c r="AC21" i="32"/>
  <c r="AC19" i="33"/>
  <c r="W13" i="32"/>
  <c r="W11" i="33"/>
  <c r="H18" i="33"/>
  <c r="H20" i="32"/>
  <c r="K12" i="33"/>
  <c r="K14" i="32"/>
  <c r="M20" i="32"/>
  <c r="M18" i="33"/>
  <c r="AC15" i="33"/>
  <c r="AC17" i="32"/>
  <c r="W18" i="32"/>
  <c r="W16" i="33"/>
  <c r="X15" i="32"/>
  <c r="X13" i="33"/>
  <c r="AB15" i="32"/>
  <c r="AB13" i="33"/>
  <c r="Y13" i="32"/>
  <c r="Y11" i="33"/>
  <c r="AF16" i="32"/>
  <c r="AF14" i="33"/>
  <c r="W36" i="53"/>
  <c r="U46" i="15" s="1"/>
  <c r="W19" i="32"/>
  <c r="W17" i="33"/>
  <c r="Z14" i="32"/>
  <c r="Z12" i="33"/>
  <c r="X18" i="32"/>
  <c r="X16" i="33"/>
  <c r="T19" i="33"/>
  <c r="T21" i="32"/>
  <c r="CS263" i="53"/>
  <c r="CE263" i="53"/>
  <c r="H16" i="32"/>
  <c r="H14" i="33"/>
  <c r="AF16" i="33"/>
  <c r="AF18" i="32"/>
  <c r="AF19" i="32"/>
  <c r="AF17" i="33"/>
  <c r="CP276" i="53"/>
  <c r="CO276" i="53" s="1"/>
  <c r="CQ276" i="53" s="1"/>
  <c r="W19" i="33"/>
  <c r="W21" i="32"/>
  <c r="AH14" i="32"/>
  <c r="AH12" i="33"/>
  <c r="E117" i="52"/>
  <c r="E126" i="52" s="1"/>
  <c r="Q18" i="32"/>
  <c r="Q16" i="33"/>
  <c r="M19" i="33"/>
  <c r="M21" i="32"/>
  <c r="K15" i="32"/>
  <c r="K13" i="33"/>
  <c r="AJ17" i="32"/>
  <c r="AJ15" i="33"/>
  <c r="H15" i="33"/>
  <c r="H17" i="32"/>
  <c r="AH19" i="33"/>
  <c r="AH21" i="32"/>
  <c r="AE11" i="33"/>
  <c r="AE13" i="32"/>
  <c r="AE19" i="32"/>
  <c r="AE17" i="33"/>
  <c r="AE13" i="33"/>
  <c r="AE15" i="32"/>
  <c r="M14" i="32"/>
  <c r="M12" i="33"/>
  <c r="AH20" i="32"/>
  <c r="AH18" i="33"/>
  <c r="Y17" i="32"/>
  <c r="Y15" i="33"/>
  <c r="AG21" i="32"/>
  <c r="AG19" i="33"/>
  <c r="Z15" i="32"/>
  <c r="Z13" i="33"/>
  <c r="R11" i="33"/>
  <c r="R13" i="32"/>
  <c r="T14" i="32"/>
  <c r="T12" i="33"/>
  <c r="T18" i="33"/>
  <c r="T20" i="32"/>
  <c r="AC14" i="33"/>
  <c r="AC16" i="32"/>
  <c r="W37" i="53"/>
  <c r="W14" i="32"/>
  <c r="W12" i="33"/>
  <c r="Z16" i="33"/>
  <c r="Z18" i="32"/>
  <c r="AH19" i="32"/>
  <c r="AH17" i="33"/>
  <c r="W13" i="33"/>
  <c r="W15" i="32"/>
  <c r="G117" i="52"/>
  <c r="G126" i="52" s="1"/>
  <c r="S17" i="32"/>
  <c r="S15" i="33"/>
  <c r="V19" i="32"/>
  <c r="V17" i="33"/>
  <c r="K15" i="33"/>
  <c r="K17" i="32"/>
  <c r="U119" i="18" l="1"/>
  <c r="W16" i="49"/>
  <c r="AD119" i="18"/>
  <c r="AF16" i="49"/>
  <c r="Q119" i="18"/>
  <c r="S16" i="49"/>
  <c r="S6" i="49" s="1"/>
  <c r="S11" i="49" s="1"/>
  <c r="R225" i="13" s="1"/>
  <c r="T38" i="34" s="1"/>
  <c r="T28" i="34" s="1"/>
  <c r="Q61" i="34" s="1"/>
  <c r="Q60" i="34" s="1"/>
  <c r="Q63" i="34" s="1"/>
  <c r="Q67" i="34" s="1"/>
  <c r="V119" i="18"/>
  <c r="X16" i="49"/>
  <c r="X6" i="49" s="1"/>
  <c r="X11" i="49" s="1"/>
  <c r="W225" i="13" s="1"/>
  <c r="Y38" i="34" s="1"/>
  <c r="Y28" i="34" s="1"/>
  <c r="V61" i="34" s="1"/>
  <c r="V60" i="34" s="1"/>
  <c r="V63" i="34" s="1"/>
  <c r="V67" i="34" s="1"/>
  <c r="Z119" i="18"/>
  <c r="Z8" i="41" s="1"/>
  <c r="AB16" i="49"/>
  <c r="AB6" i="49" s="1"/>
  <c r="AB11" i="49" s="1"/>
  <c r="AA225" i="13" s="1"/>
  <c r="AC38" i="34" s="1"/>
  <c r="AC28" i="34" s="1"/>
  <c r="Z61" i="34" s="1"/>
  <c r="Z60" i="34" s="1"/>
  <c r="Z63" i="34" s="1"/>
  <c r="Z67" i="34" s="1"/>
  <c r="Y119" i="18"/>
  <c r="Y120" i="18" s="1"/>
  <c r="Y146" i="18" s="1"/>
  <c r="AA16" i="49"/>
  <c r="AA6" i="49" s="1"/>
  <c r="AA11" i="49" s="1"/>
  <c r="Z225" i="13" s="1"/>
  <c r="AB38" i="34" s="1"/>
  <c r="AB28" i="34" s="1"/>
  <c r="Y61" i="34" s="1"/>
  <c r="Y60" i="34" s="1"/>
  <c r="Y63" i="34" s="1"/>
  <c r="Y67" i="34" s="1"/>
  <c r="K16" i="49"/>
  <c r="E119" i="18"/>
  <c r="D39" i="21"/>
  <c r="G16" i="49"/>
  <c r="G6" i="49" s="1"/>
  <c r="J119" i="18"/>
  <c r="L16" i="49"/>
  <c r="L6" i="49" s="1"/>
  <c r="L11" i="49" s="1"/>
  <c r="K225" i="13" s="1"/>
  <c r="M38" i="34" s="1"/>
  <c r="M28" i="34" s="1"/>
  <c r="J61" i="34" s="1"/>
  <c r="J60" i="34" s="1"/>
  <c r="J63" i="34" s="1"/>
  <c r="J67" i="34" s="1"/>
  <c r="AE119" i="18"/>
  <c r="AE120" i="18" s="1"/>
  <c r="AE146" i="18" s="1"/>
  <c r="AG16" i="49"/>
  <c r="AG6" i="49" s="1"/>
  <c r="AG11" i="49" s="1"/>
  <c r="AF225" i="13" s="1"/>
  <c r="AH38" i="34" s="1"/>
  <c r="AH28" i="34" s="1"/>
  <c r="AE61" i="34" s="1"/>
  <c r="AE60" i="34" s="1"/>
  <c r="AE63" i="34" s="1"/>
  <c r="AE67" i="34" s="1"/>
  <c r="O119" i="18"/>
  <c r="O12" i="15" s="1"/>
  <c r="Q16" i="49"/>
  <c r="Q6" i="49" s="1"/>
  <c r="Q11" i="49" s="1"/>
  <c r="P225" i="13" s="1"/>
  <c r="R38" i="34" s="1"/>
  <c r="R28" i="34" s="1"/>
  <c r="O61" i="34" s="1"/>
  <c r="O60" i="34" s="1"/>
  <c r="O63" i="34" s="1"/>
  <c r="O67" i="34" s="1"/>
  <c r="R119" i="18"/>
  <c r="R120" i="18" s="1"/>
  <c r="R146" i="18" s="1"/>
  <c r="T16" i="49"/>
  <c r="T6" i="49" s="1"/>
  <c r="T11" i="49" s="1"/>
  <c r="S225" i="13" s="1"/>
  <c r="U38" i="34" s="1"/>
  <c r="U28" i="34" s="1"/>
  <c r="R61" i="34" s="1"/>
  <c r="R60" i="34" s="1"/>
  <c r="R63" i="34" s="1"/>
  <c r="R67" i="34" s="1"/>
  <c r="H16" i="49"/>
  <c r="K119" i="18"/>
  <c r="M16" i="49"/>
  <c r="N119" i="18"/>
  <c r="P16" i="49"/>
  <c r="S119" i="18"/>
  <c r="S120" i="18" s="1"/>
  <c r="S146" i="18" s="1"/>
  <c r="U16" i="49"/>
  <c r="U6" i="49" s="1"/>
  <c r="U11" i="49" s="1"/>
  <c r="T225" i="13" s="1"/>
  <c r="V38" i="34" s="1"/>
  <c r="V28" i="34" s="1"/>
  <c r="S61" i="34" s="1"/>
  <c r="S60" i="34" s="1"/>
  <c r="S63" i="34" s="1"/>
  <c r="S67" i="34" s="1"/>
  <c r="O16" i="49"/>
  <c r="O6" i="49" s="1"/>
  <c r="O11" i="49" s="1"/>
  <c r="N225" i="13" s="1"/>
  <c r="P38" i="34" s="1"/>
  <c r="P28" i="34" s="1"/>
  <c r="M61" i="34" s="1"/>
  <c r="M60" i="34" s="1"/>
  <c r="M63" i="34" s="1"/>
  <c r="M67" i="34" s="1"/>
  <c r="G119" i="18"/>
  <c r="G120" i="18" s="1"/>
  <c r="G146" i="18" s="1"/>
  <c r="I16" i="49"/>
  <c r="I6" i="49" s="1"/>
  <c r="I11" i="49" s="1"/>
  <c r="H225" i="13" s="1"/>
  <c r="J38" i="34" s="1"/>
  <c r="J28" i="34" s="1"/>
  <c r="G61" i="34" s="1"/>
  <c r="G60" i="34" s="1"/>
  <c r="G63" i="34" s="1"/>
  <c r="G67" i="34" s="1"/>
  <c r="AC16" i="49"/>
  <c r="AC6" i="49" s="1"/>
  <c r="AC11" i="49" s="1"/>
  <c r="AB225" i="13" s="1"/>
  <c r="AD38" i="34" s="1"/>
  <c r="AD28" i="34" s="1"/>
  <c r="AA61" i="34" s="1"/>
  <c r="AA60" i="34" s="1"/>
  <c r="AA63" i="34" s="1"/>
  <c r="AA67" i="34" s="1"/>
  <c r="H119" i="18"/>
  <c r="H120" i="18" s="1"/>
  <c r="H146" i="18" s="1"/>
  <c r="J16" i="49"/>
  <c r="J6" i="49" s="1"/>
  <c r="J11" i="49" s="1"/>
  <c r="I225" i="13" s="1"/>
  <c r="K38" i="34" s="1"/>
  <c r="K28" i="34" s="1"/>
  <c r="H61" i="34" s="1"/>
  <c r="H60" i="34" s="1"/>
  <c r="H63" i="34" s="1"/>
  <c r="H67" i="34" s="1"/>
  <c r="L119" i="18"/>
  <c r="L120" i="18" s="1"/>
  <c r="L146" i="18" s="1"/>
  <c r="N16" i="49"/>
  <c r="N6" i="49" s="1"/>
  <c r="N11" i="49" s="1"/>
  <c r="M225" i="13" s="1"/>
  <c r="O38" i="34" s="1"/>
  <c r="O28" i="34" s="1"/>
  <c r="L61" i="34" s="1"/>
  <c r="L60" i="34" s="1"/>
  <c r="L63" i="34" s="1"/>
  <c r="L67" i="34" s="1"/>
  <c r="T119" i="18"/>
  <c r="V16" i="49"/>
  <c r="AB119" i="18"/>
  <c r="AB120" i="18" s="1"/>
  <c r="AB146" i="18" s="1"/>
  <c r="AD16" i="49"/>
  <c r="AD6" i="49" s="1"/>
  <c r="AD11" i="49" s="1"/>
  <c r="AC225" i="13" s="1"/>
  <c r="AE38" i="34" s="1"/>
  <c r="AE28" i="34" s="1"/>
  <c r="AB61" i="34" s="1"/>
  <c r="AB60" i="34" s="1"/>
  <c r="AB63" i="34" s="1"/>
  <c r="AB67" i="34" s="1"/>
  <c r="AC119" i="18"/>
  <c r="AC120" i="18" s="1"/>
  <c r="AC146" i="18" s="1"/>
  <c r="AE16" i="49"/>
  <c r="AE6" i="49" s="1"/>
  <c r="AE11" i="49" s="1"/>
  <c r="AD225" i="13" s="1"/>
  <c r="AF38" i="34" s="1"/>
  <c r="AF28" i="34" s="1"/>
  <c r="AC61" i="34" s="1"/>
  <c r="AC60" i="34" s="1"/>
  <c r="AC63" i="34" s="1"/>
  <c r="AC67" i="34" s="1"/>
  <c r="W119" i="18"/>
  <c r="Y16" i="49"/>
  <c r="Y6" i="49" s="1"/>
  <c r="Y11" i="49" s="1"/>
  <c r="X225" i="13" s="1"/>
  <c r="Z38" i="34" s="1"/>
  <c r="Z28" i="34" s="1"/>
  <c r="W61" i="34" s="1"/>
  <c r="W60" i="34" s="1"/>
  <c r="W63" i="34" s="1"/>
  <c r="W67" i="34" s="1"/>
  <c r="P119" i="18"/>
  <c r="R16" i="49"/>
  <c r="R6" i="49" s="1"/>
  <c r="R11" i="49" s="1"/>
  <c r="Q225" i="13" s="1"/>
  <c r="S38" i="34" s="1"/>
  <c r="S28" i="34" s="1"/>
  <c r="P61" i="34" s="1"/>
  <c r="P60" i="34" s="1"/>
  <c r="P63" i="34" s="1"/>
  <c r="P67" i="34" s="1"/>
  <c r="AG119" i="18"/>
  <c r="AI16" i="49"/>
  <c r="AI6" i="49" s="1"/>
  <c r="AI11" i="49" s="1"/>
  <c r="AH225" i="13" s="1"/>
  <c r="AJ38" i="34" s="1"/>
  <c r="AJ28" i="34" s="1"/>
  <c r="AG61" i="34" s="1"/>
  <c r="AG60" i="34" s="1"/>
  <c r="AG63" i="34" s="1"/>
  <c r="AG67" i="34" s="1"/>
  <c r="X119" i="18"/>
  <c r="Z16" i="49"/>
  <c r="G12" i="32"/>
  <c r="F119" i="18"/>
  <c r="F120" i="18" s="1"/>
  <c r="F146" i="18" s="1"/>
  <c r="AH8" i="15"/>
  <c r="AH119" i="18"/>
  <c r="AH8" i="41" s="1"/>
  <c r="I119" i="18"/>
  <c r="I12" i="15" s="1"/>
  <c r="AF7" i="41"/>
  <c r="AF119" i="18"/>
  <c r="AF120" i="18" s="1"/>
  <c r="M119" i="18"/>
  <c r="M120" i="18" s="1"/>
  <c r="M146" i="18" s="1"/>
  <c r="AH7" i="41"/>
  <c r="M8" i="15"/>
  <c r="M7" i="41"/>
  <c r="AJ6" i="49"/>
  <c r="AJ11" i="49" s="1"/>
  <c r="Z8" i="15"/>
  <c r="AF8" i="15"/>
  <c r="F7" i="41"/>
  <c r="O8" i="15"/>
  <c r="Z7" i="41"/>
  <c r="T22" i="47"/>
  <c r="I7" i="41"/>
  <c r="I8" i="15"/>
  <c r="AJ20" i="33"/>
  <c r="R20" i="33"/>
  <c r="K20" i="33"/>
  <c r="F8" i="15"/>
  <c r="AJ12" i="32"/>
  <c r="AI20" i="33"/>
  <c r="O12" i="32"/>
  <c r="AI12" i="32"/>
  <c r="T20" i="33"/>
  <c r="K12" i="32"/>
  <c r="O20" i="33"/>
  <c r="Q20" i="33"/>
  <c r="T12" i="32"/>
  <c r="Q12" i="32"/>
  <c r="X120" i="18"/>
  <c r="I12" i="32"/>
  <c r="O7" i="41"/>
  <c r="X8" i="15"/>
  <c r="J12" i="32"/>
  <c r="X7" i="41"/>
  <c r="M12" i="32"/>
  <c r="H20" i="33"/>
  <c r="H6" i="49"/>
  <c r="H11" i="49" s="1"/>
  <c r="AH20" i="33"/>
  <c r="Z20" i="33"/>
  <c r="AH6" i="49"/>
  <c r="AH11" i="49" s="1"/>
  <c r="N12" i="32"/>
  <c r="AF20" i="33"/>
  <c r="AH12" i="32"/>
  <c r="AB20" i="33"/>
  <c r="J20" i="33"/>
  <c r="Z12" i="32"/>
  <c r="AB12" i="32"/>
  <c r="U12" i="32"/>
  <c r="H12" i="32"/>
  <c r="U20" i="33"/>
  <c r="N20" i="33"/>
  <c r="CH270" i="53"/>
  <c r="CG270" i="53" s="1"/>
  <c r="CI270" i="53" s="1"/>
  <c r="CL274" i="53"/>
  <c r="CK274" i="53" s="1"/>
  <c r="CM274" i="53" s="1"/>
  <c r="X35" i="53"/>
  <c r="X37" i="53" s="1"/>
  <c r="R12" i="32"/>
  <c r="V20" i="33"/>
  <c r="M20" i="33"/>
  <c r="AF12" i="32"/>
  <c r="AC12" i="32"/>
  <c r="V7" i="41"/>
  <c r="V8" i="15"/>
  <c r="AA20" i="33"/>
  <c r="Q7" i="41"/>
  <c r="Q8" i="15"/>
  <c r="U120" i="18"/>
  <c r="U146" i="18" s="1"/>
  <c r="W6" i="49"/>
  <c r="W11" i="49" s="1"/>
  <c r="V225" i="13" s="1"/>
  <c r="X38" i="34" s="1"/>
  <c r="X28" i="34" s="1"/>
  <c r="U61" i="34" s="1"/>
  <c r="U60" i="34" s="1"/>
  <c r="U63" i="34" s="1"/>
  <c r="U67" i="34" s="1"/>
  <c r="U7" i="41"/>
  <c r="U8" i="15"/>
  <c r="V12" i="32"/>
  <c r="AC20" i="33"/>
  <c r="X20" i="33"/>
  <c r="AG120" i="18"/>
  <c r="AG146" i="18" s="1"/>
  <c r="AG7" i="41"/>
  <c r="AG8" i="15"/>
  <c r="V19" i="47"/>
  <c r="V18" i="47"/>
  <c r="W17" i="47"/>
  <c r="S12" i="32"/>
  <c r="D54" i="21"/>
  <c r="D55" i="21" s="1"/>
  <c r="D51" i="21"/>
  <c r="D52" i="21" s="1"/>
  <c r="E8" i="15"/>
  <c r="E7" i="41"/>
  <c r="AE8" i="15"/>
  <c r="AE7" i="41"/>
  <c r="X12" i="32"/>
  <c r="R7" i="41"/>
  <c r="R8" i="15"/>
  <c r="V33" i="32"/>
  <c r="T24" i="41"/>
  <c r="U20" i="47"/>
  <c r="U21" i="47" s="1"/>
  <c r="S20" i="33"/>
  <c r="G20" i="33"/>
  <c r="CP277" i="53"/>
  <c r="CO277" i="53" s="1"/>
  <c r="CQ277" i="53" s="1"/>
  <c r="W12" i="32"/>
  <c r="AD12" i="32"/>
  <c r="AG20" i="33"/>
  <c r="AC7" i="41"/>
  <c r="AC8" i="15"/>
  <c r="H7" i="41"/>
  <c r="H8" i="15"/>
  <c r="W7" i="41"/>
  <c r="W8" i="15"/>
  <c r="P12" i="32"/>
  <c r="J7" i="41"/>
  <c r="J8" i="15"/>
  <c r="AD20" i="33"/>
  <c r="AG12" i="32"/>
  <c r="L7" i="41"/>
  <c r="L8" i="15"/>
  <c r="K6" i="49"/>
  <c r="K11" i="49" s="1"/>
  <c r="J225" i="13" s="1"/>
  <c r="L38" i="34" s="1"/>
  <c r="L28" i="34" s="1"/>
  <c r="I61" i="34" s="1"/>
  <c r="I60" i="34" s="1"/>
  <c r="I63" i="34" s="1"/>
  <c r="I67" i="34" s="1"/>
  <c r="V6" i="49"/>
  <c r="V11" i="49" s="1"/>
  <c r="U225" i="13" s="1"/>
  <c r="W38" i="34" s="1"/>
  <c r="W28" i="34" s="1"/>
  <c r="T61" i="34" s="1"/>
  <c r="T60" i="34" s="1"/>
  <c r="T63" i="34" s="1"/>
  <c r="T67" i="34" s="1"/>
  <c r="T7" i="41"/>
  <c r="T8" i="15"/>
  <c r="W20" i="33"/>
  <c r="AB7" i="41"/>
  <c r="AB8" i="15"/>
  <c r="X12" i="47"/>
  <c r="AE12" i="32"/>
  <c r="CU263" i="53"/>
  <c r="CD264" i="53"/>
  <c r="Y20" i="33"/>
  <c r="P20" i="33"/>
  <c r="L20" i="33"/>
  <c r="S7" i="41"/>
  <c r="S8" i="15"/>
  <c r="P7" i="41"/>
  <c r="P8" i="15"/>
  <c r="N120" i="18"/>
  <c r="N146" i="18" s="1"/>
  <c r="N7" i="41"/>
  <c r="P6" i="49"/>
  <c r="P11" i="49" s="1"/>
  <c r="O225" i="13" s="1"/>
  <c r="Q38" i="34" s="1"/>
  <c r="Q28" i="34" s="1"/>
  <c r="N61" i="34" s="1"/>
  <c r="N60" i="34" s="1"/>
  <c r="N63" i="34" s="1"/>
  <c r="N67" i="34" s="1"/>
  <c r="N8" i="15"/>
  <c r="AE20" i="33"/>
  <c r="Y12" i="32"/>
  <c r="K120" i="18"/>
  <c r="K146" i="18" s="1"/>
  <c r="K7" i="41"/>
  <c r="K8" i="15"/>
  <c r="M6" i="49"/>
  <c r="M11" i="49" s="1"/>
  <c r="L225" i="13" s="1"/>
  <c r="N38" i="34" s="1"/>
  <c r="N28" i="34" s="1"/>
  <c r="K61" i="34" s="1"/>
  <c r="K60" i="34" s="1"/>
  <c r="K63" i="34" s="1"/>
  <c r="K67" i="34" s="1"/>
  <c r="L12" i="32"/>
  <c r="AD120" i="18"/>
  <c r="AD146" i="18" s="1"/>
  <c r="AD7" i="41"/>
  <c r="AD8" i="15"/>
  <c r="AF6" i="49"/>
  <c r="AF11" i="49" s="1"/>
  <c r="AE225" i="13" s="1"/>
  <c r="AG38" i="34" s="1"/>
  <c r="AG28" i="34" s="1"/>
  <c r="AD61" i="34" s="1"/>
  <c r="AD60" i="34" s="1"/>
  <c r="AD63" i="34" s="1"/>
  <c r="AD67" i="34" s="1"/>
  <c r="Y7" i="41"/>
  <c r="Y8" i="15"/>
  <c r="G7" i="41"/>
  <c r="G8" i="15"/>
  <c r="Z6" i="49"/>
  <c r="Z11" i="49" s="1"/>
  <c r="Y225" i="13" s="1"/>
  <c r="AA38" i="34" s="1"/>
  <c r="AA28" i="34" s="1"/>
  <c r="X61" i="34" s="1"/>
  <c r="X60" i="34" s="1"/>
  <c r="X63" i="34" s="1"/>
  <c r="X67" i="34" s="1"/>
  <c r="AA7" i="41"/>
  <c r="AA8" i="15"/>
  <c r="AA12" i="32"/>
  <c r="I20" i="33"/>
  <c r="X12" i="15"/>
  <c r="X8" i="41"/>
  <c r="Z120" i="18" l="1"/>
  <c r="Z146" i="18" s="1"/>
  <c r="Z12" i="15"/>
  <c r="O8" i="41"/>
  <c r="O120" i="18"/>
  <c r="O146" i="18" s="1"/>
  <c r="AH7" i="19"/>
  <c r="AH6" i="19" s="1"/>
  <c r="AF146" i="18"/>
  <c r="AF82" i="48" s="1"/>
  <c r="AF81" i="48" s="1"/>
  <c r="V7" i="56"/>
  <c r="V9" i="56" s="1"/>
  <c r="X146" i="18"/>
  <c r="Z6" i="33" s="1"/>
  <c r="X12" i="41"/>
  <c r="Z12" i="41"/>
  <c r="AH12" i="41"/>
  <c r="O12" i="41"/>
  <c r="P144" i="13"/>
  <c r="P256" i="13" s="1"/>
  <c r="AE144" i="13"/>
  <c r="AE256" i="13" s="1"/>
  <c r="I144" i="13"/>
  <c r="I256" i="13" s="1"/>
  <c r="S144" i="13"/>
  <c r="S256" i="13" s="1"/>
  <c r="H144" i="13"/>
  <c r="H256" i="13" s="1"/>
  <c r="AA144" i="13"/>
  <c r="AA256" i="13" s="1"/>
  <c r="M144" i="13"/>
  <c r="M256" i="13" s="1"/>
  <c r="AH144" i="13"/>
  <c r="AH256" i="13" s="1"/>
  <c r="N144" i="13"/>
  <c r="N256" i="13" s="1"/>
  <c r="V144" i="13"/>
  <c r="V256" i="13" s="1"/>
  <c r="R144" i="13"/>
  <c r="R256" i="13" s="1"/>
  <c r="Q144" i="13"/>
  <c r="Q256" i="13" s="1"/>
  <c r="AB144" i="13"/>
  <c r="AB256" i="13" s="1"/>
  <c r="L144" i="13"/>
  <c r="L256" i="13" s="1"/>
  <c r="U144" i="13"/>
  <c r="U256" i="13" s="1"/>
  <c r="X144" i="13"/>
  <c r="X256" i="13" s="1"/>
  <c r="K144" i="13"/>
  <c r="K256" i="13" s="1"/>
  <c r="Y144" i="13"/>
  <c r="Y256" i="13" s="1"/>
  <c r="Z144" i="13"/>
  <c r="Z256" i="13" s="1"/>
  <c r="O144" i="13"/>
  <c r="O256" i="13" s="1"/>
  <c r="T144" i="13"/>
  <c r="T256" i="13" s="1"/>
  <c r="AD144" i="13"/>
  <c r="AD256" i="13" s="1"/>
  <c r="AF144" i="13"/>
  <c r="AF256" i="13" s="1"/>
  <c r="AC144" i="13"/>
  <c r="AC256" i="13" s="1"/>
  <c r="J144" i="13"/>
  <c r="J256" i="13" s="1"/>
  <c r="W144" i="13"/>
  <c r="W256" i="13" s="1"/>
  <c r="F12" i="15"/>
  <c r="F7" i="15" s="1"/>
  <c r="F8" i="41"/>
  <c r="F12" i="41" s="1"/>
  <c r="M8" i="41"/>
  <c r="M12" i="41" s="1"/>
  <c r="M12" i="15"/>
  <c r="M7" i="15" s="1"/>
  <c r="Y228" i="13"/>
  <c r="Y232" i="13"/>
  <c r="Y233" i="13"/>
  <c r="Y227" i="13"/>
  <c r="Y231" i="13"/>
  <c r="Y226" i="13"/>
  <c r="Y230" i="13"/>
  <c r="Y234" i="13"/>
  <c r="Y229" i="13"/>
  <c r="P228" i="13"/>
  <c r="P232" i="13"/>
  <c r="P233" i="13"/>
  <c r="P227" i="13"/>
  <c r="P231" i="13"/>
  <c r="P226" i="13"/>
  <c r="P230" i="13"/>
  <c r="P229" i="13"/>
  <c r="P234" i="13"/>
  <c r="L226" i="13"/>
  <c r="L230" i="13"/>
  <c r="L234" i="13"/>
  <c r="L233" i="13"/>
  <c r="L228" i="13"/>
  <c r="L232" i="13"/>
  <c r="L231" i="13"/>
  <c r="L229" i="13"/>
  <c r="L227" i="13"/>
  <c r="Z228" i="13"/>
  <c r="Z232" i="13"/>
  <c r="Z233" i="13"/>
  <c r="Z226" i="13"/>
  <c r="Z230" i="13"/>
  <c r="Z227" i="13"/>
  <c r="Z229" i="13"/>
  <c r="Z231" i="13"/>
  <c r="Z234" i="13"/>
  <c r="K226" i="13"/>
  <c r="K230" i="13"/>
  <c r="K234" i="13"/>
  <c r="K229" i="13"/>
  <c r="K228" i="13"/>
  <c r="K232" i="13"/>
  <c r="K231" i="13"/>
  <c r="K227" i="13"/>
  <c r="K233" i="13"/>
  <c r="AA229" i="13"/>
  <c r="AA228" i="13"/>
  <c r="AA232" i="13"/>
  <c r="AA227" i="13"/>
  <c r="AA231" i="13"/>
  <c r="AA230" i="13"/>
  <c r="AA234" i="13"/>
  <c r="AA226" i="13"/>
  <c r="AA233" i="13"/>
  <c r="AH75" i="48"/>
  <c r="AH72" i="48" s="1"/>
  <c r="AI225" i="13"/>
  <c r="AK38" i="34" s="1"/>
  <c r="AK28" i="34" s="1"/>
  <c r="AH61" i="34" s="1"/>
  <c r="AH60" i="34" s="1"/>
  <c r="AH63" i="34" s="1"/>
  <c r="AH67" i="34" s="1"/>
  <c r="U226" i="13"/>
  <c r="U230" i="13"/>
  <c r="U234" i="13"/>
  <c r="U228" i="13"/>
  <c r="U232" i="13"/>
  <c r="U233" i="13"/>
  <c r="U227" i="13"/>
  <c r="U231" i="13"/>
  <c r="U229" i="13"/>
  <c r="X233" i="13"/>
  <c r="X227" i="13"/>
  <c r="X231" i="13"/>
  <c r="X229" i="13"/>
  <c r="X232" i="13"/>
  <c r="X230" i="13"/>
  <c r="X228" i="13"/>
  <c r="X226" i="13"/>
  <c r="X234" i="13"/>
  <c r="AH228" i="13"/>
  <c r="AH232" i="13"/>
  <c r="AH227" i="13"/>
  <c r="AH231" i="13"/>
  <c r="AH233" i="13"/>
  <c r="AH226" i="13"/>
  <c r="AH230" i="13"/>
  <c r="AH229" i="13"/>
  <c r="AH234" i="13"/>
  <c r="O227" i="13"/>
  <c r="O231" i="13"/>
  <c r="O229" i="13"/>
  <c r="O228" i="13"/>
  <c r="O226" i="13"/>
  <c r="O233" i="13"/>
  <c r="O230" i="13"/>
  <c r="O234" i="13"/>
  <c r="O232" i="13"/>
  <c r="T226" i="13"/>
  <c r="T230" i="13"/>
  <c r="T234" i="13"/>
  <c r="T229" i="13"/>
  <c r="T228" i="13"/>
  <c r="T232" i="13"/>
  <c r="T233" i="13"/>
  <c r="T231" i="13"/>
  <c r="T227" i="13"/>
  <c r="AD228" i="13"/>
  <c r="AD233" i="13"/>
  <c r="AD232" i="13"/>
  <c r="AD234" i="13"/>
  <c r="AD229" i="13"/>
  <c r="AD231" i="13"/>
  <c r="AD227" i="13"/>
  <c r="AD230" i="13"/>
  <c r="AD226" i="13"/>
  <c r="AF227" i="13"/>
  <c r="AF231" i="13"/>
  <c r="AF233" i="13"/>
  <c r="AF226" i="13"/>
  <c r="AF230" i="13"/>
  <c r="AF229" i="13"/>
  <c r="AF234" i="13"/>
  <c r="AF232" i="13"/>
  <c r="AF228" i="13"/>
  <c r="V228" i="13"/>
  <c r="V233" i="13"/>
  <c r="V227" i="13"/>
  <c r="V232" i="13"/>
  <c r="V234" i="13"/>
  <c r="V226" i="13"/>
  <c r="V229" i="13"/>
  <c r="V231" i="13"/>
  <c r="V230" i="13"/>
  <c r="R229" i="13"/>
  <c r="R228" i="13"/>
  <c r="R232" i="13"/>
  <c r="R233" i="13"/>
  <c r="R227" i="13"/>
  <c r="R231" i="13"/>
  <c r="R234" i="13"/>
  <c r="R226" i="13"/>
  <c r="R230" i="13"/>
  <c r="F75" i="48"/>
  <c r="F72" i="48" s="1"/>
  <c r="G225" i="13"/>
  <c r="I38" i="34" s="1"/>
  <c r="I28" i="34" s="1"/>
  <c r="F61" i="34" s="1"/>
  <c r="F60" i="34" s="1"/>
  <c r="F63" i="34" s="1"/>
  <c r="F67" i="34" s="1"/>
  <c r="N228" i="13"/>
  <c r="N233" i="13"/>
  <c r="N227" i="13"/>
  <c r="N232" i="13"/>
  <c r="N234" i="13"/>
  <c r="N229" i="13"/>
  <c r="N231" i="13"/>
  <c r="N226" i="13"/>
  <c r="N230" i="13"/>
  <c r="M227" i="13"/>
  <c r="M231" i="13"/>
  <c r="M226" i="13"/>
  <c r="M230" i="13"/>
  <c r="M229" i="13"/>
  <c r="M233" i="13"/>
  <c r="M232" i="13"/>
  <c r="M228" i="13"/>
  <c r="M234" i="13"/>
  <c r="H233" i="13"/>
  <c r="H228" i="13"/>
  <c r="H232" i="13"/>
  <c r="H226" i="13"/>
  <c r="H230" i="13"/>
  <c r="H229" i="13"/>
  <c r="H227" i="13"/>
  <c r="H234" i="13"/>
  <c r="H231" i="13"/>
  <c r="AE226" i="13"/>
  <c r="AE230" i="13"/>
  <c r="AE234" i="13"/>
  <c r="AE228" i="13"/>
  <c r="AE232" i="13"/>
  <c r="AE229" i="13"/>
  <c r="AE233" i="13"/>
  <c r="AE231" i="13"/>
  <c r="AE227" i="13"/>
  <c r="AC226" i="13"/>
  <c r="AC230" i="13"/>
  <c r="AC234" i="13"/>
  <c r="AC229" i="13"/>
  <c r="AC228" i="13"/>
  <c r="AC232" i="13"/>
  <c r="AC233" i="13"/>
  <c r="AC227" i="13"/>
  <c r="AC231" i="13"/>
  <c r="J229" i="13"/>
  <c r="J233" i="13"/>
  <c r="J227" i="13"/>
  <c r="J231" i="13"/>
  <c r="J226" i="13"/>
  <c r="J232" i="13"/>
  <c r="J234" i="13"/>
  <c r="J230" i="13"/>
  <c r="J228" i="13"/>
  <c r="Q228" i="13"/>
  <c r="Q232" i="13"/>
  <c r="Q233" i="13"/>
  <c r="Q226" i="13"/>
  <c r="Q230" i="13"/>
  <c r="Q234" i="13"/>
  <c r="Q231" i="13"/>
  <c r="Q229" i="13"/>
  <c r="Q227" i="13"/>
  <c r="AB229" i="13"/>
  <c r="AB233" i="13"/>
  <c r="AB227" i="13"/>
  <c r="AB231" i="13"/>
  <c r="AB234" i="13"/>
  <c r="AB232" i="13"/>
  <c r="AB230" i="13"/>
  <c r="AB228" i="13"/>
  <c r="AB226" i="13"/>
  <c r="I229" i="13"/>
  <c r="I233" i="13"/>
  <c r="I228" i="13"/>
  <c r="I232" i="13"/>
  <c r="I227" i="13"/>
  <c r="I231" i="13"/>
  <c r="I234" i="13"/>
  <c r="I230" i="13"/>
  <c r="I226" i="13"/>
  <c r="S229" i="13"/>
  <c r="S227" i="13"/>
  <c r="S231" i="13"/>
  <c r="S230" i="13"/>
  <c r="S228" i="13"/>
  <c r="S233" i="13"/>
  <c r="S234" i="13"/>
  <c r="S226" i="13"/>
  <c r="S232" i="13"/>
  <c r="W227" i="13"/>
  <c r="W231" i="13"/>
  <c r="W226" i="13"/>
  <c r="W230" i="13"/>
  <c r="W229" i="13"/>
  <c r="W228" i="13"/>
  <c r="W234" i="13"/>
  <c r="W233" i="13"/>
  <c r="W232" i="13"/>
  <c r="AF75" i="48"/>
  <c r="AF72" i="48" s="1"/>
  <c r="AG225" i="13"/>
  <c r="AI38" i="34" s="1"/>
  <c r="AI28" i="34" s="1"/>
  <c r="AF61" i="34" s="1"/>
  <c r="AF60" i="34" s="1"/>
  <c r="AF63" i="34" s="1"/>
  <c r="AF67" i="34" s="1"/>
  <c r="I7" i="15"/>
  <c r="I120" i="18"/>
  <c r="I8" i="41"/>
  <c r="I12" i="41" s="1"/>
  <c r="K7" i="56"/>
  <c r="K9" i="56" s="1"/>
  <c r="O7" i="19"/>
  <c r="O6" i="19" s="1"/>
  <c r="M82" i="48"/>
  <c r="M81" i="48" s="1"/>
  <c r="H7" i="19"/>
  <c r="H6" i="19" s="1"/>
  <c r="D7" i="56"/>
  <c r="D9" i="56" s="1"/>
  <c r="H8" i="32"/>
  <c r="AH120" i="18"/>
  <c r="AH12" i="15"/>
  <c r="AH7" i="15" s="1"/>
  <c r="U22" i="47"/>
  <c r="AD7" i="56"/>
  <c r="AD9" i="56" s="1"/>
  <c r="X7" i="15"/>
  <c r="AF12" i="15"/>
  <c r="AF7" i="15" s="1"/>
  <c r="AF8" i="41"/>
  <c r="AF12" i="41" s="1"/>
  <c r="Z7" i="15"/>
  <c r="O7" i="15"/>
  <c r="Z75" i="48"/>
  <c r="Z72" i="48" s="1"/>
  <c r="Z7" i="19"/>
  <c r="Z6" i="19" s="1"/>
  <c r="P7" i="56"/>
  <c r="P9" i="56" s="1"/>
  <c r="T7" i="19"/>
  <c r="T6" i="19" s="1"/>
  <c r="E7" i="56"/>
  <c r="E9" i="56" s="1"/>
  <c r="I7" i="19"/>
  <c r="I6" i="19" s="1"/>
  <c r="S7" i="56"/>
  <c r="S9" i="56" s="1"/>
  <c r="W7" i="19"/>
  <c r="W6" i="19" s="1"/>
  <c r="CH271" i="53"/>
  <c r="CG271" i="53" s="1"/>
  <c r="CI271" i="53" s="1"/>
  <c r="AA75" i="48"/>
  <c r="AA72" i="48" s="1"/>
  <c r="L7" i="56"/>
  <c r="L9" i="56" s="1"/>
  <c r="P7" i="19"/>
  <c r="P6" i="19" s="1"/>
  <c r="CP278" i="53"/>
  <c r="CO278" i="53" s="1"/>
  <c r="CQ278" i="53" s="1"/>
  <c r="E12" i="15"/>
  <c r="E7" i="15" s="1"/>
  <c r="E8" i="41"/>
  <c r="E12" i="41" s="1"/>
  <c r="AB7" i="56"/>
  <c r="AB9" i="56" s="1"/>
  <c r="AF7" i="19"/>
  <c r="AF6" i="19" s="1"/>
  <c r="P12" i="15"/>
  <c r="P7" i="15" s="1"/>
  <c r="P8" i="41"/>
  <c r="P12" i="41" s="1"/>
  <c r="Z7" i="56"/>
  <c r="Z9" i="56" s="1"/>
  <c r="AD7" i="19"/>
  <c r="AD6" i="19" s="1"/>
  <c r="X7" i="56"/>
  <c r="X9" i="56" s="1"/>
  <c r="AB7" i="19"/>
  <c r="AB6" i="19" s="1"/>
  <c r="J75" i="48"/>
  <c r="J72" i="48" s="1"/>
  <c r="Q12" i="15"/>
  <c r="Q7" i="15" s="1"/>
  <c r="Q8" i="41"/>
  <c r="Q12" i="41" s="1"/>
  <c r="I75" i="48"/>
  <c r="I72" i="48" s="1"/>
  <c r="W8" i="41"/>
  <c r="W12" i="41" s="1"/>
  <c r="W12" i="15"/>
  <c r="W7" i="15" s="1"/>
  <c r="N75" i="48"/>
  <c r="N72" i="48" s="1"/>
  <c r="T75" i="48"/>
  <c r="T72" i="48" s="1"/>
  <c r="J8" i="41"/>
  <c r="J12" i="41" s="1"/>
  <c r="J12" i="15"/>
  <c r="J7" i="15" s="1"/>
  <c r="F7" i="56"/>
  <c r="F9" i="56" s="1"/>
  <c r="J7" i="19"/>
  <c r="J6" i="19" s="1"/>
  <c r="AE75" i="48"/>
  <c r="AE72" i="48" s="1"/>
  <c r="AG75" i="48"/>
  <c r="AG72" i="48" s="1"/>
  <c r="CL275" i="53"/>
  <c r="CK275" i="53" s="1"/>
  <c r="CM275" i="53" s="1"/>
  <c r="Y12" i="47"/>
  <c r="AB75" i="48"/>
  <c r="AB72" i="48" s="1"/>
  <c r="T8" i="41"/>
  <c r="T12" i="41" s="1"/>
  <c r="T12" i="15"/>
  <c r="T7" i="15" s="1"/>
  <c r="J7" i="56"/>
  <c r="J9" i="56" s="1"/>
  <c r="N7" i="19"/>
  <c r="N6" i="19" s="1"/>
  <c r="AC75" i="48"/>
  <c r="AC72" i="48" s="1"/>
  <c r="AE12" i="15"/>
  <c r="AE7" i="15" s="1"/>
  <c r="AE8" i="41"/>
  <c r="AE12" i="41" s="1"/>
  <c r="AD75" i="48"/>
  <c r="AD72" i="48" s="1"/>
  <c r="AE7" i="56"/>
  <c r="AE9" i="56" s="1"/>
  <c r="AI7" i="19"/>
  <c r="AI6" i="19" s="1"/>
  <c r="V12" i="15"/>
  <c r="V7" i="15" s="1"/>
  <c r="V8" i="41"/>
  <c r="V12" i="41" s="1"/>
  <c r="N8" i="41"/>
  <c r="N12" i="41" s="1"/>
  <c r="N12" i="15"/>
  <c r="N7" i="15" s="1"/>
  <c r="CT264" i="53"/>
  <c r="CC264" i="53"/>
  <c r="H75" i="48"/>
  <c r="H72" i="48" s="1"/>
  <c r="AA7" i="56"/>
  <c r="AA9" i="56" s="1"/>
  <c r="AE7" i="19"/>
  <c r="AE6" i="19" s="1"/>
  <c r="R75" i="48"/>
  <c r="R72" i="48" s="1"/>
  <c r="E120" i="18"/>
  <c r="E146" i="18" s="1"/>
  <c r="AG12" i="15"/>
  <c r="AG7" i="15" s="1"/>
  <c r="AG8" i="41"/>
  <c r="AG12" i="41" s="1"/>
  <c r="U75" i="48"/>
  <c r="U72" i="48" s="1"/>
  <c r="V120" i="18"/>
  <c r="V146" i="18" s="1"/>
  <c r="G8" i="41"/>
  <c r="G12" i="41" s="1"/>
  <c r="G12" i="15"/>
  <c r="G7" i="15" s="1"/>
  <c r="AC7" i="56"/>
  <c r="AC9" i="56" s="1"/>
  <c r="AG7" i="19"/>
  <c r="AG6" i="19" s="1"/>
  <c r="Y35" i="53"/>
  <c r="Y36" i="53" s="1"/>
  <c r="W46" i="15" s="1"/>
  <c r="AA8" i="41"/>
  <c r="AA12" i="41" s="1"/>
  <c r="AA12" i="15"/>
  <c r="AA7" i="15" s="1"/>
  <c r="W7" i="56"/>
  <c r="W9" i="56" s="1"/>
  <c r="AA7" i="19"/>
  <c r="AA6" i="19" s="1"/>
  <c r="Y75" i="48"/>
  <c r="Y72" i="48" s="1"/>
  <c r="S75" i="48"/>
  <c r="S72" i="48" s="1"/>
  <c r="AB12" i="15"/>
  <c r="AB7" i="15" s="1"/>
  <c r="AB8" i="41"/>
  <c r="AB12" i="41" s="1"/>
  <c r="L75" i="48"/>
  <c r="L72" i="48" s="1"/>
  <c r="W120" i="18"/>
  <c r="W146" i="18" s="1"/>
  <c r="H8" i="41"/>
  <c r="H12" i="41" s="1"/>
  <c r="H12" i="15"/>
  <c r="H7" i="15" s="1"/>
  <c r="R12" i="15"/>
  <c r="R7" i="15" s="1"/>
  <c r="R8" i="41"/>
  <c r="R12" i="41" s="1"/>
  <c r="F6" i="49"/>
  <c r="G11" i="49"/>
  <c r="F225" i="13" s="1"/>
  <c r="X17" i="47"/>
  <c r="W18" i="47"/>
  <c r="W19" i="47"/>
  <c r="U12" i="15"/>
  <c r="U7" i="15" s="1"/>
  <c r="U8" i="41"/>
  <c r="U12" i="41" s="1"/>
  <c r="Q75" i="48"/>
  <c r="Q72" i="48" s="1"/>
  <c r="Q7" i="56"/>
  <c r="Q9" i="56" s="1"/>
  <c r="U7" i="19"/>
  <c r="U6" i="19" s="1"/>
  <c r="Y8" i="41"/>
  <c r="Y12" i="41" s="1"/>
  <c r="Y12" i="15"/>
  <c r="Y7" i="15" s="1"/>
  <c r="G75" i="48"/>
  <c r="G72" i="48" s="1"/>
  <c r="K75" i="48"/>
  <c r="K72" i="48" s="1"/>
  <c r="P120" i="18"/>
  <c r="P146" i="18" s="1"/>
  <c r="S8" i="41"/>
  <c r="S12" i="41" s="1"/>
  <c r="S12" i="15"/>
  <c r="S7" i="15" s="1"/>
  <c r="W75" i="48"/>
  <c r="W72" i="48" s="1"/>
  <c r="Q120" i="18"/>
  <c r="Q146" i="18" s="1"/>
  <c r="V75" i="48"/>
  <c r="V72" i="48" s="1"/>
  <c r="I7" i="56"/>
  <c r="I9" i="56" s="1"/>
  <c r="M7" i="19"/>
  <c r="M6" i="19" s="1"/>
  <c r="X75" i="48"/>
  <c r="X72" i="48" s="1"/>
  <c r="K12" i="15"/>
  <c r="K7" i="15" s="1"/>
  <c r="K8" i="41"/>
  <c r="K12" i="41" s="1"/>
  <c r="AD12" i="15"/>
  <c r="AD7" i="15" s="1"/>
  <c r="AD8" i="41"/>
  <c r="AD12" i="41" s="1"/>
  <c r="AA120" i="18"/>
  <c r="AA146" i="18" s="1"/>
  <c r="O75" i="48"/>
  <c r="O72" i="48" s="1"/>
  <c r="M75" i="48"/>
  <c r="M72" i="48" s="1"/>
  <c r="P75" i="48"/>
  <c r="P72" i="48" s="1"/>
  <c r="T120" i="18"/>
  <c r="T146" i="18" s="1"/>
  <c r="M7" i="56"/>
  <c r="M9" i="56" s="1"/>
  <c r="Q7" i="19"/>
  <c r="Q6" i="19" s="1"/>
  <c r="L8" i="41"/>
  <c r="L12" i="41" s="1"/>
  <c r="L12" i="15"/>
  <c r="L7" i="15" s="1"/>
  <c r="J120" i="18"/>
  <c r="J146" i="18" s="1"/>
  <c r="AC8" i="41"/>
  <c r="AC12" i="41" s="1"/>
  <c r="AC12" i="15"/>
  <c r="AC7" i="15" s="1"/>
  <c r="U24" i="41"/>
  <c r="W33" i="32"/>
  <c r="V20" i="47"/>
  <c r="V21" i="47" s="1"/>
  <c r="X36" i="53"/>
  <c r="V46" i="15" s="1"/>
  <c r="F226" i="13" l="1"/>
  <c r="H38" i="34"/>
  <c r="H28" i="34" s="1"/>
  <c r="E61" i="34" s="1"/>
  <c r="E60" i="34" s="1"/>
  <c r="E63" i="34" s="1"/>
  <c r="E67" i="34" s="1"/>
  <c r="AJ7" i="19"/>
  <c r="AJ6" i="19" s="1"/>
  <c r="AH146" i="18"/>
  <c r="AH82" i="48" s="1"/>
  <c r="AH81" i="48" s="1"/>
  <c r="G7" i="56"/>
  <c r="G9" i="56" s="1"/>
  <c r="I146" i="18"/>
  <c r="K6" i="33" s="1"/>
  <c r="K25" i="33" s="1"/>
  <c r="AI144" i="13"/>
  <c r="AI256" i="13" s="1"/>
  <c r="G144" i="13"/>
  <c r="G256" i="13" s="1"/>
  <c r="AG144" i="13"/>
  <c r="AG256" i="13" s="1"/>
  <c r="F82" i="48"/>
  <c r="F81" i="48" s="1"/>
  <c r="G228" i="13"/>
  <c r="G232" i="13"/>
  <c r="G227" i="13"/>
  <c r="G231" i="13"/>
  <c r="G226" i="13"/>
  <c r="G230" i="13"/>
  <c r="G229" i="13"/>
  <c r="G234" i="13"/>
  <c r="G233" i="13"/>
  <c r="AG227" i="13"/>
  <c r="AG231" i="13"/>
  <c r="AG233" i="13"/>
  <c r="AG229" i="13"/>
  <c r="AG232" i="13"/>
  <c r="AG234" i="13"/>
  <c r="AG226" i="13"/>
  <c r="AG230" i="13"/>
  <c r="AG228" i="13"/>
  <c r="AI228" i="13"/>
  <c r="AI232" i="13"/>
  <c r="AI226" i="13"/>
  <c r="AI230" i="13"/>
  <c r="AI231" i="13"/>
  <c r="AI233" i="13"/>
  <c r="AI229" i="13"/>
  <c r="AI227" i="13"/>
  <c r="AI234" i="13"/>
  <c r="O8" i="32"/>
  <c r="O9" i="32" s="1"/>
  <c r="O6" i="33"/>
  <c r="O8" i="33" s="1"/>
  <c r="K7" i="19"/>
  <c r="K6" i="19" s="1"/>
  <c r="H6" i="33"/>
  <c r="H8" i="33" s="1"/>
  <c r="AF7" i="56"/>
  <c r="AF9" i="56" s="1"/>
  <c r="V22" i="47"/>
  <c r="AH8" i="32"/>
  <c r="AH10" i="32" s="1"/>
  <c r="AH6" i="33"/>
  <c r="AH8" i="33" s="1"/>
  <c r="Z8" i="32"/>
  <c r="Z10" i="32" s="1"/>
  <c r="X82" i="48"/>
  <c r="X81" i="48" s="1"/>
  <c r="Y37" i="53"/>
  <c r="Z35" i="53" s="1"/>
  <c r="CL276" i="53"/>
  <c r="CK276" i="53" s="1"/>
  <c r="CM276" i="53" s="1"/>
  <c r="CP279" i="53"/>
  <c r="CO279" i="53" s="1"/>
  <c r="CQ279" i="53" s="1"/>
  <c r="CH272" i="53"/>
  <c r="CG272" i="53" s="1"/>
  <c r="CI272" i="53" s="1"/>
  <c r="L82" i="48"/>
  <c r="L81" i="48" s="1"/>
  <c r="N8" i="32"/>
  <c r="N6" i="33"/>
  <c r="Z12" i="47"/>
  <c r="H82" i="48"/>
  <c r="H81" i="48" s="1"/>
  <c r="J8" i="32"/>
  <c r="J6" i="33"/>
  <c r="AB82" i="48"/>
  <c r="AB81" i="48" s="1"/>
  <c r="AD8" i="32"/>
  <c r="AD6" i="33"/>
  <c r="AD82" i="48"/>
  <c r="AD81" i="48" s="1"/>
  <c r="AF8" i="32"/>
  <c r="AF6" i="33"/>
  <c r="U82" i="48"/>
  <c r="U81" i="48" s="1"/>
  <c r="W8" i="32"/>
  <c r="W6" i="33"/>
  <c r="R7" i="56"/>
  <c r="R9" i="56" s="1"/>
  <c r="V7" i="19"/>
  <c r="V6" i="19" s="1"/>
  <c r="N7" i="56"/>
  <c r="N9" i="56" s="1"/>
  <c r="R7" i="19"/>
  <c r="R6" i="19" s="1"/>
  <c r="T7" i="56"/>
  <c r="T9" i="56" s="1"/>
  <c r="X7" i="19"/>
  <c r="X6" i="19" s="1"/>
  <c r="G82" i="48"/>
  <c r="G81" i="48" s="1"/>
  <c r="I8" i="32"/>
  <c r="I6" i="33"/>
  <c r="AE82" i="48"/>
  <c r="AE81" i="48" s="1"/>
  <c r="AG6" i="33"/>
  <c r="AG8" i="32"/>
  <c r="CS264" i="53"/>
  <c r="CE264" i="53"/>
  <c r="H7" i="56"/>
  <c r="H9" i="56" s="1"/>
  <c r="L7" i="19"/>
  <c r="L6" i="19" s="1"/>
  <c r="Y7" i="56"/>
  <c r="Y9" i="56" s="1"/>
  <c r="AC7" i="19"/>
  <c r="AC6" i="19" s="1"/>
  <c r="K82" i="48"/>
  <c r="K81" i="48" s="1"/>
  <c r="M6" i="33"/>
  <c r="M8" i="32"/>
  <c r="S82" i="48"/>
  <c r="S81" i="48" s="1"/>
  <c r="U8" i="32"/>
  <c r="U6" i="33"/>
  <c r="Y82" i="48"/>
  <c r="Y81" i="48" s="1"/>
  <c r="AA8" i="32"/>
  <c r="AA6" i="33"/>
  <c r="Z82" i="48"/>
  <c r="Z81" i="48" s="1"/>
  <c r="AB8" i="32"/>
  <c r="AB6" i="33"/>
  <c r="R82" i="48"/>
  <c r="R81" i="48" s="1"/>
  <c r="T8" i="32"/>
  <c r="T6" i="33"/>
  <c r="X18" i="47"/>
  <c r="Y17" i="47"/>
  <c r="X19" i="47"/>
  <c r="F11" i="49"/>
  <c r="E75" i="48"/>
  <c r="E72" i="48" s="1"/>
  <c r="U7" i="56"/>
  <c r="U9" i="56" s="1"/>
  <c r="Y7" i="19"/>
  <c r="Y6" i="19" s="1"/>
  <c r="C7" i="56"/>
  <c r="G7" i="19"/>
  <c r="G6" i="19" s="1"/>
  <c r="AG82" i="48"/>
  <c r="AG81" i="48" s="1"/>
  <c r="AI6" i="33"/>
  <c r="AI8" i="32"/>
  <c r="H10" i="32"/>
  <c r="H9" i="32"/>
  <c r="N82" i="48"/>
  <c r="N81" i="48" s="1"/>
  <c r="P6" i="33"/>
  <c r="P8" i="32"/>
  <c r="AC82" i="48"/>
  <c r="AC81" i="48" s="1"/>
  <c r="AE8" i="32"/>
  <c r="AE6" i="33"/>
  <c r="Z8" i="33"/>
  <c r="Z25" i="33"/>
  <c r="Z7" i="33"/>
  <c r="X33" i="32"/>
  <c r="V24" i="41"/>
  <c r="W20" i="47"/>
  <c r="W21" i="47" s="1"/>
  <c r="O7" i="56"/>
  <c r="O9" i="56" s="1"/>
  <c r="S7" i="19"/>
  <c r="S6" i="19" s="1"/>
  <c r="O82" i="48"/>
  <c r="O81" i="48" s="1"/>
  <c r="Q6" i="33"/>
  <c r="Q8" i="32"/>
  <c r="Z23" i="15"/>
  <c r="Z22" i="15" s="1"/>
  <c r="Z70" i="48"/>
  <c r="Z19" i="41"/>
  <c r="C10" i="56" l="1"/>
  <c r="D10" i="56" s="1"/>
  <c r="C9" i="56"/>
  <c r="H7" i="33"/>
  <c r="H25" i="33"/>
  <c r="H31" i="33" s="1"/>
  <c r="O10" i="32"/>
  <c r="O74" i="32" s="1"/>
  <c r="O25" i="33"/>
  <c r="O31" i="33" s="1"/>
  <c r="O7" i="33"/>
  <c r="AJ6" i="33"/>
  <c r="AJ25" i="33" s="1"/>
  <c r="K7" i="33"/>
  <c r="K8" i="33"/>
  <c r="AJ8" i="32"/>
  <c r="AJ10" i="32" s="1"/>
  <c r="W22" i="47"/>
  <c r="I82" i="48"/>
  <c r="I81" i="48" s="1"/>
  <c r="AH7" i="33"/>
  <c r="AH25" i="33"/>
  <c r="AH31" i="33" s="1"/>
  <c r="K8" i="32"/>
  <c r="AF19" i="41"/>
  <c r="F23" i="15"/>
  <c r="F22" i="15" s="1"/>
  <c r="AH70" i="48"/>
  <c r="AH71" i="48" s="1"/>
  <c r="AH67" i="48" s="1"/>
  <c r="AH77" i="48" s="1"/>
  <c r="AH9" i="32"/>
  <c r="Z9" i="32"/>
  <c r="D75" i="48"/>
  <c r="D72" i="48" s="1"/>
  <c r="D96" i="48" s="1"/>
  <c r="CH273" i="53"/>
  <c r="CG273" i="53" s="1"/>
  <c r="CI273" i="53" s="1"/>
  <c r="CP280" i="53"/>
  <c r="CO280" i="53" s="1"/>
  <c r="CQ280" i="53" s="1"/>
  <c r="Q8" i="33"/>
  <c r="Q7" i="33"/>
  <c r="Q25" i="33"/>
  <c r="P23" i="15"/>
  <c r="P22" i="15" s="1"/>
  <c r="P70" i="48"/>
  <c r="P19" i="41"/>
  <c r="R70" i="48"/>
  <c r="R23" i="15"/>
  <c r="R22" i="15" s="1"/>
  <c r="R19" i="41"/>
  <c r="M19" i="41"/>
  <c r="M70" i="48"/>
  <c r="M23" i="15"/>
  <c r="M22" i="15" s="1"/>
  <c r="G19" i="41"/>
  <c r="G70" i="48"/>
  <c r="G23" i="15"/>
  <c r="G22" i="15" s="1"/>
  <c r="O23" i="15"/>
  <c r="O22" i="15" s="1"/>
  <c r="O70" i="48"/>
  <c r="O19" i="41"/>
  <c r="P10" i="32"/>
  <c r="P9" i="32"/>
  <c r="E82" i="48"/>
  <c r="E81" i="48" s="1"/>
  <c r="G6" i="33"/>
  <c r="G8" i="32"/>
  <c r="P25" i="33"/>
  <c r="P8" i="33"/>
  <c r="P7" i="33"/>
  <c r="I23" i="15"/>
  <c r="I22" i="15" s="1"/>
  <c r="I70" i="48"/>
  <c r="I19" i="41"/>
  <c r="T25" i="33"/>
  <c r="T8" i="33"/>
  <c r="T7" i="33"/>
  <c r="M10" i="32"/>
  <c r="M9" i="32"/>
  <c r="I8" i="33"/>
  <c r="I25" i="33"/>
  <c r="I7" i="33"/>
  <c r="AF10" i="32"/>
  <c r="AF9" i="32"/>
  <c r="AA12" i="47"/>
  <c r="Z28" i="33"/>
  <c r="Z31" i="33"/>
  <c r="J70" i="48"/>
  <c r="J23" i="15"/>
  <c r="J22" i="15" s="1"/>
  <c r="J19" i="41"/>
  <c r="H70" i="48"/>
  <c r="H23" i="15"/>
  <c r="H22" i="15" s="1"/>
  <c r="H19" i="41"/>
  <c r="T10" i="32"/>
  <c r="T9" i="32"/>
  <c r="AA25" i="33"/>
  <c r="AA7" i="33"/>
  <c r="AA8" i="33"/>
  <c r="X23" i="15"/>
  <c r="X22" i="15" s="1"/>
  <c r="X19" i="41"/>
  <c r="X70" i="48"/>
  <c r="P82" i="48"/>
  <c r="P81" i="48" s="1"/>
  <c r="R8" i="32"/>
  <c r="R6" i="33"/>
  <c r="W8" i="33"/>
  <c r="W25" i="33"/>
  <c r="W7" i="33"/>
  <c r="N23" i="15"/>
  <c r="N22" i="15" s="1"/>
  <c r="N19" i="41"/>
  <c r="N70" i="48"/>
  <c r="K19" i="41"/>
  <c r="K70" i="48"/>
  <c r="K23" i="15"/>
  <c r="K22" i="15" s="1"/>
  <c r="AA70" i="48"/>
  <c r="AA19" i="41"/>
  <c r="AA23" i="15"/>
  <c r="AA22" i="15" s="1"/>
  <c r="W82" i="48"/>
  <c r="W81" i="48" s="1"/>
  <c r="Y8" i="32"/>
  <c r="Y6" i="33"/>
  <c r="V19" i="41"/>
  <c r="V70" i="48"/>
  <c r="V23" i="15"/>
  <c r="V22" i="15" s="1"/>
  <c r="I10" i="32"/>
  <c r="I9" i="32"/>
  <c r="Y70" i="48"/>
  <c r="Y19" i="41"/>
  <c r="Y23" i="15"/>
  <c r="Y22" i="15" s="1"/>
  <c r="N8" i="33"/>
  <c r="N25" i="33"/>
  <c r="N7" i="33"/>
  <c r="CL277" i="53"/>
  <c r="CK277" i="53" s="1"/>
  <c r="CM277" i="53" s="1"/>
  <c r="AI10" i="32"/>
  <c r="AI9" i="32"/>
  <c r="AC19" i="41"/>
  <c r="AC23" i="15"/>
  <c r="AC22" i="15" s="1"/>
  <c r="AC70" i="48"/>
  <c r="W24" i="41"/>
  <c r="Y33" i="32"/>
  <c r="X20" i="47"/>
  <c r="X21" i="47" s="1"/>
  <c r="W10" i="32"/>
  <c r="W9" i="32"/>
  <c r="AD25" i="33"/>
  <c r="AD7" i="33"/>
  <c r="AD8" i="33"/>
  <c r="AG70" i="48"/>
  <c r="AG23" i="15"/>
  <c r="AG22" i="15" s="1"/>
  <c r="AG19" i="41"/>
  <c r="Z36" i="53"/>
  <c r="X46" i="15" s="1"/>
  <c r="Z71" i="48"/>
  <c r="Z67" i="48" s="1"/>
  <c r="Z77" i="48" s="1"/>
  <c r="Q10" i="32"/>
  <c r="Q9" i="32"/>
  <c r="AE8" i="33"/>
  <c r="AE25" i="33"/>
  <c r="AE7" i="33"/>
  <c r="AI8" i="33"/>
  <c r="AI25" i="33"/>
  <c r="AI7" i="33"/>
  <c r="Y18" i="47"/>
  <c r="Y19" i="47"/>
  <c r="Z17" i="47"/>
  <c r="AB25" i="33"/>
  <c r="AB8" i="33"/>
  <c r="AB7" i="33"/>
  <c r="AG10" i="32"/>
  <c r="AG9" i="32"/>
  <c r="W70" i="48"/>
  <c r="W19" i="41"/>
  <c r="W23" i="15"/>
  <c r="W22" i="15" s="1"/>
  <c r="U19" i="41"/>
  <c r="U70" i="48"/>
  <c r="U23" i="15"/>
  <c r="U22" i="15" s="1"/>
  <c r="T82" i="48"/>
  <c r="T81" i="48" s="1"/>
  <c r="V8" i="32"/>
  <c r="V6" i="33"/>
  <c r="N10" i="32"/>
  <c r="N9" i="32"/>
  <c r="Z37" i="53"/>
  <c r="M8" i="33"/>
  <c r="M25" i="33"/>
  <c r="M7" i="33"/>
  <c r="Q82" i="48"/>
  <c r="Q81" i="48" s="1"/>
  <c r="S8" i="32"/>
  <c r="S6" i="33"/>
  <c r="L70" i="48"/>
  <c r="L19" i="41"/>
  <c r="L23" i="15"/>
  <c r="L22" i="15" s="1"/>
  <c r="Q19" i="41"/>
  <c r="Q23" i="15"/>
  <c r="Q22" i="15" s="1"/>
  <c r="Q70" i="48"/>
  <c r="K28" i="33"/>
  <c r="K31" i="33"/>
  <c r="T23" i="15"/>
  <c r="T22" i="15" s="1"/>
  <c r="T19" i="41"/>
  <c r="T70" i="48"/>
  <c r="U8" i="33"/>
  <c r="U25" i="33"/>
  <c r="U7" i="33"/>
  <c r="AA82" i="48"/>
  <c r="AA81" i="48" s="1"/>
  <c r="AC8" i="32"/>
  <c r="AC6" i="33"/>
  <c r="AD10" i="32"/>
  <c r="AD9" i="32"/>
  <c r="AA10" i="32"/>
  <c r="AA9" i="32"/>
  <c r="AE10" i="32"/>
  <c r="AE9" i="32"/>
  <c r="AB19" i="41"/>
  <c r="AB23" i="15"/>
  <c r="AB22" i="15" s="1"/>
  <c r="AB70" i="48"/>
  <c r="S70" i="48"/>
  <c r="S19" i="41"/>
  <c r="S23" i="15"/>
  <c r="S22" i="15" s="1"/>
  <c r="AB10" i="32"/>
  <c r="AB9" i="32"/>
  <c r="U10" i="32"/>
  <c r="U9" i="32"/>
  <c r="CU264" i="53"/>
  <c r="CD265" i="53"/>
  <c r="AG25" i="33"/>
  <c r="AG8" i="33"/>
  <c r="AG7" i="33"/>
  <c r="AF25" i="33"/>
  <c r="AF8" i="33"/>
  <c r="AF7" i="33"/>
  <c r="J7" i="33"/>
  <c r="J8" i="33"/>
  <c r="J25" i="33"/>
  <c r="AD19" i="41"/>
  <c r="AD23" i="15"/>
  <c r="AD22" i="15" s="1"/>
  <c r="AD70" i="48"/>
  <c r="J82" i="48"/>
  <c r="J81" i="48" s="1"/>
  <c r="L8" i="32"/>
  <c r="L6" i="33"/>
  <c r="AE23" i="15"/>
  <c r="AE22" i="15" s="1"/>
  <c r="AE70" i="48"/>
  <c r="AE19" i="41"/>
  <c r="V82" i="48"/>
  <c r="V81" i="48" s="1"/>
  <c r="X8" i="32"/>
  <c r="X6" i="33"/>
  <c r="J10" i="32"/>
  <c r="J9" i="32"/>
  <c r="H28" i="33" l="1"/>
  <c r="H36" i="33" s="1"/>
  <c r="O38" i="32"/>
  <c r="O28" i="33"/>
  <c r="O36" i="33" s="1"/>
  <c r="AJ7" i="33"/>
  <c r="AJ8" i="33"/>
  <c r="AJ9" i="32"/>
  <c r="X22" i="47"/>
  <c r="AH28" i="33"/>
  <c r="AH36" i="33" s="1"/>
  <c r="H74" i="32"/>
  <c r="H38" i="32"/>
  <c r="K10" i="32"/>
  <c r="K9" i="32"/>
  <c r="AF70" i="48"/>
  <c r="AF71" i="48" s="1"/>
  <c r="AF67" i="48" s="1"/>
  <c r="AF77" i="48" s="1"/>
  <c r="AF23" i="15"/>
  <c r="AF22" i="15" s="1"/>
  <c r="F70" i="48"/>
  <c r="F71" i="48" s="1"/>
  <c r="F67" i="48" s="1"/>
  <c r="F77" i="48" s="1"/>
  <c r="AH23" i="15"/>
  <c r="AH22" i="15" s="1"/>
  <c r="F19" i="41"/>
  <c r="AH19" i="41"/>
  <c r="K36" i="33"/>
  <c r="Z36" i="33"/>
  <c r="CL278" i="53"/>
  <c r="CK278" i="53" s="1"/>
  <c r="CM278" i="53" s="1"/>
  <c r="CP281" i="53"/>
  <c r="CO281" i="53" s="1"/>
  <c r="CQ281" i="53" s="1"/>
  <c r="W38" i="32"/>
  <c r="W47" i="32" s="1"/>
  <c r="M71" i="48"/>
  <c r="M67" i="48" s="1"/>
  <c r="M77" i="48" s="1"/>
  <c r="X8" i="33"/>
  <c r="X7" i="33"/>
  <c r="X25" i="33"/>
  <c r="AB71" i="48"/>
  <c r="AB67" i="48" s="1"/>
  <c r="AB77" i="48" s="1"/>
  <c r="X10" i="32"/>
  <c r="X9" i="32"/>
  <c r="T71" i="48"/>
  <c r="T67" i="48" s="1"/>
  <c r="T77" i="48" s="1"/>
  <c r="L71" i="48"/>
  <c r="L67" i="48" s="1"/>
  <c r="L77" i="48" s="1"/>
  <c r="M31" i="33"/>
  <c r="M28" i="33"/>
  <c r="V10" i="32"/>
  <c r="V9" i="32"/>
  <c r="D82" i="48"/>
  <c r="D81" i="48" s="1"/>
  <c r="L8" i="33"/>
  <c r="L25" i="33"/>
  <c r="L7" i="33"/>
  <c r="CT265" i="53"/>
  <c r="CC265" i="53"/>
  <c r="AC10" i="32"/>
  <c r="AC9" i="32"/>
  <c r="S25" i="33"/>
  <c r="S8" i="33"/>
  <c r="S7" i="33"/>
  <c r="Y71" i="48"/>
  <c r="Y67" i="48" s="1"/>
  <c r="Y77" i="48" s="1"/>
  <c r="AA71" i="48"/>
  <c r="AA67" i="48" s="1"/>
  <c r="AA77" i="48" s="1"/>
  <c r="O99" i="32"/>
  <c r="O81" i="32"/>
  <c r="O85" i="32"/>
  <c r="O95" i="32"/>
  <c r="I71" i="48"/>
  <c r="I67" i="48" s="1"/>
  <c r="I77" i="48" s="1"/>
  <c r="G10" i="32"/>
  <c r="G9" i="32"/>
  <c r="G71" i="48"/>
  <c r="G67" i="48" s="1"/>
  <c r="G77" i="48" s="1"/>
  <c r="AI28" i="33"/>
  <c r="AI31" i="33"/>
  <c r="N28" i="33"/>
  <c r="N31" i="33"/>
  <c r="Y7" i="33"/>
  <c r="Y25" i="33"/>
  <c r="Y8" i="33"/>
  <c r="W31" i="33"/>
  <c r="W28" i="33"/>
  <c r="G8" i="33"/>
  <c r="G7" i="33"/>
  <c r="G25" i="33"/>
  <c r="J74" i="32"/>
  <c r="J38" i="32"/>
  <c r="J47" i="32" s="1"/>
  <c r="AF28" i="33"/>
  <c r="AF31" i="33"/>
  <c r="U38" i="32"/>
  <c r="U47" i="32" s="1"/>
  <c r="N74" i="32"/>
  <c r="N38" i="32"/>
  <c r="N47" i="32" s="1"/>
  <c r="AB31" i="33"/>
  <c r="AB28" i="33"/>
  <c r="AG71" i="48"/>
  <c r="AG67" i="48" s="1"/>
  <c r="AG77" i="48" s="1"/>
  <c r="Y10" i="32"/>
  <c r="Y9" i="32"/>
  <c r="X71" i="48"/>
  <c r="X67" i="48" s="1"/>
  <c r="X77" i="48" s="1"/>
  <c r="J71" i="48"/>
  <c r="J67" i="48" s="1"/>
  <c r="J77" i="48" s="1"/>
  <c r="O71" i="48"/>
  <c r="O67" i="48" s="1"/>
  <c r="O77" i="48" s="1"/>
  <c r="S10" i="32"/>
  <c r="S9" i="32"/>
  <c r="L9" i="32"/>
  <c r="L10" i="32"/>
  <c r="S71" i="48"/>
  <c r="S67" i="48" s="1"/>
  <c r="S77" i="48" s="1"/>
  <c r="W71" i="48"/>
  <c r="W67" i="48" s="1"/>
  <c r="W77" i="48" s="1"/>
  <c r="Z19" i="47"/>
  <c r="AA17" i="47"/>
  <c r="Z18" i="47"/>
  <c r="AC71" i="48"/>
  <c r="AC67" i="48" s="1"/>
  <c r="AC77" i="48" s="1"/>
  <c r="N71" i="48"/>
  <c r="N67" i="48" s="1"/>
  <c r="N77" i="48" s="1"/>
  <c r="R8" i="33"/>
  <c r="R25" i="33"/>
  <c r="R7" i="33"/>
  <c r="P38" i="32"/>
  <c r="P47" i="32" s="1"/>
  <c r="P74" i="32"/>
  <c r="P71" i="48"/>
  <c r="P67" i="48" s="1"/>
  <c r="P77" i="48" s="1"/>
  <c r="AA35" i="53"/>
  <c r="AA37" i="53" s="1"/>
  <c r="J31" i="33"/>
  <c r="J28" i="33"/>
  <c r="U28" i="33"/>
  <c r="U31" i="33"/>
  <c r="U71" i="48"/>
  <c r="U67" i="48" s="1"/>
  <c r="U77" i="48" s="1"/>
  <c r="Z33" i="32"/>
  <c r="X24" i="41"/>
  <c r="Y20" i="47"/>
  <c r="Y21" i="47" s="1"/>
  <c r="Q38" i="32"/>
  <c r="Q47" i="32" s="1"/>
  <c r="Q74" i="32"/>
  <c r="M74" i="32"/>
  <c r="M38" i="32"/>
  <c r="M47" i="32" s="1"/>
  <c r="P28" i="33"/>
  <c r="P31" i="33"/>
  <c r="R71" i="48"/>
  <c r="R67" i="48" s="1"/>
  <c r="R77" i="48" s="1"/>
  <c r="CH274" i="53"/>
  <c r="CG274" i="53" s="1"/>
  <c r="CI274" i="53" s="1"/>
  <c r="AE71" i="48"/>
  <c r="AE67" i="48" s="1"/>
  <c r="AE77" i="48" s="1"/>
  <c r="Q71" i="48"/>
  <c r="Q67" i="48" s="1"/>
  <c r="Q77" i="48" s="1"/>
  <c r="V25" i="33"/>
  <c r="V8" i="33"/>
  <c r="V7" i="33"/>
  <c r="AE28" i="33"/>
  <c r="AE31" i="33"/>
  <c r="AJ31" i="33"/>
  <c r="AJ28" i="33"/>
  <c r="AA28" i="33"/>
  <c r="AA31" i="33"/>
  <c r="H71" i="48"/>
  <c r="H67" i="48" s="1"/>
  <c r="H77" i="48" s="1"/>
  <c r="I28" i="33"/>
  <c r="I31" i="33"/>
  <c r="T28" i="33"/>
  <c r="T31" i="33"/>
  <c r="AD71" i="48"/>
  <c r="AD67" i="48" s="1"/>
  <c r="AD77" i="48" s="1"/>
  <c r="AG28" i="33"/>
  <c r="AG31" i="33"/>
  <c r="AC25" i="33"/>
  <c r="AC7" i="33"/>
  <c r="AC8" i="33"/>
  <c r="AD28" i="33"/>
  <c r="AD31" i="33"/>
  <c r="V71" i="48"/>
  <c r="V67" i="48" s="1"/>
  <c r="V77" i="48" s="1"/>
  <c r="K71" i="48"/>
  <c r="K67" i="48" s="1"/>
  <c r="K77" i="48" s="1"/>
  <c r="R10" i="32"/>
  <c r="R9" i="32"/>
  <c r="T74" i="32"/>
  <c r="T38" i="32"/>
  <c r="T47" i="32" s="1"/>
  <c r="AB12" i="47"/>
  <c r="Q28" i="33"/>
  <c r="Q31" i="33"/>
  <c r="H47" i="32" l="1"/>
  <c r="O49" i="32"/>
  <c r="O47" i="32"/>
  <c r="H63" i="32"/>
  <c r="H99" i="32"/>
  <c r="H81" i="32"/>
  <c r="O63" i="32"/>
  <c r="O59" i="32"/>
  <c r="O45" i="32"/>
  <c r="Y22" i="47"/>
  <c r="H45" i="32"/>
  <c r="H59" i="32"/>
  <c r="H49" i="32"/>
  <c r="H85" i="32"/>
  <c r="H95" i="32"/>
  <c r="K74" i="32"/>
  <c r="K38" i="32"/>
  <c r="K47" i="32" s="1"/>
  <c r="AF36" i="33"/>
  <c r="N36" i="33"/>
  <c r="M36" i="33"/>
  <c r="AJ36" i="33"/>
  <c r="AD36" i="33"/>
  <c r="Q36" i="33"/>
  <c r="W36" i="33"/>
  <c r="AE36" i="33"/>
  <c r="T36" i="33"/>
  <c r="I36" i="33"/>
  <c r="U36" i="33"/>
  <c r="AI36" i="33"/>
  <c r="AG36" i="33"/>
  <c r="J36" i="33"/>
  <c r="AA36" i="33"/>
  <c r="P36" i="33"/>
  <c r="AB36" i="33"/>
  <c r="CP282" i="53"/>
  <c r="CO282" i="53" s="1"/>
  <c r="CQ282" i="53" s="1"/>
  <c r="CH275" i="53"/>
  <c r="CG275" i="53" s="1"/>
  <c r="CI275" i="53" s="1"/>
  <c r="L74" i="32"/>
  <c r="L38" i="32"/>
  <c r="L47" i="32" s="1"/>
  <c r="T99" i="32"/>
  <c r="T95" i="32"/>
  <c r="T81" i="32"/>
  <c r="T85" i="32"/>
  <c r="M49" i="32"/>
  <c r="M63" i="32"/>
  <c r="M59" i="32"/>
  <c r="M45" i="32"/>
  <c r="AA36" i="53"/>
  <c r="Y46" i="15" s="1"/>
  <c r="S38" i="32"/>
  <c r="S47" i="32" s="1"/>
  <c r="S74" i="32"/>
  <c r="N63" i="32"/>
  <c r="N49" i="32"/>
  <c r="N45" i="32"/>
  <c r="N59" i="32"/>
  <c r="J49" i="32"/>
  <c r="J63" i="32"/>
  <c r="J59" i="32"/>
  <c r="J45" i="32"/>
  <c r="Y31" i="33"/>
  <c r="Y28" i="33"/>
  <c r="L31" i="33"/>
  <c r="L28" i="33"/>
  <c r="T49" i="32"/>
  <c r="T63" i="32"/>
  <c r="T45" i="32"/>
  <c r="T59" i="32"/>
  <c r="V28" i="33"/>
  <c r="V31" i="33"/>
  <c r="M85" i="32"/>
  <c r="M99" i="32"/>
  <c r="M95" i="32"/>
  <c r="M81" i="32"/>
  <c r="Z38" i="32"/>
  <c r="Z47" i="32" s="1"/>
  <c r="AB35" i="53"/>
  <c r="AB36" i="53" s="1"/>
  <c r="Z46" i="15" s="1"/>
  <c r="N85" i="32"/>
  <c r="N99" i="32"/>
  <c r="N95" i="32"/>
  <c r="N81" i="32"/>
  <c r="J99" i="32"/>
  <c r="J85" i="32"/>
  <c r="J95" i="32"/>
  <c r="J81" i="32"/>
  <c r="X31" i="33"/>
  <c r="X28" i="33"/>
  <c r="CL279" i="53"/>
  <c r="CK279" i="53" s="1"/>
  <c r="CM279" i="53" s="1"/>
  <c r="Q99" i="32"/>
  <c r="Q95" i="32"/>
  <c r="Q85" i="32"/>
  <c r="Q81" i="32"/>
  <c r="Y38" i="32"/>
  <c r="Y47" i="32" s="1"/>
  <c r="U45" i="32"/>
  <c r="U63" i="32"/>
  <c r="U49" i="32"/>
  <c r="U59" i="32"/>
  <c r="E96" i="48"/>
  <c r="AA18" i="47"/>
  <c r="AB17" i="47"/>
  <c r="AA19" i="47"/>
  <c r="CS265" i="53"/>
  <c r="CE265" i="53"/>
  <c r="V38" i="32"/>
  <c r="V47" i="32" s="1"/>
  <c r="P95" i="32"/>
  <c r="P85" i="32"/>
  <c r="P81" i="32"/>
  <c r="P99" i="32"/>
  <c r="Y24" i="41"/>
  <c r="AA33" i="32"/>
  <c r="Z20" i="47"/>
  <c r="Z21" i="47" s="1"/>
  <c r="Z22" i="47" s="1"/>
  <c r="Q63" i="32"/>
  <c r="Q49" i="32"/>
  <c r="Q45" i="32"/>
  <c r="Q59" i="32"/>
  <c r="R28" i="33"/>
  <c r="R31" i="33"/>
  <c r="P49" i="32"/>
  <c r="P63" i="32"/>
  <c r="P45" i="32"/>
  <c r="P59" i="32"/>
  <c r="R38" i="32"/>
  <c r="R47" i="32" s="1"/>
  <c r="R74" i="32"/>
  <c r="AC31" i="33"/>
  <c r="AC28" i="33"/>
  <c r="AC12" i="47"/>
  <c r="G28" i="33"/>
  <c r="G31" i="33"/>
  <c r="X38" i="32"/>
  <c r="X47" i="32" s="1"/>
  <c r="W63" i="32"/>
  <c r="W45" i="32"/>
  <c r="W49" i="32"/>
  <c r="W59" i="32"/>
  <c r="S28" i="33"/>
  <c r="S31" i="33"/>
  <c r="K59" i="32" l="1"/>
  <c r="K49" i="32"/>
  <c r="K63" i="32"/>
  <c r="K45" i="32"/>
  <c r="K95" i="32"/>
  <c r="K85" i="32"/>
  <c r="K81" i="32"/>
  <c r="K99" i="32"/>
  <c r="Y36" i="33"/>
  <c r="L36" i="33"/>
  <c r="AC36" i="33"/>
  <c r="G36" i="33"/>
  <c r="X36" i="33"/>
  <c r="AB37" i="53"/>
  <c r="AC35" i="53" s="1"/>
  <c r="AC36" i="53" s="1"/>
  <c r="AA46" i="15" s="1"/>
  <c r="V36" i="33"/>
  <c r="S36" i="33"/>
  <c r="R36" i="33"/>
  <c r="CL280" i="53"/>
  <c r="CK280" i="53" s="1"/>
  <c r="CM280" i="53" s="1"/>
  <c r="CH276" i="53"/>
  <c r="CG276" i="53" s="1"/>
  <c r="CI276" i="53" s="1"/>
  <c r="Y49" i="32"/>
  <c r="Y63" i="32"/>
  <c r="Y45" i="32"/>
  <c r="Y59" i="32"/>
  <c r="S95" i="32"/>
  <c r="S81" i="32"/>
  <c r="S85" i="32"/>
  <c r="S99" i="32"/>
  <c r="L85" i="32"/>
  <c r="L99" i="32"/>
  <c r="L95" i="32"/>
  <c r="L81" i="32"/>
  <c r="R45" i="32"/>
  <c r="R49" i="32"/>
  <c r="R63" i="32"/>
  <c r="R59" i="32"/>
  <c r="S63" i="32"/>
  <c r="S49" i="32"/>
  <c r="S45" i="32"/>
  <c r="S59" i="32"/>
  <c r="CP283" i="53"/>
  <c r="CO283" i="53" s="1"/>
  <c r="CQ283" i="53" s="1"/>
  <c r="X63" i="32"/>
  <c r="X49" i="32"/>
  <c r="X59" i="32"/>
  <c r="X45" i="32"/>
  <c r="AD12" i="47"/>
  <c r="Z24" i="41"/>
  <c r="AB33" i="32"/>
  <c r="AA20" i="47"/>
  <c r="AA21" i="47" s="1"/>
  <c r="AA22" i="47" s="1"/>
  <c r="AB18" i="47"/>
  <c r="AB19" i="47"/>
  <c r="AC17" i="47"/>
  <c r="Z63" i="32"/>
  <c r="Z49" i="32"/>
  <c r="Z45" i="32"/>
  <c r="Z59" i="32"/>
  <c r="AA38" i="32"/>
  <c r="AA47" i="32" s="1"/>
  <c r="V49" i="32"/>
  <c r="V63" i="32"/>
  <c r="V45" i="32"/>
  <c r="V59" i="32"/>
  <c r="CU265" i="53"/>
  <c r="CD266" i="53"/>
  <c r="L63" i="32"/>
  <c r="L49" i="32"/>
  <c r="L59" i="32"/>
  <c r="L45" i="32"/>
  <c r="R99" i="32"/>
  <c r="R95" i="32"/>
  <c r="R81" i="32"/>
  <c r="R85" i="32"/>
  <c r="AC37" i="53" l="1"/>
  <c r="AD35" i="53" s="1"/>
  <c r="AD36" i="53" s="1"/>
  <c r="AB46" i="15" s="1"/>
  <c r="CH277" i="53"/>
  <c r="CG277" i="53" s="1"/>
  <c r="CI277" i="53" s="1"/>
  <c r="CL281" i="53"/>
  <c r="CK281" i="53" s="1"/>
  <c r="CM281" i="53" s="1"/>
  <c r="AB38" i="32"/>
  <c r="AB47" i="32" s="1"/>
  <c r="AC33" i="32"/>
  <c r="AA24" i="41"/>
  <c r="AB20" i="47"/>
  <c r="AB21" i="47" s="1"/>
  <c r="AB22" i="47" s="1"/>
  <c r="CT266" i="53"/>
  <c r="CC266" i="53"/>
  <c r="AA49" i="32"/>
  <c r="AA63" i="32"/>
  <c r="AA59" i="32"/>
  <c r="AA45" i="32"/>
  <c r="CP284" i="53"/>
  <c r="CO284" i="53" s="1"/>
  <c r="CQ284" i="53" s="1"/>
  <c r="AE12" i="47"/>
  <c r="AD17" i="47"/>
  <c r="AC18" i="47"/>
  <c r="AC19" i="47"/>
  <c r="CL282" i="53" l="1"/>
  <c r="CK282" i="53" s="1"/>
  <c r="CM282" i="53" s="1"/>
  <c r="CH278" i="53"/>
  <c r="CG278" i="53" s="1"/>
  <c r="CI278" i="53" s="1"/>
  <c r="CP285" i="53"/>
  <c r="CO285" i="53" s="1"/>
  <c r="CQ285" i="53" s="1"/>
  <c r="AD37" i="53"/>
  <c r="AC38" i="32"/>
  <c r="AC47" i="32" s="1"/>
  <c r="AD33" i="32"/>
  <c r="AB24" i="41"/>
  <c r="AC20" i="47"/>
  <c r="AC21" i="47" s="1"/>
  <c r="AC22" i="47" s="1"/>
  <c r="AB63" i="32"/>
  <c r="AB49" i="32"/>
  <c r="AB45" i="32"/>
  <c r="AB59" i="32"/>
  <c r="AF12" i="47"/>
  <c r="CS266" i="53"/>
  <c r="CE266" i="53"/>
  <c r="AD18" i="47"/>
  <c r="AE17" i="47"/>
  <c r="AD19" i="47"/>
  <c r="CP286" i="53" l="1"/>
  <c r="CO286" i="53" s="1"/>
  <c r="CQ286" i="53" s="1"/>
  <c r="CH279" i="53"/>
  <c r="CG279" i="53" s="1"/>
  <c r="CI279" i="53" s="1"/>
  <c r="AD38" i="32"/>
  <c r="AD47" i="32" s="1"/>
  <c r="CU266" i="53"/>
  <c r="CD267" i="53"/>
  <c r="AC24" i="41"/>
  <c r="AE33" i="32"/>
  <c r="AD20" i="47"/>
  <c r="AD21" i="47" s="1"/>
  <c r="AD22" i="47" s="1"/>
  <c r="AG12" i="47"/>
  <c r="AE18" i="47"/>
  <c r="AE19" i="47"/>
  <c r="AF17" i="47"/>
  <c r="AE35" i="53"/>
  <c r="AE36" i="53" s="1"/>
  <c r="AC46" i="15" s="1"/>
  <c r="CL283" i="53"/>
  <c r="CK283" i="53" s="1"/>
  <c r="CM283" i="53" s="1"/>
  <c r="AC49" i="32"/>
  <c r="AC63" i="32"/>
  <c r="AC45" i="32"/>
  <c r="AC59" i="32"/>
  <c r="CP287" i="53" l="1"/>
  <c r="CO287" i="53" s="1"/>
  <c r="CQ287" i="53" s="1"/>
  <c r="CL284" i="53"/>
  <c r="CK284" i="53" s="1"/>
  <c r="CM284" i="53" s="1"/>
  <c r="AE37" i="53"/>
  <c r="CH280" i="53"/>
  <c r="CG280" i="53" s="1"/>
  <c r="CI280" i="53" s="1"/>
  <c r="AD63" i="32"/>
  <c r="AD49" i="32"/>
  <c r="AD59" i="32"/>
  <c r="AD45" i="32"/>
  <c r="AH12" i="47"/>
  <c r="CT267" i="53"/>
  <c r="CC267" i="53"/>
  <c r="AF33" i="32"/>
  <c r="AD24" i="41"/>
  <c r="AE20" i="47"/>
  <c r="AE21" i="47" s="1"/>
  <c r="AE22" i="47" s="1"/>
  <c r="AF19" i="47"/>
  <c r="AF18" i="47"/>
  <c r="AG17" i="47"/>
  <c r="AE38" i="32"/>
  <c r="AE47" i="32" s="1"/>
  <c r="CH281" i="53" l="1"/>
  <c r="CG281" i="53" s="1"/>
  <c r="CI281" i="53" s="1"/>
  <c r="CS267" i="53"/>
  <c r="CE267" i="53"/>
  <c r="AE63" i="32"/>
  <c r="AE49" i="32"/>
  <c r="AE45" i="32"/>
  <c r="AE59" i="32"/>
  <c r="AI12" i="47"/>
  <c r="CL285" i="53"/>
  <c r="CK285" i="53" s="1"/>
  <c r="CM285" i="53" s="1"/>
  <c r="AF35" i="53"/>
  <c r="AF36" i="53" s="1"/>
  <c r="AD46" i="15" s="1"/>
  <c r="CP288" i="53"/>
  <c r="CO288" i="53" s="1"/>
  <c r="CQ288" i="53" s="1"/>
  <c r="AG19" i="47"/>
  <c r="AH17" i="47"/>
  <c r="AG18" i="47"/>
  <c r="AF38" i="32"/>
  <c r="AF47" i="32" s="1"/>
  <c r="AG33" i="32"/>
  <c r="AE24" i="41"/>
  <c r="AF20" i="47"/>
  <c r="AF21" i="47" s="1"/>
  <c r="AF22" i="47" s="1"/>
  <c r="CL286" i="53" l="1"/>
  <c r="CK286" i="53" s="1"/>
  <c r="CM286" i="53" s="1"/>
  <c r="CH282" i="53"/>
  <c r="CG282" i="53" s="1"/>
  <c r="CI282" i="53" s="1"/>
  <c r="AG38" i="32"/>
  <c r="AG47" i="32" s="1"/>
  <c r="AF37" i="53"/>
  <c r="AH18" i="47"/>
  <c r="AI17" i="47"/>
  <c r="AH19" i="47"/>
  <c r="AH33" i="32"/>
  <c r="AF24" i="41"/>
  <c r="AG20" i="47"/>
  <c r="AG21" i="47" s="1"/>
  <c r="AG22" i="47" s="1"/>
  <c r="E12" i="47"/>
  <c r="CU267" i="53"/>
  <c r="CD268" i="53"/>
  <c r="AF49" i="32"/>
  <c r="AF63" i="32"/>
  <c r="AF45" i="32"/>
  <c r="AF59" i="32"/>
  <c r="CP289" i="53"/>
  <c r="CO289" i="53" s="1"/>
  <c r="CQ289" i="53" s="1"/>
  <c r="CH283" i="53" l="1"/>
  <c r="CG283" i="53" s="1"/>
  <c r="CI283" i="53" s="1"/>
  <c r="CL287" i="53"/>
  <c r="CK287" i="53" s="1"/>
  <c r="CM287" i="53" s="1"/>
  <c r="CP290" i="53"/>
  <c r="CO290" i="53" s="1"/>
  <c r="CQ290" i="53" s="1"/>
  <c r="AI18" i="47"/>
  <c r="AI19" i="47"/>
  <c r="E17" i="47"/>
  <c r="CT268" i="53"/>
  <c r="CC268" i="53"/>
  <c r="AG35" i="53"/>
  <c r="AG36" i="53" s="1"/>
  <c r="AE46" i="15" s="1"/>
  <c r="AH38" i="32"/>
  <c r="AH47" i="32" s="1"/>
  <c r="AG49" i="32"/>
  <c r="AG63" i="32"/>
  <c r="AG59" i="32"/>
  <c r="AG45" i="32"/>
  <c r="AG24" i="41"/>
  <c r="AI33" i="32"/>
  <c r="AH20" i="47"/>
  <c r="AH21" i="47" s="1"/>
  <c r="AH22" i="47" s="1"/>
  <c r="CL288" i="53" l="1"/>
  <c r="CK288" i="53" s="1"/>
  <c r="CM288" i="53" s="1"/>
  <c r="CS268" i="53"/>
  <c r="CE268" i="53"/>
  <c r="AH49" i="32"/>
  <c r="AH63" i="32"/>
  <c r="AH45" i="32"/>
  <c r="AH59" i="32"/>
  <c r="AG37" i="53"/>
  <c r="CP291" i="53"/>
  <c r="CO291" i="53" s="1"/>
  <c r="CQ291" i="53" s="1"/>
  <c r="CH284" i="53"/>
  <c r="CG284" i="53" s="1"/>
  <c r="CI284" i="53" s="1"/>
  <c r="AJ33" i="32"/>
  <c r="AH24" i="41"/>
  <c r="E19" i="47"/>
  <c r="AI20" i="47"/>
  <c r="AI21" i="47" s="1"/>
  <c r="E21" i="47" s="1"/>
  <c r="AI38" i="32"/>
  <c r="AI47" i="32" s="1"/>
  <c r="AH35" i="53" l="1"/>
  <c r="AH36" i="53" s="1"/>
  <c r="AF46" i="15" s="1"/>
  <c r="CH285" i="53"/>
  <c r="CG285" i="53" s="1"/>
  <c r="CI285" i="53" s="1"/>
  <c r="CL289" i="53"/>
  <c r="CK289" i="53" s="1"/>
  <c r="CM289" i="53" s="1"/>
  <c r="AI63" i="32"/>
  <c r="AI49" i="32"/>
  <c r="AI59" i="32"/>
  <c r="AI45" i="32"/>
  <c r="AJ38" i="32"/>
  <c r="AJ47" i="32" s="1"/>
  <c r="CP292" i="53"/>
  <c r="CO292" i="53" s="1"/>
  <c r="CQ292" i="53" s="1"/>
  <c r="CU268" i="53"/>
  <c r="CD269" i="53"/>
  <c r="AI22" i="47"/>
  <c r="CP293" i="53" l="1"/>
  <c r="CO293" i="53" s="1"/>
  <c r="CQ293" i="53" s="1"/>
  <c r="CL290" i="53"/>
  <c r="CK290" i="53" s="1"/>
  <c r="CM290" i="53" s="1"/>
  <c r="AH37" i="53"/>
  <c r="CT269" i="53"/>
  <c r="CC269" i="53"/>
  <c r="AJ63" i="32"/>
  <c r="AJ49" i="32"/>
  <c r="AJ45" i="32"/>
  <c r="AJ59" i="32"/>
  <c r="CH286" i="53"/>
  <c r="CG286" i="53" s="1"/>
  <c r="CI286" i="53" s="1"/>
  <c r="CP294" i="53" l="1"/>
  <c r="CO294" i="53" s="1"/>
  <c r="CQ294" i="53" s="1"/>
  <c r="CH287" i="53"/>
  <c r="CG287" i="53" s="1"/>
  <c r="CI287" i="53" s="1"/>
  <c r="CL291" i="53"/>
  <c r="CK291" i="53" s="1"/>
  <c r="CM291" i="53" s="1"/>
  <c r="CS269" i="53"/>
  <c r="CE269" i="53"/>
  <c r="AI35" i="53"/>
  <c r="AI36" i="53" s="1"/>
  <c r="AG46" i="15" s="1"/>
  <c r="CL292" i="53" l="1"/>
  <c r="CK292" i="53" s="1"/>
  <c r="CM292" i="53" s="1"/>
  <c r="CP295" i="53"/>
  <c r="CO295" i="53" s="1"/>
  <c r="CQ295" i="53" s="1"/>
  <c r="CH288" i="53"/>
  <c r="CG288" i="53" s="1"/>
  <c r="CI288" i="53" s="1"/>
  <c r="AI37" i="53"/>
  <c r="CU269" i="53"/>
  <c r="CD270" i="53"/>
  <c r="CP296" i="53" l="1"/>
  <c r="CO296" i="53" s="1"/>
  <c r="CQ296" i="53" s="1"/>
  <c r="CT270" i="53"/>
  <c r="CC270" i="53"/>
  <c r="AJ35" i="53"/>
  <c r="CH289" i="53"/>
  <c r="CG289" i="53" s="1"/>
  <c r="CI289" i="53" s="1"/>
  <c r="CL293" i="53"/>
  <c r="CK293" i="53" s="1"/>
  <c r="CM293" i="53" s="1"/>
  <c r="CL294" i="53" l="1"/>
  <c r="CK294" i="53" s="1"/>
  <c r="CM294" i="53" s="1"/>
  <c r="CP297" i="53"/>
  <c r="CO297" i="53" s="1"/>
  <c r="CQ297" i="53" s="1"/>
  <c r="CH290" i="53"/>
  <c r="CG290" i="53" s="1"/>
  <c r="CI290" i="53" s="1"/>
  <c r="CS270" i="53"/>
  <c r="CE270" i="53"/>
  <c r="AJ36" i="53"/>
  <c r="AH46" i="15" s="1"/>
  <c r="F35" i="53"/>
  <c r="AJ37" i="53"/>
  <c r="CP298" i="53" l="1"/>
  <c r="CO298" i="53" s="1"/>
  <c r="CQ298" i="53" s="1"/>
  <c r="CL295" i="53"/>
  <c r="CK295" i="53" s="1"/>
  <c r="CM295" i="53" s="1"/>
  <c r="CH291" i="53"/>
  <c r="CG291" i="53" s="1"/>
  <c r="CI291" i="53" s="1"/>
  <c r="CU270" i="53"/>
  <c r="CD271" i="53"/>
  <c r="CL296" i="53" l="1"/>
  <c r="CK296" i="53" s="1"/>
  <c r="CM296" i="53" s="1"/>
  <c r="CH292" i="53"/>
  <c r="CG292" i="53" s="1"/>
  <c r="CI292" i="53" s="1"/>
  <c r="CP299" i="53"/>
  <c r="CO299" i="53" s="1"/>
  <c r="CQ299" i="53" s="1"/>
  <c r="CT271" i="53"/>
  <c r="CC271" i="53"/>
  <c r="CP300" i="53" l="1"/>
  <c r="CO300" i="53" s="1"/>
  <c r="CQ300" i="53" s="1"/>
  <c r="CH293" i="53"/>
  <c r="CG293" i="53" s="1"/>
  <c r="CI293" i="53" s="1"/>
  <c r="CL297" i="53"/>
  <c r="CK297" i="53" s="1"/>
  <c r="CM297" i="53" s="1"/>
  <c r="CS271" i="53"/>
  <c r="CE271" i="53"/>
  <c r="CH294" i="53" l="1"/>
  <c r="CG294" i="53" s="1"/>
  <c r="CI294" i="53" s="1"/>
  <c r="CL298" i="53"/>
  <c r="CK298" i="53" s="1"/>
  <c r="CM298" i="53" s="1"/>
  <c r="CP301" i="53"/>
  <c r="CO301" i="53" s="1"/>
  <c r="CQ301" i="53" s="1"/>
  <c r="CU271" i="53"/>
  <c r="CD272" i="53"/>
  <c r="CP302" i="53" l="1"/>
  <c r="CO302" i="53" s="1"/>
  <c r="CQ302" i="53" s="1"/>
  <c r="CL299" i="53"/>
  <c r="CK299" i="53" s="1"/>
  <c r="CM299" i="53" s="1"/>
  <c r="CH295" i="53"/>
  <c r="CG295" i="53" s="1"/>
  <c r="CI295" i="53" s="1"/>
  <c r="CT272" i="53"/>
  <c r="CC272" i="53"/>
  <c r="CP303" i="53" l="1"/>
  <c r="CO303" i="53" s="1"/>
  <c r="CQ303" i="53" s="1"/>
  <c r="CH296" i="53"/>
  <c r="CG296" i="53" s="1"/>
  <c r="CI296" i="53" s="1"/>
  <c r="CL300" i="53"/>
  <c r="CK300" i="53" s="1"/>
  <c r="CM300" i="53" s="1"/>
  <c r="CS272" i="53"/>
  <c r="CE272" i="53"/>
  <c r="CL301" i="53" l="1"/>
  <c r="CK301" i="53" s="1"/>
  <c r="CM301" i="53" s="1"/>
  <c r="CH297" i="53"/>
  <c r="CG297" i="53" s="1"/>
  <c r="CI297" i="53" s="1"/>
  <c r="CP304" i="53"/>
  <c r="CO304" i="53" s="1"/>
  <c r="CQ304" i="53" s="1"/>
  <c r="CU272" i="53"/>
  <c r="CD273" i="53"/>
  <c r="CP305" i="53" l="1"/>
  <c r="CO305" i="53" s="1"/>
  <c r="CQ305" i="53" s="1"/>
  <c r="CL302" i="53"/>
  <c r="CK302" i="53" s="1"/>
  <c r="CM302" i="53" s="1"/>
  <c r="CT273" i="53"/>
  <c r="U26" i="53" s="1"/>
  <c r="CC273" i="53"/>
  <c r="CH298" i="53"/>
  <c r="CG298" i="53" s="1"/>
  <c r="CI298" i="53" s="1"/>
  <c r="CL303" i="53" l="1"/>
  <c r="CK303" i="53" s="1"/>
  <c r="CM303" i="53" s="1"/>
  <c r="CP306" i="53"/>
  <c r="CO306" i="53" s="1"/>
  <c r="CQ306" i="53" s="1"/>
  <c r="CS273" i="53"/>
  <c r="U25" i="53" s="1"/>
  <c r="CE273" i="53"/>
  <c r="S45" i="15"/>
  <c r="U74" i="32"/>
  <c r="CH299" i="53"/>
  <c r="CG299" i="53" s="1"/>
  <c r="CI299" i="53" s="1"/>
  <c r="CH300" i="53" l="1"/>
  <c r="CG300" i="53" s="1"/>
  <c r="CI300" i="53" s="1"/>
  <c r="CL304" i="53"/>
  <c r="CK304" i="53" s="1"/>
  <c r="CM304" i="53" s="1"/>
  <c r="U99" i="32"/>
  <c r="U95" i="32"/>
  <c r="U81" i="32"/>
  <c r="U85" i="32"/>
  <c r="CP307" i="53"/>
  <c r="CO307" i="53" s="1"/>
  <c r="CQ307" i="53" s="1"/>
  <c r="S44" i="15"/>
  <c r="S43" i="15" s="1"/>
  <c r="T7" i="55" s="1"/>
  <c r="U28" i="53"/>
  <c r="CU273" i="53"/>
  <c r="CD274" i="53"/>
  <c r="CH301" i="53" l="1"/>
  <c r="CG301" i="53" s="1"/>
  <c r="CI301" i="53" s="1"/>
  <c r="CL305" i="53"/>
  <c r="CK305" i="53" s="1"/>
  <c r="CM305" i="53" s="1"/>
  <c r="CP308" i="53"/>
  <c r="CO308" i="53" s="1"/>
  <c r="CQ308" i="53" s="1"/>
  <c r="CT274" i="53"/>
  <c r="CC274" i="53"/>
  <c r="CH302" i="53" l="1"/>
  <c r="CG302" i="53" s="1"/>
  <c r="CI302" i="53" s="1"/>
  <c r="CS274" i="53"/>
  <c r="CE274" i="53"/>
  <c r="CL306" i="53"/>
  <c r="CK306" i="53" s="1"/>
  <c r="CM306" i="53" s="1"/>
  <c r="CP309" i="53"/>
  <c r="CO309" i="53" s="1"/>
  <c r="CQ309" i="53" s="1"/>
  <c r="CH303" i="53" l="1"/>
  <c r="CG303" i="53" s="1"/>
  <c r="CI303" i="53" s="1"/>
  <c r="CL307" i="53"/>
  <c r="CK307" i="53" s="1"/>
  <c r="CM307" i="53" s="1"/>
  <c r="CP310" i="53"/>
  <c r="CO310" i="53" s="1"/>
  <c r="CQ310" i="53" s="1"/>
  <c r="CU274" i="53"/>
  <c r="CD275" i="53"/>
  <c r="CH304" i="53" l="1"/>
  <c r="CG304" i="53" s="1"/>
  <c r="CI304" i="53" s="1"/>
  <c r="CP311" i="53"/>
  <c r="CO311" i="53" s="1"/>
  <c r="CQ311" i="53" s="1"/>
  <c r="CL308" i="53"/>
  <c r="CK308" i="53" s="1"/>
  <c r="CM308" i="53" s="1"/>
  <c r="CT275" i="53"/>
  <c r="CC275" i="53"/>
  <c r="CL309" i="53" l="1"/>
  <c r="CK309" i="53" s="1"/>
  <c r="CM309" i="53" s="1"/>
  <c r="CP312" i="53"/>
  <c r="CO312" i="53" s="1"/>
  <c r="CQ312" i="53" s="1"/>
  <c r="CS275" i="53"/>
  <c r="CE275" i="53"/>
  <c r="CH305" i="53"/>
  <c r="CG305" i="53" s="1"/>
  <c r="CI305" i="53" s="1"/>
  <c r="CH306" i="53" l="1"/>
  <c r="CG306" i="53" s="1"/>
  <c r="CI306" i="53" s="1"/>
  <c r="CL310" i="53"/>
  <c r="CK310" i="53" s="1"/>
  <c r="CM310" i="53" s="1"/>
  <c r="CP313" i="53"/>
  <c r="CO313" i="53" s="1"/>
  <c r="CQ313" i="53" s="1"/>
  <c r="CU275" i="53"/>
  <c r="CD276" i="53"/>
  <c r="CP314" i="53" l="1"/>
  <c r="CO314" i="53" s="1"/>
  <c r="CQ314" i="53" s="1"/>
  <c r="CT276" i="53"/>
  <c r="CC276" i="53"/>
  <c r="CL311" i="53"/>
  <c r="CK311" i="53" s="1"/>
  <c r="CM311" i="53" s="1"/>
  <c r="CH307" i="53"/>
  <c r="CG307" i="53" s="1"/>
  <c r="CI307" i="53" s="1"/>
  <c r="CL312" i="53" l="1"/>
  <c r="CK312" i="53" s="1"/>
  <c r="CM312" i="53" s="1"/>
  <c r="CP315" i="53"/>
  <c r="CO315" i="53" s="1"/>
  <c r="CQ315" i="53" s="1"/>
  <c r="CH308" i="53"/>
  <c r="CG308" i="53" s="1"/>
  <c r="CI308" i="53" s="1"/>
  <c r="CS276" i="53"/>
  <c r="CE276" i="53"/>
  <c r="CH309" i="53" l="1"/>
  <c r="CG309" i="53" s="1"/>
  <c r="CI309" i="53" s="1"/>
  <c r="CU276" i="53"/>
  <c r="CD277" i="53"/>
  <c r="CP316" i="53"/>
  <c r="CO316" i="53" s="1"/>
  <c r="CQ316" i="53" s="1"/>
  <c r="CL313" i="53"/>
  <c r="CK313" i="53" s="1"/>
  <c r="CM313" i="53" s="1"/>
  <c r="CL314" i="53" l="1"/>
  <c r="CK314" i="53" s="1"/>
  <c r="CM314" i="53" s="1"/>
  <c r="CP317" i="53"/>
  <c r="CO317" i="53" s="1"/>
  <c r="CQ317" i="53" s="1"/>
  <c r="CH310" i="53"/>
  <c r="CG310" i="53" s="1"/>
  <c r="CI310" i="53" s="1"/>
  <c r="CT277" i="53"/>
  <c r="CC277" i="53"/>
  <c r="CH311" i="53" l="1"/>
  <c r="CG311" i="53" s="1"/>
  <c r="CI311" i="53" s="1"/>
  <c r="CP318" i="53"/>
  <c r="CO318" i="53" s="1"/>
  <c r="CQ318" i="53" s="1"/>
  <c r="CS277" i="53"/>
  <c r="CE277" i="53"/>
  <c r="CL315" i="53"/>
  <c r="CK315" i="53" s="1"/>
  <c r="CM315" i="53" s="1"/>
  <c r="CL316" i="53" l="1"/>
  <c r="CK316" i="53" s="1"/>
  <c r="CM316" i="53" s="1"/>
  <c r="CH312" i="53"/>
  <c r="CG312" i="53" s="1"/>
  <c r="CI312" i="53" s="1"/>
  <c r="CP319" i="53"/>
  <c r="CO319" i="53" s="1"/>
  <c r="CQ319" i="53" s="1"/>
  <c r="CU277" i="53"/>
  <c r="CD278" i="53"/>
  <c r="CP320" i="53" l="1"/>
  <c r="CO320" i="53" s="1"/>
  <c r="CQ320" i="53" s="1"/>
  <c r="CT278" i="53"/>
  <c r="CC278" i="53"/>
  <c r="CH313" i="53"/>
  <c r="CG313" i="53" s="1"/>
  <c r="CI313" i="53" s="1"/>
  <c r="CL317" i="53"/>
  <c r="CK317" i="53" s="1"/>
  <c r="CM317" i="53" s="1"/>
  <c r="CL318" i="53" l="1"/>
  <c r="CK318" i="53" s="1"/>
  <c r="CM318" i="53" s="1"/>
  <c r="CH314" i="53"/>
  <c r="CG314" i="53" s="1"/>
  <c r="CI314" i="53" s="1"/>
  <c r="CS278" i="53"/>
  <c r="CE278" i="53"/>
  <c r="CP321" i="53"/>
  <c r="CO321" i="53" s="1"/>
  <c r="CQ321" i="53" s="1"/>
  <c r="CH315" i="53" l="1"/>
  <c r="CG315" i="53" s="1"/>
  <c r="CI315" i="53" s="1"/>
  <c r="CP322" i="53"/>
  <c r="CO322" i="53" s="1"/>
  <c r="CQ322" i="53" s="1"/>
  <c r="CL319" i="53"/>
  <c r="CK319" i="53" s="1"/>
  <c r="CM319" i="53" s="1"/>
  <c r="CU278" i="53"/>
  <c r="CD279" i="53"/>
  <c r="CL320" i="53" l="1"/>
  <c r="CK320" i="53" s="1"/>
  <c r="CM320" i="53" s="1"/>
  <c r="CH316" i="53"/>
  <c r="CG316" i="53" s="1"/>
  <c r="CI316" i="53" s="1"/>
  <c r="CP323" i="53"/>
  <c r="CO323" i="53" s="1"/>
  <c r="CQ323" i="53" s="1"/>
  <c r="CT279" i="53"/>
  <c r="CC279" i="53"/>
  <c r="CH317" i="53" l="1"/>
  <c r="CG317" i="53" s="1"/>
  <c r="CI317" i="53" s="1"/>
  <c r="CL321" i="53"/>
  <c r="CK321" i="53" s="1"/>
  <c r="CM321" i="53" s="1"/>
  <c r="CS279" i="53"/>
  <c r="CE279" i="53"/>
  <c r="CP324" i="53"/>
  <c r="CO324" i="53" s="1"/>
  <c r="CQ324" i="53" s="1"/>
  <c r="CL322" i="53" l="1"/>
  <c r="CK322" i="53" s="1"/>
  <c r="CM322" i="53" s="1"/>
  <c r="CP325" i="53"/>
  <c r="CO325" i="53" s="1"/>
  <c r="CQ325" i="53" s="1"/>
  <c r="CU279" i="53"/>
  <c r="CD280" i="53"/>
  <c r="CH318" i="53"/>
  <c r="CG318" i="53" s="1"/>
  <c r="CI318" i="53" s="1"/>
  <c r="CH319" i="53" l="1"/>
  <c r="CG319" i="53" s="1"/>
  <c r="CI319" i="53" s="1"/>
  <c r="CP326" i="53"/>
  <c r="CO326" i="53" s="1"/>
  <c r="CQ326" i="53" s="1"/>
  <c r="CT280" i="53"/>
  <c r="CC280" i="53"/>
  <c r="CL323" i="53"/>
  <c r="CK323" i="53" s="1"/>
  <c r="CM323" i="53" s="1"/>
  <c r="CH320" i="53" l="1"/>
  <c r="CG320" i="53" s="1"/>
  <c r="CI320" i="53" s="1"/>
  <c r="CL324" i="53"/>
  <c r="CK324" i="53" s="1"/>
  <c r="CM324" i="53" s="1"/>
  <c r="CP327" i="53"/>
  <c r="CO327" i="53" s="1"/>
  <c r="CQ327" i="53" s="1"/>
  <c r="CS280" i="53"/>
  <c r="CE280" i="53"/>
  <c r="CP328" i="53" l="1"/>
  <c r="CO328" i="53" s="1"/>
  <c r="CQ328" i="53" s="1"/>
  <c r="CH321" i="53"/>
  <c r="CG321" i="53" s="1"/>
  <c r="CI321" i="53" s="1"/>
  <c r="CL325" i="53"/>
  <c r="CK325" i="53" s="1"/>
  <c r="CM325" i="53" s="1"/>
  <c r="CU280" i="53"/>
  <c r="CD281" i="53"/>
  <c r="CH322" i="53" l="1"/>
  <c r="CG322" i="53" s="1"/>
  <c r="CI322" i="53" s="1"/>
  <c r="CL326" i="53"/>
  <c r="CK326" i="53" s="1"/>
  <c r="CM326" i="53" s="1"/>
  <c r="CP329" i="53"/>
  <c r="CO329" i="53" s="1"/>
  <c r="CQ329" i="53" s="1"/>
  <c r="CT281" i="53"/>
  <c r="CC281" i="53"/>
  <c r="CP330" i="53" l="1"/>
  <c r="CO330" i="53" s="1"/>
  <c r="CQ330" i="53" s="1"/>
  <c r="CL327" i="53"/>
  <c r="CK327" i="53" s="1"/>
  <c r="CM327" i="53" s="1"/>
  <c r="CH323" i="53"/>
  <c r="CG323" i="53" s="1"/>
  <c r="CI323" i="53" s="1"/>
  <c r="CS281" i="53"/>
  <c r="CE281" i="53"/>
  <c r="CH324" i="53" l="1"/>
  <c r="CG324" i="53" s="1"/>
  <c r="CI324" i="53" s="1"/>
  <c r="CP331" i="53"/>
  <c r="CO331" i="53" s="1"/>
  <c r="CQ331" i="53" s="1"/>
  <c r="CL328" i="53"/>
  <c r="CK328" i="53" s="1"/>
  <c r="CM328" i="53" s="1"/>
  <c r="CU281" i="53"/>
  <c r="CD282" i="53"/>
  <c r="CH325" i="53" l="1"/>
  <c r="CG325" i="53" s="1"/>
  <c r="CI325" i="53" s="1"/>
  <c r="CL329" i="53"/>
  <c r="CK329" i="53" s="1"/>
  <c r="CM329" i="53" s="1"/>
  <c r="CP332" i="53"/>
  <c r="CO332" i="53" s="1"/>
  <c r="CQ332" i="53" s="1"/>
  <c r="CT282" i="53"/>
  <c r="CC282" i="53"/>
  <c r="CP333" i="53" l="1"/>
  <c r="CO333" i="53" s="1"/>
  <c r="CQ333" i="53" s="1"/>
  <c r="CH326" i="53"/>
  <c r="CG326" i="53" s="1"/>
  <c r="CI326" i="53" s="1"/>
  <c r="CL330" i="53"/>
  <c r="CK330" i="53" s="1"/>
  <c r="CM330" i="53" s="1"/>
  <c r="CS282" i="53"/>
  <c r="CE282" i="53"/>
  <c r="CU282" i="53" l="1"/>
  <c r="CD283" i="53"/>
  <c r="CH327" i="53"/>
  <c r="CG327" i="53" s="1"/>
  <c r="CI327" i="53" s="1"/>
  <c r="CP334" i="53"/>
  <c r="CO334" i="53" s="1"/>
  <c r="CQ334" i="53" s="1"/>
  <c r="CL331" i="53"/>
  <c r="CK331" i="53" s="1"/>
  <c r="CM331" i="53" s="1"/>
  <c r="CL332" i="53" l="1"/>
  <c r="CK332" i="53" s="1"/>
  <c r="CM332" i="53" s="1"/>
  <c r="CH328" i="53"/>
  <c r="CG328" i="53" s="1"/>
  <c r="CI328" i="53" s="1"/>
  <c r="CP335" i="53"/>
  <c r="CO335" i="53" s="1"/>
  <c r="CQ335" i="53" s="1"/>
  <c r="CT283" i="53"/>
  <c r="CC283" i="53"/>
  <c r="CH329" i="53" l="1"/>
  <c r="CG329" i="53" s="1"/>
  <c r="CI329" i="53" s="1"/>
  <c r="CS283" i="53"/>
  <c r="CE283" i="53"/>
  <c r="CP336" i="53"/>
  <c r="CO336" i="53" s="1"/>
  <c r="CQ336" i="53" s="1"/>
  <c r="CL333" i="53"/>
  <c r="CK333" i="53" s="1"/>
  <c r="CM333" i="53" s="1"/>
  <c r="CP337" i="53" l="1"/>
  <c r="CO337" i="53" s="1"/>
  <c r="CQ337" i="53" s="1"/>
  <c r="CL334" i="53"/>
  <c r="CK334" i="53" s="1"/>
  <c r="CM334" i="53" s="1"/>
  <c r="CH330" i="53"/>
  <c r="CG330" i="53" s="1"/>
  <c r="CI330" i="53" s="1"/>
  <c r="CU283" i="53"/>
  <c r="CD284" i="53"/>
  <c r="CP338" i="53" l="1"/>
  <c r="CO338" i="53" s="1"/>
  <c r="CQ338" i="53" s="1"/>
  <c r="CH331" i="53"/>
  <c r="CG331" i="53" s="1"/>
  <c r="CI331" i="53" s="1"/>
  <c r="CL335" i="53"/>
  <c r="CK335" i="53" s="1"/>
  <c r="CM335" i="53" s="1"/>
  <c r="CT284" i="53"/>
  <c r="CC284" i="53"/>
  <c r="CL336" i="53" l="1"/>
  <c r="CK336" i="53" s="1"/>
  <c r="CM336" i="53" s="1"/>
  <c r="CH332" i="53"/>
  <c r="CG332" i="53" s="1"/>
  <c r="CI332" i="53" s="1"/>
  <c r="CP339" i="53"/>
  <c r="CO339" i="53" s="1"/>
  <c r="CQ339" i="53" s="1"/>
  <c r="CS284" i="53"/>
  <c r="CE284" i="53"/>
  <c r="CP340" i="53" l="1"/>
  <c r="CO340" i="53" s="1"/>
  <c r="CQ340" i="53" s="1"/>
  <c r="CL337" i="53"/>
  <c r="CK337" i="53" s="1"/>
  <c r="CM337" i="53" s="1"/>
  <c r="CH333" i="53"/>
  <c r="CG333" i="53" s="1"/>
  <c r="CI333" i="53" s="1"/>
  <c r="CU284" i="53"/>
  <c r="CD285" i="53"/>
  <c r="CH334" i="53" l="1"/>
  <c r="CG334" i="53" s="1"/>
  <c r="CI334" i="53" s="1"/>
  <c r="CL338" i="53"/>
  <c r="CK338" i="53" s="1"/>
  <c r="CM338" i="53" s="1"/>
  <c r="CP341" i="53"/>
  <c r="CO341" i="53" s="1"/>
  <c r="CQ341" i="53" s="1"/>
  <c r="CT285" i="53"/>
  <c r="V26" i="53" s="1"/>
  <c r="CC285" i="53"/>
  <c r="CP342" i="53" l="1"/>
  <c r="CO342" i="53" s="1"/>
  <c r="CQ342" i="53" s="1"/>
  <c r="CH335" i="53"/>
  <c r="CG335" i="53" s="1"/>
  <c r="CI335" i="53" s="1"/>
  <c r="CL339" i="53"/>
  <c r="CK339" i="53" s="1"/>
  <c r="CM339" i="53" s="1"/>
  <c r="T45" i="15"/>
  <c r="V74" i="32"/>
  <c r="CS285" i="53"/>
  <c r="V25" i="53" s="1"/>
  <c r="CE285" i="53"/>
  <c r="CL340" i="53" l="1"/>
  <c r="CK340" i="53" s="1"/>
  <c r="CM340" i="53" s="1"/>
  <c r="CH336" i="53"/>
  <c r="CG336" i="53" s="1"/>
  <c r="CI336" i="53" s="1"/>
  <c r="CP343" i="53"/>
  <c r="CO343" i="53" s="1"/>
  <c r="CQ343" i="53" s="1"/>
  <c r="CU285" i="53"/>
  <c r="CD286" i="53"/>
  <c r="T44" i="15"/>
  <c r="T43" i="15" s="1"/>
  <c r="V28" i="53"/>
  <c r="V95" i="32"/>
  <c r="V81" i="32"/>
  <c r="V85" i="32"/>
  <c r="V99" i="32"/>
  <c r="CH337" i="53" l="1"/>
  <c r="CG337" i="53" s="1"/>
  <c r="CI337" i="53" s="1"/>
  <c r="CL341" i="53"/>
  <c r="CK341" i="53" s="1"/>
  <c r="CM341" i="53" s="1"/>
  <c r="U7" i="55"/>
  <c r="CP344" i="53"/>
  <c r="CO344" i="53" s="1"/>
  <c r="CQ344" i="53" s="1"/>
  <c r="CT286" i="53"/>
  <c r="CC286" i="53"/>
  <c r="CH338" i="53" l="1"/>
  <c r="CG338" i="53" s="1"/>
  <c r="CI338" i="53" s="1"/>
  <c r="CS286" i="53"/>
  <c r="CE286" i="53"/>
  <c r="CL342" i="53"/>
  <c r="CK342" i="53" s="1"/>
  <c r="CM342" i="53" s="1"/>
  <c r="CP345" i="53"/>
  <c r="CO345" i="53" s="1"/>
  <c r="CQ345" i="53" s="1"/>
  <c r="CL343" i="53" l="1"/>
  <c r="CK343" i="53" s="1"/>
  <c r="CM343" i="53" s="1"/>
  <c r="CH339" i="53"/>
  <c r="CG339" i="53" s="1"/>
  <c r="CI339" i="53" s="1"/>
  <c r="CU286" i="53"/>
  <c r="CD287" i="53"/>
  <c r="CP346" i="53"/>
  <c r="CO346" i="53" s="1"/>
  <c r="CQ346" i="53" s="1"/>
  <c r="CP347" i="53" l="1"/>
  <c r="CO347" i="53" s="1"/>
  <c r="CQ347" i="53" s="1"/>
  <c r="CH340" i="53"/>
  <c r="CG340" i="53" s="1"/>
  <c r="CI340" i="53" s="1"/>
  <c r="CL344" i="53"/>
  <c r="CK344" i="53" s="1"/>
  <c r="CM344" i="53" s="1"/>
  <c r="CT287" i="53"/>
  <c r="CC287" i="53"/>
  <c r="CL345" i="53" l="1"/>
  <c r="CK345" i="53" s="1"/>
  <c r="CM345" i="53" s="1"/>
  <c r="CH341" i="53"/>
  <c r="CG341" i="53" s="1"/>
  <c r="CI341" i="53" s="1"/>
  <c r="CP348" i="53"/>
  <c r="CO348" i="53" s="1"/>
  <c r="CQ348" i="53" s="1"/>
  <c r="CS287" i="53"/>
  <c r="CE287" i="53"/>
  <c r="CP349" i="53" l="1"/>
  <c r="CO349" i="53" s="1"/>
  <c r="CQ349" i="53" s="1"/>
  <c r="CH342" i="53"/>
  <c r="CG342" i="53" s="1"/>
  <c r="CI342" i="53" s="1"/>
  <c r="CL346" i="53"/>
  <c r="CK346" i="53" s="1"/>
  <c r="CM346" i="53" s="1"/>
  <c r="CU287" i="53"/>
  <c r="CD288" i="53"/>
  <c r="CH343" i="53" l="1"/>
  <c r="CG343" i="53" s="1"/>
  <c r="CI343" i="53" s="1"/>
  <c r="CL347" i="53"/>
  <c r="CK347" i="53" s="1"/>
  <c r="CM347" i="53" s="1"/>
  <c r="CP350" i="53"/>
  <c r="CO350" i="53" s="1"/>
  <c r="CQ350" i="53" s="1"/>
  <c r="CT288" i="53"/>
  <c r="CC288" i="53"/>
  <c r="CP351" i="53" l="1"/>
  <c r="CO351" i="53" s="1"/>
  <c r="CQ351" i="53" s="1"/>
  <c r="CL348" i="53"/>
  <c r="CK348" i="53" s="1"/>
  <c r="CM348" i="53" s="1"/>
  <c r="CH344" i="53"/>
  <c r="CG344" i="53" s="1"/>
  <c r="CI344" i="53" s="1"/>
  <c r="CS288" i="53"/>
  <c r="CE288" i="53"/>
  <c r="CH345" i="53" l="1"/>
  <c r="CG345" i="53" s="1"/>
  <c r="CI345" i="53" s="1"/>
  <c r="CL349" i="53"/>
  <c r="CK349" i="53" s="1"/>
  <c r="CM349" i="53" s="1"/>
  <c r="CP352" i="53"/>
  <c r="CO352" i="53" s="1"/>
  <c r="CQ352" i="53" s="1"/>
  <c r="CU288" i="53"/>
  <c r="CD289" i="53"/>
  <c r="CP353" i="53" l="1"/>
  <c r="CO353" i="53" s="1"/>
  <c r="CQ353" i="53" s="1"/>
  <c r="CL350" i="53"/>
  <c r="CK350" i="53" s="1"/>
  <c r="CM350" i="53" s="1"/>
  <c r="CH346" i="53"/>
  <c r="CG346" i="53" s="1"/>
  <c r="CI346" i="53" s="1"/>
  <c r="CT289" i="53"/>
  <c r="CC289" i="53"/>
  <c r="CH347" i="53" l="1"/>
  <c r="CG347" i="53" s="1"/>
  <c r="CI347" i="53" s="1"/>
  <c r="CL351" i="53"/>
  <c r="CK351" i="53" s="1"/>
  <c r="CM351" i="53" s="1"/>
  <c r="CS289" i="53"/>
  <c r="CE289" i="53"/>
  <c r="CP354" i="53"/>
  <c r="CO354" i="53" s="1"/>
  <c r="CQ354" i="53" s="1"/>
  <c r="CH348" i="53" l="1"/>
  <c r="CG348" i="53" s="1"/>
  <c r="CI348" i="53" s="1"/>
  <c r="CP355" i="53"/>
  <c r="CO355" i="53" s="1"/>
  <c r="CQ355" i="53" s="1"/>
  <c r="CL352" i="53"/>
  <c r="CK352" i="53" s="1"/>
  <c r="CM352" i="53" s="1"/>
  <c r="CU289" i="53"/>
  <c r="CD290" i="53"/>
  <c r="CP356" i="53" l="1"/>
  <c r="CO356" i="53" s="1"/>
  <c r="CQ356" i="53" s="1"/>
  <c r="CL353" i="53"/>
  <c r="CK353" i="53" s="1"/>
  <c r="CM353" i="53" s="1"/>
  <c r="CH349" i="53"/>
  <c r="CG349" i="53" s="1"/>
  <c r="CI349" i="53" s="1"/>
  <c r="CT290" i="53"/>
  <c r="CC290" i="53"/>
  <c r="CH350" i="53" l="1"/>
  <c r="CG350" i="53" s="1"/>
  <c r="CI350" i="53" s="1"/>
  <c r="CL354" i="53"/>
  <c r="CK354" i="53" s="1"/>
  <c r="CM354" i="53" s="1"/>
  <c r="CP357" i="53"/>
  <c r="CO357" i="53" s="1"/>
  <c r="CQ357" i="53" s="1"/>
  <c r="CS290" i="53"/>
  <c r="CE290" i="53"/>
  <c r="CP358" i="53" l="1"/>
  <c r="CO358" i="53" s="1"/>
  <c r="CQ358" i="53" s="1"/>
  <c r="CL355" i="53"/>
  <c r="CK355" i="53" s="1"/>
  <c r="CM355" i="53" s="1"/>
  <c r="CH351" i="53"/>
  <c r="CG351" i="53" s="1"/>
  <c r="CI351" i="53" s="1"/>
  <c r="CU290" i="53"/>
  <c r="CD291" i="53"/>
  <c r="CH352" i="53" l="1"/>
  <c r="CG352" i="53" s="1"/>
  <c r="CI352" i="53" s="1"/>
  <c r="CL356" i="53"/>
  <c r="CK356" i="53" s="1"/>
  <c r="CM356" i="53" s="1"/>
  <c r="CP359" i="53"/>
  <c r="CO359" i="53" s="1"/>
  <c r="CQ359" i="53" s="1"/>
  <c r="CT291" i="53"/>
  <c r="CC291" i="53"/>
  <c r="CP360" i="53" l="1"/>
  <c r="CO360" i="53" s="1"/>
  <c r="CQ360" i="53" s="1"/>
  <c r="CH353" i="53"/>
  <c r="CG353" i="53" s="1"/>
  <c r="CI353" i="53" s="1"/>
  <c r="CS291" i="53"/>
  <c r="CE291" i="53"/>
  <c r="CL357" i="53"/>
  <c r="CK357" i="53" s="1"/>
  <c r="CM357" i="53" s="1"/>
  <c r="CH354" i="53" l="1"/>
  <c r="CG354" i="53" s="1"/>
  <c r="CI354" i="53" s="1"/>
  <c r="CL358" i="53"/>
  <c r="CK358" i="53" s="1"/>
  <c r="CM358" i="53" s="1"/>
  <c r="CP361" i="53"/>
  <c r="CO361" i="53" s="1"/>
  <c r="CQ361" i="53" s="1"/>
  <c r="CU291" i="53"/>
  <c r="CD292" i="53"/>
  <c r="CP362" i="53" l="1"/>
  <c r="CO362" i="53" s="1"/>
  <c r="CQ362" i="53" s="1"/>
  <c r="CL359" i="53"/>
  <c r="CK359" i="53" s="1"/>
  <c r="CM359" i="53" s="1"/>
  <c r="CH355" i="53"/>
  <c r="CG355" i="53" s="1"/>
  <c r="CI355" i="53" s="1"/>
  <c r="CT292" i="53"/>
  <c r="CC292" i="53"/>
  <c r="CL360" i="53" l="1"/>
  <c r="CK360" i="53" s="1"/>
  <c r="CM360" i="53" s="1"/>
  <c r="CS292" i="53"/>
  <c r="CE292" i="53"/>
  <c r="CH356" i="53"/>
  <c r="CG356" i="53" s="1"/>
  <c r="CI356" i="53" s="1"/>
  <c r="CP363" i="53"/>
  <c r="CO363" i="53" s="1"/>
  <c r="CQ363" i="53" s="1"/>
  <c r="CP364" i="53" l="1"/>
  <c r="CO364" i="53" s="1"/>
  <c r="CQ364" i="53" s="1"/>
  <c r="CL361" i="53"/>
  <c r="CK361" i="53" s="1"/>
  <c r="CM361" i="53" s="1"/>
  <c r="CH357" i="53"/>
  <c r="CG357" i="53" s="1"/>
  <c r="CI357" i="53" s="1"/>
  <c r="CU292" i="53"/>
  <c r="CD293" i="53"/>
  <c r="CH358" i="53" l="1"/>
  <c r="CG358" i="53" s="1"/>
  <c r="CI358" i="53" s="1"/>
  <c r="CL362" i="53"/>
  <c r="CK362" i="53" s="1"/>
  <c r="CM362" i="53" s="1"/>
  <c r="CP365" i="53"/>
  <c r="CO365" i="53" s="1"/>
  <c r="CQ365" i="53" s="1"/>
  <c r="CT293" i="53"/>
  <c r="CC293" i="53"/>
  <c r="CH359" i="53" l="1"/>
  <c r="CG359" i="53" s="1"/>
  <c r="CI359" i="53" s="1"/>
  <c r="CP366" i="53"/>
  <c r="CO366" i="53" s="1"/>
  <c r="CQ366" i="53" s="1"/>
  <c r="CL363" i="53"/>
  <c r="CK363" i="53" s="1"/>
  <c r="CM363" i="53" s="1"/>
  <c r="CS293" i="53"/>
  <c r="CE293" i="53"/>
  <c r="CL364" i="53" l="1"/>
  <c r="CK364" i="53" s="1"/>
  <c r="CM364" i="53" s="1"/>
  <c r="CH360" i="53"/>
  <c r="CG360" i="53" s="1"/>
  <c r="CI360" i="53" s="1"/>
  <c r="CP367" i="53"/>
  <c r="CO367" i="53" s="1"/>
  <c r="CQ367" i="53" s="1"/>
  <c r="CU293" i="53"/>
  <c r="CD294" i="53"/>
  <c r="CP368" i="53" l="1"/>
  <c r="CO368" i="53" s="1"/>
  <c r="CQ368" i="53" s="1"/>
  <c r="CH361" i="53"/>
  <c r="CG361" i="53" s="1"/>
  <c r="CI361" i="53" s="1"/>
  <c r="CL365" i="53"/>
  <c r="CK365" i="53" s="1"/>
  <c r="CM365" i="53" s="1"/>
  <c r="CT294" i="53"/>
  <c r="CC294" i="53"/>
  <c r="CH362" i="53" l="1"/>
  <c r="CG362" i="53" s="1"/>
  <c r="CI362" i="53" s="1"/>
  <c r="CL366" i="53"/>
  <c r="CK366" i="53" s="1"/>
  <c r="CM366" i="53" s="1"/>
  <c r="CS294" i="53"/>
  <c r="CE294" i="53"/>
  <c r="CP369" i="53"/>
  <c r="CO369" i="53" s="1"/>
  <c r="CQ369" i="53" s="1"/>
  <c r="CP370" i="53" l="1"/>
  <c r="CO370" i="53" s="1"/>
  <c r="CQ370" i="53" s="1"/>
  <c r="CU294" i="53"/>
  <c r="CD295" i="53"/>
  <c r="CL367" i="53"/>
  <c r="CK367" i="53" s="1"/>
  <c r="CM367" i="53" s="1"/>
  <c r="CH363" i="53"/>
  <c r="CG363" i="53" s="1"/>
  <c r="CI363" i="53" s="1"/>
  <c r="CL368" i="53" l="1"/>
  <c r="CK368" i="53" s="1"/>
  <c r="CM368" i="53" s="1"/>
  <c r="CH364" i="53"/>
  <c r="CG364" i="53" s="1"/>
  <c r="CI364" i="53" s="1"/>
  <c r="CP371" i="53"/>
  <c r="CO371" i="53" s="1"/>
  <c r="CQ371" i="53" s="1"/>
  <c r="CT295" i="53"/>
  <c r="CC295" i="53"/>
  <c r="CS295" i="53" l="1"/>
  <c r="CE295" i="53"/>
  <c r="CH365" i="53"/>
  <c r="CG365" i="53" s="1"/>
  <c r="CI365" i="53" s="1"/>
  <c r="CP372" i="53"/>
  <c r="CO372" i="53" s="1"/>
  <c r="CQ372" i="53" s="1"/>
  <c r="CL369" i="53"/>
  <c r="CK369" i="53" s="1"/>
  <c r="CM369" i="53" s="1"/>
  <c r="CL370" i="53" l="1"/>
  <c r="CK370" i="53" s="1"/>
  <c r="CM370" i="53" s="1"/>
  <c r="CP373" i="53"/>
  <c r="CO373" i="53" s="1"/>
  <c r="CQ373" i="53" s="1"/>
  <c r="CH366" i="53"/>
  <c r="CG366" i="53" s="1"/>
  <c r="CI366" i="53" s="1"/>
  <c r="CU295" i="53"/>
  <c r="CD296" i="53"/>
  <c r="CH367" i="53" l="1"/>
  <c r="CG367" i="53" s="1"/>
  <c r="CI367" i="53" s="1"/>
  <c r="CP374" i="53"/>
  <c r="CO374" i="53" s="1"/>
  <c r="CQ374" i="53" s="1"/>
  <c r="CL371" i="53"/>
  <c r="CK371" i="53" s="1"/>
  <c r="CM371" i="53" s="1"/>
  <c r="CT296" i="53"/>
  <c r="CC296" i="53"/>
  <c r="CP375" i="53" l="1"/>
  <c r="CO375" i="53" s="1"/>
  <c r="CQ375" i="53" s="1"/>
  <c r="CL372" i="53"/>
  <c r="CK372" i="53" s="1"/>
  <c r="CM372" i="53" s="1"/>
  <c r="CH368" i="53"/>
  <c r="CG368" i="53" s="1"/>
  <c r="CI368" i="53" s="1"/>
  <c r="CS296" i="53"/>
  <c r="CE296" i="53"/>
  <c r="CH369" i="53" l="1"/>
  <c r="CG369" i="53" s="1"/>
  <c r="CI369" i="53" s="1"/>
  <c r="CL373" i="53"/>
  <c r="CK373" i="53" s="1"/>
  <c r="CM373" i="53" s="1"/>
  <c r="CP376" i="53"/>
  <c r="CO376" i="53" s="1"/>
  <c r="CQ376" i="53" s="1"/>
  <c r="CU296" i="53"/>
  <c r="CD297" i="53"/>
  <c r="CL374" i="53" l="1"/>
  <c r="CK374" i="53" s="1"/>
  <c r="CM374" i="53" s="1"/>
  <c r="CP377" i="53"/>
  <c r="CO377" i="53" s="1"/>
  <c r="CQ377" i="53" s="1"/>
  <c r="CH370" i="53"/>
  <c r="CG370" i="53" s="1"/>
  <c r="CI370" i="53" s="1"/>
  <c r="CT297" i="53"/>
  <c r="W26" i="53" s="1"/>
  <c r="CC297" i="53"/>
  <c r="CP378" i="53" l="1"/>
  <c r="CO378" i="53" s="1"/>
  <c r="CQ378" i="53" s="1"/>
  <c r="CH371" i="53"/>
  <c r="CG371" i="53" s="1"/>
  <c r="CI371" i="53" s="1"/>
  <c r="U45" i="15"/>
  <c r="W74" i="32"/>
  <c r="CL375" i="53"/>
  <c r="CK375" i="53" s="1"/>
  <c r="CM375" i="53" s="1"/>
  <c r="CS297" i="53"/>
  <c r="W25" i="53" s="1"/>
  <c r="CE297" i="53"/>
  <c r="CH372" i="53" l="1"/>
  <c r="CG372" i="53" s="1"/>
  <c r="CI372" i="53" s="1"/>
  <c r="W95" i="32"/>
  <c r="W81" i="32"/>
  <c r="W99" i="32"/>
  <c r="W85" i="32"/>
  <c r="CL376" i="53"/>
  <c r="CK376" i="53" s="1"/>
  <c r="CM376" i="53" s="1"/>
  <c r="U44" i="15"/>
  <c r="U43" i="15" s="1"/>
  <c r="W28" i="53"/>
  <c r="CP379" i="53"/>
  <c r="CO379" i="53" s="1"/>
  <c r="CQ379" i="53" s="1"/>
  <c r="CU297" i="53"/>
  <c r="CD298" i="53"/>
  <c r="CL377" i="53" l="1"/>
  <c r="CK377" i="53" s="1"/>
  <c r="CM377" i="53" s="1"/>
  <c r="CP380" i="53"/>
  <c r="CO380" i="53" s="1"/>
  <c r="CQ380" i="53" s="1"/>
  <c r="CH373" i="53"/>
  <c r="CG373" i="53" s="1"/>
  <c r="CI373" i="53" s="1"/>
  <c r="CT298" i="53"/>
  <c r="CC298" i="53"/>
  <c r="V7" i="55"/>
  <c r="CH374" i="53" l="1"/>
  <c r="CG374" i="53" s="1"/>
  <c r="CI374" i="53" s="1"/>
  <c r="CP381" i="53"/>
  <c r="CO381" i="53" s="1"/>
  <c r="CQ381" i="53" s="1"/>
  <c r="CL378" i="53"/>
  <c r="CK378" i="53" s="1"/>
  <c r="CM378" i="53" s="1"/>
  <c r="CS298" i="53"/>
  <c r="CE298" i="53"/>
  <c r="CL379" i="53" l="1"/>
  <c r="CK379" i="53" s="1"/>
  <c r="CM379" i="53" s="1"/>
  <c r="CP382" i="53"/>
  <c r="CO382" i="53" s="1"/>
  <c r="CQ382" i="53" s="1"/>
  <c r="CH375" i="53"/>
  <c r="CG375" i="53" s="1"/>
  <c r="CI375" i="53" s="1"/>
  <c r="CU298" i="53"/>
  <c r="CD299" i="53"/>
  <c r="CH376" i="53" l="1"/>
  <c r="CG376" i="53" s="1"/>
  <c r="CI376" i="53" s="1"/>
  <c r="CP383" i="53"/>
  <c r="CO383" i="53" s="1"/>
  <c r="CQ383" i="53" s="1"/>
  <c r="CL380" i="53"/>
  <c r="CK380" i="53" s="1"/>
  <c r="CM380" i="53" s="1"/>
  <c r="CT299" i="53"/>
  <c r="CC299" i="53"/>
  <c r="CL381" i="53" l="1"/>
  <c r="CK381" i="53" s="1"/>
  <c r="CM381" i="53" s="1"/>
  <c r="CP384" i="53"/>
  <c r="CO384" i="53" s="1"/>
  <c r="CQ384" i="53" s="1"/>
  <c r="CS299" i="53"/>
  <c r="CE299" i="53"/>
  <c r="CH377" i="53"/>
  <c r="CG377" i="53" s="1"/>
  <c r="CI377" i="53" s="1"/>
  <c r="CP385" i="53" l="1"/>
  <c r="CO385" i="53" s="1"/>
  <c r="CQ385" i="53" s="1"/>
  <c r="CL382" i="53"/>
  <c r="CK382" i="53" s="1"/>
  <c r="CM382" i="53" s="1"/>
  <c r="CU299" i="53"/>
  <c r="CD300" i="53"/>
  <c r="CH378" i="53"/>
  <c r="CG378" i="53" s="1"/>
  <c r="CI378" i="53" s="1"/>
  <c r="CH379" i="53" l="1"/>
  <c r="CG379" i="53" s="1"/>
  <c r="CI379" i="53" s="1"/>
  <c r="CL383" i="53"/>
  <c r="CK383" i="53" s="1"/>
  <c r="CM383" i="53" s="1"/>
  <c r="CP386" i="53"/>
  <c r="CO386" i="53" s="1"/>
  <c r="CQ386" i="53" s="1"/>
  <c r="CT300" i="53"/>
  <c r="CC300" i="53"/>
  <c r="CL384" i="53" l="1"/>
  <c r="CK384" i="53" s="1"/>
  <c r="CM384" i="53" s="1"/>
  <c r="CH380" i="53"/>
  <c r="CG380" i="53" s="1"/>
  <c r="CI380" i="53" s="1"/>
  <c r="CS300" i="53"/>
  <c r="CE300" i="53"/>
  <c r="CP387" i="53"/>
  <c r="CO387" i="53" s="1"/>
  <c r="CQ387" i="53" s="1"/>
  <c r="CP388" i="53" l="1"/>
  <c r="CO388" i="53" s="1"/>
  <c r="CQ388" i="53" s="1"/>
  <c r="CH381" i="53"/>
  <c r="CG381" i="53" s="1"/>
  <c r="CI381" i="53" s="1"/>
  <c r="CU300" i="53"/>
  <c r="CD301" i="53"/>
  <c r="CL385" i="53"/>
  <c r="CK385" i="53" s="1"/>
  <c r="CM385" i="53" s="1"/>
  <c r="CL386" i="53" l="1"/>
  <c r="CK386" i="53" s="1"/>
  <c r="CM386" i="53" s="1"/>
  <c r="CH382" i="53"/>
  <c r="CG382" i="53" s="1"/>
  <c r="CI382" i="53" s="1"/>
  <c r="CP389" i="53"/>
  <c r="CO389" i="53" s="1"/>
  <c r="CQ389" i="53" s="1"/>
  <c r="CT301" i="53"/>
  <c r="CC301" i="53"/>
  <c r="CH383" i="53" l="1"/>
  <c r="CG383" i="53" s="1"/>
  <c r="CI383" i="53" s="1"/>
  <c r="CS301" i="53"/>
  <c r="CE301" i="53"/>
  <c r="CP390" i="53"/>
  <c r="CO390" i="53" s="1"/>
  <c r="CQ390" i="53" s="1"/>
  <c r="CL387" i="53"/>
  <c r="CK387" i="53" s="1"/>
  <c r="CM387" i="53" s="1"/>
  <c r="CL388" i="53" l="1"/>
  <c r="CK388" i="53" s="1"/>
  <c r="CM388" i="53" s="1"/>
  <c r="CH384" i="53"/>
  <c r="CG384" i="53" s="1"/>
  <c r="CI384" i="53" s="1"/>
  <c r="CP391" i="53"/>
  <c r="CO391" i="53" s="1"/>
  <c r="CQ391" i="53" s="1"/>
  <c r="CU301" i="53"/>
  <c r="CD302" i="53"/>
  <c r="CP392" i="53" l="1"/>
  <c r="CO392" i="53" s="1"/>
  <c r="CQ392" i="53" s="1"/>
  <c r="CT302" i="53"/>
  <c r="CC302" i="53"/>
  <c r="CH385" i="53"/>
  <c r="CG385" i="53" s="1"/>
  <c r="CI385" i="53" s="1"/>
  <c r="CL389" i="53"/>
  <c r="CK389" i="53" s="1"/>
  <c r="CM389" i="53" s="1"/>
  <c r="CL390" i="53" l="1"/>
  <c r="CK390" i="53" s="1"/>
  <c r="CM390" i="53" s="1"/>
  <c r="CH386" i="53"/>
  <c r="CG386" i="53" s="1"/>
  <c r="CI386" i="53" s="1"/>
  <c r="CP393" i="53"/>
  <c r="CO393" i="53" s="1"/>
  <c r="CQ393" i="53" s="1"/>
  <c r="CS302" i="53"/>
  <c r="CE302" i="53"/>
  <c r="CP394" i="53" l="1"/>
  <c r="CO394" i="53" s="1"/>
  <c r="CQ394" i="53" s="1"/>
  <c r="CH387" i="53"/>
  <c r="CG387" i="53" s="1"/>
  <c r="CI387" i="53" s="1"/>
  <c r="CU302" i="53"/>
  <c r="CD303" i="53"/>
  <c r="CL391" i="53"/>
  <c r="CK391" i="53" s="1"/>
  <c r="CM391" i="53" s="1"/>
  <c r="CH388" i="53" l="1"/>
  <c r="CG388" i="53" s="1"/>
  <c r="CI388" i="53" s="1"/>
  <c r="CP395" i="53"/>
  <c r="CO395" i="53" s="1"/>
  <c r="CQ395" i="53" s="1"/>
  <c r="CL392" i="53"/>
  <c r="CK392" i="53" s="1"/>
  <c r="CM392" i="53" s="1"/>
  <c r="CT303" i="53"/>
  <c r="CC303" i="53"/>
  <c r="CL393" i="53" l="1"/>
  <c r="CK393" i="53" s="1"/>
  <c r="CM393" i="53" s="1"/>
  <c r="CP396" i="53"/>
  <c r="CO396" i="53" s="1"/>
  <c r="CQ396" i="53" s="1"/>
  <c r="CS303" i="53"/>
  <c r="CE303" i="53"/>
  <c r="CH389" i="53"/>
  <c r="CG389" i="53" s="1"/>
  <c r="CI389" i="53" s="1"/>
  <c r="CH390" i="53" l="1"/>
  <c r="CG390" i="53" s="1"/>
  <c r="CI390" i="53" s="1"/>
  <c r="CP397" i="53"/>
  <c r="CO397" i="53" s="1"/>
  <c r="CQ397" i="53" s="1"/>
  <c r="CL394" i="53"/>
  <c r="CK394" i="53" s="1"/>
  <c r="CM394" i="53" s="1"/>
  <c r="CU303" i="53"/>
  <c r="CD304" i="53"/>
  <c r="CP398" i="53" l="1"/>
  <c r="CO398" i="53" s="1"/>
  <c r="CQ398" i="53" s="1"/>
  <c r="CH391" i="53"/>
  <c r="CG391" i="53" s="1"/>
  <c r="CI391" i="53" s="1"/>
  <c r="CL395" i="53"/>
  <c r="CK395" i="53" s="1"/>
  <c r="CM395" i="53" s="1"/>
  <c r="CT304" i="53"/>
  <c r="CC304" i="53"/>
  <c r="CL396" i="53" l="1"/>
  <c r="CK396" i="53" s="1"/>
  <c r="CM396" i="53" s="1"/>
  <c r="CH392" i="53"/>
  <c r="CG392" i="53" s="1"/>
  <c r="CI392" i="53" s="1"/>
  <c r="CS304" i="53"/>
  <c r="CE304" i="53"/>
  <c r="CP399" i="53"/>
  <c r="CO399" i="53" s="1"/>
  <c r="CQ399" i="53" s="1"/>
  <c r="CP400" i="53" l="1"/>
  <c r="CO400" i="53" s="1"/>
  <c r="CQ400" i="53" s="1"/>
  <c r="CH393" i="53"/>
  <c r="CG393" i="53" s="1"/>
  <c r="CI393" i="53" s="1"/>
  <c r="CL397" i="53"/>
  <c r="CK397" i="53" s="1"/>
  <c r="CM397" i="53" s="1"/>
  <c r="CU304" i="53"/>
  <c r="CD305" i="53"/>
  <c r="CL398" i="53" l="1"/>
  <c r="CK398" i="53" s="1"/>
  <c r="CM398" i="53" s="1"/>
  <c r="CH394" i="53"/>
  <c r="CG394" i="53" s="1"/>
  <c r="CI394" i="53" s="1"/>
  <c r="CP401" i="53"/>
  <c r="CO401" i="53" s="1"/>
  <c r="CQ401" i="53" s="1"/>
  <c r="CT305" i="53"/>
  <c r="CC305" i="53"/>
  <c r="CP402" i="53" l="1"/>
  <c r="CO402" i="53" s="1"/>
  <c r="CQ402" i="53" s="1"/>
  <c r="CH395" i="53"/>
  <c r="CG395" i="53" s="1"/>
  <c r="CI395" i="53" s="1"/>
  <c r="CS305" i="53"/>
  <c r="CE305" i="53"/>
  <c r="CL399" i="53"/>
  <c r="CK399" i="53" s="1"/>
  <c r="CM399" i="53" s="1"/>
  <c r="CH396" i="53" l="1"/>
  <c r="CG396" i="53" s="1"/>
  <c r="CI396" i="53" s="1"/>
  <c r="CL400" i="53"/>
  <c r="CK400" i="53" s="1"/>
  <c r="CM400" i="53" s="1"/>
  <c r="CP403" i="53"/>
  <c r="CO403" i="53" s="1"/>
  <c r="CQ403" i="53" s="1"/>
  <c r="CU305" i="53"/>
  <c r="CD306" i="53"/>
  <c r="CP404" i="53" l="1"/>
  <c r="CO404" i="53" s="1"/>
  <c r="CQ404" i="53" s="1"/>
  <c r="CL401" i="53"/>
  <c r="CK401" i="53" s="1"/>
  <c r="CM401" i="53" s="1"/>
  <c r="CT306" i="53"/>
  <c r="CC306" i="53"/>
  <c r="CH397" i="53"/>
  <c r="CG397" i="53" s="1"/>
  <c r="CI397" i="53" s="1"/>
  <c r="CH398" i="53" l="1"/>
  <c r="CG398" i="53" s="1"/>
  <c r="CI398" i="53" s="1"/>
  <c r="CL402" i="53"/>
  <c r="CK402" i="53" s="1"/>
  <c r="CM402" i="53" s="1"/>
  <c r="CP405" i="53"/>
  <c r="CO405" i="53" s="1"/>
  <c r="CQ405" i="53" s="1"/>
  <c r="CS306" i="53"/>
  <c r="CE306" i="53"/>
  <c r="CP406" i="53" l="1"/>
  <c r="CO406" i="53" s="1"/>
  <c r="CQ406" i="53" s="1"/>
  <c r="CL403" i="53"/>
  <c r="CK403" i="53" s="1"/>
  <c r="CM403" i="53" s="1"/>
  <c r="CH399" i="53"/>
  <c r="CG399" i="53" s="1"/>
  <c r="CI399" i="53" s="1"/>
  <c r="CU306" i="53"/>
  <c r="CD307" i="53"/>
  <c r="CH400" i="53" l="1"/>
  <c r="CG400" i="53" s="1"/>
  <c r="CI400" i="53" s="1"/>
  <c r="CL404" i="53"/>
  <c r="CK404" i="53" s="1"/>
  <c r="CM404" i="53" s="1"/>
  <c r="CP407" i="53"/>
  <c r="CO407" i="53" s="1"/>
  <c r="CQ407" i="53" s="1"/>
  <c r="CT307" i="53"/>
  <c r="CC307" i="53"/>
  <c r="CP408" i="53" l="1"/>
  <c r="CO408" i="53" s="1"/>
  <c r="CQ408" i="53" s="1"/>
  <c r="CL405" i="53"/>
  <c r="CK405" i="53" s="1"/>
  <c r="CM405" i="53" s="1"/>
  <c r="CS307" i="53"/>
  <c r="CE307" i="53"/>
  <c r="CH401" i="53"/>
  <c r="CG401" i="53" s="1"/>
  <c r="CI401" i="53" s="1"/>
  <c r="CH402" i="53" l="1"/>
  <c r="CG402" i="53" s="1"/>
  <c r="CI402" i="53" s="1"/>
  <c r="CL406" i="53"/>
  <c r="CK406" i="53" s="1"/>
  <c r="CM406" i="53" s="1"/>
  <c r="CU307" i="53"/>
  <c r="CD308" i="53"/>
  <c r="CP409" i="53"/>
  <c r="CO409" i="53" s="1"/>
  <c r="CQ409" i="53" s="1"/>
  <c r="CP410" i="53" l="1"/>
  <c r="CO410" i="53" s="1"/>
  <c r="CQ410" i="53" s="1"/>
  <c r="CL407" i="53"/>
  <c r="CK407" i="53" s="1"/>
  <c r="CM407" i="53" s="1"/>
  <c r="CH403" i="53"/>
  <c r="CG403" i="53" s="1"/>
  <c r="CI403" i="53" s="1"/>
  <c r="CT308" i="53"/>
  <c r="CC308" i="53"/>
  <c r="CL408" i="53" l="1"/>
  <c r="CK408" i="53" s="1"/>
  <c r="CM408" i="53" s="1"/>
  <c r="CH404" i="53"/>
  <c r="CG404" i="53" s="1"/>
  <c r="CI404" i="53" s="1"/>
  <c r="CP411" i="53"/>
  <c r="CO411" i="53" s="1"/>
  <c r="CQ411" i="53" s="1"/>
  <c r="CS308" i="53"/>
  <c r="CE308" i="53"/>
  <c r="CP412" i="53" l="1"/>
  <c r="CO412" i="53" s="1"/>
  <c r="CQ412" i="53" s="1"/>
  <c r="CU308" i="53"/>
  <c r="CD309" i="53"/>
  <c r="CH405" i="53"/>
  <c r="CG405" i="53" s="1"/>
  <c r="CI405" i="53" s="1"/>
  <c r="CL409" i="53"/>
  <c r="CK409" i="53" s="1"/>
  <c r="CM409" i="53" s="1"/>
  <c r="CH406" i="53" l="1"/>
  <c r="CG406" i="53" s="1"/>
  <c r="CI406" i="53" s="1"/>
  <c r="CT309" i="53"/>
  <c r="X26" i="53" s="1"/>
  <c r="CC309" i="53"/>
  <c r="CP413" i="53"/>
  <c r="CO413" i="53" s="1"/>
  <c r="CQ413" i="53" s="1"/>
  <c r="CL410" i="53"/>
  <c r="CK410" i="53" s="1"/>
  <c r="CM410" i="53" s="1"/>
  <c r="CL411" i="53" l="1"/>
  <c r="CK411" i="53" s="1"/>
  <c r="CM411" i="53" s="1"/>
  <c r="CP414" i="53"/>
  <c r="CO414" i="53" s="1"/>
  <c r="CQ414" i="53" s="1"/>
  <c r="CS309" i="53"/>
  <c r="X25" i="53" s="1"/>
  <c r="CE309" i="53"/>
  <c r="CH407" i="53"/>
  <c r="CG407" i="53" s="1"/>
  <c r="CI407" i="53" s="1"/>
  <c r="V45" i="15"/>
  <c r="X74" i="32"/>
  <c r="CH408" i="53" l="1"/>
  <c r="CG408" i="53" s="1"/>
  <c r="CI408" i="53" s="1"/>
  <c r="CP415" i="53"/>
  <c r="CO415" i="53" s="1"/>
  <c r="CQ415" i="53" s="1"/>
  <c r="CL412" i="53"/>
  <c r="CK412" i="53" s="1"/>
  <c r="CM412" i="53" s="1"/>
  <c r="V44" i="15"/>
  <c r="V43" i="15" s="1"/>
  <c r="X28" i="53"/>
  <c r="CU309" i="53"/>
  <c r="CD310" i="53"/>
  <c r="X95" i="32"/>
  <c r="X81" i="32"/>
  <c r="X99" i="32"/>
  <c r="X85" i="32"/>
  <c r="CH409" i="53" l="1"/>
  <c r="CG409" i="53" s="1"/>
  <c r="CI409" i="53" s="1"/>
  <c r="CL413" i="53"/>
  <c r="CK413" i="53" s="1"/>
  <c r="CM413" i="53" s="1"/>
  <c r="W7" i="55"/>
  <c r="CP416" i="53"/>
  <c r="CO416" i="53" s="1"/>
  <c r="CQ416" i="53" s="1"/>
  <c r="CT310" i="53"/>
  <c r="CC310" i="53"/>
  <c r="CH410" i="53" l="1"/>
  <c r="CG410" i="53" s="1"/>
  <c r="CI410" i="53" s="1"/>
  <c r="CL414" i="53"/>
  <c r="CK414" i="53" s="1"/>
  <c r="CM414" i="53" s="1"/>
  <c r="CS310" i="53"/>
  <c r="CE310" i="53"/>
  <c r="CP417" i="53"/>
  <c r="CO417" i="53" s="1"/>
  <c r="CQ417" i="53" s="1"/>
  <c r="CL415" i="53" l="1"/>
  <c r="CK415" i="53" s="1"/>
  <c r="CM415" i="53" s="1"/>
  <c r="CU310" i="53"/>
  <c r="CD311" i="53"/>
  <c r="CH411" i="53"/>
  <c r="CG411" i="53" s="1"/>
  <c r="CI411" i="53" s="1"/>
  <c r="CP418" i="53"/>
  <c r="CO418" i="53" s="1"/>
  <c r="CQ418" i="53" s="1"/>
  <c r="CP419" i="53" l="1"/>
  <c r="CO419" i="53" s="1"/>
  <c r="CQ419" i="53" s="1"/>
  <c r="CL416" i="53"/>
  <c r="CK416" i="53" s="1"/>
  <c r="CM416" i="53" s="1"/>
  <c r="CH412" i="53"/>
  <c r="CG412" i="53" s="1"/>
  <c r="CI412" i="53" s="1"/>
  <c r="CT311" i="53"/>
  <c r="CC311" i="53"/>
  <c r="CP420" i="53" l="1"/>
  <c r="CO420" i="53" s="1"/>
  <c r="CQ420" i="53" s="1"/>
  <c r="CH413" i="53"/>
  <c r="CG413" i="53" s="1"/>
  <c r="CI413" i="53" s="1"/>
  <c r="CL417" i="53"/>
  <c r="CK417" i="53" s="1"/>
  <c r="CM417" i="53" s="1"/>
  <c r="CS311" i="53"/>
  <c r="CE311" i="53"/>
  <c r="CL418" i="53" l="1"/>
  <c r="CK418" i="53" s="1"/>
  <c r="CM418" i="53" s="1"/>
  <c r="CH414" i="53"/>
  <c r="CG414" i="53" s="1"/>
  <c r="CI414" i="53" s="1"/>
  <c r="CU311" i="53"/>
  <c r="CD312" i="53"/>
  <c r="CP421" i="53"/>
  <c r="CO421" i="53" s="1"/>
  <c r="CQ421" i="53" s="1"/>
  <c r="CT312" i="53" l="1"/>
  <c r="CC312" i="53"/>
  <c r="CH415" i="53"/>
  <c r="CG415" i="53" s="1"/>
  <c r="CI415" i="53" s="1"/>
  <c r="CL419" i="53"/>
  <c r="CK419" i="53" s="1"/>
  <c r="CM419" i="53" s="1"/>
  <c r="CP422" i="53"/>
  <c r="CO422" i="53" s="1"/>
  <c r="CQ422" i="53" s="1"/>
  <c r="CP423" i="53" l="1"/>
  <c r="CO423" i="53" s="1"/>
  <c r="CQ423" i="53" s="1"/>
  <c r="CL420" i="53"/>
  <c r="CK420" i="53" s="1"/>
  <c r="CM420" i="53" s="1"/>
  <c r="CH416" i="53"/>
  <c r="CG416" i="53" s="1"/>
  <c r="CI416" i="53" s="1"/>
  <c r="CS312" i="53"/>
  <c r="CE312" i="53"/>
  <c r="CH417" i="53" l="1"/>
  <c r="CG417" i="53" s="1"/>
  <c r="CI417" i="53" s="1"/>
  <c r="CL421" i="53"/>
  <c r="CK421" i="53" s="1"/>
  <c r="CM421" i="53" s="1"/>
  <c r="CU312" i="53"/>
  <c r="CD313" i="53"/>
  <c r="CP424" i="53"/>
  <c r="CO424" i="53" s="1"/>
  <c r="CQ424" i="53" s="1"/>
  <c r="CL422" i="53" l="1"/>
  <c r="CK422" i="53" s="1"/>
  <c r="CM422" i="53" s="1"/>
  <c r="CH418" i="53"/>
  <c r="CG418" i="53" s="1"/>
  <c r="CI418" i="53" s="1"/>
  <c r="CT313" i="53"/>
  <c r="CC313" i="53"/>
  <c r="CP425" i="53"/>
  <c r="CO425" i="53" s="1"/>
  <c r="CQ425" i="53" s="1"/>
  <c r="CP426" i="53" l="1"/>
  <c r="CO426" i="53" s="1"/>
  <c r="CQ426" i="53" s="1"/>
  <c r="CH419" i="53"/>
  <c r="CG419" i="53" s="1"/>
  <c r="CI419" i="53" s="1"/>
  <c r="CL423" i="53"/>
  <c r="CK423" i="53" s="1"/>
  <c r="CM423" i="53" s="1"/>
  <c r="CS313" i="53"/>
  <c r="CE313" i="53"/>
  <c r="CP427" i="53" l="1"/>
  <c r="CO427" i="53" s="1"/>
  <c r="CQ427" i="53" s="1"/>
  <c r="CH420" i="53"/>
  <c r="CG420" i="53" s="1"/>
  <c r="CI420" i="53" s="1"/>
  <c r="CL424" i="53"/>
  <c r="CK424" i="53" s="1"/>
  <c r="CM424" i="53" s="1"/>
  <c r="CU313" i="53"/>
  <c r="CD314" i="53"/>
  <c r="CL425" i="53" l="1"/>
  <c r="CK425" i="53" s="1"/>
  <c r="CM425" i="53" s="1"/>
  <c r="CH421" i="53"/>
  <c r="CG421" i="53" s="1"/>
  <c r="CI421" i="53" s="1"/>
  <c r="CP428" i="53"/>
  <c r="CO428" i="53" s="1"/>
  <c r="CQ428" i="53" s="1"/>
  <c r="CT314" i="53"/>
  <c r="CC314" i="53"/>
  <c r="CP429" i="53" l="1"/>
  <c r="CO429" i="53" s="1"/>
  <c r="CQ429" i="53" s="1"/>
  <c r="CH422" i="53"/>
  <c r="CG422" i="53" s="1"/>
  <c r="CI422" i="53" s="1"/>
  <c r="CL426" i="53"/>
  <c r="CK426" i="53" s="1"/>
  <c r="CM426" i="53" s="1"/>
  <c r="CS314" i="53"/>
  <c r="CE314" i="53"/>
  <c r="CL427" i="53" l="1"/>
  <c r="CK427" i="53" s="1"/>
  <c r="CM427" i="53" s="1"/>
  <c r="CH423" i="53"/>
  <c r="CG423" i="53" s="1"/>
  <c r="CI423" i="53" s="1"/>
  <c r="CP430" i="53"/>
  <c r="CO430" i="53" s="1"/>
  <c r="CQ430" i="53" s="1"/>
  <c r="CU314" i="53"/>
  <c r="CD315" i="53"/>
  <c r="CP431" i="53" l="1"/>
  <c r="CO431" i="53" s="1"/>
  <c r="CQ431" i="53" s="1"/>
  <c r="CH424" i="53"/>
  <c r="CG424" i="53" s="1"/>
  <c r="CI424" i="53" s="1"/>
  <c r="CL428" i="53"/>
  <c r="CK428" i="53" s="1"/>
  <c r="CM428" i="53" s="1"/>
  <c r="CT315" i="53"/>
  <c r="CC315" i="53"/>
  <c r="CH425" i="53" l="1"/>
  <c r="CG425" i="53" s="1"/>
  <c r="CI425" i="53" s="1"/>
  <c r="CL429" i="53"/>
  <c r="CK429" i="53" s="1"/>
  <c r="CM429" i="53" s="1"/>
  <c r="CP432" i="53"/>
  <c r="CO432" i="53" s="1"/>
  <c r="CQ432" i="53" s="1"/>
  <c r="CS315" i="53"/>
  <c r="CE315" i="53"/>
  <c r="CL430" i="53" l="1"/>
  <c r="CK430" i="53" s="1"/>
  <c r="CM430" i="53" s="1"/>
  <c r="CH426" i="53"/>
  <c r="CG426" i="53" s="1"/>
  <c r="CI426" i="53" s="1"/>
  <c r="CP433" i="53"/>
  <c r="CO433" i="53" s="1"/>
  <c r="CQ433" i="53" s="1"/>
  <c r="CU315" i="53"/>
  <c r="CD316" i="53"/>
  <c r="CH427" i="53" l="1"/>
  <c r="CG427" i="53" s="1"/>
  <c r="CI427" i="53" s="1"/>
  <c r="CL431" i="53"/>
  <c r="CK431" i="53" s="1"/>
  <c r="CM431" i="53" s="1"/>
  <c r="CP434" i="53"/>
  <c r="CO434" i="53" s="1"/>
  <c r="CQ434" i="53" s="1"/>
  <c r="CT316" i="53"/>
  <c r="CC316" i="53"/>
  <c r="CL432" i="53" l="1"/>
  <c r="CK432" i="53" s="1"/>
  <c r="CM432" i="53" s="1"/>
  <c r="CH428" i="53"/>
  <c r="CG428" i="53" s="1"/>
  <c r="CI428" i="53" s="1"/>
  <c r="CP435" i="53"/>
  <c r="CO435" i="53" s="1"/>
  <c r="CQ435" i="53" s="1"/>
  <c r="CS316" i="53"/>
  <c r="CE316" i="53"/>
  <c r="CP436" i="53" l="1"/>
  <c r="CO436" i="53" s="1"/>
  <c r="CQ436" i="53" s="1"/>
  <c r="CH429" i="53"/>
  <c r="CG429" i="53" s="1"/>
  <c r="CI429" i="53" s="1"/>
  <c r="CL433" i="53"/>
  <c r="CK433" i="53" s="1"/>
  <c r="CM433" i="53" s="1"/>
  <c r="CU316" i="53"/>
  <c r="CD317" i="53"/>
  <c r="CL434" i="53" l="1"/>
  <c r="CK434" i="53" s="1"/>
  <c r="CM434" i="53" s="1"/>
  <c r="CH430" i="53"/>
  <c r="CG430" i="53" s="1"/>
  <c r="CI430" i="53" s="1"/>
  <c r="CP437" i="53"/>
  <c r="CO437" i="53" s="1"/>
  <c r="CQ437" i="53" s="1"/>
  <c r="CT317" i="53"/>
  <c r="CC317" i="53"/>
  <c r="CP438" i="53" l="1"/>
  <c r="CO438" i="53" s="1"/>
  <c r="CQ438" i="53" s="1"/>
  <c r="CH431" i="53"/>
  <c r="CG431" i="53" s="1"/>
  <c r="CI431" i="53" s="1"/>
  <c r="CL435" i="53"/>
  <c r="CK435" i="53" s="1"/>
  <c r="CM435" i="53" s="1"/>
  <c r="CS317" i="53"/>
  <c r="CE317" i="53"/>
  <c r="CH432" i="53" l="1"/>
  <c r="CG432" i="53" s="1"/>
  <c r="CI432" i="53" s="1"/>
  <c r="CL436" i="53"/>
  <c r="CK436" i="53" s="1"/>
  <c r="CM436" i="53" s="1"/>
  <c r="CP439" i="53"/>
  <c r="CO439" i="53" s="1"/>
  <c r="CQ439" i="53" s="1"/>
  <c r="CU317" i="53"/>
  <c r="CD318" i="53"/>
  <c r="CP440" i="53" l="1"/>
  <c r="CO440" i="53" s="1"/>
  <c r="CQ440" i="53" s="1"/>
  <c r="CL437" i="53"/>
  <c r="CK437" i="53" s="1"/>
  <c r="CM437" i="53" s="1"/>
  <c r="CH433" i="53"/>
  <c r="CG433" i="53" s="1"/>
  <c r="CI433" i="53" s="1"/>
  <c r="CT318" i="53"/>
  <c r="CC318" i="53"/>
  <c r="CH434" i="53" l="1"/>
  <c r="CG434" i="53" s="1"/>
  <c r="CI434" i="53" s="1"/>
  <c r="CL438" i="53"/>
  <c r="CK438" i="53" s="1"/>
  <c r="CM438" i="53" s="1"/>
  <c r="CS318" i="53"/>
  <c r="CE318" i="53"/>
  <c r="CP441" i="53"/>
  <c r="CO441" i="53" s="1"/>
  <c r="CQ441" i="53" s="1"/>
  <c r="CP442" i="53" l="1"/>
  <c r="CO442" i="53" s="1"/>
  <c r="CQ442" i="53" s="1"/>
  <c r="CL439" i="53"/>
  <c r="CK439" i="53" s="1"/>
  <c r="CM439" i="53" s="1"/>
  <c r="CU318" i="53"/>
  <c r="CD319" i="53"/>
  <c r="CH435" i="53"/>
  <c r="CG435" i="53" s="1"/>
  <c r="CI435" i="53" s="1"/>
  <c r="CL440" i="53" l="1"/>
  <c r="CK440" i="53" s="1"/>
  <c r="CM440" i="53" s="1"/>
  <c r="CP443" i="53"/>
  <c r="CO443" i="53" s="1"/>
  <c r="CQ443" i="53" s="1"/>
  <c r="CH436" i="53"/>
  <c r="CG436" i="53" s="1"/>
  <c r="CI436" i="53" s="1"/>
  <c r="CT319" i="53"/>
  <c r="CC319" i="53"/>
  <c r="CP444" i="53" l="1"/>
  <c r="CO444" i="53" s="1"/>
  <c r="CQ444" i="53" s="1"/>
  <c r="CL441" i="53"/>
  <c r="CK441" i="53" s="1"/>
  <c r="CM441" i="53" s="1"/>
  <c r="CH437" i="53"/>
  <c r="CG437" i="53" s="1"/>
  <c r="CI437" i="53" s="1"/>
  <c r="CS319" i="53"/>
  <c r="CE319" i="53"/>
  <c r="CH438" i="53" l="1"/>
  <c r="CG438" i="53" s="1"/>
  <c r="CI438" i="53" s="1"/>
  <c r="CL442" i="53"/>
  <c r="CK442" i="53" s="1"/>
  <c r="CM442" i="53" s="1"/>
  <c r="CP445" i="53"/>
  <c r="CO445" i="53" s="1"/>
  <c r="CQ445" i="53" s="1"/>
  <c r="CU319" i="53"/>
  <c r="CD320" i="53"/>
  <c r="CL443" i="53" l="1"/>
  <c r="CK443" i="53" s="1"/>
  <c r="CM443" i="53" s="1"/>
  <c r="CH439" i="53"/>
  <c r="CG439" i="53" s="1"/>
  <c r="CI439" i="53" s="1"/>
  <c r="CP446" i="53"/>
  <c r="CO446" i="53" s="1"/>
  <c r="CQ446" i="53" s="1"/>
  <c r="CT320" i="53"/>
  <c r="CC320" i="53"/>
  <c r="CL444" i="53" l="1"/>
  <c r="CK444" i="53" s="1"/>
  <c r="CM444" i="53" s="1"/>
  <c r="CP447" i="53"/>
  <c r="CO447" i="53" s="1"/>
  <c r="CQ447" i="53" s="1"/>
  <c r="CH440" i="53"/>
  <c r="CG440" i="53" s="1"/>
  <c r="CI440" i="53" s="1"/>
  <c r="CS320" i="53"/>
  <c r="CE320" i="53"/>
  <c r="CH441" i="53" l="1"/>
  <c r="CG441" i="53" s="1"/>
  <c r="CI441" i="53" s="1"/>
  <c r="CP448" i="53"/>
  <c r="CO448" i="53" s="1"/>
  <c r="CQ448" i="53" s="1"/>
  <c r="CL445" i="53"/>
  <c r="CK445" i="53" s="1"/>
  <c r="CM445" i="53" s="1"/>
  <c r="CU320" i="53"/>
  <c r="CD321" i="53"/>
  <c r="CL446" i="53" l="1"/>
  <c r="CK446" i="53" s="1"/>
  <c r="CM446" i="53" s="1"/>
  <c r="CH442" i="53"/>
  <c r="CG442" i="53" s="1"/>
  <c r="CI442" i="53" s="1"/>
  <c r="CP449" i="53"/>
  <c r="CO449" i="53" s="1"/>
  <c r="CQ449" i="53" s="1"/>
  <c r="CT321" i="53"/>
  <c r="Y26" i="53" s="1"/>
  <c r="CC321" i="53"/>
  <c r="CH443" i="53" l="1"/>
  <c r="CG443" i="53" s="1"/>
  <c r="CI443" i="53" s="1"/>
  <c r="CL447" i="53"/>
  <c r="CK447" i="53" s="1"/>
  <c r="CM447" i="53" s="1"/>
  <c r="W45" i="15"/>
  <c r="Y74" i="32"/>
  <c r="CP450" i="53"/>
  <c r="CO450" i="53" s="1"/>
  <c r="CQ450" i="53" s="1"/>
  <c r="CS321" i="53"/>
  <c r="Y25" i="53" s="1"/>
  <c r="CE321" i="53"/>
  <c r="CP451" i="53" l="1"/>
  <c r="CO451" i="53" s="1"/>
  <c r="CQ451" i="53" s="1"/>
  <c r="CH444" i="53"/>
  <c r="CG444" i="53" s="1"/>
  <c r="CI444" i="53" s="1"/>
  <c r="Y85" i="32"/>
  <c r="Y95" i="32"/>
  <c r="Y81" i="32"/>
  <c r="Y99" i="32"/>
  <c r="CL448" i="53"/>
  <c r="CK448" i="53" s="1"/>
  <c r="CM448" i="53" s="1"/>
  <c r="CD322" i="53"/>
  <c r="CU321" i="53"/>
  <c r="W44" i="15"/>
  <c r="W43" i="15" s="1"/>
  <c r="Y28" i="53"/>
  <c r="CP452" i="53" l="1"/>
  <c r="CO452" i="53" s="1"/>
  <c r="CQ452" i="53" s="1"/>
  <c r="X7" i="55"/>
  <c r="CH445" i="53"/>
  <c r="CG445" i="53" s="1"/>
  <c r="CI445" i="53" s="1"/>
  <c r="CT322" i="53"/>
  <c r="CC322" i="53"/>
  <c r="CL449" i="53"/>
  <c r="CK449" i="53" s="1"/>
  <c r="CM449" i="53" s="1"/>
  <c r="CH446" i="53" l="1"/>
  <c r="CG446" i="53" s="1"/>
  <c r="CI446" i="53" s="1"/>
  <c r="CL450" i="53"/>
  <c r="CK450" i="53" s="1"/>
  <c r="CM450" i="53" s="1"/>
  <c r="CS322" i="53"/>
  <c r="CE322" i="53"/>
  <c r="CP453" i="53"/>
  <c r="CO453" i="53" s="1"/>
  <c r="CQ453" i="53" s="1"/>
  <c r="CH447" i="53" l="1"/>
  <c r="CG447" i="53" s="1"/>
  <c r="CI447" i="53" s="1"/>
  <c r="CL451" i="53"/>
  <c r="CK451" i="53" s="1"/>
  <c r="CM451" i="53" s="1"/>
  <c r="CU322" i="53"/>
  <c r="CD323" i="53"/>
  <c r="CL452" i="53" l="1"/>
  <c r="CK452" i="53" s="1"/>
  <c r="CM452" i="53" s="1"/>
  <c r="CH448" i="53"/>
  <c r="CG448" i="53" s="1"/>
  <c r="CI448" i="53" s="1"/>
  <c r="CT323" i="53"/>
  <c r="CC323" i="53"/>
  <c r="CH449" i="53" l="1"/>
  <c r="CG449" i="53" s="1"/>
  <c r="CI449" i="53" s="1"/>
  <c r="CL453" i="53"/>
  <c r="CK453" i="53" s="1"/>
  <c r="CM453" i="53" s="1"/>
  <c r="CS323" i="53"/>
  <c r="CE323" i="53"/>
  <c r="CH450" i="53" l="1"/>
  <c r="CG450" i="53" s="1"/>
  <c r="CI450" i="53" s="1"/>
  <c r="CU323" i="53"/>
  <c r="CD324" i="53"/>
  <c r="CH451" i="53" l="1"/>
  <c r="CG451" i="53" s="1"/>
  <c r="CI451" i="53" s="1"/>
  <c r="CT324" i="53"/>
  <c r="CC324" i="53"/>
  <c r="CS324" i="53" l="1"/>
  <c r="CE324" i="53"/>
  <c r="CH452" i="53"/>
  <c r="CG452" i="53" s="1"/>
  <c r="CI452" i="53" s="1"/>
  <c r="CH453" i="53" l="1"/>
  <c r="CG453" i="53" s="1"/>
  <c r="CI453" i="53" s="1"/>
  <c r="CU324" i="53"/>
  <c r="CD325" i="53"/>
  <c r="CT325" i="53" l="1"/>
  <c r="CC325" i="53"/>
  <c r="CS325" i="53" l="1"/>
  <c r="CE325" i="53"/>
  <c r="CU325" i="53" l="1"/>
  <c r="CD326" i="53"/>
  <c r="CT326" i="53" l="1"/>
  <c r="CC326" i="53"/>
  <c r="CS326" i="53" l="1"/>
  <c r="CE326" i="53"/>
  <c r="CU326" i="53" l="1"/>
  <c r="CD327" i="53"/>
  <c r="CT327" i="53" l="1"/>
  <c r="CC327" i="53"/>
  <c r="CS327" i="53" l="1"/>
  <c r="CE327" i="53"/>
  <c r="CU327" i="53" l="1"/>
  <c r="CD328" i="53"/>
  <c r="CT328" i="53" l="1"/>
  <c r="CC328" i="53"/>
  <c r="CS328" i="53" l="1"/>
  <c r="CE328" i="53"/>
  <c r="CU328" i="53" l="1"/>
  <c r="CD329" i="53"/>
  <c r="CT329" i="53" l="1"/>
  <c r="CC329" i="53"/>
  <c r="CS329" i="53" l="1"/>
  <c r="CE329" i="53"/>
  <c r="CU329" i="53" l="1"/>
  <c r="CD330" i="53"/>
  <c r="CT330" i="53" l="1"/>
  <c r="CC330" i="53"/>
  <c r="CS330" i="53" l="1"/>
  <c r="CE330" i="53"/>
  <c r="CU330" i="53" l="1"/>
  <c r="CD331" i="53"/>
  <c r="CT331" i="53" l="1"/>
  <c r="CC331" i="53"/>
  <c r="CS331" i="53" l="1"/>
  <c r="CE331" i="53"/>
  <c r="CU331" i="53" l="1"/>
  <c r="CD332" i="53"/>
  <c r="CT332" i="53" l="1"/>
  <c r="CC332" i="53"/>
  <c r="CS332" i="53" l="1"/>
  <c r="CE332" i="53"/>
  <c r="CU332" i="53" l="1"/>
  <c r="CD333" i="53"/>
  <c r="CT333" i="53" l="1"/>
  <c r="Z26" i="53" s="1"/>
  <c r="CC333" i="53"/>
  <c r="CS333" i="53" l="1"/>
  <c r="Z25" i="53" s="1"/>
  <c r="CE333" i="53"/>
  <c r="X45" i="15"/>
  <c r="Z74" i="32"/>
  <c r="Z85" i="32" l="1"/>
  <c r="Z95" i="32"/>
  <c r="Z81" i="32"/>
  <c r="Z99" i="32"/>
  <c r="CD334" i="53"/>
  <c r="CU333" i="53"/>
  <c r="X44" i="15"/>
  <c r="X43" i="15" s="1"/>
  <c r="Z28" i="53"/>
  <c r="CT334" i="53" l="1"/>
  <c r="CC334" i="53"/>
  <c r="Y7" i="55"/>
  <c r="CS334" i="53" l="1"/>
  <c r="CE334" i="53"/>
  <c r="CU334" i="53" l="1"/>
  <c r="CD335" i="53"/>
  <c r="CT335" i="53" l="1"/>
  <c r="CC335" i="53"/>
  <c r="CS335" i="53" l="1"/>
  <c r="CE335" i="53"/>
  <c r="CU335" i="53" l="1"/>
  <c r="CD336" i="53"/>
  <c r="CT336" i="53" l="1"/>
  <c r="CC336" i="53"/>
  <c r="CS336" i="53" l="1"/>
  <c r="CE336" i="53"/>
  <c r="CU336" i="53" l="1"/>
  <c r="CD337" i="53"/>
  <c r="CT337" i="53" l="1"/>
  <c r="CC337" i="53"/>
  <c r="CS337" i="53" l="1"/>
  <c r="CE337" i="53"/>
  <c r="CU337" i="53" l="1"/>
  <c r="CD338" i="53"/>
  <c r="CT338" i="53" l="1"/>
  <c r="CC338" i="53"/>
  <c r="CS338" i="53" l="1"/>
  <c r="CE338" i="53"/>
  <c r="CU338" i="53" l="1"/>
  <c r="CD339" i="53"/>
  <c r="CT339" i="53" l="1"/>
  <c r="CC339" i="53"/>
  <c r="CS339" i="53" l="1"/>
  <c r="CE339" i="53"/>
  <c r="CU339" i="53" l="1"/>
  <c r="CD340" i="53"/>
  <c r="CT340" i="53" l="1"/>
  <c r="CC340" i="53"/>
  <c r="CS340" i="53" l="1"/>
  <c r="CE340" i="53"/>
  <c r="CU340" i="53" l="1"/>
  <c r="CD341" i="53"/>
  <c r="CT341" i="53" l="1"/>
  <c r="CC341" i="53"/>
  <c r="CS341" i="53" l="1"/>
  <c r="CE341" i="53"/>
  <c r="CU341" i="53" l="1"/>
  <c r="CD342" i="53"/>
  <c r="CT342" i="53" l="1"/>
  <c r="CC342" i="53"/>
  <c r="CS342" i="53" l="1"/>
  <c r="CE342" i="53"/>
  <c r="CU342" i="53" l="1"/>
  <c r="CD343" i="53"/>
  <c r="CT343" i="53" l="1"/>
  <c r="CC343" i="53"/>
  <c r="CS343" i="53" l="1"/>
  <c r="CE343" i="53"/>
  <c r="CU343" i="53" l="1"/>
  <c r="CD344" i="53"/>
  <c r="CT344" i="53" l="1"/>
  <c r="CC344" i="53"/>
  <c r="CS344" i="53" l="1"/>
  <c r="CE344" i="53"/>
  <c r="CU344" i="53" l="1"/>
  <c r="CD345" i="53"/>
  <c r="CT345" i="53" l="1"/>
  <c r="AA26" i="53" s="1"/>
  <c r="CC345" i="53"/>
  <c r="CS345" i="53" l="1"/>
  <c r="AA25" i="53" s="1"/>
  <c r="CE345" i="53"/>
  <c r="Y45" i="15"/>
  <c r="AA74" i="32"/>
  <c r="AA95" i="32" l="1"/>
  <c r="AA99" i="32"/>
  <c r="AA81" i="32"/>
  <c r="AA85" i="32"/>
  <c r="CU345" i="53"/>
  <c r="CD346" i="53"/>
  <c r="AA28" i="53"/>
  <c r="Y44" i="15"/>
  <c r="Y43" i="15" s="1"/>
  <c r="Z7" i="55" l="1"/>
  <c r="CT346" i="53"/>
  <c r="CC346" i="53"/>
  <c r="CS346" i="53" l="1"/>
  <c r="CE346" i="53"/>
  <c r="CU346" i="53" l="1"/>
  <c r="CD347" i="53"/>
  <c r="CT347" i="53" l="1"/>
  <c r="CC347" i="53"/>
  <c r="CS347" i="53" l="1"/>
  <c r="CE347" i="53"/>
  <c r="CU347" i="53" l="1"/>
  <c r="CD348" i="53"/>
  <c r="CT348" i="53" l="1"/>
  <c r="CC348" i="53"/>
  <c r="CS348" i="53" l="1"/>
  <c r="CE348" i="53"/>
  <c r="CU348" i="53" l="1"/>
  <c r="CD349" i="53"/>
  <c r="CT349" i="53" l="1"/>
  <c r="CC349" i="53"/>
  <c r="CS349" i="53" l="1"/>
  <c r="CE349" i="53"/>
  <c r="CU349" i="53" l="1"/>
  <c r="CD350" i="53"/>
  <c r="CT350" i="53" l="1"/>
  <c r="CC350" i="53"/>
  <c r="CS350" i="53" l="1"/>
  <c r="CE350" i="53"/>
  <c r="CU350" i="53" l="1"/>
  <c r="CD351" i="53"/>
  <c r="CT351" i="53" l="1"/>
  <c r="CC351" i="53"/>
  <c r="CS351" i="53" l="1"/>
  <c r="CE351" i="53"/>
  <c r="CU351" i="53" l="1"/>
  <c r="CD352" i="53"/>
  <c r="CT352" i="53" l="1"/>
  <c r="CC352" i="53"/>
  <c r="CS352" i="53" l="1"/>
  <c r="CE352" i="53"/>
  <c r="CU352" i="53" l="1"/>
  <c r="CD353" i="53"/>
  <c r="CT353" i="53" l="1"/>
  <c r="CC353" i="53"/>
  <c r="CS353" i="53" l="1"/>
  <c r="CE353" i="53"/>
  <c r="CU353" i="53" l="1"/>
  <c r="CD354" i="53"/>
  <c r="CT354" i="53" l="1"/>
  <c r="CC354" i="53"/>
  <c r="CS354" i="53" l="1"/>
  <c r="CE354" i="53"/>
  <c r="CU354" i="53" l="1"/>
  <c r="CD355" i="53"/>
  <c r="CT355" i="53" l="1"/>
  <c r="CC355" i="53"/>
  <c r="CS355" i="53" l="1"/>
  <c r="CE355" i="53"/>
  <c r="CU355" i="53" l="1"/>
  <c r="CD356" i="53"/>
  <c r="CT356" i="53" l="1"/>
  <c r="CC356" i="53"/>
  <c r="CS356" i="53" l="1"/>
  <c r="CE356" i="53"/>
  <c r="CU356" i="53" l="1"/>
  <c r="CD357" i="53"/>
  <c r="CT357" i="53" l="1"/>
  <c r="AB26" i="53" s="1"/>
  <c r="CC357" i="53"/>
  <c r="CS357" i="53" l="1"/>
  <c r="AB25" i="53" s="1"/>
  <c r="CE357" i="53"/>
  <c r="Z45" i="15"/>
  <c r="AB74" i="32"/>
  <c r="AB81" i="32" l="1"/>
  <c r="AB95" i="32"/>
  <c r="AB99" i="32"/>
  <c r="AB85" i="32"/>
  <c r="CU357" i="53"/>
  <c r="CD358" i="53"/>
  <c r="AB28" i="53"/>
  <c r="Z44" i="15"/>
  <c r="Z43" i="15" s="1"/>
  <c r="AA7" i="55" l="1"/>
  <c r="CT358" i="53"/>
  <c r="CC358" i="53"/>
  <c r="CS358" i="53" l="1"/>
  <c r="CE358" i="53"/>
  <c r="CU358" i="53" l="1"/>
  <c r="CD359" i="53"/>
  <c r="CT359" i="53" l="1"/>
  <c r="CC359" i="53"/>
  <c r="CS359" i="53" l="1"/>
  <c r="CE359" i="53"/>
  <c r="CU359" i="53" l="1"/>
  <c r="CD360" i="53"/>
  <c r="CT360" i="53" l="1"/>
  <c r="CC360" i="53"/>
  <c r="CS360" i="53" l="1"/>
  <c r="CE360" i="53"/>
  <c r="CU360" i="53" l="1"/>
  <c r="CD361" i="53"/>
  <c r="CT361" i="53" l="1"/>
  <c r="CC361" i="53"/>
  <c r="CS361" i="53" l="1"/>
  <c r="CE361" i="53"/>
  <c r="CU361" i="53" l="1"/>
  <c r="CD362" i="53"/>
  <c r="CT362" i="53" l="1"/>
  <c r="CC362" i="53"/>
  <c r="CS362" i="53" l="1"/>
  <c r="CE362" i="53"/>
  <c r="CU362" i="53" l="1"/>
  <c r="CD363" i="53"/>
  <c r="CT363" i="53" l="1"/>
  <c r="CC363" i="53"/>
  <c r="CS363" i="53" l="1"/>
  <c r="CE363" i="53"/>
  <c r="CU363" i="53" l="1"/>
  <c r="CD364" i="53"/>
  <c r="CT364" i="53" l="1"/>
  <c r="CC364" i="53"/>
  <c r="CS364" i="53" l="1"/>
  <c r="CE364" i="53"/>
  <c r="CU364" i="53" l="1"/>
  <c r="CD365" i="53"/>
  <c r="CT365" i="53" l="1"/>
  <c r="CC365" i="53"/>
  <c r="CS365" i="53" l="1"/>
  <c r="CE365" i="53"/>
  <c r="CU365" i="53" l="1"/>
  <c r="CD366" i="53"/>
  <c r="CT366" i="53" l="1"/>
  <c r="CC366" i="53"/>
  <c r="CS366" i="53" l="1"/>
  <c r="CE366" i="53"/>
  <c r="CU366" i="53" l="1"/>
  <c r="CD367" i="53"/>
  <c r="CT367" i="53" l="1"/>
  <c r="CC367" i="53"/>
  <c r="CS367" i="53" l="1"/>
  <c r="CE367" i="53"/>
  <c r="CU367" i="53" l="1"/>
  <c r="CD368" i="53"/>
  <c r="CT368" i="53" l="1"/>
  <c r="CC368" i="53"/>
  <c r="CS368" i="53" l="1"/>
  <c r="CE368" i="53"/>
  <c r="CU368" i="53" l="1"/>
  <c r="CD369" i="53"/>
  <c r="CT369" i="53" l="1"/>
  <c r="AC26" i="53" s="1"/>
  <c r="CC369" i="53"/>
  <c r="CS369" i="53" l="1"/>
  <c r="AC25" i="53" s="1"/>
  <c r="CE369" i="53"/>
  <c r="AA45" i="15"/>
  <c r="AC74" i="32"/>
  <c r="AC99" i="32" l="1"/>
  <c r="AC81" i="32"/>
  <c r="AC95" i="32"/>
  <c r="AC85" i="32"/>
  <c r="CD370" i="53"/>
  <c r="CU369" i="53"/>
  <c r="AC28" i="53"/>
  <c r="AA44" i="15"/>
  <c r="AA43" i="15" s="1"/>
  <c r="CT370" i="53" l="1"/>
  <c r="CC370" i="53"/>
  <c r="AB7" i="55"/>
  <c r="CS370" i="53" l="1"/>
  <c r="CE370" i="53"/>
  <c r="CU370" i="53" l="1"/>
  <c r="CD371" i="53"/>
  <c r="CT371" i="53" l="1"/>
  <c r="CC371" i="53"/>
  <c r="CS371" i="53" l="1"/>
  <c r="CE371" i="53"/>
  <c r="CU371" i="53" l="1"/>
  <c r="CD372" i="53"/>
  <c r="CT372" i="53" l="1"/>
  <c r="CC372" i="53"/>
  <c r="CS372" i="53" l="1"/>
  <c r="CE372" i="53"/>
  <c r="CU372" i="53" l="1"/>
  <c r="CD373" i="53"/>
  <c r="CT373" i="53" l="1"/>
  <c r="CC373" i="53"/>
  <c r="CS373" i="53" l="1"/>
  <c r="CE373" i="53"/>
  <c r="CU373" i="53" l="1"/>
  <c r="CD374" i="53"/>
  <c r="CT374" i="53" l="1"/>
  <c r="CC374" i="53"/>
  <c r="CS374" i="53" l="1"/>
  <c r="CE374" i="53"/>
  <c r="CU374" i="53" l="1"/>
  <c r="CD375" i="53"/>
  <c r="CT375" i="53" l="1"/>
  <c r="CC375" i="53"/>
  <c r="CS375" i="53" l="1"/>
  <c r="CE375" i="53"/>
  <c r="CU375" i="53" l="1"/>
  <c r="CD376" i="53"/>
  <c r="CT376" i="53" l="1"/>
  <c r="CC376" i="53"/>
  <c r="CS376" i="53" l="1"/>
  <c r="CE376" i="53"/>
  <c r="CU376" i="53" l="1"/>
  <c r="CD377" i="53"/>
  <c r="CT377" i="53" l="1"/>
  <c r="CC377" i="53"/>
  <c r="CS377" i="53" l="1"/>
  <c r="CE377" i="53"/>
  <c r="CU377" i="53" l="1"/>
  <c r="CD378" i="53"/>
  <c r="CT378" i="53" l="1"/>
  <c r="CC378" i="53"/>
  <c r="CS378" i="53" l="1"/>
  <c r="CE378" i="53"/>
  <c r="CU378" i="53" l="1"/>
  <c r="CD379" i="53"/>
  <c r="CT379" i="53" l="1"/>
  <c r="CC379" i="53"/>
  <c r="CS379" i="53" l="1"/>
  <c r="CE379" i="53"/>
  <c r="CU379" i="53" l="1"/>
  <c r="CD380" i="53"/>
  <c r="CT380" i="53" l="1"/>
  <c r="CC380" i="53"/>
  <c r="CS380" i="53" l="1"/>
  <c r="CE380" i="53"/>
  <c r="CU380" i="53" l="1"/>
  <c r="CD381" i="53"/>
  <c r="CT381" i="53" l="1"/>
  <c r="AD26" i="53" s="1"/>
  <c r="CC381" i="53"/>
  <c r="CS381" i="53" l="1"/>
  <c r="AD25" i="53" s="1"/>
  <c r="CE381" i="53"/>
  <c r="AB45" i="15"/>
  <c r="AD74" i="32"/>
  <c r="AD99" i="32" l="1"/>
  <c r="AD81" i="32"/>
  <c r="AD95" i="32"/>
  <c r="AD85" i="32"/>
  <c r="CD382" i="53"/>
  <c r="CU381" i="53"/>
  <c r="AD28" i="53"/>
  <c r="AB44" i="15"/>
  <c r="AB43" i="15" s="1"/>
  <c r="CT382" i="53" l="1"/>
  <c r="CC382" i="53"/>
  <c r="AC7" i="55"/>
  <c r="CS382" i="53" l="1"/>
  <c r="CE382" i="53"/>
  <c r="CU382" i="53" l="1"/>
  <c r="CD383" i="53"/>
  <c r="CT383" i="53" l="1"/>
  <c r="CC383" i="53"/>
  <c r="CS383" i="53" l="1"/>
  <c r="CE383" i="53"/>
  <c r="CU383" i="53" l="1"/>
  <c r="CD384" i="53"/>
  <c r="CT384" i="53" l="1"/>
  <c r="CC384" i="53"/>
  <c r="CS384" i="53" l="1"/>
  <c r="CE384" i="53"/>
  <c r="CU384" i="53" l="1"/>
  <c r="CD385" i="53"/>
  <c r="CT385" i="53" l="1"/>
  <c r="CC385" i="53"/>
  <c r="CS385" i="53" l="1"/>
  <c r="CE385" i="53"/>
  <c r="CU385" i="53" l="1"/>
  <c r="CD386" i="53"/>
  <c r="CT386" i="53" l="1"/>
  <c r="CC386" i="53"/>
  <c r="CS386" i="53" l="1"/>
  <c r="CE386" i="53"/>
  <c r="CU386" i="53" l="1"/>
  <c r="CD387" i="53"/>
  <c r="CT387" i="53" l="1"/>
  <c r="CC387" i="53"/>
  <c r="CS387" i="53" l="1"/>
  <c r="CE387" i="53"/>
  <c r="CU387" i="53" l="1"/>
  <c r="CD388" i="53"/>
  <c r="CT388" i="53" l="1"/>
  <c r="CC388" i="53"/>
  <c r="CS388" i="53" l="1"/>
  <c r="CE388" i="53"/>
  <c r="CU388" i="53" l="1"/>
  <c r="CD389" i="53"/>
  <c r="CT389" i="53" l="1"/>
  <c r="CC389" i="53"/>
  <c r="CS389" i="53" l="1"/>
  <c r="CE389" i="53"/>
  <c r="CU389" i="53" l="1"/>
  <c r="CD390" i="53"/>
  <c r="CT390" i="53" l="1"/>
  <c r="CC390" i="53"/>
  <c r="CS390" i="53" l="1"/>
  <c r="CE390" i="53"/>
  <c r="CU390" i="53" l="1"/>
  <c r="CD391" i="53"/>
  <c r="CT391" i="53" l="1"/>
  <c r="CC391" i="53"/>
  <c r="CS391" i="53" l="1"/>
  <c r="CE391" i="53"/>
  <c r="CU391" i="53" l="1"/>
  <c r="CD392" i="53"/>
  <c r="CT392" i="53" l="1"/>
  <c r="CC392" i="53"/>
  <c r="CS392" i="53" l="1"/>
  <c r="CE392" i="53"/>
  <c r="CU392" i="53" l="1"/>
  <c r="CD393" i="53"/>
  <c r="CT393" i="53" l="1"/>
  <c r="AE26" i="53" s="1"/>
  <c r="CC393" i="53"/>
  <c r="CS393" i="53" l="1"/>
  <c r="AE25" i="53" s="1"/>
  <c r="CE393" i="53"/>
  <c r="AC45" i="15"/>
  <c r="AE74" i="32"/>
  <c r="AE85" i="32" l="1"/>
  <c r="AE95" i="32"/>
  <c r="AE81" i="32"/>
  <c r="AE99" i="32"/>
  <c r="CD394" i="53"/>
  <c r="CU393" i="53"/>
  <c r="AC44" i="15"/>
  <c r="AC43" i="15" s="1"/>
  <c r="AE28" i="53"/>
  <c r="CT394" i="53" l="1"/>
  <c r="CC394" i="53"/>
  <c r="AD7" i="55"/>
  <c r="CS394" i="53" l="1"/>
  <c r="CE394" i="53"/>
  <c r="CU394" i="53" l="1"/>
  <c r="CD395" i="53"/>
  <c r="CT395" i="53" l="1"/>
  <c r="CC395" i="53"/>
  <c r="CS395" i="53" l="1"/>
  <c r="CE395" i="53"/>
  <c r="CU395" i="53" l="1"/>
  <c r="CD396" i="53"/>
  <c r="CT396" i="53" l="1"/>
  <c r="CC396" i="53"/>
  <c r="CS396" i="53" l="1"/>
  <c r="CE396" i="53"/>
  <c r="CU396" i="53" l="1"/>
  <c r="CD397" i="53"/>
  <c r="CT397" i="53" l="1"/>
  <c r="CC397" i="53"/>
  <c r="CS397" i="53" l="1"/>
  <c r="CE397" i="53"/>
  <c r="CU397" i="53" l="1"/>
  <c r="CD398" i="53"/>
  <c r="CT398" i="53" l="1"/>
  <c r="CC398" i="53"/>
  <c r="CS398" i="53" l="1"/>
  <c r="CE398" i="53"/>
  <c r="CU398" i="53" l="1"/>
  <c r="CD399" i="53"/>
  <c r="CT399" i="53" l="1"/>
  <c r="CC399" i="53"/>
  <c r="CS399" i="53" l="1"/>
  <c r="CE399" i="53"/>
  <c r="CU399" i="53" l="1"/>
  <c r="CD400" i="53"/>
  <c r="CT400" i="53" l="1"/>
  <c r="CC400" i="53"/>
  <c r="CS400" i="53" l="1"/>
  <c r="CE400" i="53"/>
  <c r="CU400" i="53" l="1"/>
  <c r="CD401" i="53"/>
  <c r="CT401" i="53" l="1"/>
  <c r="CC401" i="53"/>
  <c r="CS401" i="53" l="1"/>
  <c r="CE401" i="53"/>
  <c r="CU401" i="53" l="1"/>
  <c r="CD402" i="53"/>
  <c r="CT402" i="53" l="1"/>
  <c r="CC402" i="53"/>
  <c r="CS402" i="53" l="1"/>
  <c r="CE402" i="53"/>
  <c r="CU402" i="53" l="1"/>
  <c r="CD403" i="53"/>
  <c r="CT403" i="53" l="1"/>
  <c r="CC403" i="53"/>
  <c r="CS403" i="53" l="1"/>
  <c r="CE403" i="53"/>
  <c r="CU403" i="53" l="1"/>
  <c r="CD404" i="53"/>
  <c r="CT404" i="53" l="1"/>
  <c r="CC404" i="53"/>
  <c r="CS404" i="53" l="1"/>
  <c r="CE404" i="53"/>
  <c r="CU404" i="53" l="1"/>
  <c r="CD405" i="53"/>
  <c r="CT405" i="53" l="1"/>
  <c r="AF26" i="53" s="1"/>
  <c r="CC405" i="53"/>
  <c r="CS405" i="53" l="1"/>
  <c r="AF25" i="53" s="1"/>
  <c r="CE405" i="53"/>
  <c r="AD45" i="15"/>
  <c r="AF74" i="32"/>
  <c r="AF99" i="32" l="1"/>
  <c r="AF95" i="32"/>
  <c r="AF81" i="32"/>
  <c r="AF85" i="32"/>
  <c r="CU405" i="53"/>
  <c r="CD406" i="53"/>
  <c r="AD44" i="15"/>
  <c r="AD43" i="15" s="1"/>
  <c r="AF28" i="53"/>
  <c r="AE7" i="55" l="1"/>
  <c r="CT406" i="53"/>
  <c r="CC406" i="53"/>
  <c r="CS406" i="53" l="1"/>
  <c r="CE406" i="53"/>
  <c r="CU406" i="53" l="1"/>
  <c r="CD407" i="53"/>
  <c r="CT407" i="53" l="1"/>
  <c r="CC407" i="53"/>
  <c r="CS407" i="53" l="1"/>
  <c r="CE407" i="53"/>
  <c r="CU407" i="53" l="1"/>
  <c r="CD408" i="53"/>
  <c r="CT408" i="53" l="1"/>
  <c r="CC408" i="53"/>
  <c r="CS408" i="53" l="1"/>
  <c r="CE408" i="53"/>
  <c r="CU408" i="53" l="1"/>
  <c r="CD409" i="53"/>
  <c r="CT409" i="53" l="1"/>
  <c r="CC409" i="53"/>
  <c r="CS409" i="53" l="1"/>
  <c r="CE409" i="53"/>
  <c r="CU409" i="53" l="1"/>
  <c r="CD410" i="53"/>
  <c r="CT410" i="53" l="1"/>
  <c r="CC410" i="53"/>
  <c r="CS410" i="53" l="1"/>
  <c r="CE410" i="53"/>
  <c r="CU410" i="53" l="1"/>
  <c r="CD411" i="53"/>
  <c r="CT411" i="53" l="1"/>
  <c r="CC411" i="53"/>
  <c r="CS411" i="53" l="1"/>
  <c r="CE411" i="53"/>
  <c r="CU411" i="53" l="1"/>
  <c r="CD412" i="53"/>
  <c r="CT412" i="53" l="1"/>
  <c r="CC412" i="53"/>
  <c r="CS412" i="53" l="1"/>
  <c r="CE412" i="53"/>
  <c r="CU412" i="53" l="1"/>
  <c r="CD413" i="53"/>
  <c r="CT413" i="53" l="1"/>
  <c r="CC413" i="53"/>
  <c r="CS413" i="53" l="1"/>
  <c r="CE413" i="53"/>
  <c r="CU413" i="53" l="1"/>
  <c r="CD414" i="53"/>
  <c r="CT414" i="53" l="1"/>
  <c r="CC414" i="53"/>
  <c r="CS414" i="53" l="1"/>
  <c r="CE414" i="53"/>
  <c r="CU414" i="53" l="1"/>
  <c r="CD415" i="53"/>
  <c r="CT415" i="53" l="1"/>
  <c r="CC415" i="53"/>
  <c r="CS415" i="53" l="1"/>
  <c r="CE415" i="53"/>
  <c r="CU415" i="53" l="1"/>
  <c r="CD416" i="53"/>
  <c r="CT416" i="53" l="1"/>
  <c r="CC416" i="53"/>
  <c r="CS416" i="53" l="1"/>
  <c r="CE416" i="53"/>
  <c r="CU416" i="53" l="1"/>
  <c r="CD417" i="53"/>
  <c r="CT417" i="53" l="1"/>
  <c r="AG26" i="53" s="1"/>
  <c r="CC417" i="53"/>
  <c r="CS417" i="53" l="1"/>
  <c r="AG25" i="53" s="1"/>
  <c r="CE417" i="53"/>
  <c r="AE45" i="15"/>
  <c r="AG74" i="32"/>
  <c r="AG81" i="32" l="1"/>
  <c r="AG95" i="32"/>
  <c r="AG85" i="32"/>
  <c r="AG99" i="32"/>
  <c r="CU417" i="53"/>
  <c r="CD418" i="53"/>
  <c r="AG28" i="53"/>
  <c r="AE44" i="15"/>
  <c r="AE43" i="15" s="1"/>
  <c r="CT418" i="53" l="1"/>
  <c r="CC418" i="53"/>
  <c r="AF7" i="55"/>
  <c r="CS418" i="53" l="1"/>
  <c r="CE418" i="53"/>
  <c r="CD419" i="53" l="1"/>
  <c r="CU418" i="53"/>
  <c r="CT419" i="53" l="1"/>
  <c r="CC419" i="53"/>
  <c r="CS419" i="53" l="1"/>
  <c r="CE419" i="53"/>
  <c r="CU419" i="53" l="1"/>
  <c r="CD420" i="53"/>
  <c r="CT420" i="53" l="1"/>
  <c r="CC420" i="53"/>
  <c r="CS420" i="53" l="1"/>
  <c r="CE420" i="53"/>
  <c r="CU420" i="53" l="1"/>
  <c r="CD421" i="53"/>
  <c r="CT421" i="53" l="1"/>
  <c r="CC421" i="53"/>
  <c r="CS421" i="53" l="1"/>
  <c r="CE421" i="53"/>
  <c r="CU421" i="53" l="1"/>
  <c r="CD422" i="53"/>
  <c r="CT422" i="53" l="1"/>
  <c r="CC422" i="53"/>
  <c r="CS422" i="53" l="1"/>
  <c r="CE422" i="53"/>
  <c r="CD423" i="53" l="1"/>
  <c r="CU422" i="53"/>
  <c r="CT423" i="53" l="1"/>
  <c r="CC423" i="53"/>
  <c r="CS423" i="53" l="1"/>
  <c r="CE423" i="53"/>
  <c r="CU423" i="53" l="1"/>
  <c r="CD424" i="53"/>
  <c r="CT424" i="53" l="1"/>
  <c r="CC424" i="53"/>
  <c r="CS424" i="53" l="1"/>
  <c r="CE424" i="53"/>
  <c r="CU424" i="53" l="1"/>
  <c r="CD425" i="53"/>
  <c r="CT425" i="53" l="1"/>
  <c r="CC425" i="53"/>
  <c r="CS425" i="53" l="1"/>
  <c r="CE425" i="53"/>
  <c r="CU425" i="53" l="1"/>
  <c r="CD426" i="53"/>
  <c r="CT426" i="53" l="1"/>
  <c r="CC426" i="53"/>
  <c r="CS426" i="53" l="1"/>
  <c r="CE426" i="53"/>
  <c r="CD427" i="53" l="1"/>
  <c r="CU426" i="53"/>
  <c r="CT427" i="53" l="1"/>
  <c r="CC427" i="53"/>
  <c r="CS427" i="53" l="1"/>
  <c r="CE427" i="53"/>
  <c r="CU427" i="53" l="1"/>
  <c r="CD428" i="53"/>
  <c r="CT428" i="53" l="1"/>
  <c r="CC428" i="53"/>
  <c r="CS428" i="53" l="1"/>
  <c r="CE428" i="53"/>
  <c r="CU428" i="53" l="1"/>
  <c r="CD429" i="53"/>
  <c r="CT429" i="53" l="1"/>
  <c r="AH26" i="53" s="1"/>
  <c r="CC429" i="53"/>
  <c r="CS429" i="53" l="1"/>
  <c r="AH25" i="53" s="1"/>
  <c r="CE429" i="53"/>
  <c r="AF45" i="15"/>
  <c r="AH74" i="32"/>
  <c r="AH99" i="32" l="1"/>
  <c r="AH95" i="32"/>
  <c r="AH81" i="32"/>
  <c r="AH85" i="32"/>
  <c r="CD430" i="53"/>
  <c r="CU429" i="53"/>
  <c r="AH28" i="53"/>
  <c r="AF44" i="15"/>
  <c r="AF43" i="15" s="1"/>
  <c r="CT430" i="53" l="1"/>
  <c r="CC430" i="53"/>
  <c r="AG7" i="55"/>
  <c r="CS430" i="53" l="1"/>
  <c r="CE430" i="53"/>
  <c r="CD431" i="53" l="1"/>
  <c r="CU430" i="53"/>
  <c r="CT431" i="53" l="1"/>
  <c r="CC431" i="53"/>
  <c r="CS431" i="53" l="1"/>
  <c r="CE431" i="53"/>
  <c r="CU431" i="53" l="1"/>
  <c r="CD432" i="53"/>
  <c r="CT432" i="53" l="1"/>
  <c r="CC432" i="53"/>
  <c r="CS432" i="53" l="1"/>
  <c r="CE432" i="53"/>
  <c r="CU432" i="53" l="1"/>
  <c r="CD433" i="53"/>
  <c r="CT433" i="53" l="1"/>
  <c r="CC433" i="53"/>
  <c r="CS433" i="53" l="1"/>
  <c r="CE433" i="53"/>
  <c r="CU433" i="53" l="1"/>
  <c r="CD434" i="53"/>
  <c r="CT434" i="53" l="1"/>
  <c r="CC434" i="53"/>
  <c r="CS434" i="53" l="1"/>
  <c r="CE434" i="53"/>
  <c r="CD435" i="53" l="1"/>
  <c r="CU434" i="53"/>
  <c r="CT435" i="53" l="1"/>
  <c r="CC435" i="53"/>
  <c r="CS435" i="53" l="1"/>
  <c r="CE435" i="53"/>
  <c r="CU435" i="53" l="1"/>
  <c r="CD436" i="53"/>
  <c r="CT436" i="53" l="1"/>
  <c r="CC436" i="53"/>
  <c r="CS436" i="53" l="1"/>
  <c r="CE436" i="53"/>
  <c r="CU436" i="53" l="1"/>
  <c r="CD437" i="53"/>
  <c r="CT437" i="53" l="1"/>
  <c r="CC437" i="53"/>
  <c r="CS437" i="53" l="1"/>
  <c r="CE437" i="53"/>
  <c r="CU437" i="53" l="1"/>
  <c r="CD438" i="53"/>
  <c r="CT438" i="53" l="1"/>
  <c r="CC438" i="53"/>
  <c r="CS438" i="53" l="1"/>
  <c r="CE438" i="53"/>
  <c r="CD439" i="53" l="1"/>
  <c r="CU438" i="53"/>
  <c r="CT439" i="53" l="1"/>
  <c r="CC439" i="53"/>
  <c r="CS439" i="53" l="1"/>
  <c r="CE439" i="53"/>
  <c r="CU439" i="53" l="1"/>
  <c r="CD440" i="53"/>
  <c r="CT440" i="53" l="1"/>
  <c r="CC440" i="53"/>
  <c r="CS440" i="53" l="1"/>
  <c r="CE440" i="53"/>
  <c r="CU440" i="53" l="1"/>
  <c r="CD441" i="53"/>
  <c r="CT441" i="53" l="1"/>
  <c r="AI26" i="53" s="1"/>
  <c r="CC441" i="53"/>
  <c r="CS441" i="53" l="1"/>
  <c r="AI25" i="53" s="1"/>
  <c r="CE441" i="53"/>
  <c r="AG45" i="15"/>
  <c r="AI74" i="32"/>
  <c r="AI85" i="32" l="1"/>
  <c r="AI81" i="32"/>
  <c r="AI95" i="32"/>
  <c r="AI99" i="32"/>
  <c r="CD442" i="53"/>
  <c r="CU441" i="53"/>
  <c r="AI28" i="53"/>
  <c r="AG44" i="15"/>
  <c r="AG43" i="15" s="1"/>
  <c r="CC442" i="53" l="1"/>
  <c r="CT442" i="53"/>
  <c r="AH7" i="55"/>
  <c r="CS442" i="53" l="1"/>
  <c r="CE442" i="53"/>
  <c r="CD443" i="53" l="1"/>
  <c r="CU442" i="53"/>
  <c r="CT443" i="53" l="1"/>
  <c r="CC443" i="53"/>
  <c r="CS443" i="53" l="1"/>
  <c r="CE443" i="53"/>
  <c r="CU443" i="53" l="1"/>
  <c r="CD444" i="53"/>
  <c r="CT444" i="53" l="1"/>
  <c r="CC444" i="53"/>
  <c r="CS444" i="53" l="1"/>
  <c r="CE444" i="53"/>
  <c r="CU444" i="53" l="1"/>
  <c r="CD445" i="53"/>
  <c r="CT445" i="53" l="1"/>
  <c r="CC445" i="53"/>
  <c r="CS445" i="53" l="1"/>
  <c r="CE445" i="53"/>
  <c r="CD446" i="53" l="1"/>
  <c r="CU445" i="53"/>
  <c r="CT446" i="53" l="1"/>
  <c r="CC446" i="53"/>
  <c r="CS446" i="53" l="1"/>
  <c r="CE446" i="53"/>
  <c r="CD447" i="53" l="1"/>
  <c r="CU446" i="53"/>
  <c r="CC447" i="53" l="1"/>
  <c r="CT447" i="53"/>
  <c r="CS447" i="53" l="1"/>
  <c r="CE447" i="53"/>
  <c r="CU447" i="53" l="1"/>
  <c r="CD448" i="53"/>
  <c r="CT448" i="53" l="1"/>
  <c r="CC448" i="53"/>
  <c r="CS448" i="53" l="1"/>
  <c r="CE448" i="53"/>
  <c r="CU448" i="53" l="1"/>
  <c r="CD449" i="53"/>
  <c r="CC449" i="53" l="1"/>
  <c r="CT449" i="53"/>
  <c r="CS449" i="53" l="1"/>
  <c r="CE449" i="53"/>
  <c r="CU449" i="53" l="1"/>
  <c r="CD450" i="53"/>
  <c r="CC450" i="53" l="1"/>
  <c r="CT450" i="53"/>
  <c r="CS450" i="53" l="1"/>
  <c r="CE450" i="53"/>
  <c r="CU450" i="53" l="1"/>
  <c r="CD451" i="53"/>
  <c r="CT451" i="53" l="1"/>
  <c r="CC451" i="53"/>
  <c r="CS451" i="53" l="1"/>
  <c r="CE451" i="53"/>
  <c r="CU451" i="53" l="1"/>
  <c r="CD452" i="53"/>
  <c r="CT452" i="53" l="1"/>
  <c r="CC452" i="53"/>
  <c r="CS452" i="53" l="1"/>
  <c r="CE452" i="53"/>
  <c r="CU452" i="53" l="1"/>
  <c r="CD453" i="53"/>
  <c r="CT453" i="53" l="1"/>
  <c r="AJ26" i="53" s="1"/>
  <c r="CC453" i="53"/>
  <c r="CS453" i="53" l="1"/>
  <c r="AJ25" i="53" s="1"/>
  <c r="CE453" i="53"/>
  <c r="CU453" i="53" s="1"/>
  <c r="AH45" i="15"/>
  <c r="AJ74" i="32"/>
  <c r="F26" i="53"/>
  <c r="AJ95" i="32" l="1"/>
  <c r="AJ81" i="32"/>
  <c r="AJ85" i="32"/>
  <c r="AJ99" i="32"/>
  <c r="AH44" i="15"/>
  <c r="AH43" i="15" s="1"/>
  <c r="AJ28" i="53"/>
  <c r="F25" i="53"/>
  <c r="AI7" i="55" l="1"/>
  <c r="F231" i="13" l="1"/>
  <c r="E231" i="13" s="1"/>
  <c r="F232" i="13"/>
  <c r="E232" i="13" s="1"/>
  <c r="F229" i="13"/>
  <c r="E229" i="13" s="1"/>
  <c r="F230" i="13"/>
  <c r="E230" i="13" s="1"/>
  <c r="F227" i="13"/>
  <c r="E227" i="13" s="1"/>
  <c r="F228" i="13"/>
  <c r="E228" i="13" s="1"/>
  <c r="F234" i="13"/>
  <c r="E234" i="13" s="1"/>
  <c r="F233" i="13"/>
  <c r="E233" i="13" s="1"/>
  <c r="E225" i="13"/>
  <c r="D37" i="4" s="1"/>
  <c r="D50" i="4" s="1"/>
  <c r="E226" i="13"/>
  <c r="F144" i="13"/>
  <c r="F256" i="13" s="1"/>
  <c r="G38" i="32" s="1"/>
  <c r="G47" i="32" l="1"/>
  <c r="G49" i="32"/>
  <c r="G45" i="32"/>
  <c r="G46" i="32"/>
  <c r="G41" i="32" s="1"/>
  <c r="G60" i="32"/>
  <c r="D41" i="4"/>
  <c r="D54" i="4"/>
  <c r="E144" i="13"/>
  <c r="E290" i="13" s="1"/>
  <c r="E291" i="13" s="1"/>
  <c r="D73" i="4"/>
  <c r="D77" i="4" s="1"/>
  <c r="E256" i="13" l="1"/>
  <c r="H257" i="13" s="1"/>
  <c r="H44" i="32"/>
  <c r="H46" i="32" s="1"/>
  <c r="H41" i="32" s="1"/>
  <c r="G74" i="32"/>
  <c r="G99" i="32" s="1"/>
  <c r="E19" i="41"/>
  <c r="E23" i="15"/>
  <c r="E22" i="15" s="1"/>
  <c r="E70" i="48"/>
  <c r="E71" i="48" s="1"/>
  <c r="D71" i="48" s="1"/>
  <c r="G63" i="32"/>
  <c r="G59" i="32"/>
  <c r="AB257" i="13"/>
  <c r="G19" i="19"/>
  <c r="G18" i="19" s="1"/>
  <c r="F257" i="13"/>
  <c r="AE257" i="13" l="1"/>
  <c r="AG257" i="13"/>
  <c r="AF257" i="13"/>
  <c r="O257" i="13"/>
  <c r="D37" i="21"/>
  <c r="U257" i="13"/>
  <c r="Y257" i="13"/>
  <c r="N257" i="13"/>
  <c r="Z257" i="13"/>
  <c r="T257" i="13"/>
  <c r="I257" i="13"/>
  <c r="G257" i="13"/>
  <c r="M257" i="13"/>
  <c r="J257" i="13"/>
  <c r="S257" i="13"/>
  <c r="X257" i="13"/>
  <c r="AH257" i="13"/>
  <c r="AC257" i="13"/>
  <c r="AI257" i="13"/>
  <c r="V257" i="13"/>
  <c r="P257" i="13"/>
  <c r="K257" i="13"/>
  <c r="L257" i="13"/>
  <c r="Q257" i="13"/>
  <c r="AA257" i="13"/>
  <c r="AD257" i="13"/>
  <c r="R257" i="13"/>
  <c r="W257" i="13"/>
  <c r="G55" i="32"/>
  <c r="G56" i="32" s="1"/>
  <c r="G64" i="32" s="1"/>
  <c r="G81" i="32"/>
  <c r="G85" i="32"/>
  <c r="G95" i="32"/>
  <c r="G96" i="32" s="1"/>
  <c r="G91" i="32" s="1"/>
  <c r="G92" i="32" s="1"/>
  <c r="G100" i="32" s="1"/>
  <c r="D70" i="48"/>
  <c r="D67" i="48" s="1"/>
  <c r="D77" i="48" s="1"/>
  <c r="G42" i="32"/>
  <c r="G50" i="32" s="1"/>
  <c r="E67" i="48"/>
  <c r="E77" i="48" s="1"/>
  <c r="Z11" i="19"/>
  <c r="X11" i="19"/>
  <c r="AB11" i="19"/>
  <c r="J11" i="19"/>
  <c r="K10" i="19"/>
  <c r="V11" i="19"/>
  <c r="R11" i="19"/>
  <c r="T11" i="19"/>
  <c r="AI11" i="19"/>
  <c r="M11" i="19"/>
  <c r="I11" i="19"/>
  <c r="P11" i="19"/>
  <c r="J10" i="19"/>
  <c r="AC11" i="19"/>
  <c r="AE11" i="19"/>
  <c r="N11" i="19"/>
  <c r="AF11" i="19"/>
  <c r="K11" i="19"/>
  <c r="Q11" i="19"/>
  <c r="I10" i="19"/>
  <c r="H11" i="19"/>
  <c r="AA11" i="19"/>
  <c r="AG11" i="19"/>
  <c r="L11" i="19"/>
  <c r="S11" i="19"/>
  <c r="AH11" i="19"/>
  <c r="Y11" i="19"/>
  <c r="AJ11" i="19"/>
  <c r="H10" i="19"/>
  <c r="L10" i="19"/>
  <c r="N10" i="19"/>
  <c r="O10" i="19"/>
  <c r="O11" i="19"/>
  <c r="AD11" i="19"/>
  <c r="U11" i="19"/>
  <c r="W11" i="19"/>
  <c r="P10" i="19"/>
  <c r="M10" i="19"/>
  <c r="U10" i="19"/>
  <c r="Q10" i="19"/>
  <c r="AA10" i="19"/>
  <c r="R10" i="19"/>
  <c r="T10" i="19"/>
  <c r="V10" i="19"/>
  <c r="AC10" i="19"/>
  <c r="AG10" i="19"/>
  <c r="AJ10" i="19"/>
  <c r="AB10" i="19"/>
  <c r="AI10" i="19"/>
  <c r="X10" i="19"/>
  <c r="G26" i="37"/>
  <c r="S10" i="19"/>
  <c r="Y10" i="19"/>
  <c r="Z10" i="19"/>
  <c r="AD10" i="19"/>
  <c r="W10" i="19"/>
  <c r="AE10" i="19"/>
  <c r="AH10" i="19"/>
  <c r="AF10" i="19"/>
  <c r="G11" i="19"/>
  <c r="G10" i="19"/>
  <c r="E257" i="13" l="1"/>
  <c r="F290" i="13"/>
  <c r="F289" i="13"/>
  <c r="F288" i="13"/>
  <c r="F285" i="13"/>
  <c r="F286" i="13"/>
  <c r="F287" i="13"/>
  <c r="F283" i="13"/>
  <c r="F284" i="13"/>
  <c r="H58" i="32"/>
  <c r="H60" i="32" s="1"/>
  <c r="G65" i="32"/>
  <c r="G68" i="32"/>
  <c r="G39" i="33" s="1"/>
  <c r="E29" i="41" s="1"/>
  <c r="G82" i="32"/>
  <c r="G77" i="32" s="1"/>
  <c r="G78" i="32" s="1"/>
  <c r="G86" i="32" s="1"/>
  <c r="G104" i="32" s="1"/>
  <c r="G51" i="32"/>
  <c r="I44" i="32"/>
  <c r="H94" i="32"/>
  <c r="H96" i="32" s="1"/>
  <c r="G101" i="32"/>
  <c r="D97" i="48"/>
  <c r="K11" i="37"/>
  <c r="G11" i="37"/>
  <c r="AB11" i="37"/>
  <c r="AE11" i="37"/>
  <c r="M10" i="37"/>
  <c r="AD11" i="37"/>
  <c r="P11" i="37"/>
  <c r="V11" i="37"/>
  <c r="AJ11" i="37"/>
  <c r="T11" i="37"/>
  <c r="O11" i="37"/>
  <c r="Z11" i="37"/>
  <c r="L11" i="37"/>
  <c r="N10" i="37"/>
  <c r="X11" i="37"/>
  <c r="N11" i="37"/>
  <c r="Y11" i="37"/>
  <c r="I11" i="37"/>
  <c r="I10" i="37"/>
  <c r="AI11" i="37"/>
  <c r="S11" i="37"/>
  <c r="M11" i="37"/>
  <c r="S10" i="37"/>
  <c r="AC11" i="37"/>
  <c r="R11" i="37"/>
  <c r="AA11" i="37"/>
  <c r="G10" i="37"/>
  <c r="K10" i="37"/>
  <c r="AG11" i="37"/>
  <c r="J11" i="37"/>
  <c r="AF11" i="37"/>
  <c r="W11" i="37"/>
  <c r="H10" i="37"/>
  <c r="J10" i="37"/>
  <c r="P10" i="37"/>
  <c r="U10" i="37"/>
  <c r="AH11" i="37"/>
  <c r="Q11" i="37"/>
  <c r="H11" i="37"/>
  <c r="U11" i="37"/>
  <c r="R10" i="37"/>
  <c r="T10" i="37"/>
  <c r="W10" i="37"/>
  <c r="Y10" i="37"/>
  <c r="L10" i="37"/>
  <c r="Z10" i="37"/>
  <c r="AB10" i="37"/>
  <c r="AC10" i="37"/>
  <c r="O10" i="37"/>
  <c r="Q10" i="37"/>
  <c r="V10" i="37"/>
  <c r="AG10" i="37"/>
  <c r="AI10" i="37"/>
  <c r="AD10" i="37"/>
  <c r="AE10" i="37"/>
  <c r="AH10" i="37"/>
  <c r="AA10" i="37"/>
  <c r="AF10" i="37"/>
  <c r="AJ10" i="37"/>
  <c r="X10" i="37"/>
  <c r="F291" i="13" l="1"/>
  <c r="I58" i="32"/>
  <c r="E17" i="15"/>
  <c r="E14" i="41"/>
  <c r="E27" i="15"/>
  <c r="E28" i="41"/>
  <c r="G12" i="19"/>
  <c r="G9" i="19" s="1"/>
  <c r="G14" i="19" s="1"/>
  <c r="G16" i="19" s="1"/>
  <c r="E30" i="15" s="1"/>
  <c r="E15" i="15"/>
  <c r="E26" i="15"/>
  <c r="E16" i="15"/>
  <c r="E86" i="48" s="1"/>
  <c r="E14" i="15"/>
  <c r="E15" i="41"/>
  <c r="E47" i="15"/>
  <c r="H80" i="32"/>
  <c r="H82" i="32" s="1"/>
  <c r="I80" i="32" s="1"/>
  <c r="G87" i="32"/>
  <c r="AD9" i="37"/>
  <c r="AD14" i="37" s="1"/>
  <c r="L9" i="37"/>
  <c r="L14" i="37" s="1"/>
  <c r="H91" i="32"/>
  <c r="H92" i="32" s="1"/>
  <c r="H100" i="32" s="1"/>
  <c r="H101" i="32"/>
  <c r="I94" i="32"/>
  <c r="AB9" i="37"/>
  <c r="AB14" i="37" s="1"/>
  <c r="AE9" i="37"/>
  <c r="AE14" i="37" s="1"/>
  <c r="R9" i="37"/>
  <c r="R14" i="37" s="1"/>
  <c r="K9" i="37"/>
  <c r="K14" i="37" s="1"/>
  <c r="Z9" i="37"/>
  <c r="Z14" i="37" s="1"/>
  <c r="AI9" i="37"/>
  <c r="AI14" i="37" s="1"/>
  <c r="AG9" i="37"/>
  <c r="AG14" i="37" s="1"/>
  <c r="Y9" i="37"/>
  <c r="Y14" i="37" s="1"/>
  <c r="AJ9" i="37"/>
  <c r="AJ14" i="37" s="1"/>
  <c r="AC9" i="37"/>
  <c r="AC14" i="37" s="1"/>
  <c r="O9" i="37"/>
  <c r="O14" i="37" s="1"/>
  <c r="AH9" i="37"/>
  <c r="AH14" i="37" s="1"/>
  <c r="T9" i="37"/>
  <c r="T14" i="37" s="1"/>
  <c r="AA9" i="37"/>
  <c r="AA14" i="37" s="1"/>
  <c r="G9" i="37"/>
  <c r="G14" i="37" s="1"/>
  <c r="G16" i="37" s="1"/>
  <c r="E68" i="34" s="1"/>
  <c r="E70" i="34" s="1"/>
  <c r="E73" i="34" s="1"/>
  <c r="E74" i="34" s="1"/>
  <c r="I9" i="37"/>
  <c r="I14" i="37" s="1"/>
  <c r="N9" i="37"/>
  <c r="N14" i="37" s="1"/>
  <c r="U9" i="37"/>
  <c r="U14" i="37" s="1"/>
  <c r="X9" i="37"/>
  <c r="X14" i="37" s="1"/>
  <c r="V9" i="37"/>
  <c r="V14" i="37" s="1"/>
  <c r="P9" i="37"/>
  <c r="P14" i="37" s="1"/>
  <c r="W9" i="37"/>
  <c r="W14" i="37" s="1"/>
  <c r="S9" i="37"/>
  <c r="S14" i="37" s="1"/>
  <c r="M9" i="37"/>
  <c r="M14" i="37" s="1"/>
  <c r="H55" i="32"/>
  <c r="H56" i="32" s="1"/>
  <c r="H64" i="32" s="1"/>
  <c r="H65" i="32"/>
  <c r="AF9" i="37"/>
  <c r="AF14" i="37" s="1"/>
  <c r="Q9" i="37"/>
  <c r="Q14" i="37" s="1"/>
  <c r="J9" i="37"/>
  <c r="J14" i="37" s="1"/>
  <c r="H51" i="32"/>
  <c r="H42" i="32"/>
  <c r="H50" i="32" s="1"/>
  <c r="H9" i="37"/>
  <c r="H14" i="37" s="1"/>
  <c r="E85" i="48" l="1"/>
  <c r="E88" i="48" s="1"/>
  <c r="E17" i="41"/>
  <c r="E21" i="41" s="1"/>
  <c r="E26" i="41" s="1"/>
  <c r="E31" i="41" s="1"/>
  <c r="E32" i="41" s="1"/>
  <c r="E13" i="15"/>
  <c r="E20" i="15" s="1"/>
  <c r="H87" i="32"/>
  <c r="H77" i="32"/>
  <c r="H78" i="32" s="1"/>
  <c r="H86" i="32" s="1"/>
  <c r="H104" i="32" s="1"/>
  <c r="AE16" i="37"/>
  <c r="AC68" i="34" s="1"/>
  <c r="AC70" i="34" s="1"/>
  <c r="AC73" i="34" s="1"/>
  <c r="AF16" i="37"/>
  <c r="AD68" i="34" s="1"/>
  <c r="AD70" i="34" s="1"/>
  <c r="AD73" i="34" s="1"/>
  <c r="M16" i="37"/>
  <c r="K68" i="34" s="1"/>
  <c r="K70" i="34" s="1"/>
  <c r="K73" i="34" s="1"/>
  <c r="L16" i="37"/>
  <c r="J68" i="34" s="1"/>
  <c r="J70" i="34" s="1"/>
  <c r="J73" i="34" s="1"/>
  <c r="AB16" i="37"/>
  <c r="Z68" i="34" s="1"/>
  <c r="Z70" i="34" s="1"/>
  <c r="Z73" i="34" s="1"/>
  <c r="AC16" i="37"/>
  <c r="AA68" i="34" s="1"/>
  <c r="AA70" i="34" s="1"/>
  <c r="AA73" i="34" s="1"/>
  <c r="Z16" i="37"/>
  <c r="X68" i="34" s="1"/>
  <c r="X70" i="34" s="1"/>
  <c r="X73" i="34" s="1"/>
  <c r="AJ16" i="37"/>
  <c r="AH68" i="34" s="1"/>
  <c r="AH70" i="34" s="1"/>
  <c r="AH73" i="34" s="1"/>
  <c r="S16" i="37"/>
  <c r="Q68" i="34" s="1"/>
  <c r="Q70" i="34" s="1"/>
  <c r="Q73" i="34" s="1"/>
  <c r="AH16" i="37"/>
  <c r="AF68" i="34" s="1"/>
  <c r="AF70" i="34" s="1"/>
  <c r="AF73" i="34" s="1"/>
  <c r="AD16" i="37"/>
  <c r="AB68" i="34" s="1"/>
  <c r="AB70" i="34" s="1"/>
  <c r="AB73" i="34" s="1"/>
  <c r="U16" i="37"/>
  <c r="S68" i="34" s="1"/>
  <c r="S70" i="34" s="1"/>
  <c r="S73" i="34" s="1"/>
  <c r="J16" i="37"/>
  <c r="H68" i="34" s="1"/>
  <c r="H70" i="34" s="1"/>
  <c r="H73" i="34" s="1"/>
  <c r="O16" i="37"/>
  <c r="M68" i="34" s="1"/>
  <c r="M70" i="34" s="1"/>
  <c r="M73" i="34" s="1"/>
  <c r="P16" i="37"/>
  <c r="N68" i="34" s="1"/>
  <c r="N70" i="34" s="1"/>
  <c r="N73" i="34" s="1"/>
  <c r="AI16" i="37"/>
  <c r="AG68" i="34" s="1"/>
  <c r="AG70" i="34" s="1"/>
  <c r="AG73" i="34" s="1"/>
  <c r="AA16" i="37"/>
  <c r="Y68" i="34" s="1"/>
  <c r="Y70" i="34" s="1"/>
  <c r="Y73" i="34" s="1"/>
  <c r="H16" i="37"/>
  <c r="F68" i="34" s="1"/>
  <c r="F70" i="34" s="1"/>
  <c r="F73" i="34" s="1"/>
  <c r="F74" i="34" s="1"/>
  <c r="F77" i="34" s="1"/>
  <c r="T16" i="37"/>
  <c r="R68" i="34" s="1"/>
  <c r="R70" i="34" s="1"/>
  <c r="R73" i="34" s="1"/>
  <c r="W16" i="37"/>
  <c r="U68" i="34" s="1"/>
  <c r="U70" i="34" s="1"/>
  <c r="U73" i="34" s="1"/>
  <c r="Q16" i="37"/>
  <c r="O68" i="34" s="1"/>
  <c r="O70" i="34" s="1"/>
  <c r="O73" i="34" s="1"/>
  <c r="H68" i="32"/>
  <c r="H39" i="33" s="1"/>
  <c r="F17" i="15" s="1"/>
  <c r="X16" i="37"/>
  <c r="V68" i="34" s="1"/>
  <c r="V70" i="34" s="1"/>
  <c r="V73" i="34" s="1"/>
  <c r="V16" i="37"/>
  <c r="T68" i="34" s="1"/>
  <c r="T70" i="34" s="1"/>
  <c r="T73" i="34" s="1"/>
  <c r="Y16" i="37"/>
  <c r="W68" i="34" s="1"/>
  <c r="W70" i="34" s="1"/>
  <c r="W73" i="34" s="1"/>
  <c r="R16" i="37"/>
  <c r="P68" i="34" s="1"/>
  <c r="P70" i="34" s="1"/>
  <c r="P73" i="34" s="1"/>
  <c r="I16" i="37"/>
  <c r="G68" i="34" s="1"/>
  <c r="G70" i="34" s="1"/>
  <c r="G73" i="34" s="1"/>
  <c r="N16" i="37"/>
  <c r="L68" i="34" s="1"/>
  <c r="L70" i="34" s="1"/>
  <c r="L73" i="34" s="1"/>
  <c r="AG16" i="37"/>
  <c r="AE68" i="34" s="1"/>
  <c r="AE70" i="34" s="1"/>
  <c r="AE73" i="34" s="1"/>
  <c r="K16" i="37"/>
  <c r="I68" i="34" s="1"/>
  <c r="I70" i="34" s="1"/>
  <c r="I73" i="34" s="1"/>
  <c r="E25" i="15" l="1"/>
  <c r="E29" i="15" s="1"/>
  <c r="E32" i="15" s="1"/>
  <c r="E22" i="41"/>
  <c r="F15" i="41"/>
  <c r="F14" i="15"/>
  <c r="F14" i="41"/>
  <c r="F26" i="15"/>
  <c r="F16" i="15"/>
  <c r="F86" i="48" s="1"/>
  <c r="F47" i="15"/>
  <c r="F27" i="15"/>
  <c r="H12" i="19"/>
  <c r="H9" i="19" s="1"/>
  <c r="H14" i="19" s="1"/>
  <c r="H16" i="19" s="1"/>
  <c r="F30" i="15" s="1"/>
  <c r="F29" i="41"/>
  <c r="F28" i="41"/>
  <c r="F15" i="15"/>
  <c r="G74" i="34"/>
  <c r="G77" i="34" s="1"/>
  <c r="E83" i="34"/>
  <c r="E81" i="34"/>
  <c r="E82" i="34" s="1"/>
  <c r="F85" i="48" l="1"/>
  <c r="F88" i="48" s="1"/>
  <c r="F6" i="55"/>
  <c r="F9" i="55" s="1"/>
  <c r="E35" i="15"/>
  <c r="F17" i="41"/>
  <c r="F21" i="41" s="1"/>
  <c r="F26" i="41" s="1"/>
  <c r="F31" i="41" s="1"/>
  <c r="F32" i="41" s="1"/>
  <c r="F13" i="15"/>
  <c r="F20" i="15" s="1"/>
  <c r="F25" i="15" s="1"/>
  <c r="F29" i="15" s="1"/>
  <c r="F32" i="15" s="1"/>
  <c r="H74" i="34"/>
  <c r="H77" i="34" s="1"/>
  <c r="E36" i="15" l="1"/>
  <c r="E49" i="15"/>
  <c r="I74" i="34"/>
  <c r="J74" i="34" s="1"/>
  <c r="G6" i="55"/>
  <c r="G9" i="55" s="1"/>
  <c r="F35" i="15"/>
  <c r="F22" i="41"/>
  <c r="F49" i="15" l="1"/>
  <c r="I77" i="34"/>
  <c r="F36" i="15"/>
  <c r="F39" i="15" s="1"/>
  <c r="J77" i="34"/>
  <c r="K74" i="34"/>
  <c r="K77" i="34" l="1"/>
  <c r="L74" i="34"/>
  <c r="M74" i="34" l="1"/>
  <c r="L77" i="34"/>
  <c r="N74" i="34" l="1"/>
  <c r="M77" i="34"/>
  <c r="N77" i="34" l="1"/>
  <c r="O74" i="34"/>
  <c r="P74" i="34" l="1"/>
  <c r="O77" i="34"/>
  <c r="P77" i="34" l="1"/>
  <c r="Q74" i="34"/>
  <c r="Q77" i="34" l="1"/>
  <c r="R74" i="34"/>
  <c r="S74" i="34" l="1"/>
  <c r="R77" i="34"/>
  <c r="T74" i="34" l="1"/>
  <c r="S77" i="34"/>
  <c r="T77" i="34" l="1"/>
  <c r="U74" i="34"/>
  <c r="U77" i="34" l="1"/>
  <c r="V74" i="34"/>
  <c r="V77" i="34" l="1"/>
  <c r="W74" i="34"/>
  <c r="W77" i="34" l="1"/>
  <c r="X74" i="34"/>
  <c r="Y74" i="34" l="1"/>
  <c r="X77" i="34"/>
  <c r="Y77" i="34" l="1"/>
  <c r="Z74" i="34"/>
  <c r="Z77" i="34" l="1"/>
  <c r="AA74" i="34"/>
  <c r="AA77" i="34" l="1"/>
  <c r="AB74" i="34"/>
  <c r="AB77" i="34" l="1"/>
  <c r="AC74" i="34"/>
  <c r="AC77" i="34" l="1"/>
  <c r="AD74" i="34"/>
  <c r="AD77" i="34" l="1"/>
  <c r="AE74" i="34"/>
  <c r="AE77" i="34" l="1"/>
  <c r="AF74" i="34"/>
  <c r="AF77" i="34" l="1"/>
  <c r="AG74" i="34"/>
  <c r="AH74" i="34" l="1"/>
  <c r="AG77" i="34"/>
  <c r="AH77" i="34" l="1"/>
  <c r="AI77" i="34"/>
  <c r="E84" i="34" l="1"/>
  <c r="I23" i="32" l="1"/>
  <c r="I31" i="32" s="1"/>
  <c r="I30" i="32" l="1"/>
  <c r="I38" i="32" l="1"/>
  <c r="I74" i="32"/>
  <c r="I47" i="32" l="1"/>
  <c r="I85" i="32"/>
  <c r="I99" i="32"/>
  <c r="I95" i="32"/>
  <c r="I81" i="32"/>
  <c r="I63" i="32"/>
  <c r="I49" i="32"/>
  <c r="I59" i="32"/>
  <c r="I45" i="32"/>
  <c r="I46" i="32" l="1"/>
  <c r="I41" i="32" s="1"/>
  <c r="I42" i="32" s="1"/>
  <c r="I50" i="32" s="1"/>
  <c r="I60" i="32"/>
  <c r="I55" i="32" s="1"/>
  <c r="I56" i="32" s="1"/>
  <c r="I64" i="32" s="1"/>
  <c r="I82" i="32"/>
  <c r="I77" i="32" s="1"/>
  <c r="I78" i="32" s="1"/>
  <c r="I86" i="32" s="1"/>
  <c r="I96" i="32"/>
  <c r="I91" i="32" s="1"/>
  <c r="I92" i="32" s="1"/>
  <c r="I100" i="32" s="1"/>
  <c r="J58" i="32" l="1"/>
  <c r="J60" i="32" s="1"/>
  <c r="K58" i="32" s="1"/>
  <c r="I65" i="32"/>
  <c r="J44" i="32"/>
  <c r="J46" i="32" s="1"/>
  <c r="K44" i="32" s="1"/>
  <c r="K46" i="32" s="1"/>
  <c r="I51" i="32"/>
  <c r="I87" i="32"/>
  <c r="I68" i="32"/>
  <c r="I39" i="33" s="1"/>
  <c r="G27" i="15" s="1"/>
  <c r="J80" i="32"/>
  <c r="J82" i="32" s="1"/>
  <c r="K80" i="32" s="1"/>
  <c r="I101" i="32"/>
  <c r="J94" i="32"/>
  <c r="J96" i="32" s="1"/>
  <c r="K94" i="32" s="1"/>
  <c r="I104" i="32"/>
  <c r="G15" i="41" l="1"/>
  <c r="G17" i="15"/>
  <c r="G16" i="15"/>
  <c r="G86" i="48" s="1"/>
  <c r="G14" i="41"/>
  <c r="G47" i="15"/>
  <c r="G14" i="15"/>
  <c r="G15" i="15"/>
  <c r="G26" i="15"/>
  <c r="G28" i="41"/>
  <c r="I12" i="19"/>
  <c r="I9" i="19" s="1"/>
  <c r="I14" i="19" s="1"/>
  <c r="I16" i="19" s="1"/>
  <c r="G30" i="15" s="1"/>
  <c r="G29" i="41"/>
  <c r="K96" i="32"/>
  <c r="L94" i="32" s="1"/>
  <c r="K60" i="32"/>
  <c r="L58" i="32" s="1"/>
  <c r="K82" i="32"/>
  <c r="L80" i="32" s="1"/>
  <c r="J55" i="32"/>
  <c r="J56" i="32" s="1"/>
  <c r="J64" i="32" s="1"/>
  <c r="J65" i="32"/>
  <c r="J77" i="32"/>
  <c r="J78" i="32" s="1"/>
  <c r="J86" i="32" s="1"/>
  <c r="J87" i="32"/>
  <c r="J101" i="32"/>
  <c r="J91" i="32"/>
  <c r="J92" i="32" s="1"/>
  <c r="J100" i="32" s="1"/>
  <c r="J41" i="32"/>
  <c r="J51" i="32"/>
  <c r="G85" i="48" l="1"/>
  <c r="G88" i="48" s="1"/>
  <c r="G13" i="15"/>
  <c r="G20" i="15" s="1"/>
  <c r="G25" i="15" s="1"/>
  <c r="G29" i="15" s="1"/>
  <c r="G32" i="15" s="1"/>
  <c r="H6" i="55" s="1"/>
  <c r="H9" i="55" s="1"/>
  <c r="G17" i="41"/>
  <c r="J42" i="32"/>
  <c r="J50" i="32" s="1"/>
  <c r="J68" i="32" s="1"/>
  <c r="J39" i="33" s="1"/>
  <c r="H16" i="15" s="1"/>
  <c r="H86" i="48" s="1"/>
  <c r="H85" i="48" s="1"/>
  <c r="H88" i="48" s="1"/>
  <c r="L82" i="32"/>
  <c r="M80" i="32" s="1"/>
  <c r="L60" i="32"/>
  <c r="M58" i="32" s="1"/>
  <c r="K87" i="32"/>
  <c r="K77" i="32"/>
  <c r="K78" i="32" s="1"/>
  <c r="K86" i="32" s="1"/>
  <c r="K41" i="32"/>
  <c r="K51" i="32"/>
  <c r="K65" i="32"/>
  <c r="K55" i="32"/>
  <c r="K56" i="32" s="1"/>
  <c r="K64" i="32" s="1"/>
  <c r="L44" i="32"/>
  <c r="L46" i="32" s="1"/>
  <c r="L96" i="32"/>
  <c r="M94" i="32" s="1"/>
  <c r="J104" i="32"/>
  <c r="K101" i="32"/>
  <c r="K91" i="32"/>
  <c r="K92" i="32" s="1"/>
  <c r="K100" i="32" s="1"/>
  <c r="G35" i="15" l="1"/>
  <c r="G36" i="15" s="1"/>
  <c r="G39" i="15" s="1"/>
  <c r="G21" i="41"/>
  <c r="G26" i="41" s="1"/>
  <c r="G31" i="41" s="1"/>
  <c r="G32" i="41" s="1"/>
  <c r="H14" i="41"/>
  <c r="H15" i="41"/>
  <c r="H26" i="15"/>
  <c r="H17" i="15"/>
  <c r="H29" i="41"/>
  <c r="K42" i="32"/>
  <c r="K50" i="32" s="1"/>
  <c r="K68" i="32" s="1"/>
  <c r="K39" i="33" s="1"/>
  <c r="H15" i="15"/>
  <c r="H47" i="15"/>
  <c r="H14" i="15"/>
  <c r="H28" i="41"/>
  <c r="H27" i="15"/>
  <c r="J12" i="19"/>
  <c r="J9" i="19" s="1"/>
  <c r="J14" i="19" s="1"/>
  <c r="J16" i="19" s="1"/>
  <c r="H30" i="15" s="1"/>
  <c r="K104" i="32"/>
  <c r="M60" i="32"/>
  <c r="N58" i="32" s="1"/>
  <c r="M44" i="32"/>
  <c r="M46" i="32" s="1"/>
  <c r="L65" i="32"/>
  <c r="L55" i="32"/>
  <c r="L56" i="32" s="1"/>
  <c r="L64" i="32" s="1"/>
  <c r="M96" i="32"/>
  <c r="N94" i="32" s="1"/>
  <c r="L91" i="32"/>
  <c r="L92" i="32" s="1"/>
  <c r="L100" i="32" s="1"/>
  <c r="L101" i="32"/>
  <c r="M82" i="32"/>
  <c r="L77" i="32"/>
  <c r="L78" i="32" s="1"/>
  <c r="L86" i="32" s="1"/>
  <c r="L87" i="32"/>
  <c r="H17" i="41" l="1"/>
  <c r="G49" i="15"/>
  <c r="G22" i="41"/>
  <c r="H13" i="15"/>
  <c r="H20" i="15" s="1"/>
  <c r="H25" i="15" s="1"/>
  <c r="H29" i="15" s="1"/>
  <c r="H32" i="15" s="1"/>
  <c r="L104" i="32"/>
  <c r="N44" i="32"/>
  <c r="N46" i="32" s="1"/>
  <c r="I15" i="15"/>
  <c r="I27" i="15"/>
  <c r="I28" i="41"/>
  <c r="I15" i="41"/>
  <c r="I14" i="41"/>
  <c r="I26" i="15"/>
  <c r="I29" i="41"/>
  <c r="I16" i="15"/>
  <c r="I86" i="48" s="1"/>
  <c r="K12" i="19"/>
  <c r="K9" i="19" s="1"/>
  <c r="K14" i="19" s="1"/>
  <c r="K16" i="19" s="1"/>
  <c r="I30" i="15" s="1"/>
  <c r="I14" i="15"/>
  <c r="I17" i="15"/>
  <c r="I47" i="15"/>
  <c r="N96" i="32"/>
  <c r="O94" i="32" s="1"/>
  <c r="M65" i="32"/>
  <c r="M55" i="32"/>
  <c r="M56" i="32" s="1"/>
  <c r="M64" i="32" s="1"/>
  <c r="M101" i="32"/>
  <c r="M91" i="32"/>
  <c r="M92" i="32" s="1"/>
  <c r="M100" i="32" s="1"/>
  <c r="H21" i="41"/>
  <c r="H26" i="41" s="1"/>
  <c r="H31" i="41" s="1"/>
  <c r="H32" i="41" s="1"/>
  <c r="L51" i="32"/>
  <c r="L41" i="32"/>
  <c r="N60" i="32"/>
  <c r="O58" i="32" s="1"/>
  <c r="M77" i="32"/>
  <c r="M78" i="32" s="1"/>
  <c r="M86" i="32" s="1"/>
  <c r="M87" i="32"/>
  <c r="N80" i="32"/>
  <c r="I85" i="48" l="1"/>
  <c r="I88" i="48" s="1"/>
  <c r="H35" i="15"/>
  <c r="H49" i="15" s="1"/>
  <c r="I6" i="55"/>
  <c r="I9" i="55" s="1"/>
  <c r="H22" i="41"/>
  <c r="L42" i="32"/>
  <c r="L50" i="32" s="1"/>
  <c r="L68" i="32" s="1"/>
  <c r="L39" i="33" s="1"/>
  <c r="J29" i="41" s="1"/>
  <c r="I17" i="41"/>
  <c r="N82" i="32"/>
  <c r="O80" i="32" s="1"/>
  <c r="O60" i="32"/>
  <c r="P58" i="32" s="1"/>
  <c r="I13" i="15"/>
  <c r="I20" i="15" s="1"/>
  <c r="I25" i="15" s="1"/>
  <c r="I29" i="15" s="1"/>
  <c r="I32" i="15" s="1"/>
  <c r="O44" i="32"/>
  <c r="O46" i="32" s="1"/>
  <c r="M104" i="32"/>
  <c r="N55" i="32"/>
  <c r="N56" i="32" s="1"/>
  <c r="N64" i="32" s="1"/>
  <c r="N65" i="32"/>
  <c r="O96" i="32"/>
  <c r="P94" i="32" s="1"/>
  <c r="N91" i="32"/>
  <c r="N92" i="32" s="1"/>
  <c r="N100" i="32" s="1"/>
  <c r="N101" i="32"/>
  <c r="M41" i="32"/>
  <c r="M51" i="32"/>
  <c r="H36" i="15" l="1"/>
  <c r="H39" i="15" s="1"/>
  <c r="J27" i="15"/>
  <c r="J14" i="15"/>
  <c r="L12" i="19"/>
  <c r="L9" i="19" s="1"/>
  <c r="L14" i="19" s="1"/>
  <c r="L16" i="19" s="1"/>
  <c r="J30" i="15" s="1"/>
  <c r="J28" i="41"/>
  <c r="J26" i="15"/>
  <c r="J15" i="15"/>
  <c r="J14" i="41"/>
  <c r="M42" i="32"/>
  <c r="M50" i="32" s="1"/>
  <c r="M68" i="32" s="1"/>
  <c r="M39" i="33" s="1"/>
  <c r="K15" i="41" s="1"/>
  <c r="J15" i="41"/>
  <c r="J16" i="15"/>
  <c r="J86" i="48" s="1"/>
  <c r="J85" i="48" s="1"/>
  <c r="J88" i="48" s="1"/>
  <c r="J47" i="15"/>
  <c r="J17" i="15"/>
  <c r="P96" i="32"/>
  <c r="Q94" i="32" s="1"/>
  <c r="P60" i="32"/>
  <c r="Q58" i="32" s="1"/>
  <c r="P44" i="32"/>
  <c r="P46" i="32" s="1"/>
  <c r="N77" i="32"/>
  <c r="N78" i="32" s="1"/>
  <c r="N86" i="32" s="1"/>
  <c r="N104" i="32" s="1"/>
  <c r="N87" i="32"/>
  <c r="O82" i="32"/>
  <c r="P80" i="32" s="1"/>
  <c r="O91" i="32"/>
  <c r="O92" i="32" s="1"/>
  <c r="O100" i="32" s="1"/>
  <c r="O101" i="32"/>
  <c r="I35" i="15"/>
  <c r="J6" i="55"/>
  <c r="J9" i="55" s="1"/>
  <c r="I21" i="41"/>
  <c r="I26" i="41" s="1"/>
  <c r="I31" i="41" s="1"/>
  <c r="I32" i="41" s="1"/>
  <c r="N51" i="32"/>
  <c r="N41" i="32"/>
  <c r="O65" i="32"/>
  <c r="O55" i="32"/>
  <c r="O56" i="32" s="1"/>
  <c r="O64" i="32" s="1"/>
  <c r="J17" i="41" l="1"/>
  <c r="I22" i="41"/>
  <c r="K14" i="15"/>
  <c r="J13" i="15"/>
  <c r="J20" i="15" s="1"/>
  <c r="J25" i="15" s="1"/>
  <c r="J29" i="15" s="1"/>
  <c r="J32" i="15" s="1"/>
  <c r="J35" i="15" s="1"/>
  <c r="J49" i="15" s="1"/>
  <c r="K27" i="15"/>
  <c r="M12" i="19"/>
  <c r="M9" i="19" s="1"/>
  <c r="M14" i="19" s="1"/>
  <c r="M16" i="19" s="1"/>
  <c r="K30" i="15" s="1"/>
  <c r="K14" i="41"/>
  <c r="K17" i="41" s="1"/>
  <c r="K17" i="15"/>
  <c r="K16" i="15"/>
  <c r="K86" i="48" s="1"/>
  <c r="K85" i="48" s="1"/>
  <c r="K88" i="48" s="1"/>
  <c r="K26" i="15"/>
  <c r="K47" i="15"/>
  <c r="K29" i="41"/>
  <c r="N42" i="32"/>
  <c r="N50" i="32" s="1"/>
  <c r="N68" i="32" s="1"/>
  <c r="N39" i="33" s="1"/>
  <c r="L14" i="15" s="1"/>
  <c r="K15" i="15"/>
  <c r="K28" i="41"/>
  <c r="Q44" i="32"/>
  <c r="Q46" i="32" s="1"/>
  <c r="P82" i="32"/>
  <c r="Q80" i="32" s="1"/>
  <c r="Q60" i="32"/>
  <c r="R58" i="32" s="1"/>
  <c r="Q96" i="32"/>
  <c r="R94" i="32" s="1"/>
  <c r="O51" i="32"/>
  <c r="O41" i="32"/>
  <c r="I36" i="15"/>
  <c r="I39" i="15" s="1"/>
  <c r="I49" i="15"/>
  <c r="P55" i="32"/>
  <c r="P56" i="32" s="1"/>
  <c r="P64" i="32" s="1"/>
  <c r="P65" i="32"/>
  <c r="J21" i="41"/>
  <c r="J26" i="41" s="1"/>
  <c r="J31" i="41" s="1"/>
  <c r="J32" i="41" s="1"/>
  <c r="O77" i="32"/>
  <c r="O78" i="32" s="1"/>
  <c r="O86" i="32" s="1"/>
  <c r="O104" i="32" s="1"/>
  <c r="O87" i="32"/>
  <c r="P91" i="32"/>
  <c r="P92" i="32" s="1"/>
  <c r="P100" i="32" s="1"/>
  <c r="P101" i="32"/>
  <c r="K13" i="15" l="1"/>
  <c r="K20" i="15" s="1"/>
  <c r="K25" i="15" s="1"/>
  <c r="K29" i="15" s="1"/>
  <c r="K32" i="15" s="1"/>
  <c r="K35" i="15" s="1"/>
  <c r="K6" i="55"/>
  <c r="K9" i="55" s="1"/>
  <c r="J22" i="41"/>
  <c r="L26" i="15"/>
  <c r="L29" i="41"/>
  <c r="L14" i="41"/>
  <c r="L27" i="15"/>
  <c r="L28" i="41"/>
  <c r="L47" i="15"/>
  <c r="L15" i="15"/>
  <c r="N12" i="19"/>
  <c r="N9" i="19" s="1"/>
  <c r="N14" i="19" s="1"/>
  <c r="N16" i="19" s="1"/>
  <c r="L30" i="15" s="1"/>
  <c r="L17" i="15"/>
  <c r="L16" i="15"/>
  <c r="L86" i="48" s="1"/>
  <c r="L85" i="48" s="1"/>
  <c r="L88" i="48" s="1"/>
  <c r="L15" i="41"/>
  <c r="O42" i="32"/>
  <c r="O50" i="32" s="1"/>
  <c r="O68" i="32" s="1"/>
  <c r="O39" i="33" s="1"/>
  <c r="M28" i="41" s="1"/>
  <c r="R60" i="32"/>
  <c r="S58" i="32" s="1"/>
  <c r="R44" i="32"/>
  <c r="R46" i="32" s="1"/>
  <c r="Q91" i="32"/>
  <c r="Q92" i="32" s="1"/>
  <c r="Q100" i="32" s="1"/>
  <c r="Q101" i="32"/>
  <c r="K21" i="41"/>
  <c r="K26" i="41" s="1"/>
  <c r="K31" i="41" s="1"/>
  <c r="K32" i="41" s="1"/>
  <c r="Q55" i="32"/>
  <c r="Q56" i="32" s="1"/>
  <c r="Q64" i="32" s="1"/>
  <c r="Q65" i="32"/>
  <c r="J36" i="15"/>
  <c r="J39" i="15" s="1"/>
  <c r="Q82" i="32"/>
  <c r="R80" i="32" s="1"/>
  <c r="P77" i="32"/>
  <c r="P78" i="32" s="1"/>
  <c r="P86" i="32" s="1"/>
  <c r="P104" i="32" s="1"/>
  <c r="P87" i="32"/>
  <c r="R96" i="32"/>
  <c r="P51" i="32"/>
  <c r="P41" i="32"/>
  <c r="L6" i="55" l="1"/>
  <c r="L9" i="55" s="1"/>
  <c r="L17" i="41"/>
  <c r="L21" i="41" s="1"/>
  <c r="L26" i="41" s="1"/>
  <c r="L31" i="41" s="1"/>
  <c r="L32" i="41" s="1"/>
  <c r="L13" i="15"/>
  <c r="L20" i="15" s="1"/>
  <c r="L25" i="15" s="1"/>
  <c r="L29" i="15" s="1"/>
  <c r="L32" i="15" s="1"/>
  <c r="M47" i="15"/>
  <c r="M15" i="41"/>
  <c r="M17" i="15"/>
  <c r="M14" i="15"/>
  <c r="M27" i="15"/>
  <c r="M15" i="15"/>
  <c r="M16" i="15"/>
  <c r="M86" i="48" s="1"/>
  <c r="M85" i="48" s="1"/>
  <c r="M88" i="48" s="1"/>
  <c r="O12" i="19"/>
  <c r="O9" i="19" s="1"/>
  <c r="O14" i="19" s="1"/>
  <c r="O16" i="19" s="1"/>
  <c r="M30" i="15" s="1"/>
  <c r="M26" i="15"/>
  <c r="M29" i="41"/>
  <c r="M14" i="41"/>
  <c r="P42" i="32"/>
  <c r="P50" i="32" s="1"/>
  <c r="P68" i="32" s="1"/>
  <c r="P39" i="33" s="1"/>
  <c r="P12" i="19" s="1"/>
  <c r="P9" i="19" s="1"/>
  <c r="P14" i="19" s="1"/>
  <c r="S60" i="32"/>
  <c r="T58" i="32" s="1"/>
  <c r="R91" i="32"/>
  <c r="R92" i="32" s="1"/>
  <c r="R100" i="32" s="1"/>
  <c r="R101" i="32"/>
  <c r="R82" i="32"/>
  <c r="K22" i="41"/>
  <c r="S44" i="32"/>
  <c r="S46" i="32" s="1"/>
  <c r="Q77" i="32"/>
  <c r="Q78" i="32" s="1"/>
  <c r="Q86" i="32" s="1"/>
  <c r="Q104" i="32" s="1"/>
  <c r="Q87" i="32"/>
  <c r="Q51" i="32"/>
  <c r="Q41" i="32"/>
  <c r="R55" i="32"/>
  <c r="R56" i="32" s="1"/>
  <c r="R64" i="32" s="1"/>
  <c r="R65" i="32"/>
  <c r="S94" i="32"/>
  <c r="K36" i="15"/>
  <c r="K39" i="15" s="1"/>
  <c r="K49" i="15"/>
  <c r="M17" i="41" l="1"/>
  <c r="M21" i="41" s="1"/>
  <c r="M26" i="41" s="1"/>
  <c r="M31" i="41" s="1"/>
  <c r="M32" i="41" s="1"/>
  <c r="P16" i="19"/>
  <c r="N30" i="15" s="1"/>
  <c r="L35" i="15"/>
  <c r="M6" i="55"/>
  <c r="M9" i="55" s="1"/>
  <c r="M13" i="15"/>
  <c r="M20" i="15" s="1"/>
  <c r="M25" i="15" s="1"/>
  <c r="M29" i="15" s="1"/>
  <c r="M32" i="15" s="1"/>
  <c r="L22" i="41"/>
  <c r="N16" i="15"/>
  <c r="N86" i="48" s="1"/>
  <c r="N85" i="48" s="1"/>
  <c r="N88" i="48" s="1"/>
  <c r="N27" i="15"/>
  <c r="N29" i="41"/>
  <c r="N47" i="15"/>
  <c r="Q42" i="32"/>
  <c r="Q50" i="32" s="1"/>
  <c r="Q68" i="32" s="1"/>
  <c r="Q39" i="33" s="1"/>
  <c r="O47" i="15" s="1"/>
  <c r="N14" i="15"/>
  <c r="N14" i="41"/>
  <c r="N15" i="15"/>
  <c r="N26" i="15"/>
  <c r="N28" i="41"/>
  <c r="N15" i="41"/>
  <c r="N17" i="15"/>
  <c r="T60" i="32"/>
  <c r="U58" i="32" s="1"/>
  <c r="R77" i="32"/>
  <c r="R78" i="32" s="1"/>
  <c r="R86" i="32" s="1"/>
  <c r="R104" i="32" s="1"/>
  <c r="R87" i="32"/>
  <c r="S96" i="32"/>
  <c r="T94" i="32" s="1"/>
  <c r="T44" i="32"/>
  <c r="T46" i="32" s="1"/>
  <c r="R41" i="32"/>
  <c r="R51" i="32"/>
  <c r="S65" i="32"/>
  <c r="S55" i="32"/>
  <c r="S56" i="32" s="1"/>
  <c r="S64" i="32" s="1"/>
  <c r="L49" i="15"/>
  <c r="L36" i="15"/>
  <c r="L39" i="15" s="1"/>
  <c r="S80" i="32"/>
  <c r="M22" i="41" l="1"/>
  <c r="N6" i="55"/>
  <c r="N9" i="55" s="1"/>
  <c r="M35" i="15"/>
  <c r="M49" i="15" s="1"/>
  <c r="N13" i="15"/>
  <c r="N20" i="15" s="1"/>
  <c r="N25" i="15" s="1"/>
  <c r="N29" i="15" s="1"/>
  <c r="N32" i="15" s="1"/>
  <c r="N35" i="15" s="1"/>
  <c r="O15" i="41"/>
  <c r="O14" i="15"/>
  <c r="N17" i="41"/>
  <c r="N21" i="41" s="1"/>
  <c r="N26" i="41" s="1"/>
  <c r="N31" i="41" s="1"/>
  <c r="N32" i="41" s="1"/>
  <c r="O26" i="15"/>
  <c r="O29" i="41"/>
  <c r="O28" i="41"/>
  <c r="O14" i="41"/>
  <c r="O15" i="15"/>
  <c r="O17" i="15"/>
  <c r="R42" i="32"/>
  <c r="R50" i="32" s="1"/>
  <c r="R68" i="32" s="1"/>
  <c r="R39" i="33" s="1"/>
  <c r="P17" i="15" s="1"/>
  <c r="O16" i="15"/>
  <c r="O86" i="48" s="1"/>
  <c r="O85" i="48" s="1"/>
  <c r="O88" i="48" s="1"/>
  <c r="Q12" i="19"/>
  <c r="Q9" i="19" s="1"/>
  <c r="Q14" i="19" s="1"/>
  <c r="Q16" i="19" s="1"/>
  <c r="O30" i="15" s="1"/>
  <c r="O27" i="15"/>
  <c r="T96" i="32"/>
  <c r="U94" i="32" s="1"/>
  <c r="S101" i="32"/>
  <c r="S91" i="32"/>
  <c r="S92" i="32" s="1"/>
  <c r="S100" i="32" s="1"/>
  <c r="U60" i="32"/>
  <c r="U44" i="32"/>
  <c r="U46" i="32" s="1"/>
  <c r="T65" i="32"/>
  <c r="T55" i="32"/>
  <c r="T56" i="32" s="1"/>
  <c r="T64" i="32" s="1"/>
  <c r="S82" i="32"/>
  <c r="T80" i="32" s="1"/>
  <c r="S51" i="32"/>
  <c r="S41" i="32"/>
  <c r="M36" i="15" l="1"/>
  <c r="M39" i="15" s="1"/>
  <c r="O6" i="55"/>
  <c r="O9" i="55" s="1"/>
  <c r="O17" i="41"/>
  <c r="O21" i="41" s="1"/>
  <c r="O26" i="41" s="1"/>
  <c r="O31" i="41" s="1"/>
  <c r="O32" i="41" s="1"/>
  <c r="P28" i="41"/>
  <c r="P27" i="15"/>
  <c r="O13" i="15"/>
  <c r="O20" i="15" s="1"/>
  <c r="O25" i="15" s="1"/>
  <c r="O29" i="15" s="1"/>
  <c r="O32" i="15" s="1"/>
  <c r="P47" i="15"/>
  <c r="P14" i="41"/>
  <c r="P15" i="15"/>
  <c r="N22" i="41"/>
  <c r="P29" i="41"/>
  <c r="P14" i="15"/>
  <c r="P26" i="15"/>
  <c r="R12" i="19"/>
  <c r="R9" i="19" s="1"/>
  <c r="R14" i="19" s="1"/>
  <c r="R16" i="19" s="1"/>
  <c r="P30" i="15" s="1"/>
  <c r="P16" i="15"/>
  <c r="P86" i="48" s="1"/>
  <c r="P85" i="48" s="1"/>
  <c r="P88" i="48" s="1"/>
  <c r="S42" i="32"/>
  <c r="S50" i="32" s="1"/>
  <c r="S68" i="32" s="1"/>
  <c r="S39" i="33" s="1"/>
  <c r="Q16" i="15" s="1"/>
  <c r="Q86" i="48" s="1"/>
  <c r="Q85" i="48" s="1"/>
  <c r="Q88" i="48" s="1"/>
  <c r="P15" i="41"/>
  <c r="U96" i="32"/>
  <c r="V94" i="32" s="1"/>
  <c r="T91" i="32"/>
  <c r="T92" i="32" s="1"/>
  <c r="T100" i="32" s="1"/>
  <c r="T101" i="32"/>
  <c r="N49" i="15"/>
  <c r="T51" i="32"/>
  <c r="T41" i="32"/>
  <c r="U65" i="32"/>
  <c r="U55" i="32"/>
  <c r="U56" i="32" s="1"/>
  <c r="U64" i="32" s="1"/>
  <c r="T82" i="32"/>
  <c r="S77" i="32"/>
  <c r="S78" i="32" s="1"/>
  <c r="S86" i="32" s="1"/>
  <c r="S104" i="32" s="1"/>
  <c r="S87" i="32"/>
  <c r="V58" i="32"/>
  <c r="N36" i="15" l="1"/>
  <c r="N39" i="15" s="1"/>
  <c r="O22" i="41"/>
  <c r="P6" i="55"/>
  <c r="P9" i="55" s="1"/>
  <c r="O35" i="15"/>
  <c r="O49" i="15" s="1"/>
  <c r="S12" i="19"/>
  <c r="S9" i="19" s="1"/>
  <c r="S14" i="19" s="1"/>
  <c r="S16" i="19" s="1"/>
  <c r="Q30" i="15" s="1"/>
  <c r="Q26" i="15"/>
  <c r="P13" i="15"/>
  <c r="P20" i="15" s="1"/>
  <c r="P25" i="15" s="1"/>
  <c r="P29" i="15" s="1"/>
  <c r="P32" i="15" s="1"/>
  <c r="Q6" i="55" s="1"/>
  <c r="Q9" i="55" s="1"/>
  <c r="Q27" i="15"/>
  <c r="Q29" i="41"/>
  <c r="Q17" i="15"/>
  <c r="T42" i="32"/>
  <c r="T50" i="32" s="1"/>
  <c r="T68" i="32" s="1"/>
  <c r="T39" i="33" s="1"/>
  <c r="R15" i="41" s="1"/>
  <c r="Q14" i="15"/>
  <c r="Q15" i="15"/>
  <c r="P17" i="41"/>
  <c r="Q47" i="15"/>
  <c r="Q15" i="41"/>
  <c r="Q28" i="41"/>
  <c r="Q14" i="41"/>
  <c r="T77" i="32"/>
  <c r="T78" i="32" s="1"/>
  <c r="T86" i="32" s="1"/>
  <c r="T104" i="32" s="1"/>
  <c r="T87" i="32"/>
  <c r="U80" i="32"/>
  <c r="V96" i="32"/>
  <c r="U91" i="32"/>
  <c r="U92" i="32" s="1"/>
  <c r="U100" i="32" s="1"/>
  <c r="U101" i="32"/>
  <c r="V60" i="32"/>
  <c r="W58" i="32" s="1"/>
  <c r="U51" i="32"/>
  <c r="U41" i="32"/>
  <c r="V44" i="32"/>
  <c r="V46" i="32" s="1"/>
  <c r="O36" i="15" l="1"/>
  <c r="O39" i="15" s="1"/>
  <c r="Q13" i="15"/>
  <c r="Q20" i="15" s="1"/>
  <c r="Q25" i="15" s="1"/>
  <c r="Q29" i="15" s="1"/>
  <c r="Q32" i="15" s="1"/>
  <c r="R6" i="55" s="1"/>
  <c r="R9" i="55" s="1"/>
  <c r="P35" i="15"/>
  <c r="P49" i="15" s="1"/>
  <c r="Q17" i="41"/>
  <c r="Q21" i="41" s="1"/>
  <c r="Q26" i="41" s="1"/>
  <c r="Q31" i="41" s="1"/>
  <c r="T12" i="19"/>
  <c r="T9" i="19" s="1"/>
  <c r="T14" i="19" s="1"/>
  <c r="T16" i="19" s="1"/>
  <c r="R30" i="15" s="1"/>
  <c r="R27" i="15"/>
  <c r="R47" i="15"/>
  <c r="R29" i="41"/>
  <c r="R28" i="41"/>
  <c r="R17" i="15"/>
  <c r="P21" i="41"/>
  <c r="P26" i="41" s="1"/>
  <c r="P31" i="41" s="1"/>
  <c r="P32" i="41" s="1"/>
  <c r="U42" i="32"/>
  <c r="U50" i="32" s="1"/>
  <c r="U68" i="32" s="1"/>
  <c r="U39" i="33" s="1"/>
  <c r="S27" i="15" s="1"/>
  <c r="R14" i="15"/>
  <c r="R16" i="15"/>
  <c r="R86" i="48" s="1"/>
  <c r="R85" i="48" s="1"/>
  <c r="R88" i="48" s="1"/>
  <c r="R26" i="15"/>
  <c r="R14" i="41"/>
  <c r="R17" i="41" s="1"/>
  <c r="R21" i="41" s="1"/>
  <c r="R26" i="41" s="1"/>
  <c r="R15" i="15"/>
  <c r="W60" i="32"/>
  <c r="X58" i="32" s="1"/>
  <c r="U82" i="32"/>
  <c r="V55" i="32"/>
  <c r="V56" i="32" s="1"/>
  <c r="V64" i="32" s="1"/>
  <c r="V65" i="32"/>
  <c r="V101" i="32"/>
  <c r="V91" i="32"/>
  <c r="V92" i="32" s="1"/>
  <c r="V100" i="32" s="1"/>
  <c r="W94" i="32"/>
  <c r="P36" i="15" l="1"/>
  <c r="P39" i="15" s="1"/>
  <c r="Q35" i="15"/>
  <c r="Q49" i="15" s="1"/>
  <c r="R31" i="41"/>
  <c r="R13" i="15"/>
  <c r="R20" i="15" s="1"/>
  <c r="R25" i="15" s="1"/>
  <c r="R29" i="15" s="1"/>
  <c r="R32" i="15" s="1"/>
  <c r="Q32" i="41"/>
  <c r="S29" i="41"/>
  <c r="P22" i="41"/>
  <c r="S14" i="41"/>
  <c r="S15" i="15"/>
  <c r="S17" i="15"/>
  <c r="S15" i="41"/>
  <c r="S28" i="41"/>
  <c r="U12" i="19"/>
  <c r="U9" i="19" s="1"/>
  <c r="U14" i="19" s="1"/>
  <c r="U16" i="19" s="1"/>
  <c r="S30" i="15" s="1"/>
  <c r="R22" i="41"/>
  <c r="S26" i="15"/>
  <c r="S14" i="15"/>
  <c r="S16" i="15"/>
  <c r="S86" i="48" s="1"/>
  <c r="S85" i="48" s="1"/>
  <c r="S88" i="48" s="1"/>
  <c r="Q22" i="41"/>
  <c r="V51" i="32"/>
  <c r="V41" i="32"/>
  <c r="U77" i="32"/>
  <c r="U78" i="32" s="1"/>
  <c r="U86" i="32" s="1"/>
  <c r="U104" i="32" s="1"/>
  <c r="S47" i="15" s="1"/>
  <c r="U87" i="32"/>
  <c r="W44" i="32"/>
  <c r="W46" i="32" s="1"/>
  <c r="X60" i="32"/>
  <c r="Y58" i="32" s="1"/>
  <c r="W96" i="32"/>
  <c r="X94" i="32" s="1"/>
  <c r="V80" i="32"/>
  <c r="W55" i="32"/>
  <c r="W56" i="32" s="1"/>
  <c r="W64" i="32" s="1"/>
  <c r="W65" i="32"/>
  <c r="R32" i="41" l="1"/>
  <c r="Q36" i="15"/>
  <c r="Q39" i="15" s="1"/>
  <c r="S6" i="55"/>
  <c r="S9" i="55" s="1"/>
  <c r="R35" i="15"/>
  <c r="R49" i="15" s="1"/>
  <c r="S17" i="41"/>
  <c r="S21" i="41" s="1"/>
  <c r="S26" i="41" s="1"/>
  <c r="S31" i="41" s="1"/>
  <c r="S13" i="15"/>
  <c r="S20" i="15" s="1"/>
  <c r="S25" i="15" s="1"/>
  <c r="S29" i="15" s="1"/>
  <c r="S32" i="15" s="1"/>
  <c r="V42" i="32"/>
  <c r="V50" i="32" s="1"/>
  <c r="V68" i="32" s="1"/>
  <c r="V39" i="33" s="1"/>
  <c r="X96" i="32"/>
  <c r="Y94" i="32" s="1"/>
  <c r="Y60" i="32"/>
  <c r="Z58" i="32" s="1"/>
  <c r="X55" i="32"/>
  <c r="X56" i="32" s="1"/>
  <c r="X64" i="32" s="1"/>
  <c r="X65" i="32"/>
  <c r="V82" i="32"/>
  <c r="W80" i="32" s="1"/>
  <c r="W91" i="32"/>
  <c r="W92" i="32" s="1"/>
  <c r="W100" i="32" s="1"/>
  <c r="W101" i="32"/>
  <c r="S32" i="41" l="1"/>
  <c r="R36" i="15"/>
  <c r="R39" i="15" s="1"/>
  <c r="S22" i="41"/>
  <c r="T28" i="41"/>
  <c r="V12" i="19"/>
  <c r="V9" i="19" s="1"/>
  <c r="V14" i="19" s="1"/>
  <c r="V16" i="19" s="1"/>
  <c r="T30" i="15" s="1"/>
  <c r="T29" i="41"/>
  <c r="T14" i="15"/>
  <c r="T27" i="15"/>
  <c r="T15" i="15"/>
  <c r="T17" i="15"/>
  <c r="T26" i="15"/>
  <c r="T16" i="15"/>
  <c r="T86" i="48" s="1"/>
  <c r="T85" i="48" s="1"/>
  <c r="T88" i="48" s="1"/>
  <c r="T15" i="41"/>
  <c r="T14" i="41"/>
  <c r="T6" i="55"/>
  <c r="T9" i="55" s="1"/>
  <c r="S35" i="15"/>
  <c r="Z60" i="32"/>
  <c r="AA58" i="32" s="1"/>
  <c r="W51" i="32"/>
  <c r="W41" i="32"/>
  <c r="Y55" i="32"/>
  <c r="Y56" i="32" s="1"/>
  <c r="Y64" i="32" s="1"/>
  <c r="Y65" i="32"/>
  <c r="W82" i="32"/>
  <c r="V77" i="32"/>
  <c r="V78" i="32" s="1"/>
  <c r="V86" i="32" s="1"/>
  <c r="V104" i="32" s="1"/>
  <c r="T47" i="15" s="1"/>
  <c r="V87" i="32"/>
  <c r="Y96" i="32"/>
  <c r="Z94" i="32" s="1"/>
  <c r="X44" i="32"/>
  <c r="X46" i="32" s="1"/>
  <c r="X91" i="32"/>
  <c r="X92" i="32" s="1"/>
  <c r="X100" i="32" s="1"/>
  <c r="X101" i="32"/>
  <c r="T13" i="15" l="1"/>
  <c r="T20" i="15" s="1"/>
  <c r="T25" i="15" s="1"/>
  <c r="T29" i="15" s="1"/>
  <c r="T32" i="15" s="1"/>
  <c r="U6" i="55" s="1"/>
  <c r="U9" i="55" s="1"/>
  <c r="T17" i="41"/>
  <c r="T21" i="41" s="1"/>
  <c r="T26" i="41" s="1"/>
  <c r="T31" i="41" s="1"/>
  <c r="T32" i="41" s="1"/>
  <c r="S36" i="15"/>
  <c r="S39" i="15" s="1"/>
  <c r="S49" i="15"/>
  <c r="W42" i="32"/>
  <c r="W50" i="32" s="1"/>
  <c r="W68" i="32" s="1"/>
  <c r="W39" i="33" s="1"/>
  <c r="U47" i="15" s="1"/>
  <c r="W77" i="32"/>
  <c r="W78" i="32" s="1"/>
  <c r="W86" i="32" s="1"/>
  <c r="W104" i="32" s="1"/>
  <c r="W87" i="32"/>
  <c r="Y44" i="32"/>
  <c r="Y46" i="32" s="1"/>
  <c r="Y101" i="32"/>
  <c r="Y91" i="32"/>
  <c r="Y92" i="32" s="1"/>
  <c r="Y100" i="32" s="1"/>
  <c r="AA60" i="32"/>
  <c r="AB58" i="32" s="1"/>
  <c r="Z96" i="32"/>
  <c r="AA94" i="32" s="1"/>
  <c r="X80" i="32"/>
  <c r="Z55" i="32"/>
  <c r="Z56" i="32" s="1"/>
  <c r="Z64" i="32" s="1"/>
  <c r="Z65" i="32"/>
  <c r="T35" i="15" l="1"/>
  <c r="T49" i="15" s="1"/>
  <c r="U28" i="41"/>
  <c r="U14" i="15"/>
  <c r="U17" i="15"/>
  <c r="U26" i="15"/>
  <c r="U15" i="15"/>
  <c r="U15" i="41"/>
  <c r="U14" i="41"/>
  <c r="U27" i="15"/>
  <c r="W12" i="19"/>
  <c r="W9" i="19" s="1"/>
  <c r="W14" i="19" s="1"/>
  <c r="W16" i="19" s="1"/>
  <c r="U30" i="15" s="1"/>
  <c r="U29" i="41"/>
  <c r="U16" i="15"/>
  <c r="U86" i="48" s="1"/>
  <c r="U85" i="48" s="1"/>
  <c r="U88" i="48" s="1"/>
  <c r="Z44" i="32"/>
  <c r="Z46" i="32" s="1"/>
  <c r="AA65" i="32"/>
  <c r="AA55" i="32"/>
  <c r="AA56" i="32" s="1"/>
  <c r="AA64" i="32" s="1"/>
  <c r="X41" i="32"/>
  <c r="X51" i="32"/>
  <c r="AA96" i="32"/>
  <c r="AB94" i="32" s="1"/>
  <c r="AB60" i="32"/>
  <c r="AC58" i="32" s="1"/>
  <c r="X82" i="32"/>
  <c r="Y80" i="32" s="1"/>
  <c r="Z91" i="32"/>
  <c r="Z92" i="32" s="1"/>
  <c r="Z100" i="32" s="1"/>
  <c r="Z101" i="32"/>
  <c r="T22" i="41"/>
  <c r="T36" i="15" l="1"/>
  <c r="T39" i="15" s="1"/>
  <c r="U13" i="15"/>
  <c r="U20" i="15" s="1"/>
  <c r="U25" i="15" s="1"/>
  <c r="U29" i="15" s="1"/>
  <c r="U32" i="15" s="1"/>
  <c r="U35" i="15" s="1"/>
  <c r="U17" i="41"/>
  <c r="U21" i="41" s="1"/>
  <c r="U26" i="41" s="1"/>
  <c r="U31" i="41" s="1"/>
  <c r="U32" i="41" s="1"/>
  <c r="X42" i="32"/>
  <c r="X50" i="32" s="1"/>
  <c r="X68" i="32" s="1"/>
  <c r="X39" i="33" s="1"/>
  <c r="V27" i="15" s="1"/>
  <c r="AA44" i="32"/>
  <c r="AA46" i="32" s="1"/>
  <c r="Y82" i="32"/>
  <c r="Z80" i="32" s="1"/>
  <c r="AC60" i="32"/>
  <c r="AD58" i="32" s="1"/>
  <c r="X77" i="32"/>
  <c r="X78" i="32" s="1"/>
  <c r="X86" i="32" s="1"/>
  <c r="X104" i="32" s="1"/>
  <c r="X87" i="32"/>
  <c r="AB65" i="32"/>
  <c r="AB55" i="32"/>
  <c r="AB56" i="32" s="1"/>
  <c r="AB64" i="32" s="1"/>
  <c r="Y51" i="32"/>
  <c r="Y41" i="32"/>
  <c r="AB96" i="32"/>
  <c r="AC94" i="32" s="1"/>
  <c r="AA91" i="32"/>
  <c r="AA92" i="32" s="1"/>
  <c r="AA100" i="32" s="1"/>
  <c r="AA101" i="32"/>
  <c r="V6" i="55" l="1"/>
  <c r="V9" i="55" s="1"/>
  <c r="X12" i="19"/>
  <c r="X9" i="19" s="1"/>
  <c r="X14" i="19" s="1"/>
  <c r="X16" i="19" s="1"/>
  <c r="V30" i="15" s="1"/>
  <c r="V15" i="41"/>
  <c r="V14" i="15"/>
  <c r="V29" i="41"/>
  <c r="V14" i="41"/>
  <c r="V15" i="15"/>
  <c r="V17" i="15"/>
  <c r="U22" i="41"/>
  <c r="V28" i="41"/>
  <c r="V16" i="15"/>
  <c r="V86" i="48" s="1"/>
  <c r="V85" i="48" s="1"/>
  <c r="V88" i="48" s="1"/>
  <c r="V26" i="15"/>
  <c r="V47" i="15"/>
  <c r="Y42" i="32"/>
  <c r="Y50" i="32" s="1"/>
  <c r="Y68" i="32" s="1"/>
  <c r="Y39" i="33" s="1"/>
  <c r="W14" i="15" s="1"/>
  <c r="Z82" i="32"/>
  <c r="AA80" i="32" s="1"/>
  <c r="Y87" i="32"/>
  <c r="Y77" i="32"/>
  <c r="Y78" i="32" s="1"/>
  <c r="Y86" i="32" s="1"/>
  <c r="Y104" i="32" s="1"/>
  <c r="U49" i="15"/>
  <c r="U36" i="15"/>
  <c r="U39" i="15" s="1"/>
  <c r="AC96" i="32"/>
  <c r="AD94" i="32" s="1"/>
  <c r="AB101" i="32"/>
  <c r="AB91" i="32"/>
  <c r="AB92" i="32" s="1"/>
  <c r="AB100" i="32" s="1"/>
  <c r="AD60" i="32"/>
  <c r="AE58" i="32" s="1"/>
  <c r="AB44" i="32"/>
  <c r="AB46" i="32" s="1"/>
  <c r="AC65" i="32"/>
  <c r="AC55" i="32"/>
  <c r="AC56" i="32" s="1"/>
  <c r="AC64" i="32" s="1"/>
  <c r="Z51" i="32"/>
  <c r="Z41" i="32"/>
  <c r="V17" i="41" l="1"/>
  <c r="V21" i="41" s="1"/>
  <c r="V26" i="41" s="1"/>
  <c r="V31" i="41" s="1"/>
  <c r="V32" i="41" s="1"/>
  <c r="V13" i="15"/>
  <c r="V20" i="15" s="1"/>
  <c r="V25" i="15" s="1"/>
  <c r="V29" i="15" s="1"/>
  <c r="V32" i="15" s="1"/>
  <c r="V35" i="15" s="1"/>
  <c r="W15" i="15"/>
  <c r="W14" i="41"/>
  <c r="W47" i="15"/>
  <c r="W27" i="15"/>
  <c r="W16" i="15"/>
  <c r="W86" i="48" s="1"/>
  <c r="W85" i="48" s="1"/>
  <c r="W88" i="48" s="1"/>
  <c r="Y12" i="19"/>
  <c r="Y9" i="19" s="1"/>
  <c r="Y14" i="19" s="1"/>
  <c r="Y16" i="19" s="1"/>
  <c r="W30" i="15" s="1"/>
  <c r="W17" i="15"/>
  <c r="W28" i="41"/>
  <c r="W29" i="41"/>
  <c r="W15" i="41"/>
  <c r="Z42" i="32"/>
  <c r="Z50" i="32" s="1"/>
  <c r="Z68" i="32" s="1"/>
  <c r="Z39" i="33" s="1"/>
  <c r="X27" i="15" s="1"/>
  <c r="W26" i="15"/>
  <c r="AC101" i="32"/>
  <c r="AC91" i="32"/>
  <c r="AC92" i="32" s="1"/>
  <c r="AC100" i="32" s="1"/>
  <c r="AA51" i="32"/>
  <c r="AA41" i="32"/>
  <c r="AD96" i="32"/>
  <c r="AE94" i="32" s="1"/>
  <c r="AA82" i="32"/>
  <c r="AB80" i="32" s="1"/>
  <c r="AE60" i="32"/>
  <c r="AF58" i="32" s="1"/>
  <c r="AD65" i="32"/>
  <c r="AD55" i="32"/>
  <c r="AD56" i="32" s="1"/>
  <c r="AD64" i="32" s="1"/>
  <c r="Z77" i="32"/>
  <c r="Z78" i="32" s="1"/>
  <c r="Z86" i="32" s="1"/>
  <c r="Z104" i="32" s="1"/>
  <c r="Z87" i="32"/>
  <c r="V22" i="41" l="1"/>
  <c r="W6" i="55"/>
  <c r="W9" i="55" s="1"/>
  <c r="W13" i="15"/>
  <c r="W20" i="15" s="1"/>
  <c r="W25" i="15" s="1"/>
  <c r="W29" i="15" s="1"/>
  <c r="W32" i="15" s="1"/>
  <c r="W35" i="15" s="1"/>
  <c r="X15" i="15"/>
  <c r="Z12" i="19"/>
  <c r="Z9" i="19" s="1"/>
  <c r="Z14" i="19" s="1"/>
  <c r="Z16" i="19" s="1"/>
  <c r="X30" i="15" s="1"/>
  <c r="X26" i="15"/>
  <c r="AA42" i="32"/>
  <c r="AA50" i="32" s="1"/>
  <c r="AA68" i="32" s="1"/>
  <c r="AA39" i="33" s="1"/>
  <c r="Y29" i="41" s="1"/>
  <c r="X29" i="41"/>
  <c r="X28" i="41"/>
  <c r="X14" i="41"/>
  <c r="X16" i="15"/>
  <c r="X86" i="48" s="1"/>
  <c r="X85" i="48" s="1"/>
  <c r="X88" i="48" s="1"/>
  <c r="W17" i="41"/>
  <c r="W21" i="41" s="1"/>
  <c r="W26" i="41" s="1"/>
  <c r="W31" i="41" s="1"/>
  <c r="W32" i="41" s="1"/>
  <c r="X14" i="15"/>
  <c r="X17" i="15"/>
  <c r="X47" i="15"/>
  <c r="X15" i="41"/>
  <c r="AB82" i="32"/>
  <c r="AB51" i="32"/>
  <c r="AB41" i="32"/>
  <c r="AE55" i="32"/>
  <c r="AE56" i="32" s="1"/>
  <c r="AE64" i="32" s="1"/>
  <c r="AE65" i="32"/>
  <c r="V49" i="15"/>
  <c r="V36" i="15"/>
  <c r="V39" i="15" s="1"/>
  <c r="AF60" i="32"/>
  <c r="AG58" i="32" s="1"/>
  <c r="AE96" i="32"/>
  <c r="AD101" i="32"/>
  <c r="AD91" i="32"/>
  <c r="AD92" i="32" s="1"/>
  <c r="AD100" i="32" s="1"/>
  <c r="AA77" i="32"/>
  <c r="AA78" i="32" s="1"/>
  <c r="AA86" i="32" s="1"/>
  <c r="AA104" i="32" s="1"/>
  <c r="AA87" i="32"/>
  <c r="AC44" i="32"/>
  <c r="AC46" i="32" s="1"/>
  <c r="X6" i="55" l="1"/>
  <c r="X9" i="55" s="1"/>
  <c r="X17" i="41"/>
  <c r="X21" i="41" s="1"/>
  <c r="X26" i="41" s="1"/>
  <c r="X31" i="41" s="1"/>
  <c r="X32" i="41" s="1"/>
  <c r="X13" i="15"/>
  <c r="X20" i="15" s="1"/>
  <c r="X25" i="15" s="1"/>
  <c r="X29" i="15" s="1"/>
  <c r="X32" i="15" s="1"/>
  <c r="Y6" i="55" s="1"/>
  <c r="Y9" i="55" s="1"/>
  <c r="Y47" i="15"/>
  <c r="Y17" i="15"/>
  <c r="Y27" i="15"/>
  <c r="Y15" i="15"/>
  <c r="Y28" i="41"/>
  <c r="Y14" i="41"/>
  <c r="W22" i="41"/>
  <c r="Y16" i="15"/>
  <c r="Y86" i="48" s="1"/>
  <c r="Y85" i="48" s="1"/>
  <c r="Y88" i="48" s="1"/>
  <c r="Y15" i="41"/>
  <c r="Y14" i="15"/>
  <c r="Y26" i="15"/>
  <c r="AA12" i="19"/>
  <c r="AA9" i="19" s="1"/>
  <c r="AA14" i="19" s="1"/>
  <c r="AA16" i="19" s="1"/>
  <c r="Y30" i="15" s="1"/>
  <c r="AB42" i="32"/>
  <c r="AB50" i="32" s="1"/>
  <c r="AB68" i="32" s="1"/>
  <c r="AB39" i="33" s="1"/>
  <c r="Z29" i="41" s="1"/>
  <c r="AG60" i="32"/>
  <c r="AH58" i="32" s="1"/>
  <c r="W49" i="15"/>
  <c r="W36" i="15"/>
  <c r="W39" i="15" s="1"/>
  <c r="AE101" i="32"/>
  <c r="AE91" i="32"/>
  <c r="AE92" i="32" s="1"/>
  <c r="AE100" i="32" s="1"/>
  <c r="AF94" i="32"/>
  <c r="AF55" i="32"/>
  <c r="AF56" i="32" s="1"/>
  <c r="AF64" i="32" s="1"/>
  <c r="AF65" i="32"/>
  <c r="AB77" i="32"/>
  <c r="AB78" i="32" s="1"/>
  <c r="AB86" i="32" s="1"/>
  <c r="AB104" i="32" s="1"/>
  <c r="AB87" i="32"/>
  <c r="AC80" i="32"/>
  <c r="X35" i="15" l="1"/>
  <c r="Y17" i="41"/>
  <c r="Y21" i="41" s="1"/>
  <c r="Y26" i="41" s="1"/>
  <c r="Y31" i="41" s="1"/>
  <c r="Y32" i="41" s="1"/>
  <c r="Y13" i="15"/>
  <c r="Y20" i="15" s="1"/>
  <c r="Y25" i="15" s="1"/>
  <c r="Y29" i="15" s="1"/>
  <c r="Y32" i="15" s="1"/>
  <c r="Z6" i="55" s="1"/>
  <c r="Z9" i="55" s="1"/>
  <c r="Z28" i="41"/>
  <c r="Z14" i="15"/>
  <c r="AB12" i="19"/>
  <c r="AB9" i="19" s="1"/>
  <c r="AB14" i="19" s="1"/>
  <c r="AB16" i="19" s="1"/>
  <c r="Z30" i="15" s="1"/>
  <c r="Z47" i="15"/>
  <c r="X22" i="41"/>
  <c r="Z15" i="15"/>
  <c r="Z27" i="15"/>
  <c r="Z26" i="15"/>
  <c r="Z16" i="15"/>
  <c r="Z86" i="48" s="1"/>
  <c r="Z85" i="48" s="1"/>
  <c r="Z88" i="48" s="1"/>
  <c r="Z14" i="41"/>
  <c r="Z15" i="41"/>
  <c r="Z17" i="15"/>
  <c r="AH60" i="32"/>
  <c r="AI58" i="32" s="1"/>
  <c r="AC41" i="32"/>
  <c r="AC51" i="32"/>
  <c r="AD44" i="32"/>
  <c r="AD46" i="32" s="1"/>
  <c r="AF96" i="32"/>
  <c r="X49" i="15"/>
  <c r="X36" i="15"/>
  <c r="X39" i="15" s="1"/>
  <c r="AC82" i="32"/>
  <c r="AG65" i="32"/>
  <c r="AG55" i="32"/>
  <c r="AG56" i="32" s="1"/>
  <c r="AG64" i="32" s="1"/>
  <c r="Y35" i="15" l="1"/>
  <c r="Y49" i="15" s="1"/>
  <c r="Z13" i="15"/>
  <c r="Z20" i="15" s="1"/>
  <c r="Z25" i="15" s="1"/>
  <c r="Z29" i="15" s="1"/>
  <c r="Z32" i="15" s="1"/>
  <c r="AA6" i="55" s="1"/>
  <c r="AA9" i="55" s="1"/>
  <c r="Y22" i="41"/>
  <c r="AC42" i="32"/>
  <c r="AC50" i="32" s="1"/>
  <c r="AC68" i="32" s="1"/>
  <c r="AC39" i="33" s="1"/>
  <c r="AA29" i="41" s="1"/>
  <c r="Z17" i="41"/>
  <c r="AF101" i="32"/>
  <c r="AF91" i="32"/>
  <c r="AF92" i="32" s="1"/>
  <c r="AF100" i="32" s="1"/>
  <c r="AC87" i="32"/>
  <c r="AC77" i="32"/>
  <c r="AC78" i="32" s="1"/>
  <c r="AC86" i="32" s="1"/>
  <c r="AC104" i="32" s="1"/>
  <c r="AI60" i="32"/>
  <c r="AJ58" i="32" s="1"/>
  <c r="AJ60" i="32" s="1"/>
  <c r="AD80" i="32"/>
  <c r="AG94" i="32"/>
  <c r="AH65" i="32"/>
  <c r="AH55" i="32"/>
  <c r="AH56" i="32" s="1"/>
  <c r="AH64" i="32" s="1"/>
  <c r="Z35" i="15" l="1"/>
  <c r="Z49" i="15" s="1"/>
  <c r="Y36" i="15"/>
  <c r="Y39" i="15" s="1"/>
  <c r="AA17" i="15"/>
  <c r="AA27" i="15"/>
  <c r="AA26" i="15"/>
  <c r="AA16" i="15"/>
  <c r="AA86" i="48" s="1"/>
  <c r="AA85" i="48" s="1"/>
  <c r="AA88" i="48" s="1"/>
  <c r="AC12" i="19"/>
  <c r="AC9" i="19" s="1"/>
  <c r="AC14" i="19" s="1"/>
  <c r="AC16" i="19" s="1"/>
  <c r="AA30" i="15" s="1"/>
  <c r="AA28" i="41"/>
  <c r="AA14" i="41"/>
  <c r="AA15" i="41"/>
  <c r="AA14" i="15"/>
  <c r="AA15" i="15"/>
  <c r="Z21" i="41"/>
  <c r="Z26" i="41" s="1"/>
  <c r="Z31" i="41" s="1"/>
  <c r="Z32" i="41" s="1"/>
  <c r="AA47" i="15"/>
  <c r="AJ55" i="32"/>
  <c r="AJ56" i="32" s="1"/>
  <c r="AJ64" i="32" s="1"/>
  <c r="AJ65" i="32"/>
  <c r="AI55" i="32"/>
  <c r="AI56" i="32" s="1"/>
  <c r="AI64" i="32" s="1"/>
  <c r="AI65" i="32"/>
  <c r="AD51" i="32"/>
  <c r="AD41" i="32"/>
  <c r="AG96" i="32"/>
  <c r="AE44" i="32"/>
  <c r="AE46" i="32" s="1"/>
  <c r="AD82" i="32"/>
  <c r="AE80" i="32" s="1"/>
  <c r="Z36" i="15" l="1"/>
  <c r="Z39" i="15" s="1"/>
  <c r="AA17" i="41"/>
  <c r="AA21" i="41" s="1"/>
  <c r="AA26" i="41" s="1"/>
  <c r="AA31" i="41" s="1"/>
  <c r="AA32" i="41" s="1"/>
  <c r="AA13" i="15"/>
  <c r="AA20" i="15" s="1"/>
  <c r="AA25" i="15" s="1"/>
  <c r="AA29" i="15" s="1"/>
  <c r="AA32" i="15" s="1"/>
  <c r="AA35" i="15" s="1"/>
  <c r="Z22" i="41"/>
  <c r="AD42" i="32"/>
  <c r="AD50" i="32" s="1"/>
  <c r="AD68" i="32" s="1"/>
  <c r="AD39" i="33" s="1"/>
  <c r="AD12" i="19" s="1"/>
  <c r="AD9" i="19" s="1"/>
  <c r="AD14" i="19" s="1"/>
  <c r="AD16" i="19" s="1"/>
  <c r="AB30" i="15" s="1"/>
  <c r="AE82" i="32"/>
  <c r="AD77" i="32"/>
  <c r="AD78" i="32" s="1"/>
  <c r="AD86" i="32" s="1"/>
  <c r="AD104" i="32" s="1"/>
  <c r="AD87" i="32"/>
  <c r="AF44" i="32"/>
  <c r="AF46" i="32" s="1"/>
  <c r="AG101" i="32"/>
  <c r="AG91" i="32"/>
  <c r="AG92" i="32" s="1"/>
  <c r="AG100" i="32" s="1"/>
  <c r="AH94" i="32"/>
  <c r="AB6" i="55" l="1"/>
  <c r="AB9" i="55" s="1"/>
  <c r="AA22" i="41"/>
  <c r="AB47" i="15"/>
  <c r="AB26" i="15"/>
  <c r="AB14" i="41"/>
  <c r="AB14" i="15"/>
  <c r="AB28" i="41"/>
  <c r="AB16" i="15"/>
  <c r="AB86" i="48" s="1"/>
  <c r="AB85" i="48" s="1"/>
  <c r="AB88" i="48" s="1"/>
  <c r="AB15" i="41"/>
  <c r="AB15" i="15"/>
  <c r="AB17" i="15"/>
  <c r="AB27" i="15"/>
  <c r="AB29" i="41"/>
  <c r="AE51" i="32"/>
  <c r="AE41" i="32"/>
  <c r="AG44" i="32"/>
  <c r="AG46" i="32" s="1"/>
  <c r="AA49" i="15"/>
  <c r="AA36" i="15"/>
  <c r="AA39" i="15" s="1"/>
  <c r="AH96" i="32"/>
  <c r="AI94" i="32" s="1"/>
  <c r="AE87" i="32"/>
  <c r="AE77" i="32"/>
  <c r="AE78" i="32" s="1"/>
  <c r="AE86" i="32" s="1"/>
  <c r="AE104" i="32" s="1"/>
  <c r="AF80" i="32"/>
  <c r="AB17" i="41" l="1"/>
  <c r="AB21" i="41" s="1"/>
  <c r="AB26" i="41" s="1"/>
  <c r="AB31" i="41" s="1"/>
  <c r="AB32" i="41" s="1"/>
  <c r="AB13" i="15"/>
  <c r="AB20" i="15" s="1"/>
  <c r="AB25" i="15" s="1"/>
  <c r="AB29" i="15" s="1"/>
  <c r="AB32" i="15" s="1"/>
  <c r="AE42" i="32"/>
  <c r="AE50" i="32" s="1"/>
  <c r="AE68" i="32" s="1"/>
  <c r="AE39" i="33" s="1"/>
  <c r="AC27" i="15" s="1"/>
  <c r="AI96" i="32"/>
  <c r="AJ94" i="32" s="1"/>
  <c r="AJ96" i="32" s="1"/>
  <c r="AF51" i="32"/>
  <c r="AF41" i="32"/>
  <c r="AF82" i="32"/>
  <c r="AG80" i="32" s="1"/>
  <c r="AH101" i="32"/>
  <c r="AH91" i="32"/>
  <c r="AH92" i="32" s="1"/>
  <c r="AH100" i="32" s="1"/>
  <c r="AC16" i="15" l="1"/>
  <c r="AC86" i="48" s="1"/>
  <c r="AC85" i="48" s="1"/>
  <c r="AC88" i="48" s="1"/>
  <c r="AC17" i="15"/>
  <c r="AE12" i="19"/>
  <c r="AE9" i="19" s="1"/>
  <c r="AE14" i="19" s="1"/>
  <c r="AE16" i="19" s="1"/>
  <c r="AC30" i="15" s="1"/>
  <c r="AC26" i="15"/>
  <c r="AC28" i="41"/>
  <c r="AB22" i="41"/>
  <c r="AC47" i="15"/>
  <c r="AC15" i="41"/>
  <c r="AC14" i="15"/>
  <c r="AC14" i="41"/>
  <c r="AC15" i="15"/>
  <c r="AB35" i="15"/>
  <c r="AC6" i="55"/>
  <c r="AC9" i="55" s="1"/>
  <c r="AC29" i="41"/>
  <c r="AF42" i="32"/>
  <c r="AF50" i="32" s="1"/>
  <c r="AF68" i="32" s="1"/>
  <c r="AF39" i="33" s="1"/>
  <c r="AD14" i="15" s="1"/>
  <c r="AG82" i="32"/>
  <c r="AJ101" i="32"/>
  <c r="AJ91" i="32"/>
  <c r="AJ92" i="32" s="1"/>
  <c r="AJ100" i="32" s="1"/>
  <c r="AF77" i="32"/>
  <c r="AF78" i="32" s="1"/>
  <c r="AF86" i="32" s="1"/>
  <c r="AF104" i="32" s="1"/>
  <c r="AF87" i="32"/>
  <c r="AI91" i="32"/>
  <c r="AI92" i="32" s="1"/>
  <c r="AI100" i="32" s="1"/>
  <c r="AI101" i="32"/>
  <c r="AG41" i="32"/>
  <c r="AG51" i="32"/>
  <c r="AH44" i="32"/>
  <c r="AH46" i="32" s="1"/>
  <c r="AC13" i="15" l="1"/>
  <c r="AC20" i="15" s="1"/>
  <c r="AC25" i="15" s="1"/>
  <c r="AC29" i="15" s="1"/>
  <c r="AC32" i="15" s="1"/>
  <c r="AC17" i="41"/>
  <c r="AC21" i="41" s="1"/>
  <c r="AC26" i="41" s="1"/>
  <c r="AC31" i="41" s="1"/>
  <c r="AC32" i="41" s="1"/>
  <c r="AB49" i="15"/>
  <c r="AB36" i="15"/>
  <c r="AB39" i="15" s="1"/>
  <c r="AD28" i="41"/>
  <c r="AD47" i="15"/>
  <c r="AD15" i="41"/>
  <c r="AD14" i="41"/>
  <c r="AD16" i="15"/>
  <c r="AD86" i="48" s="1"/>
  <c r="AD85" i="48" s="1"/>
  <c r="AD88" i="48" s="1"/>
  <c r="AG42" i="32"/>
  <c r="AG50" i="32" s="1"/>
  <c r="AG68" i="32" s="1"/>
  <c r="AG39" i="33" s="1"/>
  <c r="AE16" i="15" s="1"/>
  <c r="AE86" i="48" s="1"/>
  <c r="AE85" i="48" s="1"/>
  <c r="AE88" i="48" s="1"/>
  <c r="AD27" i="15"/>
  <c r="AD26" i="15"/>
  <c r="AD15" i="15"/>
  <c r="AD17" i="15"/>
  <c r="AD29" i="41"/>
  <c r="AF12" i="19"/>
  <c r="AF9" i="19" s="1"/>
  <c r="AF14" i="19" s="1"/>
  <c r="AF16" i="19" s="1"/>
  <c r="AD30" i="15" s="1"/>
  <c r="AG77" i="32"/>
  <c r="AG78" i="32" s="1"/>
  <c r="AG86" i="32" s="1"/>
  <c r="AG104" i="32" s="1"/>
  <c r="AG87" i="32"/>
  <c r="AH80" i="32"/>
  <c r="AC35" i="15" l="1"/>
  <c r="AC36" i="15" s="1"/>
  <c r="AC39" i="15" s="1"/>
  <c r="AD6" i="55"/>
  <c r="AD9" i="55" s="1"/>
  <c r="AD17" i="41"/>
  <c r="AD21" i="41" s="1"/>
  <c r="AD26" i="41" s="1"/>
  <c r="AD31" i="41" s="1"/>
  <c r="AD32" i="41" s="1"/>
  <c r="AE29" i="41"/>
  <c r="AE47" i="15"/>
  <c r="AC22" i="41"/>
  <c r="AE28" i="41"/>
  <c r="AE14" i="15"/>
  <c r="AE17" i="15"/>
  <c r="AE15" i="41"/>
  <c r="AE14" i="41"/>
  <c r="AG12" i="19"/>
  <c r="AG9" i="19" s="1"/>
  <c r="AG14" i="19" s="1"/>
  <c r="AG16" i="19" s="1"/>
  <c r="AE30" i="15" s="1"/>
  <c r="AD13" i="15"/>
  <c r="AD20" i="15" s="1"/>
  <c r="AD25" i="15" s="1"/>
  <c r="AD29" i="15" s="1"/>
  <c r="AD32" i="15" s="1"/>
  <c r="AE6" i="55" s="1"/>
  <c r="AE9" i="55" s="1"/>
  <c r="AE26" i="15"/>
  <c r="AE15" i="15"/>
  <c r="AE27" i="15"/>
  <c r="AH82" i="32"/>
  <c r="AI80" i="32" s="1"/>
  <c r="AH51" i="32"/>
  <c r="AH41" i="32"/>
  <c r="AI44" i="32"/>
  <c r="AI46" i="32" s="1"/>
  <c r="AC49" i="15" l="1"/>
  <c r="AE17" i="41"/>
  <c r="AE21" i="41" s="1"/>
  <c r="AE26" i="41" s="1"/>
  <c r="AE31" i="41" s="1"/>
  <c r="AE32" i="41" s="1"/>
  <c r="AE13" i="15"/>
  <c r="AE20" i="15" s="1"/>
  <c r="AE25" i="15" s="1"/>
  <c r="AE29" i="15" s="1"/>
  <c r="AE32" i="15" s="1"/>
  <c r="AE35" i="15" s="1"/>
  <c r="AD35" i="15"/>
  <c r="AD49" i="15" s="1"/>
  <c r="AD22" i="41"/>
  <c r="AH42" i="32"/>
  <c r="AH50" i="32" s="1"/>
  <c r="AH68" i="32" s="1"/>
  <c r="AH39" i="33" s="1"/>
  <c r="AF26" i="15" s="1"/>
  <c r="AI82" i="32"/>
  <c r="AJ44" i="32"/>
  <c r="AJ46" i="32" s="1"/>
  <c r="AH77" i="32"/>
  <c r="AH78" i="32" s="1"/>
  <c r="AH86" i="32" s="1"/>
  <c r="AH104" i="32" s="1"/>
  <c r="AH87" i="32"/>
  <c r="AD36" i="15" l="1"/>
  <c r="AD39" i="15" s="1"/>
  <c r="AE22" i="41"/>
  <c r="AF29" i="41"/>
  <c r="AF27" i="15"/>
  <c r="AF6" i="55"/>
  <c r="AF9" i="55" s="1"/>
  <c r="AF47" i="15"/>
  <c r="AF28" i="41"/>
  <c r="AH12" i="19"/>
  <c r="AH9" i="19" s="1"/>
  <c r="AH14" i="19" s="1"/>
  <c r="AH16" i="19" s="1"/>
  <c r="AF30" i="15" s="1"/>
  <c r="AF17" i="15"/>
  <c r="AF14" i="41"/>
  <c r="AF15" i="41"/>
  <c r="AF15" i="15"/>
  <c r="AF14" i="15"/>
  <c r="AF16" i="15"/>
  <c r="AF86" i="48" s="1"/>
  <c r="AF85" i="48" s="1"/>
  <c r="AF88" i="48" s="1"/>
  <c r="AJ41" i="32"/>
  <c r="AJ51" i="32"/>
  <c r="AI87" i="32"/>
  <c r="AI77" i="32"/>
  <c r="AI78" i="32" s="1"/>
  <c r="AI86" i="32" s="1"/>
  <c r="AI104" i="32" s="1"/>
  <c r="AJ80" i="32"/>
  <c r="AJ82" i="32" s="1"/>
  <c r="AI41" i="32"/>
  <c r="AI51" i="32"/>
  <c r="AE49" i="15"/>
  <c r="AE36" i="15" l="1"/>
  <c r="AE39" i="15" s="1"/>
  <c r="AF13" i="15"/>
  <c r="AF20" i="15" s="1"/>
  <c r="AF25" i="15" s="1"/>
  <c r="AF29" i="15" s="1"/>
  <c r="AF32" i="15" s="1"/>
  <c r="AF35" i="15" s="1"/>
  <c r="AF17" i="41"/>
  <c r="AF21" i="41" s="1"/>
  <c r="AF26" i="41" s="1"/>
  <c r="AF31" i="41" s="1"/>
  <c r="AF32" i="41" s="1"/>
  <c r="AJ42" i="32"/>
  <c r="AJ50" i="32" s="1"/>
  <c r="AJ68" i="32" s="1"/>
  <c r="AJ39" i="33" s="1"/>
  <c r="AH29" i="41" s="1"/>
  <c r="AI42" i="32"/>
  <c r="AI50" i="32" s="1"/>
  <c r="AI68" i="32" s="1"/>
  <c r="AI39" i="33" s="1"/>
  <c r="AG15" i="41" s="1"/>
  <c r="AJ77" i="32"/>
  <c r="AJ78" i="32" s="1"/>
  <c r="AJ86" i="32" s="1"/>
  <c r="AJ104" i="32" s="1"/>
  <c r="AJ87" i="32"/>
  <c r="AG6" i="55" l="1"/>
  <c r="AG9" i="55" s="1"/>
  <c r="AF22" i="41"/>
  <c r="AH17" i="15"/>
  <c r="AJ12" i="19"/>
  <c r="AJ9" i="19" s="1"/>
  <c r="AJ14" i="19" s="1"/>
  <c r="AH15" i="15"/>
  <c r="AG47" i="15"/>
  <c r="AH27" i="15"/>
  <c r="AH28" i="41"/>
  <c r="AG15" i="15"/>
  <c r="AH16" i="15"/>
  <c r="AH86" i="48" s="1"/>
  <c r="AG29" i="41"/>
  <c r="AG28" i="41"/>
  <c r="AI12" i="19"/>
  <c r="AI9" i="19" s="1"/>
  <c r="AI14" i="19" s="1"/>
  <c r="AI16" i="19" s="1"/>
  <c r="AG30" i="15" s="1"/>
  <c r="AH47" i="15"/>
  <c r="AG27" i="15"/>
  <c r="AH14" i="41"/>
  <c r="AH15" i="41"/>
  <c r="AG14" i="15"/>
  <c r="AH26" i="15"/>
  <c r="AG16" i="15"/>
  <c r="AG86" i="48" s="1"/>
  <c r="AG85" i="48" s="1"/>
  <c r="AG88" i="48" s="1"/>
  <c r="AG26" i="15"/>
  <c r="AG14" i="41"/>
  <c r="AG17" i="41" s="1"/>
  <c r="AG17" i="15"/>
  <c r="AH14" i="15"/>
  <c r="AF49" i="15"/>
  <c r="AF36" i="15"/>
  <c r="AF39" i="15" s="1"/>
  <c r="AH85" i="48" l="1"/>
  <c r="AH88" i="48" s="1"/>
  <c r="D86" i="48"/>
  <c r="D85" i="48" s="1"/>
  <c r="D88" i="48" s="1"/>
  <c r="D90" i="48" s="1"/>
  <c r="E97" i="48" s="1"/>
  <c r="AJ16" i="19"/>
  <c r="AH30" i="15" s="1"/>
  <c r="AG13" i="15"/>
  <c r="AG20" i="15" s="1"/>
  <c r="AG25" i="15" s="1"/>
  <c r="AG29" i="15" s="1"/>
  <c r="AG32" i="15" s="1"/>
  <c r="AH6" i="55" s="1"/>
  <c r="AH9" i="55" s="1"/>
  <c r="AH13" i="15"/>
  <c r="AH20" i="15" s="1"/>
  <c r="AH25" i="15" s="1"/>
  <c r="AH29" i="15" s="1"/>
  <c r="AH17" i="41"/>
  <c r="AH21" i="41" s="1"/>
  <c r="AH26" i="41" s="1"/>
  <c r="AH31" i="41" s="1"/>
  <c r="AG21" i="41"/>
  <c r="AG26" i="41" s="1"/>
  <c r="AG31" i="41" s="1"/>
  <c r="AG32" i="41" s="1"/>
  <c r="AH32" i="15" l="1"/>
  <c r="AH35" i="15" s="1"/>
  <c r="AH49" i="15" s="1"/>
  <c r="AG35" i="15"/>
  <c r="AG49" i="15" s="1"/>
  <c r="AH32" i="41"/>
  <c r="AH22" i="41"/>
  <c r="AG22" i="41"/>
  <c r="E53" i="15" l="1"/>
  <c r="G19" i="45" s="1"/>
  <c r="AI6" i="55"/>
  <c r="AI9" i="55" s="1"/>
  <c r="F13" i="55" s="1"/>
  <c r="G13" i="55" s="1"/>
  <c r="H13" i="55" s="1"/>
  <c r="I13" i="55" s="1"/>
  <c r="J13" i="55" s="1"/>
  <c r="K13" i="55" s="1"/>
  <c r="L13" i="55" s="1"/>
  <c r="M13" i="55" s="1"/>
  <c r="N13" i="55" s="1"/>
  <c r="O13" i="55" s="1"/>
  <c r="P13" i="55" s="1"/>
  <c r="Q13" i="55" s="1"/>
  <c r="R13" i="55" s="1"/>
  <c r="S13" i="55" s="1"/>
  <c r="T13" i="55" s="1"/>
  <c r="U13" i="55" s="1"/>
  <c r="V13" i="55" s="1"/>
  <c r="W13" i="55" s="1"/>
  <c r="X13" i="55" s="1"/>
  <c r="Y13" i="55" s="1"/>
  <c r="Z13" i="55" s="1"/>
  <c r="AA13" i="55" s="1"/>
  <c r="AB13" i="55" s="1"/>
  <c r="AC13" i="55" s="1"/>
  <c r="AD13" i="55" s="1"/>
  <c r="AE13" i="55" s="1"/>
  <c r="AF13" i="55" s="1"/>
  <c r="AG13" i="55" s="1"/>
  <c r="AH13" i="55" s="1"/>
  <c r="AI13" i="55" s="1"/>
  <c r="AG36" i="15"/>
  <c r="AG39" i="15" s="1"/>
  <c r="E55" i="15"/>
  <c r="G18" i="45" s="1"/>
  <c r="E54" i="15" l="1"/>
  <c r="D45" i="21" s="1"/>
  <c r="D44" i="21"/>
  <c r="J6" i="53"/>
  <c r="AH36" i="15"/>
  <c r="AH39" i="15" s="1"/>
  <c r="E56" i="15" s="1"/>
  <c r="D46" i="21" s="1"/>
  <c r="D43" i="21"/>
  <c r="G20" i="4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Clauber Bridi</author>
  </authors>
  <commentList>
    <comment ref="I17" authorId="0" shapeId="0" xr:uid="{3D02AD4E-E22E-4C65-B6FE-586C1147FDA7}">
      <text>
        <r>
          <rPr>
            <b/>
            <sz val="9"/>
            <color indexed="81"/>
            <rFont val="Tahoma"/>
            <family val="2"/>
          </rPr>
          <t>Informar o % de Administração Central estimado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" authorId="0" shapeId="0" xr:uid="{CD698230-7A85-45DD-AA01-55064C937B65}">
      <text>
        <r>
          <rPr>
            <b/>
            <sz val="9"/>
            <color indexed="81"/>
            <rFont val="Tahoma"/>
            <family val="2"/>
          </rPr>
          <t>Informar o % de Seguros, Riscos e Garantia estimado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" authorId="0" shapeId="0" xr:uid="{3683FC6A-58C4-41FA-9A24-A75D182BB003}">
      <text>
        <r>
          <rPr>
            <b/>
            <sz val="9"/>
            <color indexed="81"/>
            <rFont val="Tahoma"/>
            <family val="2"/>
          </rPr>
          <t>Informar o % de Lucro estimado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0" authorId="0" shapeId="0" xr:uid="{6EFEC599-A917-487C-A4EB-88A3D83A9643}">
      <text>
        <r>
          <rPr>
            <b/>
            <sz val="9"/>
            <color indexed="81"/>
            <rFont val="Tahoma"/>
            <family val="2"/>
          </rPr>
          <t>Informar o valor anual da taxa financeira, em percentual. Admite-se utilizar a SELIC</t>
        </r>
      </text>
    </comment>
    <comment ref="I21" authorId="0" shapeId="0" xr:uid="{AD01288D-4C39-46F0-BA52-7DD2B4376F89}">
      <text>
        <r>
          <rPr>
            <b/>
            <sz val="9"/>
            <color indexed="81"/>
            <rFont val="Tahoma"/>
            <family val="2"/>
          </rPr>
          <t>Informar o percentual de ISS, de acordo com a legislação tributária do município onde serão prestados os serviços. De 2% até o limite de 5%.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1" authorId="0" shapeId="0" xr:uid="{6FFE033B-E311-4B5C-81A9-DA8700D0DCDD}">
      <text>
        <r>
          <rPr>
            <b/>
            <sz val="9"/>
            <color indexed="81"/>
            <rFont val="Tahoma"/>
            <family val="2"/>
          </rPr>
          <t>Informar a média de dias úteis entre data de pagamento prevista no contrato e a data final do período de adimplemento da parcela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" authorId="0" shapeId="0" xr:uid="{CD185235-E0C3-4E99-919F-140CD6DD6B3D}">
      <text>
        <r>
          <rPr>
            <b/>
            <sz val="9"/>
            <color indexed="81"/>
            <rFont val="Tahoma"/>
            <family val="2"/>
          </rPr>
          <t xml:space="preserve">Informar o valor estimado de PIS/COFINS. </t>
        </r>
        <r>
          <rPr>
            <sz val="9"/>
            <color indexed="81"/>
            <rFont val="Tahoma"/>
            <family val="2"/>
          </rPr>
          <t xml:space="preserve">
1. Adotar 0,65% PIS + 3% COFINS quando o valor anual estimado do contrato for inferior ao limite para tributação pelo regime de incidência não-cumulativa (lucro presumido);
2. Adotar 1,65% PIS + 7,6% COFINS quando o valor anual estimado do contrato for superior ao limite para tributação pelo regime de incidência não-cumulativa (lucro real);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Raquel Cristina Marques da Silva</author>
  </authors>
  <commentList>
    <comment ref="E33" authorId="0" shapeId="0" xr:uid="{96EC3D17-DFB1-478A-93CB-03CE2CBC669D}">
      <text>
        <r>
          <rPr>
            <b/>
            <sz val="9"/>
            <color indexed="81"/>
            <rFont val="Segoe UI"/>
            <family val="2"/>
          </rPr>
          <t>Dedução de acordo com o art. 41 da Lei 12.973.</t>
        </r>
      </text>
    </comment>
  </commentList>
</comments>
</file>

<file path=xl/sharedStrings.xml><?xml version="1.0" encoding="utf-8"?>
<sst xmlns="http://schemas.openxmlformats.org/spreadsheetml/2006/main" count="3918" uniqueCount="1404">
  <si>
    <t>(soma das receitas ordinárias previstas para todo o período da concessão)</t>
  </si>
  <si>
    <t>Arapuá</t>
  </si>
  <si>
    <t>Coromandel</t>
  </si>
  <si>
    <t>Cruzeiro da Fortaleza</t>
  </si>
  <si>
    <t>Guimarânia</t>
  </si>
  <si>
    <t>Lagoa Formosa</t>
  </si>
  <si>
    <t>Patos de Minas</t>
  </si>
  <si>
    <t>Presidente Olegário</t>
  </si>
  <si>
    <t>Rio Paranaíba</t>
  </si>
  <si>
    <t>Serra do Salitre</t>
  </si>
  <si>
    <t>Social</t>
  </si>
  <si>
    <t>Residencial</t>
  </si>
  <si>
    <t>Comercial</t>
  </si>
  <si>
    <t>Industrial</t>
  </si>
  <si>
    <t>Pública</t>
  </si>
  <si>
    <t>Compensação de Prejuízos Fiscais</t>
  </si>
  <si>
    <t>Geração RSD (tonelada/ano)</t>
  </si>
  <si>
    <t>Ramp up (% Tarifa Básica - por ano)</t>
  </si>
  <si>
    <t>Instrumentos Financeiros</t>
  </si>
  <si>
    <t>Inadimplência</t>
  </si>
  <si>
    <t>Instruções</t>
  </si>
  <si>
    <t>Proteção:</t>
  </si>
  <si>
    <t>Células com premissas editáveis estão desbloqueadas para edição.</t>
  </si>
  <si>
    <t>As demais células, que não sejam premissas editáveis, estão bloqueadas.</t>
  </si>
  <si>
    <t>Procedimento para desproteger e editar as células bloqueadas:</t>
  </si>
  <si>
    <t>Opção: Revisão =&gt; Proteger Planilha =&gt; senha para desproteger: 0522</t>
  </si>
  <si>
    <t>Legenda de cores das células:</t>
  </si>
  <si>
    <t>x</t>
  </si>
  <si>
    <t>Premissas editáveis</t>
  </si>
  <si>
    <t>Células com fórmulas</t>
  </si>
  <si>
    <t>Células com dados fornecidos pelos municípios</t>
  </si>
  <si>
    <t>Abas:</t>
  </si>
  <si>
    <t>Abas subdivididas entre:</t>
  </si>
  <si>
    <t>Painel</t>
  </si>
  <si>
    <t>Premissas</t>
  </si>
  <si>
    <t>Demonstrações Financeiras</t>
  </si>
  <si>
    <t>Informações Consolidadas</t>
  </si>
  <si>
    <t>RPU</t>
  </si>
  <si>
    <t>Detalhamento</t>
  </si>
  <si>
    <t>Link para todas as informações na aba "Painel".</t>
  </si>
  <si>
    <t>Painel de Informações do Projeto</t>
  </si>
  <si>
    <t>Principais informações e resultados</t>
  </si>
  <si>
    <t>Prazo de Concessão:</t>
  </si>
  <si>
    <t>anos</t>
  </si>
  <si>
    <t>Valor do Capex:</t>
  </si>
  <si>
    <t>(considerando todo o período de concessão)</t>
  </si>
  <si>
    <t>Valor do OPEX:</t>
  </si>
  <si>
    <t>Valor do Contrato:</t>
  </si>
  <si>
    <t>WACC:</t>
  </si>
  <si>
    <t>a.a. real</t>
  </si>
  <si>
    <t xml:space="preserve">VPL </t>
  </si>
  <si>
    <t>TIR  a.a.</t>
  </si>
  <si>
    <t>a.a.</t>
  </si>
  <si>
    <t>TIR  a.m.</t>
  </si>
  <si>
    <t>a.m.</t>
  </si>
  <si>
    <t>Payback simples</t>
  </si>
  <si>
    <t>Tarifa-Base Referencial (R$/m³)</t>
  </si>
  <si>
    <t>Tarifa Básica dos Entes Públicos (R$ por tonelada)</t>
  </si>
  <si>
    <t xml:space="preserve">Valor da tarifa por economia </t>
  </si>
  <si>
    <t>ano</t>
  </si>
  <si>
    <t>(no ano 1) - média</t>
  </si>
  <si>
    <t>mês</t>
  </si>
  <si>
    <t>Valor da tarifa per capita</t>
  </si>
  <si>
    <t>Projeto de concessão dos serviços de coleta, transporte, tratamento e destinação final de resíduos sólidos urbanos dos municípios que integram o CISPAR - Consórcio Público Intermunicipal de Desenvolvimento Sustentável do Alto Paranaíba</t>
  </si>
  <si>
    <t>Prazos</t>
  </si>
  <si>
    <t>Prazo das Projeções</t>
  </si>
  <si>
    <t xml:space="preserve">anos </t>
  </si>
  <si>
    <t>Geração de Resíduos</t>
  </si>
  <si>
    <t>Municípios</t>
  </si>
  <si>
    <t xml:space="preserve">Geração per capita RSD 
(Kg/hab/d) </t>
  </si>
  <si>
    <t xml:space="preserve">Fonte Referencial: </t>
  </si>
  <si>
    <t>FEAM + Visita Técnica</t>
  </si>
  <si>
    <t>% de Geração de RPU/RSD</t>
  </si>
  <si>
    <t>Dias por ano</t>
  </si>
  <si>
    <r>
      <t xml:space="preserve">Resíduos Potencialmente Recicláveis </t>
    </r>
    <r>
      <rPr>
        <sz val="9"/>
        <color theme="1"/>
        <rFont val="Calibri"/>
        <family val="2"/>
        <scheme val="minor"/>
      </rPr>
      <t>(FEAM/MG - 2015)</t>
    </r>
  </si>
  <si>
    <r>
      <t xml:space="preserve">Resíduos Orgânicos </t>
    </r>
    <r>
      <rPr>
        <sz val="9"/>
        <color theme="1"/>
        <rFont val="Calibri"/>
        <family val="2"/>
        <scheme val="minor"/>
      </rPr>
      <t>(FEAM/MG-2015)</t>
    </r>
  </si>
  <si>
    <t>Receitas do Projeto</t>
  </si>
  <si>
    <t>RSD</t>
  </si>
  <si>
    <t>Tarifa-Base Referencial</t>
  </si>
  <si>
    <t>(R$/m³)</t>
  </si>
  <si>
    <t>Tarifa Básica dos Entes Públicos</t>
  </si>
  <si>
    <t xml:space="preserve"> (R$ por tonelada)</t>
  </si>
  <si>
    <t>% Ano 1</t>
  </si>
  <si>
    <t>% Ano 2</t>
  </si>
  <si>
    <t>Receita Acessória</t>
  </si>
  <si>
    <t>% Ano 3</t>
  </si>
  <si>
    <t>Valor de venda da energia</t>
  </si>
  <si>
    <t>(R$ por MWh)</t>
  </si>
  <si>
    <t>% Ano 4</t>
  </si>
  <si>
    <t xml:space="preserve">% Ano 5 </t>
  </si>
  <si>
    <t>% Ano 6</t>
  </si>
  <si>
    <t>% Ano 7</t>
  </si>
  <si>
    <t>% Ano 8</t>
  </si>
  <si>
    <t>% Ano 9</t>
  </si>
  <si>
    <t>% Ano 10 - em diante</t>
  </si>
  <si>
    <t>Inadimplência - Tarifa</t>
  </si>
  <si>
    <t>Ano</t>
  </si>
  <si>
    <t>Inadimplência Estimada
%</t>
  </si>
  <si>
    <t>Fonte: Utilizada como base o histórico de inadimplência de IPTU do município de Patos de Minas.</t>
  </si>
  <si>
    <t>Despesas do Projeto</t>
  </si>
  <si>
    <r>
      <t xml:space="preserve">Despesa com órgão regulador </t>
    </r>
    <r>
      <rPr>
        <sz val="9"/>
        <color theme="1"/>
        <rFont val="Calibri"/>
        <family val="2"/>
        <scheme val="minor"/>
      </rPr>
      <t>(mês/economia)</t>
    </r>
  </si>
  <si>
    <t>Fonte: BDMG.  Orçamento CISPAR R$ 0,52 em 03/2024. Corrigido para data-base 01/2026</t>
  </si>
  <si>
    <t>Ressarcimento de estudos</t>
  </si>
  <si>
    <t>Fonte: BDMG.  R$ 2.587.800,00 corrigido pelo IPCA a cada 12 meses, contados a partir de maio de 2022.</t>
  </si>
  <si>
    <t>B3</t>
  </si>
  <si>
    <t>Fonte: Codemge R$ 505.664,62- Correção 08/2025 para 01/2026.</t>
  </si>
  <si>
    <r>
      <t xml:space="preserve">Agente Financeiro </t>
    </r>
    <r>
      <rPr>
        <sz val="9"/>
        <color theme="1"/>
        <rFont val="Calibri"/>
        <family val="2"/>
        <scheme val="minor"/>
      </rPr>
      <t>(mês)</t>
    </r>
  </si>
  <si>
    <t>Fonte: Consultoria. Contratos firmados em projetos comparáveis.</t>
  </si>
  <si>
    <r>
      <t xml:space="preserve">Consórcio Gestão Contratual  </t>
    </r>
    <r>
      <rPr>
        <sz val="10"/>
        <color theme="1"/>
        <rFont val="Calibri"/>
        <family val="2"/>
        <scheme val="minor"/>
      </rPr>
      <t>(mês)</t>
    </r>
  </si>
  <si>
    <t>Fonte:  BDMG.</t>
  </si>
  <si>
    <t>Despesas com modelo de faturamento direto</t>
  </si>
  <si>
    <t>Serviço de registro e liquidação</t>
  </si>
  <si>
    <t>Fonte: Média de contratos firmados (vide aba "Dados Cobrança"). Valor Unitário.</t>
  </si>
  <si>
    <t xml:space="preserve">Sistema de Gestão </t>
  </si>
  <si>
    <t>Implantação e Treinamento</t>
  </si>
  <si>
    <t>Fonte: Cotação. Valor único.</t>
  </si>
  <si>
    <t>Plano com 20.000 contrato ativos e 20 licenças</t>
  </si>
  <si>
    <t>Fonte: Cotação. Valor mensal.</t>
  </si>
  <si>
    <t>Contratos Adicional Unitário</t>
  </si>
  <si>
    <t>Serviços (SMS, WhatsApp, E-mail) unitário</t>
  </si>
  <si>
    <t>Serviço de impressão</t>
  </si>
  <si>
    <t>Fonte: Média de atas de registro de preços (vide aba "Dados Cobrança"). Valor Unitário.</t>
  </si>
  <si>
    <t>Serviço de postagem</t>
  </si>
  <si>
    <t>Fonte: Portaria MCOM Nº 17.364, de 7 de abril de 2025, do Ministério das Comunicações. Valor Unitário</t>
  </si>
  <si>
    <t>Gestão administrativa da cobrança - protesto</t>
  </si>
  <si>
    <t>Gestão administrativa da cobrança - equipe</t>
  </si>
  <si>
    <t>Fonte: SINAPI (vide aba "Dados Cobrança"). Valor mensal.</t>
  </si>
  <si>
    <t>Premissas Tributárias</t>
  </si>
  <si>
    <t>Lucro Real</t>
  </si>
  <si>
    <t>Lucro Presumido</t>
  </si>
  <si>
    <t>Base de cálculo PIS/COFINS</t>
  </si>
  <si>
    <t>PIS</t>
  </si>
  <si>
    <t>Secretaria Especial da Receita Federal do Brasil.</t>
  </si>
  <si>
    <t>COFINS</t>
  </si>
  <si>
    <t>ISS</t>
  </si>
  <si>
    <t>Arapuá -  Lei Complementar N° 007/2018 - Anexo I - item 7.09 - Arapuá/MG.</t>
  </si>
  <si>
    <t>Coromandel -  Lei Complementar N° 124/2013, artigo 240, 7.09 e artigo 286, I. - Coromandel/MG.</t>
  </si>
  <si>
    <t xml:space="preserve">Cruzeiro da Fortaleza -  Lei Complementar N° 1.057/2013 - Anexo II, 7.09, artigo 127, b.  - Cruzeiro da Fortaleza. </t>
  </si>
  <si>
    <t>Guimarânia -  Lei N° 1.376/2017, Tabela 1, item 7.09 - Guimarânia.</t>
  </si>
  <si>
    <t>Lagoa Formosa - Lei N° 2/97 - Artigo 167, Tabela II,  Lagoa Formosa/MG.</t>
  </si>
  <si>
    <t>Patos de Minas -   item 7.10 - Anexo I - Lei Complementar N° 204, de 22 de dezembro de 2003.</t>
  </si>
  <si>
    <t xml:space="preserve">Presidente Olegário - Lei Complementar N° 67, de 4/12/2017, Anexo II - Lista de Serviços, item 7.09. </t>
  </si>
  <si>
    <t>Rio Paranaíba - Lei Complementar N° 83/2018. Tabela II - item 7.9. Rio Paranaíba/MG.</t>
  </si>
  <si>
    <t>Serra do Salitre - Lei Complementar N° 937/2017, de 26/12/2017, Tabela I item 7.9 Serra do Salitre/MG.</t>
  </si>
  <si>
    <t>IRPJ</t>
  </si>
  <si>
    <t xml:space="preserve">Adicional IRPJ </t>
  </si>
  <si>
    <t>Lucro Acima de R$ 240 mil/ano. Secretaria Especial da Receita Federal do Brasil.</t>
  </si>
  <si>
    <t>CSLL</t>
  </si>
  <si>
    <t>Capital de Giro</t>
  </si>
  <si>
    <t>Prazos Médios</t>
  </si>
  <si>
    <t>Dias</t>
  </si>
  <si>
    <t>Clientes</t>
  </si>
  <si>
    <t>Salários a Pagar</t>
  </si>
  <si>
    <t>Contas a Pagar</t>
  </si>
  <si>
    <t xml:space="preserve">Tributos a Pagar </t>
  </si>
  <si>
    <t>Garantias e Seguros</t>
  </si>
  <si>
    <t>Valor a ser segurado:</t>
  </si>
  <si>
    <t>Alíquota</t>
  </si>
  <si>
    <t>Referência</t>
  </si>
  <si>
    <t>Garantia de Execução do Contrato</t>
  </si>
  <si>
    <t>Anos 1 ao 10</t>
  </si>
  <si>
    <t>Valor segurado: 
- Anos 1 ao 10: 5% do contrato
- Anos 11 ao 30: 2,5% do contrato
Pagamento do prêmio: anual.</t>
  </si>
  <si>
    <t>Anos 11 ao 30</t>
  </si>
  <si>
    <t xml:space="preserve">Risco de Engenharia </t>
  </si>
  <si>
    <t>Valor segurado: valor do capex.
Alíquota: % em relação ao CAPEX anual.
Base: projeto CONVALE.</t>
  </si>
  <si>
    <t xml:space="preserve">Responsabilidade Civil </t>
  </si>
  <si>
    <t>Valor segurado: R$ 5.000.000,00.
Alíquota: % do valor segurado.
Base: Projeto CONVALE.</t>
  </si>
  <si>
    <t>Riscos Nomeados ou Riscos Operacionais</t>
  </si>
  <si>
    <t>Valor segurado: R$ 2.500.000,00.
Alíquota: % do valor segurado.
Base: Projeto CONVALE.</t>
  </si>
  <si>
    <t>Projeções - Indicadores Econômicos</t>
  </si>
  <si>
    <t>IPCA</t>
  </si>
  <si>
    <t>Focus Relatório de Mercado. Banco Central do Brasil. 30/01/2026.</t>
  </si>
  <si>
    <t>Selic</t>
  </si>
  <si>
    <t>População</t>
  </si>
  <si>
    <t>Fonte Referencial:  Fundação João Pinheiro (FJP)</t>
  </si>
  <si>
    <r>
      <t>Rateio</t>
    </r>
    <r>
      <rPr>
        <sz val="12"/>
        <color theme="1"/>
        <rFont val="Calibri"/>
        <family val="2"/>
        <scheme val="minor"/>
      </rPr>
      <t xml:space="preserve">  ( em relação a itens de CAPEX e OPEX comuns e que não permitem uma individualização precisa)</t>
    </r>
  </si>
  <si>
    <t>%</t>
  </si>
  <si>
    <t xml:space="preserve">Fonte Referencial:  Resíduos </t>
  </si>
  <si>
    <t>Balanço de Massa - Anos 1 e 2</t>
  </si>
  <si>
    <t>COLETA</t>
  </si>
  <si>
    <t>TRANSBORDO E TRANSPORTE</t>
  </si>
  <si>
    <t>DISPOSIÇÃO FINAL</t>
  </si>
  <si>
    <t>coleta convencional</t>
  </si>
  <si>
    <t>rejeito da UTR</t>
  </si>
  <si>
    <t>Obs.: Correspondente a média dos anos 1 e 2.</t>
  </si>
  <si>
    <t>Balanço de Massa - Anos 3 e 4</t>
  </si>
  <si>
    <t>TRATAMENTO</t>
  </si>
  <si>
    <t>Resíduo da coleta convencional</t>
  </si>
  <si>
    <t>Resíduo da coleta seletiva</t>
  </si>
  <si>
    <t>Obs.: Correspondente a média dos anos 3 e 4.</t>
  </si>
  <si>
    <t>Balanço de Massa - Anos 5 ao 7</t>
  </si>
  <si>
    <t>Obs.: Correspondente a média dos anos 5 ao 7.</t>
  </si>
  <si>
    <t>Balanço de Massa - Anos 8 ao 30</t>
  </si>
  <si>
    <t>Obs.: Correspondente a média dos anos 8 ao 30. * Aproveitamento do CDR a partir do ano 10, portanto nos anos 8 e 9 o CDR é destinado ao aterro.</t>
  </si>
  <si>
    <t>Geração RSU</t>
  </si>
  <si>
    <t>Dados Gerais - Geração RSU</t>
  </si>
  <si>
    <r>
      <t xml:space="preserve">Geração per Capita RSD
</t>
    </r>
    <r>
      <rPr>
        <sz val="11"/>
        <color theme="1"/>
        <rFont val="Calibri"/>
        <family val="2"/>
        <scheme val="minor"/>
      </rPr>
      <t>(Kg/hab/dia)</t>
    </r>
  </si>
  <si>
    <r>
      <t xml:space="preserve">Geração per Capita RPU
</t>
    </r>
    <r>
      <rPr>
        <sz val="11"/>
        <color theme="1"/>
        <rFont val="Calibri"/>
        <family val="2"/>
        <scheme val="minor"/>
      </rPr>
      <t>(Kg/hab/dia)</t>
    </r>
  </si>
  <si>
    <r>
      <t xml:space="preserve">Geração per Capita RSU
</t>
    </r>
    <r>
      <rPr>
        <sz val="11"/>
        <color theme="1"/>
        <rFont val="Calibri"/>
        <family val="2"/>
        <scheme val="minor"/>
      </rPr>
      <t>(Kg/hab/dia)</t>
    </r>
  </si>
  <si>
    <t>População Total (hab.)</t>
  </si>
  <si>
    <t>Total</t>
  </si>
  <si>
    <t>Total (t/dia)</t>
  </si>
  <si>
    <t>Alcance da Coleta - RSD</t>
  </si>
  <si>
    <t>Estimativa Coleta RSD (t/ano)</t>
  </si>
  <si>
    <t>Meta de Alcance - Coleta Seletiva</t>
  </si>
  <si>
    <t>Coleta Seletiva - Estimativa de Coleta (t/ano)</t>
  </si>
  <si>
    <t>ENVIO À CTR - RSD APÓS COLETA SELETIVA (t/ano)</t>
  </si>
  <si>
    <t>ENVIO À CTR - RPU (t/ano)</t>
  </si>
  <si>
    <t>Meta de orgânicos destinados para tratamento biológico (toneladas/ano)</t>
  </si>
  <si>
    <t>Ano 1</t>
  </si>
  <si>
    <t>Ano 2</t>
  </si>
  <si>
    <t>Ano 3</t>
  </si>
  <si>
    <t>Ano 4</t>
  </si>
  <si>
    <t>Ano 5</t>
  </si>
  <si>
    <t>Ano 6</t>
  </si>
  <si>
    <t>Ano 7</t>
  </si>
  <si>
    <t>Ano 8</t>
  </si>
  <si>
    <t>Ano 9</t>
  </si>
  <si>
    <t>Ano 10</t>
  </si>
  <si>
    <t>Ano 11</t>
  </si>
  <si>
    <t>Ano 12</t>
  </si>
  <si>
    <t>Ano 13</t>
  </si>
  <si>
    <t>Ano 14</t>
  </si>
  <si>
    <t>Ano 15</t>
  </si>
  <si>
    <t>Ano 16</t>
  </si>
  <si>
    <t>Ano 17</t>
  </si>
  <si>
    <t>Ano 18</t>
  </si>
  <si>
    <t>Ano 19</t>
  </si>
  <si>
    <t>Ano 20</t>
  </si>
  <si>
    <t>Ano 21</t>
  </si>
  <si>
    <t>Ano 22</t>
  </si>
  <si>
    <t>Ano 23</t>
  </si>
  <si>
    <t>Ano 24</t>
  </si>
  <si>
    <t>Ano 25</t>
  </si>
  <si>
    <t>Ano 26</t>
  </si>
  <si>
    <t>Ano 27</t>
  </si>
  <si>
    <t>Ano 28</t>
  </si>
  <si>
    <t>Ano 29</t>
  </si>
  <si>
    <t>Ano 30</t>
  </si>
  <si>
    <t>Meta - NT 01/24</t>
  </si>
  <si>
    <t>Guimarania</t>
  </si>
  <si>
    <t>Parcela dos orgânicos destinados para tratamento biológico a ser coletada de forma seletiva (toneladas/ano)</t>
  </si>
  <si>
    <t>PROJEÇÃO RSU (RSD a ser coletado + RPU) a ser tratada e destinada (toneladas/ano)</t>
  </si>
  <si>
    <t>Coleta Seletiva - Balanço de Massa - após UTR</t>
  </si>
  <si>
    <t>UTR</t>
  </si>
  <si>
    <t>Não</t>
  </si>
  <si>
    <t>Sim</t>
  </si>
  <si>
    <t>Distribuição dos Resíduos - com base no Transbordo e Transporte (t/ano)</t>
  </si>
  <si>
    <t>ETR - 02 - Coromandel</t>
  </si>
  <si>
    <t>ETR - 01 - Arapuá</t>
  </si>
  <si>
    <t>ETR - 03 - Guimarânia</t>
  </si>
  <si>
    <t>ETR - 04 - Presidente Olegário</t>
  </si>
  <si>
    <t>ETR - 05  - Patos de Minas</t>
  </si>
  <si>
    <t>Transporte direto ao Destino Final</t>
  </si>
  <si>
    <t>Distribuição dos Resíduos - com base no Tratamento (t/ano)</t>
  </si>
  <si>
    <t>Envio direto ao Destino Final</t>
  </si>
  <si>
    <t>UTM CISPAR</t>
  </si>
  <si>
    <t>Resíduos Coleta Convencial</t>
  </si>
  <si>
    <t>Anos 3 ao 7</t>
  </si>
  <si>
    <t>Recicláveis</t>
  </si>
  <si>
    <t>Rejeitos</t>
  </si>
  <si>
    <t>Orgânios</t>
  </si>
  <si>
    <t>Anos 8 ao 30</t>
  </si>
  <si>
    <t>CDR</t>
  </si>
  <si>
    <t>Reíduos Coleta Seletiva</t>
  </si>
  <si>
    <t>Distribuição dos Resíduos - por Destinação Final (t/ano)</t>
  </si>
  <si>
    <t>Aterro Sanitário de Uberlândia</t>
  </si>
  <si>
    <t>Aterro Sanitário de Bambuí</t>
  </si>
  <si>
    <t>Novo Aterro Sanitário CISPAR</t>
  </si>
  <si>
    <t>Premissas Economias e Faturamento de Água</t>
  </si>
  <si>
    <t>Distribuição das Economias por Categoria</t>
  </si>
  <si>
    <t>Categoria</t>
  </si>
  <si>
    <t>Faixa Residencial</t>
  </si>
  <si>
    <t>Categorias</t>
  </si>
  <si>
    <t>Porte
até 20 mil hab.</t>
  </si>
  <si>
    <t>Porte
sup. 20 mil hab.</t>
  </si>
  <si>
    <t>Residencial Social</t>
  </si>
  <si>
    <t>Residencial (Fixa)</t>
  </si>
  <si>
    <t>Residencial (0 a 5 m³)</t>
  </si>
  <si>
    <t>Residencial (&gt; 5m³ a 10m³)</t>
  </si>
  <si>
    <t>Residencial (&gt; 10m³ a 15m³)</t>
  </si>
  <si>
    <t>Residencial (&gt; 15m³ a 20m³)</t>
  </si>
  <si>
    <t>Residencial (&gt; 20m³ a 40m³)</t>
  </si>
  <si>
    <t>Residencial (&gt;40m³)</t>
  </si>
  <si>
    <t xml:space="preserve">Fonte Referencial:  </t>
  </si>
  <si>
    <t>Municípios com informações por categoria e faixas (categoria residencial):</t>
  </si>
  <si>
    <t>Cruzeiro da Fortaleza: COPASA - Comunicação Externa N° 548/2023 GRPM - % apurado com os dados de 2022.</t>
  </si>
  <si>
    <t>Patos de Minas: COPASA - Comunicação Externa N° 033/2023 SPGE - % apurado com os dados de 2022.</t>
  </si>
  <si>
    <t>Serra do Salitre: COPASA - Comunicação Externa N° 024/2023 SPGE - % apurado com os dados de 2022.</t>
  </si>
  <si>
    <t>Municípios sem informações:</t>
  </si>
  <si>
    <t>Utilizada média dos demais municípios de acordo com porte.</t>
  </si>
  <si>
    <t>Distribuição do Consumo por Categoria</t>
  </si>
  <si>
    <t>Municípios com informações por categoria:</t>
  </si>
  <si>
    <t>Arapuá: SAAE - Histograma de consumo - % apurado com os dados de 2023.</t>
  </si>
  <si>
    <t>Estimativa do número de economias dos municípios participantes do projeto</t>
  </si>
  <si>
    <t xml:space="preserve"> Quantidade de economias ativas de água</t>
  </si>
  <si>
    <t xml:space="preserve"> População total residente dos municípios com abastecimento de água</t>
  </si>
  <si>
    <t>Relação entre população e as economias ativas</t>
  </si>
  <si>
    <t>(A)</t>
  </si>
  <si>
    <t>(B)</t>
  </si>
  <si>
    <t>B/A</t>
  </si>
  <si>
    <t>(A) - SNIS - ano de referência 2021 - Indicador: AG003 - Quantidade de economias ativas de água.</t>
  </si>
  <si>
    <t>(B) - SNIS - ano de referência 2021 - Indicador G12A - População total residente do(s) município(s) com abastecimento de água</t>
  </si>
  <si>
    <t>Demais municípios:</t>
  </si>
  <si>
    <t>Arapuá: SAAE - Histograma de consumo - apurado com os dados de 2023 (média). População IBGE 2022.</t>
  </si>
  <si>
    <t>Coromandel: COPASA - Comunicação Externa N° 032/2023 - SPGE - apurado com os dados de 2022. População IBGE 2022.</t>
  </si>
  <si>
    <t>Lagoa Formosa: COPASA. População IBGE 2022.</t>
  </si>
  <si>
    <t>Patos de Minas: COPASA - Economias apurado com os dados de 2022. População IBGE 2022.</t>
  </si>
  <si>
    <t>Rio Paranaíba: COPASA - Comunicação Externa N° 028/2023 SPGE - apurado com os dados de 2022. População IBGE 2022.</t>
  </si>
  <si>
    <t>Serra do Salitre: COPASA - Comunicação Externa N° 024/2023 SPGE - apurado com os dados de 2022. População IBGE 2022.</t>
  </si>
  <si>
    <t>Consumo de Água (m³)</t>
  </si>
  <si>
    <t>IN017_AE - Consumo de água faturado por economia</t>
  </si>
  <si>
    <t>Consumo de água faturado por economia</t>
  </si>
  <si>
    <t>m³/mês/economia</t>
  </si>
  <si>
    <t>m³/ano/economia</t>
  </si>
  <si>
    <t>SNIS - ano de referência 2021 - Indicador IN017-AE - Consumo de água faturado por economia (m³/mês/economia)</t>
  </si>
  <si>
    <t xml:space="preserve">Arapuá: SAAE - Histograma de consumo - apurado com os dados de 2023 (média). </t>
  </si>
  <si>
    <t>Coromandel: COPASA - Comunicação Externa N° 032/2023 SPGE - apurado com base na média dos anos de 2020;2021 e 2022.</t>
  </si>
  <si>
    <t>Patos de Minas: COPASA - Comunicação Externa N° 033/2023 - SPGE - apurado com base na média dos anos de 2020;2021 e 2022.</t>
  </si>
  <si>
    <t>Rio Paranaíba: COPASA - Comunicação Externa N° 028/2023 SPGE - apurado com base na média dos anos de 2020;2021 e 2022.</t>
  </si>
  <si>
    <t>Serra do Salitre: COPASA - Comunicação Externa N° 24/2023 SPGE - apurado com a média dos dados de 2020, 2021 e 2022.</t>
  </si>
  <si>
    <t xml:space="preserve">Lagoa Formosa: Relatórios técnicos da SAAE - Serviço Autônomo de Água e Esgoto, apurada a média do ano de 2023. </t>
  </si>
  <si>
    <t>Inadimplência:</t>
  </si>
  <si>
    <t>Dados Operacionais - COPASA</t>
  </si>
  <si>
    <t>4T22</t>
  </si>
  <si>
    <t>4T21</t>
  </si>
  <si>
    <t>4T20</t>
  </si>
  <si>
    <t>Média</t>
  </si>
  <si>
    <t>Números e Indicadores (COPASA). Disponível em:</t>
  </si>
  <si>
    <t>https://www.copasa.com.br/wps/portal/internet/a-copasa/numeros-e-indicadores</t>
  </si>
  <si>
    <t>A inadimplência é medida pela relação entre o saldo de contas a receber vencidas entre 90 e 359 dias e o valor total faturado nos últimos 12 meses.</t>
  </si>
  <si>
    <t xml:space="preserve">Número Estimado de Economias por Categoria </t>
  </si>
  <si>
    <t>Checagem</t>
  </si>
  <si>
    <t>TOTAL GERAL</t>
  </si>
  <si>
    <t>Número Estimado de Consumo por Categoria por ano</t>
  </si>
  <si>
    <t xml:space="preserve">TOTAL GERAL </t>
  </si>
  <si>
    <t>Modelo Tarifário</t>
  </si>
  <si>
    <t>Tarifa-Base Municipal</t>
  </si>
  <si>
    <t>TBM = TBR X FM</t>
  </si>
  <si>
    <t>Em que:</t>
  </si>
  <si>
    <t>TBM = Tarifa-Base Municipal</t>
  </si>
  <si>
    <t>TBR= Tarifa-Base Referencial</t>
  </si>
  <si>
    <t>FM = Fator Municipal</t>
  </si>
  <si>
    <t>Tarifa a ser paga pelo Usuário</t>
  </si>
  <si>
    <t>TU = TBM X VAF X FU</t>
  </si>
  <si>
    <t>TU = Tarifa a ser paga pelo Usuário</t>
  </si>
  <si>
    <t>VAF = Volume de água Faturado pela economia usuária</t>
  </si>
  <si>
    <t>FU = Fator de Uso</t>
  </si>
  <si>
    <t xml:space="preserve">Tarifa Mínima Mensal </t>
  </si>
  <si>
    <t>Referencial em m³ mínimos mensais</t>
  </si>
  <si>
    <t>m³</t>
  </si>
  <si>
    <t>Referencial em R$ mensal por economia</t>
  </si>
  <si>
    <t xml:space="preserve">R$/mensal </t>
  </si>
  <si>
    <t>Fator de Uso (FU)</t>
  </si>
  <si>
    <t>Fator de Uso</t>
  </si>
  <si>
    <t>R$/m³</t>
  </si>
  <si>
    <t>Faixa - Residencial (Fixa)</t>
  </si>
  <si>
    <t xml:space="preserve">Tarifa Fixa Mensal - Equivalente a </t>
  </si>
  <si>
    <t>Tarifa-Base Municipal - Input cálculo da Receita</t>
  </si>
  <si>
    <t>Município</t>
  </si>
  <si>
    <t>Fator
 Municipal</t>
  </si>
  <si>
    <t>(não vincular devido a referência circular - ao calcular nova tarifa será necessário inserir o novo fator municipal e zerar o VPL para obtenção da nova tarifa).</t>
  </si>
  <si>
    <t>Fator
 Coleta</t>
  </si>
  <si>
    <t>Fator Comum</t>
  </si>
  <si>
    <t>TBM</t>
  </si>
  <si>
    <t>Participação dos municípios no Projeto.</t>
  </si>
  <si>
    <t>Coleta</t>
  </si>
  <si>
    <t>Permanece no projeto</t>
  </si>
  <si>
    <t>Composição dos Fatores</t>
  </si>
  <si>
    <t>Em reais</t>
  </si>
  <si>
    <t>Representação
do Componente (%)</t>
  </si>
  <si>
    <t>Coleta (CAPEX e OPEX)</t>
  </si>
  <si>
    <t>Transbordo e Transporte (CAPEX e OPEX)</t>
  </si>
  <si>
    <t>Triagem e Tratamento (CAPEX e OPEX)</t>
  </si>
  <si>
    <t>Disposição Final (CAPEX  e OPEX)</t>
  </si>
  <si>
    <t>Participantes da Etapa</t>
  </si>
  <si>
    <t>Projeções por Categorias e Municípios - Valor médio mensal por economia - Ano 1</t>
  </si>
  <si>
    <t>Tarifa Social</t>
  </si>
  <si>
    <t>Premissa:</t>
  </si>
  <si>
    <t>Lei n° 14.898, de 13 de junho de 2024.</t>
  </si>
  <si>
    <t>Institui diretrizes para a Tarifa Social de Água e Esgoto em âmbito nacional.</t>
  </si>
  <si>
    <t>A categoria tarifária social de Água e Esgoto deverá incluir os usuários com renda per capita de até 1/2 salário-mínimo.</t>
  </si>
  <si>
    <t>Fator de Correção</t>
  </si>
  <si>
    <t>Relação entre o % estimado de residentes com renda per capita até meio salário-mínimo no município e a distribuição das economias da categoria social.</t>
  </si>
  <si>
    <t>Percentual estimado de residentes com renda per capita até meio salário-mínimo no município</t>
  </si>
  <si>
    <t>População Total Estimada (PTE)</t>
  </si>
  <si>
    <t>População com renda per capita até meio salário-mínimo (Baixa Renda)</t>
  </si>
  <si>
    <t>Percentual estimado de residentes com renda per capita até meio salário-mínimo no município (Baixa Renda/PTE)</t>
  </si>
  <si>
    <r>
      <t xml:space="preserve">Diferença com a Distribuição de Economias categoria social 
</t>
    </r>
    <r>
      <rPr>
        <sz val="10"/>
        <color theme="1"/>
        <rFont val="Calibri"/>
        <family val="2"/>
        <scheme val="minor"/>
      </rPr>
      <t>(com fator de correção)</t>
    </r>
  </si>
  <si>
    <t>Referência ano de 2022.</t>
  </si>
  <si>
    <t>Distribuição das Economias Categoria Social</t>
  </si>
  <si>
    <t xml:space="preserve">Categoria Residencial </t>
  </si>
  <si>
    <t>Categoria Residencial Social</t>
  </si>
  <si>
    <t>Categorias Restantes</t>
  </si>
  <si>
    <t>Relação Consumo e Número de Economias</t>
  </si>
  <si>
    <t xml:space="preserve">Residencial </t>
  </si>
  <si>
    <t>Residencial  Social</t>
  </si>
  <si>
    <t>Municípios com informações:</t>
  </si>
  <si>
    <t>São Gotardo: COPASA - % apurado com os dados de março de 2023.</t>
  </si>
  <si>
    <t>Parâmetros para Distribuição</t>
  </si>
  <si>
    <t xml:space="preserve">Demonstrativo de Fluxo de Caixa </t>
  </si>
  <si>
    <t>Valores em R$</t>
  </si>
  <si>
    <t>ENTRADAS DE CAIXA</t>
  </si>
  <si>
    <t>(+)</t>
  </si>
  <si>
    <t>Receitas da tarifa de remuneração</t>
  </si>
  <si>
    <t>Receita RPU</t>
  </si>
  <si>
    <t>Receitas acessórias</t>
  </si>
  <si>
    <t>Outras Receitas (ganhos alienação de ativo não circulante)</t>
  </si>
  <si>
    <t>(-)</t>
  </si>
  <si>
    <t xml:space="preserve">TRIBUTOS INCIDENTES SOBRE AS RECEITAS </t>
  </si>
  <si>
    <t>Crédito PIS/COFINS</t>
  </si>
  <si>
    <t>ENTRADA DE CAIXA LÍQUIDA</t>
  </si>
  <si>
    <t>DESPESAS</t>
  </si>
  <si>
    <t>Despesas operacionais</t>
  </si>
  <si>
    <t>RESULTADO ANTES DO IR E CSLL</t>
  </si>
  <si>
    <t>Imposto de Renda</t>
  </si>
  <si>
    <t>RESULTADO DO EXERCÍCIO</t>
  </si>
  <si>
    <t xml:space="preserve">(+/-) </t>
  </si>
  <si>
    <t>FLUXO DE CAIXA DO PROJETO</t>
  </si>
  <si>
    <t>Investimentos e Reinvestimentos</t>
  </si>
  <si>
    <t>FLUXO DE CAIXA EMPRESA (FCFF)</t>
  </si>
  <si>
    <t>FLUXO DE CAIXA EMPRESA (FCFF) Acumulado</t>
  </si>
  <si>
    <t>Apuração do payback FCFE</t>
  </si>
  <si>
    <t>Mês referência</t>
  </si>
  <si>
    <t>Ingresso de Financiamentos</t>
  </si>
  <si>
    <t>Serviço da Dívida</t>
  </si>
  <si>
    <t xml:space="preserve"> . Amortização</t>
  </si>
  <si>
    <t xml:space="preserve"> . Juros de financiamentos </t>
  </si>
  <si>
    <t>Outros desembolsos financeiros</t>
  </si>
  <si>
    <t>Benefício Fiscal da Dívida</t>
  </si>
  <si>
    <t>FLUXO DE CAIXA ACIONISTA (FCFE)</t>
  </si>
  <si>
    <t>FCFF</t>
  </si>
  <si>
    <t>TAXA INTERNA DE RETORNO  -  (TIR %) a.a.</t>
  </si>
  <si>
    <t>TAXA INTERNA DE RETORNO  (TIR %) a.m.</t>
  </si>
  <si>
    <t>VALOR PRESENTE LÍQUIDO  (VPL) - em R$</t>
  </si>
  <si>
    <t>PAYBACK SIMPLES - em anos</t>
  </si>
  <si>
    <t>Demonstrativo do Resultado do Exercício - DRE</t>
  </si>
  <si>
    <t>Receita da tarifa de remuneração</t>
  </si>
  <si>
    <t xml:space="preserve">(-) </t>
  </si>
  <si>
    <t>Outras Receitas</t>
  </si>
  <si>
    <t>Receita Operacional Bruta</t>
  </si>
  <si>
    <t>Impostos sobre Receitas</t>
  </si>
  <si>
    <t>Crédito de PIS e COFINS</t>
  </si>
  <si>
    <t>Receita Operacional Líquida</t>
  </si>
  <si>
    <t>Despesas Operacionais</t>
  </si>
  <si>
    <t>EBTIDA</t>
  </si>
  <si>
    <t>Margem EBTIDA</t>
  </si>
  <si>
    <t xml:space="preserve">Amortização </t>
  </si>
  <si>
    <t>EBIT</t>
  </si>
  <si>
    <t>Contribuição Social</t>
  </si>
  <si>
    <t>Lucro Líquido do Exercício</t>
  </si>
  <si>
    <t>Lucro Líquido Acumulado</t>
  </si>
  <si>
    <t>Despesas Pré-operacionais</t>
  </si>
  <si>
    <t>Infraestrutura SPE</t>
  </si>
  <si>
    <t>CAPEX</t>
  </si>
  <si>
    <t>TOTAL</t>
  </si>
  <si>
    <t>Transbordo e Transporte</t>
  </si>
  <si>
    <t>Triagem e Tratamento</t>
  </si>
  <si>
    <t>Disposição Final</t>
  </si>
  <si>
    <t>Inclusão Catador</t>
  </si>
  <si>
    <t>% de execução por ano</t>
  </si>
  <si>
    <t>OPEX</t>
  </si>
  <si>
    <t>Socioambiental</t>
  </si>
  <si>
    <t>Outras Despesas</t>
  </si>
  <si>
    <t>Despesa com órgão regulador</t>
  </si>
  <si>
    <t>Serviço de Registro e Liquidação</t>
  </si>
  <si>
    <t>Sistema de Gestão</t>
  </si>
  <si>
    <t>Serviço de Impressão</t>
  </si>
  <si>
    <t>Serviço de Postagem</t>
  </si>
  <si>
    <t>Agente Financeiro</t>
  </si>
  <si>
    <t>Seguros e Garantias</t>
  </si>
  <si>
    <t>Despesas Administrativas e de Pessoal SPE</t>
  </si>
  <si>
    <t>Consórcio Gestão Contratual</t>
  </si>
  <si>
    <t>Inclusão social e emancipação econômica de catadores</t>
  </si>
  <si>
    <t>CAPEX - POR ANO</t>
  </si>
  <si>
    <t>OPEX - POR ANO</t>
  </si>
  <si>
    <t>TRIAGEM E TRATAMENTO</t>
  </si>
  <si>
    <t>SOCIOAMBIENTAL</t>
  </si>
  <si>
    <t xml:space="preserve">CONSÓRCIO </t>
  </si>
  <si>
    <t>SPE</t>
  </si>
  <si>
    <t>OUTRAS</t>
  </si>
  <si>
    <t>Demonstrativo de Receitas</t>
  </si>
  <si>
    <t>Quantidade Coletada RSD (t/ano)</t>
  </si>
  <si>
    <r>
      <t>Quantidade Consumo água (m</t>
    </r>
    <r>
      <rPr>
        <vertAlign val="superscript"/>
        <sz val="9"/>
        <rFont val="Calibri"/>
        <family val="2"/>
        <scheme val="minor"/>
      </rPr>
      <t>3</t>
    </r>
    <r>
      <rPr>
        <sz val="9"/>
        <rFont val="Calibri"/>
        <family val="2"/>
        <scheme val="minor"/>
      </rPr>
      <t>/ano)</t>
    </r>
  </si>
  <si>
    <r>
      <t>Tarifa-Base Referencial (R$/m</t>
    </r>
    <r>
      <rPr>
        <vertAlign val="superscript"/>
        <sz val="9"/>
        <rFont val="Calibri"/>
        <family val="2"/>
        <scheme val="minor"/>
      </rPr>
      <t>3</t>
    </r>
    <r>
      <rPr>
        <sz val="9"/>
        <rFont val="Calibri"/>
        <family val="2"/>
        <scheme val="minor"/>
      </rPr>
      <t xml:space="preserve"> )</t>
    </r>
  </si>
  <si>
    <t>TOTAL DE RECEITAS DA TARIFA DE REMUNERAÇÃO</t>
  </si>
  <si>
    <t>RECEITAS DA TARIFA DE RDO</t>
  </si>
  <si>
    <t>Quantidade Coletada RPU (t/ano)</t>
  </si>
  <si>
    <t>TOTAL DE RECEITAS DE RPU</t>
  </si>
  <si>
    <t>Receitas com Energia</t>
  </si>
  <si>
    <t>Energia gerada pela gaseificação</t>
  </si>
  <si>
    <t>MWh</t>
  </si>
  <si>
    <t>TOTAL DE RECEITAS ACESSÓRIAS</t>
  </si>
  <si>
    <t>Receita Não Operacional</t>
  </si>
  <si>
    <t xml:space="preserve">Venda dos caminhões </t>
  </si>
  <si>
    <t>TOTAL DE RECEITAS</t>
  </si>
  <si>
    <t>Value for Money</t>
  </si>
  <si>
    <t>Taxa de Desconto</t>
  </si>
  <si>
    <t>Modelo Tradicional</t>
  </si>
  <si>
    <t xml:space="preserve">ao ano </t>
  </si>
  <si>
    <t>Modelo Concessão</t>
  </si>
  <si>
    <t>Fonte: Nota técnica SEI n° 19911/2020/ME.  Taxa Social de Desconto para Infraestrutura.</t>
  </si>
  <si>
    <t>BDI - Referencial para obras de saneamento</t>
  </si>
  <si>
    <t>BDI - Referencial para a coleta de resíduos sólidos urbanos</t>
  </si>
  <si>
    <t>Item</t>
  </si>
  <si>
    <t>Porcentagem</t>
  </si>
  <si>
    <t xml:space="preserve">Composição do BDI </t>
  </si>
  <si>
    <t>Referência estudo TCE</t>
  </si>
  <si>
    <t>Seguro + Risco + Garantias (S + R + G)</t>
  </si>
  <si>
    <t>1° Quartil</t>
  </si>
  <si>
    <t>Médio</t>
  </si>
  <si>
    <t>3° Quartil</t>
  </si>
  <si>
    <t>Despesas financeiras (DF)</t>
  </si>
  <si>
    <t>Administração Central</t>
  </si>
  <si>
    <t>AC</t>
  </si>
  <si>
    <t>Administração central (AC)</t>
  </si>
  <si>
    <t>Seguros/Riscos/Garantias</t>
  </si>
  <si>
    <t>SRG</t>
  </si>
  <si>
    <t>Remuneração (L)</t>
  </si>
  <si>
    <t>Lucro</t>
  </si>
  <si>
    <t>L</t>
  </si>
  <si>
    <t>Tributos (I)</t>
  </si>
  <si>
    <t>Despesas Financeiras</t>
  </si>
  <si>
    <t>DF</t>
  </si>
  <si>
    <t>i</t>
  </si>
  <si>
    <t>Taxa de BDI</t>
  </si>
  <si>
    <t>Tributos - ISS</t>
  </si>
  <si>
    <t>T</t>
  </si>
  <si>
    <t>DU</t>
  </si>
  <si>
    <t>Fórmula BDI = [( 1 + AC + S + R + G) (1 + DF) (1 + L) / (1 - I)] -1</t>
  </si>
  <si>
    <t>Tributos - PIS/COFINS</t>
  </si>
  <si>
    <t>AC = taxa representativa das despesas de rateio da Administração Central;</t>
  </si>
  <si>
    <t>Fórmula para o cálculo do BDI:</t>
  </si>
  <si>
    <t>S = taxa representativa de Seguros</t>
  </si>
  <si>
    <t>{[(1+AC+SRG) x (1+L) x (1+DF)] / (1-T)} -1</t>
  </si>
  <si>
    <t>R = taxa representativa de Riscos</t>
  </si>
  <si>
    <t>Resultado do cálculo do BDI:</t>
  </si>
  <si>
    <t>G = taxa representativa de Garantias</t>
  </si>
  <si>
    <t xml:space="preserve">DF = taxa rerpresentativa de Despesas Financeiras </t>
  </si>
  <si>
    <t>L = Taxa representativa da Remuneração</t>
  </si>
  <si>
    <t>I = taxa representativa da incidência de Impostos</t>
  </si>
  <si>
    <t>Fonte: Acordão 2.622/2013 TCU e Obras Públicas - Recomendações Básicas para Contratação e Fiscalização de Obras e Edificações Públicas, 4ª edição, TCU.</t>
  </si>
  <si>
    <t>Fonte: Tribunal de Contas do Estado do Rio Grande do Sul - "Orientação técnica dos serviços de coleta de resíduos domiciliares - Projeto, Contratação e Fiscalização." Planilha modelo TCE/RS.
https://www.mpc.es.gov.br/wp-content/uploads/2019/08/20190805-MANUAL_RESIDUOS_SOLIDOS.pdf</t>
  </si>
  <si>
    <t xml:space="preserve">CUSTOS ADICIONAIS - Custos do Processo Licitatório </t>
  </si>
  <si>
    <t>R$</t>
  </si>
  <si>
    <t>R$ ATUALIZADO</t>
  </si>
  <si>
    <t>Identificação da Necessidade de bens ou serviços</t>
  </si>
  <si>
    <t xml:space="preserve">licitação anual </t>
  </si>
  <si>
    <t>Análise e aprovação da aquisição</t>
  </si>
  <si>
    <t>licitação a cada 5 anos (operação).</t>
  </si>
  <si>
    <t>Realização de pesquisa de mercado de valores e quantidades</t>
  </si>
  <si>
    <t>Determinação da modalidade e projeto básico ou termo de referência</t>
  </si>
  <si>
    <t>Atualização pelo IPCA</t>
  </si>
  <si>
    <t>Elaboração de minuta do edital, contrato e publicação</t>
  </si>
  <si>
    <t>Abertura das propostas e habilitação dos interessados em ato público</t>
  </si>
  <si>
    <t>(01/2018 a 05/2025)</t>
  </si>
  <si>
    <t>Verificação conformidades com o edital, adjudicação, homologação e publicação do resultado</t>
  </si>
  <si>
    <t xml:space="preserve">Custo médio </t>
  </si>
  <si>
    <t>Fonte: Instituto Negócios Públicos do Brasil. Infográficos: Edição 2018.</t>
  </si>
  <si>
    <t>Estimativa de Aditivos</t>
  </si>
  <si>
    <t xml:space="preserve">Estimativa de Aditivos: Conforme Flyvbjerg, Holm e Buhl, 2002; 2003 (Cost Underestimation in Public Works Projects). Nos últimos setenta anos, registra-se uma superação de custo médio de 28%. Porém, no Brasil, há um limite de aditivos contratuais de obras públicas de 25%. A Lei das Licitações (Lei nº 8.666/93) determina que o contratado fica obrigado a aceitar, nas mesmas condições contratuais, os acréscimos ou supressões que se fizerem nas obras, até 25% do valor inicial atualizado do contrato.  </t>
  </si>
  <si>
    <t>Aditivos em relação ao CAPEX</t>
  </si>
  <si>
    <t>Fonte: Guia Prático de Estruturação de Projetos de Concessão de Manejo Sustentável de Resíduos Sólidos Urbanos. Banco Interamericano de Desenvolvimento.CAIXA.PPI. Ano 2023.</t>
  </si>
  <si>
    <t>Riscos</t>
  </si>
  <si>
    <t>Para a realização do cálculo do risco foi utilizada a base conceitual constante da metodologia do “Partnerships Victoria – Guidance Marial: Public Sector Comparator – a technical note” do Governo de Victoria na Austrália, que entende que se o risco transferível for comercialmente segurável o valor do risco pode ser estimado pelo custo do prêmio do seguro. Disponível em: https://www.vgls.vic.gov.au/client/en_AU/vgls/search/detailnonmodal/ent:$002f$002fSD_ASSET$002f0$002fSD_ASSET:1266490/ada?qu=Matrices.&amp;d=ent%3A%2F%2FSD_ASSET%2F0%2FSD_ASSET%3A1266490%7EASSET%7E199&amp;ps=300&amp;h=8</t>
  </si>
  <si>
    <t>Valor Presente</t>
  </si>
  <si>
    <t>MODELO TRADICIONAL</t>
  </si>
  <si>
    <t>Valor dos custos do Setor Público</t>
  </si>
  <si>
    <t>(+) CAPEX - Investimentos</t>
  </si>
  <si>
    <t>(+) BDI</t>
  </si>
  <si>
    <t>(+) OPEX - Despesas Operacionais</t>
  </si>
  <si>
    <t xml:space="preserve">(+) BDI </t>
  </si>
  <si>
    <t>Valor dos custos adicionais e riscos</t>
  </si>
  <si>
    <t>(+) Custos do Processo Licitatório</t>
  </si>
  <si>
    <t>(+) Custos de Aditivos</t>
  </si>
  <si>
    <t>(+) Riscos</t>
  </si>
  <si>
    <t>RESULTADO PSC</t>
  </si>
  <si>
    <t>MODELO CONCESSÃO</t>
  </si>
  <si>
    <t>Valor dos custos com o Parceiro Privado</t>
  </si>
  <si>
    <t>(+) Tarifas</t>
  </si>
  <si>
    <t>(+) Agente Financeiro</t>
  </si>
  <si>
    <t>Impostos</t>
  </si>
  <si>
    <t>( - ) ISS</t>
  </si>
  <si>
    <t>RESULTADO CONCESSÃO</t>
  </si>
  <si>
    <t>VALUE FOR MONEY</t>
  </si>
  <si>
    <t xml:space="preserve"> </t>
  </si>
  <si>
    <t>PSC</t>
  </si>
  <si>
    <t>Concessão</t>
  </si>
  <si>
    <t>Gráfico:</t>
  </si>
  <si>
    <t>Responsabilidade Civil</t>
  </si>
  <si>
    <t xml:space="preserve">Riscos Nomeados ou Riscos Operacionais </t>
  </si>
  <si>
    <t>CAPEX referência para o cálculo do Risco de Engenharia</t>
  </si>
  <si>
    <t>CAPEX anual estimado</t>
  </si>
  <si>
    <t>CAPEX anual estimado acumulado</t>
  </si>
  <si>
    <t>Valor do contrato (restante)</t>
  </si>
  <si>
    <t>Demonstrativo Capital de Giro</t>
  </si>
  <si>
    <t>CONTAS A RECEBER</t>
  </si>
  <si>
    <t>CONTAS A PAGAR</t>
  </si>
  <si>
    <t>Contas a pagar</t>
  </si>
  <si>
    <t>Tributos</t>
  </si>
  <si>
    <t>CAPITAL DE GIRO</t>
  </si>
  <si>
    <t>VARIAÇÃO DO CAPITAL DE GIRO</t>
  </si>
  <si>
    <t>% estimado do OPEX destinado a salários</t>
  </si>
  <si>
    <t>Mémoria de cálculo % salários</t>
  </si>
  <si>
    <t>Amortização</t>
  </si>
  <si>
    <t>Premissas:</t>
  </si>
  <si>
    <t>Concessionário remunerado pelos usuários dos serviços públicos, em decorrência da obtenção do direito de cobrá-los a um determinado preço e período pactuado pelo poder concedente.  Modelo de ativo intangível. (OCPC 05 - Contratos de Concessão)</t>
  </si>
  <si>
    <t>O Ativo Intangível dever ser amortizado dentro do prazo de concessão. (OCPC 05 - Item 4.2)</t>
  </si>
  <si>
    <t>Estimativa de Curva linear de amortização.</t>
  </si>
  <si>
    <t>CAPEX  real</t>
  </si>
  <si>
    <t>Amortização CAPEX real</t>
  </si>
  <si>
    <t>Inflação anual</t>
  </si>
  <si>
    <t>Inflação anual acum.</t>
  </si>
  <si>
    <t>CAPEX nominal</t>
  </si>
  <si>
    <t>Amortização CAPEX nominal</t>
  </si>
  <si>
    <t>Saldo a amortizar</t>
  </si>
  <si>
    <t>Amortização linear no período (real)</t>
  </si>
  <si>
    <t>Ajuste no CAPEX (perda por desvalorização)</t>
  </si>
  <si>
    <t>Inclusão no ativo intangível</t>
  </si>
  <si>
    <t>Ativo Intangível final do período</t>
  </si>
  <si>
    <t>Estimativa do custo do capital próprio, do capital de terceiros e do custo médio ponderado de capital (WACC)</t>
  </si>
  <si>
    <t>Fonte:</t>
  </si>
  <si>
    <r>
      <t>Custo do Capital Próprio  (K</t>
    </r>
    <r>
      <rPr>
        <b/>
        <vertAlign val="subscript"/>
        <sz val="12"/>
        <color theme="1"/>
        <rFont val="Calibri"/>
        <family val="2"/>
        <scheme val="minor"/>
      </rPr>
      <t>e</t>
    </r>
    <r>
      <rPr>
        <b/>
        <sz val="12"/>
        <color theme="1"/>
        <rFont val="Calibri"/>
        <family val="2"/>
        <scheme val="minor"/>
      </rPr>
      <t>)</t>
    </r>
  </si>
  <si>
    <r>
      <t>K</t>
    </r>
    <r>
      <rPr>
        <vertAlign val="subscript"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 xml:space="preserve"> = R</t>
    </r>
    <r>
      <rPr>
        <vertAlign val="subscript"/>
        <sz val="11"/>
        <color theme="1"/>
        <rFont val="Calibri"/>
        <family val="2"/>
        <scheme val="minor"/>
      </rPr>
      <t>f</t>
    </r>
    <r>
      <rPr>
        <sz val="11"/>
        <color theme="1"/>
        <rFont val="Calibri"/>
        <family val="2"/>
        <scheme val="minor"/>
      </rPr>
      <t xml:space="preserve"> + </t>
    </r>
    <r>
      <rPr>
        <sz val="11"/>
        <color theme="1"/>
        <rFont val="Calibri"/>
        <family val="2"/>
      </rPr>
      <t>β (R</t>
    </r>
    <r>
      <rPr>
        <vertAlign val="subscript"/>
        <sz val="11"/>
        <color theme="1"/>
        <rFont val="Calibri"/>
        <family val="2"/>
      </rPr>
      <t>m</t>
    </r>
    <r>
      <rPr>
        <sz val="11"/>
        <color theme="1"/>
        <rFont val="Calibri"/>
        <family val="2"/>
      </rPr>
      <t xml:space="preserve"> - R</t>
    </r>
    <r>
      <rPr>
        <vertAlign val="subscript"/>
        <sz val="11"/>
        <color theme="1"/>
        <rFont val="Calibri"/>
        <family val="2"/>
      </rPr>
      <t>f</t>
    </r>
    <r>
      <rPr>
        <sz val="11"/>
        <color theme="1"/>
        <rFont val="Calibri"/>
        <family val="2"/>
      </rPr>
      <t>) + R</t>
    </r>
    <r>
      <rPr>
        <vertAlign val="subscript"/>
        <sz val="11"/>
        <color theme="1"/>
        <rFont val="Calibri"/>
        <family val="2"/>
      </rPr>
      <t>p</t>
    </r>
  </si>
  <si>
    <r>
      <t>R</t>
    </r>
    <r>
      <rPr>
        <vertAlign val="subscript"/>
        <sz val="11"/>
        <color theme="1"/>
        <rFont val="Calibri"/>
        <family val="2"/>
        <scheme val="minor"/>
      </rPr>
      <t xml:space="preserve">f </t>
    </r>
  </si>
  <si>
    <t>retorno do ativo livre de risco</t>
  </si>
  <si>
    <t>T-Bond 10 YR (média histórica de 10 anos - data base jan/26). U.S. Department of the Treasury. Disponível em: https://home.treasury.gov/</t>
  </si>
  <si>
    <r>
      <t>β</t>
    </r>
    <r>
      <rPr>
        <vertAlign val="subscript"/>
        <sz val="11"/>
        <color theme="1"/>
        <rFont val="Calibri"/>
        <family val="2"/>
        <scheme val="minor"/>
      </rPr>
      <t>ι</t>
    </r>
  </si>
  <si>
    <t>sensibilidade da ação em relação ao mercado de ações</t>
  </si>
  <si>
    <t xml:space="preserve">Beta realavancado. Conforme fórmula célula D18. Base: beta desalavancado Damodaran. Aswath Damodaran; Beta, Unlevered beta and other risk measures, 2026. Disponível em: https://pages.stern.nyu.edu/~adamodar/New_Home_Page/home.htm. </t>
  </si>
  <si>
    <r>
      <t>R</t>
    </r>
    <r>
      <rPr>
        <vertAlign val="subscript"/>
        <sz val="11"/>
        <color theme="1"/>
        <rFont val="Calibri"/>
        <family val="2"/>
        <scheme val="minor"/>
      </rPr>
      <t>m</t>
    </r>
  </si>
  <si>
    <t>retorno esperado para a carteira de mercado</t>
  </si>
  <si>
    <t>S&amp;P500 (média histórica de 10 anos - data base jan/26)</t>
  </si>
  <si>
    <r>
      <t>R</t>
    </r>
    <r>
      <rPr>
        <vertAlign val="subscript"/>
        <sz val="11"/>
        <color theme="1"/>
        <rFont val="Calibri"/>
        <family val="2"/>
        <scheme val="minor"/>
      </rPr>
      <t>p</t>
    </r>
  </si>
  <si>
    <t>risco país</t>
  </si>
  <si>
    <t>CDS de 10 anos - data base jan/26, com multiplicador de volatilidade.</t>
  </si>
  <si>
    <r>
      <t>(R</t>
    </r>
    <r>
      <rPr>
        <vertAlign val="subscript"/>
        <sz val="11"/>
        <color theme="1"/>
        <rFont val="Calibri"/>
        <family val="2"/>
        <scheme val="minor"/>
      </rPr>
      <t>m</t>
    </r>
    <r>
      <rPr>
        <sz val="11"/>
        <color theme="1"/>
        <rFont val="Calibri"/>
        <family val="2"/>
        <scheme val="minor"/>
      </rPr>
      <t xml:space="preserve"> - Rf)</t>
    </r>
  </si>
  <si>
    <t>prêmio de risco do mercado</t>
  </si>
  <si>
    <r>
      <t>β</t>
    </r>
    <r>
      <rPr>
        <vertAlign val="subscript"/>
        <sz val="11"/>
        <color theme="1"/>
        <rFont val="Calibri"/>
        <family val="2"/>
        <scheme val="minor"/>
      </rPr>
      <t>u</t>
    </r>
  </si>
  <si>
    <t>beta desalavancado</t>
  </si>
  <si>
    <t>Beta, base global, segmento Environmental &amp; Waste Services.  Aswath Damodaran; Beta, Unlevered beta and other risk measures, 2026. Disponível em: https://pages.stern.nyu.edu/~adamodar/New_Home_Page/home.htm</t>
  </si>
  <si>
    <t>beta realavancado</t>
  </si>
  <si>
    <t>𝛽𝑙 = 𝛽𝑢 (1+(1−𝑇𝑚)(𝐷/𝐸))</t>
  </si>
  <si>
    <r>
      <t>Custo do Capital Próprio  (K</t>
    </r>
    <r>
      <rPr>
        <b/>
        <vertAlign val="subscript"/>
        <sz val="12"/>
        <color theme="1"/>
        <rFont val="Calibri"/>
        <family val="2"/>
        <scheme val="minor"/>
      </rPr>
      <t>e</t>
    </r>
    <r>
      <rPr>
        <b/>
        <sz val="12"/>
        <color theme="1"/>
        <rFont val="Calibri"/>
        <family val="2"/>
        <scheme val="minor"/>
      </rPr>
      <t>) deflacionado</t>
    </r>
  </si>
  <si>
    <r>
      <rPr>
        <sz val="11"/>
        <color theme="1"/>
        <rFont val="Calibri"/>
        <family val="2"/>
        <scheme val="minor"/>
      </rPr>
      <t>π</t>
    </r>
    <r>
      <rPr>
        <vertAlign val="subscript"/>
        <sz val="11"/>
        <color theme="1"/>
        <rFont val="Calibri"/>
        <family val="2"/>
        <scheme val="minor"/>
      </rPr>
      <t>americana</t>
    </r>
  </si>
  <si>
    <t>Taxa de inflação norte americana</t>
  </si>
  <si>
    <r>
      <t>π</t>
    </r>
    <r>
      <rPr>
        <vertAlign val="subscript"/>
        <sz val="11"/>
        <color theme="1"/>
        <rFont val="Calibri"/>
        <family val="2"/>
        <scheme val="minor"/>
      </rPr>
      <t>americana</t>
    </r>
    <r>
      <rPr>
        <sz val="11"/>
        <color theme="1"/>
        <rFont val="Calibri"/>
        <family val="2"/>
        <scheme val="minor"/>
      </rPr>
      <t xml:space="preserve"> =</t>
    </r>
  </si>
  <si>
    <t>Nominal Treasury Rate</t>
  </si>
  <si>
    <t>U.S. Department of the Treasury; Treasury Par Yield Curve Rates (média histórica de 10 anos - data base jan/26). Disponível em: https://home.treasury.gov/</t>
  </si>
  <si>
    <r>
      <rPr>
        <sz val="11"/>
        <color theme="1"/>
        <rFont val="Calibri"/>
        <family val="2"/>
        <scheme val="minor"/>
      </rPr>
      <t xml:space="preserve">TIPs </t>
    </r>
    <r>
      <rPr>
        <i/>
        <sz val="11"/>
        <color theme="1"/>
        <rFont val="Calibri"/>
        <family val="2"/>
        <scheme val="minor"/>
      </rPr>
      <t>Rate</t>
    </r>
  </si>
  <si>
    <t>U.S. Department of the Treasury; Treasury par Real Yield Curve Rates (média histórica de 10 anos - data base jan/26). Disponível em: https://home.treasury.gov/</t>
  </si>
  <si>
    <t>Custo do Capital de Terceiros</t>
  </si>
  <si>
    <r>
      <t>K</t>
    </r>
    <r>
      <rPr>
        <vertAlign val="subscript"/>
        <sz val="11"/>
        <color theme="1"/>
        <rFont val="Calibri"/>
        <family val="2"/>
        <scheme val="minor"/>
      </rPr>
      <t>d</t>
    </r>
  </si>
  <si>
    <r>
      <t>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 = (PR + R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 )(1-T)</t>
    </r>
  </si>
  <si>
    <t>PR</t>
  </si>
  <si>
    <r>
      <t>Prime Rate</t>
    </r>
    <r>
      <rPr>
        <sz val="11"/>
        <color theme="1"/>
        <rFont val="Calibri"/>
        <family val="2"/>
        <scheme val="minor"/>
      </rPr>
      <t xml:space="preserve"> do mercado financeiro americano</t>
    </r>
  </si>
  <si>
    <t xml:space="preserve">Base janeiro 2026. Fonte: https://www.jpmorganchase.com/about/our-business/historical-prime-rate. </t>
  </si>
  <si>
    <t>Taxa de Impostos (CSLL e IRPJ)</t>
  </si>
  <si>
    <t>Custo Médio Ponderado de Capital (WACC) real</t>
  </si>
  <si>
    <r>
      <t>WACC = D/D+E (K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 xml:space="preserve">) + E/D+E (Ke </t>
    </r>
    <r>
      <rPr>
        <vertAlign val="subscript"/>
        <sz val="11"/>
        <color theme="1"/>
        <rFont val="Calibri"/>
        <family val="2"/>
        <scheme val="minor"/>
      </rPr>
      <t>deflacionado</t>
    </r>
    <r>
      <rPr>
        <sz val="11"/>
        <color theme="1"/>
        <rFont val="Calibri"/>
        <family val="2"/>
        <scheme val="minor"/>
      </rPr>
      <t xml:space="preserve">) </t>
    </r>
  </si>
  <si>
    <t>E</t>
  </si>
  <si>
    <r>
      <t>Proporção do Valor do Capital Próprio (</t>
    </r>
    <r>
      <rPr>
        <i/>
        <sz val="11"/>
        <color theme="1"/>
        <rFont val="Calibri"/>
        <family val="2"/>
        <scheme val="minor"/>
      </rPr>
      <t>Equity</t>
    </r>
    <r>
      <rPr>
        <sz val="11"/>
        <color theme="1"/>
        <rFont val="Calibri"/>
        <family val="2"/>
        <scheme val="minor"/>
      </rPr>
      <t>)</t>
    </r>
  </si>
  <si>
    <t xml:space="preserve">D/E Ratio. Setor "Environmental &amp; Waste Services.  Damodaran. Aswath Damodaran; Beta, Unlevered beta and other risk measures, 2026. Disponível em: https://pages.stern.nyu.edu/~adamodar/New_Home_Page/home.htm. </t>
  </si>
  <si>
    <t>D</t>
  </si>
  <si>
    <t>Proporção do Valor de Dívida</t>
  </si>
  <si>
    <t>Tributos - Apuração pelo Lucro Real</t>
  </si>
  <si>
    <t>APURAÇÃO  DO PIS, COFINS E ISS</t>
  </si>
  <si>
    <t>ISS¹</t>
  </si>
  <si>
    <t>Base de cálculo - Créditos de PIS/COFINS</t>
  </si>
  <si>
    <t>Despesa veículo coleta domiciliar</t>
  </si>
  <si>
    <t>Despesa veículo coleta rural</t>
  </si>
  <si>
    <t>Despesa veículo coleta seletiva</t>
  </si>
  <si>
    <t>Amortização do Ativo Intangível</t>
  </si>
  <si>
    <t>APURAÇÃO DO IMPOSTO DE RENDA E CSLL  - DESALAVANCADO</t>
  </si>
  <si>
    <t>Resultado antes do IR/CS</t>
  </si>
  <si>
    <t>Base de Cálculo após compensações</t>
  </si>
  <si>
    <t>IRPJ Diferido - Prejuízos Fiscais</t>
  </si>
  <si>
    <t>Adições</t>
  </si>
  <si>
    <t>Baixas</t>
  </si>
  <si>
    <t>Máxima Economia de IRPJ Permitida por Lei</t>
  </si>
  <si>
    <t>Apuração IRPJ</t>
  </si>
  <si>
    <t>Provisão IRPJ</t>
  </si>
  <si>
    <t xml:space="preserve">Provisão IRPJ após compensação </t>
  </si>
  <si>
    <t>CSLL Diferido - Prejuízos Fiscais</t>
  </si>
  <si>
    <t>Apuração CSLL</t>
  </si>
  <si>
    <t>Provisão CSLL</t>
  </si>
  <si>
    <t xml:space="preserve">Provisão CSLL após compensação </t>
  </si>
  <si>
    <t>Somatório dos impostos LR</t>
  </si>
  <si>
    <t>APURAÇÃO DO IMPOSTO DE RENDA E CSLL  - ALAVANCADO</t>
  </si>
  <si>
    <t>¹ A alíquota (ISSQN) varia conforme o município. Fonte de dados alíquotas por município:</t>
  </si>
  <si>
    <t>Lagamar - Lei N° 1.418/2017, Lista de Serviços, Item 7.09 - Lagamar/MG.</t>
  </si>
  <si>
    <t>Patos de Minas -   item 7.10 - Anexo I - Lei Complementar N° 204, de 22 de dezembro de 2003 - Patos de Minas/MG.</t>
  </si>
  <si>
    <t>Presidente Olegário - Lei Complementar N° 67, de 4/12/2017, Anexo II - Lista de Serviços, item 7.09. Presidente Olegário/MG.</t>
  </si>
  <si>
    <t>São Gonçalo do Abaeté - Lei Complementar n° 1830/2021. Anexo I, Tabela I, Lei Complementar n° 1830/2021.</t>
  </si>
  <si>
    <t>São Gotardo - Lei n° 1.369/1998 - Tabela II - Item 12 - São Gotardo/MG.</t>
  </si>
  <si>
    <t>Tiros - Lei Complementar n° 1210/2009, art. 128. Anexo I, art. 135, Lei Complementar n° 1.210/2009.</t>
  </si>
  <si>
    <t>DEMONSTRATIVO DOS TRIBUTOS</t>
  </si>
  <si>
    <t xml:space="preserve">APURAÇÃO DO IMPOSTO DE RENDA E CSLL </t>
  </si>
  <si>
    <t>Base de cálculo</t>
  </si>
  <si>
    <t>Somatório dos impostos</t>
  </si>
  <si>
    <t>LR ou LP</t>
  </si>
  <si>
    <t>(escolha anual do regime tributário)</t>
  </si>
  <si>
    <t>Limite da Receita Total para opção do Lucro Presumido</t>
  </si>
  <si>
    <t>Receita não operacional venda dos caminhões</t>
  </si>
  <si>
    <t>Estimativa valor residual</t>
  </si>
  <si>
    <t>Referência Coleta Convencional</t>
  </si>
  <si>
    <t>Tabela FIPE ref. 509281-7 Mercedes-Benz - Atego 1719 2p (diesel) (E5) (8 anos de uso)</t>
  </si>
  <si>
    <t>mês de referência FIPE: janeiro/2026</t>
  </si>
  <si>
    <t>Referência Coleta Seletiva</t>
  </si>
  <si>
    <t>Tabela FIPE ref. 509292-2 - Mercedes-Benz Axor 2036 (8 anos)</t>
  </si>
  <si>
    <t>Referência Transbordo</t>
  </si>
  <si>
    <t>Tabela FIPE ref. 509292-2 - Mercedes-Benz Axor 2036 (10 anos)</t>
  </si>
  <si>
    <t>Referência Disposição Final</t>
  </si>
  <si>
    <t xml:space="preserve">Valor Residual Caminhões </t>
  </si>
  <si>
    <t>TRANSBORDO</t>
  </si>
  <si>
    <t>Valor (R$)</t>
  </si>
  <si>
    <t>Receita não Operacional - Venda dos Caminhões</t>
  </si>
  <si>
    <t>Transbordo</t>
  </si>
  <si>
    <t>CAPEX Coleta</t>
  </si>
  <si>
    <t>Dimensionamento - Coleta Convencional - Frota de Veículos - Quantidade</t>
  </si>
  <si>
    <t xml:space="preserve">Destinação </t>
  </si>
  <si>
    <t>Pré-operacional</t>
  </si>
  <si>
    <t>Reinvestimentos</t>
  </si>
  <si>
    <t xml:space="preserve">Caminhão
</t>
  </si>
  <si>
    <t>Compactador 15 m³</t>
  </si>
  <si>
    <t>Contenedor 
1000 litros - Zona Rural</t>
  </si>
  <si>
    <t xml:space="preserve">Valor 
Caminhão </t>
  </si>
  <si>
    <t>Valor 
Compactador</t>
  </si>
  <si>
    <t xml:space="preserve">Valor 
Contenedor </t>
  </si>
  <si>
    <t>Transbordo Arapuá</t>
  </si>
  <si>
    <t>Transbordo Coromandel</t>
  </si>
  <si>
    <t>Transbordo Guimarânia</t>
  </si>
  <si>
    <t>Transbordo Presidente Olegário</t>
  </si>
  <si>
    <t>UTM</t>
  </si>
  <si>
    <t>Reserva Técnica</t>
  </si>
  <si>
    <t>Preço de Aquisição/reposição (em R$):</t>
  </si>
  <si>
    <t>Vida útil dos veículos (em anos):</t>
  </si>
  <si>
    <t>Caminhão
Valores (em R$)</t>
  </si>
  <si>
    <t>Compactador
Valores (em R$)</t>
  </si>
  <si>
    <t>Contenedor
Valores (em R$)</t>
  </si>
  <si>
    <t>Veículos e equipamentos coleta seletiva</t>
  </si>
  <si>
    <t>DISCRIMINAÇÃO</t>
  </si>
  <si>
    <t xml:space="preserve">VALOR </t>
  </si>
  <si>
    <t>QUANTIDADE</t>
  </si>
  <si>
    <t>VALOR TOTAL</t>
  </si>
  <si>
    <t xml:space="preserve">Chassi 10 t PBT + Adaptação da Gaiola 
</t>
  </si>
  <si>
    <t>Contenedor 1000 litros</t>
  </si>
  <si>
    <t>Investimento e  Reinvestimentos: Chassi 10t PBT</t>
  </si>
  <si>
    <t>Investimento e Reinvestimentos: Contenedor</t>
  </si>
  <si>
    <t>Coleta de orgânicos</t>
  </si>
  <si>
    <t>Equipamentos</t>
  </si>
  <si>
    <t>Quantidade</t>
  </si>
  <si>
    <t>Preço Unitário
(R$)</t>
  </si>
  <si>
    <t>Chassi</t>
  </si>
  <si>
    <t>Compactador</t>
  </si>
  <si>
    <t>Investimento e  Reinvestimentos</t>
  </si>
  <si>
    <t>Chassi
Valor (R$)</t>
  </si>
  <si>
    <t>Compactador 
Valor (R$)</t>
  </si>
  <si>
    <t>CAPEX - Coleta</t>
  </si>
  <si>
    <t>Veículos e equipamentos - coleta convencional e containers zona rural</t>
  </si>
  <si>
    <t>Veículos e equipamentos - coleta seletiva</t>
  </si>
  <si>
    <t>Container 1000lts - coleta seletiva</t>
  </si>
  <si>
    <t>Veículos e equip. e container - coleta orgâncios</t>
  </si>
  <si>
    <t>CAPEX COLETA - COLETA - POR ANO</t>
  </si>
  <si>
    <t>Coleta Convencional</t>
  </si>
  <si>
    <t>Transporte direto ao destino final</t>
  </si>
  <si>
    <t>TOTAL COLETA</t>
  </si>
  <si>
    <t>CAPEX COLETA - POR MUNICÍPIO - POR ANO</t>
  </si>
  <si>
    <t>TOTAL COLETIVA CONVENCIONAL</t>
  </si>
  <si>
    <t>CAPEX - Coleta Orgânicos e Reciclagem</t>
  </si>
  <si>
    <t>CAPEX - TOTAL COLETA POR MUNICÍPIO</t>
  </si>
  <si>
    <t>Rateio - Por resíduos coleta convencional</t>
  </si>
  <si>
    <t>Participação na Coleta</t>
  </si>
  <si>
    <t>% 
Rateio por transbordo</t>
  </si>
  <si>
    <t>% 
Ref. para cálculo</t>
  </si>
  <si>
    <t>Transbordo 
Arapuá</t>
  </si>
  <si>
    <t>Transbordo 
Guimarânia</t>
  </si>
  <si>
    <t>Reserva técnica rateada por RSD por todos os municípios</t>
  </si>
  <si>
    <t>Rateio - Por resíduos coleta seletiva</t>
  </si>
  <si>
    <t>CAPEX Transbordo e Transporte</t>
  </si>
  <si>
    <t>Implantação Estações de Transbordo</t>
  </si>
  <si>
    <t>Obras de Implantação</t>
  </si>
  <si>
    <t>Locais</t>
  </si>
  <si>
    <t>Tipo</t>
  </si>
  <si>
    <t>Preço Total (R$)</t>
  </si>
  <si>
    <t>Arapuá, Coromandel, Guimarânia, Patos de Minas e Presidente Olegário</t>
  </si>
  <si>
    <t>Investimento inicial</t>
  </si>
  <si>
    <t>Reinvestimento para manutenção das instalações prediais</t>
  </si>
  <si>
    <t>Veículos e equipamentos transbordo</t>
  </si>
  <si>
    <t>Coleta Seletiva</t>
  </si>
  <si>
    <t xml:space="preserve">Carretas
</t>
  </si>
  <si>
    <t>Sistema roll on roll off</t>
  </si>
  <si>
    <t>Container/ Caçamba</t>
  </si>
  <si>
    <t>Carretas
(Axor 2036)</t>
  </si>
  <si>
    <t>Transbordo Gruimarânia</t>
  </si>
  <si>
    <t>Axor 2036 S/LS 2p (diesel) (E5) Código Fipe: 509292-2</t>
  </si>
  <si>
    <t>Sistema roll on roll off para caminhão 3 eixos modelo "GT-25":</t>
  </si>
  <si>
    <t xml:space="preserve">Container/Caçamba tipo roll on roll of  (TPM 6520AG) com 6,5m de comprimento, 2,4m largura e altura de 2,0m:31,2 m³  - 1 de reserva </t>
  </si>
  <si>
    <t>Reinvestimento</t>
  </si>
  <si>
    <t>Cavalo mecânico 20 toneladas de pbt para roll on roll off</t>
  </si>
  <si>
    <t xml:space="preserve">Reinvestimento a cada </t>
  </si>
  <si>
    <t>CAPEX - Transbordo e Transporte</t>
  </si>
  <si>
    <t>Veículos e equipamentos transbordos - RSD</t>
  </si>
  <si>
    <t>Veículos e equipamentos transbordos - RPU</t>
  </si>
  <si>
    <t>Veículos e equipamentos transbordos - Coleta Seletiva</t>
  </si>
  <si>
    <t>IMPLANTAÇÃO  ESTAÇÕES DE TRANSBORDO</t>
  </si>
  <si>
    <t>VEÍCULOS E EQUIPAMENTOS TRANSBORDO - RSD</t>
  </si>
  <si>
    <t>VEÍCULOS E EQUIPAMENTOS TRANSBORDO - RPU</t>
  </si>
  <si>
    <t>VEÍCULOS E EQUIPAMENTOS TRANSBORDO - Coleta Seletiva</t>
  </si>
  <si>
    <t>CAPEX - TRANSBORDO - POR MUNICÍPIO</t>
  </si>
  <si>
    <t>Rateio - Por resíduos (envio à CTR)</t>
  </si>
  <si>
    <t>Resíduos</t>
  </si>
  <si>
    <t>Invest. RSD</t>
  </si>
  <si>
    <t>Invest. RPU</t>
  </si>
  <si>
    <t>Invest. Sel.</t>
  </si>
  <si>
    <t>Guimarãnia</t>
  </si>
  <si>
    <t>CAPEX  Triagem e Tratamento</t>
  </si>
  <si>
    <t>Unidade de Triagem Mecanizada - UTM</t>
  </si>
  <si>
    <t>Descrição</t>
  </si>
  <si>
    <t>Implantação</t>
  </si>
  <si>
    <t>Manutenção predial - ano 10</t>
  </si>
  <si>
    <t>Manutenção predial - ano 20</t>
  </si>
  <si>
    <t>Valor (em R$)</t>
  </si>
  <si>
    <t>Implantação da UTM</t>
  </si>
  <si>
    <t>Compostagem</t>
  </si>
  <si>
    <t>Anos de Reinvestimentos</t>
  </si>
  <si>
    <t>Preço (R$)</t>
  </si>
  <si>
    <t>Preço Total (R$)
Investimento Inicial</t>
  </si>
  <si>
    <t>Reinvestimento
a cada 10 anos
(11 e 21)</t>
  </si>
  <si>
    <t>Total Concessão</t>
  </si>
  <si>
    <t>Peneira</t>
  </si>
  <si>
    <t>Triturador de galhos</t>
  </si>
  <si>
    <t>Subtotal (reinvestimento a cada 10 anos)</t>
  </si>
  <si>
    <t>Pátio</t>
  </si>
  <si>
    <t>(somente em cenário superior a 30 anos)</t>
  </si>
  <si>
    <t>Implantação Compostagem</t>
  </si>
  <si>
    <t>CAPEX - Tratamento e Triagem</t>
  </si>
  <si>
    <t>Unidade de Triagem Mecanizada</t>
  </si>
  <si>
    <t>CAPEX - TRIAGEM E TRATAMENTO - POR MUNICÍPIO</t>
  </si>
  <si>
    <t>Rateio - Por resíduos  (envio à CTR)</t>
  </si>
  <si>
    <t>CAPEX Disposição Final</t>
  </si>
  <si>
    <t>Implantação Aterro Sanitário</t>
  </si>
  <si>
    <t>Pré implantação</t>
  </si>
  <si>
    <t>Mobilização, Desmobilização e Canteiro de Obras</t>
  </si>
  <si>
    <t>Movimento de Terra</t>
  </si>
  <si>
    <t>Drenagem Superficial</t>
  </si>
  <si>
    <t xml:space="preserve">Impermeabilização </t>
  </si>
  <si>
    <t>Captação de Efluentes</t>
  </si>
  <si>
    <t>Tratamento de Efluentes</t>
  </si>
  <si>
    <t>Serviços Complementares</t>
  </si>
  <si>
    <t>Obras Civis</t>
  </si>
  <si>
    <t>Aquisição do Terreno</t>
  </si>
  <si>
    <t>Captação e Beneficiamento do Biogás</t>
  </si>
  <si>
    <t>Implantação Aterro Sanitário:</t>
  </si>
  <si>
    <t>Etapas</t>
  </si>
  <si>
    <t>Veículos e equipamentos para os aterros</t>
  </si>
  <si>
    <t>PREÇO UNITÁRIO</t>
  </si>
  <si>
    <t xml:space="preserve"> PREÇO TOTAL</t>
  </si>
  <si>
    <t>caminhão toco, peso bruto total 16000 kg, carga útil máxima 10600 kg, distância entre eixos 4,80 m, potência 277 cv (inclui cabine e chassi, não inclui carroceria)</t>
  </si>
  <si>
    <t>trator de esteiras, potência de 150 hp, peso operacional de 16,7 t, com roda motriz elevada e lâmina com contato de 3,18m3</t>
  </si>
  <si>
    <t>retroescavadeira sobre rodas com carregadeira, tração 4 x 4, potência liquida 72 hp, peso operacional mínimo de 7140 kg, capacidade mínima da carregadeira de 0,79 m3 e da retroescavadeira mínima de 0,18 m3, profundidade de escavação máxima de 4,50 m</t>
  </si>
  <si>
    <t>Reinvestimentos de 10 em 10 anos</t>
  </si>
  <si>
    <t>CAPEX - DISPOSIÇÃO FINAL</t>
  </si>
  <si>
    <t>Implantação AS Novo</t>
  </si>
  <si>
    <t>Veículos e equipamentos aterros</t>
  </si>
  <si>
    <t>CAPEX SPE</t>
  </si>
  <si>
    <t>Un.</t>
  </si>
  <si>
    <t>Quant.</t>
  </si>
  <si>
    <t>Valor Unitário</t>
  </si>
  <si>
    <t>Valor Total</t>
  </si>
  <si>
    <t>Área Edificada</t>
  </si>
  <si>
    <t>Portaria</t>
  </si>
  <si>
    <t>m²</t>
  </si>
  <si>
    <t>Prédio Administrativo</t>
  </si>
  <si>
    <t>Refeitório</t>
  </si>
  <si>
    <t>Vestiário</t>
  </si>
  <si>
    <t>Oficina e Almoxarifado</t>
  </si>
  <si>
    <t>Ponto de Abastecimento</t>
  </si>
  <si>
    <t>Área ao Ar Livre</t>
  </si>
  <si>
    <t>Área de Lavagem e Lubrificação</t>
  </si>
  <si>
    <t>Vias de acesso</t>
  </si>
  <si>
    <t>Áreas Verdes</t>
  </si>
  <si>
    <t>Pátio de Estacionamento</t>
  </si>
  <si>
    <t>CAPEX - SPE</t>
  </si>
  <si>
    <t>CAPEX - SPE - POR MUNICÍPIO</t>
  </si>
  <si>
    <t>CAPEX  -  Inclusão Catador</t>
  </si>
  <si>
    <t>Reforma e manutenção das Unidades de Triagem Local pré-existente</t>
  </si>
  <si>
    <t>Manutenção a cada 5 anos</t>
  </si>
  <si>
    <t>Valor</t>
  </si>
  <si>
    <t>UTL Rio Paranaíba</t>
  </si>
  <si>
    <t>UTL Coromandel</t>
  </si>
  <si>
    <t>Custo de elaboração e aprovação dos projetos executivos</t>
  </si>
  <si>
    <t>Custo de renovação do licenciamento ambiental</t>
  </si>
  <si>
    <t>Aquisição de equipamentos, máquinas e veículos (a cada 10 anos)</t>
  </si>
  <si>
    <t>TIIPO</t>
  </si>
  <si>
    <t>CUSTO DE AQUISIÇÃO</t>
  </si>
  <si>
    <t>Esteira de seleção</t>
  </si>
  <si>
    <t>Prensa Enfardadeira</t>
  </si>
  <si>
    <t xml:space="preserve">Balança </t>
  </si>
  <si>
    <t>Empilhadeira mecânica</t>
  </si>
  <si>
    <t>Carrinho</t>
  </si>
  <si>
    <t>Investimento e Reinvestimentos:</t>
  </si>
  <si>
    <t>CAPEX - Inclusão Catador</t>
  </si>
  <si>
    <t xml:space="preserve">Reforma de UTRs </t>
  </si>
  <si>
    <t>Aquisição de equipamentos de reciclagem</t>
  </si>
  <si>
    <t>CAPEX - Anexo 6 - POR MUNICÍPIO</t>
  </si>
  <si>
    <t>OPEX - Coleta</t>
  </si>
  <si>
    <t>Custos Coleta Convencional (Urbana e Rural)</t>
  </si>
  <si>
    <t>Custos Operacionais</t>
  </si>
  <si>
    <t>mensal</t>
  </si>
  <si>
    <t>Custos diretos de mão de obra</t>
  </si>
  <si>
    <t>Custos dependentes de mão de obra</t>
  </si>
  <si>
    <t>Custos dependentes de quilometragem</t>
  </si>
  <si>
    <t>Subtotal Custos mensais combustível</t>
  </si>
  <si>
    <t>Dias de coleta por mês</t>
  </si>
  <si>
    <t>dias</t>
  </si>
  <si>
    <t xml:space="preserve">Extensão diária (informação operacional) </t>
  </si>
  <si>
    <t>Km</t>
  </si>
  <si>
    <t>Extensão mensal (quilometragem caminhões)</t>
  </si>
  <si>
    <t>Consumo (litro/km)</t>
  </si>
  <si>
    <t>litro/km</t>
  </si>
  <si>
    <t>Valor do litro do diesel</t>
  </si>
  <si>
    <t>Subtotal Custo Mensal de Rodagem</t>
  </si>
  <si>
    <t>Subtotal Custo Mensal de Lavagem e Lubrificação</t>
  </si>
  <si>
    <t>Subtotal Custo Mensal Peças e Acessórios</t>
  </si>
  <si>
    <t>Licenciamento e Seguros</t>
  </si>
  <si>
    <t>IPVA dos verícuos</t>
  </si>
  <si>
    <t>Seguro</t>
  </si>
  <si>
    <t>Toneladas coletadas mês</t>
  </si>
  <si>
    <t>Custo unitário (R$/t)</t>
  </si>
  <si>
    <t>(R$/t)</t>
  </si>
  <si>
    <t>A partir do ano</t>
  </si>
  <si>
    <t>Custos Coleta Orgânica</t>
  </si>
  <si>
    <t xml:space="preserve">Dimensionamento (t/dia) </t>
  </si>
  <si>
    <t>Urbana</t>
  </si>
  <si>
    <t>Rural</t>
  </si>
  <si>
    <t>Seletiva</t>
  </si>
  <si>
    <t>Coleta área urbana RSD (t/dia)</t>
  </si>
  <si>
    <t>Custo anual
(R$/ano)</t>
  </si>
  <si>
    <t xml:space="preserve">Coleta área rural RSD (t/dia) </t>
  </si>
  <si>
    <t>Coleta seletiva
(t/dia)</t>
  </si>
  <si>
    <t>Opex - 1º ao 8º ano</t>
  </si>
  <si>
    <t>Opex - A partir do 9º ano*</t>
  </si>
  <si>
    <t>* redução de 17 para 16 caminhões</t>
  </si>
  <si>
    <t>Coleta seletiva de recicláveis secos nos municípios de Coromandel, Patrocínio e Rio Paranaíba nos anos 1 e 2</t>
  </si>
  <si>
    <t>Quantidade de RSD
(t/ano) - ano 1 e 2</t>
  </si>
  <si>
    <t>Custo unitário
(R$/t)</t>
  </si>
  <si>
    <t>Custo anual</t>
  </si>
  <si>
    <t>Total (anual)</t>
  </si>
  <si>
    <t>Coleta seletiva de recicláveis secos em todos os municípios a partir do ano 3 de concessão</t>
  </si>
  <si>
    <t>Quantidade de RSD
(t/ano) - ano 5</t>
  </si>
  <si>
    <t xml:space="preserve">Custo Operacional </t>
  </si>
  <si>
    <t>Custo mensal
(R$)</t>
  </si>
  <si>
    <t>Custo Anual
(R$)</t>
  </si>
  <si>
    <t>Custo por equipe</t>
  </si>
  <si>
    <t>Quandidade de caminhões adotada</t>
  </si>
  <si>
    <t>OPEX - COLETA CONVENCIONAL - ÁREA URBANA POR MUNICÍPIO</t>
  </si>
  <si>
    <t>OPEX - COLETA CONVENCIONAL - ÁREA RURAL POR MUNICÍPIO</t>
  </si>
  <si>
    <t>OPEX - COLETA SELETIVA - POR MUNICÍPIO</t>
  </si>
  <si>
    <t>OPEX - COLETA DE ORGÂNICOS - POR MUNICÍPIO</t>
  </si>
  <si>
    <t>OPEX - COLETA</t>
  </si>
  <si>
    <t>Coleta Urbana</t>
  </si>
  <si>
    <t>Coleta Zona Rural</t>
  </si>
  <si>
    <t>Coleta Seletiva Secos</t>
  </si>
  <si>
    <t>Coleta de Orgânicos</t>
  </si>
  <si>
    <t>OPEX - Transporte e Transbordo</t>
  </si>
  <si>
    <t xml:space="preserve">Custo de Operação das Estações </t>
  </si>
  <si>
    <t>Custo  mensal por Estação</t>
  </si>
  <si>
    <t>Custo  anual por Estação</t>
  </si>
  <si>
    <r>
      <t xml:space="preserve">Custo Total
</t>
    </r>
    <r>
      <rPr>
        <sz val="11"/>
        <color rgb="FF000000"/>
        <rFont val="Calibri"/>
        <family val="2"/>
      </rPr>
      <t>(ano 1 a 2)</t>
    </r>
  </si>
  <si>
    <r>
      <t xml:space="preserve">Custo Total
</t>
    </r>
    <r>
      <rPr>
        <sz val="11"/>
        <color rgb="FF000000"/>
        <rFont val="Calibri"/>
        <family val="2"/>
      </rPr>
      <t>(ano 3 a 30)</t>
    </r>
  </si>
  <si>
    <t>Mão de obra</t>
  </si>
  <si>
    <t>Operação da balança rodoviária</t>
  </si>
  <si>
    <t>Quant. de Estações</t>
  </si>
  <si>
    <t>(ano 1 ao 2)</t>
  </si>
  <si>
    <t>(ano 3 ao 30)</t>
  </si>
  <si>
    <t>Custo de Transporte</t>
  </si>
  <si>
    <t>Ano 1 - 2</t>
  </si>
  <si>
    <t>Ano 3 - 30</t>
  </si>
  <si>
    <t>Operação Transporte RSD</t>
  </si>
  <si>
    <t>Operação Transporte RPU</t>
  </si>
  <si>
    <t>Operação Transporte Coleta Seletiva</t>
  </si>
  <si>
    <t>Custo Total Anual</t>
  </si>
  <si>
    <t>Custo de Transporte Arapuá</t>
  </si>
  <si>
    <t>Custo de Transporte Coromandel</t>
  </si>
  <si>
    <t>Custo de Transporte Guimarânia</t>
  </si>
  <si>
    <t>Custo de Transporte Presidente Olegário</t>
  </si>
  <si>
    <t>Custo de Transporte Patos de Minas</t>
  </si>
  <si>
    <t>OPEX - Transbordo e Transporte</t>
  </si>
  <si>
    <t>Operação das Estações</t>
  </si>
  <si>
    <t xml:space="preserve">Operação até a destinação </t>
  </si>
  <si>
    <t>Custo de Operação das Estações</t>
  </si>
  <si>
    <t>Guimânia</t>
  </si>
  <si>
    <t>OPEX - TRANSBORDO - POR MUNICÍPIO</t>
  </si>
  <si>
    <t>Ano 1-2</t>
  </si>
  <si>
    <t>Ano 3-30</t>
  </si>
  <si>
    <t>Valores a ponderar - Operação das Estações</t>
  </si>
  <si>
    <t>Valores a ponderar - Transporte</t>
  </si>
  <si>
    <t>OPEX - Tratamento e Triagem</t>
  </si>
  <si>
    <t>Operação Unidade de Triagem Mecanizada</t>
  </si>
  <si>
    <t xml:space="preserve">Operação  (R$/por ano) </t>
  </si>
  <si>
    <t>(do 3º ano até 9º ano)</t>
  </si>
  <si>
    <t>Operação  (R$/por ano)</t>
  </si>
  <si>
    <t>(do 8º ano até 30° ano)</t>
  </si>
  <si>
    <t>Operação Compostagem</t>
  </si>
  <si>
    <t>Preço Unitário (R$)</t>
  </si>
  <si>
    <t>Preço (R$/mês)</t>
  </si>
  <si>
    <t>Preço (R$/ano)</t>
  </si>
  <si>
    <t>Encarregado</t>
  </si>
  <si>
    <t>Auxiliar de pátio</t>
  </si>
  <si>
    <t>Retro escavadeira com operador (CHP)</t>
  </si>
  <si>
    <t>Retro escavadeira com operador (CHI)</t>
  </si>
  <si>
    <t>Moto-serra com operador (CHP)</t>
  </si>
  <si>
    <t>Moto-serra com operador (CHI)</t>
  </si>
  <si>
    <t>OPEX - TRATAMENTO E TRIAGEM</t>
  </si>
  <si>
    <t>Operação compostagem</t>
  </si>
  <si>
    <t>OPEX - TRATAMENTO - POR MUNICÍPIO</t>
  </si>
  <si>
    <t>OPEX - Disposição Final</t>
  </si>
  <si>
    <t xml:space="preserve">Destinação em aterros privados </t>
  </si>
  <si>
    <t>Valor (R$/ano)</t>
  </si>
  <si>
    <t>Operação de transporte de rejeitos da UTM para aterro privado (anos 3-4)</t>
  </si>
  <si>
    <t>TRANSPORTE DE CARGA DE QUALQUER NATUREZA,EXCLUSIVE AS DESPESAS DE CARGA E DESCARGA,TANTO DE ESPERA DA CARRETA COMO DO SERVENTE OU EQUIPAMENTO AUXILIAR,A VELOCIDADE MEDIA DE 50KM/H,EM CARRETA,COM CAPACIDADE UTIL DE 30T</t>
  </si>
  <si>
    <t>Do ano</t>
  </si>
  <si>
    <t>até o ano</t>
  </si>
  <si>
    <t>Operação aterro novo</t>
  </si>
  <si>
    <t>Operação aterro novo - com operação do sistema de captação e beneficiamento do biogás</t>
  </si>
  <si>
    <t>Equipamentos, mão de obra e outros serviços</t>
  </si>
  <si>
    <t>Obras de Manutenção</t>
  </si>
  <si>
    <t>Sistema de Drenagem de Gases</t>
  </si>
  <si>
    <t>Continuação da Instalação do Monitoramento Geotécnico</t>
  </si>
  <si>
    <t>Manutenção dos Taludes Expostos</t>
  </si>
  <si>
    <t>Monitoramento ambiental</t>
  </si>
  <si>
    <t>Operação do sistema de captação e beneficiamento do biogás</t>
  </si>
  <si>
    <t>OPEX - DISPOSIÇÃO FINAL</t>
  </si>
  <si>
    <t>Destinação em aterros privados</t>
  </si>
  <si>
    <t xml:space="preserve">Operação de transporte de rejeitos da UTM para aterro privado </t>
  </si>
  <si>
    <t>OPEX - DISPOSIÇÃO FINAL - POR MUNICÍPIO</t>
  </si>
  <si>
    <t>OPEX - Socioambiental</t>
  </si>
  <si>
    <t>Programa de Educação Ambiental</t>
  </si>
  <si>
    <t xml:space="preserve">Diagramação e impressão de folheto cidade limpa </t>
  </si>
  <si>
    <t>Produção de cartilha institucional tipo 4 - digital</t>
  </si>
  <si>
    <t>Redação, formatação de informativo digital</t>
  </si>
  <si>
    <t>Produção de vídeo institucional - documentário e entrevista com gravação interna e xerna, incluindo roteiro, edição, montagem, trilha sonora, locação de equipamentos e equipe técnica</t>
  </si>
  <si>
    <t xml:space="preserve">Veículo </t>
  </si>
  <si>
    <t>Seminário/forum - 8 horas</t>
  </si>
  <si>
    <t>Seminário/fórum</t>
  </si>
  <si>
    <t>Técnico de nível médio - mobilizador social</t>
  </si>
  <si>
    <t>Estagiário de nível superior - 4 horas</t>
  </si>
  <si>
    <t>Técnico de nível superior supervisor</t>
  </si>
  <si>
    <t>Técnico de nível superior</t>
  </si>
  <si>
    <t>Técnico de nível médio - auxiliar administrativo</t>
  </si>
  <si>
    <t>Elaboração do PTTs</t>
  </si>
  <si>
    <t>Programa de Ações de Remediação dos Antigos Lixões</t>
  </si>
  <si>
    <t>Projetos Executivos</t>
  </si>
  <si>
    <t>Recursos Materias e Consultorias</t>
  </si>
  <si>
    <t>Progama de Ações de Remediação dos Antigos Lixões</t>
  </si>
  <si>
    <t>OPEX - Socioambiental - POR MUNICÍPIO</t>
  </si>
  <si>
    <t>OPEX SPE</t>
  </si>
  <si>
    <t>Despesas administrativas</t>
  </si>
  <si>
    <t>R$ Total mensal</t>
  </si>
  <si>
    <t>Subtotal - Despesas administrativas</t>
  </si>
  <si>
    <t>Veículos de apoio</t>
  </si>
  <si>
    <t>Valor Unitário
mensal</t>
  </si>
  <si>
    <t>Veículo passeio tipo 1</t>
  </si>
  <si>
    <t>Pick up leve</t>
  </si>
  <si>
    <t>Subtotal - Veículos de apoio</t>
  </si>
  <si>
    <t>Mão de obra administrativa e de apoio</t>
  </si>
  <si>
    <t>Gerente Geral</t>
  </si>
  <si>
    <t>Coordenadores</t>
  </si>
  <si>
    <t>Encarregado de Coleta</t>
  </si>
  <si>
    <t>Encarregado Administrativo</t>
  </si>
  <si>
    <t>Encarregado de Tratamento e Destino</t>
  </si>
  <si>
    <t>Encarregado de Sala Técnica</t>
  </si>
  <si>
    <t>Auxiliar Administrativo</t>
  </si>
  <si>
    <t>Auxiliar Técnico</t>
  </si>
  <si>
    <t>Estagiário</t>
  </si>
  <si>
    <t>Técnico de Segurança do Trabalho</t>
  </si>
  <si>
    <t>Comprador</t>
  </si>
  <si>
    <t>Almoxarife</t>
  </si>
  <si>
    <t>Auxiliar de Serviços Gerais</t>
  </si>
  <si>
    <t>Vigia</t>
  </si>
  <si>
    <t>Encarregado de Manutenção</t>
  </si>
  <si>
    <t>Mecânico</t>
  </si>
  <si>
    <t>Eletricista</t>
  </si>
  <si>
    <t>Borracheiro</t>
  </si>
  <si>
    <t>Pedreiro</t>
  </si>
  <si>
    <t>Subtotal - Mão de obra administrativa e de apoio</t>
  </si>
  <si>
    <t>Total (mensal)</t>
  </si>
  <si>
    <t>Custos Gravimetria</t>
  </si>
  <si>
    <t>R$ Total anual</t>
  </si>
  <si>
    <t>Ano 1 (frequência trimestral)</t>
  </si>
  <si>
    <t>Ano 3 em diante (frequência semestral)</t>
  </si>
  <si>
    <t>OPEX - SPE</t>
  </si>
  <si>
    <t>Despesas com veículos de apoio</t>
  </si>
  <si>
    <t>OPEX - SPE - POR MUNICÍPIO</t>
  </si>
  <si>
    <t>OPEX - Anexo 6 - Inclusão social e emancipação econômica de catadores</t>
  </si>
  <si>
    <t>Auxílio financeiro aos catadores presentes em lixões ou transbordo irregulares de acordo com o  PIGIRS</t>
  </si>
  <si>
    <t>Auxílio Financeiro</t>
  </si>
  <si>
    <t>Unid</t>
  </si>
  <si>
    <t>HRS</t>
  </si>
  <si>
    <t>Sub-total (mês)</t>
  </si>
  <si>
    <t>Total (doze meses)</t>
  </si>
  <si>
    <t>Elaboração do programa de inclusão social e emancipação econômica de catadores de materiais reutilizáveis e recicláveis no manejo de resíduos sólidos urbanos do CISPAR</t>
  </si>
  <si>
    <t>Coordenador Geral - técico de nível superior senior</t>
  </si>
  <si>
    <t>Analista ambiental - técnico de nível superior</t>
  </si>
  <si>
    <t>Analista de segurança do trabalho - técnico de nível superior</t>
  </si>
  <si>
    <t>Analista de projetos - técnico de nível superior</t>
  </si>
  <si>
    <t>Técnico ambiental - técnico de nível médio</t>
  </si>
  <si>
    <t>Mobilizador - técnico de nível médio</t>
  </si>
  <si>
    <t>Analista - psicologo ou administrador</t>
  </si>
  <si>
    <t>LOCAÇÃO VEÍCULO 4 PORTAS, MÍN. 1.000CC 04 PASSAGEIROS, DIREÇÃO HIDRÁULICA E GASOLINA COM ATÉ 01 ANO DE USO.</t>
  </si>
  <si>
    <t>MÊS</t>
  </si>
  <si>
    <t>MANUTENÇÃO DO ESCRITÓRIO E CENTRAL DE ATENDIMENTO - TIPO 3 (INTERNET, TELEFONIA, MATERIAIS DE ESCRITÓRIO DE REPOSIÇÃO MENSAL)</t>
  </si>
  <si>
    <t>FORNECIMENTO E MANUTENÇÃO DE 01 COMPUTADOR INTEL® CORE™ I3- 2120, 8GB, 500GB, GRAVADOR DE DVD, LEITOR DE CARTÕES, HDMI, LCD 18.5" E WINDOWS 8  OU SIMILAR</t>
  </si>
  <si>
    <t>IMPRESSORA MULTIFUNCIONAL P&amp;B- LOCAÇÃO, INCLUÍDA TIRAGEM MÁXIMA DE 2.000  IMPRESSÕES E/OU CÓPIAS, INCLÚDOS PEÇAS, SUPRIMENTOS (TONER E CILINDROS) E MANUTENÇÃO/MÃO DE OBRA</t>
  </si>
  <si>
    <t>Total (seis primeiros meses da concessão)</t>
  </si>
  <si>
    <t>REPASSE AO CISPAR ASSINATURA DO CONTRATO</t>
  </si>
  <si>
    <t>Especificação</t>
  </si>
  <si>
    <t>Custo Mensal (R$)</t>
  </si>
  <si>
    <t>Custo Anual (R$)</t>
  </si>
  <si>
    <t>Anos</t>
  </si>
  <si>
    <t>Custo Concessão</t>
  </si>
  <si>
    <t>30 anos</t>
  </si>
  <si>
    <t>Verba anual - Capacitação das organizações de catadores de materiais recicláveis e reutilizáveis</t>
  </si>
  <si>
    <t>Ano 1 ao 5</t>
  </si>
  <si>
    <t>Verba anual - Consultoria técnica para melhorar a gestão</t>
  </si>
  <si>
    <t>Verba anual - Elaboração e implementação de projetos de saúde e segurança do trabalho</t>
  </si>
  <si>
    <t>Verba anual - Consultoria Contábil por todo o período da concessão</t>
  </si>
  <si>
    <t>Verba anual - Aquisição e reposição de equipamentos de escritório</t>
  </si>
  <si>
    <t>Verba anual - Despesas e material de escritório ao longo de todo o período da concessão</t>
  </si>
  <si>
    <t>Verba anual - Energia elétrica</t>
  </si>
  <si>
    <t>Verba anual - Material de limpeza, abastecimento de água, esgotamento sanitário e outros</t>
  </si>
  <si>
    <t>Verba anual - Manutenção de equipamentos e máquinas</t>
  </si>
  <si>
    <t>Custo (R$)</t>
  </si>
  <si>
    <t>Remuneração catadores Coromandel</t>
  </si>
  <si>
    <t>Mês</t>
  </si>
  <si>
    <t>Remuneração catadores Rio Paranaíba</t>
  </si>
  <si>
    <t>Plano de inclusão de organizações de catadores na concessão</t>
  </si>
  <si>
    <t>Custo  (R$)</t>
  </si>
  <si>
    <t>Periodicidade</t>
  </si>
  <si>
    <t xml:space="preserve">Elaboração de Planos, Projetos e Diagnósticos - Elaboração do PTTS </t>
  </si>
  <si>
    <t>1x (prazo 6 meses)</t>
  </si>
  <si>
    <t>Elaboração de Planos, Projetos e Diagnósticos - Avalaição 'ex-ante'</t>
  </si>
  <si>
    <t>Execução a cada 5 anos.</t>
  </si>
  <si>
    <t>Plano de Educação Sócio Ambiental - Cursos e Capacitação</t>
  </si>
  <si>
    <t>Execução anual.</t>
  </si>
  <si>
    <t>Plano de Desenvolvimento Socioeconômico - empreendorismo</t>
  </si>
  <si>
    <t>Licenciamento Ambiental</t>
  </si>
  <si>
    <t xml:space="preserve">Elaboração dos RAS </t>
  </si>
  <si>
    <t>Licença</t>
  </si>
  <si>
    <t>Renovações (9 renovações)</t>
  </si>
  <si>
    <t>OPEX - CISPAR</t>
  </si>
  <si>
    <t>Repasse ao CISPAR na assinatura do contrato</t>
  </si>
  <si>
    <t>OPEX - CISPAR - POR MUNICÍPIO</t>
  </si>
  <si>
    <t>Levantamento de despesas estimadas com cobrança e arrecadação</t>
  </si>
  <si>
    <t>Registro e Liquidação</t>
  </si>
  <si>
    <t>Itaú¹</t>
  </si>
  <si>
    <t>SICOOB²</t>
  </si>
  <si>
    <t>BANPARÁ³</t>
  </si>
  <si>
    <r>
      <t>Banco do Brasil</t>
    </r>
    <r>
      <rPr>
        <vertAlign val="superscript"/>
        <sz val="11"/>
        <color theme="1"/>
        <rFont val="Calibri"/>
        <family val="2"/>
        <scheme val="minor"/>
      </rPr>
      <t>4</t>
    </r>
  </si>
  <si>
    <t>Serviço de registro de liquidação (valor atualizado)</t>
  </si>
  <si>
    <t>Serviço de registro de liquidação (vlr. Unit. Nominal)</t>
  </si>
  <si>
    <t>Data de assinatura do contrato</t>
  </si>
  <si>
    <t>Índice de ajuste</t>
  </si>
  <si>
    <t>Atualização pelo IPCA para data base: ago/25</t>
  </si>
  <si>
    <t>¹ Contrato n° 026/2024. Município de Goianira e itaú Unibanco S.A. Disponível em: https://pncp.gov.br/app/contratos/01291707000167/2024/24</t>
  </si>
  <si>
    <t>² Contrato n° 081/2024. Município de São Bento do Sul e SICOOB-CREDINORTE. Disponível em: https://pncp.gov.br/app/contratos/86051398000100/2024/158</t>
  </si>
  <si>
    <t>³ Contrato n° 002/2024. Secretaria Executiva do Estado da Fazenda Pará e BANPARÁ. Disponível em: https://pncp.gov.br/app/contratos/05054861000176/2024/44</t>
  </si>
  <si>
    <r>
      <rPr>
        <vertAlign val="superscript"/>
        <sz val="11"/>
        <color theme="1"/>
        <rFont val="Calibri"/>
        <family val="2"/>
        <scheme val="minor"/>
      </rPr>
      <t xml:space="preserve">4 </t>
    </r>
    <r>
      <rPr>
        <sz val="11"/>
        <color theme="1"/>
        <rFont val="Calibri"/>
        <family val="2"/>
        <scheme val="minor"/>
      </rPr>
      <t>Contrato n° 014/2023. Conselho Regional dos Representantes Comerciais no Estado de Minas Gerais e Banco do Brasil. Disponível em: https://pncp.gov.br/app/contratos/17314360000160/2023/3</t>
    </r>
  </si>
  <si>
    <t>Impressão</t>
  </si>
  <si>
    <t>Ata de Registro de Preços N°467/2023¹</t>
  </si>
  <si>
    <t>Ata de Registro de Preços N°009/2024²</t>
  </si>
  <si>
    <t>Ata de Registro de Preços Nº07/2023³</t>
  </si>
  <si>
    <r>
      <t>Ata de Registro de Preços</t>
    </r>
    <r>
      <rPr>
        <vertAlign val="superscript"/>
        <sz val="11"/>
        <color theme="1"/>
        <rFont val="Calibri"/>
        <family val="2"/>
        <scheme val="minor"/>
      </rPr>
      <t>4</t>
    </r>
  </si>
  <si>
    <t>Serviço de impressão (Valor Atualizado)</t>
  </si>
  <si>
    <t>Serviço de impressão Valor Nominal</t>
  </si>
  <si>
    <t>¹ Ata de Registro de Preços Nº 467/2023. Pregão Eletrônico Nº 179/2023. Prefeitura Municipal de Marília. Disponível em: https://pncp.gov.br/app/atas/44477909000100/2023/5/1</t>
  </si>
  <si>
    <t>² Ata de Registro de Preços Nº 009/2024. Pregão Eletrônico Nº 008/2024. Conselho Regional de Enfermagem de Santa Catarina. Disponível em: https://pncp.gov.br/app/atas/75308106000156/2024/18/1</t>
  </si>
  <si>
    <t>³ Ata de Registro de Preços Nº 007/2023. Pregão Eletrônico Nº 261/2023. Município de Montes Claros. Disponível em: https://pncp.gov.br/app/atas/22678874000135/2023/315/1</t>
  </si>
  <si>
    <r>
      <rPr>
        <vertAlign val="superscript"/>
        <sz val="11"/>
        <color theme="1"/>
        <rFont val="Calibri"/>
        <family val="2"/>
        <scheme val="minor"/>
      </rPr>
      <t xml:space="preserve">4 </t>
    </r>
    <r>
      <rPr>
        <sz val="11"/>
        <color theme="1"/>
        <rFont val="Calibri"/>
        <family val="2"/>
        <scheme val="minor"/>
      </rPr>
      <t>Ata de Registro de Preços. Pregão Eletrônico Nº 001/2024. Município de Rio Pomba. Disponível em: https://pncp.gov.br/app/atas/17744434000107/2024/1/1</t>
    </r>
  </si>
  <si>
    <t>Postagem</t>
  </si>
  <si>
    <t>ECT¹</t>
  </si>
  <si>
    <t>Faixa de Peso (em gramas) até 20</t>
  </si>
  <si>
    <t>¹Portaria MCOM Nº 17.364, de 7 de abril de 2025, do Ministério das Comunicações.</t>
  </si>
  <si>
    <t>Sistema de Gestão da Cobrança</t>
  </si>
  <si>
    <t>SISTEMA DE GESTÃO DA COBRANÇA</t>
  </si>
  <si>
    <t>Valor Nominal</t>
  </si>
  <si>
    <t>Valor Atual.</t>
  </si>
  <si>
    <t>Parcela única</t>
  </si>
  <si>
    <t>Treinamento</t>
  </si>
  <si>
    <t>Índice de correção IPCA</t>
  </si>
  <si>
    <t>Fonte: Cotação julho de 2024</t>
  </si>
  <si>
    <t>EQUIPE DE GESTÃO DA COBRANÇA</t>
  </si>
  <si>
    <t>Valor unitário
Mensal</t>
  </si>
  <si>
    <t>Valor total
Mensal</t>
  </si>
  <si>
    <t>Coordenador</t>
  </si>
  <si>
    <t>Advogado</t>
  </si>
  <si>
    <t>Administrativo de cobrança</t>
  </si>
  <si>
    <t>Administrativo de jurídico</t>
  </si>
  <si>
    <t>Fonte: Guia Salarial Roberto Half, 2025.</t>
  </si>
  <si>
    <t>Negativação</t>
  </si>
  <si>
    <t>Associação Comercial do Paraná¹</t>
  </si>
  <si>
    <t>Previnity Soluções Inteligentes em Informática²</t>
  </si>
  <si>
    <t>Armando Semeghini³</t>
  </si>
  <si>
    <t>Instrução de Protesto/inclusão de Negativação</t>
  </si>
  <si>
    <t>Instrução de Protesto/inclusão de Negativação Nominal</t>
  </si>
  <si>
    <t>¹ Contrato Administrativo Nº 155/2024. Município de Nossa Senhora das Graças/PR e a Associação Comercial do Paraná. Disponível em: https://pncp.gov.br/app/contratos/76970300000165/2024/119</t>
  </si>
  <si>
    <t>² Contrato de Prestação de serviços que entre si fazem o Município de Porto Seguro e a empresa Previnity Soluções Inteligentes em Informática Ltda. Disponível em:  https://pncp.gov.br/app/contratos/13635016000112/2024/225</t>
  </si>
  <si>
    <t>³ Contrato Administrativo Nº 7/2024. Poder Judiciário do Estado de Roraima. Disponível em: https://pncp.gov.br/app/contratos/34812669000108/2024/4</t>
  </si>
  <si>
    <t>Serviços</t>
  </si>
  <si>
    <t>Instrução de Protesto / Inclusão de Negativação</t>
  </si>
  <si>
    <t>por boleto</t>
  </si>
  <si>
    <t>NO ANO</t>
  </si>
  <si>
    <t>+1 ANO</t>
  </si>
  <si>
    <t>+2 ANOS</t>
  </si>
  <si>
    <t>+3 ANOS</t>
  </si>
  <si>
    <t>+4 ANOS</t>
  </si>
  <si>
    <t>+5 ANO</t>
  </si>
  <si>
    <t>&gt; 5 ANOS</t>
  </si>
  <si>
    <t>Vr não parcelados</t>
  </si>
  <si>
    <t>Vr parcelados/ajuste</t>
  </si>
  <si>
    <t>Fonte: Dados IPTU fonte  primária Patos de Minas</t>
  </si>
  <si>
    <t>Tabulação</t>
  </si>
  <si>
    <t>ano 1</t>
  </si>
  <si>
    <t>ano 2</t>
  </si>
  <si>
    <t>ano 3</t>
  </si>
  <si>
    <t>ano 4</t>
  </si>
  <si>
    <t>ano 5</t>
  </si>
  <si>
    <t>ano 6</t>
  </si>
  <si>
    <t>ano 7 +</t>
  </si>
  <si>
    <t>Indicador de Cobertura do Serviço da Dívida (ICSD)</t>
  </si>
  <si>
    <t>Período</t>
  </si>
  <si>
    <t>Fluxo de Caixa Operacional</t>
  </si>
  <si>
    <t>ICSD Projeto</t>
  </si>
  <si>
    <t>ICSD Limite</t>
  </si>
  <si>
    <t>ICSD Médio</t>
  </si>
  <si>
    <t>ICSD Anual e Médio</t>
  </si>
  <si>
    <t>Valor 
Financiamento</t>
  </si>
  <si>
    <t>Carência
(meses)</t>
  </si>
  <si>
    <t>Menor ICSD</t>
  </si>
  <si>
    <t>Empréstimo Ponte</t>
  </si>
  <si>
    <t>Primeira Tranche (CAPEX Financiado)</t>
  </si>
  <si>
    <t>Segunda Tranche (CAPEX Financiado)</t>
  </si>
  <si>
    <t>Terceira Tranche (CAPEX Financiado)</t>
  </si>
  <si>
    <t>Prazo de Amortização (meses) - 1ª Tranche</t>
  </si>
  <si>
    <t>(prazo máximo para modalidade de Manejo de Resíduos Sólidos - Saneamento para Todos CAIXA)</t>
  </si>
  <si>
    <t>Prazo de Amortização (meses) - 2ª Tranche</t>
  </si>
  <si>
    <t>Prazo de Amortização (meses) - 3ª Tranche</t>
  </si>
  <si>
    <t>INGRESSOS DE EMPRÉSTIMOS E FINANCIAMENTOS</t>
  </si>
  <si>
    <t>Financiamentos</t>
  </si>
  <si>
    <t>TOTAL DOS INGRESSOS</t>
  </si>
  <si>
    <t>SERVIÇOS DA DÍVIDA</t>
  </si>
  <si>
    <t>Pagamento de Juros</t>
  </si>
  <si>
    <t>TOTAL DOS SERVIÇOS DA DÍVIDA</t>
  </si>
  <si>
    <t>OUTROS DESEMBOLSOS FINANCEIROS</t>
  </si>
  <si>
    <t>IOF</t>
  </si>
  <si>
    <t>Fee de estruturação</t>
  </si>
  <si>
    <t>Conta Garantia</t>
  </si>
  <si>
    <t>TOTAL OUTROS DESEMBOLSOS FINANCEIROS</t>
  </si>
  <si>
    <t>Conta Garantia acumulado</t>
  </si>
  <si>
    <t>DETALHAMENTO DOS EMPRÉSTIMOS E FINANCIAMENTOS</t>
  </si>
  <si>
    <t>Valor financiado (R$):</t>
  </si>
  <si>
    <t>Taxa de juros do financiamento (a.a.) real</t>
  </si>
  <si>
    <t>Taxa de juros do financiamento (a.a) nominal</t>
  </si>
  <si>
    <t>Projeção TR</t>
  </si>
  <si>
    <t>Projeção Inflação</t>
  </si>
  <si>
    <t>Conta reserva (equivalente a 3 prestações, retornando ao final do prazo)</t>
  </si>
  <si>
    <t xml:space="preserve">Sist. de Amortização </t>
  </si>
  <si>
    <t>PRICE</t>
  </si>
  <si>
    <t>mês 
(entrada recurso)</t>
  </si>
  <si>
    <t>mês 
(parcela)</t>
  </si>
  <si>
    <t>Parcela</t>
  </si>
  <si>
    <t>Juros</t>
  </si>
  <si>
    <t>Taxa de Juros (SELIC + 6%)</t>
  </si>
  <si>
    <t>Taxa Real</t>
  </si>
  <si>
    <t xml:space="preserve"> 1ª Tranche</t>
  </si>
  <si>
    <t>SD c/juros acum.</t>
  </si>
  <si>
    <t>1ª parcela trimestral</t>
  </si>
  <si>
    <t>2ª parcela trimestral</t>
  </si>
  <si>
    <t>3ª parcela trimestral</t>
  </si>
  <si>
    <t>4ª parcela trimestral</t>
  </si>
  <si>
    <t>5ª parcela trimestral</t>
  </si>
  <si>
    <t>6ª parcela trimestral</t>
  </si>
  <si>
    <t>7ª parcela trimestral</t>
  </si>
  <si>
    <t>8ª parcela trimestral</t>
  </si>
  <si>
    <t>9ª parcela trimestral</t>
  </si>
  <si>
    <t>10ª parcela trimestral</t>
  </si>
  <si>
    <t>11ª parcela trimestral</t>
  </si>
  <si>
    <t>12ª parcela trimestral</t>
  </si>
  <si>
    <t>13ª parcela trimestral</t>
  </si>
  <si>
    <t>14ª parcela trimestral</t>
  </si>
  <si>
    <t>15ª parcela trimestral</t>
  </si>
  <si>
    <t>2ª Tranche</t>
  </si>
  <si>
    <t>3ª Tranche</t>
  </si>
  <si>
    <t>Cálculos com juros relativos ao período de carência</t>
  </si>
  <si>
    <t>Primeira Tranche</t>
  </si>
  <si>
    <t>Segunda Tranche</t>
  </si>
  <si>
    <t>Terceira Tranche</t>
  </si>
  <si>
    <t>1 Desembolso Trimestral</t>
  </si>
  <si>
    <t>2 Desembolso Trimestral</t>
  </si>
  <si>
    <t>3 Desembolso Trimestral</t>
  </si>
  <si>
    <t>4 Desembolso Trimestral</t>
  </si>
  <si>
    <t>5 Desembolso Trimestral</t>
  </si>
  <si>
    <t>6 Desembolso Trimestral</t>
  </si>
  <si>
    <t>7 Desembolso Trimestral</t>
  </si>
  <si>
    <t>8 Desembolso Trimestral</t>
  </si>
  <si>
    <t>9 Desembolso Trimestral</t>
  </si>
  <si>
    <t>10 Desembolso Trimestral</t>
  </si>
  <si>
    <t>11 Desembolso Trimestral</t>
  </si>
  <si>
    <t>12 Desembolso Trimestral</t>
  </si>
  <si>
    <t>13 Desembolso Trimestral</t>
  </si>
  <si>
    <t>14 Desembolso Trimestral</t>
  </si>
  <si>
    <t>15 Desembolso Trimestral</t>
  </si>
  <si>
    <t>Prestação</t>
  </si>
  <si>
    <t>Saldo Devedor</t>
  </si>
  <si>
    <t>Cálculo - Valor por Tonelada RPU</t>
  </si>
  <si>
    <t>Tonelada/ano</t>
  </si>
  <si>
    <t>RSD (Coleta)</t>
  </si>
  <si>
    <t>%  de RPU</t>
  </si>
  <si>
    <t>Compartilhamento dos Custos e Despesas</t>
  </si>
  <si>
    <t>Tratamento e Triagem</t>
  </si>
  <si>
    <t>Despesa com gestão comercial</t>
  </si>
  <si>
    <t>R$ por tonelada</t>
  </si>
  <si>
    <t>Receita</t>
  </si>
  <si>
    <t>SENSIBILIDADE</t>
  </si>
  <si>
    <t>Variação em %</t>
  </si>
  <si>
    <t xml:space="preserve">População total (hab.) </t>
  </si>
  <si>
    <t>Geração per capita RSD (Kg/hab/d)</t>
  </si>
  <si>
    <t>Valor de venda da energia (R$ por MWh)</t>
  </si>
  <si>
    <t>TIR a.m.</t>
  </si>
  <si>
    <t>Para recalcular clicar na macro "Zerar VPL" Tarifa Básica dos Entes Públicos (R$ por tonelada) - Aba "Cálculo Valor RPU", após, clicar na marcro "Zerar VPL" na aba "Fluxo de Caixa".</t>
  </si>
  <si>
    <t>TABELAS</t>
  </si>
  <si>
    <t>1.</t>
  </si>
  <si>
    <t>Tabela - Despesas Pré-Operacionais</t>
  </si>
  <si>
    <t>Despesas Pré-Operacionais</t>
  </si>
  <si>
    <t>Total 
(em R$)</t>
  </si>
  <si>
    <t>2.</t>
  </si>
  <si>
    <t>Tabela - CAPEX Total</t>
  </si>
  <si>
    <t>CAPEX - Considerando todo o período de concessão</t>
  </si>
  <si>
    <t>Total
(em R$)</t>
  </si>
  <si>
    <t>3.</t>
  </si>
  <si>
    <t>Tabela - OPEX Total</t>
  </si>
  <si>
    <t>OPEX - Considerando todo o período de concessão</t>
  </si>
  <si>
    <t>Despesas com órgão regulador</t>
  </si>
  <si>
    <t>Despesas gestão e cobrança tarifária</t>
  </si>
  <si>
    <t>Inclusão social de catadores</t>
  </si>
  <si>
    <t>4.</t>
  </si>
  <si>
    <t>Tabela - OPEX Detalhado</t>
  </si>
  <si>
    <t>5.</t>
  </si>
  <si>
    <t>Tabela  - Seguros e Garantias</t>
  </si>
  <si>
    <t>Valor a ser segurado</t>
  </si>
  <si>
    <t>Valor do contrato:
5% -  anos 1 ao 10;
2% - anos 11 ao 30.</t>
  </si>
  <si>
    <t>Risco de Engenharia - Fase de Implantação</t>
  </si>
  <si>
    <t>Responsabilidade Civil - Fase de Implantação</t>
  </si>
  <si>
    <t>Riscos Nomeados ou Riscos Operacionais - Fase Operacional</t>
  </si>
  <si>
    <t>6.</t>
  </si>
  <si>
    <t>Tabela  - Cronograma Físico-Financeiro</t>
  </si>
  <si>
    <t>Tabela 31 – Cronograma Físico-Financeiro dos Investimentos – por ano</t>
  </si>
  <si>
    <t>GRÁFICOS</t>
  </si>
  <si>
    <t>Gráfico - Receitas RSD e RPU</t>
  </si>
  <si>
    <t>R$ em mil</t>
  </si>
  <si>
    <t xml:space="preserve">2. </t>
  </si>
  <si>
    <t xml:space="preserve">Gráfico - Receitas RSD </t>
  </si>
  <si>
    <t>Gráfico - Receitas RPU</t>
  </si>
  <si>
    <t>Composição CAPEX</t>
  </si>
  <si>
    <t>Composição OPEX</t>
  </si>
  <si>
    <t>Composição OPEX - Sintético</t>
  </si>
  <si>
    <t xml:space="preserve">6. </t>
  </si>
  <si>
    <t xml:space="preserve">7. </t>
  </si>
  <si>
    <t>8.</t>
  </si>
  <si>
    <t>Receita Tarifária RSD por ano</t>
  </si>
  <si>
    <t>Fluxo de Caixa do Projeto</t>
  </si>
  <si>
    <t>9.</t>
  </si>
  <si>
    <t>Fluxo de Caixa Alavancado</t>
  </si>
  <si>
    <t>Verba anual - reposição da incidência do PIS, COFINS e ISS sobre a venda dos materiais reciclados</t>
  </si>
  <si>
    <t>Verba anual - Aquisição de EPI e uniforme: Calça, Camisa, Jaqueta, Boné, Capa, botina, Luvas de Vaqueta, Protetor solar com repelente, óculos, avental.</t>
  </si>
  <si>
    <t xml:space="preserve">Verba anual - Frete para as organizações que não tem caminhão para fins de comercialização </t>
  </si>
  <si>
    <t>Verba Anual (estruturante e operacional)</t>
  </si>
  <si>
    <t>Verba anual (remuneração)</t>
  </si>
  <si>
    <t>Verba Anual (operacional variável)</t>
  </si>
  <si>
    <t>Verba anual (c):Remuneração dos catadores das organizações de catadores de materiais recicláveis e reutilizáveis</t>
  </si>
  <si>
    <t>Verba Anual (a)</t>
  </si>
  <si>
    <t>Verba anual (b)</t>
  </si>
  <si>
    <t>Observações</t>
  </si>
  <si>
    <t>Segmentos</t>
  </si>
  <si>
    <t>1.1</t>
  </si>
  <si>
    <t>A população dos municípios se mantém igual a partir do ano 31 ao 35</t>
  </si>
  <si>
    <t>1.2</t>
  </si>
  <si>
    <t>O número de habitantes realiza um "salto" atípico entre os anos 30 e 31</t>
  </si>
  <si>
    <t>1 - Macroeconomia</t>
  </si>
  <si>
    <t>2 - População</t>
  </si>
  <si>
    <t>2.1</t>
  </si>
  <si>
    <t>2.2</t>
  </si>
  <si>
    <t>Inflação esperada para o fechamento do ano segundo o Boletim Focus é de 5,02%</t>
  </si>
  <si>
    <t>A curva de fechamento de juros previsa no início do ano não representa mais a realidade, juros base prevista para fechar em 14% este ano</t>
  </si>
  <si>
    <t>3 - Balanço de Massa</t>
  </si>
  <si>
    <t>3.1</t>
  </si>
  <si>
    <t>10% de recuperação de rejeitos potencialmente recicláveis é muito alto</t>
  </si>
  <si>
    <t>3.2</t>
  </si>
  <si>
    <t>20% de transformação de rejeitos em CDR é muito alto</t>
  </si>
  <si>
    <t>3.3</t>
  </si>
  <si>
    <t>Biometanização de 90% da parcela orgânica, sendo que apenas 12,9% do resíduo é recebido através de coleta seletiva, é muito alto</t>
  </si>
  <si>
    <t>4 - Geração de Resíduos</t>
  </si>
  <si>
    <t>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</si>
</sst>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8">
    <numFmt numFmtId="8" formatCode="&quot;R$&quot;\ #,##0.00;[Red]\-&quot;R$&quot;\ #,##0.00"/>
    <numFmt numFmtId="41" formatCode="_-* #,##0_-;\-* #,##0_-;_-* &quot;-&quot;_-;_-@_-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0.0000%"/>
    <numFmt numFmtId="166" formatCode="_-* #,##0.0000_-;\-* #,##0.0000_-;_-* &quot;-&quot;??_-;_-@_-"/>
    <numFmt numFmtId="167" formatCode="#,##0.0000"/>
    <numFmt numFmtId="168" formatCode="0.0%"/>
    <numFmt numFmtId="169" formatCode="&quot;Ano&quot;\ General"/>
    <numFmt numFmtId="170" formatCode="_-* #,##0_-;\-* #,##0_-;_-* &quot;-&quot;??_-;_-@_-"/>
    <numFmt numFmtId="171" formatCode="#,##0.000"/>
    <numFmt numFmtId="172" formatCode="0.000"/>
    <numFmt numFmtId="173" formatCode="#,##0;[Red]\(#,##0\);&quot;-&quot;;@"/>
    <numFmt numFmtId="174" formatCode="_(* #,##0_);_(* \(#,##0\);_(* &quot;-&quot;??_);_(@_)"/>
    <numFmt numFmtId="175" formatCode="#,##0.0"/>
    <numFmt numFmtId="176" formatCode="_(&quot;R$ &quot;* #,##0_);_(&quot;R$ &quot;* \(#,##0\);_(&quot;R$ &quot;* &quot;-&quot;??_);_(@_)"/>
    <numFmt numFmtId="177" formatCode="0.0000"/>
    <numFmt numFmtId="178" formatCode="0.000000"/>
    <numFmt numFmtId="179" formatCode="&quot;Ano&quot;\ 0"/>
    <numFmt numFmtId="180" formatCode="_(* #,##0_);[Red]_(* \(#,##0\);_(* &quot;-&quot;??_);_(@_)"/>
    <numFmt numFmtId="181" formatCode="_(* #,##0.00_);[Red]_(* \(#,##0.00\);_(* &quot;-&quot;??_);_(@_)"/>
    <numFmt numFmtId="182" formatCode="_(&quot;R$ &quot;* #,##0.00_)\ &quot;/ MWh&quot;"/>
    <numFmt numFmtId="183" formatCode="&quot;Fase&quot;\ 0"/>
    <numFmt numFmtId="184" formatCode="0.00%\ &quot;ao mês&quot;"/>
    <numFmt numFmtId="185" formatCode="#,##0\ &quot;t/ano&quot;"/>
    <numFmt numFmtId="186" formatCode="_-[$R$-416]\ * #,##0.00_-;\-[$R$-416]\ * #,##0.00_-;_-[$R$-416]\ * &quot;-&quot;??_-;_-@_-"/>
    <numFmt numFmtId="187" formatCode="0.0"/>
    <numFmt numFmtId="188" formatCode="_(&quot;$&quot;* #,##0.00_);_(&quot;$&quot;* \(#,##0.00\);_(&quot;$&quot;* &quot;-&quot;??_);_(@_)"/>
    <numFmt numFmtId="189" formatCode="#,##0.0\ &quot;t/ano&quot;"/>
    <numFmt numFmtId="190" formatCode="#,###"/>
    <numFmt numFmtId="191" formatCode="&quot;R$&quot;\ #,##0.00"/>
    <numFmt numFmtId="192" formatCode="_-* #,##0.0_-;\-* #,##0.0_-;_-* &quot;-&quot;?_-;_-@_-"/>
    <numFmt numFmtId="193" formatCode="0.000%"/>
    <numFmt numFmtId="194" formatCode="_-* #,##0_-;\-* #,##0_-;_-* &quot;-&quot;?_-;_-@_-"/>
    <numFmt numFmtId="195" formatCode="0.000000%"/>
    <numFmt numFmtId="196" formatCode="0.0000000%"/>
    <numFmt numFmtId="197" formatCode="_-* #,##0.0_-;\-* #,##0.0_-;_-* &quot;-&quot;??_-;_-@_-"/>
  </numFmts>
  <fonts count="13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name val="Calibri"/>
      <family val="2"/>
      <scheme val="minor"/>
    </font>
    <font>
      <b/>
      <sz val="8"/>
      <color theme="0"/>
      <name val="Calibri Light"/>
      <family val="2"/>
      <scheme val="major"/>
    </font>
    <font>
      <sz val="8"/>
      <color theme="0"/>
      <name val="Calibri Light"/>
      <family val="2"/>
      <scheme val="maj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vertAlign val="superscript"/>
      <sz val="9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rgb="FF0000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sz val="10"/>
      <name val="Calibri"/>
      <family val="2"/>
      <scheme val="minor"/>
    </font>
    <font>
      <b/>
      <sz val="14"/>
      <name val="Calibri"/>
      <family val="2"/>
      <scheme val="minor"/>
    </font>
    <font>
      <i/>
      <sz val="9"/>
      <name val="Calibri"/>
      <family val="2"/>
      <scheme val="minor"/>
    </font>
    <font>
      <sz val="9"/>
      <color theme="0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9"/>
      <color theme="4"/>
      <name val="Calibri"/>
      <family val="2"/>
      <scheme val="minor"/>
    </font>
    <font>
      <sz val="9"/>
      <color theme="4"/>
      <name val="Calibri"/>
      <family val="2"/>
      <scheme val="minor"/>
    </font>
    <font>
      <b/>
      <sz val="9"/>
      <color indexed="81"/>
      <name val="Segoe UI"/>
      <family val="2"/>
    </font>
    <font>
      <i/>
      <sz val="8"/>
      <name val="Calibri"/>
      <family val="2"/>
      <scheme val="minor"/>
    </font>
    <font>
      <sz val="9"/>
      <color rgb="FF0000FF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0"/>
      <color theme="4"/>
      <name val="Calibri"/>
      <family val="2"/>
      <scheme val="minor"/>
    </font>
    <font>
      <i/>
      <sz val="11"/>
      <color theme="4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6"/>
      <color theme="4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1"/>
      <color theme="4"/>
      <name val="Calibri"/>
      <family val="2"/>
    </font>
    <font>
      <b/>
      <sz val="10"/>
      <color rgb="FF000000"/>
      <name val="Calibri"/>
      <family val="2"/>
    </font>
    <font>
      <sz val="10"/>
      <color theme="1"/>
      <name val="Calibri"/>
      <family val="2"/>
    </font>
    <font>
      <b/>
      <sz val="10"/>
      <color theme="4"/>
      <name val="Calibri"/>
      <family val="2"/>
    </font>
    <font>
      <b/>
      <i/>
      <sz val="9"/>
      <color theme="1"/>
      <name val="Calibri"/>
      <family val="2"/>
      <scheme val="minor"/>
    </font>
    <font>
      <sz val="10"/>
      <name val="Calibri"/>
      <family val="2"/>
    </font>
    <font>
      <sz val="9"/>
      <color rgb="FF000000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5"/>
      <name val="Calibri"/>
      <family val="2"/>
    </font>
    <font>
      <sz val="10"/>
      <color theme="4"/>
      <name val="Calibri"/>
      <family val="2"/>
    </font>
    <font>
      <b/>
      <sz val="10"/>
      <color theme="0"/>
      <name val="Calibri"/>
      <family val="2"/>
    </font>
    <font>
      <b/>
      <i/>
      <sz val="10"/>
      <color theme="1"/>
      <name val="Calibri"/>
      <family val="2"/>
      <scheme val="minor"/>
    </font>
    <font>
      <i/>
      <sz val="10"/>
      <name val="Calibri"/>
      <family val="2"/>
      <scheme val="minor"/>
    </font>
    <font>
      <b/>
      <i/>
      <sz val="10"/>
      <color theme="4"/>
      <name val="Calibri"/>
      <family val="2"/>
      <scheme val="minor"/>
    </font>
    <font>
      <i/>
      <sz val="10"/>
      <color theme="4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8"/>
      <name val="Calibri"/>
      <family val="2"/>
      <scheme val="minor"/>
    </font>
    <font>
      <sz val="8"/>
      <color theme="4"/>
      <name val="Calibri"/>
      <family val="2"/>
      <scheme val="minor"/>
    </font>
    <font>
      <sz val="11"/>
      <color indexed="8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b/>
      <sz val="8"/>
      <color theme="9"/>
      <name val="Calibri"/>
      <family val="2"/>
      <scheme val="minor"/>
    </font>
    <font>
      <b/>
      <sz val="9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9"/>
      <color theme="7" tint="-0.499984740745262"/>
      <name val="Calibri"/>
      <family val="2"/>
      <scheme val="minor"/>
    </font>
    <font>
      <b/>
      <sz val="8"/>
      <color theme="7" tint="-0.499984740745262"/>
      <name val="Calibri"/>
      <family val="2"/>
      <scheme val="minor"/>
    </font>
    <font>
      <b/>
      <sz val="9"/>
      <color theme="6"/>
      <name val="Calibri"/>
      <family val="2"/>
      <scheme val="minor"/>
    </font>
    <font>
      <b/>
      <sz val="8"/>
      <color theme="6"/>
      <name val="Calibri"/>
      <family val="2"/>
      <scheme val="minor"/>
    </font>
    <font>
      <b/>
      <i/>
      <sz val="11"/>
      <color theme="4"/>
      <name val="Calibri"/>
      <family val="2"/>
      <scheme val="minor"/>
    </font>
    <font>
      <b/>
      <sz val="9"/>
      <color theme="7"/>
      <name val="Calibri"/>
      <family val="2"/>
      <scheme val="minor"/>
    </font>
    <font>
      <b/>
      <sz val="8"/>
      <color theme="7"/>
      <name val="Calibri"/>
      <family val="2"/>
      <scheme val="minor"/>
    </font>
    <font>
      <b/>
      <sz val="11"/>
      <color theme="0"/>
      <name val="Arial"/>
      <family val="2"/>
    </font>
    <font>
      <sz val="11"/>
      <color rgb="FF000000"/>
      <name val="Calibri"/>
      <family val="2"/>
    </font>
    <font>
      <u/>
      <sz val="10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u/>
      <sz val="9"/>
      <color theme="1"/>
      <name val="Calibri"/>
      <family val="2"/>
      <scheme val="minor"/>
    </font>
    <font>
      <sz val="11"/>
      <color rgb="FF000000"/>
      <name val="Aptos Narrow"/>
      <family val="2"/>
    </font>
    <font>
      <sz val="10"/>
      <color rgb="FF000000"/>
      <name val="Aptos Narrow"/>
      <family val="2"/>
    </font>
    <font>
      <b/>
      <sz val="7"/>
      <color rgb="FFFFFFFF"/>
      <name val="Arial"/>
      <family val="2"/>
    </font>
    <font>
      <b/>
      <sz val="7"/>
      <color rgb="FF000000"/>
      <name val="Arial"/>
      <family val="2"/>
    </font>
    <font>
      <sz val="7"/>
      <color theme="1"/>
      <name val="Arial"/>
      <family val="2"/>
    </font>
    <font>
      <sz val="7"/>
      <color rgb="FF000000"/>
      <name val="Arial"/>
      <family val="2"/>
    </font>
    <font>
      <b/>
      <i/>
      <sz val="7"/>
      <color rgb="FF000000"/>
      <name val="Arial"/>
      <family val="2"/>
    </font>
    <font>
      <b/>
      <sz val="7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b/>
      <sz val="11"/>
      <name val="Calibri"/>
      <family val="2"/>
    </font>
    <font>
      <b/>
      <sz val="12"/>
      <name val="Arial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b/>
      <i/>
      <sz val="9"/>
      <color theme="9" tint="-0.249977111117893"/>
      <name val="Calibri"/>
      <family val="2"/>
      <scheme val="minor"/>
    </font>
    <font>
      <i/>
      <sz val="9"/>
      <color theme="9" tint="-0.249977111117893"/>
      <name val="Calibri"/>
      <family val="2"/>
      <scheme val="minor"/>
    </font>
    <font>
      <i/>
      <sz val="10"/>
      <color rgb="FFFF00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CC"/>
        <bgColor rgb="FFCCCCFF"/>
      </patternFill>
    </fill>
    <fill>
      <patternFill patternType="solid">
        <fgColor theme="4" tint="0.79998168889431442"/>
        <bgColor rgb="FFCCCCFF"/>
      </patternFill>
    </fill>
    <fill>
      <patternFill patternType="solid">
        <fgColor rgb="FF1F4E78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9" tint="0.59999389629810485"/>
        <bgColor indexed="64"/>
      </patternFill>
    </fill>
  </fills>
  <borders count="19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/>
      </left>
      <right/>
      <top style="thin">
        <color auto="1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thin">
        <color rgb="FF4472C4"/>
      </top>
      <bottom style="thin">
        <color rgb="FF4472C4"/>
      </bottom>
      <diagonal/>
    </border>
    <border>
      <left style="medium">
        <color theme="0"/>
      </left>
      <right style="hair">
        <color theme="0"/>
      </right>
      <top style="medium">
        <color theme="0"/>
      </top>
      <bottom style="hair">
        <color theme="0"/>
      </bottom>
      <diagonal/>
    </border>
    <border>
      <left style="medium">
        <color theme="0"/>
      </left>
      <right style="hair">
        <color theme="0"/>
      </right>
      <top style="hair">
        <color theme="0"/>
      </top>
      <bottom style="hair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medium">
        <color theme="0"/>
      </left>
      <right style="medium">
        <color theme="0"/>
      </right>
      <top style="thin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thin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n">
        <color rgb="FF4472C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 style="medium">
        <color theme="0"/>
      </left>
      <right/>
      <top style="medium">
        <color theme="0"/>
      </top>
      <bottom style="hair">
        <color theme="0"/>
      </bottom>
      <diagonal/>
    </border>
    <border>
      <left style="medium">
        <color theme="0"/>
      </left>
      <right/>
      <top style="hair">
        <color theme="0"/>
      </top>
      <bottom style="hair">
        <color theme="0"/>
      </bottom>
      <diagonal/>
    </border>
    <border>
      <left/>
      <right style="hair">
        <color theme="0"/>
      </right>
      <top style="medium">
        <color theme="0"/>
      </top>
      <bottom style="hair">
        <color theme="0"/>
      </bottom>
      <diagonal/>
    </border>
    <border>
      <left/>
      <right style="hair">
        <color theme="0"/>
      </right>
      <top style="hair">
        <color theme="0"/>
      </top>
      <bottom style="hair">
        <color theme="0"/>
      </bottom>
      <diagonal/>
    </border>
    <border>
      <left/>
      <right/>
      <top style="medium">
        <color theme="0"/>
      </top>
      <bottom style="hair">
        <color theme="0"/>
      </bottom>
      <diagonal/>
    </border>
    <border>
      <left/>
      <right/>
      <top style="hair">
        <color theme="0"/>
      </top>
      <bottom style="hair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0"/>
      </left>
      <right/>
      <top style="thin">
        <color rgb="FF4472C4"/>
      </top>
      <bottom style="thin">
        <color rgb="FF4472C4"/>
      </bottom>
      <diagonal/>
    </border>
    <border>
      <left style="medium">
        <color theme="0"/>
      </left>
      <right/>
      <top style="thin">
        <color rgb="FF4472C4"/>
      </top>
      <bottom style="medium">
        <color theme="0"/>
      </bottom>
      <diagonal/>
    </border>
    <border>
      <left/>
      <right/>
      <top style="thin">
        <color rgb="FF4472C4"/>
      </top>
      <bottom style="medium">
        <color theme="0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hair">
        <color theme="0"/>
      </bottom>
      <diagonal/>
    </border>
    <border>
      <left style="medium">
        <color theme="0"/>
      </left>
      <right style="medium">
        <color theme="0"/>
      </right>
      <top style="hair">
        <color theme="0"/>
      </top>
      <bottom style="hair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medium">
        <color theme="0"/>
      </top>
      <bottom style="hair">
        <color theme="0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theme="0"/>
      </right>
      <top style="medium">
        <color theme="0"/>
      </top>
      <bottom style="medium">
        <color theme="0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79998168889431442"/>
      </left>
      <right style="thin">
        <color theme="4" tint="0.79998168889431442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theme="4" tint="0.79995117038483843"/>
      </left>
      <right style="thin">
        <color theme="4" tint="0.79995117038483843"/>
      </right>
      <top style="thin">
        <color theme="4" tint="0.79995117038483843"/>
      </top>
      <bottom style="thin">
        <color theme="4" tint="0.79995117038483843"/>
      </bottom>
      <diagonal/>
    </border>
    <border>
      <left/>
      <right style="thin">
        <color indexed="64"/>
      </right>
      <top style="hair">
        <color auto="1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/>
      <top/>
      <bottom style="medium">
        <color theme="0"/>
      </bottom>
      <diagonal/>
    </border>
    <border>
      <left style="dotted">
        <color theme="0"/>
      </left>
      <right style="dotted">
        <color theme="0"/>
      </right>
      <top style="medium">
        <color theme="0"/>
      </top>
      <bottom style="dashed">
        <color theme="0"/>
      </bottom>
      <diagonal/>
    </border>
    <border>
      <left style="dotted">
        <color theme="0"/>
      </left>
      <right style="medium">
        <color theme="0"/>
      </right>
      <top style="medium">
        <color theme="0"/>
      </top>
      <bottom style="dashed">
        <color theme="0"/>
      </bottom>
      <diagonal/>
    </border>
    <border>
      <left style="dotted">
        <color theme="0"/>
      </left>
      <right style="dotted">
        <color theme="0"/>
      </right>
      <top style="dashed">
        <color theme="0"/>
      </top>
      <bottom style="medium">
        <color theme="0"/>
      </bottom>
      <diagonal/>
    </border>
    <border>
      <left style="dotted">
        <color theme="0"/>
      </left>
      <right style="medium">
        <color theme="0"/>
      </right>
      <top style="dashed">
        <color theme="0"/>
      </top>
      <bottom style="medium">
        <color theme="0"/>
      </bottom>
      <diagonal/>
    </border>
    <border>
      <left/>
      <right/>
      <top style="dotted">
        <color auto="1"/>
      </top>
      <bottom style="hair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ck">
        <color theme="0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n">
        <color theme="0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medium">
        <color theme="0"/>
      </right>
      <top/>
      <bottom style="hair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rgb="FF4472C4"/>
      </left>
      <right/>
      <top style="medium">
        <color rgb="FF4472C4"/>
      </top>
      <bottom style="medium">
        <color rgb="FF4472C4"/>
      </bottom>
      <diagonal/>
    </border>
    <border>
      <left/>
      <right/>
      <top style="medium">
        <color rgb="FF4472C4"/>
      </top>
      <bottom style="medium">
        <color rgb="FF4472C4"/>
      </bottom>
      <diagonal/>
    </border>
    <border>
      <left/>
      <right style="medium">
        <color rgb="FF4472C4"/>
      </right>
      <top style="medium">
        <color rgb="FF4472C4"/>
      </top>
      <bottom style="medium">
        <color rgb="FF4472C4"/>
      </bottom>
      <diagonal/>
    </border>
    <border>
      <left style="medium">
        <color rgb="FF8EAADB"/>
      </left>
      <right style="medium">
        <color rgb="FF8EAADB"/>
      </right>
      <top/>
      <bottom style="medium">
        <color rgb="FF8EAADB"/>
      </bottom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 style="medium">
        <color theme="0"/>
      </right>
      <top style="thin">
        <color theme="1"/>
      </top>
      <bottom style="hair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medium">
        <color auto="1"/>
      </right>
      <top style="thick">
        <color theme="0"/>
      </top>
      <bottom/>
      <diagonal/>
    </border>
    <border>
      <left style="medium">
        <color auto="1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 style="medium">
        <color theme="0"/>
      </top>
      <bottom/>
      <diagonal/>
    </border>
    <border>
      <left/>
      <right style="thick">
        <color theme="0"/>
      </right>
      <top/>
      <bottom style="medium">
        <color theme="0"/>
      </bottom>
      <diagonal/>
    </border>
  </borders>
  <cellStyleXfs count="37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6" fillId="0" borderId="0"/>
    <xf numFmtId="0" fontId="36" fillId="0" borderId="0"/>
    <xf numFmtId="9" fontId="36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88" fontId="2" fillId="0" borderId="0" applyFont="0" applyFill="0" applyBorder="0" applyAlignment="0" applyProtection="0"/>
    <xf numFmtId="0" fontId="2" fillId="0" borderId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119" fillId="0" borderId="0"/>
    <xf numFmtId="9" fontId="119" fillId="0" borderId="0" applyBorder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6" fillId="0" borderId="0"/>
    <xf numFmtId="9" fontId="36" fillId="0" borderId="0" quotePrefix="1" applyFont="0" applyFill="0" applyBorder="0" applyAlignment="0">
      <protection locked="0"/>
    </xf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8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2092">
    <xf numFmtId="0" fontId="0" fillId="0" borderId="0" xfId="0"/>
    <xf numFmtId="10" fontId="0" fillId="0" borderId="0" xfId="0" applyNumberFormat="1"/>
    <xf numFmtId="165" fontId="0" fillId="0" borderId="0" xfId="0" applyNumberFormat="1"/>
    <xf numFmtId="9" fontId="0" fillId="0" borderId="0" xfId="0" applyNumberFormat="1"/>
    <xf numFmtId="0" fontId="0" fillId="0" borderId="0" xfId="0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 vertical="center"/>
    </xf>
    <xf numFmtId="0" fontId="0" fillId="0" borderId="3" xfId="0" applyBorder="1"/>
    <xf numFmtId="0" fontId="0" fillId="0" borderId="9" xfId="0" applyBorder="1"/>
    <xf numFmtId="0" fontId="7" fillId="3" borderId="10" xfId="0" applyFont="1" applyFill="1" applyBorder="1"/>
    <xf numFmtId="0" fontId="0" fillId="3" borderId="11" xfId="0" applyFill="1" applyBorder="1"/>
    <xf numFmtId="10" fontId="4" fillId="0" borderId="13" xfId="2" applyNumberFormat="1" applyFont="1" applyBorder="1"/>
    <xf numFmtId="10" fontId="0" fillId="0" borderId="0" xfId="2" applyNumberFormat="1" applyFont="1"/>
    <xf numFmtId="0" fontId="0" fillId="0" borderId="14" xfId="0" applyBorder="1" applyAlignment="1">
      <alignment horizontal="center" vertical="center" wrapText="1"/>
    </xf>
    <xf numFmtId="0" fontId="0" fillId="3" borderId="17" xfId="0" applyFill="1" applyBorder="1" applyAlignment="1">
      <alignment horizontal="center" vertical="center"/>
    </xf>
    <xf numFmtId="0" fontId="0" fillId="0" borderId="13" xfId="0" applyBorder="1"/>
    <xf numFmtId="0" fontId="0" fillId="0" borderId="14" xfId="0" applyBorder="1" applyAlignment="1">
      <alignment wrapText="1"/>
    </xf>
    <xf numFmtId="0" fontId="0" fillId="0" borderId="0" xfId="0" applyAlignment="1">
      <alignment horizontal="center" vertical="center"/>
    </xf>
    <xf numFmtId="0" fontId="12" fillId="0" borderId="0" xfId="0" applyFont="1"/>
    <xf numFmtId="0" fontId="0" fillId="0" borderId="18" xfId="0" applyBorder="1" applyAlignment="1">
      <alignment horizontal="center" vertical="center"/>
    </xf>
    <xf numFmtId="0" fontId="0" fillId="0" borderId="19" xfId="0" applyBorder="1"/>
    <xf numFmtId="165" fontId="0" fillId="0" borderId="13" xfId="2" applyNumberFormat="1" applyFont="1" applyFill="1" applyBorder="1"/>
    <xf numFmtId="0" fontId="0" fillId="0" borderId="21" xfId="0" applyBorder="1" applyAlignment="1">
      <alignment wrapText="1"/>
    </xf>
    <xf numFmtId="0" fontId="0" fillId="0" borderId="22" xfId="0" applyBorder="1" applyAlignment="1">
      <alignment horizontal="center" vertical="center"/>
    </xf>
    <xf numFmtId="0" fontId="0" fillId="0" borderId="23" xfId="0" applyBorder="1"/>
    <xf numFmtId="166" fontId="0" fillId="0" borderId="13" xfId="1" applyNumberFormat="1" applyFont="1" applyBorder="1"/>
    <xf numFmtId="165" fontId="0" fillId="0" borderId="13" xfId="2" applyNumberFormat="1" applyFont="1" applyBorder="1"/>
    <xf numFmtId="0" fontId="0" fillId="0" borderId="22" xfId="0" applyBorder="1" applyAlignment="1">
      <alignment horizontal="center"/>
    </xf>
    <xf numFmtId="0" fontId="0" fillId="0" borderId="25" xfId="0" applyBorder="1" applyAlignment="1">
      <alignment horizontal="center" vertical="center"/>
    </xf>
    <xf numFmtId="0" fontId="0" fillId="0" borderId="26" xfId="0" applyBorder="1"/>
    <xf numFmtId="165" fontId="4" fillId="0" borderId="13" xfId="2" applyNumberFormat="1" applyFont="1" applyBorder="1"/>
    <xf numFmtId="165" fontId="4" fillId="0" borderId="0" xfId="2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wrapText="1"/>
    </xf>
    <xf numFmtId="167" fontId="4" fillId="0" borderId="13" xfId="2" applyNumberFormat="1" applyFont="1" applyBorder="1"/>
    <xf numFmtId="0" fontId="10" fillId="0" borderId="23" xfId="0" applyFont="1" applyBorder="1"/>
    <xf numFmtId="0" fontId="10" fillId="0" borderId="26" xfId="0" applyFont="1" applyBorder="1" applyAlignment="1">
      <alignment horizontal="left"/>
    </xf>
    <xf numFmtId="165" fontId="4" fillId="0" borderId="27" xfId="2" applyNumberFormat="1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 applyAlignment="1">
      <alignment horizontal="center" vertical="center"/>
    </xf>
    <xf numFmtId="0" fontId="10" fillId="0" borderId="6" xfId="0" applyFont="1" applyBorder="1"/>
    <xf numFmtId="165" fontId="4" fillId="0" borderId="6" xfId="2" applyNumberFormat="1" applyFont="1" applyBorder="1" applyAlignment="1">
      <alignment horizontal="center" vertical="center"/>
    </xf>
    <xf numFmtId="165" fontId="4" fillId="0" borderId="7" xfId="2" applyNumberFormat="1" applyFont="1" applyBorder="1"/>
    <xf numFmtId="165" fontId="4" fillId="0" borderId="2" xfId="2" applyNumberFormat="1" applyFont="1" applyBorder="1" applyAlignment="1">
      <alignment horizontal="center" vertical="center"/>
    </xf>
    <xf numFmtId="165" fontId="4" fillId="0" borderId="3" xfId="2" applyNumberFormat="1" applyFont="1" applyBorder="1"/>
    <xf numFmtId="0" fontId="7" fillId="3" borderId="28" xfId="0" applyFont="1" applyFill="1" applyBorder="1"/>
    <xf numFmtId="0" fontId="0" fillId="3" borderId="29" xfId="0" applyFill="1" applyBorder="1"/>
    <xf numFmtId="0" fontId="0" fillId="0" borderId="10" xfId="0" applyBorder="1" applyAlignment="1">
      <alignment horizontal="center"/>
    </xf>
    <xf numFmtId="0" fontId="0" fillId="0" borderId="11" xfId="0" applyBorder="1"/>
    <xf numFmtId="165" fontId="4" fillId="0" borderId="12" xfId="2" applyNumberFormat="1" applyFont="1" applyBorder="1" applyAlignment="1">
      <alignment horizontal="center" vertical="center"/>
    </xf>
    <xf numFmtId="0" fontId="0" fillId="0" borderId="31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15" xfId="0" applyBorder="1" applyAlignment="1">
      <alignment horizontal="center" vertical="center"/>
    </xf>
    <xf numFmtId="0" fontId="0" fillId="0" borderId="16" xfId="0" applyBorder="1"/>
    <xf numFmtId="165" fontId="4" fillId="0" borderId="17" xfId="2" applyNumberFormat="1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2" fillId="0" borderId="11" xfId="0" applyFont="1" applyBorder="1"/>
    <xf numFmtId="0" fontId="12" fillId="0" borderId="16" xfId="0" applyFont="1" applyBorder="1"/>
    <xf numFmtId="0" fontId="0" fillId="0" borderId="6" xfId="0" applyBorder="1"/>
    <xf numFmtId="0" fontId="7" fillId="0" borderId="2" xfId="0" applyFont="1" applyBorder="1"/>
    <xf numFmtId="0" fontId="0" fillId="0" borderId="12" xfId="0" applyBorder="1" applyAlignment="1">
      <alignment horizontal="center" vertical="center"/>
    </xf>
    <xf numFmtId="9" fontId="0" fillId="0" borderId="13" xfId="0" applyNumberFormat="1" applyBorder="1"/>
    <xf numFmtId="0" fontId="0" fillId="0" borderId="15" xfId="0" applyBorder="1" applyAlignment="1">
      <alignment horizontal="center"/>
    </xf>
    <xf numFmtId="9" fontId="0" fillId="0" borderId="17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 vertical="center"/>
    </xf>
    <xf numFmtId="10" fontId="4" fillId="0" borderId="13" xfId="0" applyNumberFormat="1" applyFont="1" applyBorder="1"/>
    <xf numFmtId="10" fontId="0" fillId="0" borderId="13" xfId="0" applyNumberFormat="1" applyBorder="1"/>
    <xf numFmtId="0" fontId="0" fillId="0" borderId="7" xfId="0" applyBorder="1"/>
    <xf numFmtId="0" fontId="0" fillId="0" borderId="8" xfId="0" applyBorder="1" applyAlignment="1">
      <alignment wrapText="1"/>
    </xf>
    <xf numFmtId="0" fontId="4" fillId="0" borderId="4" xfId="0" applyFont="1" applyBorder="1" applyAlignment="1">
      <alignment horizontal="left" vertical="center" wrapText="1"/>
    </xf>
    <xf numFmtId="0" fontId="4" fillId="0" borderId="0" xfId="0" applyFont="1" applyAlignment="1">
      <alignment wrapText="1"/>
    </xf>
    <xf numFmtId="0" fontId="6" fillId="0" borderId="0" xfId="0" applyFont="1" applyAlignment="1">
      <alignment wrapText="1"/>
    </xf>
    <xf numFmtId="165" fontId="13" fillId="4" borderId="12" xfId="2" applyNumberFormat="1" applyFont="1" applyFill="1" applyBorder="1" applyAlignment="1">
      <alignment horizontal="center" vertical="center"/>
    </xf>
    <xf numFmtId="0" fontId="0" fillId="5" borderId="0" xfId="0" applyFill="1"/>
    <xf numFmtId="0" fontId="16" fillId="5" borderId="0" xfId="0" applyFont="1" applyFill="1"/>
    <xf numFmtId="0" fontId="4" fillId="0" borderId="0" xfId="0" applyFont="1"/>
    <xf numFmtId="0" fontId="0" fillId="4" borderId="0" xfId="0" applyFill="1"/>
    <xf numFmtId="0" fontId="18" fillId="0" borderId="0" xfId="0" applyFont="1"/>
    <xf numFmtId="170" fontId="0" fillId="0" borderId="0" xfId="1" applyNumberFormat="1" applyFont="1"/>
    <xf numFmtId="0" fontId="4" fillId="0" borderId="29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169" fontId="4" fillId="0" borderId="0" xfId="0" applyNumberFormat="1" applyFont="1" applyAlignment="1">
      <alignment horizontal="center" vertical="center"/>
    </xf>
    <xf numFmtId="3" fontId="4" fillId="0" borderId="29" xfId="0" applyNumberFormat="1" applyFont="1" applyBorder="1" applyAlignment="1">
      <alignment horizontal="center"/>
    </xf>
    <xf numFmtId="0" fontId="7" fillId="0" borderId="0" xfId="0" applyFont="1"/>
    <xf numFmtId="0" fontId="4" fillId="4" borderId="29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 wrapText="1"/>
    </xf>
    <xf numFmtId="169" fontId="4" fillId="4" borderId="29" xfId="0" applyNumberFormat="1" applyFont="1" applyFill="1" applyBorder="1" applyAlignment="1">
      <alignment horizontal="center" vertical="center"/>
    </xf>
    <xf numFmtId="170" fontId="4" fillId="0" borderId="29" xfId="1" applyNumberFormat="1" applyFont="1" applyBorder="1"/>
    <xf numFmtId="10" fontId="5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/>
    </xf>
    <xf numFmtId="170" fontId="0" fillId="0" borderId="0" xfId="1" applyNumberFormat="1" applyFont="1" applyFill="1"/>
    <xf numFmtId="3" fontId="4" fillId="4" borderId="29" xfId="0" applyNumberFormat="1" applyFont="1" applyFill="1" applyBorder="1" applyAlignment="1">
      <alignment horizontal="center"/>
    </xf>
    <xf numFmtId="170" fontId="4" fillId="4" borderId="29" xfId="1" applyNumberFormat="1" applyFont="1" applyFill="1" applyBorder="1"/>
    <xf numFmtId="4" fontId="0" fillId="0" borderId="0" xfId="0" applyNumberFormat="1"/>
    <xf numFmtId="43" fontId="0" fillId="0" borderId="0" xfId="0" applyNumberFormat="1"/>
    <xf numFmtId="0" fontId="15" fillId="5" borderId="0" xfId="0" applyFont="1" applyFill="1"/>
    <xf numFmtId="0" fontId="20" fillId="0" borderId="0" xfId="0" applyFont="1"/>
    <xf numFmtId="0" fontId="3" fillId="11" borderId="29" xfId="0" applyFont="1" applyFill="1" applyBorder="1" applyAlignment="1">
      <alignment horizontal="center" vertical="center"/>
    </xf>
    <xf numFmtId="169" fontId="3" fillId="11" borderId="29" xfId="0" applyNumberFormat="1" applyFont="1" applyFill="1" applyBorder="1" applyAlignment="1">
      <alignment horizontal="center" vertical="center"/>
    </xf>
    <xf numFmtId="0" fontId="21" fillId="0" borderId="0" xfId="0" applyFont="1"/>
    <xf numFmtId="0" fontId="4" fillId="0" borderId="29" xfId="0" applyFont="1" applyBorder="1"/>
    <xf numFmtId="0" fontId="0" fillId="0" borderId="29" xfId="0" applyBorder="1"/>
    <xf numFmtId="43" fontId="4" fillId="0" borderId="0" xfId="0" applyNumberFormat="1" applyFont="1"/>
    <xf numFmtId="0" fontId="0" fillId="9" borderId="0" xfId="0" applyFill="1"/>
    <xf numFmtId="0" fontId="4" fillId="9" borderId="0" xfId="0" applyFont="1" applyFill="1"/>
    <xf numFmtId="0" fontId="4" fillId="0" borderId="2" xfId="0" applyFont="1" applyBorder="1"/>
    <xf numFmtId="43" fontId="4" fillId="0" borderId="2" xfId="0" applyNumberFormat="1" applyFont="1" applyBorder="1"/>
    <xf numFmtId="0" fontId="24" fillId="0" borderId="0" xfId="0" applyFont="1" applyAlignment="1">
      <alignment horizontal="left"/>
    </xf>
    <xf numFmtId="0" fontId="22" fillId="2" borderId="29" xfId="0" applyFont="1" applyFill="1" applyBorder="1" applyAlignment="1">
      <alignment vertical="center"/>
    </xf>
    <xf numFmtId="0" fontId="0" fillId="2" borderId="29" xfId="0" applyFill="1" applyBorder="1"/>
    <xf numFmtId="0" fontId="28" fillId="0" borderId="0" xfId="0" applyFont="1"/>
    <xf numFmtId="0" fontId="14" fillId="13" borderId="0" xfId="0" applyFont="1" applyFill="1"/>
    <xf numFmtId="0" fontId="14" fillId="0" borderId="0" xfId="0" applyFont="1"/>
    <xf numFmtId="0" fontId="29" fillId="13" borderId="0" xfId="0" applyFont="1" applyFill="1"/>
    <xf numFmtId="0" fontId="30" fillId="14" borderId="0" xfId="5" applyNumberFormat="1" applyFont="1" applyFill="1" applyBorder="1" applyAlignment="1">
      <alignment vertical="center"/>
    </xf>
    <xf numFmtId="173" fontId="30" fillId="14" borderId="0" xfId="5" applyNumberFormat="1" applyFont="1" applyFill="1" applyBorder="1" applyAlignment="1">
      <alignment horizontal="center" vertical="center"/>
    </xf>
    <xf numFmtId="173" fontId="31" fillId="14" borderId="32" xfId="5" applyNumberFormat="1" applyFont="1" applyFill="1" applyBorder="1" applyAlignment="1">
      <alignment horizontal="center" vertical="center"/>
    </xf>
    <xf numFmtId="0" fontId="14" fillId="0" borderId="29" xfId="0" applyFont="1" applyBorder="1"/>
    <xf numFmtId="0" fontId="19" fillId="0" borderId="29" xfId="0" applyFont="1" applyBorder="1"/>
    <xf numFmtId="0" fontId="14" fillId="4" borderId="29" xfId="0" applyFont="1" applyFill="1" applyBorder="1"/>
    <xf numFmtId="0" fontId="19" fillId="4" borderId="29" xfId="0" applyFont="1" applyFill="1" applyBorder="1"/>
    <xf numFmtId="0" fontId="19" fillId="4" borderId="30" xfId="0" applyFont="1" applyFill="1" applyBorder="1"/>
    <xf numFmtId="0" fontId="19" fillId="13" borderId="11" xfId="0" applyFont="1" applyFill="1" applyBorder="1"/>
    <xf numFmtId="0" fontId="29" fillId="0" borderId="12" xfId="0" applyFont="1" applyBorder="1" applyAlignment="1">
      <alignment vertical="center"/>
    </xf>
    <xf numFmtId="0" fontId="19" fillId="13" borderId="16" xfId="0" applyFont="1" applyFill="1" applyBorder="1"/>
    <xf numFmtId="0" fontId="29" fillId="0" borderId="17" xfId="0" applyFont="1" applyBorder="1" applyAlignment="1">
      <alignment vertical="center"/>
    </xf>
    <xf numFmtId="0" fontId="19" fillId="13" borderId="0" xfId="0" applyFont="1" applyFill="1"/>
    <xf numFmtId="0" fontId="29" fillId="0" borderId="32" xfId="0" applyFont="1" applyBorder="1" applyAlignment="1">
      <alignment vertical="center"/>
    </xf>
    <xf numFmtId="0" fontId="14" fillId="15" borderId="29" xfId="0" applyFont="1" applyFill="1" applyBorder="1"/>
    <xf numFmtId="0" fontId="19" fillId="15" borderId="29" xfId="0" applyFont="1" applyFill="1" applyBorder="1"/>
    <xf numFmtId="0" fontId="19" fillId="15" borderId="30" xfId="0" applyFont="1" applyFill="1" applyBorder="1"/>
    <xf numFmtId="0" fontId="19" fillId="13" borderId="0" xfId="0" applyFont="1" applyFill="1" applyAlignment="1">
      <alignment horizontal="center"/>
    </xf>
    <xf numFmtId="0" fontId="19" fillId="13" borderId="32" xfId="0" applyFont="1" applyFill="1" applyBorder="1"/>
    <xf numFmtId="0" fontId="19" fillId="13" borderId="29" xfId="0" applyFont="1" applyFill="1" applyBorder="1"/>
    <xf numFmtId="0" fontId="29" fillId="0" borderId="30" xfId="0" applyFont="1" applyBorder="1" applyAlignment="1">
      <alignment vertical="center"/>
    </xf>
    <xf numFmtId="0" fontId="19" fillId="15" borderId="43" xfId="0" applyFont="1" applyFill="1" applyBorder="1"/>
    <xf numFmtId="0" fontId="14" fillId="15" borderId="45" xfId="0" applyFont="1" applyFill="1" applyBorder="1" applyAlignment="1">
      <alignment horizontal="center"/>
    </xf>
    <xf numFmtId="0" fontId="19" fillId="15" borderId="45" xfId="0" applyFont="1" applyFill="1" applyBorder="1" applyAlignment="1">
      <alignment horizontal="center"/>
    </xf>
    <xf numFmtId="0" fontId="32" fillId="3" borderId="44" xfId="0" applyFont="1" applyFill="1" applyBorder="1" applyAlignment="1">
      <alignment vertical="center"/>
    </xf>
    <xf numFmtId="0" fontId="29" fillId="3" borderId="44" xfId="0" applyFont="1" applyFill="1" applyBorder="1" applyAlignment="1">
      <alignment vertical="center"/>
    </xf>
    <xf numFmtId="0" fontId="32" fillId="3" borderId="26" xfId="0" applyFont="1" applyFill="1" applyBorder="1" applyAlignment="1">
      <alignment vertical="center"/>
    </xf>
    <xf numFmtId="0" fontId="29" fillId="3" borderId="26" xfId="0" applyFont="1" applyFill="1" applyBorder="1" applyAlignment="1">
      <alignment vertical="center"/>
    </xf>
    <xf numFmtId="0" fontId="32" fillId="4" borderId="29" xfId="0" applyFont="1" applyFill="1" applyBorder="1" applyAlignment="1">
      <alignment vertical="center"/>
    </xf>
    <xf numFmtId="0" fontId="29" fillId="4" borderId="29" xfId="0" applyFont="1" applyFill="1" applyBorder="1" applyAlignment="1">
      <alignment vertical="center"/>
    </xf>
    <xf numFmtId="0" fontId="32" fillId="16" borderId="29" xfId="0" applyFont="1" applyFill="1" applyBorder="1" applyAlignment="1">
      <alignment vertical="center"/>
    </xf>
    <xf numFmtId="0" fontId="29" fillId="16" borderId="29" xfId="0" applyFont="1" applyFill="1" applyBorder="1" applyAlignment="1">
      <alignment vertical="center"/>
    </xf>
    <xf numFmtId="0" fontId="19" fillId="0" borderId="29" xfId="0" applyFont="1" applyBorder="1" applyAlignment="1">
      <alignment horizontal="center"/>
    </xf>
    <xf numFmtId="4" fontId="29" fillId="13" borderId="0" xfId="0" applyNumberFormat="1" applyFont="1" applyFill="1" applyAlignment="1">
      <alignment horizontal="center"/>
    </xf>
    <xf numFmtId="0" fontId="19" fillId="13" borderId="11" xfId="0" applyFont="1" applyFill="1" applyBorder="1" applyAlignment="1">
      <alignment horizontal="center"/>
    </xf>
    <xf numFmtId="10" fontId="32" fillId="3" borderId="19" xfId="0" applyNumberFormat="1" applyFont="1" applyFill="1" applyBorder="1" applyAlignment="1">
      <alignment horizontal="center" vertical="center"/>
    </xf>
    <xf numFmtId="10" fontId="32" fillId="3" borderId="26" xfId="2" applyNumberFormat="1" applyFont="1" applyFill="1" applyBorder="1" applyAlignment="1">
      <alignment horizontal="center" vertical="center"/>
    </xf>
    <xf numFmtId="4" fontId="32" fillId="4" borderId="29" xfId="0" applyNumberFormat="1" applyFont="1" applyFill="1" applyBorder="1" applyAlignment="1">
      <alignment horizontal="center" vertical="center"/>
    </xf>
    <xf numFmtId="0" fontId="29" fillId="16" borderId="29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/>
    </xf>
    <xf numFmtId="0" fontId="4" fillId="4" borderId="11" xfId="0" applyFont="1" applyFill="1" applyBorder="1" applyAlignment="1">
      <alignment horizontal="center" vertical="center" wrapText="1"/>
    </xf>
    <xf numFmtId="169" fontId="4" fillId="4" borderId="11" xfId="0" applyNumberFormat="1" applyFont="1" applyFill="1" applyBorder="1" applyAlignment="1">
      <alignment horizontal="center" vertical="center"/>
    </xf>
    <xf numFmtId="0" fontId="35" fillId="4" borderId="26" xfId="0" applyFont="1" applyFill="1" applyBorder="1" applyAlignment="1">
      <alignment horizontal="center" vertical="center"/>
    </xf>
    <xf numFmtId="0" fontId="27" fillId="4" borderId="26" xfId="0" applyFont="1" applyFill="1" applyBorder="1" applyAlignment="1">
      <alignment horizontal="center" vertical="center" wrapText="1"/>
    </xf>
    <xf numFmtId="169" fontId="35" fillId="4" borderId="26" xfId="0" applyNumberFormat="1" applyFont="1" applyFill="1" applyBorder="1" applyAlignment="1">
      <alignment horizontal="center" vertical="center"/>
    </xf>
    <xf numFmtId="0" fontId="27" fillId="0" borderId="0" xfId="0" applyFont="1"/>
    <xf numFmtId="0" fontId="4" fillId="16" borderId="11" xfId="0" applyFont="1" applyFill="1" applyBorder="1" applyAlignment="1">
      <alignment horizontal="center" vertical="center" wrapText="1"/>
    </xf>
    <xf numFmtId="0" fontId="27" fillId="16" borderId="26" xfId="0" applyFont="1" applyFill="1" applyBorder="1" applyAlignment="1">
      <alignment horizontal="center" vertical="center" wrapText="1"/>
    </xf>
    <xf numFmtId="0" fontId="27" fillId="16" borderId="26" xfId="0" applyFont="1" applyFill="1" applyBorder="1" applyAlignment="1">
      <alignment horizontal="center" vertical="center"/>
    </xf>
    <xf numFmtId="3" fontId="4" fillId="16" borderId="29" xfId="0" applyNumberFormat="1" applyFont="1" applyFill="1" applyBorder="1" applyAlignment="1">
      <alignment horizontal="center"/>
    </xf>
    <xf numFmtId="0" fontId="29" fillId="0" borderId="29" xfId="7" applyFont="1" applyBorder="1" applyAlignment="1">
      <alignment horizontal="left" vertical="center"/>
    </xf>
    <xf numFmtId="0" fontId="29" fillId="0" borderId="29" xfId="7" applyFont="1" applyBorder="1" applyAlignment="1">
      <alignment vertical="center"/>
    </xf>
    <xf numFmtId="0" fontId="32" fillId="9" borderId="49" xfId="0" applyFont="1" applyFill="1" applyBorder="1" applyAlignment="1">
      <alignment vertical="center"/>
    </xf>
    <xf numFmtId="176" fontId="29" fillId="0" borderId="29" xfId="4" applyNumberFormat="1" applyFont="1" applyFill="1" applyBorder="1" applyAlignment="1">
      <alignment horizontal="left" vertical="center"/>
    </xf>
    <xf numFmtId="0" fontId="4" fillId="4" borderId="0" xfId="0" applyFont="1" applyFill="1"/>
    <xf numFmtId="10" fontId="0" fillId="0" borderId="11" xfId="0" applyNumberFormat="1" applyBorder="1"/>
    <xf numFmtId="0" fontId="29" fillId="0" borderId="0" xfId="7" applyFont="1" applyAlignment="1">
      <alignment vertical="center"/>
    </xf>
    <xf numFmtId="0" fontId="3" fillId="16" borderId="29" xfId="0" applyFont="1" applyFill="1" applyBorder="1" applyAlignment="1">
      <alignment horizontal="center" vertical="center"/>
    </xf>
    <xf numFmtId="169" fontId="3" fillId="16" borderId="29" xfId="0" applyNumberFormat="1" applyFont="1" applyFill="1" applyBorder="1" applyAlignment="1">
      <alignment horizontal="center" vertical="center"/>
    </xf>
    <xf numFmtId="0" fontId="3" fillId="16" borderId="29" xfId="0" applyFont="1" applyFill="1" applyBorder="1" applyAlignment="1">
      <alignment horizontal="left" vertical="center"/>
    </xf>
    <xf numFmtId="0" fontId="32" fillId="18" borderId="49" xfId="0" applyFont="1" applyFill="1" applyBorder="1" applyAlignment="1">
      <alignment vertical="center"/>
    </xf>
    <xf numFmtId="0" fontId="40" fillId="18" borderId="37" xfId="0" applyFont="1" applyFill="1" applyBorder="1" applyAlignment="1">
      <alignment horizontal="center" vertical="center"/>
    </xf>
    <xf numFmtId="0" fontId="40" fillId="18" borderId="37" xfId="0" applyFont="1" applyFill="1" applyBorder="1" applyAlignment="1">
      <alignment horizontal="left" vertical="center"/>
    </xf>
    <xf numFmtId="0" fontId="33" fillId="16" borderId="29" xfId="0" applyFont="1" applyFill="1" applyBorder="1" applyAlignment="1">
      <alignment horizontal="center" vertical="center"/>
    </xf>
    <xf numFmtId="169" fontId="33" fillId="16" borderId="29" xfId="0" applyNumberFormat="1" applyFont="1" applyFill="1" applyBorder="1" applyAlignment="1">
      <alignment horizontal="center" vertical="center"/>
    </xf>
    <xf numFmtId="0" fontId="29" fillId="0" borderId="11" xfId="0" applyFont="1" applyBorder="1" applyAlignment="1">
      <alignment vertical="center"/>
    </xf>
    <xf numFmtId="0" fontId="29" fillId="0" borderId="0" xfId="0" applyFont="1" applyAlignment="1">
      <alignment vertical="center"/>
    </xf>
    <xf numFmtId="0" fontId="29" fillId="0" borderId="1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4" fillId="4" borderId="29" xfId="0" applyFont="1" applyFill="1" applyBorder="1" applyAlignment="1">
      <alignment horizontal="left"/>
    </xf>
    <xf numFmtId="0" fontId="29" fillId="0" borderId="16" xfId="0" applyFont="1" applyBorder="1" applyAlignment="1">
      <alignment horizontal="center" vertical="center"/>
    </xf>
    <xf numFmtId="0" fontId="29" fillId="0" borderId="16" xfId="0" applyFont="1" applyBorder="1" applyAlignment="1">
      <alignment vertical="center"/>
    </xf>
    <xf numFmtId="0" fontId="29" fillId="0" borderId="29" xfId="0" applyFont="1" applyBorder="1" applyAlignment="1">
      <alignment horizontal="center" vertical="center"/>
    </xf>
    <xf numFmtId="169" fontId="39" fillId="14" borderId="29" xfId="0" applyNumberFormat="1" applyFont="1" applyFill="1" applyBorder="1" applyAlignment="1">
      <alignment horizontal="center" vertical="center"/>
    </xf>
    <xf numFmtId="0" fontId="14" fillId="4" borderId="30" xfId="0" applyFont="1" applyFill="1" applyBorder="1"/>
    <xf numFmtId="0" fontId="14" fillId="15" borderId="30" xfId="0" applyFont="1" applyFill="1" applyBorder="1"/>
    <xf numFmtId="0" fontId="29" fillId="0" borderId="0" xfId="7" applyFont="1" applyAlignment="1">
      <alignment horizontal="center" vertical="center"/>
    </xf>
    <xf numFmtId="0" fontId="29" fillId="0" borderId="11" xfId="0" applyFont="1" applyBorder="1"/>
    <xf numFmtId="0" fontId="29" fillId="0" borderId="11" xfId="0" applyFont="1" applyBorder="1" applyAlignment="1" applyProtection="1">
      <alignment horizontal="left" indent="1"/>
      <protection locked="0"/>
    </xf>
    <xf numFmtId="0" fontId="29" fillId="0" borderId="16" xfId="0" applyFont="1" applyBorder="1"/>
    <xf numFmtId="0" fontId="29" fillId="0" borderId="16" xfId="0" applyFont="1" applyBorder="1" applyAlignment="1" applyProtection="1">
      <alignment horizontal="left" indent="1"/>
      <protection locked="0"/>
    </xf>
    <xf numFmtId="0" fontId="41" fillId="0" borderId="29" xfId="0" applyFont="1" applyBorder="1" applyAlignment="1" applyProtection="1">
      <alignment horizontal="left" indent="1"/>
      <protection locked="0"/>
    </xf>
    <xf numFmtId="0" fontId="29" fillId="0" borderId="0" xfId="0" applyFont="1"/>
    <xf numFmtId="0" fontId="29" fillId="0" borderId="0" xfId="0" applyFont="1" applyAlignment="1" applyProtection="1">
      <alignment horizontal="left" indent="1"/>
      <protection locked="0"/>
    </xf>
    <xf numFmtId="0" fontId="18" fillId="0" borderId="0" xfId="0" applyFont="1" applyAlignment="1">
      <alignment horizontal="center"/>
    </xf>
    <xf numFmtId="0" fontId="39" fillId="14" borderId="61" xfId="0" applyFont="1" applyFill="1" applyBorder="1" applyAlignment="1">
      <alignment horizontal="center" vertical="center"/>
    </xf>
    <xf numFmtId="0" fontId="39" fillId="14" borderId="61" xfId="0" applyFont="1" applyFill="1" applyBorder="1" applyAlignment="1">
      <alignment vertical="center"/>
    </xf>
    <xf numFmtId="0" fontId="42" fillId="19" borderId="61" xfId="0" applyFont="1" applyFill="1" applyBorder="1" applyAlignment="1">
      <alignment horizontal="center" vertical="center"/>
    </xf>
    <xf numFmtId="0" fontId="43" fillId="19" borderId="61" xfId="0" applyFont="1" applyFill="1" applyBorder="1" applyAlignment="1">
      <alignment horizontal="center" vertical="center"/>
    </xf>
    <xf numFmtId="0" fontId="39" fillId="14" borderId="61" xfId="0" applyFont="1" applyFill="1" applyBorder="1" applyAlignment="1">
      <alignment horizontal="left" vertical="center"/>
    </xf>
    <xf numFmtId="0" fontId="42" fillId="19" borderId="61" xfId="0" applyFont="1" applyFill="1" applyBorder="1" applyAlignment="1">
      <alignment horizontal="left" vertical="center"/>
    </xf>
    <xf numFmtId="0" fontId="18" fillId="0" borderId="0" xfId="0" applyFont="1" applyAlignment="1">
      <alignment horizontal="left"/>
    </xf>
    <xf numFmtId="0" fontId="26" fillId="0" borderId="0" xfId="0" applyFont="1"/>
    <xf numFmtId="0" fontId="29" fillId="0" borderId="29" xfId="0" applyFont="1" applyBorder="1" applyAlignment="1" applyProtection="1">
      <alignment horizontal="left" indent="1"/>
      <protection locked="0"/>
    </xf>
    <xf numFmtId="0" fontId="42" fillId="0" borderId="61" xfId="0" applyFont="1" applyBorder="1" applyAlignment="1">
      <alignment horizontal="left" vertical="center"/>
    </xf>
    <xf numFmtId="0" fontId="42" fillId="0" borderId="61" xfId="0" applyFont="1" applyBorder="1" applyAlignment="1">
      <alignment horizontal="center" vertical="center"/>
    </xf>
    <xf numFmtId="0" fontId="43" fillId="0" borderId="61" xfId="0" applyFont="1" applyBorder="1" applyAlignment="1">
      <alignment horizontal="center" vertical="center"/>
    </xf>
    <xf numFmtId="0" fontId="19" fillId="10" borderId="11" xfId="0" applyFont="1" applyFill="1" applyBorder="1"/>
    <xf numFmtId="0" fontId="19" fillId="10" borderId="16" xfId="0" applyFont="1" applyFill="1" applyBorder="1"/>
    <xf numFmtId="3" fontId="32" fillId="10" borderId="16" xfId="0" applyNumberFormat="1" applyFont="1" applyFill="1" applyBorder="1" applyAlignment="1">
      <alignment horizontal="center"/>
    </xf>
    <xf numFmtId="0" fontId="19" fillId="0" borderId="16" xfId="0" applyFont="1" applyBorder="1"/>
    <xf numFmtId="3" fontId="32" fillId="0" borderId="16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11" borderId="0" xfId="0" applyFont="1" applyFill="1"/>
    <xf numFmtId="44" fontId="0" fillId="0" borderId="0" xfId="0" applyNumberFormat="1"/>
    <xf numFmtId="0" fontId="12" fillId="4" borderId="62" xfId="0" applyFont="1" applyFill="1" applyBorder="1" applyAlignment="1">
      <alignment horizontal="center"/>
    </xf>
    <xf numFmtId="0" fontId="12" fillId="4" borderId="63" xfId="0" applyFont="1" applyFill="1" applyBorder="1" applyAlignment="1">
      <alignment horizontal="center"/>
    </xf>
    <xf numFmtId="0" fontId="46" fillId="0" borderId="0" xfId="0" applyFont="1"/>
    <xf numFmtId="0" fontId="29" fillId="0" borderId="0" xfId="7" applyFont="1" applyAlignment="1">
      <alignment horizontal="left" vertical="center"/>
    </xf>
    <xf numFmtId="0" fontId="29" fillId="0" borderId="19" xfId="7" applyFont="1" applyBorder="1" applyAlignment="1">
      <alignment horizontal="left" vertical="center"/>
    </xf>
    <xf numFmtId="0" fontId="29" fillId="0" borderId="19" xfId="7" applyFont="1" applyBorder="1" applyAlignment="1">
      <alignment vertical="center"/>
    </xf>
    <xf numFmtId="0" fontId="3" fillId="5" borderId="0" xfId="0" applyFont="1" applyFill="1"/>
    <xf numFmtId="0" fontId="4" fillId="4" borderId="43" xfId="0" applyFont="1" applyFill="1" applyBorder="1" applyAlignment="1">
      <alignment horizontal="center" vertical="center"/>
    </xf>
    <xf numFmtId="0" fontId="4" fillId="21" borderId="29" xfId="0" applyFont="1" applyFill="1" applyBorder="1"/>
    <xf numFmtId="0" fontId="0" fillId="21" borderId="29" xfId="0" applyFill="1" applyBorder="1"/>
    <xf numFmtId="0" fontId="0" fillId="15" borderId="26" xfId="0" applyFill="1" applyBorder="1"/>
    <xf numFmtId="0" fontId="4" fillId="15" borderId="26" xfId="0" applyFont="1" applyFill="1" applyBorder="1"/>
    <xf numFmtId="0" fontId="4" fillId="16" borderId="43" xfId="0" applyFont="1" applyFill="1" applyBorder="1" applyAlignment="1">
      <alignment horizontal="center" vertical="center"/>
    </xf>
    <xf numFmtId="0" fontId="12" fillId="0" borderId="29" xfId="0" applyFont="1" applyBorder="1"/>
    <xf numFmtId="0" fontId="16" fillId="5" borderId="0" xfId="0" applyFont="1" applyFill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2" borderId="0" xfId="0" applyFont="1" applyFill="1" applyAlignment="1">
      <alignment horizontal="left"/>
    </xf>
    <xf numFmtId="0" fontId="4" fillId="2" borderId="0" xfId="0" applyFont="1" applyFill="1" applyAlignment="1">
      <alignment horizontal="center"/>
    </xf>
    <xf numFmtId="0" fontId="0" fillId="22" borderId="29" xfId="0" applyFill="1" applyBorder="1"/>
    <xf numFmtId="0" fontId="0" fillId="0" borderId="12" xfId="0" applyBorder="1"/>
    <xf numFmtId="0" fontId="0" fillId="0" borderId="32" xfId="0" applyBorder="1"/>
    <xf numFmtId="0" fontId="0" fillId="0" borderId="17" xfId="0" applyBorder="1"/>
    <xf numFmtId="0" fontId="0" fillId="0" borderId="10" xfId="0" applyBorder="1"/>
    <xf numFmtId="0" fontId="0" fillId="0" borderId="31" xfId="0" applyBorder="1"/>
    <xf numFmtId="0" fontId="0" fillId="0" borderId="15" xfId="0" applyBorder="1"/>
    <xf numFmtId="0" fontId="4" fillId="0" borderId="11" xfId="0" applyFont="1" applyBorder="1"/>
    <xf numFmtId="0" fontId="4" fillId="0" borderId="26" xfId="0" applyFont="1" applyBorder="1"/>
    <xf numFmtId="174" fontId="19" fillId="13" borderId="0" xfId="0" applyNumberFormat="1" applyFont="1" applyFill="1" applyAlignment="1">
      <alignment horizontal="center"/>
    </xf>
    <xf numFmtId="4" fontId="29" fillId="13" borderId="29" xfId="0" applyNumberFormat="1" applyFont="1" applyFill="1" applyBorder="1" applyAlignment="1">
      <alignment horizontal="center"/>
    </xf>
    <xf numFmtId="0" fontId="29" fillId="0" borderId="0" xfId="8" applyFont="1" applyAlignment="1">
      <alignment vertical="center"/>
    </xf>
    <xf numFmtId="0" fontId="32" fillId="0" borderId="0" xfId="7" applyFont="1"/>
    <xf numFmtId="9" fontId="18" fillId="0" borderId="0" xfId="0" applyNumberFormat="1" applyFont="1"/>
    <xf numFmtId="0" fontId="32" fillId="23" borderId="70" xfId="8" applyFont="1" applyFill="1" applyBorder="1" applyAlignment="1">
      <alignment horizontal="left" vertical="center"/>
    </xf>
    <xf numFmtId="0" fontId="32" fillId="23" borderId="70" xfId="8" applyFont="1" applyFill="1" applyBorder="1" applyAlignment="1">
      <alignment vertical="center"/>
    </xf>
    <xf numFmtId="0" fontId="32" fillId="23" borderId="70" xfId="8" applyFont="1" applyFill="1" applyBorder="1" applyAlignment="1">
      <alignment horizontal="center" vertical="center"/>
    </xf>
    <xf numFmtId="179" fontId="32" fillId="23" borderId="70" xfId="8" applyNumberFormat="1" applyFont="1" applyFill="1" applyBorder="1" applyAlignment="1">
      <alignment horizontal="center" vertical="center"/>
    </xf>
    <xf numFmtId="180" fontId="18" fillId="0" borderId="0" xfId="0" applyNumberFormat="1" applyFont="1"/>
    <xf numFmtId="0" fontId="18" fillId="0" borderId="0" xfId="0" applyFont="1" applyAlignment="1">
      <alignment horizontal="left" indent="1"/>
    </xf>
    <xf numFmtId="0" fontId="32" fillId="0" borderId="0" xfId="0" applyFont="1" applyAlignment="1">
      <alignment vertical="center"/>
    </xf>
    <xf numFmtId="0" fontId="47" fillId="0" borderId="0" xfId="0" applyFont="1"/>
    <xf numFmtId="0" fontId="32" fillId="0" borderId="0" xfId="0" applyFont="1"/>
    <xf numFmtId="0" fontId="18" fillId="18" borderId="29" xfId="0" applyFont="1" applyFill="1" applyBorder="1"/>
    <xf numFmtId="0" fontId="32" fillId="18" borderId="29" xfId="0" applyFont="1" applyFill="1" applyBorder="1"/>
    <xf numFmtId="10" fontId="41" fillId="18" borderId="29" xfId="9" applyNumberFormat="1" applyFont="1" applyFill="1" applyBorder="1" applyAlignment="1" applyProtection="1">
      <alignment horizontal="center"/>
    </xf>
    <xf numFmtId="180" fontId="18" fillId="18" borderId="29" xfId="0" applyNumberFormat="1" applyFont="1" applyFill="1" applyBorder="1"/>
    <xf numFmtId="0" fontId="18" fillId="0" borderId="29" xfId="0" applyFont="1" applyBorder="1"/>
    <xf numFmtId="0" fontId="18" fillId="0" borderId="29" xfId="0" applyFont="1" applyBorder="1" applyAlignment="1">
      <alignment horizontal="left" indent="2"/>
    </xf>
    <xf numFmtId="180" fontId="18" fillId="0" borderId="29" xfId="0" applyNumberFormat="1" applyFont="1" applyBorder="1"/>
    <xf numFmtId="0" fontId="18" fillId="0" borderId="0" xfId="0" applyFont="1" applyAlignment="1">
      <alignment horizontal="left" indent="2"/>
    </xf>
    <xf numFmtId="0" fontId="18" fillId="9" borderId="29" xfId="0" applyFont="1" applyFill="1" applyBorder="1"/>
    <xf numFmtId="0" fontId="32" fillId="9" borderId="29" xfId="0" applyFont="1" applyFill="1" applyBorder="1"/>
    <xf numFmtId="0" fontId="48" fillId="18" borderId="29" xfId="0" applyFont="1" applyFill="1" applyBorder="1"/>
    <xf numFmtId="0" fontId="48" fillId="0" borderId="0" xfId="0" applyFont="1"/>
    <xf numFmtId="0" fontId="33" fillId="23" borderId="70" xfId="8" applyFont="1" applyFill="1" applyBorder="1" applyAlignment="1">
      <alignment horizontal="left" vertical="center"/>
    </xf>
    <xf numFmtId="0" fontId="33" fillId="23" borderId="70" xfId="8" applyFont="1" applyFill="1" applyBorder="1" applyAlignment="1">
      <alignment vertical="center"/>
    </xf>
    <xf numFmtId="0" fontId="33" fillId="23" borderId="70" xfId="8" applyFont="1" applyFill="1" applyBorder="1" applyAlignment="1">
      <alignment horizontal="center" vertical="center"/>
    </xf>
    <xf numFmtId="179" fontId="33" fillId="23" borderId="70" xfId="8" applyNumberFormat="1" applyFont="1" applyFill="1" applyBorder="1" applyAlignment="1">
      <alignment horizontal="center" vertical="center"/>
    </xf>
    <xf numFmtId="0" fontId="40" fillId="0" borderId="0" xfId="0" applyFont="1"/>
    <xf numFmtId="0" fontId="24" fillId="0" borderId="0" xfId="0" applyFont="1"/>
    <xf numFmtId="0" fontId="18" fillId="4" borderId="29" xfId="0" applyFont="1" applyFill="1" applyBorder="1"/>
    <xf numFmtId="0" fontId="32" fillId="4" borderId="29" xfId="0" applyFont="1" applyFill="1" applyBorder="1"/>
    <xf numFmtId="180" fontId="48" fillId="4" borderId="29" xfId="0" applyNumberFormat="1" applyFont="1" applyFill="1" applyBorder="1" applyAlignment="1">
      <alignment horizontal="center"/>
    </xf>
    <xf numFmtId="180" fontId="18" fillId="4" borderId="29" xfId="0" applyNumberFormat="1" applyFont="1" applyFill="1" applyBorder="1" applyAlignment="1">
      <alignment horizontal="center"/>
    </xf>
    <xf numFmtId="0" fontId="44" fillId="13" borderId="0" xfId="0" applyFont="1" applyFill="1"/>
    <xf numFmtId="0" fontId="29" fillId="13" borderId="11" xfId="0" applyFont="1" applyFill="1" applyBorder="1"/>
    <xf numFmtId="0" fontId="29" fillId="0" borderId="19" xfId="7" applyFont="1" applyBorder="1" applyAlignment="1">
      <alignment horizontal="center" vertical="center"/>
    </xf>
    <xf numFmtId="182" fontId="29" fillId="0" borderId="26" xfId="4" applyNumberFormat="1" applyFont="1" applyFill="1" applyBorder="1" applyAlignment="1">
      <alignment horizontal="center" vertical="center"/>
    </xf>
    <xf numFmtId="0" fontId="49" fillId="0" borderId="0" xfId="0" applyFont="1"/>
    <xf numFmtId="0" fontId="35" fillId="0" borderId="0" xfId="0" applyFont="1"/>
    <xf numFmtId="0" fontId="50" fillId="0" borderId="0" xfId="0" applyFont="1"/>
    <xf numFmtId="0" fontId="39" fillId="11" borderId="29" xfId="0" applyFont="1" applyFill="1" applyBorder="1" applyAlignment="1">
      <alignment horizontal="center" vertical="center"/>
    </xf>
    <xf numFmtId="169" fontId="39" fillId="11" borderId="29" xfId="0" applyNumberFormat="1" applyFont="1" applyFill="1" applyBorder="1" applyAlignment="1">
      <alignment horizontal="center" vertical="center"/>
    </xf>
    <xf numFmtId="0" fontId="40" fillId="13" borderId="0" xfId="0" applyFont="1" applyFill="1"/>
    <xf numFmtId="0" fontId="49" fillId="0" borderId="11" xfId="0" applyFont="1" applyBorder="1"/>
    <xf numFmtId="0" fontId="40" fillId="13" borderId="11" xfId="0" applyFont="1" applyFill="1" applyBorder="1"/>
    <xf numFmtId="0" fontId="40" fillId="0" borderId="11" xfId="0" applyFont="1" applyBorder="1"/>
    <xf numFmtId="0" fontId="27" fillId="0" borderId="11" xfId="0" applyFont="1" applyBorder="1"/>
    <xf numFmtId="0" fontId="49" fillId="2" borderId="26" xfId="0" applyFont="1" applyFill="1" applyBorder="1"/>
    <xf numFmtId="0" fontId="40" fillId="2" borderId="26" xfId="0" applyFont="1" applyFill="1" applyBorder="1"/>
    <xf numFmtId="0" fontId="27" fillId="2" borderId="26" xfId="0" applyFont="1" applyFill="1" applyBorder="1"/>
    <xf numFmtId="0" fontId="27" fillId="2" borderId="26" xfId="0" applyFont="1" applyFill="1" applyBorder="1" applyAlignment="1">
      <alignment horizontal="center"/>
    </xf>
    <xf numFmtId="4" fontId="44" fillId="13" borderId="0" xfId="0" applyNumberFormat="1" applyFont="1" applyFill="1" applyAlignment="1">
      <alignment horizontal="center"/>
    </xf>
    <xf numFmtId="4" fontId="44" fillId="13" borderId="29" xfId="0" applyNumberFormat="1" applyFont="1" applyFill="1" applyBorder="1" applyAlignment="1">
      <alignment horizontal="center"/>
    </xf>
    <xf numFmtId="0" fontId="44" fillId="10" borderId="11" xfId="0" applyFont="1" applyFill="1" applyBorder="1"/>
    <xf numFmtId="3" fontId="40" fillId="10" borderId="16" xfId="0" applyNumberFormat="1" applyFont="1" applyFill="1" applyBorder="1" applyAlignment="1">
      <alignment horizontal="center"/>
    </xf>
    <xf numFmtId="3" fontId="40" fillId="0" borderId="0" xfId="0" applyNumberFormat="1" applyFont="1" applyAlignment="1">
      <alignment horizontal="center"/>
    </xf>
    <xf numFmtId="0" fontId="20" fillId="0" borderId="23" xfId="0" applyFont="1" applyBorder="1"/>
    <xf numFmtId="0" fontId="14" fillId="13" borderId="23" xfId="0" applyFont="1" applyFill="1" applyBorder="1"/>
    <xf numFmtId="0" fontId="4" fillId="0" borderId="23" xfId="0" applyFont="1" applyBorder="1"/>
    <xf numFmtId="0" fontId="28" fillId="0" borderId="16" xfId="0" applyFont="1" applyBorder="1"/>
    <xf numFmtId="0" fontId="4" fillId="0" borderId="16" xfId="0" applyFont="1" applyBorder="1"/>
    <xf numFmtId="0" fontId="27" fillId="0" borderId="16" xfId="0" applyFont="1" applyBorder="1"/>
    <xf numFmtId="0" fontId="14" fillId="13" borderId="16" xfId="0" applyFont="1" applyFill="1" applyBorder="1"/>
    <xf numFmtId="0" fontId="14" fillId="0" borderId="16" xfId="0" applyFont="1" applyBorder="1"/>
    <xf numFmtId="0" fontId="4" fillId="21" borderId="0" xfId="0" applyFont="1" applyFill="1"/>
    <xf numFmtId="0" fontId="39" fillId="11" borderId="11" xfId="0" applyFont="1" applyFill="1" applyBorder="1" applyAlignment="1">
      <alignment horizontal="center" vertical="center"/>
    </xf>
    <xf numFmtId="169" fontId="39" fillId="11" borderId="11" xfId="0" applyNumberFormat="1" applyFont="1" applyFill="1" applyBorder="1" applyAlignment="1">
      <alignment horizontal="center" vertical="center"/>
    </xf>
    <xf numFmtId="0" fontId="39" fillId="0" borderId="11" xfId="0" applyFont="1" applyBorder="1" applyAlignment="1">
      <alignment horizontal="center" vertical="center"/>
    </xf>
    <xf numFmtId="169" fontId="39" fillId="0" borderId="11" xfId="0" applyNumberFormat="1" applyFont="1" applyBorder="1" applyAlignment="1">
      <alignment horizontal="center" vertical="center"/>
    </xf>
    <xf numFmtId="0" fontId="20" fillId="0" borderId="44" xfId="0" applyFont="1" applyBorder="1"/>
    <xf numFmtId="0" fontId="0" fillId="0" borderId="44" xfId="0" applyBorder="1"/>
    <xf numFmtId="0" fontId="39" fillId="0" borderId="44" xfId="0" applyFont="1" applyBorder="1" applyAlignment="1">
      <alignment horizontal="center" vertical="center"/>
    </xf>
    <xf numFmtId="169" fontId="39" fillId="0" borderId="44" xfId="0" applyNumberFormat="1" applyFont="1" applyBorder="1" applyAlignment="1">
      <alignment horizontal="center" vertical="center"/>
    </xf>
    <xf numFmtId="0" fontId="19" fillId="0" borderId="11" xfId="0" applyFont="1" applyBorder="1" applyAlignment="1">
      <alignment horizontal="center"/>
    </xf>
    <xf numFmtId="0" fontId="4" fillId="3" borderId="0" xfId="0" applyFont="1" applyFill="1"/>
    <xf numFmtId="0" fontId="0" fillId="3" borderId="0" xfId="0" applyFill="1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17" fillId="3" borderId="0" xfId="0" applyFont="1" applyFill="1"/>
    <xf numFmtId="0" fontId="54" fillId="4" borderId="29" xfId="0" applyFont="1" applyFill="1" applyBorder="1"/>
    <xf numFmtId="0" fontId="55" fillId="4" borderId="29" xfId="0" applyFont="1" applyFill="1" applyBorder="1"/>
    <xf numFmtId="0" fontId="19" fillId="0" borderId="0" xfId="0" applyFont="1"/>
    <xf numFmtId="0" fontId="0" fillId="0" borderId="28" xfId="0" applyBorder="1"/>
    <xf numFmtId="4" fontId="0" fillId="0" borderId="31" xfId="0" applyNumberFormat="1" applyBorder="1"/>
    <xf numFmtId="0" fontId="57" fillId="0" borderId="0" xfId="0" applyFont="1"/>
    <xf numFmtId="0" fontId="15" fillId="11" borderId="0" xfId="0" applyFont="1" applyFill="1"/>
    <xf numFmtId="0" fontId="16" fillId="11" borderId="0" xfId="0" applyFont="1" applyFill="1"/>
    <xf numFmtId="0" fontId="0" fillId="11" borderId="0" xfId="0" applyFill="1"/>
    <xf numFmtId="4" fontId="54" fillId="4" borderId="29" xfId="0" applyNumberFormat="1" applyFont="1" applyFill="1" applyBorder="1"/>
    <xf numFmtId="0" fontId="0" fillId="0" borderId="46" xfId="0" applyBorder="1"/>
    <xf numFmtId="0" fontId="45" fillId="0" borderId="56" xfId="0" applyFont="1" applyBorder="1" applyAlignment="1">
      <alignment horizontal="center" wrapText="1"/>
    </xf>
    <xf numFmtId="0" fontId="0" fillId="8" borderId="50" xfId="0" applyFill="1" applyBorder="1"/>
    <xf numFmtId="0" fontId="0" fillId="8" borderId="51" xfId="0" applyFill="1" applyBorder="1"/>
    <xf numFmtId="0" fontId="0" fillId="8" borderId="52" xfId="0" applyFill="1" applyBorder="1"/>
    <xf numFmtId="0" fontId="0" fillId="8" borderId="53" xfId="0" applyFill="1" applyBorder="1"/>
    <xf numFmtId="0" fontId="4" fillId="8" borderId="0" xfId="0" applyFont="1" applyFill="1"/>
    <xf numFmtId="0" fontId="0" fillId="8" borderId="0" xfId="0" applyFill="1"/>
    <xf numFmtId="0" fontId="0" fillId="8" borderId="54" xfId="0" applyFill="1" applyBorder="1"/>
    <xf numFmtId="0" fontId="0" fillId="8" borderId="55" xfId="0" applyFill="1" applyBorder="1"/>
    <xf numFmtId="0" fontId="0" fillId="8" borderId="56" xfId="0" applyFill="1" applyBorder="1"/>
    <xf numFmtId="0" fontId="0" fillId="8" borderId="57" xfId="0" applyFill="1" applyBorder="1"/>
    <xf numFmtId="0" fontId="3" fillId="6" borderId="35" xfId="0" applyFont="1" applyFill="1" applyBorder="1" applyAlignment="1" applyProtection="1">
      <alignment horizontal="center"/>
      <protection locked="0"/>
    </xf>
    <xf numFmtId="168" fontId="3" fillId="6" borderId="35" xfId="0" applyNumberFormat="1" applyFont="1" applyFill="1" applyBorder="1" applyAlignment="1" applyProtection="1">
      <alignment horizontal="center"/>
      <protection locked="0"/>
    </xf>
    <xf numFmtId="0" fontId="13" fillId="0" borderId="0" xfId="0" applyFont="1"/>
    <xf numFmtId="0" fontId="58" fillId="0" borderId="0" xfId="0" applyFont="1"/>
    <xf numFmtId="10" fontId="5" fillId="7" borderId="35" xfId="0" applyNumberFormat="1" applyFont="1" applyFill="1" applyBorder="1" applyAlignment="1" applyProtection="1">
      <alignment horizontal="center"/>
      <protection locked="0"/>
    </xf>
    <xf numFmtId="171" fontId="60" fillId="0" borderId="35" xfId="0" applyNumberFormat="1" applyFont="1" applyBorder="1" applyAlignment="1">
      <alignment horizontal="center"/>
    </xf>
    <xf numFmtId="171" fontId="60" fillId="0" borderId="35" xfId="1" applyNumberFormat="1" applyFont="1" applyFill="1" applyBorder="1" applyAlignment="1">
      <alignment horizontal="center"/>
    </xf>
    <xf numFmtId="170" fontId="60" fillId="0" borderId="35" xfId="1" applyNumberFormat="1" applyFont="1" applyFill="1" applyBorder="1"/>
    <xf numFmtId="170" fontId="13" fillId="0" borderId="29" xfId="1" applyNumberFormat="1" applyFont="1" applyFill="1" applyBorder="1"/>
    <xf numFmtId="3" fontId="60" fillId="0" borderId="35" xfId="1" applyNumberFormat="1" applyFont="1" applyFill="1" applyBorder="1"/>
    <xf numFmtId="0" fontId="14" fillId="4" borderId="29" xfId="0" applyFont="1" applyFill="1" applyBorder="1" applyAlignment="1">
      <alignment horizontal="center"/>
    </xf>
    <xf numFmtId="170" fontId="60" fillId="0" borderId="0" xfId="1" applyNumberFormat="1" applyFont="1" applyFill="1"/>
    <xf numFmtId="175" fontId="60" fillId="0" borderId="74" xfId="0" applyNumberFormat="1" applyFont="1" applyBorder="1" applyAlignment="1">
      <alignment horizontal="center"/>
    </xf>
    <xf numFmtId="170" fontId="60" fillId="0" borderId="72" xfId="1" applyNumberFormat="1" applyFont="1" applyFill="1" applyBorder="1"/>
    <xf numFmtId="175" fontId="60" fillId="0" borderId="75" xfId="0" applyNumberFormat="1" applyFont="1" applyBorder="1" applyAlignment="1">
      <alignment horizontal="center"/>
    </xf>
    <xf numFmtId="175" fontId="60" fillId="0" borderId="76" xfId="0" applyNumberFormat="1" applyFont="1" applyBorder="1" applyAlignment="1">
      <alignment horizontal="center"/>
    </xf>
    <xf numFmtId="175" fontId="60" fillId="0" borderId="79" xfId="0" applyNumberFormat="1" applyFont="1" applyBorder="1" applyAlignment="1">
      <alignment horizontal="center"/>
    </xf>
    <xf numFmtId="10" fontId="60" fillId="0" borderId="29" xfId="0" applyNumberFormat="1" applyFont="1" applyBorder="1"/>
    <xf numFmtId="0" fontId="4" fillId="21" borderId="29" xfId="0" applyFont="1" applyFill="1" applyBorder="1" applyAlignment="1">
      <alignment horizontal="center" vertical="center"/>
    </xf>
    <xf numFmtId="169" fontId="4" fillId="21" borderId="29" xfId="0" applyNumberFormat="1" applyFont="1" applyFill="1" applyBorder="1" applyAlignment="1">
      <alignment horizontal="center" vertical="center"/>
    </xf>
    <xf numFmtId="0" fontId="14" fillId="21" borderId="29" xfId="0" applyFont="1" applyFill="1" applyBorder="1" applyAlignment="1">
      <alignment horizontal="left"/>
    </xf>
    <xf numFmtId="3" fontId="4" fillId="21" borderId="29" xfId="0" applyNumberFormat="1" applyFont="1" applyFill="1" applyBorder="1" applyAlignment="1">
      <alignment horizontal="center"/>
    </xf>
    <xf numFmtId="170" fontId="4" fillId="21" borderId="29" xfId="1" applyNumberFormat="1" applyFont="1" applyFill="1" applyBorder="1"/>
    <xf numFmtId="10" fontId="61" fillId="3" borderId="44" xfId="2" applyNumberFormat="1" applyFont="1" applyFill="1" applyBorder="1" applyAlignment="1">
      <alignment horizontal="center" vertical="center"/>
    </xf>
    <xf numFmtId="10" fontId="61" fillId="3" borderId="26" xfId="2" applyNumberFormat="1" applyFont="1" applyFill="1" applyBorder="1" applyAlignment="1">
      <alignment horizontal="center" vertical="center"/>
    </xf>
    <xf numFmtId="4" fontId="61" fillId="4" borderId="29" xfId="0" applyNumberFormat="1" applyFont="1" applyFill="1" applyBorder="1" applyAlignment="1">
      <alignment horizontal="center" vertical="center"/>
    </xf>
    <xf numFmtId="0" fontId="62" fillId="16" borderId="29" xfId="0" applyFont="1" applyFill="1" applyBorder="1" applyAlignment="1">
      <alignment horizontal="center" vertical="center"/>
    </xf>
    <xf numFmtId="4" fontId="61" fillId="4" borderId="43" xfId="0" applyNumberFormat="1" applyFont="1" applyFill="1" applyBorder="1" applyAlignment="1">
      <alignment horizontal="center"/>
    </xf>
    <xf numFmtId="4" fontId="62" fillId="13" borderId="46" xfId="0" applyNumberFormat="1" applyFont="1" applyFill="1" applyBorder="1" applyAlignment="1">
      <alignment horizontal="center"/>
    </xf>
    <xf numFmtId="4" fontId="62" fillId="13" borderId="48" xfId="0" applyNumberFormat="1" applyFont="1" applyFill="1" applyBorder="1" applyAlignment="1">
      <alignment horizontal="center"/>
    </xf>
    <xf numFmtId="4" fontId="62" fillId="13" borderId="47" xfId="0" applyNumberFormat="1" applyFont="1" applyFill="1" applyBorder="1" applyAlignment="1">
      <alignment horizontal="center"/>
    </xf>
    <xf numFmtId="4" fontId="62" fillId="13" borderId="48" xfId="6" applyNumberFormat="1" applyFont="1" applyFill="1" applyBorder="1" applyAlignment="1">
      <alignment horizontal="center"/>
    </xf>
    <xf numFmtId="4" fontId="61" fillId="15" borderId="43" xfId="0" applyNumberFormat="1" applyFont="1" applyFill="1" applyBorder="1" applyAlignment="1">
      <alignment horizontal="center"/>
    </xf>
    <xf numFmtId="4" fontId="62" fillId="13" borderId="46" xfId="6" applyNumberFormat="1" applyFont="1" applyFill="1" applyBorder="1" applyAlignment="1">
      <alignment horizontal="center"/>
    </xf>
    <xf numFmtId="4" fontId="62" fillId="13" borderId="47" xfId="6" applyNumberFormat="1" applyFont="1" applyFill="1" applyBorder="1" applyAlignment="1">
      <alignment horizontal="center"/>
    </xf>
    <xf numFmtId="4" fontId="61" fillId="15" borderId="30" xfId="0" applyNumberFormat="1" applyFont="1" applyFill="1" applyBorder="1" applyAlignment="1">
      <alignment horizontal="center"/>
    </xf>
    <xf numFmtId="4" fontId="62" fillId="13" borderId="43" xfId="0" applyNumberFormat="1" applyFont="1" applyFill="1" applyBorder="1" applyAlignment="1">
      <alignment horizontal="center"/>
    </xf>
    <xf numFmtId="4" fontId="62" fillId="13" borderId="0" xfId="0" applyNumberFormat="1" applyFont="1" applyFill="1" applyAlignment="1">
      <alignment horizontal="center"/>
    </xf>
    <xf numFmtId="4" fontId="61" fillId="15" borderId="29" xfId="0" applyNumberFormat="1" applyFont="1" applyFill="1" applyBorder="1" applyAlignment="1">
      <alignment horizontal="center"/>
    </xf>
    <xf numFmtId="10" fontId="13" fillId="3" borderId="12" xfId="2" applyNumberFormat="1" applyFont="1" applyFill="1" applyBorder="1" applyAlignment="1">
      <alignment horizontal="center" vertical="center"/>
    </xf>
    <xf numFmtId="166" fontId="13" fillId="4" borderId="24" xfId="1" applyNumberFormat="1" applyFont="1" applyFill="1" applyBorder="1" applyAlignment="1">
      <alignment horizontal="center" vertical="center"/>
    </xf>
    <xf numFmtId="10" fontId="13" fillId="0" borderId="27" xfId="2" applyNumberFormat="1" applyFont="1" applyBorder="1" applyAlignment="1">
      <alignment horizontal="center" vertical="center"/>
    </xf>
    <xf numFmtId="167" fontId="13" fillId="4" borderId="24" xfId="2" applyNumberFormat="1" applyFont="1" applyFill="1" applyBorder="1" applyAlignment="1">
      <alignment horizontal="center" vertical="center"/>
    </xf>
    <xf numFmtId="10" fontId="13" fillId="3" borderId="30" xfId="2" applyNumberFormat="1" applyFont="1" applyFill="1" applyBorder="1" applyAlignment="1">
      <alignment horizontal="center" vertical="center"/>
    </xf>
    <xf numFmtId="10" fontId="13" fillId="0" borderId="32" xfId="2" applyNumberFormat="1" applyFont="1" applyBorder="1" applyAlignment="1">
      <alignment horizontal="center" vertical="center"/>
    </xf>
    <xf numFmtId="10" fontId="13" fillId="3" borderId="30" xfId="0" applyNumberFormat="1" applyFont="1" applyFill="1" applyBorder="1" applyAlignment="1">
      <alignment horizontal="center" vertical="center"/>
    </xf>
    <xf numFmtId="0" fontId="5" fillId="24" borderId="29" xfId="0" applyFont="1" applyFill="1" applyBorder="1"/>
    <xf numFmtId="10" fontId="13" fillId="24" borderId="30" xfId="0" applyNumberFormat="1" applyFont="1" applyFill="1" applyBorder="1" applyAlignment="1">
      <alignment horizontal="center" vertical="center"/>
    </xf>
    <xf numFmtId="0" fontId="20" fillId="24" borderId="28" xfId="0" applyFont="1" applyFill="1" applyBorder="1"/>
    <xf numFmtId="10" fontId="3" fillId="24" borderId="20" xfId="2" applyNumberFormat="1" applyFont="1" applyFill="1" applyBorder="1" applyAlignment="1" applyProtection="1">
      <alignment horizontal="center" vertical="center"/>
      <protection locked="0"/>
    </xf>
    <xf numFmtId="10" fontId="3" fillId="24" borderId="24" xfId="2" applyNumberFormat="1" applyFont="1" applyFill="1" applyBorder="1" applyAlignment="1" applyProtection="1">
      <alignment horizontal="center" vertical="center"/>
      <protection locked="0"/>
    </xf>
    <xf numFmtId="167" fontId="3" fillId="24" borderId="20" xfId="2" applyNumberFormat="1" applyFont="1" applyFill="1" applyBorder="1" applyAlignment="1" applyProtection="1">
      <alignment horizontal="center" vertical="center"/>
      <protection locked="0"/>
    </xf>
    <xf numFmtId="165" fontId="3" fillId="24" borderId="17" xfId="2" applyNumberFormat="1" applyFont="1" applyFill="1" applyBorder="1" applyAlignment="1" applyProtection="1">
      <alignment horizontal="center" vertical="center"/>
      <protection locked="0"/>
    </xf>
    <xf numFmtId="165" fontId="3" fillId="24" borderId="12" xfId="2" applyNumberFormat="1" applyFont="1" applyFill="1" applyBorder="1" applyAlignment="1" applyProtection="1">
      <alignment horizontal="center" vertical="center"/>
      <protection locked="0"/>
    </xf>
    <xf numFmtId="10" fontId="3" fillId="24" borderId="17" xfId="0" applyNumberFormat="1" applyFont="1" applyFill="1" applyBorder="1" applyAlignment="1" applyProtection="1">
      <alignment horizontal="center" vertical="center"/>
      <protection locked="0"/>
    </xf>
    <xf numFmtId="168" fontId="3" fillId="24" borderId="12" xfId="0" applyNumberFormat="1" applyFont="1" applyFill="1" applyBorder="1" applyAlignment="1" applyProtection="1">
      <alignment horizontal="center" vertical="center"/>
      <protection locked="0"/>
    </xf>
    <xf numFmtId="0" fontId="0" fillId="4" borderId="75" xfId="0" applyFill="1" applyBorder="1"/>
    <xf numFmtId="4" fontId="0" fillId="0" borderId="0" xfId="2" applyNumberFormat="1" applyFont="1"/>
    <xf numFmtId="0" fontId="18" fillId="17" borderId="35" xfId="0" applyFont="1" applyFill="1" applyBorder="1" applyAlignment="1">
      <alignment horizontal="center" wrapText="1"/>
    </xf>
    <xf numFmtId="0" fontId="18" fillId="17" borderId="82" xfId="0" applyFont="1" applyFill="1" applyBorder="1" applyAlignment="1">
      <alignment vertical="center"/>
    </xf>
    <xf numFmtId="0" fontId="3" fillId="24" borderId="35" xfId="0" applyFont="1" applyFill="1" applyBorder="1" applyAlignment="1" applyProtection="1">
      <alignment horizontal="center"/>
      <protection locked="0"/>
    </xf>
    <xf numFmtId="0" fontId="0" fillId="3" borderId="50" xfId="0" applyFill="1" applyBorder="1"/>
    <xf numFmtId="0" fontId="0" fillId="3" borderId="51" xfId="0" applyFill="1" applyBorder="1"/>
    <xf numFmtId="0" fontId="0" fillId="3" borderId="52" xfId="0" applyFill="1" applyBorder="1"/>
    <xf numFmtId="0" fontId="0" fillId="3" borderId="53" xfId="0" applyFill="1" applyBorder="1"/>
    <xf numFmtId="0" fontId="7" fillId="3" borderId="0" xfId="0" applyFont="1" applyFill="1"/>
    <xf numFmtId="0" fontId="0" fillId="3" borderId="54" xfId="0" applyFill="1" applyBorder="1"/>
    <xf numFmtId="0" fontId="0" fillId="3" borderId="0" xfId="0" applyFill="1" applyAlignment="1">
      <alignment horizontal="center"/>
    </xf>
    <xf numFmtId="0" fontId="0" fillId="3" borderId="55" xfId="0" applyFill="1" applyBorder="1"/>
    <xf numFmtId="0" fontId="0" fillId="3" borderId="56" xfId="0" applyFill="1" applyBorder="1"/>
    <xf numFmtId="0" fontId="0" fillId="3" borderId="57" xfId="0" applyFill="1" applyBorder="1"/>
    <xf numFmtId="0" fontId="4" fillId="3" borderId="51" xfId="0" applyFont="1" applyFill="1" applyBorder="1"/>
    <xf numFmtId="0" fontId="27" fillId="3" borderId="53" xfId="0" applyFont="1" applyFill="1" applyBorder="1"/>
    <xf numFmtId="0" fontId="27" fillId="3" borderId="0" xfId="0" applyFont="1" applyFill="1"/>
    <xf numFmtId="0" fontId="27" fillId="3" borderId="54" xfId="0" applyFont="1" applyFill="1" applyBorder="1"/>
    <xf numFmtId="0" fontId="0" fillId="4" borderId="35" xfId="0" applyFill="1" applyBorder="1" applyAlignment="1">
      <alignment horizontal="center" vertical="center" wrapText="1"/>
    </xf>
    <xf numFmtId="0" fontId="0" fillId="16" borderId="35" xfId="0" applyFill="1" applyBorder="1" applyAlignment="1">
      <alignment horizontal="center" vertical="center"/>
    </xf>
    <xf numFmtId="0" fontId="0" fillId="16" borderId="35" xfId="0" applyFill="1" applyBorder="1" applyAlignment="1">
      <alignment horizontal="center" vertical="center" wrapText="1"/>
    </xf>
    <xf numFmtId="0" fontId="27" fillId="3" borderId="0" xfId="0" applyFont="1" applyFill="1" applyAlignment="1">
      <alignment horizontal="center"/>
    </xf>
    <xf numFmtId="0" fontId="0" fillId="3" borderId="0" xfId="0" applyFill="1" applyAlignment="1">
      <alignment horizontal="right"/>
    </xf>
    <xf numFmtId="0" fontId="0" fillId="3" borderId="0" xfId="0" applyFill="1" applyAlignment="1">
      <alignment horizontal="left"/>
    </xf>
    <xf numFmtId="0" fontId="0" fillId="16" borderId="78" xfId="0" applyFill="1" applyBorder="1" applyAlignment="1">
      <alignment vertical="center"/>
    </xf>
    <xf numFmtId="0" fontId="0" fillId="16" borderId="82" xfId="0" applyFill="1" applyBorder="1" applyAlignment="1">
      <alignment vertical="center"/>
    </xf>
    <xf numFmtId="0" fontId="0" fillId="16" borderId="75" xfId="0" applyFill="1" applyBorder="1" applyAlignment="1">
      <alignment vertical="center"/>
    </xf>
    <xf numFmtId="170" fontId="60" fillId="3" borderId="0" xfId="0" applyNumberFormat="1" applyFont="1" applyFill="1"/>
    <xf numFmtId="170" fontId="60" fillId="20" borderId="35" xfId="1" applyNumberFormat="1" applyFont="1" applyFill="1" applyBorder="1"/>
    <xf numFmtId="0" fontId="12" fillId="4" borderId="78" xfId="0" applyFont="1" applyFill="1" applyBorder="1" applyAlignment="1">
      <alignment horizontal="left"/>
    </xf>
    <xf numFmtId="0" fontId="12" fillId="4" borderId="82" xfId="0" applyFont="1" applyFill="1" applyBorder="1" applyAlignment="1">
      <alignment horizontal="left"/>
    </xf>
    <xf numFmtId="9" fontId="3" fillId="3" borderId="0" xfId="2" applyFont="1" applyFill="1" applyBorder="1" applyAlignment="1" applyProtection="1">
      <alignment horizontal="center"/>
    </xf>
    <xf numFmtId="168" fontId="3" fillId="3" borderId="0" xfId="0" applyNumberFormat="1" applyFont="1" applyFill="1" applyAlignment="1">
      <alignment horizontal="center"/>
    </xf>
    <xf numFmtId="0" fontId="12" fillId="4" borderId="84" xfId="0" applyFont="1" applyFill="1" applyBorder="1" applyAlignment="1">
      <alignment horizontal="left"/>
    </xf>
    <xf numFmtId="0" fontId="12" fillId="4" borderId="88" xfId="0" applyFont="1" applyFill="1" applyBorder="1" applyAlignment="1">
      <alignment horizontal="left"/>
    </xf>
    <xf numFmtId="0" fontId="12" fillId="4" borderId="86" xfId="0" applyFont="1" applyFill="1" applyBorder="1" applyAlignment="1">
      <alignment horizontal="left"/>
    </xf>
    <xf numFmtId="0" fontId="12" fillId="4" borderId="85" xfId="0" applyFont="1" applyFill="1" applyBorder="1" applyAlignment="1">
      <alignment horizontal="left"/>
    </xf>
    <xf numFmtId="0" fontId="12" fillId="4" borderId="89" xfId="0" applyFont="1" applyFill="1" applyBorder="1" applyAlignment="1">
      <alignment horizontal="left"/>
    </xf>
    <xf numFmtId="0" fontId="12" fillId="4" borderId="87" xfId="0" applyFont="1" applyFill="1" applyBorder="1" applyAlignment="1">
      <alignment horizontal="left"/>
    </xf>
    <xf numFmtId="10" fontId="60" fillId="3" borderId="35" xfId="0" applyNumberFormat="1" applyFont="1" applyFill="1" applyBorder="1" applyAlignment="1">
      <alignment horizontal="center"/>
    </xf>
    <xf numFmtId="180" fontId="62" fillId="0" borderId="0" xfId="0" applyNumberFormat="1" applyFont="1"/>
    <xf numFmtId="180" fontId="61" fillId="0" borderId="0" xfId="0" applyNumberFormat="1" applyFont="1"/>
    <xf numFmtId="181" fontId="62" fillId="0" borderId="0" xfId="0" applyNumberFormat="1" applyFont="1"/>
    <xf numFmtId="180" fontId="62" fillId="9" borderId="29" xfId="0" applyNumberFormat="1" applyFont="1" applyFill="1" applyBorder="1"/>
    <xf numFmtId="180" fontId="62" fillId="0" borderId="29" xfId="0" applyNumberFormat="1" applyFont="1" applyBorder="1"/>
    <xf numFmtId="180" fontId="62" fillId="18" borderId="29" xfId="0" applyNumberFormat="1" applyFont="1" applyFill="1" applyBorder="1"/>
    <xf numFmtId="0" fontId="62" fillId="0" borderId="0" xfId="0" applyFont="1"/>
    <xf numFmtId="180" fontId="61" fillId="18" borderId="29" xfId="0" applyNumberFormat="1" applyFont="1" applyFill="1" applyBorder="1"/>
    <xf numFmtId="0" fontId="64" fillId="17" borderId="78" xfId="0" applyFont="1" applyFill="1" applyBorder="1"/>
    <xf numFmtId="0" fontId="23" fillId="17" borderId="82" xfId="0" applyFont="1" applyFill="1" applyBorder="1"/>
    <xf numFmtId="0" fontId="0" fillId="17" borderId="75" xfId="0" applyFill="1" applyBorder="1"/>
    <xf numFmtId="0" fontId="18" fillId="3" borderId="0" xfId="0" applyFont="1" applyFill="1" applyAlignment="1">
      <alignment horizontal="left" indent="1"/>
    </xf>
    <xf numFmtId="0" fontId="18" fillId="3" borderId="0" xfId="0" applyFont="1" applyFill="1" applyAlignment="1">
      <alignment horizontal="left"/>
    </xf>
    <xf numFmtId="0" fontId="29" fillId="3" borderId="0" xfId="0" applyFont="1" applyFill="1"/>
    <xf numFmtId="0" fontId="18" fillId="3" borderId="0" xfId="0" applyFont="1" applyFill="1"/>
    <xf numFmtId="0" fontId="18" fillId="3" borderId="90" xfId="0" applyFont="1" applyFill="1" applyBorder="1" applyAlignment="1">
      <alignment vertical="center"/>
    </xf>
    <xf numFmtId="10" fontId="65" fillId="18" borderId="29" xfId="9" applyNumberFormat="1" applyFont="1" applyFill="1" applyBorder="1" applyAlignment="1" applyProtection="1">
      <alignment horizontal="center"/>
    </xf>
    <xf numFmtId="10" fontId="18" fillId="0" borderId="0" xfId="0" applyNumberFormat="1" applyFont="1"/>
    <xf numFmtId="3" fontId="3" fillId="24" borderId="35" xfId="0" applyNumberFormat="1" applyFont="1" applyFill="1" applyBorder="1" applyAlignment="1" applyProtection="1">
      <alignment horizontal="center"/>
      <protection locked="0"/>
    </xf>
    <xf numFmtId="3" fontId="3" fillId="24" borderId="78" xfId="0" applyNumberFormat="1" applyFont="1" applyFill="1" applyBorder="1" applyAlignment="1" applyProtection="1">
      <alignment horizontal="center"/>
      <protection locked="0"/>
    </xf>
    <xf numFmtId="175" fontId="3" fillId="24" borderId="78" xfId="0" applyNumberFormat="1" applyFont="1" applyFill="1" applyBorder="1" applyAlignment="1" applyProtection="1">
      <alignment horizontal="center"/>
      <protection locked="0"/>
    </xf>
    <xf numFmtId="10" fontId="3" fillId="24" borderId="81" xfId="0" applyNumberFormat="1" applyFont="1" applyFill="1" applyBorder="1" applyProtection="1">
      <protection locked="0"/>
    </xf>
    <xf numFmtId="10" fontId="3" fillId="24" borderId="82" xfId="0" applyNumberFormat="1" applyFont="1" applyFill="1" applyBorder="1" applyProtection="1">
      <protection locked="0"/>
    </xf>
    <xf numFmtId="10" fontId="3" fillId="24" borderId="83" xfId="0" applyNumberFormat="1" applyFont="1" applyFill="1" applyBorder="1" applyProtection="1">
      <protection locked="0"/>
    </xf>
    <xf numFmtId="4" fontId="60" fillId="0" borderId="0" xfId="0" applyNumberFormat="1" applyFont="1"/>
    <xf numFmtId="0" fontId="60" fillId="0" borderId="0" xfId="0" applyFont="1"/>
    <xf numFmtId="43" fontId="60" fillId="0" borderId="0" xfId="0" applyNumberFormat="1" applyFont="1"/>
    <xf numFmtId="4" fontId="60" fillId="3" borderId="0" xfId="0" applyNumberFormat="1" applyFont="1" applyFill="1"/>
    <xf numFmtId="4" fontId="66" fillId="0" borderId="11" xfId="0" applyNumberFormat="1" applyFont="1" applyBorder="1"/>
    <xf numFmtId="4" fontId="66" fillId="0" borderId="0" xfId="0" applyNumberFormat="1" applyFont="1"/>
    <xf numFmtId="0" fontId="66" fillId="0" borderId="0" xfId="0" applyFont="1"/>
    <xf numFmtId="4" fontId="67" fillId="3" borderId="0" xfId="0" applyNumberFormat="1" applyFont="1" applyFill="1"/>
    <xf numFmtId="10" fontId="68" fillId="3" borderId="0" xfId="2" applyNumberFormat="1" applyFont="1" applyFill="1"/>
    <xf numFmtId="43" fontId="60" fillId="3" borderId="0" xfId="0" applyNumberFormat="1" applyFont="1" applyFill="1"/>
    <xf numFmtId="4" fontId="13" fillId="4" borderId="29" xfId="0" applyNumberFormat="1" applyFont="1" applyFill="1" applyBorder="1"/>
    <xf numFmtId="43" fontId="60" fillId="9" borderId="48" xfId="0" applyNumberFormat="1" applyFont="1" applyFill="1" applyBorder="1"/>
    <xf numFmtId="43" fontId="13" fillId="21" borderId="43" xfId="0" applyNumberFormat="1" applyFont="1" applyFill="1" applyBorder="1"/>
    <xf numFmtId="43" fontId="13" fillId="2" borderId="29" xfId="0" applyNumberFormat="1" applyFont="1" applyFill="1" applyBorder="1"/>
    <xf numFmtId="43" fontId="13" fillId="9" borderId="48" xfId="0" applyNumberFormat="1" applyFont="1" applyFill="1" applyBorder="1"/>
    <xf numFmtId="43" fontId="13" fillId="0" borderId="0" xfId="0" applyNumberFormat="1" applyFont="1"/>
    <xf numFmtId="4" fontId="60" fillId="21" borderId="29" xfId="0" applyNumberFormat="1" applyFont="1" applyFill="1" applyBorder="1"/>
    <xf numFmtId="168" fontId="13" fillId="2" borderId="43" xfId="0" applyNumberFormat="1" applyFont="1" applyFill="1" applyBorder="1" applyAlignment="1">
      <alignment horizontal="center"/>
    </xf>
    <xf numFmtId="168" fontId="68" fillId="0" borderId="29" xfId="2" applyNumberFormat="1" applyFont="1" applyBorder="1" applyAlignment="1">
      <alignment horizontal="center"/>
    </xf>
    <xf numFmtId="3" fontId="62" fillId="0" borderId="0" xfId="0" applyNumberFormat="1" applyFont="1" applyAlignment="1">
      <alignment horizontal="center"/>
    </xf>
    <xf numFmtId="3" fontId="62" fillId="0" borderId="29" xfId="0" applyNumberFormat="1" applyFont="1" applyBorder="1" applyAlignment="1">
      <alignment horizontal="center"/>
    </xf>
    <xf numFmtId="172" fontId="62" fillId="0" borderId="19" xfId="0" applyNumberFormat="1" applyFont="1" applyBorder="1" applyAlignment="1">
      <alignment horizontal="center"/>
    </xf>
    <xf numFmtId="4" fontId="62" fillId="0" borderId="0" xfId="0" applyNumberFormat="1" applyFont="1" applyAlignment="1">
      <alignment horizontal="center"/>
    </xf>
    <xf numFmtId="172" fontId="62" fillId="0" borderId="0" xfId="0" applyNumberFormat="1" applyFont="1" applyAlignment="1">
      <alignment horizontal="center"/>
    </xf>
    <xf numFmtId="4" fontId="61" fillId="9" borderId="49" xfId="0" applyNumberFormat="1" applyFont="1" applyFill="1" applyBorder="1" applyAlignment="1">
      <alignment vertical="center"/>
    </xf>
    <xf numFmtId="4" fontId="62" fillId="0" borderId="29" xfId="7" applyNumberFormat="1" applyFont="1" applyBorder="1" applyAlignment="1">
      <alignment vertical="center"/>
    </xf>
    <xf numFmtId="4" fontId="61" fillId="18" borderId="49" xfId="0" applyNumberFormat="1" applyFont="1" applyFill="1" applyBorder="1" applyAlignment="1">
      <alignment vertical="center"/>
    </xf>
    <xf numFmtId="4" fontId="62" fillId="0" borderId="0" xfId="0" applyNumberFormat="1" applyFont="1"/>
    <xf numFmtId="174" fontId="33" fillId="15" borderId="19" xfId="5" applyNumberFormat="1" applyFont="1" applyFill="1" applyBorder="1" applyAlignment="1" applyProtection="1">
      <alignment horizontal="center" vertical="center"/>
      <protection locked="0"/>
    </xf>
    <xf numFmtId="4" fontId="62" fillId="4" borderId="29" xfId="0" applyNumberFormat="1" applyFont="1" applyFill="1" applyBorder="1" applyAlignment="1">
      <alignment vertical="center"/>
    </xf>
    <xf numFmtId="4" fontId="62" fillId="0" borderId="11" xfId="0" applyNumberFormat="1" applyFont="1" applyBorder="1" applyAlignment="1" applyProtection="1">
      <alignment horizontal="left" indent="1"/>
      <protection locked="0"/>
    </xf>
    <xf numFmtId="0" fontId="61" fillId="0" borderId="29" xfId="0" applyFont="1" applyBorder="1" applyAlignment="1" applyProtection="1">
      <alignment horizontal="left" indent="1"/>
      <protection locked="0"/>
    </xf>
    <xf numFmtId="43" fontId="62" fillId="0" borderId="11" xfId="0" applyNumberFormat="1" applyFont="1" applyBorder="1" applyAlignment="1" applyProtection="1">
      <alignment horizontal="left" indent="1"/>
      <protection locked="0"/>
    </xf>
    <xf numFmtId="43" fontId="62" fillId="0" borderId="0" xfId="0" applyNumberFormat="1" applyFont="1" applyAlignment="1" applyProtection="1">
      <alignment horizontal="left" indent="1"/>
      <protection locked="0"/>
    </xf>
    <xf numFmtId="4" fontId="62" fillId="0" borderId="16" xfId="0" applyNumberFormat="1" applyFont="1" applyBorder="1" applyAlignment="1" applyProtection="1">
      <alignment horizontal="right" indent="1"/>
      <protection locked="0"/>
    </xf>
    <xf numFmtId="0" fontId="42" fillId="4" borderId="93" xfId="0" applyFont="1" applyFill="1" applyBorder="1" applyAlignment="1">
      <alignment horizontal="left" vertical="center"/>
    </xf>
    <xf numFmtId="0" fontId="42" fillId="4" borderId="61" xfId="0" applyFont="1" applyFill="1" applyBorder="1" applyAlignment="1">
      <alignment horizontal="center" vertical="center"/>
    </xf>
    <xf numFmtId="0" fontId="42" fillId="4" borderId="94" xfId="0" applyFont="1" applyFill="1" applyBorder="1" applyAlignment="1">
      <alignment horizontal="left" vertical="center"/>
    </xf>
    <xf numFmtId="0" fontId="42" fillId="4" borderId="95" xfId="0" applyFont="1" applyFill="1" applyBorder="1" applyAlignment="1">
      <alignment horizontal="center" vertical="center"/>
    </xf>
    <xf numFmtId="4" fontId="62" fillId="18" borderId="49" xfId="0" applyNumberFormat="1" applyFont="1" applyFill="1" applyBorder="1" applyAlignment="1">
      <alignment vertical="center"/>
    </xf>
    <xf numFmtId="10" fontId="65" fillId="4" borderId="0" xfId="9" applyNumberFormat="1" applyFont="1" applyFill="1" applyBorder="1" applyAlignment="1" applyProtection="1">
      <alignment horizontal="center"/>
    </xf>
    <xf numFmtId="0" fontId="67" fillId="19" borderId="61" xfId="0" applyFont="1" applyFill="1" applyBorder="1" applyAlignment="1">
      <alignment horizontal="center" vertical="center"/>
    </xf>
    <xf numFmtId="0" fontId="67" fillId="0" borderId="61" xfId="0" applyFont="1" applyBorder="1" applyAlignment="1">
      <alignment horizontal="center" vertical="center"/>
    </xf>
    <xf numFmtId="0" fontId="29" fillId="18" borderId="49" xfId="0" applyFont="1" applyFill="1" applyBorder="1" applyAlignment="1">
      <alignment vertical="center"/>
    </xf>
    <xf numFmtId="3" fontId="66" fillId="0" borderId="0" xfId="0" applyNumberFormat="1" applyFont="1"/>
    <xf numFmtId="3" fontId="67" fillId="0" borderId="11" xfId="0" applyNumberFormat="1" applyFont="1" applyBorder="1"/>
    <xf numFmtId="168" fontId="66" fillId="2" borderId="26" xfId="2" applyNumberFormat="1" applyFont="1" applyFill="1" applyBorder="1"/>
    <xf numFmtId="168" fontId="39" fillId="6" borderId="35" xfId="0" applyNumberFormat="1" applyFont="1" applyFill="1" applyBorder="1" applyAlignment="1" applyProtection="1">
      <alignment horizontal="center"/>
      <protection locked="0"/>
    </xf>
    <xf numFmtId="168" fontId="39" fillId="6" borderId="60" xfId="0" applyNumberFormat="1" applyFont="1" applyFill="1" applyBorder="1" applyAlignment="1" applyProtection="1">
      <alignment horizontal="center"/>
      <protection locked="0"/>
    </xf>
    <xf numFmtId="168" fontId="39" fillId="6" borderId="59" xfId="0" applyNumberFormat="1" applyFont="1" applyFill="1" applyBorder="1" applyAlignment="1" applyProtection="1">
      <alignment horizontal="center"/>
      <protection locked="0"/>
    </xf>
    <xf numFmtId="4" fontId="3" fillId="11" borderId="71" xfId="0" applyNumberFormat="1" applyFont="1" applyFill="1" applyBorder="1" applyAlignment="1" applyProtection="1">
      <alignment horizontal="center"/>
      <protection locked="0"/>
    </xf>
    <xf numFmtId="43" fontId="67" fillId="0" borderId="23" xfId="0" applyNumberFormat="1" applyFont="1" applyBorder="1"/>
    <xf numFmtId="43" fontId="67" fillId="0" borderId="0" xfId="0" applyNumberFormat="1" applyFont="1"/>
    <xf numFmtId="43" fontId="66" fillId="0" borderId="0" xfId="0" applyNumberFormat="1" applyFont="1"/>
    <xf numFmtId="169" fontId="67" fillId="0" borderId="44" xfId="0" applyNumberFormat="1" applyFont="1" applyBorder="1" applyAlignment="1">
      <alignment horizontal="center" vertical="center"/>
    </xf>
    <xf numFmtId="43" fontId="67" fillId="0" borderId="44" xfId="0" applyNumberFormat="1" applyFont="1" applyBorder="1"/>
    <xf numFmtId="0" fontId="66" fillId="0" borderId="16" xfId="0" applyFont="1" applyBorder="1"/>
    <xf numFmtId="4" fontId="67" fillId="4" borderId="43" xfId="0" applyNumberFormat="1" applyFont="1" applyFill="1" applyBorder="1" applyAlignment="1">
      <alignment horizontal="center"/>
    </xf>
    <xf numFmtId="4" fontId="66" fillId="13" borderId="47" xfId="0" applyNumberFormat="1" applyFont="1" applyFill="1" applyBorder="1" applyAlignment="1">
      <alignment horizontal="center"/>
    </xf>
    <xf numFmtId="4" fontId="66" fillId="13" borderId="48" xfId="6" applyNumberFormat="1" applyFont="1" applyFill="1" applyBorder="1" applyAlignment="1">
      <alignment horizontal="center"/>
    </xf>
    <xf numFmtId="4" fontId="67" fillId="15" borderId="43" xfId="0" applyNumberFormat="1" applyFont="1" applyFill="1" applyBorder="1" applyAlignment="1">
      <alignment horizontal="center"/>
    </xf>
    <xf numFmtId="4" fontId="66" fillId="13" borderId="48" xfId="0" applyNumberFormat="1" applyFont="1" applyFill="1" applyBorder="1" applyAlignment="1">
      <alignment horizontal="center"/>
    </xf>
    <xf numFmtId="4" fontId="67" fillId="15" borderId="30" xfId="0" applyNumberFormat="1" applyFont="1" applyFill="1" applyBorder="1" applyAlignment="1">
      <alignment horizontal="center"/>
    </xf>
    <xf numFmtId="4" fontId="66" fillId="13" borderId="0" xfId="0" applyNumberFormat="1" applyFont="1" applyFill="1" applyAlignment="1">
      <alignment horizontal="center"/>
    </xf>
    <xf numFmtId="4" fontId="61" fillId="18" borderId="29" xfId="0" applyNumberFormat="1" applyFont="1" applyFill="1" applyBorder="1" applyAlignment="1">
      <alignment horizontal="center"/>
    </xf>
    <xf numFmtId="4" fontId="67" fillId="18" borderId="29" xfId="0" applyNumberFormat="1" applyFont="1" applyFill="1" applyBorder="1" applyAlignment="1">
      <alignment horizontal="center"/>
    </xf>
    <xf numFmtId="0" fontId="14" fillId="18" borderId="29" xfId="0" applyFont="1" applyFill="1" applyBorder="1"/>
    <xf numFmtId="0" fontId="19" fillId="18" borderId="29" xfId="0" applyFont="1" applyFill="1" applyBorder="1"/>
    <xf numFmtId="0" fontId="19" fillId="18" borderId="30" xfId="0" applyFont="1" applyFill="1" applyBorder="1"/>
    <xf numFmtId="0" fontId="0" fillId="2" borderId="50" xfId="0" applyFill="1" applyBorder="1"/>
    <xf numFmtId="0" fontId="0" fillId="2" borderId="51" xfId="0" applyFill="1" applyBorder="1"/>
    <xf numFmtId="0" fontId="0" fillId="2" borderId="52" xfId="0" applyFill="1" applyBorder="1"/>
    <xf numFmtId="0" fontId="0" fillId="2" borderId="53" xfId="0" applyFill="1" applyBorder="1"/>
    <xf numFmtId="0" fontId="4" fillId="2" borderId="0" xfId="0" applyFont="1" applyFill="1"/>
    <xf numFmtId="0" fontId="0" fillId="2" borderId="0" xfId="0" applyFill="1"/>
    <xf numFmtId="0" fontId="0" fillId="2" borderId="54" xfId="0" applyFill="1" applyBorder="1"/>
    <xf numFmtId="177" fontId="0" fillId="2" borderId="0" xfId="0" applyNumberFormat="1" applyFill="1" applyAlignment="1">
      <alignment horizontal="center"/>
    </xf>
    <xf numFmtId="4" fontId="0" fillId="2" borderId="0" xfId="0" applyNumberFormat="1" applyFill="1" applyAlignment="1">
      <alignment horizontal="center"/>
    </xf>
    <xf numFmtId="0" fontId="0" fillId="2" borderId="55" xfId="0" applyFill="1" applyBorder="1"/>
    <xf numFmtId="0" fontId="0" fillId="2" borderId="56" xfId="0" applyFill="1" applyBorder="1"/>
    <xf numFmtId="0" fontId="0" fillId="2" borderId="57" xfId="0" applyFill="1" applyBorder="1"/>
    <xf numFmtId="0" fontId="21" fillId="8" borderId="0" xfId="0" applyFont="1" applyFill="1"/>
    <xf numFmtId="10" fontId="0" fillId="2" borderId="0" xfId="0" applyNumberFormat="1" applyFill="1"/>
    <xf numFmtId="4" fontId="4" fillId="2" borderId="0" xfId="0" applyNumberFormat="1" applyFont="1" applyFill="1"/>
    <xf numFmtId="10" fontId="4" fillId="2" borderId="0" xfId="0" applyNumberFormat="1" applyFont="1" applyFill="1"/>
    <xf numFmtId="0" fontId="4" fillId="4" borderId="28" xfId="0" applyFont="1" applyFill="1" applyBorder="1" applyAlignment="1">
      <alignment horizontal="center" vertical="center"/>
    </xf>
    <xf numFmtId="43" fontId="13" fillId="21" borderId="29" xfId="0" applyNumberFormat="1" applyFont="1" applyFill="1" applyBorder="1"/>
    <xf numFmtId="43" fontId="60" fillId="0" borderId="23" xfId="0" applyNumberFormat="1" applyFont="1" applyBorder="1"/>
    <xf numFmtId="43" fontId="60" fillId="0" borderId="42" xfId="0" applyNumberFormat="1" applyFont="1" applyBorder="1"/>
    <xf numFmtId="4" fontId="60" fillId="3" borderId="41" xfId="0" applyNumberFormat="1" applyFont="1" applyFill="1" applyBorder="1" applyAlignment="1">
      <alignment horizontal="center"/>
    </xf>
    <xf numFmtId="4" fontId="60" fillId="3" borderId="0" xfId="0" applyNumberFormat="1" applyFont="1" applyFill="1" applyAlignment="1">
      <alignment horizontal="center"/>
    </xf>
    <xf numFmtId="43" fontId="13" fillId="15" borderId="26" xfId="0" applyNumberFormat="1" applyFont="1" applyFill="1" applyBorder="1"/>
    <xf numFmtId="174" fontId="51" fillId="0" borderId="0" xfId="5" applyNumberFormat="1" applyFont="1" applyFill="1" applyBorder="1"/>
    <xf numFmtId="43" fontId="13" fillId="2" borderId="29" xfId="0" applyNumberFormat="1" applyFont="1" applyFill="1" applyBorder="1" applyAlignment="1">
      <alignment horizontal="center"/>
    </xf>
    <xf numFmtId="0" fontId="5" fillId="24" borderId="40" xfId="0" applyFont="1" applyFill="1" applyBorder="1" applyAlignment="1" applyProtection="1">
      <alignment horizontal="center"/>
      <protection locked="0"/>
    </xf>
    <xf numFmtId="0" fontId="5" fillId="24" borderId="41" xfId="0" applyFont="1" applyFill="1" applyBorder="1" applyAlignment="1" applyProtection="1">
      <alignment horizontal="center"/>
      <protection locked="0"/>
    </xf>
    <xf numFmtId="0" fontId="69" fillId="24" borderId="39" xfId="0" applyFont="1" applyFill="1" applyBorder="1" applyAlignment="1" applyProtection="1">
      <alignment horizontal="center"/>
      <protection locked="0"/>
    </xf>
    <xf numFmtId="0" fontId="3" fillId="24" borderId="39" xfId="0" applyFont="1" applyFill="1" applyBorder="1" applyAlignment="1" applyProtection="1">
      <alignment horizontal="center"/>
      <protection locked="0"/>
    </xf>
    <xf numFmtId="0" fontId="6" fillId="9" borderId="50" xfId="0" applyFont="1" applyFill="1" applyBorder="1"/>
    <xf numFmtId="0" fontId="0" fillId="9" borderId="51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54" xfId="0" applyFill="1" applyBorder="1"/>
    <xf numFmtId="44" fontId="0" fillId="9" borderId="0" xfId="4" applyFont="1" applyFill="1" applyBorder="1"/>
    <xf numFmtId="0" fontId="27" fillId="9" borderId="0" xfId="0" applyFont="1" applyFill="1"/>
    <xf numFmtId="10" fontId="0" fillId="9" borderId="0" xfId="0" applyNumberFormat="1" applyFill="1"/>
    <xf numFmtId="4" fontId="0" fillId="9" borderId="0" xfId="0" applyNumberFormat="1" applyFill="1"/>
    <xf numFmtId="3" fontId="0" fillId="9" borderId="0" xfId="0" applyNumberFormat="1" applyFill="1"/>
    <xf numFmtId="177" fontId="0" fillId="9" borderId="0" xfId="0" applyNumberFormat="1" applyFill="1" applyAlignment="1">
      <alignment horizontal="center"/>
    </xf>
    <xf numFmtId="44" fontId="0" fillId="9" borderId="0" xfId="0" applyNumberFormat="1" applyFill="1"/>
    <xf numFmtId="4" fontId="0" fillId="9" borderId="0" xfId="0" applyNumberFormat="1" applyFill="1" applyAlignment="1">
      <alignment horizontal="center"/>
    </xf>
    <xf numFmtId="10" fontId="0" fillId="9" borderId="0" xfId="2" applyNumberFormat="1" applyFont="1" applyFill="1" applyBorder="1"/>
    <xf numFmtId="0" fontId="0" fillId="9" borderId="55" xfId="0" applyFill="1" applyBorder="1"/>
    <xf numFmtId="0" fontId="0" fillId="9" borderId="56" xfId="0" applyFill="1" applyBorder="1"/>
    <xf numFmtId="0" fontId="0" fillId="9" borderId="57" xfId="0" applyFill="1" applyBorder="1"/>
    <xf numFmtId="0" fontId="4" fillId="9" borderId="53" xfId="0" applyFont="1" applyFill="1" applyBorder="1" applyAlignment="1">
      <alignment horizontal="left"/>
    </xf>
    <xf numFmtId="0" fontId="0" fillId="9" borderId="0" xfId="0" applyFill="1" applyAlignment="1">
      <alignment horizontal="left"/>
    </xf>
    <xf numFmtId="0" fontId="0" fillId="9" borderId="53" xfId="0" applyFill="1" applyBorder="1" applyAlignment="1">
      <alignment horizontal="left"/>
    </xf>
    <xf numFmtId="10" fontId="0" fillId="0" borderId="26" xfId="0" applyNumberFormat="1" applyBorder="1"/>
    <xf numFmtId="10" fontId="60" fillId="0" borderId="11" xfId="0" applyNumberFormat="1" applyFont="1" applyBorder="1"/>
    <xf numFmtId="10" fontId="60" fillId="0" borderId="26" xfId="0" applyNumberFormat="1" applyFont="1" applyBorder="1"/>
    <xf numFmtId="43" fontId="13" fillId="17" borderId="29" xfId="0" applyNumberFormat="1" applyFont="1" applyFill="1" applyBorder="1"/>
    <xf numFmtId="0" fontId="5" fillId="0" borderId="29" xfId="0" applyFont="1" applyBorder="1"/>
    <xf numFmtId="0" fontId="5" fillId="0" borderId="0" xfId="0" applyFont="1"/>
    <xf numFmtId="0" fontId="0" fillId="17" borderId="0" xfId="0" applyFill="1"/>
    <xf numFmtId="0" fontId="27" fillId="17" borderId="0" xfId="0" applyFont="1" applyFill="1"/>
    <xf numFmtId="0" fontId="18" fillId="17" borderId="98" xfId="0" applyFont="1" applyFill="1" applyBorder="1" applyAlignment="1">
      <alignment vertical="center"/>
    </xf>
    <xf numFmtId="10" fontId="0" fillId="17" borderId="0" xfId="0" applyNumberFormat="1" applyFill="1"/>
    <xf numFmtId="0" fontId="18" fillId="17" borderId="0" xfId="0" applyFont="1" applyFill="1"/>
    <xf numFmtId="0" fontId="38" fillId="17" borderId="0" xfId="3" applyFont="1" applyFill="1"/>
    <xf numFmtId="0" fontId="29" fillId="0" borderId="29" xfId="0" applyFont="1" applyBorder="1" applyAlignment="1">
      <alignment horizontal="left" indent="1"/>
    </xf>
    <xf numFmtId="0" fontId="29" fillId="0" borderId="11" xfId="0" applyFont="1" applyBorder="1" applyAlignment="1">
      <alignment horizontal="left" indent="1"/>
    </xf>
    <xf numFmtId="4" fontId="62" fillId="0" borderId="11" xfId="0" applyNumberFormat="1" applyFont="1" applyBorder="1" applyAlignment="1">
      <alignment horizontal="left" indent="1"/>
    </xf>
    <xf numFmtId="0" fontId="41" fillId="0" borderId="29" xfId="0" applyFont="1" applyBorder="1" applyAlignment="1">
      <alignment horizontal="left" indent="1"/>
    </xf>
    <xf numFmtId="0" fontId="61" fillId="0" borderId="29" xfId="0" applyFont="1" applyBorder="1" applyAlignment="1">
      <alignment horizontal="left" indent="1"/>
    </xf>
    <xf numFmtId="43" fontId="62" fillId="0" borderId="11" xfId="0" applyNumberFormat="1" applyFont="1" applyBorder="1" applyAlignment="1">
      <alignment horizontal="left" indent="1"/>
    </xf>
    <xf numFmtId="0" fontId="29" fillId="0" borderId="0" xfId="0" applyFont="1" applyAlignment="1">
      <alignment horizontal="left" indent="1"/>
    </xf>
    <xf numFmtId="43" fontId="62" fillId="0" borderId="0" xfId="0" applyNumberFormat="1" applyFont="1" applyAlignment="1">
      <alignment horizontal="left" indent="1"/>
    </xf>
    <xf numFmtId="0" fontId="29" fillId="0" borderId="16" xfId="0" applyFont="1" applyBorder="1" applyAlignment="1">
      <alignment horizontal="left" indent="1"/>
    </xf>
    <xf numFmtId="4" fontId="62" fillId="0" borderId="16" xfId="0" applyNumberFormat="1" applyFont="1" applyBorder="1" applyAlignment="1">
      <alignment horizontal="right" indent="1"/>
    </xf>
    <xf numFmtId="0" fontId="61" fillId="18" borderId="49" xfId="0" applyFont="1" applyFill="1" applyBorder="1" applyAlignment="1">
      <alignment vertical="center"/>
    </xf>
    <xf numFmtId="0" fontId="32" fillId="27" borderId="49" xfId="0" applyFont="1" applyFill="1" applyBorder="1" applyAlignment="1">
      <alignment vertical="center"/>
    </xf>
    <xf numFmtId="0" fontId="34" fillId="27" borderId="49" xfId="0" applyFont="1" applyFill="1" applyBorder="1" applyAlignment="1">
      <alignment vertical="center"/>
    </xf>
    <xf numFmtId="4" fontId="62" fillId="27" borderId="49" xfId="0" applyNumberFormat="1" applyFont="1" applyFill="1" applyBorder="1" applyAlignment="1">
      <alignment vertical="center"/>
    </xf>
    <xf numFmtId="172" fontId="3" fillId="6" borderId="35" xfId="0" applyNumberFormat="1" applyFont="1" applyFill="1" applyBorder="1" applyAlignment="1" applyProtection="1">
      <alignment horizontal="center"/>
      <protection locked="0"/>
    </xf>
    <xf numFmtId="178" fontId="3" fillId="24" borderId="35" xfId="0" applyNumberFormat="1" applyFont="1" applyFill="1" applyBorder="1" applyAlignment="1" applyProtection="1">
      <alignment horizontal="center"/>
      <protection locked="0"/>
    </xf>
    <xf numFmtId="4" fontId="60" fillId="0" borderId="92" xfId="0" applyNumberFormat="1" applyFont="1" applyBorder="1" applyAlignment="1" applyProtection="1">
      <alignment horizontal="center"/>
      <protection locked="0"/>
    </xf>
    <xf numFmtId="4" fontId="3" fillId="6" borderId="35" xfId="0" applyNumberFormat="1" applyFont="1" applyFill="1" applyBorder="1" applyAlignment="1" applyProtection="1">
      <alignment horizontal="center"/>
      <protection locked="0"/>
    </xf>
    <xf numFmtId="44" fontId="3" fillId="6" borderId="35" xfId="4" applyFont="1" applyFill="1" applyBorder="1" applyAlignment="1" applyProtection="1">
      <alignment horizontal="center"/>
      <protection locked="0"/>
    </xf>
    <xf numFmtId="10" fontId="3" fillId="6" borderId="35" xfId="0" applyNumberFormat="1" applyFont="1" applyFill="1" applyBorder="1" applyAlignment="1" applyProtection="1">
      <alignment horizontal="center"/>
      <protection locked="0"/>
    </xf>
    <xf numFmtId="0" fontId="39" fillId="12" borderId="80" xfId="0" applyFont="1" applyFill="1" applyBorder="1" applyAlignment="1" applyProtection="1">
      <alignment horizontal="center" vertical="center"/>
      <protection locked="0"/>
    </xf>
    <xf numFmtId="0" fontId="39" fillId="12" borderId="35" xfId="0" applyFont="1" applyFill="1" applyBorder="1" applyAlignment="1" applyProtection="1">
      <alignment horizontal="center" vertical="center"/>
      <protection locked="0"/>
    </xf>
    <xf numFmtId="170" fontId="5" fillId="24" borderId="35" xfId="1" applyNumberFormat="1" applyFont="1" applyFill="1" applyBorder="1" applyProtection="1">
      <protection locked="0"/>
    </xf>
    <xf numFmtId="0" fontId="33" fillId="14" borderId="0" xfId="5" applyNumberFormat="1" applyFont="1" applyFill="1" applyBorder="1" applyAlignment="1">
      <alignment vertical="center"/>
    </xf>
    <xf numFmtId="173" fontId="33" fillId="14" borderId="0" xfId="5" applyNumberFormat="1" applyFont="1" applyFill="1" applyBorder="1" applyAlignment="1">
      <alignment horizontal="center" vertical="center"/>
    </xf>
    <xf numFmtId="0" fontId="14" fillId="28" borderId="29" xfId="0" applyFont="1" applyFill="1" applyBorder="1"/>
    <xf numFmtId="0" fontId="19" fillId="28" borderId="29" xfId="0" applyFont="1" applyFill="1" applyBorder="1"/>
    <xf numFmtId="0" fontId="14" fillId="29" borderId="29" xfId="0" applyFont="1" applyFill="1" applyBorder="1"/>
    <xf numFmtId="0" fontId="19" fillId="29" borderId="29" xfId="0" applyFont="1" applyFill="1" applyBorder="1"/>
    <xf numFmtId="173" fontId="33" fillId="14" borderId="46" xfId="5" applyNumberFormat="1" applyFont="1" applyFill="1" applyBorder="1" applyAlignment="1">
      <alignment horizontal="center" vertical="center"/>
    </xf>
    <xf numFmtId="0" fontId="19" fillId="13" borderId="48" xfId="0" applyFont="1" applyFill="1" applyBorder="1"/>
    <xf numFmtId="0" fontId="70" fillId="0" borderId="0" xfId="0" applyFont="1"/>
    <xf numFmtId="10" fontId="24" fillId="0" borderId="0" xfId="0" applyNumberFormat="1" applyFont="1"/>
    <xf numFmtId="0" fontId="74" fillId="0" borderId="0" xfId="0" applyFont="1"/>
    <xf numFmtId="0" fontId="75" fillId="5" borderId="0" xfId="0" applyFont="1" applyFill="1"/>
    <xf numFmtId="0" fontId="73" fillId="9" borderId="50" xfId="0" applyFont="1" applyFill="1" applyBorder="1"/>
    <xf numFmtId="0" fontId="14" fillId="9" borderId="51" xfId="0" applyFont="1" applyFill="1" applyBorder="1"/>
    <xf numFmtId="0" fontId="14" fillId="9" borderId="53" xfId="0" applyFont="1" applyFill="1" applyBorder="1"/>
    <xf numFmtId="0" fontId="71" fillId="9" borderId="0" xfId="0" applyFont="1" applyFill="1"/>
    <xf numFmtId="0" fontId="72" fillId="9" borderId="0" xfId="0" applyFont="1" applyFill="1"/>
    <xf numFmtId="0" fontId="64" fillId="9" borderId="55" xfId="0" applyFont="1" applyFill="1" applyBorder="1"/>
    <xf numFmtId="0" fontId="72" fillId="9" borderId="56" xfId="0" applyFont="1" applyFill="1" applyBorder="1"/>
    <xf numFmtId="0" fontId="19" fillId="9" borderId="51" xfId="0" applyFont="1" applyFill="1" applyBorder="1"/>
    <xf numFmtId="0" fontId="19" fillId="9" borderId="52" xfId="0" applyFont="1" applyFill="1" applyBorder="1"/>
    <xf numFmtId="184" fontId="71" fillId="9" borderId="56" xfId="2" applyNumberFormat="1" applyFont="1" applyFill="1" applyBorder="1"/>
    <xf numFmtId="0" fontId="19" fillId="9" borderId="56" xfId="0" applyFont="1" applyFill="1" applyBorder="1"/>
    <xf numFmtId="0" fontId="19" fillId="9" borderId="57" xfId="0" applyFont="1" applyFill="1" applyBorder="1"/>
    <xf numFmtId="0" fontId="19" fillId="9" borderId="0" xfId="0" applyFont="1" applyFill="1"/>
    <xf numFmtId="9" fontId="19" fillId="9" borderId="0" xfId="0" applyNumberFormat="1" applyFont="1" applyFill="1"/>
    <xf numFmtId="10" fontId="19" fillId="9" borderId="0" xfId="2" applyNumberFormat="1" applyFont="1" applyFill="1" applyBorder="1"/>
    <xf numFmtId="0" fontId="19" fillId="9" borderId="54" xfId="0" applyFont="1" applyFill="1" applyBorder="1"/>
    <xf numFmtId="10" fontId="24" fillId="9" borderId="0" xfId="0" applyNumberFormat="1" applyFont="1" applyFill="1"/>
    <xf numFmtId="4" fontId="24" fillId="9" borderId="0" xfId="0" applyNumberFormat="1" applyFont="1" applyFill="1"/>
    <xf numFmtId="0" fontId="4" fillId="16" borderId="35" xfId="0" applyFont="1" applyFill="1" applyBorder="1" applyAlignment="1">
      <alignment horizontal="center" vertical="center" wrapText="1"/>
    </xf>
    <xf numFmtId="0" fontId="64" fillId="9" borderId="56" xfId="0" applyFont="1" applyFill="1" applyBorder="1"/>
    <xf numFmtId="0" fontId="32" fillId="0" borderId="29" xfId="0" applyFont="1" applyBorder="1"/>
    <xf numFmtId="0" fontId="29" fillId="28" borderId="29" xfId="0" applyFont="1" applyFill="1" applyBorder="1"/>
    <xf numFmtId="0" fontId="73" fillId="9" borderId="51" xfId="0" applyFont="1" applyFill="1" applyBorder="1"/>
    <xf numFmtId="0" fontId="64" fillId="9" borderId="53" xfId="0" applyFont="1" applyFill="1" applyBorder="1"/>
    <xf numFmtId="0" fontId="73" fillId="9" borderId="53" xfId="0" applyFont="1" applyFill="1" applyBorder="1"/>
    <xf numFmtId="0" fontId="14" fillId="9" borderId="0" xfId="0" applyFont="1" applyFill="1"/>
    <xf numFmtId="0" fontId="20" fillId="9" borderId="0" xfId="0" applyFont="1" applyFill="1"/>
    <xf numFmtId="0" fontId="64" fillId="9" borderId="50" xfId="0" applyFont="1" applyFill="1" applyBorder="1"/>
    <xf numFmtId="0" fontId="64" fillId="9" borderId="51" xfId="0" applyFont="1" applyFill="1" applyBorder="1"/>
    <xf numFmtId="0" fontId="72" fillId="9" borderId="51" xfId="0" applyFont="1" applyFill="1" applyBorder="1"/>
    <xf numFmtId="184" fontId="71" fillId="9" borderId="51" xfId="2" applyNumberFormat="1" applyFont="1" applyFill="1" applyBorder="1"/>
    <xf numFmtId="10" fontId="4" fillId="24" borderId="35" xfId="2" applyNumberFormat="1" applyFont="1" applyFill="1" applyBorder="1" applyAlignment="1">
      <alignment horizontal="center"/>
    </xf>
    <xf numFmtId="0" fontId="0" fillId="9" borderId="78" xfId="0" applyFill="1" applyBorder="1"/>
    <xf numFmtId="4" fontId="0" fillId="9" borderId="78" xfId="0" applyNumberFormat="1" applyFill="1" applyBorder="1"/>
    <xf numFmtId="4" fontId="0" fillId="9" borderId="78" xfId="2" applyNumberFormat="1" applyFont="1" applyFill="1" applyBorder="1"/>
    <xf numFmtId="10" fontId="4" fillId="24" borderId="78" xfId="0" applyNumberFormat="1" applyFont="1" applyFill="1" applyBorder="1"/>
    <xf numFmtId="0" fontId="0" fillId="9" borderId="75" xfId="0" applyFill="1" applyBorder="1"/>
    <xf numFmtId="4" fontId="0" fillId="9" borderId="75" xfId="0" applyNumberFormat="1" applyFill="1" applyBorder="1"/>
    <xf numFmtId="4" fontId="0" fillId="9" borderId="75" xfId="2" applyNumberFormat="1" applyFont="1" applyFill="1" applyBorder="1"/>
    <xf numFmtId="10" fontId="4" fillId="24" borderId="75" xfId="0" applyNumberFormat="1" applyFont="1" applyFill="1" applyBorder="1"/>
    <xf numFmtId="0" fontId="19" fillId="9" borderId="78" xfId="0" applyFont="1" applyFill="1" applyBorder="1"/>
    <xf numFmtId="0" fontId="19" fillId="9" borderId="75" xfId="0" applyFont="1" applyFill="1" applyBorder="1"/>
    <xf numFmtId="0" fontId="19" fillId="9" borderId="0" xfId="0" applyFont="1" applyFill="1" applyAlignment="1">
      <alignment horizontal="center"/>
    </xf>
    <xf numFmtId="0" fontId="14" fillId="9" borderId="55" xfId="0" applyFont="1" applyFill="1" applyBorder="1"/>
    <xf numFmtId="10" fontId="24" fillId="9" borderId="56" xfId="0" applyNumberFormat="1" applyFont="1" applyFill="1" applyBorder="1" applyAlignment="1">
      <alignment horizontal="left" wrapText="1"/>
    </xf>
    <xf numFmtId="0" fontId="72" fillId="17" borderId="82" xfId="0" applyFont="1" applyFill="1" applyBorder="1"/>
    <xf numFmtId="184" fontId="71" fillId="17" borderId="75" xfId="2" applyNumberFormat="1" applyFont="1" applyFill="1" applyBorder="1"/>
    <xf numFmtId="0" fontId="20" fillId="9" borderId="50" xfId="0" applyFont="1" applyFill="1" applyBorder="1"/>
    <xf numFmtId="0" fontId="20" fillId="9" borderId="53" xfId="0" applyFont="1" applyFill="1" applyBorder="1"/>
    <xf numFmtId="4" fontId="14" fillId="9" borderId="0" xfId="0" applyNumberFormat="1" applyFont="1" applyFill="1"/>
    <xf numFmtId="10" fontId="24" fillId="9" borderId="56" xfId="0" applyNumberFormat="1" applyFont="1" applyFill="1" applyBorder="1"/>
    <xf numFmtId="0" fontId="14" fillId="9" borderId="56" xfId="0" applyFont="1" applyFill="1" applyBorder="1"/>
    <xf numFmtId="10" fontId="24" fillId="3" borderId="56" xfId="0" applyNumberFormat="1" applyFont="1" applyFill="1" applyBorder="1"/>
    <xf numFmtId="0" fontId="14" fillId="3" borderId="56" xfId="0" applyFont="1" applyFill="1" applyBorder="1"/>
    <xf numFmtId="0" fontId="19" fillId="3" borderId="56" xfId="0" applyFont="1" applyFill="1" applyBorder="1"/>
    <xf numFmtId="0" fontId="19" fillId="3" borderId="57" xfId="0" applyFont="1" applyFill="1" applyBorder="1"/>
    <xf numFmtId="10" fontId="24" fillId="17" borderId="78" xfId="0" applyNumberFormat="1" applyFont="1" applyFill="1" applyBorder="1"/>
    <xf numFmtId="0" fontId="14" fillId="17" borderId="82" xfId="0" applyFont="1" applyFill="1" applyBorder="1"/>
    <xf numFmtId="0" fontId="19" fillId="17" borderId="82" xfId="0" applyFont="1" applyFill="1" applyBorder="1"/>
    <xf numFmtId="0" fontId="19" fillId="17" borderId="75" xfId="0" applyFont="1" applyFill="1" applyBorder="1"/>
    <xf numFmtId="0" fontId="14" fillId="24" borderId="78" xfId="0" applyFont="1" applyFill="1" applyBorder="1"/>
    <xf numFmtId="0" fontId="19" fillId="24" borderId="75" xfId="0" applyFont="1" applyFill="1" applyBorder="1"/>
    <xf numFmtId="0" fontId="19" fillId="24" borderId="82" xfId="0" applyFont="1" applyFill="1" applyBorder="1"/>
    <xf numFmtId="0" fontId="19" fillId="9" borderId="82" xfId="0" applyFont="1" applyFill="1" applyBorder="1"/>
    <xf numFmtId="0" fontId="73" fillId="3" borderId="50" xfId="0" applyFont="1" applyFill="1" applyBorder="1"/>
    <xf numFmtId="0" fontId="14" fillId="3" borderId="51" xfId="0" applyFont="1" applyFill="1" applyBorder="1"/>
    <xf numFmtId="0" fontId="19" fillId="3" borderId="51" xfId="0" applyFont="1" applyFill="1" applyBorder="1"/>
    <xf numFmtId="0" fontId="19" fillId="3" borderId="52" xfId="0" applyFont="1" applyFill="1" applyBorder="1"/>
    <xf numFmtId="0" fontId="70" fillId="3" borderId="53" xfId="0" applyFont="1" applyFill="1" applyBorder="1"/>
    <xf numFmtId="0" fontId="19" fillId="3" borderId="0" xfId="0" applyFont="1" applyFill="1" applyAlignment="1">
      <alignment horizontal="left" wrapText="1"/>
    </xf>
    <xf numFmtId="0" fontId="19" fillId="3" borderId="54" xfId="0" applyFont="1" applyFill="1" applyBorder="1"/>
    <xf numFmtId="0" fontId="70" fillId="3" borderId="55" xfId="0" applyFont="1" applyFill="1" applyBorder="1"/>
    <xf numFmtId="0" fontId="73" fillId="3" borderId="51" xfId="0" applyFont="1" applyFill="1" applyBorder="1"/>
    <xf numFmtId="0" fontId="19" fillId="17" borderId="82" xfId="0" applyFont="1" applyFill="1" applyBorder="1" applyAlignment="1">
      <alignment horizontal="left" wrapText="1"/>
    </xf>
    <xf numFmtId="0" fontId="19" fillId="17" borderId="75" xfId="0" applyFont="1" applyFill="1" applyBorder="1" applyAlignment="1">
      <alignment horizontal="left" wrapText="1"/>
    </xf>
    <xf numFmtId="0" fontId="73" fillId="3" borderId="53" xfId="0" applyFont="1" applyFill="1" applyBorder="1"/>
    <xf numFmtId="0" fontId="14" fillId="3" borderId="0" xfId="0" applyFont="1" applyFill="1"/>
    <xf numFmtId="0" fontId="19" fillId="3" borderId="0" xfId="0" applyFont="1" applyFill="1"/>
    <xf numFmtId="0" fontId="20" fillId="3" borderId="0" xfId="0" applyFont="1" applyFill="1"/>
    <xf numFmtId="10" fontId="3" fillId="6" borderId="35" xfId="0" applyNumberFormat="1" applyFont="1" applyFill="1" applyBorder="1" applyAlignment="1" applyProtection="1">
      <alignment horizontal="center" vertical="center"/>
      <protection locked="0"/>
    </xf>
    <xf numFmtId="44" fontId="19" fillId="21" borderId="35" xfId="4" applyFont="1" applyFill="1" applyBorder="1" applyAlignment="1" applyProtection="1">
      <alignment horizontal="center" vertical="center"/>
    </xf>
    <xf numFmtId="44" fontId="0" fillId="3" borderId="0" xfId="0" applyNumberFormat="1" applyFill="1"/>
    <xf numFmtId="0" fontId="48" fillId="0" borderId="29" xfId="0" applyFont="1" applyBorder="1"/>
    <xf numFmtId="10" fontId="3" fillId="24" borderId="35" xfId="2" applyNumberFormat="1" applyFont="1" applyFill="1" applyBorder="1" applyAlignment="1" applyProtection="1">
      <alignment horizontal="center"/>
      <protection locked="0"/>
    </xf>
    <xf numFmtId="4" fontId="3" fillId="24" borderId="75" xfId="0" applyNumberFormat="1" applyFont="1" applyFill="1" applyBorder="1" applyProtection="1">
      <protection locked="0"/>
    </xf>
    <xf numFmtId="4" fontId="34" fillId="30" borderId="0" xfId="0" applyNumberFormat="1" applyFont="1" applyFill="1" applyProtection="1">
      <protection locked="0"/>
    </xf>
    <xf numFmtId="0" fontId="0" fillId="10" borderId="0" xfId="0" applyFill="1"/>
    <xf numFmtId="0" fontId="4" fillId="4" borderId="29" xfId="0" applyFont="1" applyFill="1" applyBorder="1" applyAlignment="1">
      <alignment horizontal="center"/>
    </xf>
    <xf numFmtId="0" fontId="4" fillId="16" borderId="29" xfId="0" applyFont="1" applyFill="1" applyBorder="1"/>
    <xf numFmtId="0" fontId="0" fillId="16" borderId="29" xfId="0" applyFill="1" applyBorder="1"/>
    <xf numFmtId="0" fontId="4" fillId="10" borderId="0" xfId="0" applyFont="1" applyFill="1"/>
    <xf numFmtId="0" fontId="4" fillId="10" borderId="29" xfId="0" applyFont="1" applyFill="1" applyBorder="1" applyAlignment="1">
      <alignment horizontal="center"/>
    </xf>
    <xf numFmtId="3" fontId="4" fillId="10" borderId="29" xfId="0" applyNumberFormat="1" applyFont="1" applyFill="1" applyBorder="1" applyAlignment="1">
      <alignment horizontal="center"/>
    </xf>
    <xf numFmtId="170" fontId="13" fillId="10" borderId="29" xfId="1" applyNumberFormat="1" applyFont="1" applyFill="1" applyBorder="1"/>
    <xf numFmtId="0" fontId="3" fillId="31" borderId="29" xfId="0" applyFont="1" applyFill="1" applyBorder="1" applyAlignment="1">
      <alignment horizontal="center" vertical="center"/>
    </xf>
    <xf numFmtId="169" fontId="3" fillId="31" borderId="29" xfId="0" applyNumberFormat="1" applyFont="1" applyFill="1" applyBorder="1" applyAlignment="1">
      <alignment horizontal="center" vertical="center"/>
    </xf>
    <xf numFmtId="170" fontId="13" fillId="4" borderId="29" xfId="1" applyNumberFormat="1" applyFont="1" applyFill="1" applyBorder="1"/>
    <xf numFmtId="0" fontId="3" fillId="5" borderId="29" xfId="0" applyFont="1" applyFill="1" applyBorder="1" applyAlignment="1">
      <alignment horizontal="center" vertical="center"/>
    </xf>
    <xf numFmtId="169" fontId="3" fillId="5" borderId="29" xfId="0" applyNumberFormat="1" applyFont="1" applyFill="1" applyBorder="1" applyAlignment="1">
      <alignment horizontal="center" vertical="center"/>
    </xf>
    <xf numFmtId="0" fontId="0" fillId="21" borderId="0" xfId="0" applyFill="1"/>
    <xf numFmtId="41" fontId="60" fillId="21" borderId="0" xfId="0" applyNumberFormat="1" applyFont="1" applyFill="1"/>
    <xf numFmtId="0" fontId="4" fillId="21" borderId="29" xfId="0" applyFont="1" applyFill="1" applyBorder="1" applyAlignment="1">
      <alignment horizontal="center"/>
    </xf>
    <xf numFmtId="170" fontId="13" fillId="21" borderId="29" xfId="1" applyNumberFormat="1" applyFont="1" applyFill="1" applyBorder="1"/>
    <xf numFmtId="0" fontId="3" fillId="23" borderId="29" xfId="0" applyFont="1" applyFill="1" applyBorder="1" applyAlignment="1">
      <alignment horizontal="center" vertical="center"/>
    </xf>
    <xf numFmtId="169" fontId="3" fillId="23" borderId="29" xfId="0" applyNumberFormat="1" applyFont="1" applyFill="1" applyBorder="1" applyAlignment="1">
      <alignment horizontal="center" vertical="center"/>
    </xf>
    <xf numFmtId="43" fontId="13" fillId="22" borderId="29" xfId="0" applyNumberFormat="1" applyFont="1" applyFill="1" applyBorder="1"/>
    <xf numFmtId="43" fontId="60" fillId="22" borderId="29" xfId="0" applyNumberFormat="1" applyFont="1" applyFill="1" applyBorder="1"/>
    <xf numFmtId="0" fontId="4" fillId="17" borderId="29" xfId="0" applyFont="1" applyFill="1" applyBorder="1"/>
    <xf numFmtId="0" fontId="14" fillId="8" borderId="0" xfId="0" applyFont="1" applyFill="1"/>
    <xf numFmtId="0" fontId="4" fillId="8" borderId="0" xfId="0" applyFont="1" applyFill="1" applyAlignment="1">
      <alignment horizontal="center" vertical="center"/>
    </xf>
    <xf numFmtId="169" fontId="4" fillId="8" borderId="0" xfId="0" applyNumberFormat="1" applyFont="1" applyFill="1" applyAlignment="1">
      <alignment horizontal="center" vertical="center"/>
    </xf>
    <xf numFmtId="170" fontId="0" fillId="8" borderId="0" xfId="1" applyNumberFormat="1" applyFont="1" applyFill="1"/>
    <xf numFmtId="3" fontId="0" fillId="8" borderId="0" xfId="0" applyNumberFormat="1" applyFill="1" applyAlignment="1">
      <alignment horizontal="center"/>
    </xf>
    <xf numFmtId="170" fontId="60" fillId="8" borderId="0" xfId="1" applyNumberFormat="1" applyFont="1" applyFill="1"/>
    <xf numFmtId="0" fontId="4" fillId="8" borderId="29" xfId="0" applyFont="1" applyFill="1" applyBorder="1" applyAlignment="1">
      <alignment horizontal="center"/>
    </xf>
    <xf numFmtId="3" fontId="4" fillId="8" borderId="29" xfId="0" applyNumberFormat="1" applyFont="1" applyFill="1" applyBorder="1" applyAlignment="1">
      <alignment horizontal="center"/>
    </xf>
    <xf numFmtId="170" fontId="13" fillId="8" borderId="29" xfId="1" applyNumberFormat="1" applyFont="1" applyFill="1" applyBorder="1"/>
    <xf numFmtId="3" fontId="60" fillId="8" borderId="0" xfId="1" applyNumberFormat="1" applyFont="1" applyFill="1" applyBorder="1"/>
    <xf numFmtId="0" fontId="3" fillId="32" borderId="29" xfId="0" applyFont="1" applyFill="1" applyBorder="1" applyAlignment="1">
      <alignment horizontal="center" vertical="center"/>
    </xf>
    <xf numFmtId="169" fontId="3" fillId="32" borderId="29" xfId="0" applyNumberFormat="1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/>
    </xf>
    <xf numFmtId="0" fontId="4" fillId="4" borderId="19" xfId="0" applyFont="1" applyFill="1" applyBorder="1" applyAlignment="1">
      <alignment horizontal="center" vertical="center" wrapText="1"/>
    </xf>
    <xf numFmtId="168" fontId="0" fillId="0" borderId="0" xfId="0" applyNumberFormat="1" applyAlignment="1">
      <alignment horizontal="center"/>
    </xf>
    <xf numFmtId="0" fontId="18" fillId="0" borderId="0" xfId="0" applyFont="1" applyAlignment="1">
      <alignment horizontal="center" vertical="center"/>
    </xf>
    <xf numFmtId="168" fontId="13" fillId="24" borderId="78" xfId="2" applyNumberFormat="1" applyFont="1" applyFill="1" applyBorder="1" applyAlignment="1" applyProtection="1">
      <alignment horizontal="center"/>
      <protection locked="0"/>
    </xf>
    <xf numFmtId="168" fontId="13" fillId="0" borderId="29" xfId="0" applyNumberFormat="1" applyFont="1" applyBorder="1" applyAlignment="1">
      <alignment horizontal="center"/>
    </xf>
    <xf numFmtId="0" fontId="18" fillId="17" borderId="0" xfId="0" applyFont="1" applyFill="1" applyAlignment="1">
      <alignment vertical="center"/>
    </xf>
    <xf numFmtId="0" fontId="48" fillId="17" borderId="0" xfId="0" applyFont="1" applyFill="1" applyAlignment="1">
      <alignment vertical="center"/>
    </xf>
    <xf numFmtId="0" fontId="48" fillId="17" borderId="98" xfId="0" applyFont="1" applyFill="1" applyBorder="1" applyAlignment="1">
      <alignment vertical="center"/>
    </xf>
    <xf numFmtId="168" fontId="76" fillId="24" borderId="78" xfId="2" applyNumberFormat="1" applyFont="1" applyFill="1" applyBorder="1" applyAlignment="1" applyProtection="1">
      <alignment horizontal="center"/>
      <protection locked="0"/>
    </xf>
    <xf numFmtId="0" fontId="48" fillId="17" borderId="99" xfId="0" applyFont="1" applyFill="1" applyBorder="1" applyAlignment="1">
      <alignment vertical="center"/>
    </xf>
    <xf numFmtId="168" fontId="60" fillId="4" borderId="0" xfId="0" applyNumberFormat="1" applyFont="1" applyFill="1" applyAlignment="1">
      <alignment horizontal="center"/>
    </xf>
    <xf numFmtId="3" fontId="76" fillId="24" borderId="72" xfId="0" applyNumberFormat="1" applyFont="1" applyFill="1" applyBorder="1" applyAlignment="1" applyProtection="1">
      <alignment horizontal="center"/>
      <protection locked="0"/>
    </xf>
    <xf numFmtId="3" fontId="76" fillId="24" borderId="77" xfId="0" applyNumberFormat="1" applyFont="1" applyFill="1" applyBorder="1" applyAlignment="1" applyProtection="1">
      <alignment horizontal="center"/>
      <protection locked="0"/>
    </xf>
    <xf numFmtId="3" fontId="76" fillId="24" borderId="35" xfId="0" applyNumberFormat="1" applyFont="1" applyFill="1" applyBorder="1" applyAlignment="1" applyProtection="1">
      <alignment horizontal="center"/>
      <protection locked="0"/>
    </xf>
    <xf numFmtId="3" fontId="76" fillId="24" borderId="78" xfId="0" applyNumberFormat="1" applyFont="1" applyFill="1" applyBorder="1" applyAlignment="1" applyProtection="1">
      <alignment horizontal="center"/>
      <protection locked="0"/>
    </xf>
    <xf numFmtId="175" fontId="76" fillId="24" borderId="78" xfId="0" applyNumberFormat="1" applyFont="1" applyFill="1" applyBorder="1" applyAlignment="1" applyProtection="1">
      <alignment horizontal="center"/>
      <protection locked="0"/>
    </xf>
    <xf numFmtId="0" fontId="21" fillId="0" borderId="51" xfId="0" applyFont="1" applyBorder="1"/>
    <xf numFmtId="0" fontId="0" fillId="0" borderId="51" xfId="0" applyBorder="1"/>
    <xf numFmtId="0" fontId="0" fillId="0" borderId="56" xfId="0" applyBorder="1"/>
    <xf numFmtId="0" fontId="4" fillId="16" borderId="19" xfId="0" applyFont="1" applyFill="1" applyBorder="1" applyAlignment="1">
      <alignment horizontal="center" vertical="center"/>
    </xf>
    <xf numFmtId="0" fontId="4" fillId="16" borderId="19" xfId="0" applyFont="1" applyFill="1" applyBorder="1" applyAlignment="1">
      <alignment horizontal="center" vertical="center" wrapText="1"/>
    </xf>
    <xf numFmtId="4" fontId="3" fillId="24" borderId="0" xfId="0" applyNumberFormat="1" applyFont="1" applyFill="1" applyAlignment="1" applyProtection="1">
      <alignment horizontal="center"/>
      <protection locked="0"/>
    </xf>
    <xf numFmtId="0" fontId="10" fillId="2" borderId="43" xfId="0" applyFont="1" applyFill="1" applyBorder="1" applyAlignment="1">
      <alignment horizontal="center" vertical="center"/>
    </xf>
    <xf numFmtId="0" fontId="78" fillId="2" borderId="43" xfId="0" applyFont="1" applyFill="1" applyBorder="1" applyAlignment="1">
      <alignment horizontal="center" vertical="center" wrapText="1"/>
    </xf>
    <xf numFmtId="0" fontId="21" fillId="9" borderId="0" xfId="0" applyFont="1" applyFill="1"/>
    <xf numFmtId="0" fontId="78" fillId="0" borderId="43" xfId="0" applyFont="1" applyBorder="1" applyAlignment="1">
      <alignment horizontal="center" vertical="center" wrapText="1"/>
    </xf>
    <xf numFmtId="0" fontId="78" fillId="0" borderId="64" xfId="0" applyFont="1" applyBorder="1" applyAlignment="1">
      <alignment horizontal="left" vertical="center" wrapText="1"/>
    </xf>
    <xf numFmtId="0" fontId="78" fillId="0" borderId="65" xfId="0" applyFont="1" applyBorder="1" applyAlignment="1">
      <alignment horizontal="left" vertical="center" wrapText="1"/>
    </xf>
    <xf numFmtId="0" fontId="0" fillId="9" borderId="104" xfId="0" applyFill="1" applyBorder="1"/>
    <xf numFmtId="0" fontId="4" fillId="9" borderId="104" xfId="0" applyFont="1" applyFill="1" applyBorder="1"/>
    <xf numFmtId="0" fontId="78" fillId="0" borderId="18" xfId="0" applyFont="1" applyBorder="1" applyAlignment="1">
      <alignment horizontal="left" vertical="center" wrapText="1"/>
    </xf>
    <xf numFmtId="0" fontId="78" fillId="0" borderId="22" xfId="0" applyFont="1" applyBorder="1" applyAlignment="1">
      <alignment horizontal="left" vertical="center" wrapText="1"/>
    </xf>
    <xf numFmtId="169" fontId="4" fillId="4" borderId="43" xfId="0" applyNumberFormat="1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/>
    </xf>
    <xf numFmtId="0" fontId="81" fillId="2" borderId="43" xfId="0" applyFont="1" applyFill="1" applyBorder="1" applyAlignment="1">
      <alignment horizontal="center" vertical="center"/>
    </xf>
    <xf numFmtId="0" fontId="78" fillId="0" borderId="96" xfId="0" applyFont="1" applyBorder="1" applyAlignment="1">
      <alignment horizontal="left" vertical="center" wrapText="1"/>
    </xf>
    <xf numFmtId="0" fontId="80" fillId="3" borderId="28" xfId="0" applyFont="1" applyFill="1" applyBorder="1" applyAlignment="1">
      <alignment vertical="center" wrapText="1"/>
    </xf>
    <xf numFmtId="0" fontId="40" fillId="4" borderId="28" xfId="0" applyFont="1" applyFill="1" applyBorder="1"/>
    <xf numFmtId="43" fontId="67" fillId="4" borderId="29" xfId="0" applyNumberFormat="1" applyFont="1" applyFill="1" applyBorder="1"/>
    <xf numFmtId="0" fontId="40" fillId="18" borderId="28" xfId="0" applyFont="1" applyFill="1" applyBorder="1"/>
    <xf numFmtId="43" fontId="67" fillId="18" borderId="43" xfId="0" applyNumberFormat="1" applyFont="1" applyFill="1" applyBorder="1"/>
    <xf numFmtId="169" fontId="35" fillId="4" borderId="43" xfId="0" applyNumberFormat="1" applyFont="1" applyFill="1" applyBorder="1" applyAlignment="1">
      <alignment horizontal="center" vertical="center"/>
    </xf>
    <xf numFmtId="0" fontId="77" fillId="4" borderId="43" xfId="0" applyFont="1" applyFill="1" applyBorder="1" applyAlignment="1">
      <alignment horizontal="center" vertical="center" wrapText="1"/>
    </xf>
    <xf numFmtId="9" fontId="0" fillId="0" borderId="0" xfId="2" applyFont="1"/>
    <xf numFmtId="0" fontId="81" fillId="0" borderId="43" xfId="0" applyFont="1" applyBorder="1" applyAlignment="1">
      <alignment horizontal="center" vertical="center"/>
    </xf>
    <xf numFmtId="0" fontId="78" fillId="0" borderId="48" xfId="0" applyFont="1" applyBorder="1" applyAlignment="1">
      <alignment horizontal="left" vertical="center" wrapText="1"/>
    </xf>
    <xf numFmtId="4" fontId="82" fillId="3" borderId="43" xfId="0" applyNumberFormat="1" applyFont="1" applyFill="1" applyBorder="1" applyAlignment="1">
      <alignment horizontal="center" wrapText="1"/>
    </xf>
    <xf numFmtId="4" fontId="82" fillId="9" borderId="97" xfId="0" applyNumberFormat="1" applyFont="1" applyFill="1" applyBorder="1" applyAlignment="1">
      <alignment horizontal="center" wrapText="1"/>
    </xf>
    <xf numFmtId="44" fontId="66" fillId="0" borderId="64" xfId="0" applyNumberFormat="1" applyFont="1" applyBorder="1"/>
    <xf numFmtId="44" fontId="66" fillId="0" borderId="64" xfId="4" applyFont="1" applyFill="1" applyBorder="1"/>
    <xf numFmtId="4" fontId="82" fillId="9" borderId="65" xfId="0" applyNumberFormat="1" applyFont="1" applyFill="1" applyBorder="1" applyAlignment="1">
      <alignment horizontal="center" wrapText="1"/>
    </xf>
    <xf numFmtId="44" fontId="66" fillId="0" borderId="65" xfId="0" applyNumberFormat="1" applyFont="1" applyBorder="1"/>
    <xf numFmtId="44" fontId="66" fillId="0" borderId="65" xfId="4" applyFont="1" applyFill="1" applyBorder="1"/>
    <xf numFmtId="4" fontId="82" fillId="9" borderId="67" xfId="0" applyNumberFormat="1" applyFont="1" applyFill="1" applyBorder="1" applyAlignment="1">
      <alignment horizontal="center" wrapText="1"/>
    </xf>
    <xf numFmtId="44" fontId="66" fillId="0" borderId="67" xfId="0" applyNumberFormat="1" applyFont="1" applyBorder="1"/>
    <xf numFmtId="44" fontId="66" fillId="0" borderId="67" xfId="4" applyFont="1" applyFill="1" applyBorder="1"/>
    <xf numFmtId="44" fontId="66" fillId="0" borderId="66" xfId="0" applyNumberFormat="1" applyFont="1" applyBorder="1"/>
    <xf numFmtId="10" fontId="60" fillId="2" borderId="64" xfId="2" applyNumberFormat="1" applyFont="1" applyFill="1" applyBorder="1" applyAlignment="1">
      <alignment horizontal="center"/>
    </xf>
    <xf numFmtId="10" fontId="60" fillId="2" borderId="65" xfId="2" applyNumberFormat="1" applyFont="1" applyFill="1" applyBorder="1" applyAlignment="1">
      <alignment horizontal="center"/>
    </xf>
    <xf numFmtId="10" fontId="60" fillId="2" borderId="66" xfId="2" applyNumberFormat="1" applyFont="1" applyFill="1" applyBorder="1" applyAlignment="1">
      <alignment horizontal="center"/>
    </xf>
    <xf numFmtId="10" fontId="60" fillId="2" borderId="48" xfId="2" applyNumberFormat="1" applyFont="1" applyFill="1" applyBorder="1" applyAlignment="1">
      <alignment horizontal="center"/>
    </xf>
    <xf numFmtId="10" fontId="60" fillId="2" borderId="43" xfId="2" applyNumberFormat="1" applyFont="1" applyFill="1" applyBorder="1" applyAlignment="1">
      <alignment horizontal="center"/>
    </xf>
    <xf numFmtId="0" fontId="4" fillId="2" borderId="28" xfId="0" applyFont="1" applyFill="1" applyBorder="1"/>
    <xf numFmtId="0" fontId="0" fillId="2" borderId="30" xfId="0" applyFill="1" applyBorder="1"/>
    <xf numFmtId="10" fontId="13" fillId="2" borderId="43" xfId="0" applyNumberFormat="1" applyFont="1" applyFill="1" applyBorder="1" applyAlignment="1">
      <alignment horizontal="center"/>
    </xf>
    <xf numFmtId="0" fontId="78" fillId="2" borderId="35" xfId="0" applyFont="1" applyFill="1" applyBorder="1" applyAlignment="1">
      <alignment horizontal="left" vertical="center" wrapText="1"/>
    </xf>
    <xf numFmtId="0" fontId="81" fillId="2" borderId="75" xfId="0" applyFont="1" applyFill="1" applyBorder="1" applyAlignment="1">
      <alignment horizontal="center" vertical="center"/>
    </xf>
    <xf numFmtId="0" fontId="78" fillId="2" borderId="105" xfId="0" applyFont="1" applyFill="1" applyBorder="1" applyAlignment="1">
      <alignment horizontal="left" vertical="center" wrapText="1"/>
    </xf>
    <xf numFmtId="0" fontId="78" fillId="2" borderId="106" xfId="0" applyFont="1" applyFill="1" applyBorder="1" applyAlignment="1">
      <alignment horizontal="left" vertical="center" wrapText="1"/>
    </xf>
    <xf numFmtId="0" fontId="78" fillId="2" borderId="107" xfId="0" applyFont="1" applyFill="1" applyBorder="1" applyAlignment="1">
      <alignment horizontal="left" vertical="center" wrapText="1"/>
    </xf>
    <xf numFmtId="0" fontId="78" fillId="2" borderId="108" xfId="0" applyFont="1" applyFill="1" applyBorder="1" applyAlignment="1">
      <alignment horizontal="left" vertical="center" wrapText="1"/>
    </xf>
    <xf numFmtId="0" fontId="77" fillId="2" borderId="35" xfId="0" applyFont="1" applyFill="1" applyBorder="1" applyAlignment="1">
      <alignment horizontal="center" vertical="center" wrapText="1"/>
    </xf>
    <xf numFmtId="0" fontId="77" fillId="2" borderId="82" xfId="0" applyFont="1" applyFill="1" applyBorder="1" applyAlignment="1">
      <alignment horizontal="center" vertical="center" wrapText="1"/>
    </xf>
    <xf numFmtId="0" fontId="77" fillId="2" borderId="0" xfId="0" applyFont="1" applyFill="1" applyAlignment="1">
      <alignment horizontal="center" vertical="center" wrapText="1"/>
    </xf>
    <xf numFmtId="0" fontId="0" fillId="9" borderId="82" xfId="0" applyFill="1" applyBorder="1"/>
    <xf numFmtId="0" fontId="4" fillId="21" borderId="78" xfId="0" applyFont="1" applyFill="1" applyBorder="1"/>
    <xf numFmtId="0" fontId="4" fillId="21" borderId="82" xfId="0" applyFont="1" applyFill="1" applyBorder="1"/>
    <xf numFmtId="0" fontId="13" fillId="21" borderId="82" xfId="0" applyFont="1" applyFill="1" applyBorder="1" applyAlignment="1">
      <alignment horizontal="center"/>
    </xf>
    <xf numFmtId="0" fontId="13" fillId="21" borderId="75" xfId="0" applyFont="1" applyFill="1" applyBorder="1" applyAlignment="1">
      <alignment horizontal="center"/>
    </xf>
    <xf numFmtId="0" fontId="77" fillId="21" borderId="35" xfId="0" applyFont="1" applyFill="1" applyBorder="1" applyAlignment="1">
      <alignment horizontal="center" vertical="center" wrapText="1"/>
    </xf>
    <xf numFmtId="4" fontId="67" fillId="2" borderId="35" xfId="0" applyNumberFormat="1" applyFont="1" applyFill="1" applyBorder="1" applyAlignment="1" applyProtection="1">
      <alignment horizontal="center" vertical="center"/>
      <protection locked="0"/>
    </xf>
    <xf numFmtId="0" fontId="44" fillId="2" borderId="35" xfId="0" applyFont="1" applyFill="1" applyBorder="1" applyAlignment="1" applyProtection="1">
      <alignment horizontal="center" vertical="center"/>
      <protection locked="0"/>
    </xf>
    <xf numFmtId="0" fontId="77" fillId="21" borderId="78" xfId="0" applyFont="1" applyFill="1" applyBorder="1" applyAlignment="1">
      <alignment horizontal="center" vertical="center" wrapText="1"/>
    </xf>
    <xf numFmtId="4" fontId="79" fillId="21" borderId="75" xfId="0" applyNumberFormat="1" applyFont="1" applyFill="1" applyBorder="1" applyAlignment="1">
      <alignment horizontal="center" vertical="center" wrapText="1"/>
    </xf>
    <xf numFmtId="0" fontId="79" fillId="21" borderId="82" xfId="0" applyFont="1" applyFill="1" applyBorder="1" applyAlignment="1">
      <alignment horizontal="center" vertical="center" wrapText="1"/>
    </xf>
    <xf numFmtId="0" fontId="21" fillId="2" borderId="0" xfId="0" applyFont="1" applyFill="1"/>
    <xf numFmtId="0" fontId="83" fillId="2" borderId="0" xfId="0" applyFont="1" applyFill="1"/>
    <xf numFmtId="0" fontId="12" fillId="2" borderId="0" xfId="0" applyFont="1" applyFill="1"/>
    <xf numFmtId="0" fontId="17" fillId="2" borderId="0" xfId="0" applyFont="1" applyFill="1"/>
    <xf numFmtId="0" fontId="77" fillId="21" borderId="75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0" fontId="0" fillId="4" borderId="30" xfId="0" applyFill="1" applyBorder="1"/>
    <xf numFmtId="43" fontId="0" fillId="4" borderId="43" xfId="1" applyFont="1" applyFill="1" applyBorder="1" applyAlignment="1"/>
    <xf numFmtId="0" fontId="4" fillId="4" borderId="28" xfId="0" applyFont="1" applyFill="1" applyBorder="1" applyAlignment="1">
      <alignment horizontal="center"/>
    </xf>
    <xf numFmtId="0" fontId="78" fillId="8" borderId="64" xfId="0" applyFont="1" applyFill="1" applyBorder="1" applyAlignment="1">
      <alignment horizontal="left" vertical="center" wrapText="1"/>
    </xf>
    <xf numFmtId="0" fontId="78" fillId="8" borderId="65" xfId="0" applyFont="1" applyFill="1" applyBorder="1" applyAlignment="1">
      <alignment horizontal="left" vertical="center" wrapText="1"/>
    </xf>
    <xf numFmtId="44" fontId="66" fillId="8" borderId="64" xfId="0" applyNumberFormat="1" applyFont="1" applyFill="1" applyBorder="1"/>
    <xf numFmtId="44" fontId="66" fillId="8" borderId="65" xfId="0" applyNumberFormat="1" applyFont="1" applyFill="1" applyBorder="1"/>
    <xf numFmtId="43" fontId="67" fillId="18" borderId="43" xfId="0" applyNumberFormat="1" applyFont="1" applyFill="1" applyBorder="1" applyAlignment="1">
      <alignment vertical="center"/>
    </xf>
    <xf numFmtId="0" fontId="4" fillId="4" borderId="30" xfId="0" applyFont="1" applyFill="1" applyBorder="1" applyAlignment="1">
      <alignment horizontal="center" vertical="center"/>
    </xf>
    <xf numFmtId="0" fontId="40" fillId="18" borderId="30" xfId="0" applyFont="1" applyFill="1" applyBorder="1"/>
    <xf numFmtId="0" fontId="77" fillId="4" borderId="28" xfId="0" applyFont="1" applyFill="1" applyBorder="1" applyAlignment="1">
      <alignment horizontal="center" vertical="center" wrapText="1"/>
    </xf>
    <xf numFmtId="0" fontId="78" fillId="2" borderId="18" xfId="0" applyFont="1" applyFill="1" applyBorder="1" applyAlignment="1">
      <alignment horizontal="left" vertical="center" wrapText="1"/>
    </xf>
    <xf numFmtId="0" fontId="78" fillId="2" borderId="22" xfId="0" applyFont="1" applyFill="1" applyBorder="1" applyAlignment="1">
      <alignment horizontal="left" vertical="center" wrapText="1"/>
    </xf>
    <xf numFmtId="0" fontId="78" fillId="2" borderId="25" xfId="0" applyFont="1" applyFill="1" applyBorder="1" applyAlignment="1">
      <alignment horizontal="left" vertical="center" wrapText="1"/>
    </xf>
    <xf numFmtId="0" fontId="78" fillId="2" borderId="31" xfId="0" applyFont="1" applyFill="1" applyBorder="1" applyAlignment="1">
      <alignment horizontal="left" vertical="center" wrapText="1"/>
    </xf>
    <xf numFmtId="0" fontId="78" fillId="2" borderId="15" xfId="0" applyFont="1" applyFill="1" applyBorder="1" applyAlignment="1">
      <alignment horizontal="left" vertical="center" wrapText="1"/>
    </xf>
    <xf numFmtId="0" fontId="78" fillId="2" borderId="28" xfId="0" applyFont="1" applyFill="1" applyBorder="1" applyAlignment="1">
      <alignment horizontal="left" vertical="center" wrapText="1"/>
    </xf>
    <xf numFmtId="0" fontId="77" fillId="4" borderId="30" xfId="0" applyFont="1" applyFill="1" applyBorder="1" applyAlignment="1">
      <alignment horizontal="center" vertical="center" wrapText="1"/>
    </xf>
    <xf numFmtId="0" fontId="78" fillId="2" borderId="20" xfId="0" applyFont="1" applyFill="1" applyBorder="1" applyAlignment="1">
      <alignment horizontal="left" vertical="center" wrapText="1"/>
    </xf>
    <xf numFmtId="0" fontId="78" fillId="2" borderId="27" xfId="0" applyFont="1" applyFill="1" applyBorder="1" applyAlignment="1">
      <alignment horizontal="left" vertical="center" wrapText="1"/>
    </xf>
    <xf numFmtId="0" fontId="78" fillId="2" borderId="32" xfId="0" applyFont="1" applyFill="1" applyBorder="1" applyAlignment="1">
      <alignment horizontal="left" vertical="center" wrapText="1"/>
    </xf>
    <xf numFmtId="4" fontId="0" fillId="2" borderId="0" xfId="0" applyNumberFormat="1" applyFill="1"/>
    <xf numFmtId="43" fontId="0" fillId="2" borderId="0" xfId="0" applyNumberFormat="1" applyFill="1"/>
    <xf numFmtId="44" fontId="66" fillId="10" borderId="64" xfId="0" applyNumberFormat="1" applyFont="1" applyFill="1" applyBorder="1"/>
    <xf numFmtId="44" fontId="66" fillId="10" borderId="65" xfId="0" applyNumberFormat="1" applyFont="1" applyFill="1" applyBorder="1"/>
    <xf numFmtId="0" fontId="78" fillId="10" borderId="18" xfId="0" applyFont="1" applyFill="1" applyBorder="1" applyAlignment="1">
      <alignment horizontal="left" vertical="center" wrapText="1"/>
    </xf>
    <xf numFmtId="0" fontId="78" fillId="10" borderId="22" xfId="0" applyFont="1" applyFill="1" applyBorder="1" applyAlignment="1">
      <alignment horizontal="left" vertical="center" wrapText="1"/>
    </xf>
    <xf numFmtId="0" fontId="78" fillId="10" borderId="20" xfId="0" applyFont="1" applyFill="1" applyBorder="1" applyAlignment="1">
      <alignment horizontal="left" vertical="center" wrapText="1"/>
    </xf>
    <xf numFmtId="0" fontId="78" fillId="10" borderId="24" xfId="0" applyFont="1" applyFill="1" applyBorder="1" applyAlignment="1">
      <alignment horizontal="left" vertical="center" wrapText="1"/>
    </xf>
    <xf numFmtId="0" fontId="44" fillId="2" borderId="75" xfId="0" applyFont="1" applyFill="1" applyBorder="1" applyAlignment="1" applyProtection="1">
      <alignment horizontal="center" vertical="center"/>
      <protection locked="0"/>
    </xf>
    <xf numFmtId="0" fontId="77" fillId="21" borderId="78" xfId="0" applyFont="1" applyFill="1" applyBorder="1" applyAlignment="1">
      <alignment horizontal="left" vertical="center" wrapText="1"/>
    </xf>
    <xf numFmtId="0" fontId="44" fillId="2" borderId="78" xfId="0" applyFont="1" applyFill="1" applyBorder="1" applyAlignment="1" applyProtection="1">
      <alignment horizontal="left" vertical="center"/>
      <protection locked="0"/>
    </xf>
    <xf numFmtId="9" fontId="67" fillId="2" borderId="0" xfId="2" applyFont="1" applyFill="1" applyBorder="1" applyAlignment="1" applyProtection="1">
      <alignment horizontal="center" vertical="center"/>
      <protection locked="0"/>
    </xf>
    <xf numFmtId="0" fontId="78" fillId="33" borderId="18" xfId="0" applyFont="1" applyFill="1" applyBorder="1" applyAlignment="1">
      <alignment horizontal="left" vertical="center" wrapText="1"/>
    </xf>
    <xf numFmtId="0" fontId="78" fillId="33" borderId="20" xfId="0" applyFont="1" applyFill="1" applyBorder="1" applyAlignment="1">
      <alignment horizontal="left" vertical="center" wrapText="1"/>
    </xf>
    <xf numFmtId="0" fontId="78" fillId="33" borderId="22" xfId="0" applyFont="1" applyFill="1" applyBorder="1" applyAlignment="1">
      <alignment horizontal="left" vertical="center" wrapText="1"/>
    </xf>
    <xf numFmtId="0" fontId="78" fillId="33" borderId="24" xfId="0" applyFont="1" applyFill="1" applyBorder="1" applyAlignment="1">
      <alignment horizontal="left" vertical="center" wrapText="1"/>
    </xf>
    <xf numFmtId="44" fontId="66" fillId="33" borderId="64" xfId="0" applyNumberFormat="1" applyFont="1" applyFill="1" applyBorder="1"/>
    <xf numFmtId="44" fontId="66" fillId="33" borderId="65" xfId="0" applyNumberFormat="1" applyFont="1" applyFill="1" applyBorder="1"/>
    <xf numFmtId="9" fontId="67" fillId="18" borderId="43" xfId="2" applyFont="1" applyFill="1" applyBorder="1"/>
    <xf numFmtId="0" fontId="77" fillId="4" borderId="29" xfId="0" applyFont="1" applyFill="1" applyBorder="1" applyAlignment="1">
      <alignment horizontal="center" vertical="center" wrapText="1"/>
    </xf>
    <xf numFmtId="0" fontId="40" fillId="18" borderId="29" xfId="0" applyFont="1" applyFill="1" applyBorder="1"/>
    <xf numFmtId="9" fontId="67" fillId="18" borderId="30" xfId="2" applyFont="1" applyFill="1" applyBorder="1"/>
    <xf numFmtId="0" fontId="78" fillId="9" borderId="18" xfId="0" applyFont="1" applyFill="1" applyBorder="1" applyAlignment="1">
      <alignment horizontal="left" vertical="center" wrapText="1"/>
    </xf>
    <xf numFmtId="0" fontId="78" fillId="9" borderId="19" xfId="0" applyFont="1" applyFill="1" applyBorder="1" applyAlignment="1">
      <alignment horizontal="left" vertical="center" wrapText="1"/>
    </xf>
    <xf numFmtId="0" fontId="78" fillId="9" borderId="20" xfId="0" applyFont="1" applyFill="1" applyBorder="1" applyAlignment="1">
      <alignment horizontal="left" vertical="center" wrapText="1"/>
    </xf>
    <xf numFmtId="0" fontId="78" fillId="9" borderId="22" xfId="0" applyFont="1" applyFill="1" applyBorder="1" applyAlignment="1">
      <alignment horizontal="left" vertical="center" wrapText="1"/>
    </xf>
    <xf numFmtId="0" fontId="78" fillId="9" borderId="23" xfId="0" applyFont="1" applyFill="1" applyBorder="1" applyAlignment="1">
      <alignment horizontal="left" vertical="center" wrapText="1"/>
    </xf>
    <xf numFmtId="0" fontId="78" fillId="9" borderId="24" xfId="0" applyFont="1" applyFill="1" applyBorder="1" applyAlignment="1">
      <alignment horizontal="left" vertical="center" wrapText="1"/>
    </xf>
    <xf numFmtId="9" fontId="39" fillId="12" borderId="35" xfId="2" applyFont="1" applyFill="1" applyBorder="1" applyAlignment="1" applyProtection="1">
      <alignment horizontal="center" vertical="center"/>
      <protection locked="0"/>
    </xf>
    <xf numFmtId="0" fontId="67" fillId="2" borderId="0" xfId="0" applyFont="1" applyFill="1" applyAlignment="1" applyProtection="1">
      <alignment horizontal="center" vertical="center"/>
      <protection locked="0"/>
    </xf>
    <xf numFmtId="0" fontId="69" fillId="24" borderId="110" xfId="0" applyFont="1" applyFill="1" applyBorder="1" applyAlignment="1" applyProtection="1">
      <alignment horizontal="center"/>
      <protection locked="0"/>
    </xf>
    <xf numFmtId="168" fontId="67" fillId="2" borderId="59" xfId="2" applyNumberFormat="1" applyFont="1" applyFill="1" applyBorder="1" applyAlignment="1" applyProtection="1">
      <alignment horizontal="center" vertical="center"/>
      <protection locked="0"/>
    </xf>
    <xf numFmtId="4" fontId="60" fillId="3" borderId="68" xfId="0" applyNumberFormat="1" applyFont="1" applyFill="1" applyBorder="1" applyAlignment="1">
      <alignment horizontal="center"/>
    </xf>
    <xf numFmtId="43" fontId="60" fillId="0" borderId="65" xfId="0" applyNumberFormat="1" applyFont="1" applyBorder="1"/>
    <xf numFmtId="43" fontId="13" fillId="2" borderId="43" xfId="0" applyNumberFormat="1" applyFont="1" applyFill="1" applyBorder="1"/>
    <xf numFmtId="43" fontId="13" fillId="15" borderId="66" xfId="0" applyNumberFormat="1" applyFont="1" applyFill="1" applyBorder="1"/>
    <xf numFmtId="43" fontId="60" fillId="0" borderId="67" xfId="0" applyNumberFormat="1" applyFont="1" applyBorder="1"/>
    <xf numFmtId="43" fontId="4" fillId="2" borderId="0" xfId="0" applyNumberFormat="1" applyFont="1" applyFill="1"/>
    <xf numFmtId="0" fontId="24" fillId="2" borderId="0" xfId="0" applyFont="1" applyFill="1" applyAlignment="1">
      <alignment horizontal="left"/>
    </xf>
    <xf numFmtId="0" fontId="23" fillId="2" borderId="0" xfId="0" applyFont="1" applyFill="1"/>
    <xf numFmtId="43" fontId="0" fillId="2" borderId="0" xfId="0" applyNumberFormat="1" applyFill="1" applyAlignment="1">
      <alignment horizontal="center" vertical="center"/>
    </xf>
    <xf numFmtId="0" fontId="78" fillId="15" borderId="18" xfId="0" applyFont="1" applyFill="1" applyBorder="1" applyAlignment="1">
      <alignment horizontal="left" vertical="center" wrapText="1"/>
    </xf>
    <xf numFmtId="0" fontId="78" fillId="15" borderId="22" xfId="0" applyFont="1" applyFill="1" applyBorder="1" applyAlignment="1">
      <alignment horizontal="left" vertical="center" wrapText="1"/>
    </xf>
    <xf numFmtId="44" fontId="66" fillId="15" borderId="64" xfId="0" applyNumberFormat="1" applyFont="1" applyFill="1" applyBorder="1"/>
    <xf numFmtId="44" fontId="66" fillId="15" borderId="65" xfId="0" applyNumberFormat="1" applyFont="1" applyFill="1" applyBorder="1"/>
    <xf numFmtId="4" fontId="67" fillId="2" borderId="0" xfId="0" applyNumberFormat="1" applyFont="1" applyFill="1" applyAlignment="1" applyProtection="1">
      <alignment horizontal="center" vertical="center"/>
      <protection locked="0"/>
    </xf>
    <xf numFmtId="0" fontId="12" fillId="2" borderId="0" xfId="0" applyFont="1" applyFill="1" applyAlignment="1">
      <alignment horizontal="center"/>
    </xf>
    <xf numFmtId="0" fontId="12" fillId="2" borderId="0" xfId="0" applyFont="1" applyFill="1" applyAlignment="1">
      <alignment horizontal="right"/>
    </xf>
    <xf numFmtId="2" fontId="67" fillId="2" borderId="35" xfId="0" applyNumberFormat="1" applyFont="1" applyFill="1" applyBorder="1" applyAlignment="1" applyProtection="1">
      <alignment horizontal="center" vertical="center"/>
      <protection locked="0"/>
    </xf>
    <xf numFmtId="0" fontId="85" fillId="0" borderId="0" xfId="0" applyFont="1" applyAlignment="1">
      <alignment horizontal="left" vertical="center" wrapText="1"/>
    </xf>
    <xf numFmtId="0" fontId="4" fillId="4" borderId="28" xfId="0" applyFont="1" applyFill="1" applyBorder="1" applyAlignment="1">
      <alignment horizontal="left" vertical="center"/>
    </xf>
    <xf numFmtId="43" fontId="60" fillId="2" borderId="65" xfId="0" applyNumberFormat="1" applyFont="1" applyFill="1" applyBorder="1" applyAlignment="1">
      <alignment horizontal="center"/>
    </xf>
    <xf numFmtId="0" fontId="22" fillId="2" borderId="28" xfId="0" applyFont="1" applyFill="1" applyBorder="1" applyAlignment="1">
      <alignment vertical="center"/>
    </xf>
    <xf numFmtId="0" fontId="86" fillId="0" borderId="0" xfId="0" applyFont="1"/>
    <xf numFmtId="0" fontId="87" fillId="10" borderId="24" xfId="0" applyFont="1" applyFill="1" applyBorder="1" applyAlignment="1">
      <alignment horizontal="left" vertical="center" wrapText="1"/>
    </xf>
    <xf numFmtId="168" fontId="67" fillId="18" borderId="43" xfId="2" applyNumberFormat="1" applyFont="1" applyFill="1" applyBorder="1"/>
    <xf numFmtId="0" fontId="84" fillId="10" borderId="18" xfId="0" applyFont="1" applyFill="1" applyBorder="1" applyAlignment="1">
      <alignment horizontal="left" vertical="center" wrapText="1"/>
    </xf>
    <xf numFmtId="0" fontId="84" fillId="10" borderId="20" xfId="0" applyFont="1" applyFill="1" applyBorder="1" applyAlignment="1">
      <alignment horizontal="left" vertical="center" wrapText="1"/>
    </xf>
    <xf numFmtId="0" fontId="84" fillId="10" borderId="22" xfId="0" applyFont="1" applyFill="1" applyBorder="1" applyAlignment="1">
      <alignment horizontal="left" vertical="center" wrapText="1"/>
    </xf>
    <xf numFmtId="0" fontId="84" fillId="10" borderId="24" xfId="0" applyFont="1" applyFill="1" applyBorder="1" applyAlignment="1">
      <alignment horizontal="left" vertical="center" wrapText="1"/>
    </xf>
    <xf numFmtId="0" fontId="40" fillId="0" borderId="64" xfId="0" applyFont="1" applyBorder="1"/>
    <xf numFmtId="0" fontId="40" fillId="0" borderId="65" xfId="0" applyFont="1" applyBorder="1"/>
    <xf numFmtId="0" fontId="4" fillId="0" borderId="22" xfId="0" applyFont="1" applyBorder="1"/>
    <xf numFmtId="0" fontId="0" fillId="22" borderId="25" xfId="0" applyFill="1" applyBorder="1"/>
    <xf numFmtId="0" fontId="4" fillId="4" borderId="64" xfId="0" applyFont="1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left" vertical="center"/>
    </xf>
    <xf numFmtId="0" fontId="4" fillId="4" borderId="20" xfId="0" applyFont="1" applyFill="1" applyBorder="1" applyAlignment="1">
      <alignment horizontal="center" vertical="center"/>
    </xf>
    <xf numFmtId="0" fontId="4" fillId="0" borderId="24" xfId="0" applyFont="1" applyBorder="1"/>
    <xf numFmtId="0" fontId="0" fillId="22" borderId="27" xfId="0" applyFill="1" applyBorder="1"/>
    <xf numFmtId="0" fontId="35" fillId="35" borderId="46" xfId="0" applyFont="1" applyFill="1" applyBorder="1" applyAlignment="1">
      <alignment horizontal="center" vertical="center"/>
    </xf>
    <xf numFmtId="0" fontId="35" fillId="35" borderId="46" xfId="0" applyFont="1" applyFill="1" applyBorder="1" applyAlignment="1">
      <alignment horizontal="center" vertical="center" wrapText="1"/>
    </xf>
    <xf numFmtId="0" fontId="40" fillId="0" borderId="43" xfId="0" applyFont="1" applyBorder="1"/>
    <xf numFmtId="0" fontId="60" fillId="0" borderId="43" xfId="0" applyFont="1" applyBorder="1" applyAlignment="1">
      <alignment horizontal="center"/>
    </xf>
    <xf numFmtId="44" fontId="13" fillId="2" borderId="0" xfId="4" applyFont="1" applyFill="1" applyBorder="1" applyAlignment="1" applyProtection="1">
      <alignment horizontal="center"/>
      <protection locked="0"/>
    </xf>
    <xf numFmtId="0" fontId="7" fillId="2" borderId="0" xfId="0" applyFont="1" applyFill="1"/>
    <xf numFmtId="0" fontId="18" fillId="2" borderId="0" xfId="0" applyFont="1" applyFill="1"/>
    <xf numFmtId="2" fontId="39" fillId="24" borderId="35" xfId="0" applyNumberFormat="1" applyFont="1" applyFill="1" applyBorder="1" applyAlignment="1" applyProtection="1">
      <alignment horizontal="center" vertical="center"/>
      <protection locked="0"/>
    </xf>
    <xf numFmtId="0" fontId="35" fillId="35" borderId="28" xfId="0" applyFont="1" applyFill="1" applyBorder="1" applyAlignment="1">
      <alignment vertical="center"/>
    </xf>
    <xf numFmtId="0" fontId="35" fillId="35" borderId="29" xfId="0" applyFont="1" applyFill="1" applyBorder="1" applyAlignment="1">
      <alignment vertical="center"/>
    </xf>
    <xf numFmtId="0" fontId="35" fillId="35" borderId="30" xfId="0" applyFont="1" applyFill="1" applyBorder="1" applyAlignment="1">
      <alignment vertical="center"/>
    </xf>
    <xf numFmtId="167" fontId="13" fillId="24" borderId="78" xfId="0" applyNumberFormat="1" applyFont="1" applyFill="1" applyBorder="1" applyAlignment="1" applyProtection="1">
      <alignment horizontal="center"/>
      <protection locked="0"/>
    </xf>
    <xf numFmtId="177" fontId="60" fillId="0" borderId="23" xfId="0" applyNumberFormat="1" applyFont="1" applyBorder="1" applyAlignment="1">
      <alignment horizontal="center"/>
    </xf>
    <xf numFmtId="177" fontId="60" fillId="0" borderId="26" xfId="0" applyNumberFormat="1" applyFont="1" applyBorder="1" applyAlignment="1">
      <alignment horizontal="center"/>
    </xf>
    <xf numFmtId="0" fontId="4" fillId="4" borderId="113" xfId="0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0" fontId="4" fillId="4" borderId="28" xfId="0" applyFont="1" applyFill="1" applyBorder="1"/>
    <xf numFmtId="0" fontId="0" fillId="4" borderId="29" xfId="0" applyFill="1" applyBorder="1"/>
    <xf numFmtId="3" fontId="0" fillId="17" borderId="0" xfId="0" applyNumberFormat="1" applyFill="1"/>
    <xf numFmtId="4" fontId="88" fillId="2" borderId="109" xfId="0" applyNumberFormat="1" applyFont="1" applyFill="1" applyBorder="1" applyAlignment="1">
      <alignment horizontal="center" vertical="center" wrapText="1"/>
    </xf>
    <xf numFmtId="0" fontId="77" fillId="21" borderId="100" xfId="0" applyFont="1" applyFill="1" applyBorder="1" applyAlignment="1">
      <alignment horizontal="center" vertical="center" wrapText="1"/>
    </xf>
    <xf numFmtId="0" fontId="77" fillId="21" borderId="90" xfId="0" applyFont="1" applyFill="1" applyBorder="1" applyAlignment="1">
      <alignment horizontal="left" vertical="center" wrapText="1"/>
    </xf>
    <xf numFmtId="4" fontId="61" fillId="4" borderId="43" xfId="0" applyNumberFormat="1" applyFont="1" applyFill="1" applyBorder="1"/>
    <xf numFmtId="4" fontId="61" fillId="4" borderId="29" xfId="0" applyNumberFormat="1" applyFont="1" applyFill="1" applyBorder="1"/>
    <xf numFmtId="4" fontId="61" fillId="0" borderId="46" xfId="0" applyNumberFormat="1" applyFont="1" applyBorder="1" applyAlignment="1">
      <alignment vertical="center"/>
    </xf>
    <xf numFmtId="4" fontId="62" fillId="0" borderId="11" xfId="0" applyNumberFormat="1" applyFont="1" applyBorder="1"/>
    <xf numFmtId="4" fontId="61" fillId="0" borderId="48" xfId="0" applyNumberFormat="1" applyFont="1" applyBorder="1" applyAlignment="1">
      <alignment vertical="center"/>
    </xf>
    <xf numFmtId="43" fontId="62" fillId="0" borderId="0" xfId="0" applyNumberFormat="1" applyFont="1"/>
    <xf numFmtId="4" fontId="61" fillId="0" borderId="47" xfId="0" applyNumberFormat="1" applyFont="1" applyBorder="1" applyAlignment="1">
      <alignment vertical="center"/>
    </xf>
    <xf numFmtId="4" fontId="62" fillId="0" borderId="16" xfId="0" applyNumberFormat="1" applyFont="1" applyBorder="1"/>
    <xf numFmtId="0" fontId="60" fillId="13" borderId="48" xfId="0" applyFont="1" applyFill="1" applyBorder="1"/>
    <xf numFmtId="0" fontId="62" fillId="13" borderId="0" xfId="0" applyFont="1" applyFill="1"/>
    <xf numFmtId="4" fontId="61" fillId="15" borderId="43" xfId="0" applyNumberFormat="1" applyFont="1" applyFill="1" applyBorder="1"/>
    <xf numFmtId="4" fontId="61" fillId="15" borderId="29" xfId="0" applyNumberFormat="1" applyFont="1" applyFill="1" applyBorder="1"/>
    <xf numFmtId="0" fontId="13" fillId="13" borderId="48" xfId="0" applyFont="1" applyFill="1" applyBorder="1"/>
    <xf numFmtId="0" fontId="13" fillId="0" borderId="29" xfId="0" applyFont="1" applyBorder="1"/>
    <xf numFmtId="0" fontId="61" fillId="0" borderId="0" xfId="0" applyFont="1"/>
    <xf numFmtId="4" fontId="61" fillId="29" borderId="43" xfId="0" applyNumberFormat="1" applyFont="1" applyFill="1" applyBorder="1"/>
    <xf numFmtId="0" fontId="62" fillId="29" borderId="29" xfId="0" applyFont="1" applyFill="1" applyBorder="1"/>
    <xf numFmtId="4" fontId="60" fillId="3" borderId="75" xfId="0" applyNumberFormat="1" applyFont="1" applyFill="1" applyBorder="1"/>
    <xf numFmtId="4" fontId="13" fillId="24" borderId="35" xfId="0" applyNumberFormat="1" applyFont="1" applyFill="1" applyBorder="1"/>
    <xf numFmtId="4" fontId="61" fillId="9" borderId="11" xfId="0" applyNumberFormat="1" applyFont="1" applyFill="1" applyBorder="1" applyAlignment="1">
      <alignment vertical="center"/>
    </xf>
    <xf numFmtId="43" fontId="61" fillId="9" borderId="0" xfId="0" applyNumberFormat="1" applyFont="1" applyFill="1" applyAlignment="1">
      <alignment vertical="center"/>
    </xf>
    <xf numFmtId="43" fontId="61" fillId="0" borderId="29" xfId="0" applyNumberFormat="1" applyFont="1" applyBorder="1"/>
    <xf numFmtId="0" fontId="13" fillId="24" borderId="41" xfId="0" applyFont="1" applyFill="1" applyBorder="1" applyAlignment="1" applyProtection="1">
      <alignment horizontal="center"/>
      <protection locked="0"/>
    </xf>
    <xf numFmtId="4" fontId="82" fillId="21" borderId="75" xfId="0" applyNumberFormat="1" applyFont="1" applyFill="1" applyBorder="1" applyAlignment="1">
      <alignment horizontal="center" vertical="center" wrapText="1"/>
    </xf>
    <xf numFmtId="1" fontId="39" fillId="12" borderId="35" xfId="0" applyNumberFormat="1" applyFont="1" applyFill="1" applyBorder="1" applyAlignment="1" applyProtection="1">
      <alignment horizontal="center" vertical="center"/>
      <protection locked="0"/>
    </xf>
    <xf numFmtId="2" fontId="39" fillId="12" borderId="35" xfId="0" applyNumberFormat="1" applyFont="1" applyFill="1" applyBorder="1" applyAlignment="1" applyProtection="1">
      <alignment horizontal="center" vertical="center"/>
      <protection locked="0"/>
    </xf>
    <xf numFmtId="172" fontId="39" fillId="12" borderId="35" xfId="0" applyNumberFormat="1" applyFont="1" applyFill="1" applyBorder="1" applyAlignment="1" applyProtection="1">
      <alignment horizontal="center" vertical="center"/>
      <protection locked="0"/>
    </xf>
    <xf numFmtId="0" fontId="19" fillId="0" borderId="23" xfId="0" applyFont="1" applyBorder="1" applyAlignment="1">
      <alignment wrapText="1"/>
    </xf>
    <xf numFmtId="4" fontId="39" fillId="12" borderId="35" xfId="0" applyNumberFormat="1" applyFont="1" applyFill="1" applyBorder="1" applyAlignment="1" applyProtection="1">
      <alignment horizontal="center" vertical="center"/>
      <protection locked="0"/>
    </xf>
    <xf numFmtId="3" fontId="39" fillId="12" borderId="35" xfId="0" applyNumberFormat="1" applyFont="1" applyFill="1" applyBorder="1" applyAlignment="1" applyProtection="1">
      <alignment horizontal="center" vertical="center"/>
      <protection locked="0"/>
    </xf>
    <xf numFmtId="169" fontId="4" fillId="4" borderId="28" xfId="0" applyNumberFormat="1" applyFont="1" applyFill="1" applyBorder="1" applyAlignment="1">
      <alignment horizontal="center" vertical="center"/>
    </xf>
    <xf numFmtId="43" fontId="60" fillId="0" borderId="96" xfId="0" applyNumberFormat="1" applyFont="1" applyBorder="1"/>
    <xf numFmtId="43" fontId="13" fillId="21" borderId="28" xfId="0" applyNumberFormat="1" applyFont="1" applyFill="1" applyBorder="1"/>
    <xf numFmtId="43" fontId="60" fillId="0" borderId="18" xfId="0" applyNumberFormat="1" applyFont="1" applyBorder="1"/>
    <xf numFmtId="43" fontId="60" fillId="0" borderId="19" xfId="0" applyNumberFormat="1" applyFont="1" applyBorder="1"/>
    <xf numFmtId="0" fontId="78" fillId="2" borderId="117" xfId="0" applyFont="1" applyFill="1" applyBorder="1" applyAlignment="1">
      <alignment horizontal="left" vertical="center" wrapText="1"/>
    </xf>
    <xf numFmtId="44" fontId="3" fillId="12" borderId="35" xfId="4" applyFont="1" applyFill="1" applyBorder="1" applyAlignment="1" applyProtection="1">
      <alignment horizontal="center"/>
      <protection locked="0"/>
    </xf>
    <xf numFmtId="0" fontId="18" fillId="0" borderId="0" xfId="0" applyFont="1" applyAlignment="1">
      <alignment vertical="center"/>
    </xf>
    <xf numFmtId="0" fontId="27" fillId="9" borderId="35" xfId="0" applyFont="1" applyFill="1" applyBorder="1"/>
    <xf numFmtId="10" fontId="60" fillId="2" borderId="46" xfId="2" applyNumberFormat="1" applyFont="1" applyFill="1" applyBorder="1" applyAlignment="1">
      <alignment horizontal="center"/>
    </xf>
    <xf numFmtId="10" fontId="60" fillId="2" borderId="47" xfId="2" applyNumberFormat="1" applyFont="1" applyFill="1" applyBorder="1" applyAlignment="1">
      <alignment horizontal="center"/>
    </xf>
    <xf numFmtId="0" fontId="39" fillId="12" borderId="108" xfId="0" applyFont="1" applyFill="1" applyBorder="1" applyAlignment="1" applyProtection="1">
      <alignment horizontal="center" vertical="center"/>
      <protection locked="0"/>
    </xf>
    <xf numFmtId="0" fontId="39" fillId="12" borderId="117" xfId="0" applyFont="1" applyFill="1" applyBorder="1" applyAlignment="1" applyProtection="1">
      <alignment horizontal="center" vertical="center"/>
      <protection locked="0"/>
    </xf>
    <xf numFmtId="0" fontId="39" fillId="12" borderId="107" xfId="0" applyFont="1" applyFill="1" applyBorder="1" applyAlignment="1" applyProtection="1">
      <alignment horizontal="center" vertical="center"/>
      <protection locked="0"/>
    </xf>
    <xf numFmtId="168" fontId="3" fillId="6" borderId="35" xfId="2" applyNumberFormat="1" applyFont="1" applyFill="1" applyBorder="1" applyAlignment="1" applyProtection="1">
      <alignment horizontal="center"/>
      <protection locked="0"/>
    </xf>
    <xf numFmtId="3" fontId="0" fillId="0" borderId="0" xfId="1" applyNumberFormat="1" applyFont="1" applyFill="1"/>
    <xf numFmtId="3" fontId="13" fillId="0" borderId="29" xfId="1" applyNumberFormat="1" applyFont="1" applyFill="1" applyBorder="1"/>
    <xf numFmtId="169" fontId="35" fillId="4" borderId="43" xfId="0" applyNumberFormat="1" applyFont="1" applyFill="1" applyBorder="1" applyAlignment="1">
      <alignment horizontal="center" vertical="center" wrapText="1"/>
    </xf>
    <xf numFmtId="169" fontId="35" fillId="0" borderId="31" xfId="0" applyNumberFormat="1" applyFont="1" applyBorder="1" applyAlignment="1">
      <alignment horizontal="center" vertical="center"/>
    </xf>
    <xf numFmtId="169" fontId="35" fillId="0" borderId="0" xfId="0" applyNumberFormat="1" applyFont="1" applyAlignment="1">
      <alignment horizontal="center" vertical="center"/>
    </xf>
    <xf numFmtId="10" fontId="60" fillId="0" borderId="31" xfId="2" applyNumberFormat="1" applyFont="1" applyFill="1" applyBorder="1" applyAlignment="1">
      <alignment horizontal="center"/>
    </xf>
    <xf numFmtId="10" fontId="60" fillId="0" borderId="0" xfId="2" applyNumberFormat="1" applyFont="1" applyFill="1" applyBorder="1" applyAlignment="1">
      <alignment horizontal="center"/>
    </xf>
    <xf numFmtId="10" fontId="13" fillId="0" borderId="3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43" fontId="60" fillId="0" borderId="26" xfId="0" applyNumberFormat="1" applyFont="1" applyBorder="1"/>
    <xf numFmtId="0" fontId="90" fillId="0" borderId="19" xfId="0" applyFont="1" applyBorder="1"/>
    <xf numFmtId="0" fontId="91" fillId="0" borderId="19" xfId="7" applyFont="1" applyBorder="1" applyAlignment="1">
      <alignment vertical="center"/>
    </xf>
    <xf numFmtId="43" fontId="92" fillId="9" borderId="64" xfId="0" applyNumberFormat="1" applyFont="1" applyFill="1" applyBorder="1"/>
    <xf numFmtId="43" fontId="93" fillId="0" borderId="19" xfId="0" applyNumberFormat="1" applyFont="1" applyBorder="1"/>
    <xf numFmtId="0" fontId="90" fillId="0" borderId="23" xfId="0" applyFont="1" applyBorder="1"/>
    <xf numFmtId="0" fontId="91" fillId="0" borderId="23" xfId="7" applyFont="1" applyBorder="1" applyAlignment="1">
      <alignment vertical="center"/>
    </xf>
    <xf numFmtId="43" fontId="92" fillId="9" borderId="65" xfId="0" applyNumberFormat="1" applyFont="1" applyFill="1" applyBorder="1"/>
    <xf numFmtId="43" fontId="93" fillId="0" borderId="23" xfId="0" applyNumberFormat="1" applyFont="1" applyBorder="1"/>
    <xf numFmtId="168" fontId="66" fillId="0" borderId="31" xfId="2" applyNumberFormat="1" applyFont="1" applyFill="1" applyBorder="1"/>
    <xf numFmtId="168" fontId="66" fillId="0" borderId="0" xfId="2" applyNumberFormat="1" applyFont="1" applyFill="1" applyBorder="1"/>
    <xf numFmtId="168" fontId="67" fillId="0" borderId="31" xfId="2" applyNumberFormat="1" applyFont="1" applyFill="1" applyBorder="1"/>
    <xf numFmtId="168" fontId="67" fillId="0" borderId="0" xfId="2" applyNumberFormat="1" applyFont="1" applyFill="1" applyBorder="1"/>
    <xf numFmtId="43" fontId="93" fillId="0" borderId="18" xfId="0" applyNumberFormat="1" applyFont="1" applyBorder="1"/>
    <xf numFmtId="43" fontId="93" fillId="0" borderId="22" xfId="0" applyNumberFormat="1" applyFont="1" applyBorder="1"/>
    <xf numFmtId="9" fontId="66" fillId="0" borderId="0" xfId="2" applyFont="1" applyFill="1" applyBorder="1"/>
    <xf numFmtId="9" fontId="67" fillId="0" borderId="0" xfId="2" applyFont="1" applyFill="1" applyBorder="1"/>
    <xf numFmtId="179" fontId="32" fillId="0" borderId="0" xfId="8" applyNumberFormat="1" applyFont="1" applyAlignment="1">
      <alignment vertical="center"/>
    </xf>
    <xf numFmtId="4" fontId="29" fillId="0" borderId="0" xfId="5" applyNumberFormat="1" applyFont="1" applyFill="1" applyBorder="1"/>
    <xf numFmtId="4" fontId="62" fillId="0" borderId="0" xfId="5" applyNumberFormat="1" applyFont="1" applyFill="1" applyBorder="1"/>
    <xf numFmtId="4" fontId="61" fillId="0" borderId="0" xfId="0" applyNumberFormat="1" applyFont="1" applyAlignment="1">
      <alignment vertical="center"/>
    </xf>
    <xf numFmtId="179" fontId="32" fillId="2" borderId="0" xfId="8" applyNumberFormat="1" applyFont="1" applyFill="1" applyAlignment="1">
      <alignment vertical="center"/>
    </xf>
    <xf numFmtId="4" fontId="29" fillId="2" borderId="0" xfId="5" applyNumberFormat="1" applyFont="1" applyFill="1" applyBorder="1"/>
    <xf numFmtId="4" fontId="62" fillId="2" borderId="0" xfId="5" applyNumberFormat="1" applyFont="1" applyFill="1" applyBorder="1"/>
    <xf numFmtId="183" fontId="52" fillId="2" borderId="0" xfId="0" applyNumberFormat="1" applyFont="1" applyFill="1" applyAlignment="1">
      <alignment horizontal="left"/>
    </xf>
    <xf numFmtId="1" fontId="51" fillId="2" borderId="0" xfId="5" applyNumberFormat="1" applyFont="1" applyFill="1" applyBorder="1" applyAlignment="1">
      <alignment horizontal="center"/>
    </xf>
    <xf numFmtId="10" fontId="18" fillId="2" borderId="44" xfId="2" applyNumberFormat="1" applyFont="1" applyFill="1" applyBorder="1" applyAlignment="1">
      <alignment horizontal="center"/>
    </xf>
    <xf numFmtId="174" fontId="51" fillId="2" borderId="0" xfId="5" applyNumberFormat="1" applyFont="1" applyFill="1" applyBorder="1" applyAlignment="1"/>
    <xf numFmtId="174" fontId="51" fillId="2" borderId="0" xfId="5" applyNumberFormat="1" applyFont="1" applyFill="1" applyBorder="1"/>
    <xf numFmtId="4" fontId="61" fillId="2" borderId="0" xfId="0" applyNumberFormat="1" applyFont="1" applyFill="1" applyAlignment="1">
      <alignment vertical="center"/>
    </xf>
    <xf numFmtId="183" fontId="29" fillId="2" borderId="0" xfId="0" applyNumberFormat="1" applyFont="1" applyFill="1" applyAlignment="1">
      <alignment horizontal="left"/>
    </xf>
    <xf numFmtId="0" fontId="77" fillId="22" borderId="78" xfId="0" applyFont="1" applyFill="1" applyBorder="1" applyAlignment="1">
      <alignment horizontal="left" vertical="center" wrapText="1"/>
    </xf>
    <xf numFmtId="0" fontId="44" fillId="2" borderId="101" xfId="0" applyFont="1" applyFill="1" applyBorder="1" applyAlignment="1" applyProtection="1">
      <alignment horizontal="left" vertical="center"/>
      <protection locked="0"/>
    </xf>
    <xf numFmtId="183" fontId="53" fillId="4" borderId="78" xfId="0" applyNumberFormat="1" applyFont="1" applyFill="1" applyBorder="1" applyAlignment="1">
      <alignment horizontal="left"/>
    </xf>
    <xf numFmtId="1" fontId="41" fillId="4" borderId="82" xfId="5" applyNumberFormat="1" applyFont="1" applyFill="1" applyBorder="1" applyAlignment="1">
      <alignment horizontal="center"/>
    </xf>
    <xf numFmtId="10" fontId="18" fillId="4" borderId="82" xfId="2" applyNumberFormat="1" applyFont="1" applyFill="1" applyBorder="1" applyAlignment="1">
      <alignment horizontal="center"/>
    </xf>
    <xf numFmtId="44" fontId="41" fillId="4" borderId="82" xfId="4" applyFont="1" applyFill="1" applyBorder="1" applyAlignment="1"/>
    <xf numFmtId="44" fontId="32" fillId="4" borderId="75" xfId="4" applyFont="1" applyFill="1" applyBorder="1" applyAlignment="1"/>
    <xf numFmtId="0" fontId="77" fillId="22" borderId="78" xfId="0" applyFont="1" applyFill="1" applyBorder="1" applyAlignment="1">
      <alignment horizontal="center" vertical="center" wrapText="1"/>
    </xf>
    <xf numFmtId="0" fontId="44" fillId="2" borderId="101" xfId="0" applyFont="1" applyFill="1" applyBorder="1" applyAlignment="1" applyProtection="1">
      <alignment horizontal="center" vertical="center"/>
      <protection locked="0"/>
    </xf>
    <xf numFmtId="183" fontId="53" fillId="4" borderId="78" xfId="0" applyNumberFormat="1" applyFont="1" applyFill="1" applyBorder="1"/>
    <xf numFmtId="183" fontId="53" fillId="4" borderId="82" xfId="0" applyNumberFormat="1" applyFont="1" applyFill="1" applyBorder="1"/>
    <xf numFmtId="183" fontId="53" fillId="4" borderId="75" xfId="0" applyNumberFormat="1" applyFont="1" applyFill="1" applyBorder="1"/>
    <xf numFmtId="3" fontId="33" fillId="12" borderId="59" xfId="2" applyNumberFormat="1" applyFont="1" applyFill="1" applyBorder="1" applyAlignment="1" applyProtection="1">
      <alignment horizontal="center"/>
      <protection locked="0"/>
    </xf>
    <xf numFmtId="44" fontId="33" fillId="12" borderId="59" xfId="4" applyFont="1" applyFill="1" applyBorder="1" applyAlignment="1" applyProtection="1">
      <protection locked="0"/>
    </xf>
    <xf numFmtId="44" fontId="33" fillId="12" borderId="35" xfId="4" applyFont="1" applyFill="1" applyBorder="1" applyAlignment="1" applyProtection="1">
      <protection locked="0"/>
    </xf>
    <xf numFmtId="44" fontId="61" fillId="2" borderId="35" xfId="4" applyFont="1" applyFill="1" applyBorder="1" applyAlignment="1"/>
    <xf numFmtId="4" fontId="79" fillId="21" borderId="82" xfId="0" applyNumberFormat="1" applyFont="1" applyFill="1" applyBorder="1" applyAlignment="1">
      <alignment horizontal="center" vertical="center" wrapText="1"/>
    </xf>
    <xf numFmtId="10" fontId="66" fillId="9" borderId="64" xfId="2" applyNumberFormat="1" applyFont="1" applyFill="1" applyBorder="1"/>
    <xf numFmtId="10" fontId="66" fillId="9" borderId="65" xfId="2" applyNumberFormat="1" applyFont="1" applyFill="1" applyBorder="1"/>
    <xf numFmtId="0" fontId="91" fillId="2" borderId="84" xfId="0" applyFont="1" applyFill="1" applyBorder="1" applyAlignment="1" applyProtection="1">
      <alignment horizontal="left" vertical="center"/>
      <protection locked="0"/>
    </xf>
    <xf numFmtId="0" fontId="91" fillId="2" borderId="85" xfId="0" applyFont="1" applyFill="1" applyBorder="1" applyAlignment="1" applyProtection="1">
      <alignment horizontal="left" vertical="center"/>
      <protection locked="0"/>
    </xf>
    <xf numFmtId="0" fontId="44" fillId="4" borderId="101" xfId="0" applyFont="1" applyFill="1" applyBorder="1" applyAlignment="1" applyProtection="1">
      <alignment horizontal="left" vertical="center"/>
      <protection locked="0"/>
    </xf>
    <xf numFmtId="44" fontId="61" fillId="4" borderId="35" xfId="4" applyFont="1" applyFill="1" applyBorder="1" applyAlignment="1"/>
    <xf numFmtId="0" fontId="77" fillId="22" borderId="82" xfId="0" applyFont="1" applyFill="1" applyBorder="1" applyAlignment="1">
      <alignment horizontal="center" vertical="center" wrapText="1"/>
    </xf>
    <xf numFmtId="0" fontId="77" fillId="22" borderId="75" xfId="0" applyFont="1" applyFill="1" applyBorder="1" applyAlignment="1">
      <alignment horizontal="center" vertical="center" wrapText="1"/>
    </xf>
    <xf numFmtId="0" fontId="44" fillId="4" borderId="90" xfId="0" applyFont="1" applyFill="1" applyBorder="1" applyAlignment="1" applyProtection="1">
      <alignment horizontal="center" vertical="center"/>
      <protection locked="0"/>
    </xf>
    <xf numFmtId="0" fontId="44" fillId="4" borderId="102" xfId="0" applyFont="1" applyFill="1" applyBorder="1" applyAlignment="1" applyProtection="1">
      <alignment horizontal="center" vertical="center"/>
      <protection locked="0"/>
    </xf>
    <xf numFmtId="0" fontId="91" fillId="2" borderId="88" xfId="0" applyFont="1" applyFill="1" applyBorder="1" applyAlignment="1" applyProtection="1">
      <alignment horizontal="left" vertical="center"/>
      <protection locked="0"/>
    </xf>
    <xf numFmtId="0" fontId="91" fillId="2" borderId="109" xfId="0" applyFont="1" applyFill="1" applyBorder="1" applyAlignment="1" applyProtection="1">
      <alignment horizontal="left" vertical="center"/>
      <protection locked="0"/>
    </xf>
    <xf numFmtId="0" fontId="91" fillId="2" borderId="89" xfId="0" applyFont="1" applyFill="1" applyBorder="1" applyAlignment="1" applyProtection="1">
      <alignment horizontal="left" vertical="center"/>
      <protection locked="0"/>
    </xf>
    <xf numFmtId="0" fontId="44" fillId="4" borderId="102" xfId="0" applyFont="1" applyFill="1" applyBorder="1" applyAlignment="1" applyProtection="1">
      <alignment horizontal="center" vertical="center" wrapText="1"/>
      <protection locked="0"/>
    </xf>
    <xf numFmtId="0" fontId="91" fillId="15" borderId="90" xfId="0" applyFont="1" applyFill="1" applyBorder="1" applyAlignment="1" applyProtection="1">
      <alignment horizontal="left" vertical="center"/>
      <protection locked="0"/>
    </xf>
    <xf numFmtId="0" fontId="91" fillId="15" borderId="102" xfId="0" applyFont="1" applyFill="1" applyBorder="1" applyAlignment="1" applyProtection="1">
      <alignment horizontal="left" vertical="center"/>
      <protection locked="0"/>
    </xf>
    <xf numFmtId="44" fontId="61" fillId="15" borderId="35" xfId="4" applyFont="1" applyFill="1" applyBorder="1" applyAlignment="1"/>
    <xf numFmtId="0" fontId="94" fillId="15" borderId="101" xfId="0" applyFont="1" applyFill="1" applyBorder="1" applyAlignment="1" applyProtection="1">
      <alignment horizontal="left" vertical="center"/>
      <protection locked="0"/>
    </xf>
    <xf numFmtId="44" fontId="29" fillId="4" borderId="35" xfId="4" applyFont="1" applyFill="1" applyBorder="1" applyAlignment="1">
      <alignment horizontal="center" vertical="center"/>
    </xf>
    <xf numFmtId="0" fontId="0" fillId="0" borderId="19" xfId="0" applyBorder="1" applyAlignment="1">
      <alignment wrapText="1"/>
    </xf>
    <xf numFmtId="0" fontId="0" fillId="15" borderId="66" xfId="0" applyFill="1" applyBorder="1" applyAlignment="1">
      <alignment horizontal="center"/>
    </xf>
    <xf numFmtId="43" fontId="60" fillId="0" borderId="97" xfId="0" applyNumberFormat="1" applyFont="1" applyBorder="1" applyAlignment="1">
      <alignment horizontal="left" wrapText="1"/>
    </xf>
    <xf numFmtId="43" fontId="60" fillId="15" borderId="66" xfId="0" applyNumberFormat="1" applyFont="1" applyFill="1" applyBorder="1"/>
    <xf numFmtId="44" fontId="66" fillId="15" borderId="66" xfId="0" applyNumberFormat="1" applyFont="1" applyFill="1" applyBorder="1"/>
    <xf numFmtId="43" fontId="60" fillId="0" borderId="64" xfId="0" applyNumberFormat="1" applyFont="1" applyBorder="1"/>
    <xf numFmtId="43" fontId="60" fillId="0" borderId="66" xfId="0" applyNumberFormat="1" applyFont="1" applyBorder="1"/>
    <xf numFmtId="0" fontId="88" fillId="10" borderId="24" xfId="0" applyFont="1" applyFill="1" applyBorder="1" applyAlignment="1">
      <alignment horizontal="left" vertical="center" wrapText="1"/>
    </xf>
    <xf numFmtId="10" fontId="60" fillId="24" borderId="35" xfId="2" applyNumberFormat="1" applyFont="1" applyFill="1" applyBorder="1" applyProtection="1">
      <protection locked="0"/>
    </xf>
    <xf numFmtId="10" fontId="60" fillId="3" borderId="0" xfId="0" applyNumberFormat="1" applyFont="1" applyFill="1"/>
    <xf numFmtId="0" fontId="78" fillId="2" borderId="10" xfId="0" applyFont="1" applyFill="1" applyBorder="1" applyAlignment="1">
      <alignment horizontal="left" vertical="center" wrapText="1"/>
    </xf>
    <xf numFmtId="0" fontId="3" fillId="24" borderId="41" xfId="0" applyFont="1" applyFill="1" applyBorder="1" applyAlignment="1" applyProtection="1">
      <alignment horizontal="center"/>
      <protection locked="0"/>
    </xf>
    <xf numFmtId="0" fontId="70" fillId="3" borderId="50" xfId="0" applyFont="1" applyFill="1" applyBorder="1"/>
    <xf numFmtId="10" fontId="24" fillId="3" borderId="51" xfId="0" applyNumberFormat="1" applyFont="1" applyFill="1" applyBorder="1"/>
    <xf numFmtId="0" fontId="3" fillId="11" borderId="120" xfId="0" applyFont="1" applyFill="1" applyBorder="1"/>
    <xf numFmtId="0" fontId="5" fillId="11" borderId="120" xfId="0" applyFont="1" applyFill="1" applyBorder="1" applyAlignment="1">
      <alignment horizontal="center"/>
    </xf>
    <xf numFmtId="0" fontId="3" fillId="11" borderId="121" xfId="0" applyFont="1" applyFill="1" applyBorder="1"/>
    <xf numFmtId="0" fontId="0" fillId="0" borderId="121" xfId="0" applyBorder="1"/>
    <xf numFmtId="4" fontId="0" fillId="0" borderId="121" xfId="0" applyNumberFormat="1" applyBorder="1"/>
    <xf numFmtId="0" fontId="5" fillId="11" borderId="121" xfId="0" applyFont="1" applyFill="1" applyBorder="1" applyAlignment="1">
      <alignment horizontal="center" wrapText="1"/>
    </xf>
    <xf numFmtId="0" fontId="4" fillId="0" borderId="121" xfId="0" applyFont="1" applyBorder="1"/>
    <xf numFmtId="43" fontId="4" fillId="0" borderId="121" xfId="0" applyNumberFormat="1" applyFont="1" applyBorder="1"/>
    <xf numFmtId="0" fontId="14" fillId="0" borderId="121" xfId="0" applyFont="1" applyBorder="1"/>
    <xf numFmtId="4" fontId="14" fillId="0" borderId="121" xfId="0" applyNumberFormat="1" applyFont="1" applyBorder="1"/>
    <xf numFmtId="0" fontId="0" fillId="0" borderId="122" xfId="0" applyBorder="1"/>
    <xf numFmtId="4" fontId="0" fillId="0" borderId="122" xfId="0" applyNumberFormat="1" applyBorder="1"/>
    <xf numFmtId="0" fontId="14" fillId="0" borderId="122" xfId="0" applyFont="1" applyBorder="1"/>
    <xf numFmtId="4" fontId="14" fillId="0" borderId="122" xfId="0" applyNumberFormat="1" applyFont="1" applyBorder="1"/>
    <xf numFmtId="0" fontId="5" fillId="11" borderId="0" xfId="0" applyFont="1" applyFill="1" applyAlignment="1">
      <alignment horizontal="center" wrapText="1"/>
    </xf>
    <xf numFmtId="0" fontId="29" fillId="0" borderId="16" xfId="7" applyFont="1" applyBorder="1" applyAlignment="1">
      <alignment horizontal="center" vertical="center"/>
    </xf>
    <xf numFmtId="0" fontId="77" fillId="21" borderId="82" xfId="0" applyFont="1" applyFill="1" applyBorder="1" applyAlignment="1">
      <alignment horizontal="center" vertical="center" wrapText="1"/>
    </xf>
    <xf numFmtId="0" fontId="18" fillId="11" borderId="37" xfId="0" applyFont="1" applyFill="1" applyBorder="1"/>
    <xf numFmtId="10" fontId="18" fillId="11" borderId="37" xfId="0" applyNumberFormat="1" applyFont="1" applyFill="1" applyBorder="1"/>
    <xf numFmtId="4" fontId="29" fillId="13" borderId="11" xfId="0" applyNumberFormat="1" applyFont="1" applyFill="1" applyBorder="1" applyAlignment="1">
      <alignment horizontal="center"/>
    </xf>
    <xf numFmtId="0" fontId="19" fillId="13" borderId="16" xfId="0" applyFont="1" applyFill="1" applyBorder="1" applyAlignment="1">
      <alignment horizontal="center"/>
    </xf>
    <xf numFmtId="174" fontId="19" fillId="13" borderId="16" xfId="0" applyNumberFormat="1" applyFont="1" applyFill="1" applyBorder="1" applyAlignment="1">
      <alignment horizontal="center"/>
    </xf>
    <xf numFmtId="0" fontId="19" fillId="28" borderId="30" xfId="0" applyFont="1" applyFill="1" applyBorder="1"/>
    <xf numFmtId="4" fontId="61" fillId="28" borderId="29" xfId="0" applyNumberFormat="1" applyFont="1" applyFill="1" applyBorder="1" applyAlignment="1">
      <alignment horizontal="center"/>
    </xf>
    <xf numFmtId="4" fontId="61" fillId="28" borderId="30" xfId="0" applyNumberFormat="1" applyFont="1" applyFill="1" applyBorder="1" applyAlignment="1">
      <alignment horizontal="center"/>
    </xf>
    <xf numFmtId="0" fontId="29" fillId="13" borderId="12" xfId="0" applyFont="1" applyFill="1" applyBorder="1"/>
    <xf numFmtId="0" fontId="29" fillId="13" borderId="42" xfId="0" applyFont="1" applyFill="1" applyBorder="1"/>
    <xf numFmtId="0" fontId="29" fillId="13" borderId="123" xfId="0" applyFont="1" applyFill="1" applyBorder="1"/>
    <xf numFmtId="0" fontId="29" fillId="13" borderId="32" xfId="0" applyFont="1" applyFill="1" applyBorder="1"/>
    <xf numFmtId="0" fontId="29" fillId="13" borderId="44" xfId="0" applyFont="1" applyFill="1" applyBorder="1"/>
    <xf numFmtId="0" fontId="29" fillId="13" borderId="124" xfId="0" applyFont="1" applyFill="1" applyBorder="1"/>
    <xf numFmtId="0" fontId="29" fillId="13" borderId="16" xfId="0" applyFont="1" applyFill="1" applyBorder="1"/>
    <xf numFmtId="0" fontId="29" fillId="13" borderId="17" xfId="0" applyFont="1" applyFill="1" applyBorder="1"/>
    <xf numFmtId="0" fontId="29" fillId="13" borderId="11" xfId="0" applyFont="1" applyFill="1" applyBorder="1" applyAlignment="1">
      <alignment horizontal="center"/>
    </xf>
    <xf numFmtId="0" fontId="29" fillId="13" borderId="42" xfId="0" applyFont="1" applyFill="1" applyBorder="1" applyAlignment="1">
      <alignment horizontal="center"/>
    </xf>
    <xf numFmtId="0" fontId="29" fillId="13" borderId="16" xfId="0" applyFont="1" applyFill="1" applyBorder="1" applyAlignment="1">
      <alignment horizontal="center"/>
    </xf>
    <xf numFmtId="3" fontId="32" fillId="0" borderId="29" xfId="0" applyNumberFormat="1" applyFont="1" applyBorder="1" applyAlignment="1">
      <alignment horizontal="center"/>
    </xf>
    <xf numFmtId="0" fontId="29" fillId="13" borderId="30" xfId="0" applyFont="1" applyFill="1" applyBorder="1"/>
    <xf numFmtId="0" fontId="29" fillId="13" borderId="29" xfId="0" applyFont="1" applyFill="1" applyBorder="1"/>
    <xf numFmtId="0" fontId="29" fillId="13" borderId="29" xfId="0" applyFont="1" applyFill="1" applyBorder="1" applyAlignment="1">
      <alignment horizontal="center"/>
    </xf>
    <xf numFmtId="4" fontId="61" fillId="28" borderId="43" xfId="0" applyNumberFormat="1" applyFont="1" applyFill="1" applyBorder="1" applyAlignment="1">
      <alignment horizontal="center"/>
    </xf>
    <xf numFmtId="168" fontId="39" fillId="12" borderId="35" xfId="2" applyNumberFormat="1" applyFont="1" applyFill="1" applyBorder="1" applyAlignment="1" applyProtection="1">
      <alignment horizontal="center" vertical="center"/>
      <protection locked="0"/>
    </xf>
    <xf numFmtId="4" fontId="61" fillId="0" borderId="64" xfId="0" applyNumberFormat="1" applyFont="1" applyBorder="1" applyAlignment="1">
      <alignment horizontal="center"/>
    </xf>
    <xf numFmtId="4" fontId="61" fillId="0" borderId="48" xfId="0" applyNumberFormat="1" applyFont="1" applyBorder="1" applyAlignment="1">
      <alignment horizontal="center"/>
    </xf>
    <xf numFmtId="4" fontId="62" fillId="0" borderId="48" xfId="0" applyNumberFormat="1" applyFont="1" applyBorder="1" applyAlignment="1">
      <alignment horizontal="center"/>
    </xf>
    <xf numFmtId="4" fontId="62" fillId="0" borderId="66" xfId="0" applyNumberFormat="1" applyFont="1" applyBorder="1" applyAlignment="1">
      <alignment horizontal="center"/>
    </xf>
    <xf numFmtId="4" fontId="61" fillId="0" borderId="43" xfId="0" applyNumberFormat="1" applyFont="1" applyBorder="1" applyAlignment="1">
      <alignment horizontal="center"/>
    </xf>
    <xf numFmtId="180" fontId="18" fillId="0" borderId="0" xfId="0" applyNumberFormat="1" applyFont="1" applyAlignment="1">
      <alignment vertical="center"/>
    </xf>
    <xf numFmtId="0" fontId="32" fillId="0" borderId="29" xfId="0" applyFont="1" applyBorder="1" applyAlignment="1">
      <alignment vertical="center"/>
    </xf>
    <xf numFmtId="0" fontId="29" fillId="0" borderId="29" xfId="0" applyFont="1" applyBorder="1" applyAlignment="1">
      <alignment vertical="center"/>
    </xf>
    <xf numFmtId="0" fontId="32" fillId="0" borderId="11" xfId="0" applyFont="1" applyBorder="1" applyAlignment="1">
      <alignment vertical="center"/>
    </xf>
    <xf numFmtId="0" fontId="29" fillId="0" borderId="16" xfId="7" applyFont="1" applyBorder="1" applyAlignment="1">
      <alignment vertical="center"/>
    </xf>
    <xf numFmtId="0" fontId="32" fillId="18" borderId="29" xfId="0" applyFont="1" applyFill="1" applyBorder="1" applyAlignment="1">
      <alignment vertical="center"/>
    </xf>
    <xf numFmtId="0" fontId="29" fillId="18" borderId="29" xfId="0" applyFont="1" applyFill="1" applyBorder="1" applyAlignment="1">
      <alignment vertical="center"/>
    </xf>
    <xf numFmtId="181" fontId="29" fillId="18" borderId="29" xfId="0" applyNumberFormat="1" applyFont="1" applyFill="1" applyBorder="1" applyAlignment="1">
      <alignment vertical="center"/>
    </xf>
    <xf numFmtId="0" fontId="48" fillId="0" borderId="0" xfId="0" applyFont="1" applyAlignment="1">
      <alignment vertical="center"/>
    </xf>
    <xf numFmtId="0" fontId="59" fillId="0" borderId="0" xfId="0" applyFont="1"/>
    <xf numFmtId="0" fontId="3" fillId="6" borderId="35" xfId="0" applyFont="1" applyFill="1" applyBorder="1" applyAlignment="1">
      <alignment horizontal="center"/>
    </xf>
    <xf numFmtId="0" fontId="60" fillId="0" borderId="35" xfId="0" applyFont="1" applyBorder="1" applyAlignment="1">
      <alignment horizontal="center"/>
    </xf>
    <xf numFmtId="0" fontId="0" fillId="25" borderId="35" xfId="0" applyFill="1" applyBorder="1"/>
    <xf numFmtId="0" fontId="0" fillId="5" borderId="35" xfId="0" applyFill="1" applyBorder="1"/>
    <xf numFmtId="0" fontId="0" fillId="26" borderId="35" xfId="0" applyFill="1" applyBorder="1"/>
    <xf numFmtId="0" fontId="0" fillId="4" borderId="35" xfId="0" applyFill="1" applyBorder="1"/>
    <xf numFmtId="0" fontId="0" fillId="17" borderId="35" xfId="0" applyFill="1" applyBorder="1"/>
    <xf numFmtId="0" fontId="0" fillId="3" borderId="35" xfId="0" applyFill="1" applyBorder="1"/>
    <xf numFmtId="0" fontId="86" fillId="0" borderId="35" xfId="0" applyFont="1" applyBorder="1" applyAlignment="1">
      <alignment horizontal="center"/>
    </xf>
    <xf numFmtId="187" fontId="60" fillId="34" borderId="64" xfId="0" applyNumberFormat="1" applyFont="1" applyFill="1" applyBorder="1" applyAlignment="1" applyProtection="1">
      <alignment horizontal="center"/>
      <protection locked="0"/>
    </xf>
    <xf numFmtId="187" fontId="60" fillId="34" borderId="65" xfId="0" applyNumberFormat="1" applyFont="1" applyFill="1" applyBorder="1" applyAlignment="1" applyProtection="1">
      <alignment horizontal="center"/>
      <protection locked="0"/>
    </xf>
    <xf numFmtId="43" fontId="13" fillId="0" borderId="65" xfId="0" applyNumberFormat="1" applyFont="1" applyBorder="1" applyAlignment="1">
      <alignment horizontal="center"/>
    </xf>
    <xf numFmtId="168" fontId="60" fillId="0" borderId="24" xfId="2" applyNumberFormat="1" applyFont="1" applyBorder="1"/>
    <xf numFmtId="43" fontId="13" fillId="22" borderId="66" xfId="0" applyNumberFormat="1" applyFont="1" applyFill="1" applyBorder="1"/>
    <xf numFmtId="168" fontId="13" fillId="22" borderId="27" xfId="0" applyNumberFormat="1" applyFont="1" applyFill="1" applyBorder="1"/>
    <xf numFmtId="0" fontId="60" fillId="4" borderId="29" xfId="0" applyFont="1" applyFill="1" applyBorder="1"/>
    <xf numFmtId="177" fontId="60" fillId="4" borderId="30" xfId="0" applyNumberFormat="1" applyFont="1" applyFill="1" applyBorder="1"/>
    <xf numFmtId="4" fontId="60" fillId="16" borderId="29" xfId="2" applyNumberFormat="1" applyFont="1" applyFill="1" applyBorder="1"/>
    <xf numFmtId="0" fontId="62" fillId="0" borderId="0" xfId="7" applyFont="1" applyAlignment="1">
      <alignment vertical="center"/>
    </xf>
    <xf numFmtId="4" fontId="67" fillId="18" borderId="37" xfId="0" applyNumberFormat="1" applyFont="1" applyFill="1" applyBorder="1" applyAlignment="1">
      <alignment horizontal="center" vertical="center"/>
    </xf>
    <xf numFmtId="168" fontId="61" fillId="7" borderId="0" xfId="2" applyNumberFormat="1" applyFont="1" applyFill="1" applyBorder="1" applyAlignment="1" applyProtection="1">
      <alignment horizontal="center"/>
    </xf>
    <xf numFmtId="9" fontId="60" fillId="0" borderId="0" xfId="2" applyFont="1" applyAlignment="1">
      <alignment horizontal="center"/>
    </xf>
    <xf numFmtId="0" fontId="67" fillId="21" borderId="35" xfId="0" applyFont="1" applyFill="1" applyBorder="1" applyAlignment="1">
      <alignment horizontal="center" vertical="center"/>
    </xf>
    <xf numFmtId="4" fontId="67" fillId="2" borderId="35" xfId="0" applyNumberFormat="1" applyFont="1" applyFill="1" applyBorder="1" applyAlignment="1">
      <alignment horizontal="center" vertical="center"/>
    </xf>
    <xf numFmtId="0" fontId="67" fillId="2" borderId="35" xfId="0" applyFont="1" applyFill="1" applyBorder="1" applyAlignment="1">
      <alignment horizontal="center" vertical="center"/>
    </xf>
    <xf numFmtId="3" fontId="67" fillId="2" borderId="35" xfId="0" applyNumberFormat="1" applyFont="1" applyFill="1" applyBorder="1" applyAlignment="1">
      <alignment horizontal="center" vertical="center"/>
    </xf>
    <xf numFmtId="186" fontId="89" fillId="12" borderId="109" xfId="0" applyNumberFormat="1" applyFont="1" applyFill="1" applyBorder="1" applyAlignment="1" applyProtection="1">
      <alignment horizontal="center" vertical="center" wrapText="1"/>
      <protection locked="0"/>
    </xf>
    <xf numFmtId="43" fontId="60" fillId="0" borderId="64" xfId="0" applyNumberFormat="1" applyFont="1" applyBorder="1" applyAlignment="1">
      <alignment wrapText="1"/>
    </xf>
    <xf numFmtId="3" fontId="33" fillId="30" borderId="105" xfId="4" applyNumberFormat="1" applyFont="1" applyFill="1" applyBorder="1" applyAlignment="1" applyProtection="1">
      <alignment horizontal="center"/>
      <protection locked="0"/>
    </xf>
    <xf numFmtId="44" fontId="33" fillId="30" borderId="105" xfId="4" applyFont="1" applyFill="1" applyBorder="1" applyAlignment="1" applyProtection="1">
      <protection locked="0"/>
    </xf>
    <xf numFmtId="44" fontId="33" fillId="30" borderId="106" xfId="4" applyFont="1" applyFill="1" applyBorder="1" applyAlignment="1" applyProtection="1">
      <protection locked="0"/>
    </xf>
    <xf numFmtId="3" fontId="33" fillId="30" borderId="106" xfId="4" applyNumberFormat="1" applyFont="1" applyFill="1" applyBorder="1" applyAlignment="1" applyProtection="1">
      <alignment horizontal="center"/>
      <protection locked="0"/>
    </xf>
    <xf numFmtId="44" fontId="13" fillId="22" borderId="35" xfId="4" applyFont="1" applyFill="1" applyBorder="1" applyAlignment="1" applyProtection="1">
      <alignment horizontal="center"/>
    </xf>
    <xf numFmtId="44" fontId="13" fillId="2" borderId="35" xfId="4" applyFont="1" applyFill="1" applyBorder="1" applyAlignment="1" applyProtection="1">
      <alignment horizontal="center"/>
    </xf>
    <xf numFmtId="1" fontId="67" fillId="2" borderId="35" xfId="0" applyNumberFormat="1" applyFont="1" applyFill="1" applyBorder="1" applyAlignment="1">
      <alignment horizontal="center" vertical="center"/>
    </xf>
    <xf numFmtId="44" fontId="13" fillId="2" borderId="0" xfId="4" applyFont="1" applyFill="1" applyBorder="1" applyAlignment="1" applyProtection="1">
      <alignment horizontal="center"/>
    </xf>
    <xf numFmtId="44" fontId="13" fillId="21" borderId="35" xfId="4" applyFont="1" applyFill="1" applyBorder="1" applyAlignment="1" applyProtection="1">
      <alignment horizontal="center"/>
    </xf>
    <xf numFmtId="1" fontId="39" fillId="24" borderId="35" xfId="0" applyNumberFormat="1" applyFont="1" applyFill="1" applyBorder="1" applyAlignment="1" applyProtection="1">
      <alignment horizontal="center" vertical="center"/>
      <protection locked="0"/>
    </xf>
    <xf numFmtId="2" fontId="67" fillId="24" borderId="35" xfId="0" applyNumberFormat="1" applyFont="1" applyFill="1" applyBorder="1" applyAlignment="1">
      <alignment horizontal="center" vertical="center"/>
    </xf>
    <xf numFmtId="4" fontId="67" fillId="21" borderId="35" xfId="0" applyNumberFormat="1" applyFont="1" applyFill="1" applyBorder="1" applyAlignment="1">
      <alignment horizontal="center" vertical="center"/>
    </xf>
    <xf numFmtId="43" fontId="88" fillId="9" borderId="64" xfId="1" applyFont="1" applyFill="1" applyBorder="1" applyAlignment="1">
      <alignment wrapText="1"/>
    </xf>
    <xf numFmtId="43" fontId="88" fillId="9" borderId="65" xfId="1" applyFont="1" applyFill="1" applyBorder="1" applyAlignment="1">
      <alignment wrapText="1"/>
    </xf>
    <xf numFmtId="43" fontId="88" fillId="9" borderId="48" xfId="1" applyFont="1" applyFill="1" applyBorder="1" applyAlignment="1">
      <alignment wrapText="1"/>
    </xf>
    <xf numFmtId="43" fontId="60" fillId="4" borderId="43" xfId="1" applyFont="1" applyFill="1" applyBorder="1" applyAlignment="1"/>
    <xf numFmtId="0" fontId="60" fillId="2" borderId="29" xfId="0" applyFont="1" applyFill="1" applyBorder="1"/>
    <xf numFmtId="180" fontId="62" fillId="0" borderId="29" xfId="0" applyNumberFormat="1" applyFont="1" applyBorder="1" applyAlignment="1">
      <alignment horizontal="center" vertical="center"/>
    </xf>
    <xf numFmtId="180" fontId="62" fillId="0" borderId="11" xfId="0" applyNumberFormat="1" applyFont="1" applyBorder="1" applyAlignment="1">
      <alignment horizontal="center" vertical="center"/>
    </xf>
    <xf numFmtId="0" fontId="62" fillId="0" borderId="16" xfId="7" applyFont="1" applyBorder="1" applyAlignment="1">
      <alignment vertical="center"/>
    </xf>
    <xf numFmtId="181" fontId="61" fillId="18" borderId="29" xfId="0" applyNumberFormat="1" applyFont="1" applyFill="1" applyBorder="1" applyAlignment="1">
      <alignment horizontal="center" vertical="center"/>
    </xf>
    <xf numFmtId="181" fontId="62" fillId="0" borderId="16" xfId="7" applyNumberFormat="1" applyFont="1" applyBorder="1" applyAlignment="1">
      <alignment vertical="center"/>
    </xf>
    <xf numFmtId="181" fontId="62" fillId="0" borderId="0" xfId="0" applyNumberFormat="1" applyFont="1" applyAlignment="1">
      <alignment vertical="center"/>
    </xf>
    <xf numFmtId="0" fontId="5" fillId="30" borderId="0" xfId="0" applyFont="1" applyFill="1" applyAlignment="1" applyProtection="1">
      <alignment horizontal="center"/>
      <protection locked="0"/>
    </xf>
    <xf numFmtId="0" fontId="3" fillId="24" borderId="0" xfId="0" applyFont="1" applyFill="1" applyAlignment="1" applyProtection="1">
      <alignment horizontal="center"/>
      <protection locked="0"/>
    </xf>
    <xf numFmtId="0" fontId="75" fillId="0" borderId="0" xfId="0" applyFont="1"/>
    <xf numFmtId="0" fontId="0" fillId="2" borderId="78" xfId="0" applyFill="1" applyBorder="1"/>
    <xf numFmtId="4" fontId="79" fillId="21" borderId="35" xfId="0" applyNumberFormat="1" applyFont="1" applyFill="1" applyBorder="1" applyAlignment="1">
      <alignment horizontal="center" vertical="center" wrapText="1"/>
    </xf>
    <xf numFmtId="0" fontId="60" fillId="2" borderId="0" xfId="0" applyFont="1" applyFill="1"/>
    <xf numFmtId="0" fontId="0" fillId="2" borderId="91" xfId="0" applyFill="1" applyBorder="1"/>
    <xf numFmtId="0" fontId="0" fillId="2" borderId="90" xfId="0" applyFill="1" applyBorder="1"/>
    <xf numFmtId="4" fontId="60" fillId="2" borderId="0" xfId="0" applyNumberFormat="1" applyFont="1" applyFill="1"/>
    <xf numFmtId="0" fontId="95" fillId="0" borderId="0" xfId="0" applyFont="1" applyAlignment="1">
      <alignment horizontal="center"/>
    </xf>
    <xf numFmtId="165" fontId="29" fillId="0" borderId="16" xfId="2" applyNumberFormat="1" applyFont="1" applyFill="1" applyBorder="1" applyAlignment="1" applyProtection="1">
      <alignment horizontal="left" indent="1"/>
    </xf>
    <xf numFmtId="4" fontId="61" fillId="4" borderId="16" xfId="0" applyNumberFormat="1" applyFont="1" applyFill="1" applyBorder="1" applyAlignment="1">
      <alignment horizontal="center"/>
    </xf>
    <xf numFmtId="180" fontId="62" fillId="0" borderId="16" xfId="0" applyNumberFormat="1" applyFont="1" applyBorder="1" applyAlignment="1">
      <alignment horizontal="center"/>
    </xf>
    <xf numFmtId="165" fontId="41" fillId="0" borderId="16" xfId="2" applyNumberFormat="1" applyFont="1" applyFill="1" applyBorder="1" applyAlignment="1" applyProtection="1">
      <alignment horizontal="left" indent="1"/>
    </xf>
    <xf numFmtId="180" fontId="62" fillId="0" borderId="29" xfId="0" applyNumberFormat="1" applyFont="1" applyBorder="1" applyAlignment="1">
      <alignment horizontal="center"/>
    </xf>
    <xf numFmtId="0" fontId="32" fillId="18" borderId="49" xfId="0" applyFont="1" applyFill="1" applyBorder="1" applyAlignment="1">
      <alignment horizontal="center" vertical="center"/>
    </xf>
    <xf numFmtId="4" fontId="61" fillId="18" borderId="49" xfId="0" applyNumberFormat="1" applyFont="1" applyFill="1" applyBorder="1" applyAlignment="1">
      <alignment horizontal="center" vertical="center"/>
    </xf>
    <xf numFmtId="174" fontId="61" fillId="18" borderId="49" xfId="0" applyNumberFormat="1" applyFont="1" applyFill="1" applyBorder="1" applyAlignment="1">
      <alignment vertical="center"/>
    </xf>
    <xf numFmtId="0" fontId="29" fillId="0" borderId="0" xfId="0" applyFont="1" applyAlignment="1">
      <alignment horizontal="center"/>
    </xf>
    <xf numFmtId="0" fontId="32" fillId="0" borderId="0" xfId="0" applyFont="1" applyAlignment="1">
      <alignment horizontal="center"/>
    </xf>
    <xf numFmtId="0" fontId="62" fillId="0" borderId="0" xfId="7" applyFont="1" applyAlignment="1">
      <alignment horizontal="center" vertical="center"/>
    </xf>
    <xf numFmtId="4" fontId="62" fillId="0" borderId="16" xfId="0" applyNumberFormat="1" applyFont="1" applyBorder="1" applyAlignment="1">
      <alignment horizontal="center"/>
    </xf>
    <xf numFmtId="0" fontId="29" fillId="0" borderId="29" xfId="0" applyFont="1" applyBorder="1"/>
    <xf numFmtId="0" fontId="52" fillId="0" borderId="29" xfId="0" applyFont="1" applyBorder="1"/>
    <xf numFmtId="165" fontId="41" fillId="0" borderId="29" xfId="2" applyNumberFormat="1" applyFont="1" applyFill="1" applyBorder="1" applyAlignment="1" applyProtection="1">
      <alignment horizontal="left" indent="1"/>
    </xf>
    <xf numFmtId="0" fontId="62" fillId="0" borderId="0" xfId="0" applyFont="1" applyAlignment="1">
      <alignment horizontal="center"/>
    </xf>
    <xf numFmtId="0" fontId="61" fillId="18" borderId="49" xfId="0" applyFont="1" applyFill="1" applyBorder="1" applyAlignment="1">
      <alignment horizontal="center" vertical="center"/>
    </xf>
    <xf numFmtId="0" fontId="61" fillId="0" borderId="0" xfId="0" applyFont="1" applyAlignment="1">
      <alignment vertical="center"/>
    </xf>
    <xf numFmtId="0" fontId="41" fillId="4" borderId="16" xfId="0" applyFont="1" applyFill="1" applyBorder="1" applyAlignment="1">
      <alignment horizontal="left" indent="1"/>
    </xf>
    <xf numFmtId="180" fontId="41" fillId="16" borderId="16" xfId="0" applyNumberFormat="1" applyFont="1" applyFill="1" applyBorder="1" applyAlignment="1">
      <alignment horizontal="left" indent="1"/>
    </xf>
    <xf numFmtId="180" fontId="41" fillId="4" borderId="16" xfId="0" applyNumberFormat="1" applyFont="1" applyFill="1" applyBorder="1" applyAlignment="1">
      <alignment horizontal="center"/>
    </xf>
    <xf numFmtId="0" fontId="41" fillId="4" borderId="29" xfId="0" applyFont="1" applyFill="1" applyBorder="1" applyAlignment="1">
      <alignment horizontal="left" indent="1"/>
    </xf>
    <xf numFmtId="180" fontId="41" fillId="16" borderId="29" xfId="0" applyNumberFormat="1" applyFont="1" applyFill="1" applyBorder="1" applyAlignment="1">
      <alignment horizontal="left" indent="1"/>
    </xf>
    <xf numFmtId="180" fontId="41" fillId="4" borderId="29" xfId="0" applyNumberFormat="1" applyFont="1" applyFill="1" applyBorder="1" applyAlignment="1">
      <alignment horizontal="center"/>
    </xf>
    <xf numFmtId="174" fontId="32" fillId="18" borderId="49" xfId="0" applyNumberFormat="1" applyFont="1" applyFill="1" applyBorder="1" applyAlignment="1">
      <alignment vertical="center"/>
    </xf>
    <xf numFmtId="3" fontId="62" fillId="0" borderId="16" xfId="0" applyNumberFormat="1" applyFont="1" applyBorder="1" applyAlignment="1">
      <alignment horizontal="center" vertical="center"/>
    </xf>
    <xf numFmtId="0" fontId="29" fillId="4" borderId="29" xfId="0" applyFont="1" applyFill="1" applyBorder="1" applyAlignment="1">
      <alignment horizontal="left" indent="1"/>
    </xf>
    <xf numFmtId="0" fontId="29" fillId="4" borderId="29" xfId="0" applyFont="1" applyFill="1" applyBorder="1"/>
    <xf numFmtId="10" fontId="62" fillId="4" borderId="29" xfId="0" applyNumberFormat="1" applyFont="1" applyFill="1" applyBorder="1" applyAlignment="1">
      <alignment horizontal="center" vertical="center"/>
    </xf>
    <xf numFmtId="10" fontId="62" fillId="0" borderId="29" xfId="0" applyNumberFormat="1" applyFont="1" applyBorder="1" applyAlignment="1">
      <alignment horizontal="center" vertical="center"/>
    </xf>
    <xf numFmtId="10" fontId="62" fillId="0" borderId="29" xfId="0" applyNumberFormat="1" applyFont="1" applyBorder="1"/>
    <xf numFmtId="10" fontId="29" fillId="0" borderId="29" xfId="0" applyNumberFormat="1" applyFont="1" applyBorder="1" applyAlignment="1">
      <alignment horizontal="center" vertical="center"/>
    </xf>
    <xf numFmtId="174" fontId="29" fillId="0" borderId="29" xfId="0" applyNumberFormat="1" applyFont="1" applyBorder="1" applyAlignment="1">
      <alignment horizontal="center" vertical="center"/>
    </xf>
    <xf numFmtId="4" fontId="62" fillId="0" borderId="29" xfId="0" applyNumberFormat="1" applyFont="1" applyBorder="1"/>
    <xf numFmtId="0" fontId="62" fillId="0" borderId="29" xfId="0" applyFont="1" applyBorder="1" applyAlignment="1">
      <alignment horizontal="center" vertical="center"/>
    </xf>
    <xf numFmtId="0" fontId="4" fillId="9" borderId="126" xfId="0" applyFont="1" applyFill="1" applyBorder="1"/>
    <xf numFmtId="0" fontId="0" fillId="9" borderId="127" xfId="0" applyFill="1" applyBorder="1"/>
    <xf numFmtId="0" fontId="4" fillId="9" borderId="127" xfId="0" applyFont="1" applyFill="1" applyBorder="1" applyAlignment="1">
      <alignment horizontal="center" wrapText="1"/>
    </xf>
    <xf numFmtId="0" fontId="4" fillId="9" borderId="127" xfId="0" applyFont="1" applyFill="1" applyBorder="1" applyAlignment="1">
      <alignment horizontal="center" vertical="center" wrapText="1"/>
    </xf>
    <xf numFmtId="0" fontId="0" fillId="9" borderId="127" xfId="0" applyFill="1" applyBorder="1" applyAlignment="1">
      <alignment horizontal="center"/>
    </xf>
    <xf numFmtId="0" fontId="4" fillId="9" borderId="127" xfId="0" applyFont="1" applyFill="1" applyBorder="1" applyAlignment="1">
      <alignment horizontal="center" vertical="center"/>
    </xf>
    <xf numFmtId="0" fontId="4" fillId="9" borderId="128" xfId="0" applyFont="1" applyFill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60" fillId="2" borderId="0" xfId="0" applyFont="1" applyFill="1" applyAlignment="1">
      <alignment horizontal="center"/>
    </xf>
    <xf numFmtId="10" fontId="95" fillId="0" borderId="0" xfId="2" applyNumberFormat="1" applyFont="1" applyFill="1" applyBorder="1" applyAlignment="1" applyProtection="1">
      <alignment horizontal="center"/>
    </xf>
    <xf numFmtId="4" fontId="60" fillId="0" borderId="0" xfId="0" applyNumberFormat="1" applyFont="1" applyAlignment="1">
      <alignment horizontal="center"/>
    </xf>
    <xf numFmtId="4" fontId="60" fillId="0" borderId="32" xfId="0" applyNumberFormat="1" applyFont="1" applyBorder="1"/>
    <xf numFmtId="0" fontId="0" fillId="0" borderId="25" xfId="0" applyBorder="1"/>
    <xf numFmtId="0" fontId="95" fillId="0" borderId="26" xfId="0" applyFont="1" applyBorder="1" applyAlignment="1">
      <alignment horizontal="center"/>
    </xf>
    <xf numFmtId="0" fontId="19" fillId="0" borderId="26" xfId="0" applyFont="1" applyBorder="1" applyAlignment="1">
      <alignment horizontal="center"/>
    </xf>
    <xf numFmtId="10" fontId="60" fillId="0" borderId="26" xfId="2" applyNumberFormat="1" applyFont="1" applyFill="1" applyBorder="1" applyAlignment="1" applyProtection="1">
      <alignment horizontal="center"/>
    </xf>
    <xf numFmtId="4" fontId="0" fillId="0" borderId="26" xfId="0" applyNumberFormat="1" applyBorder="1" applyAlignment="1">
      <alignment horizontal="center"/>
    </xf>
    <xf numFmtId="0" fontId="0" fillId="0" borderId="27" xfId="0" applyBorder="1"/>
    <xf numFmtId="0" fontId="4" fillId="9" borderId="10" xfId="0" applyFont="1" applyFill="1" applyBorder="1"/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60" fillId="9" borderId="11" xfId="0" applyFont="1" applyFill="1" applyBorder="1" applyAlignment="1">
      <alignment horizontal="center"/>
    </xf>
    <xf numFmtId="0" fontId="60" fillId="9" borderId="12" xfId="0" applyFont="1" applyFill="1" applyBorder="1" applyAlignment="1">
      <alignment horizontal="center"/>
    </xf>
    <xf numFmtId="4" fontId="60" fillId="0" borderId="32" xfId="0" applyNumberFormat="1" applyFont="1" applyBorder="1" applyAlignment="1">
      <alignment horizontal="center"/>
    </xf>
    <xf numFmtId="168" fontId="95" fillId="0" borderId="125" xfId="2" applyNumberFormat="1" applyFont="1" applyFill="1" applyBorder="1" applyAlignment="1" applyProtection="1">
      <alignment horizontal="center"/>
    </xf>
    <xf numFmtId="0" fontId="60" fillId="0" borderId="32" xfId="0" applyFont="1" applyBorder="1" applyAlignment="1">
      <alignment horizontal="center"/>
    </xf>
    <xf numFmtId="0" fontId="0" fillId="0" borderId="29" xfId="0" applyBorder="1" applyAlignment="1">
      <alignment horizontal="center"/>
    </xf>
    <xf numFmtId="168" fontId="0" fillId="0" borderId="29" xfId="2" applyNumberFormat="1" applyFont="1" applyBorder="1" applyAlignment="1" applyProtection="1">
      <alignment horizontal="center"/>
    </xf>
    <xf numFmtId="4" fontId="13" fillId="0" borderId="29" xfId="0" applyNumberFormat="1" applyFont="1" applyBorder="1" applyAlignment="1">
      <alignment horizontal="center"/>
    </xf>
    <xf numFmtId="0" fontId="4" fillId="10" borderId="10" xfId="0" applyFont="1" applyFill="1" applyBorder="1"/>
    <xf numFmtId="0" fontId="0" fillId="10" borderId="11" xfId="0" applyFill="1" applyBorder="1"/>
    <xf numFmtId="0" fontId="4" fillId="10" borderId="11" xfId="0" applyFont="1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60" fillId="10" borderId="11" xfId="0" applyFont="1" applyFill="1" applyBorder="1" applyAlignment="1">
      <alignment horizontal="center"/>
    </xf>
    <xf numFmtId="0" fontId="60" fillId="10" borderId="12" xfId="0" applyFont="1" applyFill="1" applyBorder="1" applyAlignment="1">
      <alignment horizontal="center"/>
    </xf>
    <xf numFmtId="0" fontId="4" fillId="0" borderId="31" xfId="0" applyFont="1" applyBorder="1"/>
    <xf numFmtId="4" fontId="13" fillId="0" borderId="30" xfId="0" applyNumberFormat="1" applyFont="1" applyBorder="1" applyAlignment="1">
      <alignment horizontal="center"/>
    </xf>
    <xf numFmtId="0" fontId="4" fillId="33" borderId="10" xfId="0" applyFont="1" applyFill="1" applyBorder="1"/>
    <xf numFmtId="0" fontId="0" fillId="33" borderId="11" xfId="0" applyFill="1" applyBorder="1"/>
    <xf numFmtId="0" fontId="4" fillId="33" borderId="11" xfId="0" applyFont="1" applyFill="1" applyBorder="1" applyAlignment="1">
      <alignment horizontal="center"/>
    </xf>
    <xf numFmtId="0" fontId="0" fillId="33" borderId="11" xfId="0" applyFill="1" applyBorder="1" applyAlignment="1">
      <alignment horizontal="center"/>
    </xf>
    <xf numFmtId="0" fontId="60" fillId="33" borderId="11" xfId="0" applyFont="1" applyFill="1" applyBorder="1" applyAlignment="1">
      <alignment horizontal="center"/>
    </xf>
    <xf numFmtId="0" fontId="60" fillId="33" borderId="12" xfId="0" applyFont="1" applyFill="1" applyBorder="1" applyAlignment="1">
      <alignment horizontal="center"/>
    </xf>
    <xf numFmtId="4" fontId="60" fillId="0" borderId="16" xfId="0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44" fontId="60" fillId="0" borderId="0" xfId="4" applyFont="1" applyAlignment="1" applyProtection="1">
      <alignment horizontal="center"/>
    </xf>
    <xf numFmtId="0" fontId="4" fillId="9" borderId="28" xfId="0" applyFont="1" applyFill="1" applyBorder="1"/>
    <xf numFmtId="0" fontId="4" fillId="9" borderId="29" xfId="0" applyFont="1" applyFill="1" applyBorder="1"/>
    <xf numFmtId="0" fontId="4" fillId="9" borderId="30" xfId="0" applyFont="1" applyFill="1" applyBorder="1"/>
    <xf numFmtId="0" fontId="4" fillId="10" borderId="43" xfId="0" applyFont="1" applyFill="1" applyBorder="1" applyAlignment="1">
      <alignment horizontal="center"/>
    </xf>
    <xf numFmtId="0" fontId="4" fillId="33" borderId="43" xfId="0" applyFont="1" applyFill="1" applyBorder="1" applyAlignment="1">
      <alignment horizontal="center"/>
    </xf>
    <xf numFmtId="0" fontId="4" fillId="9" borderId="43" xfId="0" applyFont="1" applyFill="1" applyBorder="1" applyAlignment="1">
      <alignment horizontal="center"/>
    </xf>
    <xf numFmtId="0" fontId="4" fillId="21" borderId="43" xfId="0" applyFont="1" applyFill="1" applyBorder="1" applyAlignment="1">
      <alignment horizontal="center"/>
    </xf>
    <xf numFmtId="10" fontId="5" fillId="24" borderId="103" xfId="2" applyNumberFormat="1" applyFont="1" applyFill="1" applyBorder="1" applyAlignment="1" applyProtection="1">
      <alignment horizontal="center"/>
      <protection locked="0"/>
    </xf>
    <xf numFmtId="10" fontId="5" fillId="24" borderId="125" xfId="2" applyNumberFormat="1" applyFont="1" applyFill="1" applyBorder="1" applyAlignment="1" applyProtection="1">
      <alignment horizontal="center"/>
      <protection locked="0"/>
    </xf>
    <xf numFmtId="168" fontId="5" fillId="24" borderId="125" xfId="2" applyNumberFormat="1" applyFont="1" applyFill="1" applyBorder="1" applyAlignment="1" applyProtection="1">
      <alignment horizontal="center"/>
      <protection locked="0"/>
    </xf>
    <xf numFmtId="0" fontId="60" fillId="0" borderId="0" xfId="0" applyFont="1" applyAlignment="1">
      <alignment horizontal="center"/>
    </xf>
    <xf numFmtId="3" fontId="60" fillId="0" borderId="0" xfId="0" applyNumberFormat="1" applyFont="1" applyAlignment="1">
      <alignment horizontal="center"/>
    </xf>
    <xf numFmtId="4" fontId="60" fillId="0" borderId="46" xfId="0" applyNumberFormat="1" applyFont="1" applyBorder="1"/>
    <xf numFmtId="4" fontId="60" fillId="0" borderId="48" xfId="0" applyNumberFormat="1" applyFont="1" applyBorder="1"/>
    <xf numFmtId="4" fontId="60" fillId="4" borderId="48" xfId="0" applyNumberFormat="1" applyFont="1" applyFill="1" applyBorder="1"/>
    <xf numFmtId="4" fontId="60" fillId="0" borderId="47" xfId="0" applyNumberFormat="1" applyFont="1" applyBorder="1"/>
    <xf numFmtId="0" fontId="60" fillId="0" borderId="48" xfId="0" applyFont="1" applyBorder="1"/>
    <xf numFmtId="0" fontId="60" fillId="4" borderId="48" xfId="0" applyFont="1" applyFill="1" applyBorder="1"/>
    <xf numFmtId="0" fontId="60" fillId="0" borderId="47" xfId="0" applyFont="1" applyBorder="1"/>
    <xf numFmtId="168" fontId="33" fillId="7" borderId="0" xfId="2" applyNumberFormat="1" applyFont="1" applyFill="1" applyBorder="1" applyAlignment="1" applyProtection="1">
      <alignment horizontal="center"/>
    </xf>
    <xf numFmtId="4" fontId="4" fillId="0" borderId="29" xfId="0" applyNumberFormat="1" applyFont="1" applyBorder="1"/>
    <xf numFmtId="4" fontId="5" fillId="0" borderId="0" xfId="0" applyNumberFormat="1" applyFont="1"/>
    <xf numFmtId="10" fontId="5" fillId="0" borderId="0" xfId="2" applyNumberFormat="1" applyFont="1"/>
    <xf numFmtId="0" fontId="0" fillId="0" borderId="0" xfId="0" applyAlignment="1">
      <alignment horizontal="right"/>
    </xf>
    <xf numFmtId="0" fontId="21" fillId="4" borderId="29" xfId="0" applyFont="1" applyFill="1" applyBorder="1" applyAlignment="1">
      <alignment horizontal="center" vertical="center"/>
    </xf>
    <xf numFmtId="175" fontId="60" fillId="0" borderId="0" xfId="0" applyNumberFormat="1" applyFont="1" applyAlignment="1">
      <alignment horizontal="center"/>
    </xf>
    <xf numFmtId="175" fontId="76" fillId="24" borderId="77" xfId="0" applyNumberFormat="1" applyFont="1" applyFill="1" applyBorder="1" applyAlignment="1" applyProtection="1">
      <alignment horizontal="center"/>
      <protection locked="0"/>
    </xf>
    <xf numFmtId="4" fontId="18" fillId="0" borderId="0" xfId="0" applyNumberFormat="1" applyFont="1"/>
    <xf numFmtId="0" fontId="32" fillId="0" borderId="0" xfId="7" applyFont="1" applyAlignment="1">
      <alignment vertical="center"/>
    </xf>
    <xf numFmtId="4" fontId="61" fillId="0" borderId="0" xfId="0" applyNumberFormat="1" applyFont="1"/>
    <xf numFmtId="44" fontId="3" fillId="6" borderId="75" xfId="4" applyFont="1" applyFill="1" applyBorder="1" applyAlignment="1" applyProtection="1">
      <alignment horizontal="center"/>
      <protection locked="0"/>
    </xf>
    <xf numFmtId="0" fontId="21" fillId="2" borderId="0" xfId="0" applyFont="1" applyFill="1" applyAlignment="1">
      <alignment horizontal="left" vertical="center"/>
    </xf>
    <xf numFmtId="0" fontId="91" fillId="0" borderId="0" xfId="7" applyFont="1" applyAlignment="1">
      <alignment vertical="center"/>
    </xf>
    <xf numFmtId="43" fontId="13" fillId="0" borderId="31" xfId="0" applyNumberFormat="1" applyFont="1" applyBorder="1"/>
    <xf numFmtId="4" fontId="3" fillId="0" borderId="16" xfId="0" applyNumberFormat="1" applyFont="1" applyBorder="1" applyAlignment="1" applyProtection="1">
      <alignment horizontal="center"/>
      <protection locked="0"/>
    </xf>
    <xf numFmtId="167" fontId="3" fillId="24" borderId="78" xfId="0" applyNumberFormat="1" applyFont="1" applyFill="1" applyBorder="1" applyAlignment="1" applyProtection="1">
      <alignment horizontal="center"/>
      <protection locked="0"/>
    </xf>
    <xf numFmtId="0" fontId="23" fillId="0" borderId="0" xfId="0" applyFont="1"/>
    <xf numFmtId="0" fontId="96" fillId="0" borderId="11" xfId="7" applyFont="1" applyBorder="1" applyAlignment="1">
      <alignment horizontal="left" vertical="center"/>
    </xf>
    <xf numFmtId="0" fontId="23" fillId="0" borderId="11" xfId="0" applyFont="1" applyBorder="1"/>
    <xf numFmtId="4" fontId="97" fillId="0" borderId="11" xfId="0" applyNumberFormat="1" applyFont="1" applyBorder="1"/>
    <xf numFmtId="0" fontId="96" fillId="0" borderId="0" xfId="7" applyFont="1" applyAlignment="1">
      <alignment horizontal="left" vertical="center"/>
    </xf>
    <xf numFmtId="4" fontId="97" fillId="0" borderId="0" xfId="0" applyNumberFormat="1" applyFont="1"/>
    <xf numFmtId="0" fontId="96" fillId="0" borderId="16" xfId="7" applyFont="1" applyBorder="1" applyAlignment="1">
      <alignment horizontal="left" vertical="center"/>
    </xf>
    <xf numFmtId="0" fontId="96" fillId="0" borderId="16" xfId="0" applyFont="1" applyBorder="1"/>
    <xf numFmtId="0" fontId="23" fillId="0" borderId="16" xfId="0" applyFont="1" applyBorder="1"/>
    <xf numFmtId="4" fontId="97" fillId="0" borderId="16" xfId="0" applyNumberFormat="1" applyFont="1" applyBorder="1"/>
    <xf numFmtId="0" fontId="17" fillId="0" borderId="0" xfId="0" applyFont="1"/>
    <xf numFmtId="0" fontId="34" fillId="0" borderId="69" xfId="0" applyFont="1" applyBorder="1" applyProtection="1">
      <protection locked="0"/>
    </xf>
    <xf numFmtId="4" fontId="60" fillId="2" borderId="0" xfId="0" applyNumberFormat="1" applyFont="1" applyFill="1" applyAlignment="1">
      <alignment horizontal="center"/>
    </xf>
    <xf numFmtId="3" fontId="3" fillId="12" borderId="35" xfId="4" applyNumberFormat="1" applyFont="1" applyFill="1" applyBorder="1" applyAlignment="1" applyProtection="1">
      <alignment horizontal="center"/>
      <protection locked="0"/>
    </xf>
    <xf numFmtId="0" fontId="81" fillId="2" borderId="100" xfId="0" applyFont="1" applyFill="1" applyBorder="1" applyAlignment="1">
      <alignment horizontal="center" vertical="center"/>
    </xf>
    <xf numFmtId="0" fontId="81" fillId="2" borderId="58" xfId="0" applyFont="1" applyFill="1" applyBorder="1" applyAlignment="1">
      <alignment vertical="center"/>
    </xf>
    <xf numFmtId="186" fontId="89" fillId="12" borderId="100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42" xfId="0" applyFill="1" applyBorder="1"/>
    <xf numFmtId="0" fontId="0" fillId="2" borderId="44" xfId="0" applyFill="1" applyBorder="1"/>
    <xf numFmtId="0" fontId="4" fillId="2" borderId="44" xfId="0" applyFont="1" applyFill="1" applyBorder="1"/>
    <xf numFmtId="3" fontId="89" fillId="12" borderId="100" xfId="0" applyNumberFormat="1" applyFont="1" applyFill="1" applyBorder="1" applyAlignment="1" applyProtection="1">
      <alignment horizontal="center" vertical="center" wrapText="1"/>
      <protection locked="0"/>
    </xf>
    <xf numFmtId="3" fontId="79" fillId="21" borderId="75" xfId="0" applyNumberFormat="1" applyFont="1" applyFill="1" applyBorder="1" applyAlignment="1">
      <alignment horizontal="center" vertical="center" wrapText="1"/>
    </xf>
    <xf numFmtId="8" fontId="3" fillId="12" borderId="35" xfId="4" applyNumberFormat="1" applyFont="1" applyFill="1" applyBorder="1" applyAlignment="1" applyProtection="1">
      <alignment horizontal="center"/>
      <protection locked="0"/>
    </xf>
    <xf numFmtId="10" fontId="62" fillId="0" borderId="0" xfId="2" applyNumberFormat="1" applyFont="1"/>
    <xf numFmtId="0" fontId="4" fillId="16" borderId="60" xfId="0" applyFont="1" applyFill="1" applyBorder="1" applyAlignment="1">
      <alignment horizontal="center" vertical="center" wrapText="1"/>
    </xf>
    <xf numFmtId="0" fontId="4" fillId="16" borderId="99" xfId="0" applyFont="1" applyFill="1" applyBorder="1" applyAlignment="1">
      <alignment horizontal="center" vertical="center" wrapText="1"/>
    </xf>
    <xf numFmtId="0" fontId="4" fillId="16" borderId="90" xfId="0" applyFont="1" applyFill="1" applyBorder="1" applyAlignment="1">
      <alignment horizontal="center" vertical="center" wrapText="1"/>
    </xf>
    <xf numFmtId="0" fontId="4" fillId="16" borderId="130" xfId="0" applyFont="1" applyFill="1" applyBorder="1" applyAlignment="1">
      <alignment horizontal="center" vertical="center" wrapText="1"/>
    </xf>
    <xf numFmtId="0" fontId="4" fillId="16" borderId="131" xfId="0" applyFont="1" applyFill="1" applyBorder="1" applyAlignment="1">
      <alignment horizontal="center" vertical="center" wrapText="1"/>
    </xf>
    <xf numFmtId="0" fontId="4" fillId="16" borderId="132" xfId="0" applyFont="1" applyFill="1" applyBorder="1" applyAlignment="1">
      <alignment horizontal="center" vertical="center" wrapText="1"/>
    </xf>
    <xf numFmtId="0" fontId="4" fillId="16" borderId="133" xfId="0" applyFont="1" applyFill="1" applyBorder="1" applyAlignment="1">
      <alignment horizontal="center" vertical="center" wrapText="1"/>
    </xf>
    <xf numFmtId="0" fontId="4" fillId="16" borderId="100" xfId="0" applyFont="1" applyFill="1" applyBorder="1" applyAlignment="1">
      <alignment horizontal="center" vertical="center" wrapText="1"/>
    </xf>
    <xf numFmtId="10" fontId="3" fillId="6" borderId="69" xfId="0" applyNumberFormat="1" applyFont="1" applyFill="1" applyBorder="1" applyAlignment="1" applyProtection="1">
      <alignment horizontal="center"/>
      <protection locked="0"/>
    </xf>
    <xf numFmtId="10" fontId="3" fillId="6" borderId="82" xfId="0" applyNumberFormat="1" applyFont="1" applyFill="1" applyBorder="1" applyAlignment="1" applyProtection="1">
      <alignment horizontal="center"/>
      <protection locked="0"/>
    </xf>
    <xf numFmtId="44" fontId="3" fillId="12" borderId="75" xfId="4" applyFont="1" applyFill="1" applyBorder="1" applyAlignment="1" applyProtection="1">
      <alignment horizontal="center"/>
      <protection locked="0"/>
    </xf>
    <xf numFmtId="0" fontId="19" fillId="3" borderId="35" xfId="0" applyFont="1" applyFill="1" applyBorder="1" applyAlignment="1">
      <alignment horizontal="left" vertical="center"/>
    </xf>
    <xf numFmtId="0" fontId="19" fillId="3" borderId="35" xfId="0" applyFont="1" applyFill="1" applyBorder="1" applyAlignment="1">
      <alignment horizontal="center" vertical="center"/>
    </xf>
    <xf numFmtId="10" fontId="19" fillId="3" borderId="69" xfId="9" applyNumberFormat="1" applyFont="1" applyFill="1" applyBorder="1" applyAlignment="1">
      <alignment horizontal="right"/>
    </xf>
    <xf numFmtId="10" fontId="60" fillId="9" borderId="29" xfId="0" applyNumberFormat="1" applyFont="1" applyFill="1" applyBorder="1" applyAlignment="1">
      <alignment horizontal="center" vertical="center"/>
    </xf>
    <xf numFmtId="10" fontId="19" fillId="3" borderId="69" xfId="9" applyNumberFormat="1" applyFont="1" applyFill="1" applyBorder="1"/>
    <xf numFmtId="0" fontId="19" fillId="3" borderId="69" xfId="0" applyFont="1" applyFill="1" applyBorder="1" applyAlignment="1">
      <alignment horizontal="right"/>
    </xf>
    <xf numFmtId="0" fontId="19" fillId="3" borderId="69" xfId="0" applyFont="1" applyFill="1" applyBorder="1"/>
    <xf numFmtId="0" fontId="19" fillId="3" borderId="69" xfId="0" applyFont="1" applyFill="1" applyBorder="1" applyAlignment="1">
      <alignment horizontal="center"/>
    </xf>
    <xf numFmtId="0" fontId="19" fillId="3" borderId="99" xfId="0" applyFont="1" applyFill="1" applyBorder="1" applyAlignment="1">
      <alignment vertical="center"/>
    </xf>
    <xf numFmtId="0" fontId="19" fillId="3" borderId="91" xfId="0" applyFont="1" applyFill="1" applyBorder="1" applyAlignment="1">
      <alignment vertical="center"/>
    </xf>
    <xf numFmtId="10" fontId="19" fillId="3" borderId="91" xfId="0" applyNumberFormat="1" applyFont="1" applyFill="1" applyBorder="1" applyAlignment="1">
      <alignment vertical="center"/>
    </xf>
    <xf numFmtId="0" fontId="19" fillId="3" borderId="101" xfId="0" applyFont="1" applyFill="1" applyBorder="1" applyAlignment="1">
      <alignment horizontal="left" vertical="center"/>
    </xf>
    <xf numFmtId="0" fontId="19" fillId="3" borderId="90" xfId="0" applyFont="1" applyFill="1" applyBorder="1" applyAlignment="1">
      <alignment horizontal="left" vertical="center"/>
    </xf>
    <xf numFmtId="0" fontId="19" fillId="3" borderId="90" xfId="0" applyFont="1" applyFill="1" applyBorder="1" applyAlignment="1">
      <alignment vertical="center"/>
    </xf>
    <xf numFmtId="0" fontId="14" fillId="15" borderId="78" xfId="0" applyFont="1" applyFill="1" applyBorder="1" applyAlignment="1">
      <alignment vertical="center" wrapText="1"/>
    </xf>
    <xf numFmtId="0" fontId="19" fillId="15" borderId="82" xfId="0" applyFont="1" applyFill="1" applyBorder="1" applyAlignment="1">
      <alignment vertical="center"/>
    </xf>
    <xf numFmtId="10" fontId="14" fillId="15" borderId="82" xfId="0" applyNumberFormat="1" applyFont="1" applyFill="1" applyBorder="1" applyAlignment="1">
      <alignment horizontal="center" vertical="center" wrapText="1"/>
    </xf>
    <xf numFmtId="3" fontId="3" fillId="6" borderId="69" xfId="0" applyNumberFormat="1" applyFont="1" applyFill="1" applyBorder="1" applyAlignment="1" applyProtection="1">
      <alignment horizontal="center"/>
      <protection locked="0"/>
    </xf>
    <xf numFmtId="170" fontId="0" fillId="0" borderId="0" xfId="0" applyNumberFormat="1"/>
    <xf numFmtId="44" fontId="13" fillId="15" borderId="35" xfId="4" applyFont="1" applyFill="1" applyBorder="1" applyAlignment="1" applyProtection="1">
      <alignment horizontal="center"/>
      <protection locked="0"/>
    </xf>
    <xf numFmtId="44" fontId="79" fillId="21" borderId="75" xfId="4" applyFont="1" applyFill="1" applyBorder="1" applyAlignment="1">
      <alignment horizontal="center" vertical="center" wrapText="1"/>
    </xf>
    <xf numFmtId="0" fontId="56" fillId="2" borderId="0" xfId="0" applyFont="1" applyFill="1"/>
    <xf numFmtId="0" fontId="0" fillId="16" borderId="75" xfId="0" applyFill="1" applyBorder="1" applyAlignment="1">
      <alignment horizontal="center" vertical="center"/>
    </xf>
    <xf numFmtId="0" fontId="0" fillId="4" borderId="82" xfId="0" applyFill="1" applyBorder="1"/>
    <xf numFmtId="10" fontId="3" fillId="6" borderId="135" xfId="0" applyNumberFormat="1" applyFont="1" applyFill="1" applyBorder="1" applyAlignment="1" applyProtection="1">
      <alignment horizontal="center" vertical="center"/>
      <protection locked="0"/>
    </xf>
    <xf numFmtId="10" fontId="3" fillId="6" borderId="137" xfId="0" applyNumberFormat="1" applyFont="1" applyFill="1" applyBorder="1" applyAlignment="1" applyProtection="1">
      <alignment horizontal="center" vertical="center"/>
      <protection locked="0"/>
    </xf>
    <xf numFmtId="0" fontId="12" fillId="3" borderId="0" xfId="0" applyFont="1" applyFill="1" applyAlignment="1">
      <alignment horizontal="right" vertical="center"/>
    </xf>
    <xf numFmtId="168" fontId="19" fillId="21" borderId="134" xfId="4" applyNumberFormat="1" applyFont="1" applyFill="1" applyBorder="1" applyAlignment="1" applyProtection="1">
      <alignment horizontal="center" vertical="center"/>
    </xf>
    <xf numFmtId="168" fontId="19" fillId="21" borderId="136" xfId="4" applyNumberFormat="1" applyFont="1" applyFill="1" applyBorder="1" applyAlignment="1" applyProtection="1">
      <alignment horizontal="center" vertical="center"/>
    </xf>
    <xf numFmtId="0" fontId="77" fillId="33" borderId="35" xfId="0" applyFont="1" applyFill="1" applyBorder="1" applyAlignment="1">
      <alignment horizontal="center" vertical="center" wrapText="1"/>
    </xf>
    <xf numFmtId="4" fontId="13" fillId="21" borderId="75" xfId="0" applyNumberFormat="1" applyFont="1" applyFill="1" applyBorder="1" applyAlignment="1">
      <alignment horizontal="center"/>
    </xf>
    <xf numFmtId="4" fontId="67" fillId="15" borderId="35" xfId="0" applyNumberFormat="1" applyFont="1" applyFill="1" applyBorder="1" applyAlignment="1" applyProtection="1">
      <alignment horizontal="center" vertical="center"/>
      <protection locked="0"/>
    </xf>
    <xf numFmtId="4" fontId="67" fillId="15" borderId="60" xfId="0" applyNumberFormat="1" applyFont="1" applyFill="1" applyBorder="1" applyAlignment="1" applyProtection="1">
      <alignment horizontal="center" vertical="center"/>
      <protection locked="0"/>
    </xf>
    <xf numFmtId="4" fontId="67" fillId="15" borderId="73" xfId="0" applyNumberFormat="1" applyFont="1" applyFill="1" applyBorder="1" applyAlignment="1" applyProtection="1">
      <alignment horizontal="center" vertical="center"/>
      <protection locked="0"/>
    </xf>
    <xf numFmtId="4" fontId="67" fillId="15" borderId="59" xfId="0" applyNumberFormat="1" applyFont="1" applyFill="1" applyBorder="1" applyAlignment="1" applyProtection="1">
      <alignment horizontal="center" vertical="center"/>
      <protection locked="0"/>
    </xf>
    <xf numFmtId="0" fontId="39" fillId="12" borderId="118" xfId="0" applyFont="1" applyFill="1" applyBorder="1" applyAlignment="1" applyProtection="1">
      <alignment horizontal="center" vertical="center"/>
      <protection locked="0"/>
    </xf>
    <xf numFmtId="4" fontId="67" fillId="15" borderId="100" xfId="0" applyNumberFormat="1" applyFont="1" applyFill="1" applyBorder="1" applyAlignment="1" applyProtection="1">
      <alignment horizontal="center" vertical="center"/>
      <protection locked="0"/>
    </xf>
    <xf numFmtId="3" fontId="0" fillId="0" borderId="0" xfId="0" applyNumberFormat="1"/>
    <xf numFmtId="0" fontId="0" fillId="9" borderId="1" xfId="0" applyFill="1" applyBorder="1"/>
    <xf numFmtId="0" fontId="0" fillId="9" borderId="2" xfId="0" applyFill="1" applyBorder="1"/>
    <xf numFmtId="0" fontId="0" fillId="9" borderId="3" xfId="0" applyFill="1" applyBorder="1"/>
    <xf numFmtId="0" fontId="0" fillId="9" borderId="9" xfId="0" applyFill="1" applyBorder="1"/>
    <xf numFmtId="0" fontId="0" fillId="9" borderId="13" xfId="0" applyFill="1" applyBorder="1"/>
    <xf numFmtId="0" fontId="0" fillId="9" borderId="5" xfId="0" applyFill="1" applyBorder="1"/>
    <xf numFmtId="0" fontId="0" fillId="9" borderId="6" xfId="0" applyFill="1" applyBorder="1"/>
    <xf numFmtId="0" fontId="0" fillId="9" borderId="7" xfId="0" applyFill="1" applyBorder="1"/>
    <xf numFmtId="185" fontId="102" fillId="9" borderId="0" xfId="0" applyNumberFormat="1" applyFont="1" applyFill="1"/>
    <xf numFmtId="185" fontId="103" fillId="9" borderId="0" xfId="0" applyNumberFormat="1" applyFont="1" applyFill="1"/>
    <xf numFmtId="185" fontId="103" fillId="8" borderId="0" xfId="0" applyNumberFormat="1" applyFont="1" applyFill="1"/>
    <xf numFmtId="0" fontId="14" fillId="8" borderId="10" xfId="0" applyFont="1" applyFill="1" applyBorder="1"/>
    <xf numFmtId="0" fontId="14" fillId="8" borderId="12" xfId="0" applyFont="1" applyFill="1" applyBorder="1"/>
    <xf numFmtId="0" fontId="0" fillId="8" borderId="31" xfId="0" applyFill="1" applyBorder="1"/>
    <xf numFmtId="0" fontId="0" fillId="8" borderId="32" xfId="0" applyFill="1" applyBorder="1"/>
    <xf numFmtId="4" fontId="0" fillId="8" borderId="32" xfId="0" applyNumberFormat="1" applyFill="1" applyBorder="1" applyAlignment="1">
      <alignment horizontal="center"/>
    </xf>
    <xf numFmtId="0" fontId="0" fillId="8" borderId="15" xfId="0" applyFill="1" applyBorder="1"/>
    <xf numFmtId="0" fontId="0" fillId="8" borderId="17" xfId="0" applyFill="1" applyBorder="1"/>
    <xf numFmtId="0" fontId="0" fillId="8" borderId="16" xfId="0" applyFill="1" applyBorder="1"/>
    <xf numFmtId="185" fontId="102" fillId="0" borderId="0" xfId="0" applyNumberFormat="1" applyFont="1"/>
    <xf numFmtId="185" fontId="103" fillId="0" borderId="0" xfId="0" applyNumberFormat="1" applyFont="1"/>
    <xf numFmtId="185" fontId="103" fillId="0" borderId="16" xfId="0" applyNumberFormat="1" applyFont="1" applyBorder="1"/>
    <xf numFmtId="0" fontId="4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10" borderId="31" xfId="0" applyFill="1" applyBorder="1"/>
    <xf numFmtId="0" fontId="0" fillId="10" borderId="32" xfId="0" applyFill="1" applyBorder="1"/>
    <xf numFmtId="185" fontId="102" fillId="10" borderId="31" xfId="0" applyNumberFormat="1" applyFont="1" applyFill="1" applyBorder="1"/>
    <xf numFmtId="185" fontId="103" fillId="10" borderId="31" xfId="0" applyNumberFormat="1" applyFont="1" applyFill="1" applyBorder="1"/>
    <xf numFmtId="0" fontId="0" fillId="10" borderId="15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7" borderId="31" xfId="0" applyFill="1" applyBorder="1"/>
    <xf numFmtId="0" fontId="0" fillId="7" borderId="0" xfId="0" applyFill="1"/>
    <xf numFmtId="0" fontId="0" fillId="7" borderId="32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185" fontId="103" fillId="0" borderId="31" xfId="0" applyNumberFormat="1" applyFont="1" applyBorder="1"/>
    <xf numFmtId="170" fontId="13" fillId="2" borderId="35" xfId="1" applyNumberFormat="1" applyFont="1" applyFill="1" applyBorder="1" applyAlignment="1">
      <alignment horizontal="center"/>
    </xf>
    <xf numFmtId="185" fontId="103" fillId="0" borderId="15" xfId="0" applyNumberFormat="1" applyFont="1" applyBorder="1"/>
    <xf numFmtId="185" fontId="103" fillId="9" borderId="0" xfId="0" applyNumberFormat="1" applyFont="1" applyFill="1" applyAlignment="1">
      <alignment horizontal="center"/>
    </xf>
    <xf numFmtId="3" fontId="13" fillId="4" borderId="0" xfId="0" applyNumberFormat="1" applyFont="1" applyFill="1"/>
    <xf numFmtId="41" fontId="13" fillId="4" borderId="0" xfId="0" applyNumberFormat="1" applyFont="1" applyFill="1"/>
    <xf numFmtId="0" fontId="4" fillId="4" borderId="138" xfId="0" applyFont="1" applyFill="1" applyBorder="1"/>
    <xf numFmtId="3" fontId="13" fillId="4" borderId="138" xfId="0" applyNumberFormat="1" applyFont="1" applyFill="1" applyBorder="1"/>
    <xf numFmtId="41" fontId="13" fillId="4" borderId="138" xfId="0" applyNumberFormat="1" applyFont="1" applyFill="1" applyBorder="1"/>
    <xf numFmtId="0" fontId="0" fillId="10" borderId="139" xfId="0" applyFill="1" applyBorder="1"/>
    <xf numFmtId="3" fontId="60" fillId="10" borderId="139" xfId="0" applyNumberFormat="1" applyFont="1" applyFill="1" applyBorder="1"/>
    <xf numFmtId="0" fontId="0" fillId="10" borderId="140" xfId="0" applyFill="1" applyBorder="1"/>
    <xf numFmtId="3" fontId="60" fillId="10" borderId="140" xfId="0" applyNumberFormat="1" applyFont="1" applyFill="1" applyBorder="1"/>
    <xf numFmtId="0" fontId="0" fillId="10" borderId="141" xfId="0" applyFill="1" applyBorder="1"/>
    <xf numFmtId="3" fontId="60" fillId="10" borderId="141" xfId="0" applyNumberFormat="1" applyFont="1" applyFill="1" applyBorder="1"/>
    <xf numFmtId="3" fontId="68" fillId="4" borderId="0" xfId="0" applyNumberFormat="1" applyFont="1" applyFill="1"/>
    <xf numFmtId="41" fontId="111" fillId="4" borderId="0" xfId="0" applyNumberFormat="1" applyFont="1" applyFill="1"/>
    <xf numFmtId="9" fontId="12" fillId="4" borderId="0" xfId="0" applyNumberFormat="1" applyFont="1" applyFill="1"/>
    <xf numFmtId="0" fontId="12" fillId="4" borderId="0" xfId="0" applyFont="1" applyFill="1"/>
    <xf numFmtId="9" fontId="12" fillId="4" borderId="16" xfId="0" applyNumberFormat="1" applyFont="1" applyFill="1" applyBorder="1"/>
    <xf numFmtId="0" fontId="12" fillId="4" borderId="16" xfId="0" applyFont="1" applyFill="1" applyBorder="1"/>
    <xf numFmtId="3" fontId="68" fillId="4" borderId="16" xfId="0" applyNumberFormat="1" applyFont="1" applyFill="1" applyBorder="1"/>
    <xf numFmtId="0" fontId="4" fillId="4" borderId="42" xfId="0" applyFont="1" applyFill="1" applyBorder="1"/>
    <xf numFmtId="3" fontId="13" fillId="4" borderId="42" xfId="0" applyNumberFormat="1" applyFont="1" applyFill="1" applyBorder="1"/>
    <xf numFmtId="0" fontId="0" fillId="33" borderId="10" xfId="0" applyFill="1" applyBorder="1"/>
    <xf numFmtId="0" fontId="4" fillId="33" borderId="11" xfId="0" applyFont="1" applyFill="1" applyBorder="1"/>
    <xf numFmtId="0" fontId="0" fillId="33" borderId="12" xfId="0" applyFill="1" applyBorder="1"/>
    <xf numFmtId="0" fontId="0" fillId="33" borderId="31" xfId="0" applyFill="1" applyBorder="1"/>
    <xf numFmtId="0" fontId="0" fillId="33" borderId="0" xfId="0" applyFill="1"/>
    <xf numFmtId="0" fontId="0" fillId="33" borderId="32" xfId="0" applyFill="1" applyBorder="1"/>
    <xf numFmtId="185" fontId="102" fillId="33" borderId="0" xfId="0" applyNumberFormat="1" applyFont="1" applyFill="1" applyAlignment="1">
      <alignment vertical="center"/>
    </xf>
    <xf numFmtId="185" fontId="103" fillId="33" borderId="0" xfId="0" applyNumberFormat="1" applyFont="1" applyFill="1" applyAlignment="1">
      <alignment horizontal="center" vertical="center"/>
    </xf>
    <xf numFmtId="0" fontId="76" fillId="33" borderId="0" xfId="0" applyFont="1" applyFill="1"/>
    <xf numFmtId="9" fontId="101" fillId="33" borderId="0" xfId="0" applyNumberFormat="1" applyFont="1" applyFill="1"/>
    <xf numFmtId="185" fontId="102" fillId="33" borderId="0" xfId="0" applyNumberFormat="1" applyFont="1" applyFill="1"/>
    <xf numFmtId="9" fontId="107" fillId="33" borderId="0" xfId="0" applyNumberFormat="1" applyFont="1" applyFill="1"/>
    <xf numFmtId="9" fontId="112" fillId="33" borderId="0" xfId="0" applyNumberFormat="1" applyFont="1" applyFill="1"/>
    <xf numFmtId="185" fontId="108" fillId="33" borderId="0" xfId="0" applyNumberFormat="1" applyFont="1" applyFill="1"/>
    <xf numFmtId="185" fontId="113" fillId="33" borderId="32" xfId="0" applyNumberFormat="1" applyFont="1" applyFill="1" applyBorder="1"/>
    <xf numFmtId="9" fontId="109" fillId="33" borderId="0" xfId="0" applyNumberFormat="1" applyFont="1" applyFill="1"/>
    <xf numFmtId="185" fontId="110" fillId="33" borderId="0" xfId="0" applyNumberFormat="1" applyFont="1" applyFill="1"/>
    <xf numFmtId="0" fontId="106" fillId="33" borderId="0" xfId="0" applyFont="1" applyFill="1"/>
    <xf numFmtId="9" fontId="104" fillId="33" borderId="0" xfId="0" applyNumberFormat="1" applyFont="1" applyFill="1"/>
    <xf numFmtId="0" fontId="105" fillId="33" borderId="0" xfId="0" applyFont="1" applyFill="1"/>
    <xf numFmtId="185" fontId="103" fillId="33" borderId="0" xfId="0" applyNumberFormat="1" applyFont="1" applyFill="1"/>
    <xf numFmtId="0" fontId="0" fillId="33" borderId="15" xfId="0" applyFill="1" applyBorder="1"/>
    <xf numFmtId="0" fontId="0" fillId="33" borderId="16" xfId="0" applyFill="1" applyBorder="1"/>
    <xf numFmtId="0" fontId="0" fillId="33" borderId="17" xfId="0" applyFill="1" applyBorder="1"/>
    <xf numFmtId="0" fontId="19" fillId="0" borderId="120" xfId="0" applyFont="1" applyBorder="1" applyAlignment="1">
      <alignment horizontal="center" vertical="center"/>
    </xf>
    <xf numFmtId="9" fontId="19" fillId="0" borderId="120" xfId="4" applyNumberFormat="1" applyFont="1" applyFill="1" applyBorder="1" applyAlignment="1" applyProtection="1">
      <alignment horizontal="center" vertical="center" wrapText="1"/>
      <protection locked="0"/>
    </xf>
    <xf numFmtId="10" fontId="19" fillId="0" borderId="120" xfId="0" applyNumberFormat="1" applyFont="1" applyBorder="1" applyAlignment="1" applyProtection="1">
      <alignment horizontal="center" vertical="center"/>
      <protection locked="0"/>
    </xf>
    <xf numFmtId="44" fontId="19" fillId="0" borderId="120" xfId="4" applyFont="1" applyFill="1" applyBorder="1" applyAlignment="1" applyProtection="1">
      <alignment horizontal="center" vertical="center"/>
      <protection locked="0"/>
    </xf>
    <xf numFmtId="0" fontId="39" fillId="12" borderId="145" xfId="0" applyFont="1" applyFill="1" applyBorder="1" applyAlignment="1" applyProtection="1">
      <alignment horizontal="center" vertical="center"/>
      <protection locked="0"/>
    </xf>
    <xf numFmtId="0" fontId="39" fillId="12" borderId="147" xfId="0" applyFont="1" applyFill="1" applyBorder="1" applyAlignment="1" applyProtection="1">
      <alignment horizontal="center" vertical="center"/>
      <protection locked="0"/>
    </xf>
    <xf numFmtId="0" fontId="39" fillId="12" borderId="149" xfId="0" applyFont="1" applyFill="1" applyBorder="1" applyAlignment="1" applyProtection="1">
      <alignment horizontal="center" vertical="center"/>
      <protection locked="0"/>
    </xf>
    <xf numFmtId="0" fontId="39" fillId="12" borderId="143" xfId="0" applyFont="1" applyFill="1" applyBorder="1" applyAlignment="1" applyProtection="1">
      <alignment horizontal="center" vertical="center"/>
      <protection locked="0"/>
    </xf>
    <xf numFmtId="0" fontId="39" fillId="12" borderId="144" xfId="0" applyFont="1" applyFill="1" applyBorder="1" applyAlignment="1" applyProtection="1">
      <alignment horizontal="center" vertical="center"/>
      <protection locked="0"/>
    </xf>
    <xf numFmtId="0" fontId="39" fillId="12" borderId="146" xfId="0" applyFont="1" applyFill="1" applyBorder="1" applyAlignment="1" applyProtection="1">
      <alignment horizontal="center" vertical="center"/>
      <protection locked="0"/>
    </xf>
    <xf numFmtId="0" fontId="39" fillId="12" borderId="150" xfId="0" applyFont="1" applyFill="1" applyBorder="1" applyAlignment="1" applyProtection="1">
      <alignment horizontal="center" vertical="center"/>
      <protection locked="0"/>
    </xf>
    <xf numFmtId="0" fontId="39" fillId="12" borderId="151" xfId="0" applyFont="1" applyFill="1" applyBorder="1" applyAlignment="1" applyProtection="1">
      <alignment horizontal="center" vertical="center"/>
      <protection locked="0"/>
    </xf>
    <xf numFmtId="0" fontId="39" fillId="12" borderId="152" xfId="0" applyFont="1" applyFill="1" applyBorder="1" applyAlignment="1" applyProtection="1">
      <alignment horizontal="center" vertical="center"/>
      <protection locked="0"/>
    </xf>
    <xf numFmtId="0" fontId="67" fillId="21" borderId="150" xfId="0" applyFont="1" applyFill="1" applyBorder="1" applyAlignment="1">
      <alignment horizontal="center" vertical="center"/>
    </xf>
    <xf numFmtId="0" fontId="67" fillId="21" borderId="151" xfId="0" applyFont="1" applyFill="1" applyBorder="1" applyAlignment="1">
      <alignment horizontal="center" vertical="center"/>
    </xf>
    <xf numFmtId="0" fontId="67" fillId="21" borderId="152" xfId="0" applyFont="1" applyFill="1" applyBorder="1" applyAlignment="1">
      <alignment horizontal="center" vertical="center"/>
    </xf>
    <xf numFmtId="0" fontId="39" fillId="12" borderId="148" xfId="0" applyFont="1" applyFill="1" applyBorder="1" applyAlignment="1" applyProtection="1">
      <alignment horizontal="center" vertical="center"/>
      <protection locked="0"/>
    </xf>
    <xf numFmtId="0" fontId="39" fillId="12" borderId="145" xfId="0" applyFont="1" applyFill="1" applyBorder="1" applyAlignment="1" applyProtection="1">
      <alignment vertical="center"/>
      <protection locked="0"/>
    </xf>
    <xf numFmtId="4" fontId="60" fillId="2" borderId="29" xfId="0" applyNumberFormat="1" applyFont="1" applyFill="1" applyBorder="1"/>
    <xf numFmtId="0" fontId="39" fillId="12" borderId="153" xfId="0" applyFont="1" applyFill="1" applyBorder="1" applyAlignment="1" applyProtection="1">
      <alignment horizontal="center" vertical="center"/>
      <protection locked="0"/>
    </xf>
    <xf numFmtId="0" fontId="39" fillId="12" borderId="154" xfId="0" applyFont="1" applyFill="1" applyBorder="1" applyAlignment="1" applyProtection="1">
      <alignment horizontal="center" vertical="center"/>
      <protection locked="0"/>
    </xf>
    <xf numFmtId="0" fontId="39" fillId="12" borderId="147" xfId="0" applyFont="1" applyFill="1" applyBorder="1" applyAlignment="1" applyProtection="1">
      <alignment vertical="center"/>
      <protection locked="0"/>
    </xf>
    <xf numFmtId="0" fontId="14" fillId="4" borderId="43" xfId="0" applyFont="1" applyFill="1" applyBorder="1" applyAlignment="1">
      <alignment horizontal="center" vertical="center"/>
    </xf>
    <xf numFmtId="169" fontId="14" fillId="4" borderId="43" xfId="0" applyNumberFormat="1" applyFont="1" applyFill="1" applyBorder="1" applyAlignment="1">
      <alignment horizontal="center" vertical="center"/>
    </xf>
    <xf numFmtId="44" fontId="66" fillId="10" borderId="156" xfId="0" applyNumberFormat="1" applyFont="1" applyFill="1" applyBorder="1"/>
    <xf numFmtId="44" fontId="66" fillId="10" borderId="157" xfId="0" applyNumberFormat="1" applyFont="1" applyFill="1" applyBorder="1"/>
    <xf numFmtId="43" fontId="60" fillId="0" borderId="25" xfId="0" applyNumberFormat="1" applyFont="1" applyBorder="1"/>
    <xf numFmtId="0" fontId="44" fillId="4" borderId="78" xfId="0" applyFont="1" applyFill="1" applyBorder="1" applyAlignment="1" applyProtection="1">
      <alignment horizontal="left" vertical="center"/>
      <protection locked="0"/>
    </xf>
    <xf numFmtId="0" fontId="44" fillId="4" borderId="82" xfId="0" applyFont="1" applyFill="1" applyBorder="1" applyAlignment="1" applyProtection="1">
      <alignment horizontal="center" vertical="center"/>
      <protection locked="0"/>
    </xf>
    <xf numFmtId="0" fontId="44" fillId="4" borderId="75" xfId="0" applyFont="1" applyFill="1" applyBorder="1" applyAlignment="1" applyProtection="1">
      <alignment horizontal="center" vertical="center" wrapText="1"/>
      <protection locked="0"/>
    </xf>
    <xf numFmtId="175" fontId="60" fillId="0" borderId="35" xfId="1" applyNumberFormat="1" applyFont="1" applyFill="1" applyBorder="1"/>
    <xf numFmtId="4" fontId="60" fillId="0" borderId="65" xfId="0" applyNumberFormat="1" applyFont="1" applyBorder="1"/>
    <xf numFmtId="177" fontId="13" fillId="15" borderId="114" xfId="0" applyNumberFormat="1" applyFont="1" applyFill="1" applyBorder="1"/>
    <xf numFmtId="177" fontId="13" fillId="15" borderId="115" xfId="0" applyNumberFormat="1" applyFont="1" applyFill="1" applyBorder="1"/>
    <xf numFmtId="177" fontId="13" fillId="15" borderId="116" xfId="0" applyNumberFormat="1" applyFont="1" applyFill="1" applyBorder="1"/>
    <xf numFmtId="0" fontId="78" fillId="2" borderId="47" xfId="0" applyFont="1" applyFill="1" applyBorder="1" applyAlignment="1">
      <alignment horizontal="center" vertical="center" wrapText="1"/>
    </xf>
    <xf numFmtId="0" fontId="39" fillId="12" borderId="155" xfId="0" applyFont="1" applyFill="1" applyBorder="1" applyAlignment="1" applyProtection="1">
      <alignment horizontal="center" vertical="center"/>
      <protection locked="0"/>
    </xf>
    <xf numFmtId="0" fontId="78" fillId="2" borderId="59" xfId="0" applyFont="1" applyFill="1" applyBorder="1" applyAlignment="1">
      <alignment horizontal="left" vertical="center" wrapText="1"/>
    </xf>
    <xf numFmtId="0" fontId="114" fillId="36" borderId="69" xfId="0" applyFont="1" applyFill="1" applyBorder="1" applyAlignment="1">
      <alignment horizontal="center" vertical="center"/>
    </xf>
    <xf numFmtId="0" fontId="39" fillId="12" borderId="148" xfId="0" applyFont="1" applyFill="1" applyBorder="1" applyAlignment="1" applyProtection="1">
      <alignment vertical="center"/>
      <protection locked="0"/>
    </xf>
    <xf numFmtId="44" fontId="0" fillId="0" borderId="0" xfId="0" applyNumberFormat="1" applyAlignment="1">
      <alignment horizontal="center"/>
    </xf>
    <xf numFmtId="9" fontId="0" fillId="2" borderId="0" xfId="2" applyFont="1" applyFill="1" applyAlignment="1">
      <alignment horizontal="center"/>
    </xf>
    <xf numFmtId="168" fontId="0" fillId="2" borderId="0" xfId="2" applyNumberFormat="1" applyFont="1" applyFill="1" applyAlignment="1">
      <alignment horizontal="center"/>
    </xf>
    <xf numFmtId="4" fontId="60" fillId="3" borderId="35" xfId="0" applyNumberFormat="1" applyFont="1" applyFill="1" applyBorder="1" applyAlignment="1">
      <alignment horizontal="center"/>
    </xf>
    <xf numFmtId="4" fontId="91" fillId="2" borderId="0" xfId="0" applyNumberFormat="1" applyFont="1" applyFill="1" applyAlignment="1" applyProtection="1">
      <alignment horizontal="left" vertical="center"/>
      <protection locked="0"/>
    </xf>
    <xf numFmtId="10" fontId="60" fillId="2" borderId="67" xfId="2" applyNumberFormat="1" applyFont="1" applyFill="1" applyBorder="1" applyAlignment="1">
      <alignment horizontal="center"/>
    </xf>
    <xf numFmtId="10" fontId="60" fillId="2" borderId="97" xfId="2" applyNumberFormat="1" applyFont="1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44" fontId="66" fillId="0" borderId="43" xfId="4" applyFont="1" applyFill="1" applyBorder="1"/>
    <xf numFmtId="44" fontId="66" fillId="0" borderId="43" xfId="0" applyNumberFormat="1" applyFont="1" applyBorder="1"/>
    <xf numFmtId="0" fontId="0" fillId="2" borderId="104" xfId="0" applyFill="1" applyBorder="1"/>
    <xf numFmtId="43" fontId="0" fillId="0" borderId="6" xfId="0" applyNumberFormat="1" applyBorder="1"/>
    <xf numFmtId="0" fontId="0" fillId="0" borderId="43" xfId="0" applyBorder="1"/>
    <xf numFmtId="190" fontId="0" fillId="0" borderId="43" xfId="0" applyNumberFormat="1" applyBorder="1" applyAlignment="1">
      <alignment horizontal="right"/>
    </xf>
    <xf numFmtId="0" fontId="4" fillId="4" borderId="43" xfId="0" applyFont="1" applyFill="1" applyBorder="1" applyAlignment="1">
      <alignment horizontal="center" vertical="center" wrapText="1"/>
    </xf>
    <xf numFmtId="0" fontId="6" fillId="0" borderId="0" xfId="0" applyFont="1"/>
    <xf numFmtId="10" fontId="0" fillId="0" borderId="43" xfId="2" applyNumberFormat="1" applyFont="1" applyBorder="1"/>
    <xf numFmtId="0" fontId="116" fillId="0" borderId="10" xfId="0" applyFont="1" applyBorder="1"/>
    <xf numFmtId="0" fontId="27" fillId="0" borderId="31" xfId="0" applyFont="1" applyBorder="1"/>
    <xf numFmtId="0" fontId="27" fillId="0" borderId="15" xfId="0" applyFont="1" applyBorder="1"/>
    <xf numFmtId="0" fontId="4" fillId="0" borderId="29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10" borderId="43" xfId="0" applyFont="1" applyFill="1" applyBorder="1" applyAlignment="1">
      <alignment horizontal="center" vertical="center" wrapText="1"/>
    </xf>
    <xf numFmtId="0" fontId="4" fillId="10" borderId="47" xfId="0" applyFont="1" applyFill="1" applyBorder="1" applyAlignment="1">
      <alignment horizontal="center" vertical="center" wrapText="1"/>
    </xf>
    <xf numFmtId="10" fontId="0" fillId="0" borderId="159" xfId="0" applyNumberFormat="1" applyBorder="1"/>
    <xf numFmtId="10" fontId="0" fillId="10" borderId="160" xfId="0" applyNumberFormat="1" applyFill="1" applyBorder="1"/>
    <xf numFmtId="10" fontId="0" fillId="10" borderId="161" xfId="0" applyNumberFormat="1" applyFill="1" applyBorder="1"/>
    <xf numFmtId="10" fontId="0" fillId="0" borderId="46" xfId="2" applyNumberFormat="1" applyFont="1" applyBorder="1"/>
    <xf numFmtId="0" fontId="4" fillId="16" borderId="43" xfId="0" applyFont="1" applyFill="1" applyBorder="1" applyAlignment="1">
      <alignment horizontal="center" vertical="center" wrapText="1"/>
    </xf>
    <xf numFmtId="0" fontId="4" fillId="21" borderId="43" xfId="0" applyFont="1" applyFill="1" applyBorder="1" applyAlignment="1">
      <alignment horizontal="center" vertical="center" wrapText="1"/>
    </xf>
    <xf numFmtId="167" fontId="3" fillId="24" borderId="78" xfId="0" applyNumberFormat="1" applyFont="1" applyFill="1" applyBorder="1" applyAlignment="1" applyProtection="1">
      <alignment horizontal="center" vertical="center"/>
      <protection locked="0"/>
    </xf>
    <xf numFmtId="0" fontId="0" fillId="3" borderId="60" xfId="0" applyFill="1" applyBorder="1" applyAlignment="1">
      <alignment horizontal="center"/>
    </xf>
    <xf numFmtId="0" fontId="0" fillId="3" borderId="73" xfId="0" applyFill="1" applyBorder="1" applyAlignment="1">
      <alignment horizontal="center"/>
    </xf>
    <xf numFmtId="0" fontId="0" fillId="3" borderId="59" xfId="0" applyFill="1" applyBorder="1" applyAlignment="1">
      <alignment horizontal="center" vertical="center"/>
    </xf>
    <xf numFmtId="0" fontId="4" fillId="37" borderId="43" xfId="0" applyFont="1" applyFill="1" applyBorder="1"/>
    <xf numFmtId="0" fontId="0" fillId="37" borderId="43" xfId="0" applyFill="1" applyBorder="1" applyAlignment="1">
      <alignment horizontal="center"/>
    </xf>
    <xf numFmtId="0" fontId="4" fillId="37" borderId="43" xfId="0" applyFont="1" applyFill="1" applyBorder="1" applyAlignment="1">
      <alignment horizontal="center" vertical="center"/>
    </xf>
    <xf numFmtId="44" fontId="0" fillId="0" borderId="43" xfId="4" applyFont="1" applyBorder="1" applyAlignment="1">
      <alignment horizontal="center"/>
    </xf>
    <xf numFmtId="44" fontId="4" fillId="3" borderId="43" xfId="0" applyNumberFormat="1" applyFont="1" applyFill="1" applyBorder="1"/>
    <xf numFmtId="0" fontId="0" fillId="37" borderId="43" xfId="0" applyFill="1" applyBorder="1" applyAlignment="1">
      <alignment horizontal="center" wrapText="1"/>
    </xf>
    <xf numFmtId="0" fontId="4" fillId="24" borderId="162" xfId="0" applyFont="1" applyFill="1" applyBorder="1"/>
    <xf numFmtId="0" fontId="4" fillId="24" borderId="163" xfId="0" applyFont="1" applyFill="1" applyBorder="1"/>
    <xf numFmtId="0" fontId="4" fillId="24" borderId="164" xfId="0" applyFont="1" applyFill="1" applyBorder="1" applyAlignment="1">
      <alignment horizontal="center"/>
    </xf>
    <xf numFmtId="0" fontId="0" fillId="4" borderId="163" xfId="0" applyFill="1" applyBorder="1"/>
    <xf numFmtId="43" fontId="3" fillId="38" borderId="164" xfId="0" applyNumberFormat="1" applyFont="1" applyFill="1" applyBorder="1"/>
    <xf numFmtId="0" fontId="0" fillId="0" borderId="165" xfId="0" applyBorder="1"/>
    <xf numFmtId="0" fontId="0" fillId="0" borderId="166" xfId="0" applyBorder="1"/>
    <xf numFmtId="43" fontId="3" fillId="38" borderId="163" xfId="0" applyNumberFormat="1" applyFont="1" applyFill="1" applyBorder="1"/>
    <xf numFmtId="0" fontId="0" fillId="0" borderId="167" xfId="0" applyBorder="1"/>
    <xf numFmtId="0" fontId="0" fillId="0" borderId="168" xfId="0" applyBorder="1"/>
    <xf numFmtId="0" fontId="0" fillId="0" borderId="169" xfId="0" applyBorder="1"/>
    <xf numFmtId="0" fontId="4" fillId="24" borderId="164" xfId="0" applyFont="1" applyFill="1" applyBorder="1" applyAlignment="1">
      <alignment horizontal="center" wrapText="1"/>
    </xf>
    <xf numFmtId="0" fontId="0" fillId="0" borderId="166" xfId="0" applyBorder="1" applyAlignment="1">
      <alignment horizontal="center"/>
    </xf>
    <xf numFmtId="43" fontId="0" fillId="0" borderId="170" xfId="1" applyFont="1" applyBorder="1" applyAlignment="1">
      <alignment horizontal="center"/>
    </xf>
    <xf numFmtId="0" fontId="0" fillId="0" borderId="23" xfId="0" applyBorder="1" applyAlignment="1">
      <alignment horizontal="center"/>
    </xf>
    <xf numFmtId="43" fontId="0" fillId="0" borderId="112" xfId="1" applyFont="1" applyBorder="1" applyAlignment="1">
      <alignment horizontal="center"/>
    </xf>
    <xf numFmtId="0" fontId="0" fillId="0" borderId="169" xfId="0" applyBorder="1" applyAlignment="1">
      <alignment horizontal="center"/>
    </xf>
    <xf numFmtId="43" fontId="0" fillId="0" borderId="171" xfId="1" applyFont="1" applyBorder="1" applyAlignment="1">
      <alignment horizontal="center"/>
    </xf>
    <xf numFmtId="0" fontId="4" fillId="0" borderId="162" xfId="0" applyFont="1" applyBorder="1"/>
    <xf numFmtId="0" fontId="4" fillId="0" borderId="163" xfId="0" applyFont="1" applyBorder="1"/>
    <xf numFmtId="43" fontId="0" fillId="0" borderId="164" xfId="1" applyFont="1" applyBorder="1" applyAlignment="1">
      <alignment horizontal="center"/>
    </xf>
    <xf numFmtId="0" fontId="0" fillId="4" borderId="162" xfId="0" applyFill="1" applyBorder="1"/>
    <xf numFmtId="44" fontId="13" fillId="2" borderId="35" xfId="4" applyFont="1" applyFill="1" applyBorder="1" applyAlignment="1" applyProtection="1">
      <alignment horizontal="center"/>
      <protection locked="0"/>
    </xf>
    <xf numFmtId="0" fontId="0" fillId="0" borderId="21" xfId="0" applyBorder="1"/>
    <xf numFmtId="4" fontId="3" fillId="24" borderId="82" xfId="0" applyNumberFormat="1" applyFont="1" applyFill="1" applyBorder="1" applyAlignment="1" applyProtection="1">
      <alignment horizontal="center"/>
      <protection locked="0"/>
    </xf>
    <xf numFmtId="0" fontId="0" fillId="3" borderId="78" xfId="0" applyFill="1" applyBorder="1"/>
    <xf numFmtId="0" fontId="19" fillId="3" borderId="78" xfId="0" applyFont="1" applyFill="1" applyBorder="1"/>
    <xf numFmtId="0" fontId="0" fillId="3" borderId="75" xfId="0" applyFill="1" applyBorder="1"/>
    <xf numFmtId="0" fontId="0" fillId="3" borderId="82" xfId="0" applyFill="1" applyBorder="1"/>
    <xf numFmtId="0" fontId="19" fillId="3" borderId="82" xfId="0" applyFont="1" applyFill="1" applyBorder="1"/>
    <xf numFmtId="0" fontId="118" fillId="17" borderId="0" xfId="0" applyFont="1" applyFill="1" applyAlignment="1">
      <alignment vertical="center"/>
    </xf>
    <xf numFmtId="0" fontId="77" fillId="21" borderId="101" xfId="0" applyFont="1" applyFill="1" applyBorder="1" applyAlignment="1">
      <alignment horizontal="center" vertical="center" wrapText="1"/>
    </xf>
    <xf numFmtId="0" fontId="77" fillId="21" borderId="102" xfId="0" applyFont="1" applyFill="1" applyBorder="1" applyAlignment="1">
      <alignment horizontal="center" vertical="center" wrapText="1"/>
    </xf>
    <xf numFmtId="0" fontId="19" fillId="0" borderId="42" xfId="0" applyFont="1" applyBorder="1" applyAlignment="1">
      <alignment horizontal="left" wrapText="1"/>
    </xf>
    <xf numFmtId="2" fontId="3" fillId="6" borderId="35" xfId="0" applyNumberFormat="1" applyFont="1" applyFill="1" applyBorder="1" applyAlignment="1" applyProtection="1">
      <alignment horizontal="center"/>
      <protection locked="0"/>
    </xf>
    <xf numFmtId="0" fontId="0" fillId="9" borderId="158" xfId="0" applyFill="1" applyBorder="1"/>
    <xf numFmtId="0" fontId="4" fillId="9" borderId="158" xfId="0" applyFont="1" applyFill="1" applyBorder="1"/>
    <xf numFmtId="0" fontId="114" fillId="36" borderId="119" xfId="0" applyFont="1" applyFill="1" applyBorder="1" applyAlignment="1">
      <alignment horizontal="center" vertical="center"/>
    </xf>
    <xf numFmtId="0" fontId="114" fillId="36" borderId="172" xfId="0" applyFont="1" applyFill="1" applyBorder="1" applyAlignment="1">
      <alignment horizontal="center" vertical="center"/>
    </xf>
    <xf numFmtId="0" fontId="114" fillId="36" borderId="173" xfId="0" applyFont="1" applyFill="1" applyBorder="1" applyAlignment="1">
      <alignment horizontal="center" vertical="center"/>
    </xf>
    <xf numFmtId="169" fontId="4" fillId="4" borderId="174" xfId="0" applyNumberFormat="1" applyFont="1" applyFill="1" applyBorder="1" applyAlignment="1">
      <alignment horizontal="center" vertical="center"/>
    </xf>
    <xf numFmtId="169" fontId="4" fillId="4" borderId="175" xfId="0" applyNumberFormat="1" applyFont="1" applyFill="1" applyBorder="1" applyAlignment="1">
      <alignment horizontal="center" vertical="center"/>
    </xf>
    <xf numFmtId="169" fontId="4" fillId="4" borderId="176" xfId="0" applyNumberFormat="1" applyFont="1" applyFill="1" applyBorder="1" applyAlignment="1">
      <alignment horizontal="center" vertical="center"/>
    </xf>
    <xf numFmtId="0" fontId="4" fillId="9" borderId="82" xfId="0" applyFont="1" applyFill="1" applyBorder="1" applyAlignment="1">
      <alignment horizontal="center"/>
    </xf>
    <xf numFmtId="0" fontId="0" fillId="9" borderId="82" xfId="0" applyFill="1" applyBorder="1" applyAlignment="1">
      <alignment horizontal="center"/>
    </xf>
    <xf numFmtId="0" fontId="77" fillId="21" borderId="90" xfId="0" applyFont="1" applyFill="1" applyBorder="1" applyAlignment="1">
      <alignment horizontal="center" vertical="center" wrapText="1"/>
    </xf>
    <xf numFmtId="4" fontId="67" fillId="3" borderId="35" xfId="0" applyNumberFormat="1" applyFont="1" applyFill="1" applyBorder="1" applyAlignment="1" applyProtection="1">
      <alignment horizontal="center" vertical="center"/>
      <protection locked="0"/>
    </xf>
    <xf numFmtId="0" fontId="40" fillId="4" borderId="78" xfId="0" applyFont="1" applyFill="1" applyBorder="1" applyAlignment="1" applyProtection="1">
      <alignment horizontal="left" vertical="center"/>
      <protection locked="0"/>
    </xf>
    <xf numFmtId="0" fontId="44" fillId="4" borderId="35" xfId="0" applyFont="1" applyFill="1" applyBorder="1" applyAlignment="1" applyProtection="1">
      <alignment horizontal="center" vertical="center"/>
      <protection locked="0"/>
    </xf>
    <xf numFmtId="44" fontId="33" fillId="30" borderId="109" xfId="4" applyFont="1" applyFill="1" applyBorder="1" applyAlignment="1" applyProtection="1">
      <protection locked="0"/>
    </xf>
    <xf numFmtId="0" fontId="44" fillId="4" borderId="75" xfId="0" applyFont="1" applyFill="1" applyBorder="1" applyAlignment="1" applyProtection="1">
      <alignment horizontal="center" vertical="center"/>
      <protection locked="0"/>
    </xf>
    <xf numFmtId="191" fontId="79" fillId="21" borderId="75" xfId="0" applyNumberFormat="1" applyFont="1" applyFill="1" applyBorder="1" applyAlignment="1">
      <alignment horizontal="center" vertical="center" wrapText="1"/>
    </xf>
    <xf numFmtId="0" fontId="0" fillId="2" borderId="99" xfId="0" applyFill="1" applyBorder="1"/>
    <xf numFmtId="0" fontId="0" fillId="2" borderId="91" xfId="0" applyFill="1" applyBorder="1" applyAlignment="1">
      <alignment horizontal="center"/>
    </xf>
    <xf numFmtId="0" fontId="0" fillId="2" borderId="100" xfId="0" applyFill="1" applyBorder="1"/>
    <xf numFmtId="0" fontId="0" fillId="2" borderId="142" xfId="0" applyFill="1" applyBorder="1"/>
    <xf numFmtId="0" fontId="0" fillId="2" borderId="58" xfId="0" applyFill="1" applyBorder="1"/>
    <xf numFmtId="0" fontId="0" fillId="2" borderId="101" xfId="0" applyFill="1" applyBorder="1"/>
    <xf numFmtId="183" fontId="29" fillId="2" borderId="90" xfId="0" applyNumberFormat="1" applyFont="1" applyFill="1" applyBorder="1" applyAlignment="1">
      <alignment horizontal="left"/>
    </xf>
    <xf numFmtId="0" fontId="0" fillId="2" borderId="90" xfId="0" applyFill="1" applyBorder="1" applyAlignment="1">
      <alignment horizontal="center"/>
    </xf>
    <xf numFmtId="0" fontId="0" fillId="2" borderId="102" xfId="0" applyFill="1" applyBorder="1"/>
    <xf numFmtId="191" fontId="60" fillId="0" borderId="23" xfId="0" applyNumberFormat="1" applyFont="1" applyBorder="1"/>
    <xf numFmtId="0" fontId="44" fillId="4" borderId="35" xfId="0" applyFont="1" applyFill="1" applyBorder="1" applyAlignment="1" applyProtection="1">
      <alignment horizontal="center" vertical="center" wrapText="1"/>
      <protection locked="0"/>
    </xf>
    <xf numFmtId="0" fontId="91" fillId="2" borderId="99" xfId="0" applyFont="1" applyFill="1" applyBorder="1" applyAlignment="1" applyProtection="1">
      <alignment horizontal="left" vertical="center"/>
      <protection locked="0"/>
    </xf>
    <xf numFmtId="0" fontId="91" fillId="2" borderId="91" xfId="0" applyFont="1" applyFill="1" applyBorder="1" applyAlignment="1" applyProtection="1">
      <alignment horizontal="left" vertical="center"/>
      <protection locked="0"/>
    </xf>
    <xf numFmtId="3" fontId="33" fillId="30" borderId="60" xfId="4" applyNumberFormat="1" applyFont="1" applyFill="1" applyBorder="1" applyAlignment="1" applyProtection="1">
      <alignment horizontal="center"/>
      <protection locked="0"/>
    </xf>
    <xf numFmtId="44" fontId="33" fillId="30" borderId="100" xfId="4" applyFont="1" applyFill="1" applyBorder="1" applyAlignment="1" applyProtection="1">
      <protection locked="0"/>
    </xf>
    <xf numFmtId="2" fontId="60" fillId="0" borderId="0" xfId="0" applyNumberFormat="1" applyFont="1" applyAlignment="1">
      <alignment horizontal="center"/>
    </xf>
    <xf numFmtId="192" fontId="0" fillId="0" borderId="0" xfId="0" applyNumberFormat="1"/>
    <xf numFmtId="192" fontId="18" fillId="0" borderId="0" xfId="0" applyNumberFormat="1" applyFont="1" applyAlignment="1">
      <alignment vertical="center"/>
    </xf>
    <xf numFmtId="177" fontId="0" fillId="0" borderId="0" xfId="0" applyNumberFormat="1"/>
    <xf numFmtId="0" fontId="12" fillId="3" borderId="101" xfId="0" applyFont="1" applyFill="1" applyBorder="1"/>
    <xf numFmtId="0" fontId="12" fillId="3" borderId="90" xfId="0" applyFont="1" applyFill="1" applyBorder="1"/>
    <xf numFmtId="4" fontId="68" fillId="3" borderId="90" xfId="0" applyNumberFormat="1" applyFont="1" applyFill="1" applyBorder="1"/>
    <xf numFmtId="0" fontId="12" fillId="3" borderId="78" xfId="0" applyFont="1" applyFill="1" applyBorder="1"/>
    <xf numFmtId="0" fontId="12" fillId="3" borderId="82" xfId="0" applyFont="1" applyFill="1" applyBorder="1"/>
    <xf numFmtId="4" fontId="68" fillId="3" borderId="82" xfId="0" applyNumberFormat="1" applyFont="1" applyFill="1" applyBorder="1"/>
    <xf numFmtId="0" fontId="12" fillId="3" borderId="99" xfId="0" applyFont="1" applyFill="1" applyBorder="1"/>
    <xf numFmtId="0" fontId="12" fillId="3" borderId="91" xfId="0" applyFont="1" applyFill="1" applyBorder="1"/>
    <xf numFmtId="4" fontId="68" fillId="3" borderId="91" xfId="0" applyNumberFormat="1" applyFont="1" applyFill="1" applyBorder="1"/>
    <xf numFmtId="0" fontId="78" fillId="2" borderId="177" xfId="0" applyFont="1" applyFill="1" applyBorder="1" applyAlignment="1">
      <alignment horizontal="left" vertical="center" wrapText="1"/>
    </xf>
    <xf numFmtId="44" fontId="66" fillId="0" borderId="48" xfId="0" applyNumberFormat="1" applyFont="1" applyBorder="1"/>
    <xf numFmtId="0" fontId="77" fillId="21" borderId="99" xfId="0" applyFont="1" applyFill="1" applyBorder="1" applyAlignment="1">
      <alignment horizontal="center" vertical="center" wrapText="1"/>
    </xf>
    <xf numFmtId="0" fontId="77" fillId="21" borderId="60" xfId="0" applyFont="1" applyFill="1" applyBorder="1" applyAlignment="1">
      <alignment horizontal="center" vertical="center" wrapText="1"/>
    </xf>
    <xf numFmtId="0" fontId="77" fillId="21" borderId="59" xfId="0" applyFont="1" applyFill="1" applyBorder="1" applyAlignment="1">
      <alignment horizontal="center" vertical="center" wrapText="1"/>
    </xf>
    <xf numFmtId="0" fontId="77" fillId="21" borderId="91" xfId="0" applyFont="1" applyFill="1" applyBorder="1" applyAlignment="1">
      <alignment horizontal="center" vertical="center" wrapText="1"/>
    </xf>
    <xf numFmtId="168" fontId="0" fillId="0" borderId="0" xfId="0" applyNumberFormat="1"/>
    <xf numFmtId="43" fontId="93" fillId="0" borderId="44" xfId="0" applyNumberFormat="1" applyFont="1" applyBorder="1"/>
    <xf numFmtId="43" fontId="93" fillId="0" borderId="178" xfId="0" applyNumberFormat="1" applyFont="1" applyBorder="1"/>
    <xf numFmtId="0" fontId="0" fillId="4" borderId="78" xfId="0" applyFill="1" applyBorder="1" applyAlignment="1">
      <alignment horizontal="left"/>
    </xf>
    <xf numFmtId="10" fontId="3" fillId="6" borderId="35" xfId="2" applyNumberFormat="1" applyFont="1" applyFill="1" applyBorder="1" applyAlignment="1" applyProtection="1">
      <alignment horizontal="center"/>
      <protection locked="0"/>
    </xf>
    <xf numFmtId="43" fontId="88" fillId="9" borderId="67" xfId="1" applyFont="1" applyFill="1" applyBorder="1" applyAlignment="1">
      <alignment wrapText="1"/>
    </xf>
    <xf numFmtId="0" fontId="78" fillId="0" borderId="67" xfId="0" applyFont="1" applyBorder="1" applyAlignment="1">
      <alignment horizontal="left" vertical="center" wrapText="1"/>
    </xf>
    <xf numFmtId="0" fontId="78" fillId="2" borderId="96" xfId="0" applyFont="1" applyFill="1" applyBorder="1" applyAlignment="1">
      <alignment horizontal="left" vertical="center" wrapText="1"/>
    </xf>
    <xf numFmtId="0" fontId="78" fillId="2" borderId="123" xfId="0" applyFont="1" applyFill="1" applyBorder="1" applyAlignment="1">
      <alignment horizontal="left" vertical="center" wrapText="1"/>
    </xf>
    <xf numFmtId="44" fontId="66" fillId="15" borderId="97" xfId="0" applyNumberFormat="1" applyFont="1" applyFill="1" applyBorder="1"/>
    <xf numFmtId="169" fontId="48" fillId="0" borderId="0" xfId="0" applyNumberFormat="1" applyFont="1" applyAlignment="1">
      <alignment horizontal="center" vertical="center"/>
    </xf>
    <xf numFmtId="10" fontId="62" fillId="0" borderId="0" xfId="2" applyNumberFormat="1" applyFont="1" applyFill="1" applyBorder="1" applyAlignment="1">
      <alignment horizontal="center"/>
    </xf>
    <xf numFmtId="0" fontId="0" fillId="2" borderId="179" xfId="0" applyFill="1" applyBorder="1"/>
    <xf numFmtId="0" fontId="0" fillId="2" borderId="180" xfId="0" applyFill="1" applyBorder="1"/>
    <xf numFmtId="0" fontId="0" fillId="2" borderId="181" xfId="0" applyFill="1" applyBorder="1"/>
    <xf numFmtId="183" fontId="29" fillId="2" borderId="104" xfId="0" applyNumberFormat="1" applyFont="1" applyFill="1" applyBorder="1" applyAlignment="1">
      <alignment horizontal="left"/>
    </xf>
    <xf numFmtId="0" fontId="0" fillId="2" borderId="104" xfId="0" applyFill="1" applyBorder="1" applyAlignment="1">
      <alignment horizontal="center"/>
    </xf>
    <xf numFmtId="0" fontId="0" fillId="2" borderId="182" xfId="0" applyFill="1" applyBorder="1"/>
    <xf numFmtId="44" fontId="33" fillId="30" borderId="183" xfId="4" applyFont="1" applyFill="1" applyBorder="1" applyAlignment="1" applyProtection="1">
      <protection locked="0"/>
    </xf>
    <xf numFmtId="4" fontId="33" fillId="30" borderId="109" xfId="4" applyNumberFormat="1" applyFont="1" applyFill="1" applyBorder="1" applyAlignment="1" applyProtection="1">
      <protection locked="0"/>
    </xf>
    <xf numFmtId="0" fontId="40" fillId="4" borderId="78" xfId="0" applyFont="1" applyFill="1" applyBorder="1" applyAlignment="1" applyProtection="1">
      <alignment horizontal="center" vertical="center" wrapText="1"/>
      <protection locked="0"/>
    </xf>
    <xf numFmtId="191" fontId="13" fillId="15" borderId="26" xfId="0" applyNumberFormat="1" applyFont="1" applyFill="1" applyBorder="1"/>
    <xf numFmtId="0" fontId="0" fillId="0" borderId="23" xfId="0" applyBorder="1" applyAlignment="1">
      <alignment wrapText="1"/>
    </xf>
    <xf numFmtId="0" fontId="0" fillId="0" borderId="26" xfId="0" applyBorder="1" applyAlignment="1">
      <alignment wrapText="1"/>
    </xf>
    <xf numFmtId="0" fontId="77" fillId="22" borderId="35" xfId="0" applyFont="1" applyFill="1" applyBorder="1" applyAlignment="1">
      <alignment horizontal="center" vertical="center" wrapText="1"/>
    </xf>
    <xf numFmtId="43" fontId="13" fillId="0" borderId="65" xfId="0" applyNumberFormat="1" applyFont="1" applyBorder="1" applyAlignment="1">
      <alignment wrapText="1"/>
    </xf>
    <xf numFmtId="43" fontId="13" fillId="0" borderId="66" xfId="0" applyNumberFormat="1" applyFont="1" applyBorder="1" applyAlignment="1">
      <alignment wrapText="1"/>
    </xf>
    <xf numFmtId="43" fontId="54" fillId="15" borderId="47" xfId="0" applyNumberFormat="1" applyFont="1" applyFill="1" applyBorder="1" applyAlignment="1">
      <alignment horizontal="center"/>
    </xf>
    <xf numFmtId="0" fontId="83" fillId="2" borderId="90" xfId="0" applyFont="1" applyFill="1" applyBorder="1"/>
    <xf numFmtId="0" fontId="83" fillId="2" borderId="91" xfId="0" applyFont="1" applyFill="1" applyBorder="1"/>
    <xf numFmtId="4" fontId="44" fillId="2" borderId="82" xfId="0" applyNumberFormat="1" applyFont="1" applyFill="1" applyBorder="1" applyAlignment="1">
      <alignment horizontal="center" vertical="center"/>
    </xf>
    <xf numFmtId="0" fontId="119" fillId="0" borderId="0" xfId="17"/>
    <xf numFmtId="193" fontId="0" fillId="0" borderId="0" xfId="18" applyNumberFormat="1" applyFont="1"/>
    <xf numFmtId="193" fontId="119" fillId="0" borderId="0" xfId="17" applyNumberFormat="1"/>
    <xf numFmtId="0" fontId="4" fillId="15" borderId="186" xfId="17" applyFont="1" applyFill="1" applyBorder="1"/>
    <xf numFmtId="193" fontId="4" fillId="15" borderId="186" xfId="18" applyNumberFormat="1" applyFont="1" applyFill="1" applyBorder="1"/>
    <xf numFmtId="193" fontId="4" fillId="0" borderId="0" xfId="18" applyNumberFormat="1" applyFont="1"/>
    <xf numFmtId="0" fontId="4" fillId="0" borderId="0" xfId="17" applyFont="1"/>
    <xf numFmtId="0" fontId="120" fillId="0" borderId="0" xfId="17" applyFont="1"/>
    <xf numFmtId="175" fontId="0" fillId="0" borderId="0" xfId="0" applyNumberFormat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0" fontId="0" fillId="10" borderId="10" xfId="0" applyFill="1" applyBorder="1"/>
    <xf numFmtId="0" fontId="0" fillId="10" borderId="12" xfId="0" applyFill="1" applyBorder="1"/>
    <xf numFmtId="185" fontId="110" fillId="9" borderId="0" xfId="0" applyNumberFormat="1" applyFont="1" applyFill="1"/>
    <xf numFmtId="185" fontId="110" fillId="0" borderId="16" xfId="0" applyNumberFormat="1" applyFont="1" applyBorder="1"/>
    <xf numFmtId="43" fontId="16" fillId="5" borderId="0" xfId="0" applyNumberFormat="1" applyFont="1" applyFill="1"/>
    <xf numFmtId="0" fontId="40" fillId="4" borderId="35" xfId="0" applyFont="1" applyFill="1" applyBorder="1" applyAlignment="1" applyProtection="1">
      <alignment horizontal="center" vertical="center" wrapText="1"/>
      <protection locked="0"/>
    </xf>
    <xf numFmtId="4" fontId="60" fillId="0" borderId="23" xfId="0" applyNumberFormat="1" applyFont="1" applyBorder="1"/>
    <xf numFmtId="43" fontId="0" fillId="0" borderId="6" xfId="0" applyNumberFormat="1" applyBorder="1" applyAlignment="1">
      <alignment horizontal="center"/>
    </xf>
    <xf numFmtId="4" fontId="4" fillId="0" borderId="0" xfId="0" applyNumberFormat="1" applyFont="1"/>
    <xf numFmtId="0" fontId="121" fillId="39" borderId="190" xfId="0" applyFont="1" applyFill="1" applyBorder="1" applyAlignment="1">
      <alignment horizontal="center" vertical="center"/>
    </xf>
    <xf numFmtId="0" fontId="121" fillId="39" borderId="191" xfId="0" applyFont="1" applyFill="1" applyBorder="1" applyAlignment="1">
      <alignment horizontal="center" vertical="center"/>
    </xf>
    <xf numFmtId="4" fontId="123" fillId="0" borderId="191" xfId="0" applyNumberFormat="1" applyFont="1" applyBorder="1" applyAlignment="1">
      <alignment horizontal="center" vertical="center"/>
    </xf>
    <xf numFmtId="4" fontId="124" fillId="19" borderId="191" xfId="0" applyNumberFormat="1" applyFont="1" applyFill="1" applyBorder="1" applyAlignment="1">
      <alignment horizontal="center" vertical="center"/>
    </xf>
    <xf numFmtId="4" fontId="124" fillId="0" borderId="191" xfId="0" applyNumberFormat="1" applyFont="1" applyBorder="1" applyAlignment="1">
      <alignment horizontal="center" vertical="center"/>
    </xf>
    <xf numFmtId="168" fontId="124" fillId="20" borderId="191" xfId="2" applyNumberFormat="1" applyFont="1" applyFill="1" applyBorder="1" applyAlignment="1">
      <alignment horizontal="center" vertical="center"/>
    </xf>
    <xf numFmtId="4" fontId="126" fillId="4" borderId="191" xfId="0" applyNumberFormat="1" applyFont="1" applyFill="1" applyBorder="1" applyAlignment="1">
      <alignment horizontal="center" vertical="center"/>
    </xf>
    <xf numFmtId="0" fontId="122" fillId="0" borderId="190" xfId="0" applyFont="1" applyBorder="1" applyAlignment="1">
      <alignment horizontal="center" vertical="center" wrapText="1"/>
    </xf>
    <xf numFmtId="0" fontId="122" fillId="19" borderId="190" xfId="0" applyFont="1" applyFill="1" applyBorder="1" applyAlignment="1">
      <alignment horizontal="center" vertical="center" wrapText="1"/>
    </xf>
    <xf numFmtId="0" fontId="122" fillId="4" borderId="190" xfId="0" applyFont="1" applyFill="1" applyBorder="1" applyAlignment="1">
      <alignment horizontal="center" vertical="center" wrapText="1"/>
    </xf>
    <xf numFmtId="0" fontId="125" fillId="20" borderId="190" xfId="0" applyFont="1" applyFill="1" applyBorder="1" applyAlignment="1">
      <alignment horizontal="center" vertical="center" wrapText="1"/>
    </xf>
    <xf numFmtId="0" fontId="121" fillId="39" borderId="190" xfId="0" applyFont="1" applyFill="1" applyBorder="1" applyAlignment="1">
      <alignment horizontal="center" vertical="center" wrapText="1"/>
    </xf>
    <xf numFmtId="192" fontId="18" fillId="17" borderId="0" xfId="0" applyNumberFormat="1" applyFont="1" applyFill="1" applyAlignment="1">
      <alignment vertical="center"/>
    </xf>
    <xf numFmtId="4" fontId="0" fillId="2" borderId="0" xfId="2" applyNumberFormat="1" applyFont="1" applyFill="1"/>
    <xf numFmtId="194" fontId="0" fillId="0" borderId="0" xfId="0" applyNumberFormat="1"/>
    <xf numFmtId="194" fontId="0" fillId="10" borderId="0" xfId="0" applyNumberFormat="1" applyFill="1"/>
    <xf numFmtId="169" fontId="4" fillId="16" borderId="19" xfId="0" applyNumberFormat="1" applyFont="1" applyFill="1" applyBorder="1" applyAlignment="1">
      <alignment horizontal="center" vertical="center"/>
    </xf>
    <xf numFmtId="194" fontId="0" fillId="4" borderId="0" xfId="0" applyNumberFormat="1" applyFill="1"/>
    <xf numFmtId="194" fontId="4" fillId="16" borderId="29" xfId="0" applyNumberFormat="1" applyFont="1" applyFill="1" applyBorder="1"/>
    <xf numFmtId="10" fontId="13" fillId="0" borderId="29" xfId="0" applyNumberFormat="1" applyFont="1" applyBorder="1" applyAlignment="1">
      <alignment horizontal="center"/>
    </xf>
    <xf numFmtId="0" fontId="4" fillId="40" borderId="19" xfId="0" applyFont="1" applyFill="1" applyBorder="1" applyAlignment="1">
      <alignment horizontal="center" vertical="center"/>
    </xf>
    <xf numFmtId="169" fontId="4" fillId="40" borderId="19" xfId="0" applyNumberFormat="1" applyFont="1" applyFill="1" applyBorder="1" applyAlignment="1">
      <alignment horizontal="center" vertical="center"/>
    </xf>
    <xf numFmtId="0" fontId="4" fillId="40" borderId="29" xfId="0" applyFont="1" applyFill="1" applyBorder="1"/>
    <xf numFmtId="194" fontId="4" fillId="40" borderId="29" xfId="0" applyNumberFormat="1" applyFont="1" applyFill="1" applyBorder="1"/>
    <xf numFmtId="195" fontId="0" fillId="0" borderId="0" xfId="0" applyNumberFormat="1"/>
    <xf numFmtId="196" fontId="0" fillId="0" borderId="0" xfId="0" applyNumberFormat="1"/>
    <xf numFmtId="2" fontId="3" fillId="6" borderId="59" xfId="0" applyNumberFormat="1" applyFont="1" applyFill="1" applyBorder="1" applyAlignment="1" applyProtection="1">
      <alignment horizontal="center"/>
      <protection locked="0"/>
    </xf>
    <xf numFmtId="2" fontId="13" fillId="6" borderId="59" xfId="0" applyNumberFormat="1" applyFont="1" applyFill="1" applyBorder="1" applyAlignment="1">
      <alignment horizontal="center"/>
    </xf>
    <xf numFmtId="0" fontId="4" fillId="0" borderId="192" xfId="0" applyFont="1" applyBorder="1" applyAlignment="1">
      <alignment horizontal="center"/>
    </xf>
    <xf numFmtId="4" fontId="0" fillId="0" borderId="56" xfId="0" applyNumberFormat="1" applyBorder="1" applyAlignment="1">
      <alignment horizontal="center"/>
    </xf>
    <xf numFmtId="4" fontId="0" fillId="0" borderId="56" xfId="0" applyNumberFormat="1" applyBorder="1"/>
    <xf numFmtId="4" fontId="23" fillId="0" borderId="0" xfId="0" applyNumberFormat="1" applyFont="1"/>
    <xf numFmtId="43" fontId="60" fillId="0" borderId="22" xfId="0" applyNumberFormat="1" applyFont="1" applyBorder="1"/>
    <xf numFmtId="44" fontId="0" fillId="2" borderId="0" xfId="0" applyNumberFormat="1" applyFill="1"/>
    <xf numFmtId="0" fontId="39" fillId="12" borderId="78" xfId="0" applyFont="1" applyFill="1" applyBorder="1" applyAlignment="1" applyProtection="1">
      <alignment horizontal="center" vertical="center"/>
      <protection locked="0"/>
    </xf>
    <xf numFmtId="9" fontId="39" fillId="12" borderId="75" xfId="2" applyFont="1" applyFill="1" applyBorder="1" applyAlignment="1" applyProtection="1">
      <alignment horizontal="center" vertical="center"/>
      <protection locked="0"/>
    </xf>
    <xf numFmtId="43" fontId="0" fillId="0" borderId="2" xfId="0" applyNumberFormat="1" applyBorder="1"/>
    <xf numFmtId="0" fontId="78" fillId="2" borderId="32" xfId="0" applyFont="1" applyFill="1" applyBorder="1" applyAlignment="1">
      <alignment horizontal="center" vertical="center" wrapText="1"/>
    </xf>
    <xf numFmtId="4" fontId="67" fillId="15" borderId="58" xfId="0" applyNumberFormat="1" applyFont="1" applyFill="1" applyBorder="1" applyAlignment="1" applyProtection="1">
      <alignment horizontal="center" vertical="center"/>
      <protection locked="0"/>
    </xf>
    <xf numFmtId="0" fontId="127" fillId="0" borderId="0" xfId="0" applyFont="1"/>
    <xf numFmtId="0" fontId="67" fillId="2" borderId="78" xfId="0" applyFont="1" applyFill="1" applyBorder="1" applyAlignment="1">
      <alignment horizontal="center" vertical="center"/>
    </xf>
    <xf numFmtId="3" fontId="67" fillId="2" borderId="78" xfId="0" applyNumberFormat="1" applyFont="1" applyFill="1" applyBorder="1" applyAlignment="1">
      <alignment horizontal="center" vertical="center"/>
    </xf>
    <xf numFmtId="0" fontId="4" fillId="9" borderId="35" xfId="0" applyFont="1" applyFill="1" applyBorder="1" applyAlignment="1">
      <alignment horizontal="center"/>
    </xf>
    <xf numFmtId="4" fontId="13" fillId="9" borderId="35" xfId="0" applyNumberFormat="1" applyFont="1" applyFill="1" applyBorder="1" applyAlignment="1">
      <alignment horizontal="center"/>
    </xf>
    <xf numFmtId="17" fontId="0" fillId="0" borderId="0" xfId="0" applyNumberFormat="1"/>
    <xf numFmtId="0" fontId="3" fillId="24" borderId="68" xfId="0" applyFont="1" applyFill="1" applyBorder="1" applyAlignment="1" applyProtection="1">
      <alignment horizontal="center"/>
      <protection locked="0"/>
    </xf>
    <xf numFmtId="0" fontId="77" fillId="21" borderId="78" xfId="0" applyFont="1" applyFill="1" applyBorder="1" applyAlignment="1">
      <alignment vertical="center" wrapText="1"/>
    </xf>
    <xf numFmtId="0" fontId="77" fillId="21" borderId="82" xfId="0" applyFont="1" applyFill="1" applyBorder="1" applyAlignment="1">
      <alignment vertical="center" wrapText="1"/>
    </xf>
    <xf numFmtId="43" fontId="60" fillId="0" borderId="178" xfId="0" applyNumberFormat="1" applyFont="1" applyBorder="1"/>
    <xf numFmtId="4" fontId="60" fillId="0" borderId="18" xfId="0" applyNumberFormat="1" applyFont="1" applyBorder="1"/>
    <xf numFmtId="4" fontId="60" fillId="0" borderId="19" xfId="0" applyNumberFormat="1" applyFont="1" applyBorder="1"/>
    <xf numFmtId="0" fontId="78" fillId="2" borderId="78" xfId="0" applyFont="1" applyFill="1" applyBorder="1" applyAlignment="1">
      <alignment vertical="center" wrapText="1"/>
    </xf>
    <xf numFmtId="0" fontId="78" fillId="2" borderId="82" xfId="0" applyFont="1" applyFill="1" applyBorder="1" applyAlignment="1">
      <alignment vertical="center" wrapText="1"/>
    </xf>
    <xf numFmtId="4" fontId="67" fillId="2" borderId="75" xfId="0" applyNumberFormat="1" applyFont="1" applyFill="1" applyBorder="1" applyAlignment="1">
      <alignment horizontal="center" vertical="center"/>
    </xf>
    <xf numFmtId="4" fontId="67" fillId="15" borderId="35" xfId="0" applyNumberFormat="1" applyFont="1" applyFill="1" applyBorder="1" applyAlignment="1">
      <alignment horizontal="center" vertical="center"/>
    </xf>
    <xf numFmtId="43" fontId="67" fillId="4" borderId="43" xfId="0" applyNumberFormat="1" applyFont="1" applyFill="1" applyBorder="1" applyAlignment="1">
      <alignment vertical="center"/>
    </xf>
    <xf numFmtId="169" fontId="35" fillId="8" borderId="43" xfId="0" applyNumberFormat="1" applyFont="1" applyFill="1" applyBorder="1" applyAlignment="1">
      <alignment horizontal="center" vertical="center" wrapText="1"/>
    </xf>
    <xf numFmtId="0" fontId="78" fillId="0" borderId="178" xfId="0" applyFont="1" applyBorder="1" applyAlignment="1">
      <alignment horizontal="left" vertical="center" wrapText="1"/>
    </xf>
    <xf numFmtId="43" fontId="88" fillId="9" borderId="97" xfId="1" applyFont="1" applyFill="1" applyBorder="1" applyAlignment="1">
      <alignment wrapText="1"/>
    </xf>
    <xf numFmtId="44" fontId="66" fillId="0" borderId="97" xfId="4" applyFont="1" applyFill="1" applyBorder="1"/>
    <xf numFmtId="0" fontId="78" fillId="0" borderId="43" xfId="0" applyFont="1" applyBorder="1" applyAlignment="1">
      <alignment vertical="center" wrapText="1"/>
    </xf>
    <xf numFmtId="0" fontId="78" fillId="0" borderId="28" xfId="0" applyFont="1" applyBorder="1" applyAlignment="1">
      <alignment horizontal="left" vertical="center" wrapText="1"/>
    </xf>
    <xf numFmtId="43" fontId="88" fillId="9" borderId="43" xfId="1" applyFont="1" applyFill="1" applyBorder="1" applyAlignment="1">
      <alignment wrapText="1"/>
    </xf>
    <xf numFmtId="0" fontId="78" fillId="0" borderId="43" xfId="0" applyFont="1" applyBorder="1" applyAlignment="1">
      <alignment horizontal="left" vertical="center" wrapText="1"/>
    </xf>
    <xf numFmtId="0" fontId="78" fillId="2" borderId="178" xfId="0" applyFont="1" applyFill="1" applyBorder="1" applyAlignment="1">
      <alignment horizontal="left" vertical="center" wrapText="1"/>
    </xf>
    <xf numFmtId="0" fontId="78" fillId="2" borderId="124" xfId="0" applyFont="1" applyFill="1" applyBorder="1" applyAlignment="1">
      <alignment horizontal="left" vertical="center" wrapText="1"/>
    </xf>
    <xf numFmtId="0" fontId="78" fillId="2" borderId="30" xfId="0" applyFont="1" applyFill="1" applyBorder="1" applyAlignment="1">
      <alignment horizontal="left" vertical="center" wrapText="1"/>
    </xf>
    <xf numFmtId="0" fontId="78" fillId="0" borderId="97" xfId="0" applyFont="1" applyBorder="1" applyAlignment="1">
      <alignment horizontal="left" vertical="center" wrapText="1"/>
    </xf>
    <xf numFmtId="44" fontId="66" fillId="0" borderId="97" xfId="0" applyNumberFormat="1" applyFont="1" applyBorder="1"/>
    <xf numFmtId="193" fontId="0" fillId="2" borderId="0" xfId="2" applyNumberFormat="1" applyFont="1" applyFill="1"/>
    <xf numFmtId="10" fontId="60" fillId="0" borderId="48" xfId="2" applyNumberFormat="1" applyFont="1" applyFill="1" applyBorder="1" applyAlignment="1">
      <alignment horizontal="center"/>
    </xf>
    <xf numFmtId="4" fontId="67" fillId="24" borderId="35" xfId="0" applyNumberFormat="1" applyFont="1" applyFill="1" applyBorder="1" applyAlignment="1">
      <alignment horizontal="center" vertical="center"/>
    </xf>
    <xf numFmtId="2" fontId="39" fillId="24" borderId="78" xfId="0" applyNumberFormat="1" applyFont="1" applyFill="1" applyBorder="1" applyAlignment="1" applyProtection="1">
      <alignment horizontal="center" vertical="center"/>
      <protection locked="0"/>
    </xf>
    <xf numFmtId="2" fontId="67" fillId="24" borderId="82" xfId="0" applyNumberFormat="1" applyFont="1" applyFill="1" applyBorder="1" applyAlignment="1">
      <alignment horizontal="center" vertical="center"/>
    </xf>
    <xf numFmtId="4" fontId="67" fillId="24" borderId="82" xfId="0" applyNumberFormat="1" applyFont="1" applyFill="1" applyBorder="1" applyAlignment="1">
      <alignment horizontal="center" vertical="center"/>
    </xf>
    <xf numFmtId="2" fontId="27" fillId="24" borderId="82" xfId="0" applyNumberFormat="1" applyFont="1" applyFill="1" applyBorder="1" applyAlignment="1">
      <alignment horizontal="left" vertical="center"/>
    </xf>
    <xf numFmtId="10" fontId="39" fillId="12" borderId="35" xfId="2" applyNumberFormat="1" applyFont="1" applyFill="1" applyBorder="1" applyAlignment="1" applyProtection="1">
      <alignment horizontal="center" vertical="center"/>
      <protection locked="0"/>
    </xf>
    <xf numFmtId="10" fontId="67" fillId="12" borderId="35" xfId="2" applyNumberFormat="1" applyFont="1" applyFill="1" applyBorder="1" applyAlignment="1" applyProtection="1">
      <alignment horizontal="center" vertical="center"/>
      <protection locked="0"/>
    </xf>
    <xf numFmtId="10" fontId="67" fillId="24" borderId="35" xfId="2" applyNumberFormat="1" applyFont="1" applyFill="1" applyBorder="1" applyAlignment="1">
      <alignment horizontal="center" vertical="center"/>
    </xf>
    <xf numFmtId="4" fontId="67" fillId="12" borderId="35" xfId="0" applyNumberFormat="1" applyFont="1" applyFill="1" applyBorder="1" applyAlignment="1" applyProtection="1">
      <alignment horizontal="center" vertical="center"/>
      <protection locked="0"/>
    </xf>
    <xf numFmtId="4" fontId="61" fillId="30" borderId="109" xfId="4" applyNumberFormat="1" applyFont="1" applyFill="1" applyBorder="1" applyAlignment="1" applyProtection="1">
      <protection locked="0"/>
    </xf>
    <xf numFmtId="4" fontId="60" fillId="0" borderId="23" xfId="0" applyNumberFormat="1" applyFont="1" applyBorder="1" applyAlignment="1">
      <alignment horizontal="center"/>
    </xf>
    <xf numFmtId="0" fontId="78" fillId="2" borderId="28" xfId="0" applyFont="1" applyFill="1" applyBorder="1" applyAlignment="1">
      <alignment horizontal="center" vertical="center" wrapText="1"/>
    </xf>
    <xf numFmtId="175" fontId="76" fillId="24" borderId="99" xfId="0" applyNumberFormat="1" applyFont="1" applyFill="1" applyBorder="1" applyAlignment="1" applyProtection="1">
      <alignment horizontal="center"/>
      <protection locked="0"/>
    </xf>
    <xf numFmtId="175" fontId="60" fillId="0" borderId="100" xfId="0" applyNumberFormat="1" applyFont="1" applyBorder="1" applyAlignment="1">
      <alignment horizontal="center"/>
    </xf>
    <xf numFmtId="170" fontId="60" fillId="0" borderId="60" xfId="1" applyNumberFormat="1" applyFont="1" applyFill="1" applyBorder="1"/>
    <xf numFmtId="169" fontId="33" fillId="16" borderId="29" xfId="0" applyNumberFormat="1" applyFont="1" applyFill="1" applyBorder="1" applyAlignment="1">
      <alignment horizontal="right" vertical="center"/>
    </xf>
    <xf numFmtId="4" fontId="62" fillId="0" borderId="29" xfId="0" applyNumberFormat="1" applyFont="1" applyBorder="1" applyAlignment="1">
      <alignment horizontal="right"/>
    </xf>
    <xf numFmtId="10" fontId="27" fillId="0" borderId="0" xfId="2" applyNumberFormat="1" applyFont="1" applyBorder="1"/>
    <xf numFmtId="0" fontId="4" fillId="4" borderId="29" xfId="0" applyFont="1" applyFill="1" applyBorder="1" applyAlignment="1">
      <alignment horizontal="left" vertical="center"/>
    </xf>
    <xf numFmtId="43" fontId="13" fillId="0" borderId="65" xfId="0" applyNumberFormat="1" applyFont="1" applyBorder="1"/>
    <xf numFmtId="43" fontId="13" fillId="0" borderId="66" xfId="0" applyNumberFormat="1" applyFont="1" applyBorder="1"/>
    <xf numFmtId="43" fontId="13" fillId="0" borderId="97" xfId="0" applyNumberFormat="1" applyFont="1" applyBorder="1"/>
    <xf numFmtId="43" fontId="60" fillId="0" borderId="97" xfId="0" applyNumberFormat="1" applyFont="1" applyBorder="1"/>
    <xf numFmtId="0" fontId="4" fillId="9" borderId="0" xfId="0" applyFont="1" applyFill="1" applyAlignment="1">
      <alignment horizontal="center"/>
    </xf>
    <xf numFmtId="0" fontId="0" fillId="0" borderId="194" xfId="0" applyBorder="1"/>
    <xf numFmtId="0" fontId="0" fillId="0" borderId="195" xfId="0" applyBorder="1"/>
    <xf numFmtId="175" fontId="60" fillId="0" borderId="29" xfId="0" applyNumberFormat="1" applyFont="1" applyBorder="1"/>
    <xf numFmtId="0" fontId="48" fillId="0" borderId="0" xfId="0" applyFont="1" applyAlignment="1">
      <alignment horizontal="center"/>
    </xf>
    <xf numFmtId="8" fontId="3" fillId="12" borderId="75" xfId="4" applyNumberFormat="1" applyFont="1" applyFill="1" applyBorder="1" applyAlignment="1" applyProtection="1">
      <alignment horizontal="center"/>
      <protection locked="0"/>
    </xf>
    <xf numFmtId="0" fontId="48" fillId="0" borderId="29" xfId="0" applyFont="1" applyBorder="1" applyAlignment="1">
      <alignment horizontal="center"/>
    </xf>
    <xf numFmtId="175" fontId="60" fillId="0" borderId="0" xfId="0" applyNumberFormat="1" applyFont="1"/>
    <xf numFmtId="0" fontId="48" fillId="8" borderId="29" xfId="0" applyFont="1" applyFill="1" applyBorder="1" applyAlignment="1">
      <alignment horizontal="center"/>
    </xf>
    <xf numFmtId="0" fontId="18" fillId="8" borderId="29" xfId="0" applyFont="1" applyFill="1" applyBorder="1"/>
    <xf numFmtId="175" fontId="60" fillId="8" borderId="29" xfId="0" applyNumberFormat="1" applyFont="1" applyFill="1" applyBorder="1"/>
    <xf numFmtId="0" fontId="10" fillId="0" borderId="0" xfId="0" applyFont="1"/>
    <xf numFmtId="0" fontId="130" fillId="0" borderId="0" xfId="0" applyFont="1"/>
    <xf numFmtId="0" fontId="131" fillId="0" borderId="0" xfId="0" applyFont="1" applyAlignment="1">
      <alignment horizontal="center" vertical="center"/>
    </xf>
    <xf numFmtId="0" fontId="131" fillId="0" borderId="0" xfId="0" applyFont="1" applyAlignment="1">
      <alignment horizontal="center"/>
    </xf>
    <xf numFmtId="0" fontId="132" fillId="0" borderId="0" xfId="0" applyFont="1" applyAlignment="1">
      <alignment vertical="center"/>
    </xf>
    <xf numFmtId="168" fontId="131" fillId="0" borderId="0" xfId="2" applyNumberFormat="1" applyFont="1" applyFill="1" applyBorder="1" applyAlignment="1">
      <alignment horizontal="center" vertical="center"/>
    </xf>
    <xf numFmtId="0" fontId="133" fillId="0" borderId="0" xfId="0" applyFont="1"/>
    <xf numFmtId="197" fontId="129" fillId="0" borderId="0" xfId="1" applyNumberFormat="1" applyFont="1" applyFill="1" applyBorder="1" applyAlignment="1">
      <alignment horizontal="center" vertical="center"/>
    </xf>
    <xf numFmtId="43" fontId="19" fillId="0" borderId="0" xfId="1" applyFont="1" applyFill="1" applyBorder="1"/>
    <xf numFmtId="197" fontId="128" fillId="0" borderId="0" xfId="1" applyNumberFormat="1" applyFont="1" applyFill="1" applyBorder="1" applyAlignment="1">
      <alignment horizontal="center" vertical="center"/>
    </xf>
    <xf numFmtId="170" fontId="129" fillId="0" borderId="0" xfId="0" applyNumberFormat="1" applyFont="1"/>
    <xf numFmtId="43" fontId="133" fillId="0" borderId="0" xfId="0" applyNumberFormat="1" applyFont="1"/>
    <xf numFmtId="0" fontId="129" fillId="0" borderId="0" xfId="0" applyFont="1"/>
    <xf numFmtId="10" fontId="5" fillId="7" borderId="78" xfId="0" applyNumberFormat="1" applyFont="1" applyFill="1" applyBorder="1" applyAlignment="1" applyProtection="1">
      <alignment horizontal="center"/>
      <protection locked="0"/>
    </xf>
    <xf numFmtId="10" fontId="5" fillId="7" borderId="75" xfId="0" applyNumberFormat="1" applyFont="1" applyFill="1" applyBorder="1" applyAlignment="1" applyProtection="1">
      <alignment horizontal="center"/>
      <protection locked="0"/>
    </xf>
    <xf numFmtId="197" fontId="60" fillId="3" borderId="193" xfId="1" applyNumberFormat="1" applyFont="1" applyFill="1" applyBorder="1" applyAlignment="1">
      <alignment horizontal="center" vertical="center"/>
    </xf>
    <xf numFmtId="189" fontId="102" fillId="0" borderId="0" xfId="0" applyNumberFormat="1" applyFont="1"/>
    <xf numFmtId="189" fontId="103" fillId="0" borderId="0" xfId="0" applyNumberFormat="1" applyFont="1"/>
    <xf numFmtId="185" fontId="110" fillId="0" borderId="0" xfId="0" applyNumberFormat="1" applyFont="1"/>
    <xf numFmtId="0" fontId="0" fillId="0" borderId="30" xfId="0" applyBorder="1"/>
    <xf numFmtId="14" fontId="0" fillId="0" borderId="43" xfId="0" applyNumberFormat="1" applyBorder="1"/>
    <xf numFmtId="10" fontId="0" fillId="0" borderId="43" xfId="0" applyNumberFormat="1" applyBorder="1"/>
    <xf numFmtId="44" fontId="60" fillId="2" borderId="43" xfId="4" applyFont="1" applyFill="1" applyBorder="1" applyAlignment="1">
      <alignment horizontal="center"/>
    </xf>
    <xf numFmtId="0" fontId="18" fillId="0" borderId="162" xfId="0" applyFont="1" applyBorder="1"/>
    <xf numFmtId="0" fontId="0" fillId="0" borderId="163" xfId="0" applyBorder="1"/>
    <xf numFmtId="10" fontId="0" fillId="0" borderId="163" xfId="0" applyNumberFormat="1" applyBorder="1"/>
    <xf numFmtId="0" fontId="0" fillId="0" borderId="164" xfId="0" applyBorder="1"/>
    <xf numFmtId="0" fontId="134" fillId="0" borderId="0" xfId="0" applyFont="1" applyAlignment="1">
      <alignment horizontal="left"/>
    </xf>
    <xf numFmtId="0" fontId="135" fillId="0" borderId="0" xfId="0" applyFont="1"/>
    <xf numFmtId="180" fontId="135" fillId="0" borderId="0" xfId="0" applyNumberFormat="1" applyFont="1"/>
    <xf numFmtId="0" fontId="44" fillId="2" borderId="78" xfId="0" applyFont="1" applyFill="1" applyBorder="1" applyAlignment="1" applyProtection="1">
      <alignment vertical="center" wrapText="1"/>
      <protection locked="0"/>
    </xf>
    <xf numFmtId="0" fontId="44" fillId="2" borderId="75" xfId="0" applyFont="1" applyFill="1" applyBorder="1" applyAlignment="1" applyProtection="1">
      <alignment vertical="center" wrapText="1"/>
      <protection locked="0"/>
    </xf>
    <xf numFmtId="0" fontId="77" fillId="21" borderId="75" xfId="0" applyFont="1" applyFill="1" applyBorder="1" applyAlignment="1">
      <alignment vertical="center" wrapText="1"/>
    </xf>
    <xf numFmtId="8" fontId="60" fillId="0" borderId="23" xfId="0" applyNumberFormat="1" applyFont="1" applyBorder="1"/>
    <xf numFmtId="168" fontId="0" fillId="0" borderId="0" xfId="2" applyNumberFormat="1" applyFont="1"/>
    <xf numFmtId="2" fontId="0" fillId="0" borderId="0" xfId="0" applyNumberFormat="1"/>
    <xf numFmtId="168" fontId="60" fillId="4" borderId="17" xfId="0" applyNumberFormat="1" applyFont="1" applyFill="1" applyBorder="1" applyAlignment="1">
      <alignment horizontal="center" vertical="center"/>
    </xf>
    <xf numFmtId="4" fontId="82" fillId="9" borderId="97" xfId="0" applyNumberFormat="1" applyFont="1" applyFill="1" applyBorder="1" applyAlignment="1">
      <alignment wrapText="1"/>
    </xf>
    <xf numFmtId="4" fontId="82" fillId="9" borderId="65" xfId="0" applyNumberFormat="1" applyFont="1" applyFill="1" applyBorder="1" applyAlignment="1">
      <alignment wrapText="1"/>
    </xf>
    <xf numFmtId="43" fontId="60" fillId="0" borderId="97" xfId="0" applyNumberFormat="1" applyFont="1" applyBorder="1" applyAlignment="1">
      <alignment horizontal="right" vertical="center" wrapText="1"/>
    </xf>
    <xf numFmtId="4" fontId="60" fillId="0" borderId="97" xfId="0" applyNumberFormat="1" applyFont="1" applyBorder="1" applyAlignment="1">
      <alignment horizontal="right" vertical="center" wrapText="1"/>
    </xf>
    <xf numFmtId="43" fontId="60" fillId="15" borderId="66" xfId="0" applyNumberFormat="1" applyFont="1" applyFill="1" applyBorder="1" applyAlignment="1">
      <alignment horizontal="right" vertical="center"/>
    </xf>
    <xf numFmtId="0" fontId="0" fillId="2" borderId="158" xfId="0" applyFill="1" applyBorder="1"/>
    <xf numFmtId="183" fontId="29" fillId="2" borderId="158" xfId="0" applyNumberFormat="1" applyFont="1" applyFill="1" applyBorder="1" applyAlignment="1">
      <alignment horizontal="left"/>
    </xf>
    <xf numFmtId="0" fontId="0" fillId="2" borderId="158" xfId="0" applyFill="1" applyBorder="1" applyAlignment="1">
      <alignment horizontal="center"/>
    </xf>
    <xf numFmtId="0" fontId="19" fillId="0" borderId="44" xfId="0" applyFont="1" applyBorder="1" applyAlignment="1">
      <alignment horizontal="left" wrapText="1"/>
    </xf>
    <xf numFmtId="43" fontId="0" fillId="9" borderId="0" xfId="0" applyNumberFormat="1" applyFill="1"/>
    <xf numFmtId="4" fontId="61" fillId="0" borderId="48" xfId="0" applyNumberFormat="1" applyFont="1" applyBorder="1"/>
    <xf numFmtId="44" fontId="33" fillId="30" borderId="109" xfId="4" applyFont="1" applyFill="1" applyBorder="1" applyAlignment="1" applyProtection="1">
      <alignment horizontal="center"/>
      <protection locked="0"/>
    </xf>
    <xf numFmtId="44" fontId="33" fillId="30" borderId="183" xfId="4" applyFont="1" applyFill="1" applyBorder="1" applyAlignment="1" applyProtection="1">
      <alignment horizontal="center"/>
      <protection locked="0"/>
    </xf>
    <xf numFmtId="0" fontId="136" fillId="2" borderId="88" xfId="0" applyFont="1" applyFill="1" applyBorder="1" applyAlignment="1" applyProtection="1">
      <alignment horizontal="left" vertical="center"/>
      <protection locked="0"/>
    </xf>
    <xf numFmtId="0" fontId="136" fillId="2" borderId="109" xfId="0" applyFont="1" applyFill="1" applyBorder="1" applyAlignment="1" applyProtection="1">
      <alignment horizontal="left" vertical="center"/>
      <protection locked="0"/>
    </xf>
    <xf numFmtId="4" fontId="13" fillId="2" borderId="0" xfId="0" applyNumberFormat="1" applyFont="1" applyFill="1" applyAlignment="1">
      <alignment horizontal="center"/>
    </xf>
    <xf numFmtId="0" fontId="0" fillId="2" borderId="196" xfId="0" applyFill="1" applyBorder="1"/>
    <xf numFmtId="0" fontId="0" fillId="2" borderId="197" xfId="0" applyFill="1" applyBorder="1"/>
    <xf numFmtId="0" fontId="0" fillId="2" borderId="198" xfId="0" applyFill="1" applyBorder="1"/>
    <xf numFmtId="43" fontId="60" fillId="0" borderId="47" xfId="0" applyNumberFormat="1" applyFont="1" applyBorder="1" applyAlignment="1">
      <alignment wrapText="1"/>
    </xf>
    <xf numFmtId="0" fontId="0" fillId="0" borderId="42" xfId="0" applyBorder="1" applyAlignment="1">
      <alignment horizontal="left" wrapText="1"/>
    </xf>
    <xf numFmtId="43" fontId="60" fillId="0" borderId="67" xfId="0" applyNumberFormat="1" applyFont="1" applyBorder="1" applyAlignment="1">
      <alignment wrapText="1"/>
    </xf>
    <xf numFmtId="191" fontId="60" fillId="0" borderId="42" xfId="0" applyNumberFormat="1" applyFont="1" applyBorder="1"/>
    <xf numFmtId="191" fontId="0" fillId="0" borderId="0" xfId="0" applyNumberFormat="1"/>
    <xf numFmtId="0" fontId="12" fillId="4" borderId="0" xfId="0" applyFont="1" applyFill="1" applyAlignment="1">
      <alignment horizontal="center"/>
    </xf>
    <xf numFmtId="0" fontId="16" fillId="5" borderId="36" xfId="0" applyFont="1" applyFill="1" applyBorder="1" applyAlignment="1">
      <alignment horizontal="center" wrapText="1"/>
    </xf>
    <xf numFmtId="0" fontId="16" fillId="5" borderId="37" xfId="0" applyFont="1" applyFill="1" applyBorder="1" applyAlignment="1">
      <alignment horizontal="center" wrapText="1"/>
    </xf>
    <xf numFmtId="0" fontId="16" fillId="5" borderId="38" xfId="0" applyFont="1" applyFill="1" applyBorder="1" applyAlignment="1">
      <alignment horizontal="center" wrapText="1"/>
    </xf>
    <xf numFmtId="0" fontId="27" fillId="3" borderId="0" xfId="0" applyFont="1" applyFill="1" applyAlignment="1">
      <alignment horizontal="center"/>
    </xf>
    <xf numFmtId="0" fontId="27" fillId="3" borderId="58" xfId="0" applyFont="1" applyFill="1" applyBorder="1" applyAlignment="1">
      <alignment horizontal="center"/>
    </xf>
    <xf numFmtId="0" fontId="0" fillId="16" borderId="35" xfId="0" applyFill="1" applyBorder="1" applyAlignment="1">
      <alignment horizontal="center" vertical="center"/>
    </xf>
    <xf numFmtId="0" fontId="18" fillId="17" borderId="78" xfId="0" applyFont="1" applyFill="1" applyBorder="1" applyAlignment="1">
      <alignment horizontal="center" vertical="center"/>
    </xf>
    <xf numFmtId="0" fontId="18" fillId="17" borderId="82" xfId="0" applyFont="1" applyFill="1" applyBorder="1" applyAlignment="1">
      <alignment horizontal="center" vertical="center"/>
    </xf>
    <xf numFmtId="0" fontId="18" fillId="17" borderId="75" xfId="0" applyFont="1" applyFill="1" applyBorder="1" applyAlignment="1">
      <alignment horizontal="center" vertical="center"/>
    </xf>
    <xf numFmtId="0" fontId="64" fillId="17" borderId="78" xfId="0" applyFont="1" applyFill="1" applyBorder="1" applyAlignment="1">
      <alignment horizontal="left" wrapText="1"/>
    </xf>
    <xf numFmtId="0" fontId="64" fillId="17" borderId="82" xfId="0" applyFont="1" applyFill="1" applyBorder="1" applyAlignment="1">
      <alignment horizontal="left" wrapText="1"/>
    </xf>
    <xf numFmtId="0" fontId="64" fillId="17" borderId="75" xfId="0" applyFont="1" applyFill="1" applyBorder="1" applyAlignment="1">
      <alignment horizontal="left" wrapText="1"/>
    </xf>
    <xf numFmtId="0" fontId="18" fillId="17" borderId="99" xfId="0" applyFont="1" applyFill="1" applyBorder="1" applyAlignment="1">
      <alignment horizontal="center" vertical="center" wrapText="1"/>
    </xf>
    <xf numFmtId="0" fontId="18" fillId="17" borderId="91" xfId="0" applyFont="1" applyFill="1" applyBorder="1" applyAlignment="1">
      <alignment horizontal="center" vertical="center" wrapText="1"/>
    </xf>
    <xf numFmtId="0" fontId="18" fillId="17" borderId="100" xfId="0" applyFont="1" applyFill="1" applyBorder="1" applyAlignment="1">
      <alignment horizontal="center" vertical="center" wrapText="1"/>
    </xf>
    <xf numFmtId="0" fontId="18" fillId="17" borderId="142" xfId="0" applyFont="1" applyFill="1" applyBorder="1" applyAlignment="1">
      <alignment horizontal="center" vertical="center" wrapText="1"/>
    </xf>
    <xf numFmtId="0" fontId="18" fillId="17" borderId="0" xfId="0" applyFont="1" applyFill="1" applyAlignment="1">
      <alignment horizontal="center" vertical="center" wrapText="1"/>
    </xf>
    <xf numFmtId="0" fontId="18" fillId="17" borderId="58" xfId="0" applyFont="1" applyFill="1" applyBorder="1" applyAlignment="1">
      <alignment horizontal="center" vertical="center" wrapText="1"/>
    </xf>
    <xf numFmtId="0" fontId="18" fillId="17" borderId="101" xfId="0" applyFont="1" applyFill="1" applyBorder="1" applyAlignment="1">
      <alignment horizontal="center" vertical="center" wrapText="1"/>
    </xf>
    <xf numFmtId="0" fontId="18" fillId="17" borderId="90" xfId="0" applyFont="1" applyFill="1" applyBorder="1" applyAlignment="1">
      <alignment horizontal="center" vertical="center" wrapText="1"/>
    </xf>
    <xf numFmtId="0" fontId="18" fillId="17" borderId="102" xfId="0" applyFont="1" applyFill="1" applyBorder="1" applyAlignment="1">
      <alignment horizontal="center" vertical="center" wrapText="1"/>
    </xf>
    <xf numFmtId="0" fontId="18" fillId="17" borderId="78" xfId="0" applyFont="1" applyFill="1" applyBorder="1" applyAlignment="1">
      <alignment horizontal="left" vertical="center"/>
    </xf>
    <xf numFmtId="0" fontId="18" fillId="17" borderId="82" xfId="0" applyFont="1" applyFill="1" applyBorder="1" applyAlignment="1">
      <alignment horizontal="left" vertical="center"/>
    </xf>
    <xf numFmtId="0" fontId="18" fillId="17" borderId="75" xfId="0" applyFont="1" applyFill="1" applyBorder="1" applyAlignment="1">
      <alignment horizontal="left" vertical="center"/>
    </xf>
    <xf numFmtId="0" fontId="0" fillId="16" borderId="78" xfId="0" applyFill="1" applyBorder="1" applyAlignment="1">
      <alignment horizontal="center" vertical="center" wrapText="1"/>
    </xf>
    <xf numFmtId="0" fontId="0" fillId="16" borderId="75" xfId="0" applyFill="1" applyBorder="1" applyAlignment="1">
      <alignment horizontal="center" vertical="center" wrapText="1"/>
    </xf>
    <xf numFmtId="0" fontId="64" fillId="17" borderId="99" xfId="0" applyFont="1" applyFill="1" applyBorder="1" applyAlignment="1">
      <alignment horizontal="left" wrapText="1"/>
    </xf>
    <xf numFmtId="0" fontId="64" fillId="17" borderId="91" xfId="0" applyFont="1" applyFill="1" applyBorder="1" applyAlignment="1">
      <alignment horizontal="left" wrapText="1"/>
    </xf>
    <xf numFmtId="0" fontId="64" fillId="17" borderId="100" xfId="0" applyFont="1" applyFill="1" applyBorder="1" applyAlignment="1">
      <alignment horizontal="left" wrapText="1"/>
    </xf>
    <xf numFmtId="0" fontId="64" fillId="17" borderId="101" xfId="0" applyFont="1" applyFill="1" applyBorder="1" applyAlignment="1">
      <alignment horizontal="left" wrapText="1"/>
    </xf>
    <xf numFmtId="0" fontId="64" fillId="17" borderId="90" xfId="0" applyFont="1" applyFill="1" applyBorder="1" applyAlignment="1">
      <alignment horizontal="left" wrapText="1"/>
    </xf>
    <xf numFmtId="0" fontId="64" fillId="17" borderId="102" xfId="0" applyFont="1" applyFill="1" applyBorder="1" applyAlignment="1">
      <alignment horizontal="left" wrapText="1"/>
    </xf>
    <xf numFmtId="0" fontId="0" fillId="3" borderId="0" xfId="0" applyFill="1" applyAlignment="1">
      <alignment horizontal="left" vertical="center"/>
    </xf>
    <xf numFmtId="0" fontId="21" fillId="9" borderId="0" xfId="0" applyFont="1" applyFill="1" applyAlignment="1">
      <alignment horizontal="center"/>
    </xf>
    <xf numFmtId="0" fontId="21" fillId="9" borderId="13" xfId="0" applyFont="1" applyFill="1" applyBorder="1" applyAlignment="1">
      <alignment horizontal="center"/>
    </xf>
    <xf numFmtId="0" fontId="14" fillId="8" borderId="11" xfId="0" applyFont="1" applyFill="1" applyBorder="1" applyAlignment="1">
      <alignment horizontal="center"/>
    </xf>
    <xf numFmtId="0" fontId="4" fillId="10" borderId="10" xfId="0" applyFont="1" applyFill="1" applyBorder="1" applyAlignment="1">
      <alignment horizontal="center"/>
    </xf>
    <xf numFmtId="0" fontId="4" fillId="10" borderId="11" xfId="0" applyFont="1" applyFill="1" applyBorder="1" applyAlignment="1">
      <alignment horizontal="center"/>
    </xf>
    <xf numFmtId="0" fontId="4" fillId="10" borderId="12" xfId="0" applyFont="1" applyFill="1" applyBorder="1" applyAlignment="1">
      <alignment horizontal="center"/>
    </xf>
    <xf numFmtId="0" fontId="4" fillId="7" borderId="10" xfId="0" applyFont="1" applyFill="1" applyBorder="1" applyAlignment="1">
      <alignment horizontal="center"/>
    </xf>
    <xf numFmtId="0" fontId="4" fillId="7" borderId="11" xfId="0" applyFont="1" applyFill="1" applyBorder="1" applyAlignment="1">
      <alignment horizontal="center"/>
    </xf>
    <xf numFmtId="0" fontId="4" fillId="7" borderId="12" xfId="0" applyFont="1" applyFill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3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32" xfId="0" applyFont="1" applyBorder="1" applyAlignment="1">
      <alignment horizontal="center"/>
    </xf>
    <xf numFmtId="185" fontId="110" fillId="9" borderId="0" xfId="0" applyNumberFormat="1" applyFont="1" applyFill="1" applyAlignment="1">
      <alignment horizontal="center"/>
    </xf>
    <xf numFmtId="0" fontId="4" fillId="10" borderId="28" xfId="0" applyFont="1" applyFill="1" applyBorder="1" applyAlignment="1">
      <alignment horizontal="center" vertical="center" wrapText="1"/>
    </xf>
    <xf numFmtId="0" fontId="4" fillId="10" borderId="30" xfId="0" applyFont="1" applyFill="1" applyBorder="1" applyAlignment="1">
      <alignment horizontal="center" vertical="center" wrapText="1"/>
    </xf>
    <xf numFmtId="0" fontId="4" fillId="4" borderId="28" xfId="0" applyFont="1" applyFill="1" applyBorder="1" applyAlignment="1">
      <alignment horizontal="center" vertical="center" wrapText="1"/>
    </xf>
    <xf numFmtId="0" fontId="4" fillId="4" borderId="30" xfId="0" applyFont="1" applyFill="1" applyBorder="1" applyAlignment="1">
      <alignment horizontal="center" vertical="center" wrapText="1"/>
    </xf>
    <xf numFmtId="0" fontId="4" fillId="4" borderId="46" xfId="0" applyFont="1" applyFill="1" applyBorder="1" applyAlignment="1">
      <alignment horizontal="center" vertical="center" wrapText="1"/>
    </xf>
    <xf numFmtId="0" fontId="4" fillId="4" borderId="47" xfId="0" applyFont="1" applyFill="1" applyBorder="1" applyAlignment="1">
      <alignment horizontal="center" vertical="center" wrapText="1"/>
    </xf>
    <xf numFmtId="0" fontId="4" fillId="21" borderId="28" xfId="0" applyFont="1" applyFill="1" applyBorder="1" applyAlignment="1">
      <alignment horizontal="center" vertical="center" wrapText="1"/>
    </xf>
    <xf numFmtId="0" fontId="4" fillId="21" borderId="30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left" wrapText="1"/>
    </xf>
    <xf numFmtId="0" fontId="27" fillId="0" borderId="58" xfId="0" applyFont="1" applyBorder="1" applyAlignment="1">
      <alignment horizontal="left" wrapText="1"/>
    </xf>
    <xf numFmtId="0" fontId="4" fillId="16" borderId="28" xfId="0" applyFont="1" applyFill="1" applyBorder="1" applyAlignment="1">
      <alignment horizontal="center" vertical="center" wrapText="1"/>
    </xf>
    <xf numFmtId="0" fontId="4" fillId="16" borderId="30" xfId="0" applyFont="1" applyFill="1" applyBorder="1" applyAlignment="1">
      <alignment horizontal="center" vertical="center" wrapText="1"/>
    </xf>
    <xf numFmtId="0" fontId="29" fillId="0" borderId="11" xfId="7" applyFont="1" applyBorder="1" applyAlignment="1">
      <alignment horizontal="center" vertical="center"/>
    </xf>
    <xf numFmtId="0" fontId="29" fillId="0" borderId="16" xfId="7" applyFont="1" applyBorder="1" applyAlignment="1">
      <alignment horizontal="center" vertical="center"/>
    </xf>
    <xf numFmtId="0" fontId="29" fillId="0" borderId="19" xfId="7" applyFont="1" applyBorder="1" applyAlignment="1">
      <alignment vertical="center"/>
    </xf>
    <xf numFmtId="0" fontId="29" fillId="0" borderId="26" xfId="7" applyFont="1" applyBorder="1" applyAlignment="1">
      <alignment vertical="center"/>
    </xf>
    <xf numFmtId="0" fontId="19" fillId="3" borderId="0" xfId="0" applyFont="1" applyFill="1" applyAlignment="1">
      <alignment horizontal="left" wrapText="1"/>
    </xf>
    <xf numFmtId="0" fontId="4" fillId="16" borderId="78" xfId="0" applyFont="1" applyFill="1" applyBorder="1" applyAlignment="1">
      <alignment horizontal="center" vertical="center" wrapText="1"/>
    </xf>
    <xf numFmtId="0" fontId="4" fillId="16" borderId="75" xfId="0" applyFont="1" applyFill="1" applyBorder="1" applyAlignment="1">
      <alignment horizontal="center" vertical="center" wrapText="1"/>
    </xf>
    <xf numFmtId="10" fontId="24" fillId="17" borderId="78" xfId="0" applyNumberFormat="1" applyFont="1" applyFill="1" applyBorder="1" applyAlignment="1">
      <alignment horizontal="left" vertical="center" wrapText="1"/>
    </xf>
    <xf numFmtId="10" fontId="24" fillId="17" borderId="82" xfId="0" applyNumberFormat="1" applyFont="1" applyFill="1" applyBorder="1" applyAlignment="1">
      <alignment horizontal="left" vertical="center" wrapText="1"/>
    </xf>
    <xf numFmtId="10" fontId="24" fillId="17" borderId="75" xfId="0" applyNumberFormat="1" applyFont="1" applyFill="1" applyBorder="1" applyAlignment="1">
      <alignment horizontal="left" vertical="center" wrapText="1"/>
    </xf>
    <xf numFmtId="0" fontId="4" fillId="16" borderId="91" xfId="0" applyFont="1" applyFill="1" applyBorder="1" applyAlignment="1">
      <alignment horizontal="center" vertical="center" wrapText="1"/>
    </xf>
    <xf numFmtId="0" fontId="4" fillId="16" borderId="100" xfId="0" applyFont="1" applyFill="1" applyBorder="1" applyAlignment="1">
      <alignment horizontal="center" vertical="center" wrapText="1"/>
    </xf>
    <xf numFmtId="0" fontId="19" fillId="3" borderId="35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15" fillId="5" borderId="1" xfId="0" applyFont="1" applyFill="1" applyBorder="1" applyAlignment="1">
      <alignment horizontal="center" wrapText="1"/>
    </xf>
    <xf numFmtId="0" fontId="5" fillId="5" borderId="2" xfId="0" applyFont="1" applyFill="1" applyBorder="1" applyAlignment="1">
      <alignment horizontal="center" wrapText="1"/>
    </xf>
    <xf numFmtId="0" fontId="5" fillId="5" borderId="3" xfId="0" applyFont="1" applyFill="1" applyBorder="1" applyAlignment="1">
      <alignment horizontal="center" wrapText="1"/>
    </xf>
    <xf numFmtId="0" fontId="5" fillId="5" borderId="5" xfId="0" applyFont="1" applyFill="1" applyBorder="1" applyAlignment="1">
      <alignment horizontal="center" wrapText="1"/>
    </xf>
    <xf numFmtId="0" fontId="5" fillId="5" borderId="6" xfId="0" applyFont="1" applyFill="1" applyBorder="1" applyAlignment="1">
      <alignment horizontal="center" wrapText="1"/>
    </xf>
    <xf numFmtId="0" fontId="5" fillId="5" borderId="7" xfId="0" applyFont="1" applyFill="1" applyBorder="1" applyAlignment="1">
      <alignment horizontal="center" wrapText="1"/>
    </xf>
    <xf numFmtId="0" fontId="0" fillId="3" borderId="15" xfId="0" applyFill="1" applyBorder="1" applyAlignment="1">
      <alignment horizontal="left"/>
    </xf>
    <xf numFmtId="0" fontId="0" fillId="3" borderId="1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33" xfId="0" applyBorder="1" applyAlignment="1">
      <alignment horizontal="center" wrapText="1"/>
    </xf>
    <xf numFmtId="0" fontId="0" fillId="0" borderId="34" xfId="0" applyBorder="1" applyAlignment="1">
      <alignment horizontal="center" wrapText="1"/>
    </xf>
    <xf numFmtId="0" fontId="0" fillId="0" borderId="44" xfId="0" applyBorder="1" applyAlignment="1">
      <alignment horizontal="left" wrapText="1"/>
    </xf>
    <xf numFmtId="0" fontId="0" fillId="0" borderId="124" xfId="0" applyBorder="1" applyAlignment="1">
      <alignment horizontal="left" wrapText="1"/>
    </xf>
    <xf numFmtId="0" fontId="81" fillId="2" borderId="46" xfId="0" applyFont="1" applyFill="1" applyBorder="1" applyAlignment="1">
      <alignment horizontal="center" vertical="center" wrapText="1"/>
    </xf>
    <xf numFmtId="0" fontId="81" fillId="2" borderId="48" xfId="0" applyFont="1" applyFill="1" applyBorder="1" applyAlignment="1">
      <alignment horizontal="center" vertical="center"/>
    </xf>
    <xf numFmtId="0" fontId="78" fillId="2" borderId="46" xfId="0" applyFont="1" applyFill="1" applyBorder="1" applyAlignment="1">
      <alignment horizontal="center" vertical="center" wrapText="1"/>
    </xf>
    <xf numFmtId="0" fontId="78" fillId="2" borderId="48" xfId="0" applyFont="1" applyFill="1" applyBorder="1" applyAlignment="1">
      <alignment horizontal="center" vertical="center" wrapText="1"/>
    </xf>
    <xf numFmtId="0" fontId="78" fillId="2" borderId="47" xfId="0" applyFont="1" applyFill="1" applyBorder="1" applyAlignment="1">
      <alignment horizontal="center" vertical="center" wrapText="1"/>
    </xf>
    <xf numFmtId="0" fontId="77" fillId="21" borderId="78" xfId="0" applyFont="1" applyFill="1" applyBorder="1" applyAlignment="1">
      <alignment horizontal="center" vertical="center" wrapText="1"/>
    </xf>
    <xf numFmtId="0" fontId="77" fillId="21" borderId="82" xfId="0" applyFont="1" applyFill="1" applyBorder="1" applyAlignment="1">
      <alignment horizontal="center" vertical="center" wrapText="1"/>
    </xf>
    <xf numFmtId="0" fontId="77" fillId="21" borderId="75" xfId="0" applyFont="1" applyFill="1" applyBorder="1" applyAlignment="1">
      <alignment horizontal="center" vertical="center" wrapText="1"/>
    </xf>
    <xf numFmtId="0" fontId="77" fillId="21" borderId="60" xfId="0" applyFont="1" applyFill="1" applyBorder="1" applyAlignment="1">
      <alignment horizontal="center" vertical="center" wrapText="1"/>
    </xf>
    <xf numFmtId="0" fontId="77" fillId="21" borderId="59" xfId="0" applyFont="1" applyFill="1" applyBorder="1" applyAlignment="1">
      <alignment horizontal="center" vertical="center" wrapText="1"/>
    </xf>
    <xf numFmtId="0" fontId="78" fillId="2" borderId="60" xfId="0" applyFont="1" applyFill="1" applyBorder="1" applyAlignment="1">
      <alignment horizontal="center" vertical="center" wrapText="1"/>
    </xf>
    <xf numFmtId="0" fontId="78" fillId="2" borderId="73" xfId="0" applyFont="1" applyFill="1" applyBorder="1" applyAlignment="1">
      <alignment horizontal="center" vertical="center" wrapText="1"/>
    </xf>
    <xf numFmtId="0" fontId="78" fillId="2" borderId="59" xfId="0" applyFont="1" applyFill="1" applyBorder="1" applyAlignment="1">
      <alignment horizontal="center" vertical="center" wrapText="1"/>
    </xf>
    <xf numFmtId="0" fontId="78" fillId="0" borderId="46" xfId="0" applyFont="1" applyBorder="1" applyAlignment="1">
      <alignment horizontal="center" vertical="center" wrapText="1"/>
    </xf>
    <xf numFmtId="0" fontId="78" fillId="0" borderId="47" xfId="0" applyFont="1" applyBorder="1" applyAlignment="1">
      <alignment horizontal="center" vertical="center" wrapText="1"/>
    </xf>
    <xf numFmtId="0" fontId="78" fillId="0" borderId="48" xfId="0" applyFont="1" applyBorder="1" applyAlignment="1">
      <alignment horizontal="center" vertical="center" wrapText="1"/>
    </xf>
    <xf numFmtId="0" fontId="81" fillId="2" borderId="46" xfId="0" applyFont="1" applyFill="1" applyBorder="1" applyAlignment="1">
      <alignment horizontal="center" vertical="center"/>
    </xf>
    <xf numFmtId="0" fontId="81" fillId="0" borderId="46" xfId="0" applyFont="1" applyBorder="1" applyAlignment="1">
      <alignment horizontal="center" vertical="center"/>
    </xf>
    <xf numFmtId="0" fontId="81" fillId="0" borderId="48" xfId="0" applyFont="1" applyBorder="1" applyAlignment="1">
      <alignment horizontal="center" vertical="center"/>
    </xf>
    <xf numFmtId="0" fontId="19" fillId="0" borderId="42" xfId="0" applyFont="1" applyBorder="1" applyAlignment="1">
      <alignment horizontal="left" wrapText="1"/>
    </xf>
    <xf numFmtId="0" fontId="19" fillId="0" borderId="23" xfId="0" applyFont="1" applyBorder="1" applyAlignment="1">
      <alignment horizontal="left" wrapText="1"/>
    </xf>
    <xf numFmtId="0" fontId="4" fillId="2" borderId="0" xfId="0" applyFont="1" applyFill="1" applyAlignment="1">
      <alignment horizontal="right"/>
    </xf>
    <xf numFmtId="0" fontId="4" fillId="2" borderId="58" xfId="0" applyFont="1" applyFill="1" applyBorder="1" applyAlignment="1">
      <alignment horizontal="right"/>
    </xf>
    <xf numFmtId="0" fontId="78" fillId="2" borderId="84" xfId="0" applyFont="1" applyFill="1" applyBorder="1" applyAlignment="1">
      <alignment horizontal="left" vertical="center" wrapText="1"/>
    </xf>
    <xf numFmtId="0" fontId="78" fillId="2" borderId="88" xfId="0" applyFont="1" applyFill="1" applyBorder="1" applyAlignment="1">
      <alignment horizontal="left" vertical="center" wrapText="1"/>
    </xf>
    <xf numFmtId="0" fontId="78" fillId="2" borderId="109" xfId="0" applyFont="1" applyFill="1" applyBorder="1" applyAlignment="1">
      <alignment horizontal="left" vertical="center" wrapText="1"/>
    </xf>
    <xf numFmtId="0" fontId="77" fillId="21" borderId="99" xfId="0" applyFont="1" applyFill="1" applyBorder="1" applyAlignment="1">
      <alignment horizontal="center" vertical="center" wrapText="1"/>
    </xf>
    <xf numFmtId="0" fontId="77" fillId="21" borderId="100" xfId="0" applyFont="1" applyFill="1" applyBorder="1" applyAlignment="1">
      <alignment horizontal="center" vertical="center" wrapText="1"/>
    </xf>
    <xf numFmtId="0" fontId="77" fillId="21" borderId="101" xfId="0" applyFont="1" applyFill="1" applyBorder="1" applyAlignment="1">
      <alignment horizontal="center" vertical="center" wrapText="1"/>
    </xf>
    <xf numFmtId="0" fontId="77" fillId="21" borderId="102" xfId="0" applyFont="1" applyFill="1" applyBorder="1" applyAlignment="1">
      <alignment horizontal="center" vertical="center" wrapText="1"/>
    </xf>
    <xf numFmtId="0" fontId="81" fillId="2" borderId="99" xfId="0" applyFont="1" applyFill="1" applyBorder="1" applyAlignment="1">
      <alignment horizontal="center" vertical="center"/>
    </xf>
    <xf numFmtId="0" fontId="81" fillId="2" borderId="100" xfId="0" applyFont="1" applyFill="1" applyBorder="1" applyAlignment="1">
      <alignment horizontal="center" vertical="center"/>
    </xf>
    <xf numFmtId="0" fontId="81" fillId="2" borderId="142" xfId="0" applyFont="1" applyFill="1" applyBorder="1" applyAlignment="1">
      <alignment horizontal="center" vertical="center"/>
    </xf>
    <xf numFmtId="0" fontId="81" fillId="2" borderId="58" xfId="0" applyFont="1" applyFill="1" applyBorder="1" applyAlignment="1">
      <alignment horizontal="center" vertical="center"/>
    </xf>
    <xf numFmtId="0" fontId="81" fillId="2" borderId="78" xfId="0" applyFont="1" applyFill="1" applyBorder="1" applyAlignment="1">
      <alignment horizontal="center" vertical="center"/>
    </xf>
    <xf numFmtId="0" fontId="81" fillId="2" borderId="75" xfId="0" applyFont="1" applyFill="1" applyBorder="1" applyAlignment="1">
      <alignment horizontal="center" vertical="center"/>
    </xf>
    <xf numFmtId="0" fontId="78" fillId="2" borderId="99" xfId="0" applyFont="1" applyFill="1" applyBorder="1" applyAlignment="1">
      <alignment horizontal="center" vertical="center" wrapText="1"/>
    </xf>
    <xf numFmtId="0" fontId="78" fillId="2" borderId="100" xfId="0" applyFont="1" applyFill="1" applyBorder="1" applyAlignment="1">
      <alignment horizontal="center" vertical="center" wrapText="1"/>
    </xf>
    <xf numFmtId="0" fontId="78" fillId="2" borderId="142" xfId="0" applyFont="1" applyFill="1" applyBorder="1" applyAlignment="1">
      <alignment horizontal="center" vertical="center" wrapText="1"/>
    </xf>
    <xf numFmtId="0" fontId="78" fillId="2" borderId="58" xfId="0" applyFont="1" applyFill="1" applyBorder="1" applyAlignment="1">
      <alignment horizontal="center" vertical="center" wrapText="1"/>
    </xf>
    <xf numFmtId="0" fontId="78" fillId="2" borderId="101" xfId="0" applyFont="1" applyFill="1" applyBorder="1" applyAlignment="1">
      <alignment horizontal="center" vertical="center" wrapText="1"/>
    </xf>
    <xf numFmtId="0" fontId="78" fillId="2" borderId="102" xfId="0" applyFont="1" applyFill="1" applyBorder="1" applyAlignment="1">
      <alignment horizontal="center" vertical="center" wrapText="1"/>
    </xf>
    <xf numFmtId="0" fontId="39" fillId="12" borderId="155" xfId="0" applyFont="1" applyFill="1" applyBorder="1" applyAlignment="1" applyProtection="1">
      <alignment horizontal="center" vertical="center"/>
      <protection locked="0"/>
    </xf>
    <xf numFmtId="0" fontId="39" fillId="12" borderId="147" xfId="0" applyFont="1" applyFill="1" applyBorder="1" applyAlignment="1" applyProtection="1">
      <alignment horizontal="center" vertical="center"/>
      <protection locked="0"/>
    </xf>
    <xf numFmtId="0" fontId="39" fillId="12" borderId="145" xfId="0" applyFont="1" applyFill="1" applyBorder="1" applyAlignment="1" applyProtection="1">
      <alignment horizontal="center" vertical="center"/>
      <protection locked="0"/>
    </xf>
    <xf numFmtId="0" fontId="19" fillId="0" borderId="24" xfId="0" applyFont="1" applyBorder="1" applyAlignment="1">
      <alignment horizontal="left" wrapText="1"/>
    </xf>
    <xf numFmtId="0" fontId="44" fillId="2" borderId="78" xfId="0" applyFont="1" applyFill="1" applyBorder="1" applyAlignment="1" applyProtection="1">
      <alignment horizontal="left" vertical="center" wrapText="1"/>
      <protection locked="0"/>
    </xf>
    <xf numFmtId="0" fontId="44" fillId="2" borderId="82" xfId="0" applyFont="1" applyFill="1" applyBorder="1" applyAlignment="1" applyProtection="1">
      <alignment horizontal="left" vertical="center" wrapText="1"/>
      <protection locked="0"/>
    </xf>
    <xf numFmtId="0" fontId="44" fillId="2" borderId="111" xfId="0" applyFont="1" applyFill="1" applyBorder="1" applyAlignment="1" applyProtection="1">
      <alignment horizontal="left" vertical="center" wrapText="1"/>
      <protection locked="0"/>
    </xf>
    <xf numFmtId="0" fontId="78" fillId="15" borderId="22" xfId="0" applyFont="1" applyFill="1" applyBorder="1" applyAlignment="1">
      <alignment horizontal="left" vertical="center" wrapText="1"/>
    </xf>
    <xf numFmtId="0" fontId="78" fillId="15" borderId="24" xfId="0" applyFont="1" applyFill="1" applyBorder="1" applyAlignment="1">
      <alignment horizontal="left" vertical="center" wrapText="1"/>
    </xf>
    <xf numFmtId="0" fontId="0" fillId="0" borderId="19" xfId="0" applyBorder="1" applyAlignment="1">
      <alignment horizontal="left" wrapText="1"/>
    </xf>
    <xf numFmtId="0" fontId="0" fillId="0" borderId="20" xfId="0" applyBorder="1" applyAlignment="1">
      <alignment horizontal="left" wrapText="1"/>
    </xf>
    <xf numFmtId="0" fontId="78" fillId="15" borderId="18" xfId="0" applyFont="1" applyFill="1" applyBorder="1" applyAlignment="1">
      <alignment horizontal="left" vertical="center" wrapText="1"/>
    </xf>
    <xf numFmtId="0" fontId="78" fillId="15" borderId="20" xfId="0" applyFont="1" applyFill="1" applyBorder="1" applyAlignment="1">
      <alignment horizontal="left" vertical="center" wrapText="1"/>
    </xf>
    <xf numFmtId="0" fontId="0" fillId="0" borderId="26" xfId="0" applyBorder="1" applyAlignment="1">
      <alignment horizontal="left" wrapText="1"/>
    </xf>
    <xf numFmtId="0" fontId="0" fillId="0" borderId="27" xfId="0" applyBorder="1" applyAlignment="1">
      <alignment horizontal="left" wrapText="1"/>
    </xf>
    <xf numFmtId="0" fontId="77" fillId="21" borderId="91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left" wrapText="1"/>
    </xf>
    <xf numFmtId="0" fontId="0" fillId="0" borderId="24" xfId="0" applyBorder="1" applyAlignment="1">
      <alignment horizontal="left" wrapText="1"/>
    </xf>
    <xf numFmtId="0" fontId="77" fillId="2" borderId="60" xfId="0" applyFont="1" applyFill="1" applyBorder="1" applyAlignment="1">
      <alignment horizontal="center" vertical="center" wrapText="1"/>
    </xf>
    <xf numFmtId="0" fontId="77" fillId="2" borderId="59" xfId="0" applyFont="1" applyFill="1" applyBorder="1" applyAlignment="1">
      <alignment horizontal="center" vertical="center" wrapText="1"/>
    </xf>
    <xf numFmtId="0" fontId="77" fillId="22" borderId="78" xfId="0" applyFont="1" applyFill="1" applyBorder="1" applyAlignment="1">
      <alignment horizontal="center" vertical="center" wrapText="1"/>
    </xf>
    <xf numFmtId="0" fontId="77" fillId="22" borderId="82" xfId="0" applyFont="1" applyFill="1" applyBorder="1" applyAlignment="1">
      <alignment horizontal="center" vertical="center" wrapText="1"/>
    </xf>
    <xf numFmtId="0" fontId="77" fillId="22" borderId="75" xfId="0" applyFont="1" applyFill="1" applyBorder="1" applyAlignment="1">
      <alignment horizontal="center" vertical="center" wrapText="1"/>
    </xf>
    <xf numFmtId="0" fontId="77" fillId="2" borderId="78" xfId="0" applyFont="1" applyFill="1" applyBorder="1" applyAlignment="1">
      <alignment horizontal="center" vertical="center" wrapText="1"/>
    </xf>
    <xf numFmtId="0" fontId="77" fillId="2" borderId="82" xfId="0" applyFont="1" applyFill="1" applyBorder="1" applyAlignment="1">
      <alignment horizontal="center" vertical="center" wrapText="1"/>
    </xf>
    <xf numFmtId="0" fontId="77" fillId="2" borderId="75" xfId="0" applyFont="1" applyFill="1" applyBorder="1" applyAlignment="1">
      <alignment horizontal="center" vertical="center" wrapText="1"/>
    </xf>
    <xf numFmtId="0" fontId="78" fillId="2" borderId="118" xfId="0" applyFont="1" applyFill="1" applyBorder="1" applyAlignment="1">
      <alignment horizontal="center" vertical="center" wrapText="1"/>
    </xf>
    <xf numFmtId="0" fontId="78" fillId="2" borderId="129" xfId="0" applyFont="1" applyFill="1" applyBorder="1" applyAlignment="1">
      <alignment horizontal="center" vertical="center" wrapText="1"/>
    </xf>
    <xf numFmtId="0" fontId="19" fillId="0" borderId="25" xfId="0" applyFont="1" applyBorder="1" applyAlignment="1">
      <alignment horizontal="left" wrapText="1"/>
    </xf>
    <xf numFmtId="0" fontId="19" fillId="0" borderId="27" xfId="0" applyFont="1" applyBorder="1" applyAlignment="1">
      <alignment horizontal="left" wrapText="1"/>
    </xf>
    <xf numFmtId="0" fontId="0" fillId="0" borderId="47" xfId="0" applyBorder="1" applyAlignment="1">
      <alignment horizontal="center" vertical="center" wrapText="1"/>
    </xf>
    <xf numFmtId="0" fontId="19" fillId="0" borderId="22" xfId="0" applyFont="1" applyBorder="1" applyAlignment="1">
      <alignment horizontal="left" wrapText="1"/>
    </xf>
    <xf numFmtId="0" fontId="0" fillId="0" borderId="42" xfId="0" applyBorder="1" applyAlignment="1">
      <alignment horizontal="left" wrapText="1"/>
    </xf>
    <xf numFmtId="0" fontId="0" fillId="0" borderId="123" xfId="0" applyBorder="1" applyAlignment="1">
      <alignment horizontal="left" wrapText="1"/>
    </xf>
    <xf numFmtId="0" fontId="19" fillId="0" borderId="16" xfId="0" applyFont="1" applyBorder="1" applyAlignment="1">
      <alignment horizontal="left" wrapText="1"/>
    </xf>
    <xf numFmtId="0" fontId="19" fillId="0" borderId="17" xfId="0" applyFont="1" applyBorder="1" applyAlignment="1">
      <alignment horizontal="left" wrapText="1"/>
    </xf>
    <xf numFmtId="0" fontId="19" fillId="0" borderId="123" xfId="0" applyFont="1" applyBorder="1" applyAlignment="1">
      <alignment horizontal="left" wrapText="1"/>
    </xf>
    <xf numFmtId="0" fontId="21" fillId="2" borderId="0" xfId="0" applyFont="1" applyFill="1" applyAlignment="1">
      <alignment horizontal="center" wrapText="1"/>
    </xf>
    <xf numFmtId="0" fontId="44" fillId="2" borderId="75" xfId="0" applyFont="1" applyFill="1" applyBorder="1" applyAlignment="1" applyProtection="1">
      <alignment horizontal="left" vertical="center" wrapText="1"/>
      <protection locked="0"/>
    </xf>
    <xf numFmtId="0" fontId="44" fillId="2" borderId="142" xfId="0" applyFont="1" applyFill="1" applyBorder="1" applyAlignment="1" applyProtection="1">
      <alignment horizontal="left" vertical="center" wrapText="1"/>
      <protection locked="0"/>
    </xf>
    <xf numFmtId="0" fontId="0" fillId="0" borderId="58" xfId="0" applyBorder="1" applyAlignment="1">
      <alignment wrapText="1"/>
    </xf>
    <xf numFmtId="0" fontId="44" fillId="2" borderId="78" xfId="0" applyFont="1" applyFill="1" applyBorder="1" applyAlignment="1" applyProtection="1">
      <alignment vertical="center" wrapText="1"/>
      <protection locked="0"/>
    </xf>
    <xf numFmtId="0" fontId="44" fillId="2" borderId="75" xfId="0" applyFont="1" applyFill="1" applyBorder="1" applyAlignment="1" applyProtection="1">
      <alignment vertical="center" wrapText="1"/>
      <protection locked="0"/>
    </xf>
    <xf numFmtId="0" fontId="19" fillId="0" borderId="26" xfId="0" applyFont="1" applyBorder="1" applyAlignment="1">
      <alignment horizontal="left" wrapText="1"/>
    </xf>
    <xf numFmtId="0" fontId="0" fillId="0" borderId="75" xfId="0" applyBorder="1" applyAlignment="1">
      <alignment vertical="center" wrapText="1"/>
    </xf>
    <xf numFmtId="0" fontId="78" fillId="9" borderId="22" xfId="0" applyFont="1" applyFill="1" applyBorder="1" applyAlignment="1">
      <alignment horizontal="left" vertical="center" wrapText="1"/>
    </xf>
    <xf numFmtId="0" fontId="78" fillId="9" borderId="24" xfId="0" applyFont="1" applyFill="1" applyBorder="1" applyAlignment="1">
      <alignment horizontal="left" vertical="center" wrapText="1"/>
    </xf>
    <xf numFmtId="0" fontId="78" fillId="9" borderId="18" xfId="0" applyFont="1" applyFill="1" applyBorder="1" applyAlignment="1">
      <alignment horizontal="left" vertical="center" wrapText="1"/>
    </xf>
    <xf numFmtId="0" fontId="78" fillId="9" borderId="20" xfId="0" applyFont="1" applyFill="1" applyBorder="1" applyAlignment="1">
      <alignment horizontal="left" vertical="center" wrapText="1"/>
    </xf>
    <xf numFmtId="0" fontId="21" fillId="2" borderId="0" xfId="0" applyFont="1" applyFill="1" applyAlignment="1">
      <alignment horizontal="left" wrapText="1"/>
    </xf>
    <xf numFmtId="0" fontId="0" fillId="0" borderId="82" xfId="0" applyBorder="1"/>
    <xf numFmtId="0" fontId="0" fillId="0" borderId="75" xfId="0" applyBorder="1"/>
    <xf numFmtId="0" fontId="44" fillId="4" borderId="78" xfId="0" applyFont="1" applyFill="1" applyBorder="1" applyAlignment="1" applyProtection="1">
      <alignment horizontal="center" vertical="center" wrapText="1"/>
      <protection locked="0"/>
    </xf>
    <xf numFmtId="0" fontId="44" fillId="4" borderId="75" xfId="0" applyFont="1" applyFill="1" applyBorder="1" applyAlignment="1" applyProtection="1">
      <alignment horizontal="center" vertical="center" wrapText="1"/>
      <protection locked="0"/>
    </xf>
    <xf numFmtId="0" fontId="27" fillId="2" borderId="118" xfId="0" applyFont="1" applyFill="1" applyBorder="1" applyAlignment="1">
      <alignment horizontal="center"/>
    </xf>
    <xf numFmtId="0" fontId="27" fillId="2" borderId="129" xfId="0" applyFont="1" applyFill="1" applyBorder="1" applyAlignment="1">
      <alignment horizontal="center"/>
    </xf>
    <xf numFmtId="0" fontId="27" fillId="2" borderId="184" xfId="0" applyFont="1" applyFill="1" applyBorder="1" applyAlignment="1">
      <alignment horizontal="center"/>
    </xf>
    <xf numFmtId="0" fontId="27" fillId="2" borderId="185" xfId="0" applyFont="1" applyFill="1" applyBorder="1" applyAlignment="1">
      <alignment horizontal="center"/>
    </xf>
    <xf numFmtId="0" fontId="19" fillId="0" borderId="19" xfId="0" applyFont="1" applyBorder="1" applyAlignment="1">
      <alignment horizontal="left" wrapText="1"/>
    </xf>
    <xf numFmtId="0" fontId="119" fillId="0" borderId="0" xfId="17" applyAlignment="1">
      <alignment horizontal="center" vertical="center"/>
    </xf>
    <xf numFmtId="0" fontId="4" fillId="9" borderId="28" xfId="0" applyFont="1" applyFill="1" applyBorder="1" applyAlignment="1">
      <alignment horizontal="center"/>
    </xf>
    <xf numFmtId="0" fontId="4" fillId="9" borderId="29" xfId="0" applyFont="1" applyFill="1" applyBorder="1" applyAlignment="1">
      <alignment horizontal="center"/>
    </xf>
    <xf numFmtId="0" fontId="4" fillId="9" borderId="30" xfId="0" applyFont="1" applyFill="1" applyBorder="1" applyAlignment="1">
      <alignment horizontal="center"/>
    </xf>
    <xf numFmtId="0" fontId="4" fillId="21" borderId="46" xfId="0" applyFont="1" applyFill="1" applyBorder="1" applyAlignment="1">
      <alignment horizontal="center" vertical="center"/>
    </xf>
    <xf numFmtId="0" fontId="4" fillId="21" borderId="48" xfId="0" applyFont="1" applyFill="1" applyBorder="1" applyAlignment="1">
      <alignment horizontal="center" vertical="center"/>
    </xf>
    <xf numFmtId="0" fontId="4" fillId="21" borderId="47" xfId="0" applyFont="1" applyFill="1" applyBorder="1" applyAlignment="1">
      <alignment horizontal="center" vertical="center"/>
    </xf>
    <xf numFmtId="0" fontId="4" fillId="10" borderId="28" xfId="0" applyFont="1" applyFill="1" applyBorder="1" applyAlignment="1">
      <alignment horizontal="left"/>
    </xf>
    <xf numFmtId="0" fontId="4" fillId="10" borderId="29" xfId="0" applyFont="1" applyFill="1" applyBorder="1" applyAlignment="1">
      <alignment horizontal="left"/>
    </xf>
    <xf numFmtId="0" fontId="4" fillId="10" borderId="30" xfId="0" applyFont="1" applyFill="1" applyBorder="1" applyAlignment="1">
      <alignment horizontal="left"/>
    </xf>
    <xf numFmtId="0" fontId="4" fillId="33" borderId="28" xfId="0" applyFont="1" applyFill="1" applyBorder="1" applyAlignment="1">
      <alignment horizontal="left"/>
    </xf>
    <xf numFmtId="0" fontId="4" fillId="33" borderId="29" xfId="0" applyFont="1" applyFill="1" applyBorder="1" applyAlignment="1">
      <alignment horizontal="left"/>
    </xf>
    <xf numFmtId="0" fontId="4" fillId="33" borderId="30" xfId="0" applyFont="1" applyFill="1" applyBorder="1" applyAlignment="1">
      <alignment horizontal="left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33" borderId="43" xfId="0" applyFont="1" applyFill="1" applyBorder="1" applyAlignment="1">
      <alignment horizontal="center"/>
    </xf>
    <xf numFmtId="0" fontId="4" fillId="33" borderId="28" xfId="0" applyFont="1" applyFill="1" applyBorder="1" applyAlignment="1">
      <alignment horizontal="center"/>
    </xf>
    <xf numFmtId="0" fontId="4" fillId="10" borderId="43" xfId="0" applyFont="1" applyFill="1" applyBorder="1" applyAlignment="1">
      <alignment horizontal="center"/>
    </xf>
    <xf numFmtId="0" fontId="121" fillId="39" borderId="187" xfId="0" applyFont="1" applyFill="1" applyBorder="1" applyAlignment="1">
      <alignment horizontal="center" vertical="center"/>
    </xf>
    <xf numFmtId="0" fontId="121" fillId="39" borderId="188" xfId="0" applyFont="1" applyFill="1" applyBorder="1" applyAlignment="1">
      <alignment horizontal="center" vertical="center"/>
    </xf>
    <xf numFmtId="0" fontId="121" fillId="39" borderId="189" xfId="0" applyFont="1" applyFill="1" applyBorder="1" applyAlignment="1">
      <alignment horizontal="center" vertical="center"/>
    </xf>
  </cellXfs>
  <cellStyles count="37">
    <cellStyle name="Comma" xfId="1" builtinId="3"/>
    <cellStyle name="Currency" xfId="4" builtinId="4"/>
    <cellStyle name="Hyperlink" xfId="3" builtinId="8"/>
    <cellStyle name="Moeda 2" xfId="13" xr:uid="{C6F9B81B-A8DA-4C54-96F8-82939E77BF0F}"/>
    <cellStyle name="Moeda 3" xfId="26" xr:uid="{07242B20-9868-4E1C-99F5-D852A9E14246}"/>
    <cellStyle name="Normal" xfId="0" builtinId="0"/>
    <cellStyle name="Normal 2" xfId="7" xr:uid="{3077FFDF-219A-40C3-A6B5-0CA0A55DE008}"/>
    <cellStyle name="Normal 2 2" xfId="14" xr:uid="{A3DBC647-B364-4D78-B66B-BE284ED9AFE9}"/>
    <cellStyle name="Normal 3" xfId="17" xr:uid="{AA41D92D-AA4A-45D4-A3E1-CDD36D2CB21A}"/>
    <cellStyle name="Normal 3 2" xfId="23" xr:uid="{13099762-1490-4A0D-9DC0-7A5F715EB88E}"/>
    <cellStyle name="Normal 4" xfId="12" xr:uid="{28C76D59-4ADB-4A21-871B-288E99AF164A}"/>
    <cellStyle name="Normal_Tucuruçutuba" xfId="8" xr:uid="{331F1FB2-1D75-4A74-8976-3D7501A59E18}"/>
    <cellStyle name="Percent" xfId="2" builtinId="5"/>
    <cellStyle name="Porcentagem 2" xfId="9" xr:uid="{F54F9E21-556F-4506-8240-9556C805E0DF}"/>
    <cellStyle name="Porcentagem 2 2" xfId="24" xr:uid="{80DAC4E4-D5BD-4B74-AC4C-3A3193934F79}"/>
    <cellStyle name="Porcentagem 3" xfId="18" xr:uid="{CE2D6118-3818-4EA2-B631-D59BFEB5E388}"/>
    <cellStyle name="Vírgula 10" xfId="5" xr:uid="{670EAC4D-764E-4C4B-B4AE-0B33522C7892}"/>
    <cellStyle name="Vírgula 10 2" xfId="27" xr:uid="{7481DE6A-1D02-4CC7-B8FF-BFE06A9E0543}"/>
    <cellStyle name="Vírgula 14" xfId="6" xr:uid="{DB17F50C-CDB8-4262-97FF-C5D102B8AF80}"/>
    <cellStyle name="Vírgula 14 2" xfId="28" xr:uid="{C2B626A9-67D8-4A45-AEEE-20C41E30E9FF}"/>
    <cellStyle name="Vírgula 2" xfId="10" xr:uid="{397705A2-7961-4261-971C-239092EE5154}"/>
    <cellStyle name="Vírgula 2 2" xfId="15" xr:uid="{89468C2B-D836-4DB5-B102-846ABE3C2139}"/>
    <cellStyle name="Vírgula 2 2 2" xfId="31" xr:uid="{FA27B240-9CD5-4BAC-9C6A-757FE2DEC359}"/>
    <cellStyle name="Vírgula 2 3" xfId="19" xr:uid="{DAFC79C2-01B2-4AC2-90A7-35C550530404}"/>
    <cellStyle name="Vírgula 2 3 2" xfId="33" xr:uid="{73DF26D9-8337-40F4-841E-5D60F0FDA85D}"/>
    <cellStyle name="Vírgula 2 4" xfId="21" xr:uid="{F6733201-0BBA-49BB-AA65-AB556FA90E07}"/>
    <cellStyle name="Vírgula 2 4 2" xfId="35" xr:uid="{C5AFCB45-EAD3-495A-8C51-3B01CD5AE87A}"/>
    <cellStyle name="Vírgula 2 5" xfId="29" xr:uid="{344B9B93-BD5A-4882-A562-368726A2795D}"/>
    <cellStyle name="Vírgula 3" xfId="11" xr:uid="{FB68220C-B73F-4404-B317-93BB978739DA}"/>
    <cellStyle name="Vírgula 3 2" xfId="16" xr:uid="{5A3F212B-D2AE-4408-98B6-0135A0394F27}"/>
    <cellStyle name="Vírgula 3 2 2" xfId="32" xr:uid="{075D6163-908A-4D9C-937C-22A0AEFAF495}"/>
    <cellStyle name="Vírgula 3 3" xfId="20" xr:uid="{390A8E75-4187-464E-BD96-C716AA2BA9C2}"/>
    <cellStyle name="Vírgula 3 3 2" xfId="34" xr:uid="{5E007E40-EF6A-412B-BE62-E24A9F7598A6}"/>
    <cellStyle name="Vírgula 3 4" xfId="22" xr:uid="{CBEF2D8C-6F4C-4EBF-875A-1D59CFD44949}"/>
    <cellStyle name="Vírgula 3 4 2" xfId="36" xr:uid="{E38C43B0-65C9-4BDE-9057-35E5CE47D2B2}"/>
    <cellStyle name="Vírgula 3 5" xfId="30" xr:uid="{A262A758-243F-434C-A62F-40AA62C7A6AA}"/>
    <cellStyle name="Vírgula 4" xfId="25" xr:uid="{1320324D-F6F9-4EC1-8322-2AC1B6DF75F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'CAPEX E OPEX'!$F$88:$AI$88</c:f>
              <c:numCache>
                <c:formatCode>#,##0.00</c:formatCode>
                <c:ptCount val="15"/>
                <c:pt idx="0">
                  <c:v>224346.97999999998</c:v>
                </c:pt>
                <c:pt idx="1">
                  <c:v>13938778.340000002</c:v>
                </c:pt>
                <c:pt idx="2">
                  <c:v>2279292.8819999998</c:v>
                </c:pt>
                <c:pt idx="3">
                  <c:v>0</c:v>
                </c:pt>
                <c:pt idx="4">
                  <c:v>1353217.01</c:v>
                </c:pt>
                <c:pt idx="5">
                  <c:v>6888816.9100000001</c:v>
                </c:pt>
                <c:pt idx="6">
                  <c:v>0</c:v>
                </c:pt>
                <c:pt idx="7">
                  <c:v>3238943.16</c:v>
                </c:pt>
                <c:pt idx="8">
                  <c:v>2520078.5419999999</c:v>
                </c:pt>
                <c:pt idx="9">
                  <c:v>14008287.540000001</c:v>
                </c:pt>
                <c:pt idx="10">
                  <c:v>144335.12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2348802.0819999999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1D-442B-8CBC-242D36075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4789855"/>
        <c:axId val="2034780735"/>
      </c:barChart>
      <c:catAx>
        <c:axId val="2034789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780735"/>
        <c:crosses val="autoZero"/>
        <c:auto val="1"/>
        <c:lblAlgn val="ctr"/>
        <c:lblOffset val="100"/>
        <c:noMultiLvlLbl val="0"/>
      </c:catAx>
      <c:valAx>
        <c:axId val="203478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789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'CAPEX E OPEX'!$F$256:$AI$256</c:f>
              <c:numCache>
                <c:formatCode>_(* #,##0.00_);_(* \(#,##0.00\);_(* "-"??_);_(@_)</c:formatCode>
                <c:ptCount val="15"/>
                <c:pt idx="0">
                  <c:v>34049356.348610476</c:v>
                </c:pt>
                <c:pt idx="1">
                  <c:v>34104796.764545985</c:v>
                </c:pt>
                <c:pt idx="2">
                  <c:v>34059625.536734246</c:v>
                </c:pt>
                <c:pt idx="3">
                  <c:v>34053181.778054267</c:v>
                </c:pt>
                <c:pt idx="4">
                  <c:v>34210015.629112035</c:v>
                </c:pt>
                <c:pt idx="5">
                  <c:v>34080356.711504951</c:v>
                </c:pt>
                <c:pt idx="6">
                  <c:v>34057770.281908281</c:v>
                </c:pt>
                <c:pt idx="7">
                  <c:v>34076527.807672366</c:v>
                </c:pt>
                <c:pt idx="8">
                  <c:v>34069630.071329206</c:v>
                </c:pt>
                <c:pt idx="9">
                  <c:v>34256020.917757809</c:v>
                </c:pt>
                <c:pt idx="10">
                  <c:v>34070241.934339166</c:v>
                </c:pt>
                <c:pt idx="11">
                  <c:v>34065345.706586286</c:v>
                </c:pt>
                <c:pt idx="12">
                  <c:v>34066851.446869157</c:v>
                </c:pt>
                <c:pt idx="13">
                  <c:v>34074253.98226779</c:v>
                </c:pt>
                <c:pt idx="14">
                  <c:v>34222741.420069173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E4-46A1-9ED9-03A7D09A4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851759"/>
        <c:axId val="66860399"/>
      </c:barChart>
      <c:catAx>
        <c:axId val="668517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860399"/>
        <c:crosses val="autoZero"/>
        <c:auto val="1"/>
        <c:lblAlgn val="ctr"/>
        <c:lblOffset val="100"/>
        <c:noMultiLvlLbl val="0"/>
      </c:catAx>
      <c:valAx>
        <c:axId val="66860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8517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51945854483926"/>
          <c:y val="7.4931090467751871E-2"/>
          <c:w val="0.80372250423011848"/>
          <c:h val="0.77433282176118257"/>
        </c:manualLayout>
      </c:layout>
      <c:barChart>
        <c:barDir val="col"/>
        <c:grouping val="percentStacked"/>
        <c:varyColors val="0"/>
        <c:ser>
          <c:idx val="0"/>
          <c:order val="0"/>
          <c:tx>
            <c:v>PSC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225-44D7-9CC7-EEE5E59D380B}"/>
              </c:ext>
            </c:extLst>
          </c:dPt>
          <c:dLbls>
            <c:dLbl>
              <c:idx val="0"/>
              <c:layout>
                <c:manualLayout>
                  <c:x val="-0.13837833314313971"/>
                  <c:y val="-0.13765551346383981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chemeClr val="accent1"/>
                        </a:solidFill>
                      </a:rPr>
                      <a:t>VP Custos Adicionais e Riscos: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</a:t>
                    </a:r>
                    <a:fld id="{9DF867DC-9472-425B-B5C3-7049EA24F268}" type="VALUE">
                      <a:rPr lang="en-US" b="1">
                        <a:solidFill>
                          <a:schemeClr val="accent1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[VALUE]</a:t>
                    </a:fld>
                    <a:endParaRPr lang="en-US" baseline="0">
                      <a:solidFill>
                        <a:schemeClr val="accent1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979816653353113"/>
                      <c:h val="0.2074577705494621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1225-44D7-9CC7-EEE5E59D380B}"/>
                </c:ext>
              </c:extLst>
            </c:dLbl>
            <c:dLbl>
              <c:idx val="1"/>
              <c:layout>
                <c:manualLayout>
                  <c:x val="-0.17971006885008939"/>
                  <c:y val="-9.256470774906291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VP Custos do Parceiro Privado : </a:t>
                    </a:r>
                    <a:fld id="{6EC06B1F-AB93-4BA8-81A3-11FECF2C0C82}" type="VALUE">
                      <a:rPr lang="en-US" b="1"/>
                      <a:pPr>
                        <a:defRPr/>
                      </a:pPr>
                      <a:t>[VALUE]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709171136216666"/>
                      <c:h val="0.1802782468196543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1225-44D7-9CC7-EEE5E59D38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 for Money'!$C$99:$D$99</c:f>
              <c:strCache>
                <c:ptCount val="2"/>
                <c:pt idx="0">
                  <c:v>PSC</c:v>
                </c:pt>
                <c:pt idx="1">
                  <c:v>Concessão</c:v>
                </c:pt>
              </c:strCache>
            </c:strRef>
          </c:cat>
          <c:val>
            <c:numRef>
              <c:f>'Value for Money'!$D$96:$E$96</c:f>
              <c:numCache>
                <c:formatCode>#,##0.00</c:formatCode>
                <c:ptCount val="2"/>
                <c:pt idx="0">
                  <c:v>23518410.475928631</c:v>
                </c:pt>
                <c:pt idx="1">
                  <c:v>636818469.04539275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225-44D7-9CC7-EEE5E59D380B}"/>
            </c:ext>
          </c:extLst>
        </c:ser>
        <c:ser>
          <c:idx val="1"/>
          <c:order val="1"/>
          <c:tx>
            <c:v>Concessão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225-44D7-9CC7-EEE5E59D380B}"/>
              </c:ext>
            </c:extLst>
          </c:dPt>
          <c:dLbls>
            <c:dLbl>
              <c:idx val="0"/>
              <c:layout>
                <c:manualLayout>
                  <c:x val="-0.14362303625090342"/>
                  <c:y val="-0.14253568429890848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chemeClr val="accent1"/>
                        </a:solidFill>
                      </a:rPr>
                      <a:t>VP custos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do Setor Público:</a:t>
                    </a:r>
                    <a:endParaRPr lang="en-US">
                      <a:solidFill>
                        <a:schemeClr val="accent1"/>
                      </a:solidFill>
                    </a:endParaRPr>
                  </a:p>
                  <a:p>
                    <a:pPr>
                      <a:defRPr>
                        <a:solidFill>
                          <a:schemeClr val="accent1"/>
                        </a:solidFill>
                      </a:defRPr>
                    </a:pPr>
                    <a:fld id="{2C7A508A-925F-4E4E-855F-9CF1A155938A}" type="VALUE">
                      <a:rPr lang="en-US" b="1">
                        <a:solidFill>
                          <a:schemeClr val="accent1"/>
                        </a:solidFill>
                      </a:rPr>
                      <a:pPr>
                        <a:defRPr>
                          <a:solidFill>
                            <a:schemeClr val="accent1"/>
                          </a:solidFill>
                        </a:defRPr>
                      </a:pPr>
                      <a:t>[VALUE]</a:t>
                    </a:fld>
                    <a:endParaRPr lang="pt-BR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402890942979952"/>
                      <c:h val="0.2248699894880898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1225-44D7-9CC7-EEE5E59D380B}"/>
                </c:ext>
              </c:extLst>
            </c:dLbl>
            <c:dLbl>
              <c:idx val="1"/>
              <c:layout>
                <c:manualLayout>
                  <c:x val="0.17777777777777778"/>
                  <c:y val="-1.791758397958441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2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>
                        <a:solidFill>
                          <a:schemeClr val="accent2"/>
                        </a:solidFill>
                      </a:rPr>
                      <a:t>Value for Money: </a:t>
                    </a:r>
                    <a:fld id="{92719CDF-AECD-4E03-92AF-84FBFBAE3947}" type="VALUE">
                      <a:rPr lang="en-US">
                        <a:solidFill>
                          <a:schemeClr val="accent2"/>
                        </a:solidFill>
                      </a:rPr>
                      <a:pPr>
                        <a:defRPr>
                          <a:solidFill>
                            <a:schemeClr val="accent2"/>
                          </a:solidFill>
                        </a:defRPr>
                      </a:pPr>
                      <a:t>[VALUE]</a:t>
                    </a:fld>
                    <a:endParaRPr lang="en-US">
                      <a:solidFill>
                        <a:schemeClr val="accent2"/>
                      </a:solidFill>
                    </a:endParaRP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6-1225-44D7-9CC7-EEE5E59D38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'Value for Money'!$C$99:$D$99</c:f>
              <c:strCache>
                <c:ptCount val="2"/>
                <c:pt idx="0">
                  <c:v>PSC</c:v>
                </c:pt>
                <c:pt idx="1">
                  <c:v>Concessão</c:v>
                </c:pt>
              </c:strCache>
            </c:strRef>
          </c:cat>
          <c:val>
            <c:numRef>
              <c:f>'Value for Money'!$D$97:$E$97</c:f>
              <c:numCache>
                <c:formatCode>#,##0.00</c:formatCode>
                <c:ptCount val="2"/>
                <c:pt idx="0">
                  <c:v>608108993.16953266</c:v>
                </c:pt>
                <c:pt idx="1">
                  <c:v>36348977.065654159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225-44D7-9CC7-EEE5E59D380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90743391"/>
        <c:axId val="390745311"/>
      </c:barChart>
      <c:catAx>
        <c:axId val="390743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745311"/>
        <c:crosses val="autoZero"/>
        <c:auto val="1"/>
        <c:lblAlgn val="ctr"/>
        <c:lblOffset val="100"/>
        <c:noMultiLvlLbl val="0"/>
      </c:catAx>
      <c:valAx>
        <c:axId val="390745311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3907433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0878133283945352E-2"/>
          <c:y val="0.17171296296296296"/>
          <c:w val="0.90754429484625188"/>
          <c:h val="0.67145778652668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ICSD!$B$9</c:f>
              <c:strCache>
                <c:ptCount val="1"/>
                <c:pt idx="0">
                  <c:v>ICSD Projeto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ICSD!$F$9:$AI$9</c:f>
              <c:numCache>
                <c:formatCode>General</c:formatCode>
                <c:ptCount val="30"/>
                <c:pt idx="0">
                  <c:v>0</c:v>
                </c:pt>
                <c:pt idx="1">
                  <c:v>-2.7008676730687856E-3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27.315787946494211</c:v>
                </c:pt>
                <c:pt idx="6">
                  <c:v>13.953099332572631</c:v>
                </c:pt>
                <c:pt idx="7">
                  <c:v>3.6530459940469995</c:v>
                </c:pt>
                <c:pt idx="8">
                  <c:v>4.0721275031778896</c:v>
                </c:pt>
                <c:pt idx="9">
                  <c:v>3.8725129180653433</c:v>
                </c:pt>
                <c:pt idx="10">
                  <c:v>2.4194909562388602</c:v>
                </c:pt>
                <c:pt idx="11">
                  <c:v>2.4556334095692991</c:v>
                </c:pt>
                <c:pt idx="12">
                  <c:v>2.4779590583373228</c:v>
                </c:pt>
                <c:pt idx="13">
                  <c:v>2.4982746795821482</c:v>
                </c:pt>
                <c:pt idx="14">
                  <c:v>2.0912921394941946</c:v>
                </c:pt>
                <c:pt idx="15">
                  <c:v>1.946833334424406</c:v>
                </c:pt>
                <c:pt idx="16">
                  <c:v>2.9545177109623162</c:v>
                </c:pt>
                <c:pt idx="17">
                  <c:v>1.9493645368565735</c:v>
                </c:pt>
                <c:pt idx="18">
                  <c:v>1.9725579153825186</c:v>
                </c:pt>
                <c:pt idx="19">
                  <c:v>2.1535854299783295</c:v>
                </c:pt>
                <c:pt idx="20">
                  <c:v>2.1713750931187179</c:v>
                </c:pt>
                <c:pt idx="21">
                  <c:v>2.4214882392566852</c:v>
                </c:pt>
                <c:pt idx="22">
                  <c:v>4.3788514764348339</c:v>
                </c:pt>
                <c:pt idx="23">
                  <c:v>8.5564724216772863</c:v>
                </c:pt>
                <c:pt idx="24">
                  <c:v>12.80974852827374</c:v>
                </c:pt>
                <c:pt idx="25">
                  <c:v>8.7098382659296778</c:v>
                </c:pt>
                <c:pt idx="26">
                  <c:v>8.7656431556517056</c:v>
                </c:pt>
                <c:pt idx="27">
                  <c:v>8.7393740244958646</c:v>
                </c:pt>
                <c:pt idx="28">
                  <c:v>8.7633731554180674</c:v>
                </c:pt>
                <c:pt idx="29">
                  <c:v>31.583411726138785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5F-4FB5-949C-91A791490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8761968"/>
        <c:axId val="396944440"/>
      </c:barChart>
      <c:lineChart>
        <c:grouping val="standard"/>
        <c:varyColors val="0"/>
        <c:ser>
          <c:idx val="1"/>
          <c:order val="1"/>
          <c:tx>
            <c:strRef>
              <c:f>ICSD!$B$13</c:f>
              <c:strCache>
                <c:ptCount val="1"/>
                <c:pt idx="0">
                  <c:v>ICSD Médio</c:v>
                </c:pt>
              </c:strCache>
            </c:strRef>
          </c:tx>
          <c:spPr>
            <a:ln w="2222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Lbl>
              <c:idx val="24"/>
              <c:layout>
                <c:manualLayout>
                  <c:x val="0.16280198725778011"/>
                  <c:y val="-7.0998809575032627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45F-4FB5-949C-91A7914909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ICSD!$F$13:$AI$13</c:f>
              <c:numCache>
                <c:formatCode>General</c:formatCode>
                <c:ptCount val="30"/>
                <c:pt idx="0">
                  <c:v>5.756098602796845</c:v>
                </c:pt>
                <c:pt idx="1">
                  <c:v>5.756098602796845</c:v>
                </c:pt>
                <c:pt idx="2">
                  <c:v>5.756098602796845</c:v>
                </c:pt>
                <c:pt idx="3">
                  <c:v>5.756098602796845</c:v>
                </c:pt>
                <c:pt idx="4">
                  <c:v>5.756098602796845</c:v>
                </c:pt>
                <c:pt idx="5">
                  <c:v>5.756098602796845</c:v>
                </c:pt>
                <c:pt idx="6">
                  <c:v>5.756098602796845</c:v>
                </c:pt>
                <c:pt idx="7">
                  <c:v>5.756098602796845</c:v>
                </c:pt>
                <c:pt idx="8">
                  <c:v>5.756098602796845</c:v>
                </c:pt>
                <c:pt idx="9">
                  <c:v>5.756098602796845</c:v>
                </c:pt>
                <c:pt idx="10">
                  <c:v>5.756098602796845</c:v>
                </c:pt>
                <c:pt idx="11">
                  <c:v>5.756098602796845</c:v>
                </c:pt>
                <c:pt idx="12">
                  <c:v>5.756098602796845</c:v>
                </c:pt>
                <c:pt idx="13">
                  <c:v>5.756098602796845</c:v>
                </c:pt>
                <c:pt idx="14">
                  <c:v>5.756098602796845</c:v>
                </c:pt>
                <c:pt idx="15">
                  <c:v>5.756098602796845</c:v>
                </c:pt>
                <c:pt idx="16">
                  <c:v>5.756098602796845</c:v>
                </c:pt>
                <c:pt idx="17">
                  <c:v>5.756098602796845</c:v>
                </c:pt>
                <c:pt idx="18">
                  <c:v>5.756098602796845</c:v>
                </c:pt>
                <c:pt idx="19">
                  <c:v>5.756098602796845</c:v>
                </c:pt>
                <c:pt idx="20">
                  <c:v>5.756098602796845</c:v>
                </c:pt>
                <c:pt idx="21">
                  <c:v>5.756098602796845</c:v>
                </c:pt>
                <c:pt idx="22">
                  <c:v>5.756098602796845</c:v>
                </c:pt>
                <c:pt idx="23">
                  <c:v>5.756098602796845</c:v>
                </c:pt>
                <c:pt idx="24">
                  <c:v>5.756098602796845</c:v>
                </c:pt>
                <c:pt idx="25">
                  <c:v>5.756098602796845</c:v>
                </c:pt>
                <c:pt idx="26">
                  <c:v>5.756098602796845</c:v>
                </c:pt>
                <c:pt idx="27">
                  <c:v>5.756098602796845</c:v>
                </c:pt>
                <c:pt idx="28">
                  <c:v>5.756098602796845</c:v>
                </c:pt>
                <c:pt idx="29">
                  <c:v>5.756098602796845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5F-4FB5-949C-91A79149099C}"/>
            </c:ext>
          </c:extLst>
        </c:ser>
        <c:ser>
          <c:idx val="2"/>
          <c:order val="2"/>
          <c:tx>
            <c:strRef>
              <c:f>ICSD!$B$11</c:f>
              <c:strCache>
                <c:ptCount val="1"/>
                <c:pt idx="0">
                  <c:v>ICSD Limite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24"/>
              <c:layout>
                <c:manualLayout>
                  <c:x val="0.16992449358138798"/>
                  <c:y val="4.088320927097060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45F-4FB5-949C-91A7914909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ICSD!$F$11:$AI$11</c:f>
              <c:numCache>
                <c:formatCode>General</c:formatCode>
                <c:ptCount val="30"/>
                <c:pt idx="0">
                  <c:v>1.3</c:v>
                </c:pt>
                <c:pt idx="1">
                  <c:v>1.3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1.3</c:v>
                </c:pt>
                <c:pt idx="6">
                  <c:v>1.3</c:v>
                </c:pt>
                <c:pt idx="7">
                  <c:v>1.3</c:v>
                </c:pt>
                <c:pt idx="8">
                  <c:v>1.3</c:v>
                </c:pt>
                <c:pt idx="9">
                  <c:v>1.3</c:v>
                </c:pt>
                <c:pt idx="10">
                  <c:v>1.3</c:v>
                </c:pt>
                <c:pt idx="11">
                  <c:v>1.3</c:v>
                </c:pt>
                <c:pt idx="12">
                  <c:v>1.3</c:v>
                </c:pt>
                <c:pt idx="13">
                  <c:v>1.3</c:v>
                </c:pt>
                <c:pt idx="14">
                  <c:v>1.3</c:v>
                </c:pt>
                <c:pt idx="15">
                  <c:v>1.3</c:v>
                </c:pt>
                <c:pt idx="16">
                  <c:v>1.3</c:v>
                </c:pt>
                <c:pt idx="17">
                  <c:v>1.3</c:v>
                </c:pt>
                <c:pt idx="18">
                  <c:v>1.3</c:v>
                </c:pt>
                <c:pt idx="19">
                  <c:v>1.3</c:v>
                </c:pt>
                <c:pt idx="20">
                  <c:v>1.3</c:v>
                </c:pt>
                <c:pt idx="21">
                  <c:v>1.3</c:v>
                </c:pt>
                <c:pt idx="22">
                  <c:v>1.3</c:v>
                </c:pt>
                <c:pt idx="23">
                  <c:v>1.3</c:v>
                </c:pt>
                <c:pt idx="24">
                  <c:v>1.3</c:v>
                </c:pt>
                <c:pt idx="25">
                  <c:v>1.3</c:v>
                </c:pt>
                <c:pt idx="26">
                  <c:v>1.3</c:v>
                </c:pt>
                <c:pt idx="27">
                  <c:v>1.3</c:v>
                </c:pt>
                <c:pt idx="28">
                  <c:v>1.3</c:v>
                </c:pt>
                <c:pt idx="29">
                  <c:v>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5F-4FB5-949C-91A791490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761968"/>
        <c:axId val="396944440"/>
      </c:lineChart>
      <c:catAx>
        <c:axId val="398761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6944440"/>
        <c:crosses val="autoZero"/>
        <c:auto val="1"/>
        <c:lblAlgn val="ctr"/>
        <c:lblOffset val="30"/>
        <c:noMultiLvlLbl val="0"/>
      </c:catAx>
      <c:valAx>
        <c:axId val="396944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876196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Gráficos!$B$7</c:f>
              <c:strCache>
                <c:ptCount val="1"/>
                <c:pt idx="0">
                  <c:v>RSD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Gráficos!$C$6:$AF$6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Gráficos!$C$7:$AF$7</c:f>
              <c:numCache>
                <c:formatCode>#,##0.00</c:formatCode>
                <c:ptCount val="30"/>
                <c:pt idx="0">
                  <c:v>43120224.752188183</c:v>
                </c:pt>
                <c:pt idx="1">
                  <c:v>47021686.899641752</c:v>
                </c:pt>
                <c:pt idx="2">
                  <c:v>48281374.809646435</c:v>
                </c:pt>
                <c:pt idx="3">
                  <c:v>49042965.44714462</c:v>
                </c:pt>
                <c:pt idx="4">
                  <c:v>49546458.128630355</c:v>
                </c:pt>
                <c:pt idx="5">
                  <c:v>49992385.852844588</c:v>
                </c:pt>
                <c:pt idx="6">
                  <c:v>50343700.785347208</c:v>
                </c:pt>
                <c:pt idx="7">
                  <c:v>50552108.889206134</c:v>
                </c:pt>
                <c:pt idx="8">
                  <c:v>50760516.993065089</c:v>
                </c:pt>
                <c:pt idx="9">
                  <c:v>50968925.096924014</c:v>
                </c:pt>
                <c:pt idx="10">
                  <c:v>51177286.303432107</c:v>
                </c:pt>
                <c:pt idx="11">
                  <c:v>51302565.266276039</c:v>
                </c:pt>
                <c:pt idx="12">
                  <c:v>51427844.229119956</c:v>
                </c:pt>
                <c:pt idx="13">
                  <c:v>51553123.191963859</c:v>
                </c:pt>
                <c:pt idx="14">
                  <c:v>51678402.154807769</c:v>
                </c:pt>
                <c:pt idx="15">
                  <c:v>51804367.065729447</c:v>
                </c:pt>
                <c:pt idx="16">
                  <c:v>51860040.982646152</c:v>
                </c:pt>
                <c:pt idx="17">
                  <c:v>51915714.899562873</c:v>
                </c:pt>
                <c:pt idx="18">
                  <c:v>51971388.816479586</c:v>
                </c:pt>
                <c:pt idx="19">
                  <c:v>52027062.733396307</c:v>
                </c:pt>
                <c:pt idx="20">
                  <c:v>52082578.16294235</c:v>
                </c:pt>
                <c:pt idx="21">
                  <c:v>52138252.07985907</c:v>
                </c:pt>
                <c:pt idx="22">
                  <c:v>52193925.996775791</c:v>
                </c:pt>
                <c:pt idx="23">
                  <c:v>52249599.913692512</c:v>
                </c:pt>
                <c:pt idx="24">
                  <c:v>52305273.830609225</c:v>
                </c:pt>
                <c:pt idx="25">
                  <c:v>52360947.747525938</c:v>
                </c:pt>
                <c:pt idx="26">
                  <c:v>52416621.664442651</c:v>
                </c:pt>
                <c:pt idx="27">
                  <c:v>52472295.581359364</c:v>
                </c:pt>
                <c:pt idx="28">
                  <c:v>52527969.498276092</c:v>
                </c:pt>
                <c:pt idx="29">
                  <c:v>52583643.415192798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3-4489-A304-3EE11AB179E0}"/>
            </c:ext>
          </c:extLst>
        </c:ser>
        <c:ser>
          <c:idx val="1"/>
          <c:order val="1"/>
          <c:tx>
            <c:strRef>
              <c:f>Gráficos!$B$8</c:f>
              <c:strCache>
                <c:ptCount val="1"/>
                <c:pt idx="0">
                  <c:v>RPU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Gráficos!$C$6:$AF$6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Gráficos!$C$8:$AF$8</c:f>
              <c:numCache>
                <c:formatCode>#,##0.00</c:formatCode>
                <c:ptCount val="30"/>
                <c:pt idx="0">
                  <c:v>3722535.0329589979</c:v>
                </c:pt>
                <c:pt idx="1">
                  <c:v>3739825.6304044463</c:v>
                </c:pt>
                <c:pt idx="2">
                  <c:v>3757116.2278498942</c:v>
                </c:pt>
                <c:pt idx="3">
                  <c:v>3774406.8252953421</c:v>
                </c:pt>
                <c:pt idx="4">
                  <c:v>3791697.4227407905</c:v>
                </c:pt>
                <c:pt idx="5">
                  <c:v>3808974.0524997604</c:v>
                </c:pt>
                <c:pt idx="6">
                  <c:v>3823998.2324079219</c:v>
                </c:pt>
                <c:pt idx="7">
                  <c:v>3839022.4123160834</c:v>
                </c:pt>
                <c:pt idx="8">
                  <c:v>3854046.5922242445</c:v>
                </c:pt>
                <c:pt idx="9">
                  <c:v>3869070.7721324065</c:v>
                </c:pt>
                <c:pt idx="10">
                  <c:v>3884067.3621580903</c:v>
                </c:pt>
                <c:pt idx="11">
                  <c:v>3892751.0020979359</c:v>
                </c:pt>
                <c:pt idx="12">
                  <c:v>3901434.6420377814</c:v>
                </c:pt>
                <c:pt idx="13">
                  <c:v>3910118.281977626</c:v>
                </c:pt>
                <c:pt idx="14">
                  <c:v>3918801.9219174716</c:v>
                </c:pt>
                <c:pt idx="15">
                  <c:v>3927526.8068396491</c:v>
                </c:pt>
                <c:pt idx="16">
                  <c:v>3931017.0997182275</c:v>
                </c:pt>
                <c:pt idx="17">
                  <c:v>3934507.392596805</c:v>
                </c:pt>
                <c:pt idx="18">
                  <c:v>3937997.6854753834</c:v>
                </c:pt>
                <c:pt idx="19">
                  <c:v>3941487.9783539609</c:v>
                </c:pt>
                <c:pt idx="20">
                  <c:v>3944988.997889292</c:v>
                </c:pt>
                <c:pt idx="21">
                  <c:v>3948479.2907678699</c:v>
                </c:pt>
                <c:pt idx="22">
                  <c:v>3951969.5836464483</c:v>
                </c:pt>
                <c:pt idx="23">
                  <c:v>3955459.8765250253</c:v>
                </c:pt>
                <c:pt idx="24">
                  <c:v>3958950.1694036052</c:v>
                </c:pt>
                <c:pt idx="25">
                  <c:v>3962440.4622821826</c:v>
                </c:pt>
                <c:pt idx="26">
                  <c:v>3965930.7551607601</c:v>
                </c:pt>
                <c:pt idx="27">
                  <c:v>3969421.0480393381</c:v>
                </c:pt>
                <c:pt idx="28">
                  <c:v>3972911.340917916</c:v>
                </c:pt>
                <c:pt idx="29">
                  <c:v>3976401.633796494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33-4489-A304-3EE11AB179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7375231"/>
        <c:axId val="517374271"/>
      </c:barChart>
      <c:catAx>
        <c:axId val="5173752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374271"/>
        <c:crosses val="autoZero"/>
        <c:auto val="1"/>
        <c:lblAlgn val="ctr"/>
        <c:lblOffset val="100"/>
        <c:noMultiLvlLbl val="0"/>
      </c:catAx>
      <c:valAx>
        <c:axId val="517374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3752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Gráficos!$C$6:$AF$6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Gráficos!$C$7:$AF$7</c:f>
              <c:numCache>
                <c:formatCode>#,##0.00</c:formatCode>
                <c:ptCount val="30"/>
                <c:pt idx="0">
                  <c:v>43120224.752188183</c:v>
                </c:pt>
                <c:pt idx="1">
                  <c:v>47021686.899641752</c:v>
                </c:pt>
                <c:pt idx="2">
                  <c:v>48281374.809646435</c:v>
                </c:pt>
                <c:pt idx="3">
                  <c:v>49042965.44714462</c:v>
                </c:pt>
                <c:pt idx="4">
                  <c:v>49546458.128630355</c:v>
                </c:pt>
                <c:pt idx="5">
                  <c:v>49992385.852844588</c:v>
                </c:pt>
                <c:pt idx="6">
                  <c:v>50343700.785347208</c:v>
                </c:pt>
                <c:pt idx="7">
                  <c:v>50552108.889206134</c:v>
                </c:pt>
                <c:pt idx="8">
                  <c:v>50760516.993065089</c:v>
                </c:pt>
                <c:pt idx="9">
                  <c:v>50968925.096924014</c:v>
                </c:pt>
                <c:pt idx="10">
                  <c:v>51177286.303432107</c:v>
                </c:pt>
                <c:pt idx="11">
                  <c:v>51302565.266276039</c:v>
                </c:pt>
                <c:pt idx="12">
                  <c:v>51427844.229119956</c:v>
                </c:pt>
                <c:pt idx="13">
                  <c:v>51553123.191963859</c:v>
                </c:pt>
                <c:pt idx="14">
                  <c:v>51678402.154807769</c:v>
                </c:pt>
                <c:pt idx="15">
                  <c:v>51804367.065729447</c:v>
                </c:pt>
                <c:pt idx="16">
                  <c:v>51860040.982646152</c:v>
                </c:pt>
                <c:pt idx="17">
                  <c:v>51915714.899562873</c:v>
                </c:pt>
                <c:pt idx="18">
                  <c:v>51971388.816479586</c:v>
                </c:pt>
                <c:pt idx="19">
                  <c:v>52027062.733396307</c:v>
                </c:pt>
                <c:pt idx="20">
                  <c:v>52082578.16294235</c:v>
                </c:pt>
                <c:pt idx="21">
                  <c:v>52138252.07985907</c:v>
                </c:pt>
                <c:pt idx="22">
                  <c:v>52193925.996775791</c:v>
                </c:pt>
                <c:pt idx="23">
                  <c:v>52249599.913692512</c:v>
                </c:pt>
                <c:pt idx="24">
                  <c:v>52305273.830609225</c:v>
                </c:pt>
                <c:pt idx="25">
                  <c:v>52360947.747525938</c:v>
                </c:pt>
                <c:pt idx="26">
                  <c:v>52416621.664442651</c:v>
                </c:pt>
                <c:pt idx="27">
                  <c:v>52472295.581359364</c:v>
                </c:pt>
                <c:pt idx="28">
                  <c:v>52527969.498276092</c:v>
                </c:pt>
                <c:pt idx="29">
                  <c:v>52583643.415192798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62-468C-8BC9-2A585C4E46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95852256"/>
        <c:axId val="1995853696"/>
      </c:lineChart>
      <c:catAx>
        <c:axId val="1995852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5853696"/>
        <c:crosses val="autoZero"/>
        <c:auto val="1"/>
        <c:lblAlgn val="ctr"/>
        <c:lblOffset val="100"/>
        <c:noMultiLvlLbl val="0"/>
      </c:catAx>
      <c:valAx>
        <c:axId val="1995853696"/>
        <c:scaling>
          <c:orientation val="minMax"/>
          <c:min val="4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585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379481953042996"/>
          <c:y val="0.2184069589488625"/>
          <c:w val="0.47530495115459021"/>
          <c:h val="0.66542688293274876"/>
        </c:manualLayout>
      </c:layout>
      <c:pieChart>
        <c:varyColors val="1"/>
        <c:ser>
          <c:idx val="0"/>
          <c:order val="0"/>
          <c:explosion val="2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D55-49C6-8E72-A84BC003513E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D55-49C6-8E72-A84BC003513E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D55-49C6-8E72-A84BC003513E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D55-49C6-8E72-A84BC003513E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2C75-4460-B6EE-2A6C3BDB69D9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Tabelas!$C$14:$C$18</c:f>
              <c:strCache>
                <c:ptCount val="5"/>
                <c:pt idx="0">
                  <c:v>Coleta</c:v>
                </c:pt>
                <c:pt idx="1">
                  <c:v>Transbordo e Transporte</c:v>
                </c:pt>
                <c:pt idx="2">
                  <c:v>Triagem e Tratamento</c:v>
                </c:pt>
                <c:pt idx="3">
                  <c:v>Disposição Final</c:v>
                </c:pt>
                <c:pt idx="4">
                  <c:v>Inclusão social e emancipação econômica de catadores</c:v>
                </c:pt>
              </c:strCache>
            </c:strRef>
          </c:cat>
          <c:val>
            <c:numRef>
              <c:f>Tabelas!$D$14:$D$18</c:f>
              <c:numCache>
                <c:formatCode>#,##0.00</c:formatCode>
                <c:ptCount val="5"/>
                <c:pt idx="0">
                  <c:v>67352434.410000011</c:v>
                </c:pt>
                <c:pt idx="1">
                  <c:v>30562130.840000004</c:v>
                </c:pt>
                <c:pt idx="2">
                  <c:v>12127398.24</c:v>
                </c:pt>
                <c:pt idx="3">
                  <c:v>32532767.849999994</c:v>
                </c:pt>
                <c:pt idx="4">
                  <c:v>2392998.3400000008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D55-49C6-8E72-A84BC003513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379481953042996"/>
          <c:y val="0.2184069589488625"/>
          <c:w val="0.47530495115459021"/>
          <c:h val="0.66542688293274876"/>
        </c:manualLayout>
      </c:layout>
      <c:pieChart>
        <c:varyColors val="1"/>
        <c:ser>
          <c:idx val="0"/>
          <c:order val="0"/>
          <c:explosion val="23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5EE-4D7D-B086-553D3B9891A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5EE-4D7D-B086-553D3B9891A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5EE-4D7D-B086-553D3B9891A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85EE-4D7D-B086-553D3B9891A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85EE-4D7D-B086-553D3B9891A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85EE-4D7D-B086-553D3B9891A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85EE-4D7D-B086-553D3B9891A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85EE-4D7D-B086-553D3B9891A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85EE-4D7D-B086-553D3B9891AF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F5A-4B58-9B22-30D169C4FA14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F5A-4B58-9B22-30D169C4FA14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F5A-4B58-9B22-30D169C4FA14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F5A-4B58-9B22-30D169C4FA14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F5A-4B58-9B22-30D169C4FA14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EF5A-4B58-9B22-30D169C4FA14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EF5A-4B58-9B22-30D169C4FA14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EF5A-4B58-9B22-30D169C4FA14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Tabelas!$C$24:$C$40</c:f>
              <c:strCache>
                <c:ptCount val="17"/>
                <c:pt idx="0">
                  <c:v>Coleta</c:v>
                </c:pt>
                <c:pt idx="1">
                  <c:v>Transbordo e Transporte</c:v>
                </c:pt>
                <c:pt idx="2">
                  <c:v>Triagem e Tratamento</c:v>
                </c:pt>
                <c:pt idx="3">
                  <c:v>Disposição Final</c:v>
                </c:pt>
                <c:pt idx="4">
                  <c:v>Socioambiental</c:v>
                </c:pt>
                <c:pt idx="5">
                  <c:v>Despesa com órgão regulador</c:v>
                </c:pt>
                <c:pt idx="6">
                  <c:v>Serviço de Registro e Liquidação</c:v>
                </c:pt>
                <c:pt idx="7">
                  <c:v>Sistema de Gestão</c:v>
                </c:pt>
                <c:pt idx="8">
                  <c:v>Serviço de Impressão</c:v>
                </c:pt>
                <c:pt idx="9">
                  <c:v>Serviço de Postagem</c:v>
                </c:pt>
                <c:pt idx="10">
                  <c:v>Gestão administrativa da cobrança - protesto</c:v>
                </c:pt>
                <c:pt idx="11">
                  <c:v>Gestão administrativa da cobrança - equipe</c:v>
                </c:pt>
                <c:pt idx="12">
                  <c:v>Agente Financeiro</c:v>
                </c:pt>
                <c:pt idx="13">
                  <c:v>Seguros e Garantias</c:v>
                </c:pt>
                <c:pt idx="14">
                  <c:v>Despesas Administrativas e de Pessoal SPE</c:v>
                </c:pt>
                <c:pt idx="15">
                  <c:v>Inclusão social e emancipação econômica de catadores</c:v>
                </c:pt>
                <c:pt idx="16">
                  <c:v>Consórcio Gestão Contratual</c:v>
                </c:pt>
              </c:strCache>
            </c:strRef>
          </c:cat>
          <c:val>
            <c:numRef>
              <c:f>Tabelas!$D$24:$D$40</c:f>
              <c:numCache>
                <c:formatCode>#,##0.00</c:formatCode>
                <c:ptCount val="17"/>
                <c:pt idx="0">
                  <c:v>397334998.14443761</c:v>
                </c:pt>
                <c:pt idx="1">
                  <c:v>105968910.93999991</c:v>
                </c:pt>
                <c:pt idx="2">
                  <c:v>67250307.88000001</c:v>
                </c:pt>
                <c:pt idx="3">
                  <c:v>140854558.67000002</c:v>
                </c:pt>
                <c:pt idx="4">
                  <c:v>18260494.679999992</c:v>
                </c:pt>
                <c:pt idx="5">
                  <c:v>26361232.270298854</c:v>
                </c:pt>
                <c:pt idx="6">
                  <c:v>102144750.58476892</c:v>
                </c:pt>
                <c:pt idx="7">
                  <c:v>2364045.5912278411</c:v>
                </c:pt>
                <c:pt idx="8">
                  <c:v>972556.04760178982</c:v>
                </c:pt>
                <c:pt idx="9">
                  <c:v>14514368.95834907</c:v>
                </c:pt>
                <c:pt idx="10">
                  <c:v>11610219.292509889</c:v>
                </c:pt>
                <c:pt idx="11">
                  <c:v>19245600</c:v>
                </c:pt>
                <c:pt idx="12">
                  <c:v>2898000</c:v>
                </c:pt>
                <c:pt idx="13">
                  <c:v>3781333.9858096046</c:v>
                </c:pt>
                <c:pt idx="14">
                  <c:v>65719940.399999999</c:v>
                </c:pt>
                <c:pt idx="15">
                  <c:v>43426342.427000009</c:v>
                </c:pt>
                <c:pt idx="16">
                  <c:v>10800000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EE-4D7D-B086-553D3B9891A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Gráficos!$C$8:$AF$8</c:f>
              <c:numCache>
                <c:formatCode>#,##0.00</c:formatCode>
                <c:ptCount val="30"/>
                <c:pt idx="0">
                  <c:v>3722535.0329589979</c:v>
                </c:pt>
                <c:pt idx="1">
                  <c:v>3739825.6304044463</c:v>
                </c:pt>
                <c:pt idx="2">
                  <c:v>3757116.2278498942</c:v>
                </c:pt>
                <c:pt idx="3">
                  <c:v>3774406.8252953421</c:v>
                </c:pt>
                <c:pt idx="4">
                  <c:v>3791697.4227407905</c:v>
                </c:pt>
                <c:pt idx="5">
                  <c:v>3808974.0524997604</c:v>
                </c:pt>
                <c:pt idx="6">
                  <c:v>3823998.2324079219</c:v>
                </c:pt>
                <c:pt idx="7">
                  <c:v>3839022.4123160834</c:v>
                </c:pt>
                <c:pt idx="8">
                  <c:v>3854046.5922242445</c:v>
                </c:pt>
                <c:pt idx="9">
                  <c:v>3869070.7721324065</c:v>
                </c:pt>
                <c:pt idx="10">
                  <c:v>3884067.3621580903</c:v>
                </c:pt>
                <c:pt idx="11">
                  <c:v>3892751.0020979359</c:v>
                </c:pt>
                <c:pt idx="12">
                  <c:v>3901434.6420377814</c:v>
                </c:pt>
                <c:pt idx="13">
                  <c:v>3910118.281977626</c:v>
                </c:pt>
                <c:pt idx="14">
                  <c:v>3918801.9219174716</c:v>
                </c:pt>
                <c:pt idx="15">
                  <c:v>3927526.8068396491</c:v>
                </c:pt>
                <c:pt idx="16">
                  <c:v>3931017.0997182275</c:v>
                </c:pt>
                <c:pt idx="17">
                  <c:v>3934507.392596805</c:v>
                </c:pt>
                <c:pt idx="18">
                  <c:v>3937997.6854753834</c:v>
                </c:pt>
                <c:pt idx="19">
                  <c:v>3941487.9783539609</c:v>
                </c:pt>
                <c:pt idx="20">
                  <c:v>3944988.997889292</c:v>
                </c:pt>
                <c:pt idx="21">
                  <c:v>3948479.2907678699</c:v>
                </c:pt>
                <c:pt idx="22">
                  <c:v>3951969.5836464483</c:v>
                </c:pt>
                <c:pt idx="23">
                  <c:v>3955459.8765250253</c:v>
                </c:pt>
                <c:pt idx="24">
                  <c:v>3958950.1694036052</c:v>
                </c:pt>
                <c:pt idx="25">
                  <c:v>3962440.4622821826</c:v>
                </c:pt>
                <c:pt idx="26">
                  <c:v>3965930.7551607601</c:v>
                </c:pt>
                <c:pt idx="27">
                  <c:v>3969421.0480393381</c:v>
                </c:pt>
                <c:pt idx="28">
                  <c:v>3972911.340917916</c:v>
                </c:pt>
                <c:pt idx="29">
                  <c:v>3976401.633796494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E1-40C9-9A7D-826678B94C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8320096"/>
        <c:axId val="1788320576"/>
      </c:lineChart>
      <c:catAx>
        <c:axId val="178832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8320576"/>
        <c:crosses val="autoZero"/>
        <c:auto val="1"/>
        <c:lblAlgn val="ctr"/>
        <c:lblOffset val="100"/>
        <c:noMultiLvlLbl val="0"/>
      </c:catAx>
      <c:valAx>
        <c:axId val="178832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8832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8611111111111109"/>
          <c:y val="0.15782407407407409"/>
          <c:w val="0.40356714785651793"/>
          <c:h val="0.67261191309419655"/>
        </c:manualLayout>
      </c:layout>
      <c:pieChart>
        <c:varyColors val="1"/>
        <c:ser>
          <c:idx val="0"/>
          <c:order val="0"/>
          <c:dPt>
            <c:idx val="0"/>
            <c:bubble3D val="0"/>
            <c:explosion val="9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2B-4EA9-A54B-541AD3E4DFD5}"/>
              </c:ext>
            </c:extLst>
          </c:dPt>
          <c:dPt>
            <c:idx val="1"/>
            <c:bubble3D val="0"/>
            <c:explosion val="6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2B-4EA9-A54B-541AD3E4DFD5}"/>
              </c:ext>
            </c:extLst>
          </c:dPt>
          <c:dPt>
            <c:idx val="2"/>
            <c:bubble3D val="0"/>
            <c:explosion val="8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2B-4EA9-A54B-541AD3E4DFD5}"/>
              </c:ext>
            </c:extLst>
          </c:dPt>
          <c:dPt>
            <c:idx val="3"/>
            <c:bubble3D val="0"/>
            <c:explosion val="12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2B-4EA9-A54B-541AD3E4DFD5}"/>
              </c:ext>
            </c:extLst>
          </c:dPt>
          <c:dPt>
            <c:idx val="4"/>
            <c:bubble3D val="0"/>
            <c:explosion val="9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2B-4EA9-A54B-541AD3E4DFD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2B-4EA9-A54B-541AD3E4DFD5}"/>
              </c:ext>
            </c:extLst>
          </c:dPt>
          <c:dPt>
            <c:idx val="6"/>
            <c:bubble3D val="0"/>
            <c:explosion val="1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F02B-4EA9-A54B-541AD3E4DFD5}"/>
              </c:ext>
            </c:extLst>
          </c:dPt>
          <c:dPt>
            <c:idx val="7"/>
            <c:bubble3D val="0"/>
            <c:explosion val="5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F02B-4EA9-A54B-541AD3E4DFD5}"/>
              </c:ext>
            </c:extLst>
          </c:dPt>
          <c:dPt>
            <c:idx val="8"/>
            <c:bubble3D val="0"/>
            <c:explosion val="4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F02B-4EA9-A54B-541AD3E4DFD5}"/>
              </c:ext>
            </c:extLst>
          </c:dPt>
          <c:dPt>
            <c:idx val="9"/>
            <c:bubble3D val="0"/>
            <c:explosion val="2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5149-4730-8CF6-27477E4221FE}"/>
              </c:ext>
            </c:extLst>
          </c:dPt>
          <c:dLbls>
            <c:dLbl>
              <c:idx val="0"/>
              <c:layout>
                <c:manualLayout>
                  <c:x val="8.611111111111111E-2"/>
                  <c:y val="7.4074074074074028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02B-4EA9-A54B-541AD3E4DFD5}"/>
                </c:ext>
              </c:extLst>
            </c:dLbl>
            <c:dLbl>
              <c:idx val="1"/>
              <c:layout>
                <c:manualLayout>
                  <c:x val="0.10277777777777768"/>
                  <c:y val="-3.7037037037037035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2B-4EA9-A54B-541AD3E4DFD5}"/>
                </c:ext>
              </c:extLst>
            </c:dLbl>
            <c:dLbl>
              <c:idx val="2"/>
              <c:layout>
                <c:manualLayout>
                  <c:x val="4.1665573053368326E-3"/>
                  <c:y val="-1.8226888305628463E-7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40266841644791"/>
                      <c:h val="0.1495140711577719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F02B-4EA9-A54B-541AD3E4DFD5}"/>
                </c:ext>
              </c:extLst>
            </c:dLbl>
            <c:dLbl>
              <c:idx val="3"/>
              <c:layout>
                <c:manualLayout>
                  <c:x val="-3.3333333333333333E-2"/>
                  <c:y val="4.6296296296296294E-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2B-4EA9-A54B-541AD3E4DFD5}"/>
                </c:ext>
              </c:extLst>
            </c:dLbl>
            <c:dLbl>
              <c:idx val="4"/>
              <c:layout>
                <c:manualLayout>
                  <c:x val="-4.1666666666666664E-2"/>
                  <c:y val="0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02B-4EA9-A54B-541AD3E4DFD5}"/>
                </c:ext>
              </c:extLst>
            </c:dLbl>
            <c:dLbl>
              <c:idx val="5"/>
              <c:layout>
                <c:manualLayout>
                  <c:x val="-8.0555555555555561E-2"/>
                  <c:y val="-6.4814814814814811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02B-4EA9-A54B-541AD3E4DFD5}"/>
                </c:ext>
              </c:extLst>
            </c:dLbl>
            <c:dLbl>
              <c:idx val="6"/>
              <c:layout>
                <c:manualLayout>
                  <c:x val="-6.6666666666666666E-2"/>
                  <c:y val="3.2407407407407406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02B-4EA9-A54B-541AD3E4DFD5}"/>
                </c:ext>
              </c:extLst>
            </c:dLbl>
            <c:dLbl>
              <c:idx val="7"/>
              <c:layout>
                <c:manualLayout>
                  <c:x val="-9.444444444444447E-2"/>
                  <c:y val="9.2592592592592587E-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02B-4EA9-A54B-541AD3E4DFD5}"/>
                </c:ext>
              </c:extLst>
            </c:dLbl>
            <c:dLbl>
              <c:idx val="8"/>
              <c:layout>
                <c:manualLayout>
                  <c:x val="0.10833333333333334"/>
                  <c:y val="-5.3240740740740755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294444444444447"/>
                      <c:h val="0.133449256342957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1-F02B-4EA9-A54B-541AD3E4DFD5}"/>
                </c:ext>
              </c:extLst>
            </c:dLbl>
            <c:dLbl>
              <c:idx val="9"/>
              <c:layout>
                <c:manualLayout>
                  <c:x val="0.27499999999999991"/>
                  <c:y val="8.3333333333333329E-2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lang="en-US" sz="800" b="0" i="0" u="none" strike="noStrike" kern="1200" spc="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149-4730-8CF6-27477E4221FE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Tabelas!$C$44:$C$53</c:f>
              <c:strCache>
                <c:ptCount val="10"/>
                <c:pt idx="0">
                  <c:v>Coleta</c:v>
                </c:pt>
                <c:pt idx="1">
                  <c:v>Transbordo e Transporte</c:v>
                </c:pt>
                <c:pt idx="2">
                  <c:v>Triagem e Tratamento</c:v>
                </c:pt>
                <c:pt idx="3">
                  <c:v>Disposição Final</c:v>
                </c:pt>
                <c:pt idx="4">
                  <c:v>Socioambiental</c:v>
                </c:pt>
                <c:pt idx="5">
                  <c:v>Despesas com órgão regulador</c:v>
                </c:pt>
                <c:pt idx="6">
                  <c:v>Despesas gestão e cobrança tarifária</c:v>
                </c:pt>
                <c:pt idx="7">
                  <c:v>Despesas Administrativas e de Pessoal SPE</c:v>
                </c:pt>
                <c:pt idx="8">
                  <c:v>Inclusão social de catadores</c:v>
                </c:pt>
                <c:pt idx="9">
                  <c:v>Consórcio Gestão Contratual</c:v>
                </c:pt>
              </c:strCache>
            </c:strRef>
          </c:cat>
          <c:val>
            <c:numRef>
              <c:f>Tabelas!$D$44:$D$53</c:f>
              <c:numCache>
                <c:formatCode>#,##0.00</c:formatCode>
                <c:ptCount val="10"/>
                <c:pt idx="0">
                  <c:v>397334998.14443761</c:v>
                </c:pt>
                <c:pt idx="1">
                  <c:v>105968910.93999991</c:v>
                </c:pt>
                <c:pt idx="2">
                  <c:v>67250307.88000001</c:v>
                </c:pt>
                <c:pt idx="3">
                  <c:v>140854558.67000002</c:v>
                </c:pt>
                <c:pt idx="4">
                  <c:v>18260494.679999992</c:v>
                </c:pt>
                <c:pt idx="5">
                  <c:v>26361232.270298854</c:v>
                </c:pt>
                <c:pt idx="6">
                  <c:v>157530874.4602671</c:v>
                </c:pt>
                <c:pt idx="7">
                  <c:v>65719940.399999999</c:v>
                </c:pt>
                <c:pt idx="8">
                  <c:v>43426342.427000009</c:v>
                </c:pt>
                <c:pt idx="9">
                  <c:v>10800000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02B-4EA9-A54B-541AD3E4DFD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lang="en-US" sz="800" b="0" i="0" u="none" strike="noStrike" kern="1200" baseline="0">
          <a:solidFill>
            <a:schemeClr val="tx2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'CAPEX E OPEX'!$F$37:$AI$37</c:f>
              <c:numCache>
                <c:formatCode>"Ano"\ 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cat>
          <c:val>
            <c:numRef>
              <c:f>'CAPEX E OPEX'!$F$88:$AI$88</c:f>
              <c:numCache>
                <c:formatCode>#,##0.00</c:formatCode>
                <c:ptCount val="15"/>
                <c:pt idx="0">
                  <c:v>224346.97999999998</c:v>
                </c:pt>
                <c:pt idx="1">
                  <c:v>13938778.340000002</c:v>
                </c:pt>
                <c:pt idx="2">
                  <c:v>2279292.8819999998</c:v>
                </c:pt>
                <c:pt idx="3">
                  <c:v>0</c:v>
                </c:pt>
                <c:pt idx="4">
                  <c:v>1353217.01</c:v>
                </c:pt>
                <c:pt idx="5">
                  <c:v>6888816.9100000001</c:v>
                </c:pt>
                <c:pt idx="6">
                  <c:v>0</c:v>
                </c:pt>
                <c:pt idx="7">
                  <c:v>3238943.16</c:v>
                </c:pt>
                <c:pt idx="8">
                  <c:v>2520078.5419999999</c:v>
                </c:pt>
                <c:pt idx="9">
                  <c:v>14008287.540000001</c:v>
                </c:pt>
                <c:pt idx="10">
                  <c:v>144335.12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2348802.0819999999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3-44E8-8470-BDF22AD6643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1357481888"/>
        <c:axId val="1357482368"/>
      </c:barChart>
      <c:catAx>
        <c:axId val="1357481888"/>
        <c:scaling>
          <c:orientation val="minMax"/>
        </c:scaling>
        <c:delete val="0"/>
        <c:axPos val="b"/>
        <c:numFmt formatCode="&quot;Ano&quot;\ 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7482368"/>
        <c:crosses val="autoZero"/>
        <c:auto val="1"/>
        <c:lblAlgn val="ctr"/>
        <c:lblOffset val="100"/>
        <c:noMultiLvlLbl val="0"/>
      </c:catAx>
      <c:valAx>
        <c:axId val="135748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748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'CAPEX E OPEX'!$F$37:$AI$37</c:f>
              <c:numCache>
                <c:formatCode>"Ano"\ General</c:formatCode>
                <c:ptCount val="15"/>
                <c:pt idx="0">
                  <c:v>16</c:v>
                </c:pt>
                <c:pt idx="1">
                  <c:v>17</c:v>
                </c:pt>
                <c:pt idx="2">
                  <c:v>18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22</c:v>
                </c:pt>
                <c:pt idx="7">
                  <c:v>23</c:v>
                </c:pt>
                <c:pt idx="8">
                  <c:v>24</c:v>
                </c:pt>
                <c:pt idx="9">
                  <c:v>25</c:v>
                </c:pt>
                <c:pt idx="10">
                  <c:v>26</c:v>
                </c:pt>
                <c:pt idx="11">
                  <c:v>27</c:v>
                </c:pt>
                <c:pt idx="12">
                  <c:v>28</c:v>
                </c:pt>
                <c:pt idx="13">
                  <c:v>29</c:v>
                </c:pt>
                <c:pt idx="14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BB-4B22-8D1C-CADF1413A93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val>
            <c:numRef>
              <c:f>'CAPEX E OPEX'!$F$256:$AI$256</c:f>
              <c:numCache>
                <c:formatCode>_(* #,##0.00_);_(* \(#,##0.00\);_(* "-"??_);_(@_)</c:formatCode>
                <c:ptCount val="15"/>
                <c:pt idx="0">
                  <c:v>34049356.348610476</c:v>
                </c:pt>
                <c:pt idx="1">
                  <c:v>34104796.764545985</c:v>
                </c:pt>
                <c:pt idx="2">
                  <c:v>34059625.536734246</c:v>
                </c:pt>
                <c:pt idx="3">
                  <c:v>34053181.778054267</c:v>
                </c:pt>
                <c:pt idx="4">
                  <c:v>34210015.629112035</c:v>
                </c:pt>
                <c:pt idx="5">
                  <c:v>34080356.711504951</c:v>
                </c:pt>
                <c:pt idx="6">
                  <c:v>34057770.281908281</c:v>
                </c:pt>
                <c:pt idx="7">
                  <c:v>34076527.807672366</c:v>
                </c:pt>
                <c:pt idx="8">
                  <c:v>34069630.071329206</c:v>
                </c:pt>
                <c:pt idx="9">
                  <c:v>34256020.917757809</c:v>
                </c:pt>
                <c:pt idx="10">
                  <c:v>34070241.934339166</c:v>
                </c:pt>
                <c:pt idx="11">
                  <c:v>34065345.706586286</c:v>
                </c:pt>
                <c:pt idx="12">
                  <c:v>34066851.446869157</c:v>
                </c:pt>
                <c:pt idx="13">
                  <c:v>34074253.98226779</c:v>
                </c:pt>
                <c:pt idx="14">
                  <c:v>34222741.420069173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BB-4B22-8D1C-CADF1413A93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99"/>
        <c:axId val="1357481888"/>
        <c:axId val="1357482368"/>
      </c:barChart>
      <c:catAx>
        <c:axId val="1357481888"/>
        <c:scaling>
          <c:orientation val="minMax"/>
        </c:scaling>
        <c:delete val="0"/>
        <c:axPos val="b"/>
        <c:numFmt formatCode="&quot;Ano&quot;\ 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7482368"/>
        <c:crosses val="autoZero"/>
        <c:auto val="1"/>
        <c:lblAlgn val="ctr"/>
        <c:lblOffset val="100"/>
        <c:noMultiLvlLbl val="0"/>
      </c:catAx>
      <c:valAx>
        <c:axId val="135748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5748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Gráficos!$B$7</c:f>
              <c:strCache>
                <c:ptCount val="1"/>
                <c:pt idx="0">
                  <c:v>RSD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Gráficos!$C$6:$AF$6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Gráficos!$C$7:$AF$7</c:f>
              <c:numCache>
                <c:formatCode>#,##0.00</c:formatCode>
                <c:ptCount val="30"/>
                <c:pt idx="0">
                  <c:v>43120224.752188183</c:v>
                </c:pt>
                <c:pt idx="1">
                  <c:v>47021686.899641752</c:v>
                </c:pt>
                <c:pt idx="2">
                  <c:v>48281374.809646435</c:v>
                </c:pt>
                <c:pt idx="3">
                  <c:v>49042965.44714462</c:v>
                </c:pt>
                <c:pt idx="4">
                  <c:v>49546458.128630355</c:v>
                </c:pt>
                <c:pt idx="5">
                  <c:v>49992385.852844588</c:v>
                </c:pt>
                <c:pt idx="6">
                  <c:v>50343700.785347208</c:v>
                </c:pt>
                <c:pt idx="7">
                  <c:v>50552108.889206134</c:v>
                </c:pt>
                <c:pt idx="8">
                  <c:v>50760516.993065089</c:v>
                </c:pt>
                <c:pt idx="9">
                  <c:v>50968925.096924014</c:v>
                </c:pt>
                <c:pt idx="10">
                  <c:v>51177286.303432107</c:v>
                </c:pt>
                <c:pt idx="11">
                  <c:v>51302565.266276039</c:v>
                </c:pt>
                <c:pt idx="12">
                  <c:v>51427844.229119956</c:v>
                </c:pt>
                <c:pt idx="13">
                  <c:v>51553123.191963859</c:v>
                </c:pt>
                <c:pt idx="14">
                  <c:v>51678402.154807769</c:v>
                </c:pt>
                <c:pt idx="15">
                  <c:v>51804367.065729447</c:v>
                </c:pt>
                <c:pt idx="16">
                  <c:v>51860040.982646152</c:v>
                </c:pt>
                <c:pt idx="17">
                  <c:v>51915714.899562873</c:v>
                </c:pt>
                <c:pt idx="18">
                  <c:v>51971388.816479586</c:v>
                </c:pt>
                <c:pt idx="19">
                  <c:v>52027062.733396307</c:v>
                </c:pt>
                <c:pt idx="20">
                  <c:v>52082578.16294235</c:v>
                </c:pt>
                <c:pt idx="21">
                  <c:v>52138252.07985907</c:v>
                </c:pt>
                <c:pt idx="22">
                  <c:v>52193925.996775791</c:v>
                </c:pt>
                <c:pt idx="23">
                  <c:v>52249599.913692512</c:v>
                </c:pt>
                <c:pt idx="24">
                  <c:v>52305273.830609225</c:v>
                </c:pt>
                <c:pt idx="25">
                  <c:v>52360947.747525938</c:v>
                </c:pt>
                <c:pt idx="26">
                  <c:v>52416621.664442651</c:v>
                </c:pt>
                <c:pt idx="27">
                  <c:v>52472295.581359364</c:v>
                </c:pt>
                <c:pt idx="28">
                  <c:v>52527969.498276092</c:v>
                </c:pt>
                <c:pt idx="29">
                  <c:v>52583643.415192798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D-4FC4-B624-18C91EF1FE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7375231"/>
        <c:axId val="517374271"/>
      </c:barChart>
      <c:catAx>
        <c:axId val="5173752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374271"/>
        <c:crosses val="autoZero"/>
        <c:auto val="1"/>
        <c:lblAlgn val="ctr"/>
        <c:lblOffset val="100"/>
        <c:noMultiLvlLbl val="0"/>
      </c:catAx>
      <c:valAx>
        <c:axId val="5173742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737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'Fluxo de Caixa'!$E$5:$AH$5</c:f>
              <c:numCache>
                <c:formatCode>"Ano"\ 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'Fluxo de Caixa'!$E$35:$AH$35</c:f>
              <c:numCache>
                <c:formatCode>#,##0.00</c:formatCode>
                <c:ptCount val="30"/>
                <c:pt idx="0">
                  <c:v>-58121310.152997218</c:v>
                </c:pt>
                <c:pt idx="1">
                  <c:v>-6973859.4212053362</c:v>
                </c:pt>
                <c:pt idx="2">
                  <c:v>169624.47409024928</c:v>
                </c:pt>
                <c:pt idx="3">
                  <c:v>2695661.0941135534</c:v>
                </c:pt>
                <c:pt idx="4">
                  <c:v>13925188.650148511</c:v>
                </c:pt>
                <c:pt idx="5">
                  <c:v>14896052.887858566</c:v>
                </c:pt>
                <c:pt idx="6">
                  <c:v>12126531.801597718</c:v>
                </c:pt>
                <c:pt idx="7">
                  <c:v>12341524.111295408</c:v>
                </c:pt>
                <c:pt idx="8">
                  <c:v>5570133.7141660545</c:v>
                </c:pt>
                <c:pt idx="9">
                  <c:v>17225065.363332089</c:v>
                </c:pt>
                <c:pt idx="10">
                  <c:v>-6090182.7778030746</c:v>
                </c:pt>
                <c:pt idx="11">
                  <c:v>11780838.916131642</c:v>
                </c:pt>
                <c:pt idx="12">
                  <c:v>11887945.649086682</c:v>
                </c:pt>
                <c:pt idx="13">
                  <c:v>11824635.526048306</c:v>
                </c:pt>
                <c:pt idx="14">
                  <c:v>8638213.564540606</c:v>
                </c:pt>
                <c:pt idx="15">
                  <c:v>11966017.297419235</c:v>
                </c:pt>
                <c:pt idx="16">
                  <c:v>4561340.0439735483</c:v>
                </c:pt>
                <c:pt idx="17">
                  <c:v>9926920.8670521714</c:v>
                </c:pt>
                <c:pt idx="18">
                  <c:v>12351442.273783043</c:v>
                </c:pt>
                <c:pt idx="19">
                  <c:v>12131753.906496169</c:v>
                </c:pt>
                <c:pt idx="20">
                  <c:v>5511962.2460650373</c:v>
                </c:pt>
                <c:pt idx="21">
                  <c:v>12495882.420800427</c:v>
                </c:pt>
                <c:pt idx="22">
                  <c:v>9290327.718225494</c:v>
                </c:pt>
                <c:pt idx="23">
                  <c:v>10064756.702100348</c:v>
                </c:pt>
                <c:pt idx="24">
                  <c:v>4747268.769307008</c:v>
                </c:pt>
                <c:pt idx="25">
                  <c:v>12608285.408110816</c:v>
                </c:pt>
                <c:pt idx="26">
                  <c:v>12834327.967504026</c:v>
                </c:pt>
                <c:pt idx="27">
                  <c:v>12795865.684852457</c:v>
                </c:pt>
                <c:pt idx="28">
                  <c:v>12831004.317776615</c:v>
                </c:pt>
                <c:pt idx="29">
                  <c:v>14992418.23241972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C-4C15-B685-242CA4FE56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3547136"/>
        <c:axId val="1283546176"/>
      </c:barChart>
      <c:catAx>
        <c:axId val="1283547136"/>
        <c:scaling>
          <c:orientation val="minMax"/>
        </c:scaling>
        <c:delete val="0"/>
        <c:axPos val="b"/>
        <c:numFmt formatCode="&quot;Ano&quot;\ 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3546176"/>
        <c:crosses val="autoZero"/>
        <c:auto val="1"/>
        <c:lblAlgn val="ctr"/>
        <c:lblOffset val="100"/>
        <c:noMultiLvlLbl val="0"/>
      </c:catAx>
      <c:valAx>
        <c:axId val="128354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8354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'Fluxo de Caixa'!$E$5:$AH$5</c:f>
              <c:numCache>
                <c:formatCode>"Ano"\ 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'Fluxo de Caixa'!$E$49:$AH$49</c:f>
              <c:numCache>
                <c:formatCode>#,##0.00</c:formatCode>
                <c:ptCount val="30"/>
                <c:pt idx="0">
                  <c:v>-36145293.05175022</c:v>
                </c:pt>
                <c:pt idx="1">
                  <c:v>-24060090.097669378</c:v>
                </c:pt>
                <c:pt idx="2">
                  <c:v>7967535.3881293675</c:v>
                </c:pt>
                <c:pt idx="3">
                  <c:v>25835218.901284888</c:v>
                </c:pt>
                <c:pt idx="4">
                  <c:v>14037456.91814851</c:v>
                </c:pt>
                <c:pt idx="5">
                  <c:v>14070135.581135465</c:v>
                </c:pt>
                <c:pt idx="6">
                  <c:v>11025308.725966915</c:v>
                </c:pt>
                <c:pt idx="7">
                  <c:v>8021561.2727392484</c:v>
                </c:pt>
                <c:pt idx="8">
                  <c:v>774870.58615290048</c:v>
                </c:pt>
                <c:pt idx="9">
                  <c:v>14991775.068991529</c:v>
                </c:pt>
                <c:pt idx="10">
                  <c:v>-1596402.0547769163</c:v>
                </c:pt>
                <c:pt idx="11">
                  <c:v>6983364.3133578021</c:v>
                </c:pt>
                <c:pt idx="12">
                  <c:v>7090471.0463128434</c:v>
                </c:pt>
                <c:pt idx="13">
                  <c:v>7027160.9232744668</c:v>
                </c:pt>
                <c:pt idx="14">
                  <c:v>2559596.5775567298</c:v>
                </c:pt>
                <c:pt idx="15">
                  <c:v>5704379.9698339254</c:v>
                </c:pt>
                <c:pt idx="16">
                  <c:v>-1700297.2836117633</c:v>
                </c:pt>
                <c:pt idx="17">
                  <c:v>3665283.5394668616</c:v>
                </c:pt>
                <c:pt idx="18">
                  <c:v>6089804.9461977333</c:v>
                </c:pt>
                <c:pt idx="19">
                  <c:v>5870116.5789108584</c:v>
                </c:pt>
                <c:pt idx="20">
                  <c:v>76242.22520282818</c:v>
                </c:pt>
                <c:pt idx="21">
                  <c:v>7335468.168845919</c:v>
                </c:pt>
                <c:pt idx="22">
                  <c:v>7348653.2291963436</c:v>
                </c:pt>
                <c:pt idx="23">
                  <c:v>8598382.5025281925</c:v>
                </c:pt>
                <c:pt idx="24">
                  <c:v>3283106.0444955369</c:v>
                </c:pt>
                <c:pt idx="25">
                  <c:v>11211245.233745951</c:v>
                </c:pt>
                <c:pt idx="26">
                  <c:v>11421403.254789794</c:v>
                </c:pt>
                <c:pt idx="27">
                  <c:v>11366212.327886239</c:v>
                </c:pt>
                <c:pt idx="28">
                  <c:v>11366841.592965145</c:v>
                </c:pt>
                <c:pt idx="29">
                  <c:v>14720229.319083655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2F-42A3-AD2D-AF7CE48A9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58829136"/>
        <c:axId val="1158831056"/>
      </c:barChart>
      <c:catAx>
        <c:axId val="1158829136"/>
        <c:scaling>
          <c:orientation val="minMax"/>
        </c:scaling>
        <c:delete val="0"/>
        <c:axPos val="b"/>
        <c:numFmt formatCode="&quot;Ano&quot;\ 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8831056"/>
        <c:crosses val="autoZero"/>
        <c:auto val="1"/>
        <c:lblAlgn val="ctr"/>
        <c:lblOffset val="100"/>
        <c:noMultiLvlLbl val="0"/>
      </c:catAx>
      <c:valAx>
        <c:axId val="1158831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5882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hyperlink" Target="#'Tributos-LP'!A1"/><Relationship Id="rId18" Type="http://schemas.openxmlformats.org/officeDocument/2006/relationships/hyperlink" Target="#CAPEX_SPE!A1"/><Relationship Id="rId26" Type="http://schemas.openxmlformats.org/officeDocument/2006/relationships/hyperlink" Target="#Sensibilidade!A1"/><Relationship Id="rId21" Type="http://schemas.openxmlformats.org/officeDocument/2006/relationships/hyperlink" Target="#OPEX_SPE!A1"/><Relationship Id="rId34" Type="http://schemas.openxmlformats.org/officeDocument/2006/relationships/hyperlink" Target="#'Instrumentos Financeiros'!A1"/><Relationship Id="rId7" Type="http://schemas.openxmlformats.org/officeDocument/2006/relationships/hyperlink" Target="#Receitas!A1"/><Relationship Id="rId12" Type="http://schemas.openxmlformats.org/officeDocument/2006/relationships/hyperlink" Target="#'Tributos RPU'!A1"/><Relationship Id="rId17" Type="http://schemas.openxmlformats.org/officeDocument/2006/relationships/hyperlink" Target="#OPEX_Tratamento!A1"/><Relationship Id="rId25" Type="http://schemas.openxmlformats.org/officeDocument/2006/relationships/hyperlink" Target="#OPEX_Socioambiental!A1"/><Relationship Id="rId33" Type="http://schemas.openxmlformats.org/officeDocument/2006/relationships/hyperlink" Target="#ICSD!A1"/><Relationship Id="rId2" Type="http://schemas.openxmlformats.org/officeDocument/2006/relationships/hyperlink" Target="#'Premissas Economias e &#193;gua'!A1"/><Relationship Id="rId16" Type="http://schemas.openxmlformats.org/officeDocument/2006/relationships/hyperlink" Target="#CAPEX_Transbordo!A1"/><Relationship Id="rId20" Type="http://schemas.openxmlformats.org/officeDocument/2006/relationships/hyperlink" Target="#'OPEX _Transbordo'!A1"/><Relationship Id="rId29" Type="http://schemas.openxmlformats.org/officeDocument/2006/relationships/hyperlink" Target="#'Value for Money'!A1"/><Relationship Id="rId1" Type="http://schemas.openxmlformats.org/officeDocument/2006/relationships/hyperlink" Target="#'Premissas Gera&#231;&#227;o de Res&#237;duos'!A1"/><Relationship Id="rId6" Type="http://schemas.openxmlformats.org/officeDocument/2006/relationships/hyperlink" Target="#DRE!A1"/><Relationship Id="rId11" Type="http://schemas.openxmlformats.org/officeDocument/2006/relationships/hyperlink" Target="#'Capital de Giro RPU'!A1"/><Relationship Id="rId24" Type="http://schemas.openxmlformats.org/officeDocument/2006/relationships/hyperlink" Target="#CAPEX_Coleta!A1"/><Relationship Id="rId32" Type="http://schemas.openxmlformats.org/officeDocument/2006/relationships/hyperlink" Target="#'% RCL'!A1"/><Relationship Id="rId37" Type="http://schemas.openxmlformats.org/officeDocument/2006/relationships/hyperlink" Target="#'OPEX_Anexo 6'!A1"/><Relationship Id="rId5" Type="http://schemas.openxmlformats.org/officeDocument/2006/relationships/hyperlink" Target="#'CAPEX E OPEX'!A1"/><Relationship Id="rId15" Type="http://schemas.openxmlformats.org/officeDocument/2006/relationships/hyperlink" Target="#'Tributos-LR'!A1"/><Relationship Id="rId23" Type="http://schemas.openxmlformats.org/officeDocument/2006/relationships/hyperlink" Target="#WACC!A1"/><Relationship Id="rId28" Type="http://schemas.openxmlformats.org/officeDocument/2006/relationships/hyperlink" Target="#Seguros!A1"/><Relationship Id="rId36" Type="http://schemas.openxmlformats.org/officeDocument/2006/relationships/hyperlink" Target="#'CAPEX_Anexo 6'!A1"/><Relationship Id="rId10" Type="http://schemas.openxmlformats.org/officeDocument/2006/relationships/hyperlink" Target="#Amortiza&#231;&#227;o!A1"/><Relationship Id="rId19" Type="http://schemas.openxmlformats.org/officeDocument/2006/relationships/hyperlink" Target="#'CAPEX_Disposi&#231;&#227;o Final'!A1"/><Relationship Id="rId31" Type="http://schemas.openxmlformats.org/officeDocument/2006/relationships/hyperlink" Target="#'Modelo Tarif&#225;rio'!A1"/><Relationship Id="rId4" Type="http://schemas.openxmlformats.org/officeDocument/2006/relationships/hyperlink" Target="#'Fluxo de Caixa'!A1"/><Relationship Id="rId9" Type="http://schemas.openxmlformats.org/officeDocument/2006/relationships/hyperlink" Target="#'Capital de Giro'!A1"/><Relationship Id="rId14" Type="http://schemas.openxmlformats.org/officeDocument/2006/relationships/hyperlink" Target="#'OPEX _Coleta'!A1"/><Relationship Id="rId22" Type="http://schemas.openxmlformats.org/officeDocument/2006/relationships/hyperlink" Target="#'OPEX _Disposi&#231;&#227;o Final'!A1"/><Relationship Id="rId27" Type="http://schemas.openxmlformats.org/officeDocument/2006/relationships/hyperlink" Target="#Instru&#231;&#245;es!A1"/><Relationship Id="rId30" Type="http://schemas.openxmlformats.org/officeDocument/2006/relationships/hyperlink" Target="#'Balan&#231;o de Massa'!A1"/><Relationship Id="rId35" Type="http://schemas.openxmlformats.org/officeDocument/2006/relationships/hyperlink" Target="#OPEX_CISPAR!A1"/><Relationship Id="rId8" Type="http://schemas.openxmlformats.org/officeDocument/2006/relationships/hyperlink" Target="#'C&#225;lculo Valor RPU'!A1"/><Relationship Id="rId3" Type="http://schemas.openxmlformats.org/officeDocument/2006/relationships/hyperlink" Target="#'Premissas Gerai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#PAINEL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hyperlink" Target="#PAINEL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hyperlink" Target="#PAINEL!A1"/><Relationship Id="rId1" Type="http://schemas.openxmlformats.org/officeDocument/2006/relationships/chart" Target="../charts/chart4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PAINEL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11" Type="http://schemas.openxmlformats.org/officeDocument/2006/relationships/chart" Target="../charts/chart15.xml"/><Relationship Id="rId5" Type="http://schemas.openxmlformats.org/officeDocument/2006/relationships/chart" Target="../charts/chart9.xml"/><Relationship Id="rId10" Type="http://schemas.openxmlformats.org/officeDocument/2006/relationships/chart" Target="../charts/chart14.xml"/><Relationship Id="rId4" Type="http://schemas.openxmlformats.org/officeDocument/2006/relationships/chart" Target="../charts/chart8.xml"/><Relationship Id="rId9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15</xdr:col>
      <xdr:colOff>147589</xdr:colOff>
      <xdr:row>27</xdr:row>
      <xdr:rowOff>83344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66962DD-2884-B90A-B6D1-47A2A314A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291589" cy="52268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27</xdr:row>
      <xdr:rowOff>152400</xdr:rowOff>
    </xdr:from>
    <xdr:to>
      <xdr:col>3</xdr:col>
      <xdr:colOff>78799</xdr:colOff>
      <xdr:row>29</xdr:row>
      <xdr:rowOff>74468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47700" y="50196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142876</xdr:colOff>
      <xdr:row>7</xdr:row>
      <xdr:rowOff>76198</xdr:rowOff>
    </xdr:from>
    <xdr:to>
      <xdr:col>17</xdr:col>
      <xdr:colOff>21167</xdr:colOff>
      <xdr:row>29</xdr:row>
      <xdr:rowOff>84665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42876" y="1367365"/>
          <a:ext cx="12789958" cy="419946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209550</xdr:colOff>
      <xdr:row>12</xdr:row>
      <xdr:rowOff>19049</xdr:rowOff>
    </xdr:from>
    <xdr:to>
      <xdr:col>2</xdr:col>
      <xdr:colOff>762000</xdr:colOff>
      <xdr:row>14</xdr:row>
      <xdr:rowOff>161924</xdr:rowOff>
    </xdr:to>
    <xdr:sp macro="" textlink="">
      <xdr:nvSpPr>
        <xdr:cNvPr id="5" name="Fluxograma: Processo Alternativ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52425" y="2266949"/>
          <a:ext cx="1381125" cy="523875"/>
        </a:xfrm>
        <a:prstGeom prst="flowChartAlternateProcess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Premissas Geração de Resíduos</a:t>
          </a:r>
        </a:p>
      </xdr:txBody>
    </xdr:sp>
    <xdr:clientData/>
  </xdr:twoCellAnchor>
  <xdr:twoCellAnchor>
    <xdr:from>
      <xdr:col>1</xdr:col>
      <xdr:colOff>209550</xdr:colOff>
      <xdr:row>15</xdr:row>
      <xdr:rowOff>66674</xdr:rowOff>
    </xdr:from>
    <xdr:to>
      <xdr:col>2</xdr:col>
      <xdr:colOff>762000</xdr:colOff>
      <xdr:row>18</xdr:row>
      <xdr:rowOff>19049</xdr:rowOff>
    </xdr:to>
    <xdr:sp macro="" textlink="">
      <xdr:nvSpPr>
        <xdr:cNvPr id="6" name="Fluxograma: Processo Alternativ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52425" y="2886074"/>
          <a:ext cx="1381125" cy="523875"/>
        </a:xfrm>
        <a:prstGeom prst="flowChartAlternateProcess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1"/>
              </a:solidFill>
              <a:latin typeface="+mn-lt"/>
              <a:ea typeface="+mn-ea"/>
              <a:cs typeface="+mn-cs"/>
            </a:rPr>
            <a:t>Premissas Economias e Água</a:t>
          </a:r>
        </a:p>
      </xdr:txBody>
    </xdr:sp>
    <xdr:clientData/>
  </xdr:twoCellAnchor>
  <xdr:twoCellAnchor>
    <xdr:from>
      <xdr:col>1</xdr:col>
      <xdr:colOff>200025</xdr:colOff>
      <xdr:row>8</xdr:row>
      <xdr:rowOff>152399</xdr:rowOff>
    </xdr:from>
    <xdr:to>
      <xdr:col>2</xdr:col>
      <xdr:colOff>752475</xdr:colOff>
      <xdr:row>11</xdr:row>
      <xdr:rowOff>104774</xdr:rowOff>
    </xdr:to>
    <xdr:sp macro="" textlink="">
      <xdr:nvSpPr>
        <xdr:cNvPr id="7" name="Fluxograma: Processo Alternativ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342900" y="1638299"/>
          <a:ext cx="1381125" cy="523875"/>
        </a:xfrm>
        <a:prstGeom prst="flowChartAlternateProcess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Premissas Gerais</a:t>
          </a:r>
        </a:p>
      </xdr:txBody>
    </xdr:sp>
    <xdr:clientData/>
  </xdr:twoCellAnchor>
  <xdr:twoCellAnchor>
    <xdr:from>
      <xdr:col>2</xdr:col>
      <xdr:colOff>914400</xdr:colOff>
      <xdr:row>8</xdr:row>
      <xdr:rowOff>161925</xdr:rowOff>
    </xdr:from>
    <xdr:to>
      <xdr:col>3</xdr:col>
      <xdr:colOff>657225</xdr:colOff>
      <xdr:row>11</xdr:row>
      <xdr:rowOff>114300</xdr:rowOff>
    </xdr:to>
    <xdr:sp macro="" textlink="">
      <xdr:nvSpPr>
        <xdr:cNvPr id="9" name="Fluxograma: Processo Alternativ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885950" y="1647825"/>
          <a:ext cx="1381125" cy="523875"/>
        </a:xfrm>
        <a:prstGeom prst="flowChartAlternateProcess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Flux</a:t>
          </a:r>
          <a:r>
            <a:rPr lang="pt-BR" sz="1100" b="1" baseline="0">
              <a:solidFill>
                <a:schemeClr val="bg1"/>
              </a:solidFill>
            </a:rPr>
            <a:t>o de Caixa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800100</xdr:colOff>
      <xdr:row>9</xdr:row>
      <xdr:rowOff>0</xdr:rowOff>
    </xdr:from>
    <xdr:to>
      <xdr:col>5</xdr:col>
      <xdr:colOff>171450</xdr:colOff>
      <xdr:row>11</xdr:row>
      <xdr:rowOff>142875</xdr:rowOff>
    </xdr:to>
    <xdr:sp macro="" textlink="">
      <xdr:nvSpPr>
        <xdr:cNvPr id="10" name="Fluxograma: Processo Alternativ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409950" y="1676400"/>
          <a:ext cx="1381125" cy="523875"/>
        </a:xfrm>
        <a:prstGeom prst="flowChartAlternateProcess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CAPEX e OPEX</a:t>
          </a:r>
        </a:p>
      </xdr:txBody>
    </xdr:sp>
    <xdr:clientData/>
  </xdr:twoCellAnchor>
  <xdr:twoCellAnchor>
    <xdr:from>
      <xdr:col>2</xdr:col>
      <xdr:colOff>901700</xdr:colOff>
      <xdr:row>12</xdr:row>
      <xdr:rowOff>24341</xdr:rowOff>
    </xdr:from>
    <xdr:to>
      <xdr:col>3</xdr:col>
      <xdr:colOff>644525</xdr:colOff>
      <xdr:row>14</xdr:row>
      <xdr:rowOff>167216</xdr:rowOff>
    </xdr:to>
    <xdr:sp macro="" textlink="">
      <xdr:nvSpPr>
        <xdr:cNvPr id="12" name="Fluxograma: Processo Alternativ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2097617" y="2268008"/>
          <a:ext cx="1573741" cy="523875"/>
        </a:xfrm>
        <a:prstGeom prst="flowChartAlternateProcess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DRE</a:t>
          </a:r>
        </a:p>
      </xdr:txBody>
    </xdr:sp>
    <xdr:clientData/>
  </xdr:twoCellAnchor>
  <xdr:twoCellAnchor>
    <xdr:from>
      <xdr:col>3</xdr:col>
      <xdr:colOff>819150</xdr:colOff>
      <xdr:row>12</xdr:row>
      <xdr:rowOff>47625</xdr:rowOff>
    </xdr:from>
    <xdr:to>
      <xdr:col>5</xdr:col>
      <xdr:colOff>190500</xdr:colOff>
      <xdr:row>15</xdr:row>
      <xdr:rowOff>0</xdr:rowOff>
    </xdr:to>
    <xdr:sp macro="" textlink="">
      <xdr:nvSpPr>
        <xdr:cNvPr id="13" name="Fluxograma: Processo Alternativo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3429000" y="2295525"/>
          <a:ext cx="1381125" cy="523875"/>
        </a:xfrm>
        <a:prstGeom prst="flowChartAlternateProcess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Receitas</a:t>
          </a:r>
        </a:p>
      </xdr:txBody>
    </xdr:sp>
    <xdr:clientData/>
  </xdr:twoCellAnchor>
  <xdr:twoCellAnchor>
    <xdr:from>
      <xdr:col>5</xdr:col>
      <xdr:colOff>302684</xdr:colOff>
      <xdr:row>9</xdr:row>
      <xdr:rowOff>7408</xdr:rowOff>
    </xdr:from>
    <xdr:to>
      <xdr:col>6</xdr:col>
      <xdr:colOff>1074209</xdr:colOff>
      <xdr:row>11</xdr:row>
      <xdr:rowOff>150283</xdr:rowOff>
    </xdr:to>
    <xdr:sp macro="" textlink="">
      <xdr:nvSpPr>
        <xdr:cNvPr id="14" name="Fluxograma: Processo Alternativo 1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5001684" y="1679575"/>
          <a:ext cx="1385358" cy="523875"/>
        </a:xfrm>
        <a:prstGeom prst="flowChartAlternateProcess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Cálculo RPU</a:t>
          </a:r>
        </a:p>
      </xdr:txBody>
    </xdr:sp>
    <xdr:clientData/>
  </xdr:twoCellAnchor>
  <xdr:twoCellAnchor>
    <xdr:from>
      <xdr:col>2</xdr:col>
      <xdr:colOff>904875</xdr:colOff>
      <xdr:row>3</xdr:row>
      <xdr:rowOff>152398</xdr:rowOff>
    </xdr:from>
    <xdr:to>
      <xdr:col>3</xdr:col>
      <xdr:colOff>704850</xdr:colOff>
      <xdr:row>7</xdr:row>
      <xdr:rowOff>19049</xdr:rowOff>
    </xdr:to>
    <xdr:sp macro="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876425" y="685798"/>
          <a:ext cx="1438275" cy="628651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DEMONSTRAÇÕES FINANCEIRAS</a:t>
          </a:r>
        </a:p>
      </xdr:txBody>
    </xdr:sp>
    <xdr:clientData/>
  </xdr:twoCellAnchor>
  <xdr:twoCellAnchor>
    <xdr:from>
      <xdr:col>1</xdr:col>
      <xdr:colOff>171450</xdr:colOff>
      <xdr:row>3</xdr:row>
      <xdr:rowOff>152400</xdr:rowOff>
    </xdr:from>
    <xdr:to>
      <xdr:col>2</xdr:col>
      <xdr:colOff>781050</xdr:colOff>
      <xdr:row>7</xdr:row>
      <xdr:rowOff>19051</xdr:rowOff>
    </xdr:to>
    <xdr:sp macro="" textlink="">
      <xdr:nvSpPr>
        <xdr:cNvPr id="18" name="Retângulo: Cantos Arredondado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14325" y="685800"/>
          <a:ext cx="1438275" cy="628651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PREMISSAS</a:t>
          </a:r>
        </a:p>
      </xdr:txBody>
    </xdr:sp>
    <xdr:clientData/>
  </xdr:twoCellAnchor>
  <xdr:twoCellAnchor>
    <xdr:from>
      <xdr:col>3</xdr:col>
      <xdr:colOff>800100</xdr:colOff>
      <xdr:row>3</xdr:row>
      <xdr:rowOff>152398</xdr:rowOff>
    </xdr:from>
    <xdr:to>
      <xdr:col>5</xdr:col>
      <xdr:colOff>228600</xdr:colOff>
      <xdr:row>7</xdr:row>
      <xdr:rowOff>19049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3409950" y="685798"/>
          <a:ext cx="1438275" cy="628651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INFORMAÇÕES CONSOLIDADAS</a:t>
          </a:r>
        </a:p>
      </xdr:txBody>
    </xdr:sp>
    <xdr:clientData/>
  </xdr:twoCellAnchor>
  <xdr:twoCellAnchor>
    <xdr:from>
      <xdr:col>6</xdr:col>
      <xdr:colOff>1238250</xdr:colOff>
      <xdr:row>3</xdr:row>
      <xdr:rowOff>152400</xdr:rowOff>
    </xdr:from>
    <xdr:to>
      <xdr:col>17</xdr:col>
      <xdr:colOff>0</xdr:colOff>
      <xdr:row>7</xdr:row>
      <xdr:rowOff>19051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551083" y="681567"/>
          <a:ext cx="5947834" cy="628651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DETALHAMENTO</a:t>
          </a:r>
        </a:p>
      </xdr:txBody>
    </xdr:sp>
    <xdr:clientData/>
  </xdr:twoCellAnchor>
  <xdr:twoCellAnchor>
    <xdr:from>
      <xdr:col>6</xdr:col>
      <xdr:colOff>1169459</xdr:colOff>
      <xdr:row>15</xdr:row>
      <xdr:rowOff>137583</xdr:rowOff>
    </xdr:from>
    <xdr:to>
      <xdr:col>9</xdr:col>
      <xdr:colOff>96309</xdr:colOff>
      <xdr:row>18</xdr:row>
      <xdr:rowOff>89958</xdr:rowOff>
    </xdr:to>
    <xdr:sp macro="" textlink="">
      <xdr:nvSpPr>
        <xdr:cNvPr id="22" name="Fluxograma: Processo Alternativo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482292" y="2952750"/>
          <a:ext cx="1456267" cy="523875"/>
        </a:xfrm>
        <a:prstGeom prst="flowChartAlternateProcess">
          <a:avLst/>
        </a:prstGeom>
        <a:solidFill>
          <a:schemeClr val="bg2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Capital</a:t>
          </a:r>
          <a:r>
            <a:rPr lang="pt-BR" sz="1100" b="1" baseline="0">
              <a:solidFill>
                <a:sysClr val="windowText" lastClr="000000"/>
              </a:solidFill>
            </a:rPr>
            <a:t> de Giro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314325</xdr:colOff>
      <xdr:row>3</xdr:row>
      <xdr:rowOff>152400</xdr:rowOff>
    </xdr:from>
    <xdr:to>
      <xdr:col>6</xdr:col>
      <xdr:colOff>1143000</xdr:colOff>
      <xdr:row>7</xdr:row>
      <xdr:rowOff>19051</xdr:rowOff>
    </xdr:to>
    <xdr:sp macro="" textlink="">
      <xdr:nvSpPr>
        <xdr:cNvPr id="23" name="Retângulo: Cantos Arredondados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4933950" y="685800"/>
          <a:ext cx="1438275" cy="628651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RPU</a:t>
          </a:r>
        </a:p>
      </xdr:txBody>
    </xdr:sp>
    <xdr:clientData/>
  </xdr:twoCellAnchor>
  <xdr:twoCellAnchor>
    <xdr:from>
      <xdr:col>6</xdr:col>
      <xdr:colOff>1206500</xdr:colOff>
      <xdr:row>12</xdr:row>
      <xdr:rowOff>75140</xdr:rowOff>
    </xdr:from>
    <xdr:to>
      <xdr:col>9</xdr:col>
      <xdr:colOff>62441</xdr:colOff>
      <xdr:row>15</xdr:row>
      <xdr:rowOff>27515</xdr:rowOff>
    </xdr:to>
    <xdr:sp macro="" textlink="">
      <xdr:nvSpPr>
        <xdr:cNvPr id="24" name="Fluxograma: Processo Alternativo 2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6519333" y="2318807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Amortização</a:t>
          </a:r>
        </a:p>
      </xdr:txBody>
    </xdr:sp>
    <xdr:clientData/>
  </xdr:twoCellAnchor>
  <xdr:twoCellAnchor>
    <xdr:from>
      <xdr:col>5</xdr:col>
      <xdr:colOff>317502</xdr:colOff>
      <xdr:row>12</xdr:row>
      <xdr:rowOff>53974</xdr:rowOff>
    </xdr:from>
    <xdr:to>
      <xdr:col>6</xdr:col>
      <xdr:colOff>1089027</xdr:colOff>
      <xdr:row>15</xdr:row>
      <xdr:rowOff>6349</xdr:rowOff>
    </xdr:to>
    <xdr:sp macro="" textlink="">
      <xdr:nvSpPr>
        <xdr:cNvPr id="25" name="Fluxograma: Processo Alternativo 2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5016502" y="2297641"/>
          <a:ext cx="1385358" cy="523875"/>
        </a:xfrm>
        <a:prstGeom prst="flowChartAlternateProcess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Capital</a:t>
          </a:r>
          <a:r>
            <a:rPr lang="pt-BR" sz="1100" b="1" baseline="0">
              <a:solidFill>
                <a:sysClr val="windowText" lastClr="000000"/>
              </a:solidFill>
            </a:rPr>
            <a:t> de Giro RPU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311152</xdr:colOff>
      <xdr:row>15</xdr:row>
      <xdr:rowOff>111125</xdr:rowOff>
    </xdr:from>
    <xdr:to>
      <xdr:col>6</xdr:col>
      <xdr:colOff>1082677</xdr:colOff>
      <xdr:row>18</xdr:row>
      <xdr:rowOff>63500</xdr:rowOff>
    </xdr:to>
    <xdr:sp macro="" textlink="">
      <xdr:nvSpPr>
        <xdr:cNvPr id="26" name="Fluxograma: Processo Alternativo 2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5010152" y="2926292"/>
          <a:ext cx="1385358" cy="523875"/>
        </a:xfrm>
        <a:prstGeom prst="flowChartAlternateProcess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Tributos</a:t>
          </a:r>
          <a:r>
            <a:rPr lang="pt-BR" sz="1100" b="1" baseline="0">
              <a:solidFill>
                <a:sysClr val="windowText" lastClr="000000"/>
              </a:solidFill>
            </a:rPr>
            <a:t> RPU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1214968</xdr:colOff>
      <xdr:row>19</xdr:row>
      <xdr:rowOff>20106</xdr:rowOff>
    </xdr:from>
    <xdr:to>
      <xdr:col>9</xdr:col>
      <xdr:colOff>70909</xdr:colOff>
      <xdr:row>21</xdr:row>
      <xdr:rowOff>162981</xdr:rowOff>
    </xdr:to>
    <xdr:sp macro="" textlink="">
      <xdr:nvSpPr>
        <xdr:cNvPr id="28" name="Fluxograma: Processo Alternativo 2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6527801" y="3597273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Tributos - LP</a:t>
          </a:r>
        </a:p>
      </xdr:txBody>
    </xdr:sp>
    <xdr:clientData/>
  </xdr:twoCellAnchor>
  <xdr:twoCellAnchor>
    <xdr:from>
      <xdr:col>11</xdr:col>
      <xdr:colOff>467784</xdr:colOff>
      <xdr:row>22</xdr:row>
      <xdr:rowOff>77259</xdr:rowOff>
    </xdr:from>
    <xdr:to>
      <xdr:col>14</xdr:col>
      <xdr:colOff>11642</xdr:colOff>
      <xdr:row>25</xdr:row>
      <xdr:rowOff>29634</xdr:rowOff>
    </xdr:to>
    <xdr:sp macro="" textlink="">
      <xdr:nvSpPr>
        <xdr:cNvPr id="29" name="Fluxograma: Processo Alternativo 2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9537701" y="4225926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</a:rPr>
            <a:t>OPEX - Coleta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1202267</xdr:colOff>
      <xdr:row>22</xdr:row>
      <xdr:rowOff>81492</xdr:rowOff>
    </xdr:from>
    <xdr:to>
      <xdr:col>9</xdr:col>
      <xdr:colOff>58208</xdr:colOff>
      <xdr:row>25</xdr:row>
      <xdr:rowOff>33867</xdr:rowOff>
    </xdr:to>
    <xdr:sp macro="" textlink="">
      <xdr:nvSpPr>
        <xdr:cNvPr id="30" name="Fluxograma: Processo Alternativo 29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6515100" y="4230159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Tributos</a:t>
          </a:r>
          <a:r>
            <a:rPr lang="pt-BR" sz="1100" b="1" baseline="0">
              <a:solidFill>
                <a:sysClr val="windowText" lastClr="000000"/>
              </a:solidFill>
            </a:rPr>
            <a:t> - LR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184150</xdr:colOff>
      <xdr:row>9</xdr:row>
      <xdr:rowOff>26462</xdr:rowOff>
    </xdr:from>
    <xdr:to>
      <xdr:col>11</xdr:col>
      <xdr:colOff>341841</xdr:colOff>
      <xdr:row>11</xdr:row>
      <xdr:rowOff>169337</xdr:rowOff>
    </xdr:to>
    <xdr:sp macro="" textlink="">
      <xdr:nvSpPr>
        <xdr:cNvPr id="31" name="Fluxograma: Processo Alternativo 30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8026400" y="1698629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CAPEX - Transbordo</a:t>
          </a:r>
        </a:p>
      </xdr:txBody>
    </xdr:sp>
    <xdr:clientData/>
  </xdr:twoCellAnchor>
  <xdr:twoCellAnchor>
    <xdr:from>
      <xdr:col>9</xdr:col>
      <xdr:colOff>171450</xdr:colOff>
      <xdr:row>12</xdr:row>
      <xdr:rowOff>77262</xdr:rowOff>
    </xdr:from>
    <xdr:to>
      <xdr:col>11</xdr:col>
      <xdr:colOff>329141</xdr:colOff>
      <xdr:row>15</xdr:row>
      <xdr:rowOff>29637</xdr:rowOff>
    </xdr:to>
    <xdr:sp macro="" textlink="">
      <xdr:nvSpPr>
        <xdr:cNvPr id="32" name="Fluxograma: Processo Alternativo 31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8013700" y="2320929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CAPEX - Tratamento</a:t>
          </a:r>
        </a:p>
      </xdr:txBody>
    </xdr:sp>
    <xdr:clientData/>
  </xdr:twoCellAnchor>
  <xdr:twoCellAnchor>
    <xdr:from>
      <xdr:col>9</xdr:col>
      <xdr:colOff>175683</xdr:colOff>
      <xdr:row>19</xdr:row>
      <xdr:rowOff>17996</xdr:rowOff>
    </xdr:from>
    <xdr:to>
      <xdr:col>11</xdr:col>
      <xdr:colOff>333374</xdr:colOff>
      <xdr:row>21</xdr:row>
      <xdr:rowOff>160871</xdr:rowOff>
    </xdr:to>
    <xdr:sp macro="" textlink="">
      <xdr:nvSpPr>
        <xdr:cNvPr id="33" name="Fluxograma: Processo Alternativo 32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8017933" y="3595163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CAPEX - SPE</a:t>
          </a:r>
        </a:p>
      </xdr:txBody>
    </xdr:sp>
    <xdr:clientData/>
  </xdr:twoCellAnchor>
  <xdr:twoCellAnchor>
    <xdr:from>
      <xdr:col>9</xdr:col>
      <xdr:colOff>190499</xdr:colOff>
      <xdr:row>15</xdr:row>
      <xdr:rowOff>149229</xdr:rowOff>
    </xdr:from>
    <xdr:to>
      <xdr:col>11</xdr:col>
      <xdr:colOff>348190</xdr:colOff>
      <xdr:row>18</xdr:row>
      <xdr:rowOff>101604</xdr:rowOff>
    </xdr:to>
    <xdr:sp macro="" textlink="">
      <xdr:nvSpPr>
        <xdr:cNvPr id="34" name="Fluxograma: Processo Alternativo 33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8032749" y="2964396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CAPEX -</a:t>
          </a:r>
          <a:r>
            <a:rPr lang="pt-BR" sz="1100" b="1" baseline="0">
              <a:solidFill>
                <a:sysClr val="windowText" lastClr="000000"/>
              </a:solidFill>
            </a:rPr>
            <a:t> Disposição Final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431802</xdr:colOff>
      <xdr:row>12</xdr:row>
      <xdr:rowOff>104781</xdr:rowOff>
    </xdr:from>
    <xdr:to>
      <xdr:col>13</xdr:col>
      <xdr:colOff>589494</xdr:colOff>
      <xdr:row>15</xdr:row>
      <xdr:rowOff>57156</xdr:rowOff>
    </xdr:to>
    <xdr:sp macro="" textlink="">
      <xdr:nvSpPr>
        <xdr:cNvPr id="35" name="Fluxograma: Processo Alternativo 3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9501719" y="2348448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OPEX</a:t>
          </a:r>
          <a:r>
            <a:rPr lang="pt-BR" sz="1100" b="1" baseline="0">
              <a:solidFill>
                <a:sysClr val="windowText" lastClr="000000"/>
              </a:solidFill>
            </a:rPr>
            <a:t> -Tratamento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440268</xdr:colOff>
      <xdr:row>9</xdr:row>
      <xdr:rowOff>39164</xdr:rowOff>
    </xdr:from>
    <xdr:to>
      <xdr:col>13</xdr:col>
      <xdr:colOff>597960</xdr:colOff>
      <xdr:row>11</xdr:row>
      <xdr:rowOff>182039</xdr:rowOff>
    </xdr:to>
    <xdr:sp macro="" textlink="">
      <xdr:nvSpPr>
        <xdr:cNvPr id="36" name="Fluxograma: Processo Alternativo 35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9510185" y="1711331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OPEX</a:t>
          </a:r>
          <a:r>
            <a:rPr lang="pt-BR" sz="1100" b="1" baseline="0">
              <a:solidFill>
                <a:sysClr val="windowText" lastClr="000000"/>
              </a:solidFill>
            </a:rPr>
            <a:t> - Transbordo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455085</xdr:colOff>
      <xdr:row>19</xdr:row>
      <xdr:rowOff>22233</xdr:rowOff>
    </xdr:from>
    <xdr:to>
      <xdr:col>13</xdr:col>
      <xdr:colOff>612777</xdr:colOff>
      <xdr:row>21</xdr:row>
      <xdr:rowOff>165108</xdr:rowOff>
    </xdr:to>
    <xdr:sp macro="" textlink="">
      <xdr:nvSpPr>
        <xdr:cNvPr id="37" name="Fluxograma: Processo Alternativo 36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525002" y="3599400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OPEX</a:t>
          </a:r>
          <a:r>
            <a:rPr lang="pt-BR" sz="1100" b="1" baseline="0">
              <a:solidFill>
                <a:sysClr val="windowText" lastClr="000000"/>
              </a:solidFill>
            </a:rPr>
            <a:t> - SPE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448735</xdr:colOff>
      <xdr:row>15</xdr:row>
      <xdr:rowOff>153466</xdr:rowOff>
    </xdr:from>
    <xdr:to>
      <xdr:col>13</xdr:col>
      <xdr:colOff>606427</xdr:colOff>
      <xdr:row>18</xdr:row>
      <xdr:rowOff>105841</xdr:rowOff>
    </xdr:to>
    <xdr:sp macro="" textlink="">
      <xdr:nvSpPr>
        <xdr:cNvPr id="38" name="Fluxograma: Processo Alternativo 37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9518652" y="2968633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OPEX</a:t>
          </a:r>
          <a:r>
            <a:rPr lang="pt-BR" sz="1100" b="1" baseline="0">
              <a:solidFill>
                <a:sysClr val="windowText" lastClr="000000"/>
              </a:solidFill>
            </a:rPr>
            <a:t> - Disposição Final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1175809</xdr:colOff>
      <xdr:row>9</xdr:row>
      <xdr:rowOff>4233</xdr:rowOff>
    </xdr:from>
    <xdr:to>
      <xdr:col>9</xdr:col>
      <xdr:colOff>102659</xdr:colOff>
      <xdr:row>11</xdr:row>
      <xdr:rowOff>147108</xdr:rowOff>
    </xdr:to>
    <xdr:sp macro="" textlink="">
      <xdr:nvSpPr>
        <xdr:cNvPr id="39" name="Fluxograma: Processo Alternativo 38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6488642" y="1676400"/>
          <a:ext cx="1456267" cy="523875"/>
        </a:xfrm>
        <a:prstGeom prst="flowChartAlternateProcess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WACC</a:t>
          </a:r>
        </a:p>
      </xdr:txBody>
    </xdr:sp>
    <xdr:clientData/>
  </xdr:twoCellAnchor>
  <xdr:twoCellAnchor>
    <xdr:from>
      <xdr:col>9</xdr:col>
      <xdr:colOff>164042</xdr:colOff>
      <xdr:row>22</xdr:row>
      <xdr:rowOff>86783</xdr:rowOff>
    </xdr:from>
    <xdr:to>
      <xdr:col>11</xdr:col>
      <xdr:colOff>321733</xdr:colOff>
      <xdr:row>25</xdr:row>
      <xdr:rowOff>39158</xdr:rowOff>
    </xdr:to>
    <xdr:sp macro="" textlink="">
      <xdr:nvSpPr>
        <xdr:cNvPr id="40" name="Fluxograma: Processo Alternativo 39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8006292" y="4235450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CAPEX</a:t>
          </a:r>
          <a:r>
            <a:rPr lang="pt-BR" sz="1100" b="1" baseline="0">
              <a:solidFill>
                <a:sysClr val="windowText" lastClr="000000"/>
              </a:solidFill>
            </a:rPr>
            <a:t> - Coleta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121709</xdr:colOff>
      <xdr:row>9</xdr:row>
      <xdr:rowOff>23282</xdr:rowOff>
    </xdr:from>
    <xdr:to>
      <xdr:col>16</xdr:col>
      <xdr:colOff>533401</xdr:colOff>
      <xdr:row>11</xdr:row>
      <xdr:rowOff>166157</xdr:rowOff>
    </xdr:to>
    <xdr:sp macro="" textlink="">
      <xdr:nvSpPr>
        <xdr:cNvPr id="41" name="Fluxograma: Processo Alternativo 4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1033126" y="1695449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</a:rPr>
            <a:t>OPEX - Socioambiental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0</xdr:colOff>
      <xdr:row>58</xdr:row>
      <xdr:rowOff>0</xdr:rowOff>
    </xdr:from>
    <xdr:to>
      <xdr:col>2</xdr:col>
      <xdr:colOff>1111250</xdr:colOff>
      <xdr:row>61</xdr:row>
      <xdr:rowOff>57151</xdr:rowOff>
    </xdr:to>
    <xdr:sp macro="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48167" y="9969500"/>
          <a:ext cx="1936750" cy="628651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TESTE DE SENSIBILIDADE</a:t>
          </a:r>
        </a:p>
      </xdr:txBody>
    </xdr:sp>
    <xdr:clientData/>
  </xdr:twoCellAnchor>
  <xdr:twoCellAnchor>
    <xdr:from>
      <xdr:col>1</xdr:col>
      <xdr:colOff>63500</xdr:colOff>
      <xdr:row>61</xdr:row>
      <xdr:rowOff>127001</xdr:rowOff>
    </xdr:from>
    <xdr:to>
      <xdr:col>2</xdr:col>
      <xdr:colOff>1090083</xdr:colOff>
      <xdr:row>68</xdr:row>
      <xdr:rowOff>169333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211667" y="10668001"/>
          <a:ext cx="1852083" cy="1375832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306916</xdr:colOff>
      <xdr:row>63</xdr:row>
      <xdr:rowOff>137583</xdr:rowOff>
    </xdr:from>
    <xdr:to>
      <xdr:col>2</xdr:col>
      <xdr:colOff>866774</xdr:colOff>
      <xdr:row>66</xdr:row>
      <xdr:rowOff>89958</xdr:rowOff>
    </xdr:to>
    <xdr:sp macro="" textlink="">
      <xdr:nvSpPr>
        <xdr:cNvPr id="45" name="Fluxograma: Processo Alternativo 44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455083" y="11059583"/>
          <a:ext cx="1385358" cy="523875"/>
        </a:xfrm>
        <a:prstGeom prst="flowChartAlternateProcess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Sensibilidade</a:t>
          </a:r>
        </a:p>
      </xdr:txBody>
    </xdr:sp>
    <xdr:clientData/>
  </xdr:twoCellAnchor>
  <xdr:twoCellAnchor>
    <xdr:from>
      <xdr:col>2</xdr:col>
      <xdr:colOff>1195916</xdr:colOff>
      <xdr:row>57</xdr:row>
      <xdr:rowOff>179917</xdr:rowOff>
    </xdr:from>
    <xdr:to>
      <xdr:col>4</xdr:col>
      <xdr:colOff>116416</xdr:colOff>
      <xdr:row>61</xdr:row>
      <xdr:rowOff>46568</xdr:rowOff>
    </xdr:to>
    <xdr:sp macro="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2169583" y="10001250"/>
          <a:ext cx="1936750" cy="628651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INSTRUÇÕES</a:t>
          </a:r>
        </a:p>
      </xdr:txBody>
    </xdr:sp>
    <xdr:clientData/>
  </xdr:twoCellAnchor>
  <xdr:twoCellAnchor>
    <xdr:from>
      <xdr:col>2</xdr:col>
      <xdr:colOff>1217083</xdr:colOff>
      <xdr:row>61</xdr:row>
      <xdr:rowOff>137584</xdr:rowOff>
    </xdr:from>
    <xdr:to>
      <xdr:col>4</xdr:col>
      <xdr:colOff>52916</xdr:colOff>
      <xdr:row>68</xdr:row>
      <xdr:rowOff>179916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2190750" y="10720917"/>
          <a:ext cx="1852083" cy="1375832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1481666</xdr:colOff>
      <xdr:row>63</xdr:row>
      <xdr:rowOff>116416</xdr:rowOff>
    </xdr:from>
    <xdr:to>
      <xdr:col>3</xdr:col>
      <xdr:colOff>1226608</xdr:colOff>
      <xdr:row>66</xdr:row>
      <xdr:rowOff>68791</xdr:rowOff>
    </xdr:to>
    <xdr:sp macro="" textlink="">
      <xdr:nvSpPr>
        <xdr:cNvPr id="48" name="Fluxograma: Processo Alternativo 4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2455333" y="11080749"/>
          <a:ext cx="1385358" cy="523875"/>
        </a:xfrm>
        <a:prstGeom prst="flowChartAlternateProcess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Instruções</a:t>
          </a:r>
        </a:p>
      </xdr:txBody>
    </xdr:sp>
    <xdr:clientData/>
  </xdr:twoCellAnchor>
  <xdr:twoCellAnchor>
    <xdr:from>
      <xdr:col>14</xdr:col>
      <xdr:colOff>137583</xdr:colOff>
      <xdr:row>15</xdr:row>
      <xdr:rowOff>148166</xdr:rowOff>
    </xdr:from>
    <xdr:to>
      <xdr:col>16</xdr:col>
      <xdr:colOff>549275</xdr:colOff>
      <xdr:row>18</xdr:row>
      <xdr:rowOff>100541</xdr:rowOff>
    </xdr:to>
    <xdr:sp macro="" textlink="">
      <xdr:nvSpPr>
        <xdr:cNvPr id="2" name="Fluxograma: Processo Alternativo 1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461750" y="2963333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</a:rPr>
            <a:t>Seguros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804334</xdr:colOff>
      <xdr:row>15</xdr:row>
      <xdr:rowOff>94194</xdr:rowOff>
    </xdr:from>
    <xdr:to>
      <xdr:col>5</xdr:col>
      <xdr:colOff>175684</xdr:colOff>
      <xdr:row>18</xdr:row>
      <xdr:rowOff>46569</xdr:rowOff>
    </xdr:to>
    <xdr:sp macro="" textlink="">
      <xdr:nvSpPr>
        <xdr:cNvPr id="3" name="Fluxograma: Processo Alternativo 2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418417" y="2909361"/>
          <a:ext cx="1456267" cy="523875"/>
        </a:xfrm>
        <a:prstGeom prst="flowChartAlternateProcess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Value</a:t>
          </a:r>
          <a:r>
            <a:rPr lang="pt-BR" sz="1100" b="1" baseline="0">
              <a:solidFill>
                <a:sysClr val="windowText" lastClr="000000"/>
              </a:solidFill>
            </a:rPr>
            <a:t> for Money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225424</xdr:colOff>
      <xdr:row>18</xdr:row>
      <xdr:rowOff>123823</xdr:rowOff>
    </xdr:from>
    <xdr:to>
      <xdr:col>2</xdr:col>
      <xdr:colOff>777874</xdr:colOff>
      <xdr:row>21</xdr:row>
      <xdr:rowOff>76198</xdr:rowOff>
    </xdr:to>
    <xdr:sp macro="" textlink="">
      <xdr:nvSpPr>
        <xdr:cNvPr id="4" name="Fluxograma: Processo Alternativo 3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73591" y="3510490"/>
          <a:ext cx="1377950" cy="523875"/>
        </a:xfrm>
        <a:prstGeom prst="flowChartAlternateProcess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1"/>
              </a:solidFill>
              <a:latin typeface="+mn-lt"/>
              <a:ea typeface="+mn-ea"/>
              <a:cs typeface="+mn-cs"/>
            </a:rPr>
            <a:t>Balanço de Massa</a:t>
          </a:r>
        </a:p>
      </xdr:txBody>
    </xdr:sp>
    <xdr:clientData/>
  </xdr:twoCellAnchor>
  <xdr:twoCellAnchor>
    <xdr:from>
      <xdr:col>1</xdr:col>
      <xdr:colOff>229658</xdr:colOff>
      <xdr:row>21</xdr:row>
      <xdr:rowOff>180973</xdr:rowOff>
    </xdr:from>
    <xdr:to>
      <xdr:col>2</xdr:col>
      <xdr:colOff>782108</xdr:colOff>
      <xdr:row>24</xdr:row>
      <xdr:rowOff>133348</xdr:rowOff>
    </xdr:to>
    <xdr:sp macro="" textlink="">
      <xdr:nvSpPr>
        <xdr:cNvPr id="15" name="Fluxograma: Processo Alternativo 1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7825" y="4139140"/>
          <a:ext cx="1377950" cy="523875"/>
        </a:xfrm>
        <a:prstGeom prst="flowChartAlternateProcess">
          <a:avLst/>
        </a:prstGeom>
        <a:solidFill>
          <a:schemeClr val="accent1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100" b="1">
              <a:solidFill>
                <a:schemeClr val="bg1"/>
              </a:solidFill>
              <a:latin typeface="+mn-lt"/>
              <a:ea typeface="+mn-ea"/>
              <a:cs typeface="+mn-cs"/>
            </a:rPr>
            <a:t>Modelo Tarifário</a:t>
          </a:r>
        </a:p>
      </xdr:txBody>
    </xdr:sp>
    <xdr:clientData/>
  </xdr:twoCellAnchor>
  <xdr:twoCellAnchor>
    <xdr:from>
      <xdr:col>3</xdr:col>
      <xdr:colOff>819151</xdr:colOff>
      <xdr:row>18</xdr:row>
      <xdr:rowOff>151344</xdr:rowOff>
    </xdr:from>
    <xdr:to>
      <xdr:col>5</xdr:col>
      <xdr:colOff>190501</xdr:colOff>
      <xdr:row>21</xdr:row>
      <xdr:rowOff>103719</xdr:rowOff>
    </xdr:to>
    <xdr:sp macro="" textlink="">
      <xdr:nvSpPr>
        <xdr:cNvPr id="16" name="Fluxograma: Processo Alternativo 15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3433234" y="3538011"/>
          <a:ext cx="1456267" cy="523875"/>
        </a:xfrm>
        <a:prstGeom prst="flowChartAlternateProcess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Comprometimento RCL</a:t>
          </a:r>
        </a:p>
      </xdr:txBody>
    </xdr:sp>
    <xdr:clientData/>
  </xdr:twoCellAnchor>
  <xdr:twoCellAnchor>
    <xdr:from>
      <xdr:col>3</xdr:col>
      <xdr:colOff>841376</xdr:colOff>
      <xdr:row>22</xdr:row>
      <xdr:rowOff>44449</xdr:rowOff>
    </xdr:from>
    <xdr:to>
      <xdr:col>5</xdr:col>
      <xdr:colOff>212726</xdr:colOff>
      <xdr:row>24</xdr:row>
      <xdr:rowOff>187324</xdr:rowOff>
    </xdr:to>
    <xdr:sp macro="" textlink="">
      <xdr:nvSpPr>
        <xdr:cNvPr id="21" name="Fluxograma: Processo Alternativo 20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3455459" y="4193116"/>
          <a:ext cx="1456267" cy="523875"/>
        </a:xfrm>
        <a:prstGeom prst="flowChartAlternateProcess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ICSD</a:t>
          </a:r>
        </a:p>
      </xdr:txBody>
    </xdr:sp>
    <xdr:clientData/>
  </xdr:twoCellAnchor>
  <xdr:twoCellAnchor>
    <xdr:from>
      <xdr:col>14</xdr:col>
      <xdr:colOff>152399</xdr:colOff>
      <xdr:row>19</xdr:row>
      <xdr:rowOff>25399</xdr:rowOff>
    </xdr:from>
    <xdr:to>
      <xdr:col>16</xdr:col>
      <xdr:colOff>564091</xdr:colOff>
      <xdr:row>21</xdr:row>
      <xdr:rowOff>168274</xdr:rowOff>
    </xdr:to>
    <xdr:sp macro="" textlink="">
      <xdr:nvSpPr>
        <xdr:cNvPr id="27" name="Fluxograma: Processo Alternativo 26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1476566" y="3602566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</a:rPr>
            <a:t>Instrumentos Financeiros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141821</xdr:colOff>
      <xdr:row>12</xdr:row>
      <xdr:rowOff>88897</xdr:rowOff>
    </xdr:from>
    <xdr:to>
      <xdr:col>16</xdr:col>
      <xdr:colOff>553513</xdr:colOff>
      <xdr:row>15</xdr:row>
      <xdr:rowOff>41272</xdr:rowOff>
    </xdr:to>
    <xdr:sp macro="" textlink="">
      <xdr:nvSpPr>
        <xdr:cNvPr id="11" name="Fluxograma: Processo Alternativo 10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291B0268-62CA-4F46-ADF1-20FA59133CD5}"/>
            </a:ext>
          </a:extLst>
        </xdr:cNvPr>
        <xdr:cNvSpPr/>
      </xdr:nvSpPr>
      <xdr:spPr>
        <a:xfrm>
          <a:off x="11465988" y="2332564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OPEX-CISPAR</a:t>
          </a:r>
        </a:p>
      </xdr:txBody>
    </xdr:sp>
    <xdr:clientData/>
  </xdr:twoCellAnchor>
  <xdr:twoCellAnchor>
    <xdr:from>
      <xdr:col>9</xdr:col>
      <xdr:colOff>206376</xdr:colOff>
      <xdr:row>25</xdr:row>
      <xdr:rowOff>150283</xdr:rowOff>
    </xdr:from>
    <xdr:to>
      <xdr:col>11</xdr:col>
      <xdr:colOff>364067</xdr:colOff>
      <xdr:row>28</xdr:row>
      <xdr:rowOff>102658</xdr:rowOff>
    </xdr:to>
    <xdr:sp macro="" textlink="">
      <xdr:nvSpPr>
        <xdr:cNvPr id="42" name="Fluxograma: Processo Alternativo 41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1DFDE2F-624A-4AA5-B4AB-57B98A12DBF0}"/>
            </a:ext>
          </a:extLst>
        </xdr:cNvPr>
        <xdr:cNvSpPr/>
      </xdr:nvSpPr>
      <xdr:spPr>
        <a:xfrm>
          <a:off x="8461376" y="4870450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CAPEX</a:t>
          </a:r>
          <a:r>
            <a:rPr lang="pt-BR" sz="1100" b="1" baseline="0">
              <a:solidFill>
                <a:sysClr val="windowText" lastClr="000000"/>
              </a:solidFill>
            </a:rPr>
            <a:t> - Anexo 6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475192</xdr:colOff>
      <xdr:row>25</xdr:row>
      <xdr:rowOff>143933</xdr:rowOff>
    </xdr:from>
    <xdr:to>
      <xdr:col>14</xdr:col>
      <xdr:colOff>19050</xdr:colOff>
      <xdr:row>28</xdr:row>
      <xdr:rowOff>96308</xdr:rowOff>
    </xdr:to>
    <xdr:sp macro="" textlink="">
      <xdr:nvSpPr>
        <xdr:cNvPr id="49" name="Fluxograma: Processo Alternativo 4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AAD954F-9D03-49B7-8570-8CFCB8C67A72}"/>
            </a:ext>
          </a:extLst>
        </xdr:cNvPr>
        <xdr:cNvSpPr/>
      </xdr:nvSpPr>
      <xdr:spPr>
        <a:xfrm>
          <a:off x="9957859" y="4864100"/>
          <a:ext cx="1385358" cy="523875"/>
        </a:xfrm>
        <a:prstGeom prst="flowChartAlternateProcess">
          <a:avLst/>
        </a:prstGeom>
        <a:solidFill>
          <a:schemeClr val="accent3">
            <a:lumMod val="20000"/>
            <a:lumOff val="8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</a:rPr>
            <a:t>OPEX - Anexo 6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5198</xdr:colOff>
      <xdr:row>178</xdr:row>
      <xdr:rowOff>95251</xdr:rowOff>
    </xdr:from>
    <xdr:to>
      <xdr:col>3</xdr:col>
      <xdr:colOff>238994</xdr:colOff>
      <xdr:row>180</xdr:row>
      <xdr:rowOff>26844</xdr:rowOff>
    </xdr:to>
    <xdr:sp macro="" textlink="">
      <xdr:nvSpPr>
        <xdr:cNvPr id="7" name="Retângulo: Cantos Arredondados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29023" y="32975551"/>
          <a:ext cx="1024371" cy="3125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199</xdr:row>
      <xdr:rowOff>152400</xdr:rowOff>
    </xdr:from>
    <xdr:to>
      <xdr:col>12</xdr:col>
      <xdr:colOff>560334</xdr:colOff>
      <xdr:row>210</xdr:row>
      <xdr:rowOff>131383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F2F856FB-0FAB-49DC-AA45-6C7967EDBDDE}"/>
            </a:ext>
          </a:extLst>
        </xdr:cNvPr>
        <xdr:cNvSpPr/>
      </xdr:nvSpPr>
      <xdr:spPr>
        <a:xfrm>
          <a:off x="161925" y="45948600"/>
          <a:ext cx="4837059" cy="2074483"/>
        </a:xfrm>
        <a:prstGeom prst="rect">
          <a:avLst/>
        </a:prstGeom>
        <a:solidFill>
          <a:schemeClr val="bg2"/>
        </a:solidFill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11</xdr:col>
      <xdr:colOff>200216</xdr:colOff>
      <xdr:row>8</xdr:row>
      <xdr:rowOff>171353</xdr:rowOff>
    </xdr:from>
    <xdr:to>
      <xdr:col>13</xdr:col>
      <xdr:colOff>523875</xdr:colOff>
      <xdr:row>11</xdr:row>
      <xdr:rowOff>100416</xdr:rowOff>
    </xdr:to>
    <xdr:sp macro="" textlink="">
      <xdr:nvSpPr>
        <xdr:cNvPr id="3" name="CaixaDeTexto 220">
          <a:extLst>
            <a:ext uri="{FF2B5EF4-FFF2-40B4-BE49-F238E27FC236}">
              <a16:creationId xmlns:a16="http://schemas.microsoft.com/office/drawing/2014/main" id="{893AC4BF-1BF5-4DA1-A487-292FE01B92EE}"/>
            </a:ext>
          </a:extLst>
        </xdr:cNvPr>
        <xdr:cNvSpPr txBox="1"/>
      </xdr:nvSpPr>
      <xdr:spPr>
        <a:xfrm>
          <a:off x="4381691" y="2657378"/>
          <a:ext cx="1190434" cy="500563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ETR-01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(Arapuá)</a:t>
          </a:r>
        </a:p>
      </xdr:txBody>
    </xdr:sp>
    <xdr:clientData/>
  </xdr:twoCellAnchor>
  <xdr:twoCellAnchor>
    <xdr:from>
      <xdr:col>11</xdr:col>
      <xdr:colOff>152591</xdr:colOff>
      <xdr:row>17</xdr:row>
      <xdr:rowOff>38100</xdr:rowOff>
    </xdr:from>
    <xdr:to>
      <xdr:col>13</xdr:col>
      <xdr:colOff>514350</xdr:colOff>
      <xdr:row>20</xdr:row>
      <xdr:rowOff>95249</xdr:rowOff>
    </xdr:to>
    <xdr:sp macro="" textlink="">
      <xdr:nvSpPr>
        <xdr:cNvPr id="4" name="CaixaDeTexto 221">
          <a:extLst>
            <a:ext uri="{FF2B5EF4-FFF2-40B4-BE49-F238E27FC236}">
              <a16:creationId xmlns:a16="http://schemas.microsoft.com/office/drawing/2014/main" id="{8A0CD345-EC6A-4EF1-9F0C-5E3AB7408E44}"/>
            </a:ext>
          </a:extLst>
        </xdr:cNvPr>
        <xdr:cNvSpPr txBox="1"/>
      </xdr:nvSpPr>
      <xdr:spPr>
        <a:xfrm>
          <a:off x="4334066" y="1190625"/>
          <a:ext cx="1228534" cy="628649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ETR-02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(Coromandel)</a:t>
          </a:r>
        </a:p>
      </xdr:txBody>
    </xdr:sp>
    <xdr:clientData/>
  </xdr:twoCellAnchor>
  <xdr:twoCellAnchor>
    <xdr:from>
      <xdr:col>11</xdr:col>
      <xdr:colOff>209741</xdr:colOff>
      <xdr:row>25</xdr:row>
      <xdr:rowOff>36354</xdr:rowOff>
    </xdr:from>
    <xdr:to>
      <xdr:col>13</xdr:col>
      <xdr:colOff>542925</xdr:colOff>
      <xdr:row>27</xdr:row>
      <xdr:rowOff>155917</xdr:rowOff>
    </xdr:to>
    <xdr:sp macro="" textlink="">
      <xdr:nvSpPr>
        <xdr:cNvPr id="5" name="CaixaDeTexto 222">
          <a:extLst>
            <a:ext uri="{FF2B5EF4-FFF2-40B4-BE49-F238E27FC236}">
              <a16:creationId xmlns:a16="http://schemas.microsoft.com/office/drawing/2014/main" id="{5FB4E842-D0E4-4299-ABDC-6D0FD6010336}"/>
            </a:ext>
          </a:extLst>
        </xdr:cNvPr>
        <xdr:cNvSpPr txBox="1"/>
      </xdr:nvSpPr>
      <xdr:spPr>
        <a:xfrm>
          <a:off x="4391216" y="5570379"/>
          <a:ext cx="1199959" cy="500563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ETR-03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(Guimarânia)</a:t>
          </a:r>
        </a:p>
      </xdr:txBody>
    </xdr:sp>
    <xdr:clientData/>
  </xdr:twoCellAnchor>
  <xdr:twoCellAnchor>
    <xdr:from>
      <xdr:col>11</xdr:col>
      <xdr:colOff>120141</xdr:colOff>
      <xdr:row>35</xdr:row>
      <xdr:rowOff>1319</xdr:rowOff>
    </xdr:from>
    <xdr:to>
      <xdr:col>13</xdr:col>
      <xdr:colOff>552450</xdr:colOff>
      <xdr:row>37</xdr:row>
      <xdr:rowOff>120882</xdr:rowOff>
    </xdr:to>
    <xdr:sp macro="" textlink="">
      <xdr:nvSpPr>
        <xdr:cNvPr id="6" name="CaixaDeTexto 223">
          <a:extLst>
            <a:ext uri="{FF2B5EF4-FFF2-40B4-BE49-F238E27FC236}">
              <a16:creationId xmlns:a16="http://schemas.microsoft.com/office/drawing/2014/main" id="{2972BC03-9EF6-4FE3-9FF9-A1D11EC49919}"/>
            </a:ext>
          </a:extLst>
        </xdr:cNvPr>
        <xdr:cNvSpPr txBox="1"/>
      </xdr:nvSpPr>
      <xdr:spPr>
        <a:xfrm>
          <a:off x="4301616" y="7821344"/>
          <a:ext cx="1299084" cy="500563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ETR-05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(Patos</a:t>
          </a:r>
          <a:r>
            <a:rPr lang="pt-BR" sz="1100" baseline="0">
              <a:solidFill>
                <a:prstClr val="black"/>
              </a:solidFill>
            </a:rPr>
            <a:t> de Minas</a:t>
          </a:r>
          <a:r>
            <a:rPr lang="pt-BR" sz="1100">
              <a:solidFill>
                <a:prstClr val="black"/>
              </a:solidFill>
            </a:rPr>
            <a:t>)</a:t>
          </a:r>
        </a:p>
      </xdr:txBody>
    </xdr:sp>
    <xdr:clientData/>
  </xdr:twoCellAnchor>
  <xdr:twoCellAnchor>
    <xdr:from>
      <xdr:col>22</xdr:col>
      <xdr:colOff>457200</xdr:colOff>
      <xdr:row>22</xdr:row>
      <xdr:rowOff>64319</xdr:rowOff>
    </xdr:from>
    <xdr:to>
      <xdr:col>25</xdr:col>
      <xdr:colOff>200025</xdr:colOff>
      <xdr:row>27</xdr:row>
      <xdr:rowOff>124711</xdr:rowOff>
    </xdr:to>
    <xdr:sp macro="" textlink="">
      <xdr:nvSpPr>
        <xdr:cNvPr id="7" name="CaixaDeTexto 232">
          <a:extLst>
            <a:ext uri="{FF2B5EF4-FFF2-40B4-BE49-F238E27FC236}">
              <a16:creationId xmlns:a16="http://schemas.microsoft.com/office/drawing/2014/main" id="{21436D4F-A1D6-4447-930E-59BFF4FF2E98}"/>
            </a:ext>
          </a:extLst>
        </xdr:cNvPr>
        <xdr:cNvSpPr txBox="1"/>
      </xdr:nvSpPr>
      <xdr:spPr>
        <a:xfrm>
          <a:off x="10391775" y="5026844"/>
          <a:ext cx="1895475" cy="1012892"/>
        </a:xfrm>
        <a:prstGeom prst="flowChartTerminator">
          <a:avLst/>
        </a:prstGeom>
        <a:solidFill>
          <a:srgbClr val="FF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33" b="1">
              <a:solidFill>
                <a:schemeClr val="bg1"/>
              </a:solidFill>
            </a:rPr>
            <a:t>Aterro Sanitário</a:t>
          </a:r>
          <a:r>
            <a:rPr lang="pt-BR" sz="1333" b="1" baseline="0">
              <a:solidFill>
                <a:schemeClr val="bg1"/>
              </a:solidFill>
            </a:rPr>
            <a:t> de Uberlância</a:t>
          </a:r>
        </a:p>
      </xdr:txBody>
    </xdr:sp>
    <xdr:clientData/>
  </xdr:twoCellAnchor>
  <xdr:twoCellAnchor>
    <xdr:from>
      <xdr:col>8</xdr:col>
      <xdr:colOff>0</xdr:colOff>
      <xdr:row>9</xdr:row>
      <xdr:rowOff>180975</xdr:rowOff>
    </xdr:from>
    <xdr:to>
      <xdr:col>11</xdr:col>
      <xdr:colOff>180975</xdr:colOff>
      <xdr:row>9</xdr:row>
      <xdr:rowOff>180975</xdr:rowOff>
    </xdr:to>
    <xdr:cxnSp macro="">
      <xdr:nvCxnSpPr>
        <xdr:cNvPr id="8" name="Conector de Seta Reta 7">
          <a:extLst>
            <a:ext uri="{FF2B5EF4-FFF2-40B4-BE49-F238E27FC236}">
              <a16:creationId xmlns:a16="http://schemas.microsoft.com/office/drawing/2014/main" id="{0D5395A8-4AFC-4FCD-889A-9B77FC29D6A0}"/>
            </a:ext>
          </a:extLst>
        </xdr:cNvPr>
        <xdr:cNvCxnSpPr/>
      </xdr:nvCxnSpPr>
      <xdr:spPr>
        <a:xfrm>
          <a:off x="3162300" y="2857500"/>
          <a:ext cx="12001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11</xdr:row>
      <xdr:rowOff>19050</xdr:rowOff>
    </xdr:from>
    <xdr:to>
      <xdr:col>11</xdr:col>
      <xdr:colOff>161925</xdr:colOff>
      <xdr:row>11</xdr:row>
      <xdr:rowOff>28575</xdr:rowOff>
    </xdr:to>
    <xdr:cxnSp macro="">
      <xdr:nvCxnSpPr>
        <xdr:cNvPr id="9" name="Conector de Seta Reta 8">
          <a:extLst>
            <a:ext uri="{FF2B5EF4-FFF2-40B4-BE49-F238E27FC236}">
              <a16:creationId xmlns:a16="http://schemas.microsoft.com/office/drawing/2014/main" id="{29EA44CA-BA3E-4FF4-A408-B8D1272FAC82}"/>
            </a:ext>
          </a:extLst>
        </xdr:cNvPr>
        <xdr:cNvCxnSpPr/>
      </xdr:nvCxnSpPr>
      <xdr:spPr>
        <a:xfrm flipV="1">
          <a:off x="3162300" y="3076575"/>
          <a:ext cx="118110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18</xdr:row>
      <xdr:rowOff>19050</xdr:rowOff>
    </xdr:from>
    <xdr:to>
      <xdr:col>11</xdr:col>
      <xdr:colOff>161925</xdr:colOff>
      <xdr:row>18</xdr:row>
      <xdr:rowOff>28575</xdr:rowOff>
    </xdr:to>
    <xdr:cxnSp macro="">
      <xdr:nvCxnSpPr>
        <xdr:cNvPr id="10" name="Conector de Seta Reta 9">
          <a:extLst>
            <a:ext uri="{FF2B5EF4-FFF2-40B4-BE49-F238E27FC236}">
              <a16:creationId xmlns:a16="http://schemas.microsoft.com/office/drawing/2014/main" id="{FD9EC208-0F30-48D7-9D5C-B422DE36CF7F}"/>
            </a:ext>
          </a:extLst>
        </xdr:cNvPr>
        <xdr:cNvCxnSpPr/>
      </xdr:nvCxnSpPr>
      <xdr:spPr>
        <a:xfrm>
          <a:off x="3171825" y="1362075"/>
          <a:ext cx="117157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19</xdr:row>
      <xdr:rowOff>47625</xdr:rowOff>
    </xdr:from>
    <xdr:to>
      <xdr:col>11</xdr:col>
      <xdr:colOff>171450</xdr:colOff>
      <xdr:row>19</xdr:row>
      <xdr:rowOff>57150</xdr:rowOff>
    </xdr:to>
    <xdr:cxnSp macro="">
      <xdr:nvCxnSpPr>
        <xdr:cNvPr id="11" name="Conector de Seta Reta 10">
          <a:extLst>
            <a:ext uri="{FF2B5EF4-FFF2-40B4-BE49-F238E27FC236}">
              <a16:creationId xmlns:a16="http://schemas.microsoft.com/office/drawing/2014/main" id="{F7EC7637-2695-43D9-A63A-74913D9F6CA8}"/>
            </a:ext>
          </a:extLst>
        </xdr:cNvPr>
        <xdr:cNvCxnSpPr/>
      </xdr:nvCxnSpPr>
      <xdr:spPr>
        <a:xfrm>
          <a:off x="3171825" y="1581150"/>
          <a:ext cx="118110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9525</xdr:rowOff>
    </xdr:from>
    <xdr:to>
      <xdr:col>11</xdr:col>
      <xdr:colOff>200025</xdr:colOff>
      <xdr:row>26</xdr:row>
      <xdr:rowOff>19050</xdr:rowOff>
    </xdr:to>
    <xdr:cxnSp macro="">
      <xdr:nvCxnSpPr>
        <xdr:cNvPr id="12" name="Conector de Seta Reta 11">
          <a:extLst>
            <a:ext uri="{FF2B5EF4-FFF2-40B4-BE49-F238E27FC236}">
              <a16:creationId xmlns:a16="http://schemas.microsoft.com/office/drawing/2014/main" id="{D544D378-EDCC-4670-8CA8-90749F0517ED}"/>
            </a:ext>
          </a:extLst>
        </xdr:cNvPr>
        <xdr:cNvCxnSpPr/>
      </xdr:nvCxnSpPr>
      <xdr:spPr>
        <a:xfrm flipV="1">
          <a:off x="3162300" y="5734050"/>
          <a:ext cx="121920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27</xdr:row>
      <xdr:rowOff>47625</xdr:rowOff>
    </xdr:from>
    <xdr:to>
      <xdr:col>11</xdr:col>
      <xdr:colOff>200025</xdr:colOff>
      <xdr:row>27</xdr:row>
      <xdr:rowOff>57150</xdr:rowOff>
    </xdr:to>
    <xdr:cxnSp macro="">
      <xdr:nvCxnSpPr>
        <xdr:cNvPr id="13" name="Conector de Seta Reta 12">
          <a:extLst>
            <a:ext uri="{FF2B5EF4-FFF2-40B4-BE49-F238E27FC236}">
              <a16:creationId xmlns:a16="http://schemas.microsoft.com/office/drawing/2014/main" id="{29732261-FB1A-439B-B0EE-3B6D37F7712D}"/>
            </a:ext>
          </a:extLst>
        </xdr:cNvPr>
        <xdr:cNvCxnSpPr/>
      </xdr:nvCxnSpPr>
      <xdr:spPr>
        <a:xfrm flipV="1">
          <a:off x="3162300" y="5962650"/>
          <a:ext cx="121920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35</xdr:row>
      <xdr:rowOff>171450</xdr:rowOff>
    </xdr:from>
    <xdr:to>
      <xdr:col>11</xdr:col>
      <xdr:colOff>114300</xdr:colOff>
      <xdr:row>35</xdr:row>
      <xdr:rowOff>180975</xdr:rowOff>
    </xdr:to>
    <xdr:cxnSp macro="">
      <xdr:nvCxnSpPr>
        <xdr:cNvPr id="14" name="Conector de Seta Reta 13">
          <a:extLst>
            <a:ext uri="{FF2B5EF4-FFF2-40B4-BE49-F238E27FC236}">
              <a16:creationId xmlns:a16="http://schemas.microsoft.com/office/drawing/2014/main" id="{2AB06164-667F-4472-81FD-F1007734EC87}"/>
            </a:ext>
          </a:extLst>
        </xdr:cNvPr>
        <xdr:cNvCxnSpPr/>
      </xdr:nvCxnSpPr>
      <xdr:spPr>
        <a:xfrm flipV="1">
          <a:off x="3162300" y="7991475"/>
          <a:ext cx="113347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36</xdr:row>
      <xdr:rowOff>161925</xdr:rowOff>
    </xdr:from>
    <xdr:to>
      <xdr:col>11</xdr:col>
      <xdr:colOff>142875</xdr:colOff>
      <xdr:row>36</xdr:row>
      <xdr:rowOff>171450</xdr:rowOff>
    </xdr:to>
    <xdr:cxnSp macro="">
      <xdr:nvCxnSpPr>
        <xdr:cNvPr id="15" name="Conector de Seta Reta 14">
          <a:extLst>
            <a:ext uri="{FF2B5EF4-FFF2-40B4-BE49-F238E27FC236}">
              <a16:creationId xmlns:a16="http://schemas.microsoft.com/office/drawing/2014/main" id="{4215EA8B-B4F9-4A5F-A916-BFD49ADF3396}"/>
            </a:ext>
          </a:extLst>
        </xdr:cNvPr>
        <xdr:cNvCxnSpPr/>
      </xdr:nvCxnSpPr>
      <xdr:spPr>
        <a:xfrm flipV="1">
          <a:off x="3171825" y="8172450"/>
          <a:ext cx="11525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25</xdr:row>
      <xdr:rowOff>19050</xdr:rowOff>
    </xdr:from>
    <xdr:to>
      <xdr:col>21</xdr:col>
      <xdr:colOff>581025</xdr:colOff>
      <xdr:row>25</xdr:row>
      <xdr:rowOff>28575</xdr:rowOff>
    </xdr:to>
    <xdr:cxnSp macro="">
      <xdr:nvCxnSpPr>
        <xdr:cNvPr id="16" name="Conector de Seta Reta 15">
          <a:extLst>
            <a:ext uri="{FF2B5EF4-FFF2-40B4-BE49-F238E27FC236}">
              <a16:creationId xmlns:a16="http://schemas.microsoft.com/office/drawing/2014/main" id="{7C57C3E8-8D6E-42C1-A9F1-E287DA23CE21}"/>
            </a:ext>
          </a:extLst>
        </xdr:cNvPr>
        <xdr:cNvCxnSpPr/>
      </xdr:nvCxnSpPr>
      <xdr:spPr>
        <a:xfrm>
          <a:off x="5915025" y="6505575"/>
          <a:ext cx="426720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247650</xdr:colOff>
      <xdr:row>27</xdr:row>
      <xdr:rowOff>76200</xdr:rowOff>
    </xdr:from>
    <xdr:to>
      <xdr:col>21</xdr:col>
      <xdr:colOff>581025</xdr:colOff>
      <xdr:row>27</xdr:row>
      <xdr:rowOff>85725</xdr:rowOff>
    </xdr:to>
    <xdr:cxnSp macro="">
      <xdr:nvCxnSpPr>
        <xdr:cNvPr id="17" name="Conector de Seta Reta 16">
          <a:extLst>
            <a:ext uri="{FF2B5EF4-FFF2-40B4-BE49-F238E27FC236}">
              <a16:creationId xmlns:a16="http://schemas.microsoft.com/office/drawing/2014/main" id="{A9FE31EE-BDFD-4D4B-A21E-81886F833983}"/>
            </a:ext>
          </a:extLst>
        </xdr:cNvPr>
        <xdr:cNvCxnSpPr/>
      </xdr:nvCxnSpPr>
      <xdr:spPr>
        <a:xfrm>
          <a:off x="5905500" y="6943725"/>
          <a:ext cx="42767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10</xdr:row>
      <xdr:rowOff>180975</xdr:rowOff>
    </xdr:from>
    <xdr:to>
      <xdr:col>5</xdr:col>
      <xdr:colOff>566437</xdr:colOff>
      <xdr:row>12</xdr:row>
      <xdr:rowOff>38338</xdr:rowOff>
    </xdr:to>
    <xdr:sp macro="" textlink="">
      <xdr:nvSpPr>
        <xdr:cNvPr id="18" name="CaixaDeTexto 260">
          <a:extLst>
            <a:ext uri="{FF2B5EF4-FFF2-40B4-BE49-F238E27FC236}">
              <a16:creationId xmlns:a16="http://schemas.microsoft.com/office/drawing/2014/main" id="{D89C7F11-5715-4E94-96FA-6700F08D2E54}"/>
            </a:ext>
          </a:extLst>
        </xdr:cNvPr>
        <xdr:cNvSpPr txBox="1"/>
      </xdr:nvSpPr>
      <xdr:spPr>
        <a:xfrm>
          <a:off x="1438275" y="3048000"/>
          <a:ext cx="385462" cy="2383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UTR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11</xdr:row>
      <xdr:rowOff>109657</xdr:rowOff>
    </xdr:from>
    <xdr:to>
      <xdr:col>5</xdr:col>
      <xdr:colOff>180975</xdr:colOff>
      <xdr:row>11</xdr:row>
      <xdr:rowOff>123825</xdr:rowOff>
    </xdr:to>
    <xdr:cxnSp macro="">
      <xdr:nvCxnSpPr>
        <xdr:cNvPr id="19" name="Conector de Seta Reta 18">
          <a:extLst>
            <a:ext uri="{FF2B5EF4-FFF2-40B4-BE49-F238E27FC236}">
              <a16:creationId xmlns:a16="http://schemas.microsoft.com/office/drawing/2014/main" id="{74069C06-E7C2-41AB-AE9E-8ADE3073EB49}"/>
            </a:ext>
          </a:extLst>
        </xdr:cNvPr>
        <xdr:cNvCxnSpPr>
          <a:endCxn id="18" idx="1"/>
        </xdr:cNvCxnSpPr>
      </xdr:nvCxnSpPr>
      <xdr:spPr>
        <a:xfrm flipV="1">
          <a:off x="1266825" y="3167182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11</xdr:row>
      <xdr:rowOff>114300</xdr:rowOff>
    </xdr:from>
    <xdr:to>
      <xdr:col>6</xdr:col>
      <xdr:colOff>85725</xdr:colOff>
      <xdr:row>11</xdr:row>
      <xdr:rowOff>128468</xdr:rowOff>
    </xdr:to>
    <xdr:cxnSp macro="">
      <xdr:nvCxnSpPr>
        <xdr:cNvPr id="20" name="Conector de Seta Reta 19">
          <a:extLst>
            <a:ext uri="{FF2B5EF4-FFF2-40B4-BE49-F238E27FC236}">
              <a16:creationId xmlns:a16="http://schemas.microsoft.com/office/drawing/2014/main" id="{ABE8E88A-AA02-45F4-832F-8D3CBF58DF7F}"/>
            </a:ext>
          </a:extLst>
        </xdr:cNvPr>
        <xdr:cNvCxnSpPr/>
      </xdr:nvCxnSpPr>
      <xdr:spPr>
        <a:xfrm flipV="1">
          <a:off x="1819275" y="3171825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18</xdr:row>
      <xdr:rowOff>180975</xdr:rowOff>
    </xdr:from>
    <xdr:to>
      <xdr:col>5</xdr:col>
      <xdr:colOff>566437</xdr:colOff>
      <xdr:row>20</xdr:row>
      <xdr:rowOff>38338</xdr:rowOff>
    </xdr:to>
    <xdr:sp macro="" textlink="">
      <xdr:nvSpPr>
        <xdr:cNvPr id="21" name="CaixaDeTexto 260">
          <a:extLst>
            <a:ext uri="{FF2B5EF4-FFF2-40B4-BE49-F238E27FC236}">
              <a16:creationId xmlns:a16="http://schemas.microsoft.com/office/drawing/2014/main" id="{5CD2289C-0CA0-4A99-A34A-28FD2DF3089B}"/>
            </a:ext>
          </a:extLst>
        </xdr:cNvPr>
        <xdr:cNvSpPr txBox="1"/>
      </xdr:nvSpPr>
      <xdr:spPr>
        <a:xfrm>
          <a:off x="1438275" y="1524000"/>
          <a:ext cx="385462" cy="2383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UTR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19</xdr:row>
      <xdr:rowOff>109657</xdr:rowOff>
    </xdr:from>
    <xdr:to>
      <xdr:col>5</xdr:col>
      <xdr:colOff>180975</xdr:colOff>
      <xdr:row>19</xdr:row>
      <xdr:rowOff>123825</xdr:rowOff>
    </xdr:to>
    <xdr:cxnSp macro="">
      <xdr:nvCxnSpPr>
        <xdr:cNvPr id="22" name="Conector de Seta Reta 21">
          <a:extLst>
            <a:ext uri="{FF2B5EF4-FFF2-40B4-BE49-F238E27FC236}">
              <a16:creationId xmlns:a16="http://schemas.microsoft.com/office/drawing/2014/main" id="{4A27AA50-A829-4EC8-9A3C-3BCA44633CE2}"/>
            </a:ext>
          </a:extLst>
        </xdr:cNvPr>
        <xdr:cNvCxnSpPr>
          <a:endCxn id="21" idx="1"/>
        </xdr:cNvCxnSpPr>
      </xdr:nvCxnSpPr>
      <xdr:spPr>
        <a:xfrm flipV="1">
          <a:off x="1266825" y="1643182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600075</xdr:colOff>
      <xdr:row>19</xdr:row>
      <xdr:rowOff>114300</xdr:rowOff>
    </xdr:from>
    <xdr:to>
      <xdr:col>6</xdr:col>
      <xdr:colOff>123825</xdr:colOff>
      <xdr:row>19</xdr:row>
      <xdr:rowOff>128468</xdr:rowOff>
    </xdr:to>
    <xdr:cxnSp macro="">
      <xdr:nvCxnSpPr>
        <xdr:cNvPr id="23" name="Conector de Seta Reta 22">
          <a:extLst>
            <a:ext uri="{FF2B5EF4-FFF2-40B4-BE49-F238E27FC236}">
              <a16:creationId xmlns:a16="http://schemas.microsoft.com/office/drawing/2014/main" id="{9CDA681F-DF31-41DC-98E5-69E27391F8DC}"/>
            </a:ext>
          </a:extLst>
        </xdr:cNvPr>
        <xdr:cNvCxnSpPr/>
      </xdr:nvCxnSpPr>
      <xdr:spPr>
        <a:xfrm flipV="1">
          <a:off x="1857375" y="1647825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191</xdr:colOff>
      <xdr:row>55</xdr:row>
      <xdr:rowOff>104678</xdr:rowOff>
    </xdr:from>
    <xdr:to>
      <xdr:col>13</xdr:col>
      <xdr:colOff>581025</xdr:colOff>
      <xdr:row>58</xdr:row>
      <xdr:rowOff>33741</xdr:rowOff>
    </xdr:to>
    <xdr:sp macro="" textlink="">
      <xdr:nvSpPr>
        <xdr:cNvPr id="24" name="CaixaDeTexto 220">
          <a:extLst>
            <a:ext uri="{FF2B5EF4-FFF2-40B4-BE49-F238E27FC236}">
              <a16:creationId xmlns:a16="http://schemas.microsoft.com/office/drawing/2014/main" id="{335F305B-2827-40CD-B247-0C9EB95FCEB6}"/>
            </a:ext>
          </a:extLst>
        </xdr:cNvPr>
        <xdr:cNvSpPr txBox="1"/>
      </xdr:nvSpPr>
      <xdr:spPr>
        <a:xfrm>
          <a:off x="4438841" y="13182503"/>
          <a:ext cx="1190434" cy="500563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ETR-01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(Arapuá)</a:t>
          </a:r>
        </a:p>
      </xdr:txBody>
    </xdr:sp>
    <xdr:clientData/>
  </xdr:twoCellAnchor>
  <xdr:twoCellAnchor>
    <xdr:from>
      <xdr:col>12</xdr:col>
      <xdr:colOff>191</xdr:colOff>
      <xdr:row>64</xdr:row>
      <xdr:rowOff>13959</xdr:rowOff>
    </xdr:from>
    <xdr:to>
      <xdr:col>14</xdr:col>
      <xdr:colOff>9525</xdr:colOff>
      <xdr:row>67</xdr:row>
      <xdr:rowOff>47624</xdr:rowOff>
    </xdr:to>
    <xdr:sp macro="" textlink="">
      <xdr:nvSpPr>
        <xdr:cNvPr id="25" name="CaixaDeTexto 221">
          <a:extLst>
            <a:ext uri="{FF2B5EF4-FFF2-40B4-BE49-F238E27FC236}">
              <a16:creationId xmlns:a16="http://schemas.microsoft.com/office/drawing/2014/main" id="{48798C64-CDB9-45B0-917D-F70D1FF0BCF1}"/>
            </a:ext>
          </a:extLst>
        </xdr:cNvPr>
        <xdr:cNvSpPr txBox="1"/>
      </xdr:nvSpPr>
      <xdr:spPr>
        <a:xfrm>
          <a:off x="4438841" y="14996784"/>
          <a:ext cx="1228534" cy="605165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ETR-02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(Coromandel)</a:t>
          </a:r>
        </a:p>
      </xdr:txBody>
    </xdr:sp>
    <xdr:clientData/>
  </xdr:twoCellAnchor>
  <xdr:twoCellAnchor>
    <xdr:from>
      <xdr:col>12</xdr:col>
      <xdr:colOff>191</xdr:colOff>
      <xdr:row>71</xdr:row>
      <xdr:rowOff>188754</xdr:rowOff>
    </xdr:from>
    <xdr:to>
      <xdr:col>13</xdr:col>
      <xdr:colOff>590550</xdr:colOff>
      <xdr:row>74</xdr:row>
      <xdr:rowOff>117817</xdr:rowOff>
    </xdr:to>
    <xdr:sp macro="" textlink="">
      <xdr:nvSpPr>
        <xdr:cNvPr id="26" name="CaixaDeTexto 222">
          <a:extLst>
            <a:ext uri="{FF2B5EF4-FFF2-40B4-BE49-F238E27FC236}">
              <a16:creationId xmlns:a16="http://schemas.microsoft.com/office/drawing/2014/main" id="{6B849FE3-5556-4D6B-8E09-DCFEFE18328F}"/>
            </a:ext>
          </a:extLst>
        </xdr:cNvPr>
        <xdr:cNvSpPr txBox="1"/>
      </xdr:nvSpPr>
      <xdr:spPr>
        <a:xfrm>
          <a:off x="4438841" y="16505079"/>
          <a:ext cx="1199959" cy="500563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ETR-03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(Guimarânia)</a:t>
          </a:r>
        </a:p>
      </xdr:txBody>
    </xdr:sp>
    <xdr:clientData/>
  </xdr:twoCellAnchor>
  <xdr:twoCellAnchor>
    <xdr:from>
      <xdr:col>11</xdr:col>
      <xdr:colOff>253491</xdr:colOff>
      <xdr:row>87</xdr:row>
      <xdr:rowOff>163220</xdr:rowOff>
    </xdr:from>
    <xdr:to>
      <xdr:col>14</xdr:col>
      <xdr:colOff>76200</xdr:colOff>
      <xdr:row>91</xdr:row>
      <xdr:rowOff>92331</xdr:rowOff>
    </xdr:to>
    <xdr:sp macro="" textlink="">
      <xdr:nvSpPr>
        <xdr:cNvPr id="27" name="CaixaDeTexto 223">
          <a:extLst>
            <a:ext uri="{FF2B5EF4-FFF2-40B4-BE49-F238E27FC236}">
              <a16:creationId xmlns:a16="http://schemas.microsoft.com/office/drawing/2014/main" id="{44319A47-FDD3-48A9-8521-5DD1F3392057}"/>
            </a:ext>
          </a:extLst>
        </xdr:cNvPr>
        <xdr:cNvSpPr txBox="1"/>
      </xdr:nvSpPr>
      <xdr:spPr>
        <a:xfrm>
          <a:off x="4358766" y="17051045"/>
          <a:ext cx="1299084" cy="691111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ETR-04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(Presidente Olegário)</a:t>
          </a:r>
        </a:p>
      </xdr:txBody>
    </xdr:sp>
    <xdr:clientData/>
  </xdr:twoCellAnchor>
  <xdr:twoCellAnchor>
    <xdr:from>
      <xdr:col>22</xdr:col>
      <xdr:colOff>457200</xdr:colOff>
      <xdr:row>59</xdr:row>
      <xdr:rowOff>64319</xdr:rowOff>
    </xdr:from>
    <xdr:to>
      <xdr:col>25</xdr:col>
      <xdr:colOff>200025</xdr:colOff>
      <xdr:row>64</xdr:row>
      <xdr:rowOff>124711</xdr:rowOff>
    </xdr:to>
    <xdr:sp macro="" textlink="">
      <xdr:nvSpPr>
        <xdr:cNvPr id="28" name="CaixaDeTexto 232">
          <a:extLst>
            <a:ext uri="{FF2B5EF4-FFF2-40B4-BE49-F238E27FC236}">
              <a16:creationId xmlns:a16="http://schemas.microsoft.com/office/drawing/2014/main" id="{E6A2AD8A-8F19-48CB-9B9A-FE14A4780CA0}"/>
            </a:ext>
          </a:extLst>
        </xdr:cNvPr>
        <xdr:cNvSpPr txBox="1"/>
      </xdr:nvSpPr>
      <xdr:spPr>
        <a:xfrm>
          <a:off x="10391775" y="14094644"/>
          <a:ext cx="1895475" cy="1012892"/>
        </a:xfrm>
        <a:prstGeom prst="flowChartTerminator">
          <a:avLst/>
        </a:prstGeom>
        <a:solidFill>
          <a:srgbClr val="FF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33" b="1">
              <a:solidFill>
                <a:schemeClr val="bg1"/>
              </a:solidFill>
            </a:rPr>
            <a:t>Aterro Sanitário</a:t>
          </a:r>
        </a:p>
      </xdr:txBody>
    </xdr:sp>
    <xdr:clientData/>
  </xdr:twoCellAnchor>
  <xdr:twoCellAnchor>
    <xdr:from>
      <xdr:col>8</xdr:col>
      <xdr:colOff>0</xdr:colOff>
      <xdr:row>56</xdr:row>
      <xdr:rowOff>9525</xdr:rowOff>
    </xdr:from>
    <xdr:to>
      <xdr:col>12</xdr:col>
      <xdr:colOff>0</xdr:colOff>
      <xdr:row>56</xdr:row>
      <xdr:rowOff>19050</xdr:rowOff>
    </xdr:to>
    <xdr:cxnSp macro="">
      <xdr:nvCxnSpPr>
        <xdr:cNvPr id="29" name="Conector de Seta Reta 28">
          <a:extLst>
            <a:ext uri="{FF2B5EF4-FFF2-40B4-BE49-F238E27FC236}">
              <a16:creationId xmlns:a16="http://schemas.microsoft.com/office/drawing/2014/main" id="{DF6FAAE0-5D76-4F40-A826-EFEEED4708A9}"/>
            </a:ext>
          </a:extLst>
        </xdr:cNvPr>
        <xdr:cNvCxnSpPr/>
      </xdr:nvCxnSpPr>
      <xdr:spPr>
        <a:xfrm flipV="1">
          <a:off x="3086100" y="1061085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57</xdr:row>
      <xdr:rowOff>28575</xdr:rowOff>
    </xdr:from>
    <xdr:to>
      <xdr:col>11</xdr:col>
      <xdr:colOff>438150</xdr:colOff>
      <xdr:row>57</xdr:row>
      <xdr:rowOff>38100</xdr:rowOff>
    </xdr:to>
    <xdr:cxnSp macro="">
      <xdr:nvCxnSpPr>
        <xdr:cNvPr id="30" name="Conector de Seta Reta 29">
          <a:extLst>
            <a:ext uri="{FF2B5EF4-FFF2-40B4-BE49-F238E27FC236}">
              <a16:creationId xmlns:a16="http://schemas.microsoft.com/office/drawing/2014/main" id="{A2B06449-5B64-43F8-BB99-229F08069705}"/>
            </a:ext>
          </a:extLst>
        </xdr:cNvPr>
        <xdr:cNvCxnSpPr/>
      </xdr:nvCxnSpPr>
      <xdr:spPr>
        <a:xfrm flipV="1">
          <a:off x="3171825" y="13487400"/>
          <a:ext cx="12668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65</xdr:row>
      <xdr:rowOff>9525</xdr:rowOff>
    </xdr:from>
    <xdr:to>
      <xdr:col>11</xdr:col>
      <xdr:colOff>428625</xdr:colOff>
      <xdr:row>65</xdr:row>
      <xdr:rowOff>19050</xdr:rowOff>
    </xdr:to>
    <xdr:cxnSp macro="">
      <xdr:nvCxnSpPr>
        <xdr:cNvPr id="31" name="Conector de Seta Reta 30">
          <a:extLst>
            <a:ext uri="{FF2B5EF4-FFF2-40B4-BE49-F238E27FC236}">
              <a16:creationId xmlns:a16="http://schemas.microsoft.com/office/drawing/2014/main" id="{1A1D12EE-D0B7-474F-9289-21FDCDEA095A}"/>
            </a:ext>
          </a:extLst>
        </xdr:cNvPr>
        <xdr:cNvCxnSpPr/>
      </xdr:nvCxnSpPr>
      <xdr:spPr>
        <a:xfrm flipV="1">
          <a:off x="3162300" y="1518285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66</xdr:row>
      <xdr:rowOff>9525</xdr:rowOff>
    </xdr:from>
    <xdr:to>
      <xdr:col>11</xdr:col>
      <xdr:colOff>428625</xdr:colOff>
      <xdr:row>66</xdr:row>
      <xdr:rowOff>19050</xdr:rowOff>
    </xdr:to>
    <xdr:cxnSp macro="">
      <xdr:nvCxnSpPr>
        <xdr:cNvPr id="32" name="Conector de Seta Reta 31">
          <a:extLst>
            <a:ext uri="{FF2B5EF4-FFF2-40B4-BE49-F238E27FC236}">
              <a16:creationId xmlns:a16="http://schemas.microsoft.com/office/drawing/2014/main" id="{51FF3675-2CDE-454A-946D-C1913FFA6FB6}"/>
            </a:ext>
          </a:extLst>
        </xdr:cNvPr>
        <xdr:cNvCxnSpPr/>
      </xdr:nvCxnSpPr>
      <xdr:spPr>
        <a:xfrm flipV="1">
          <a:off x="3162300" y="1537335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73</xdr:row>
      <xdr:rowOff>9525</xdr:rowOff>
    </xdr:from>
    <xdr:to>
      <xdr:col>11</xdr:col>
      <xdr:colOff>428625</xdr:colOff>
      <xdr:row>73</xdr:row>
      <xdr:rowOff>19050</xdr:rowOff>
    </xdr:to>
    <xdr:cxnSp macro="">
      <xdr:nvCxnSpPr>
        <xdr:cNvPr id="33" name="Conector de Seta Reta 32">
          <a:extLst>
            <a:ext uri="{FF2B5EF4-FFF2-40B4-BE49-F238E27FC236}">
              <a16:creationId xmlns:a16="http://schemas.microsoft.com/office/drawing/2014/main" id="{A5B8C99B-0D0F-4F6A-B3B8-8237DC051D84}"/>
            </a:ext>
          </a:extLst>
        </xdr:cNvPr>
        <xdr:cNvCxnSpPr/>
      </xdr:nvCxnSpPr>
      <xdr:spPr>
        <a:xfrm flipV="1">
          <a:off x="3162300" y="1670685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74</xdr:row>
      <xdr:rowOff>9525</xdr:rowOff>
    </xdr:from>
    <xdr:to>
      <xdr:col>11</xdr:col>
      <xdr:colOff>428625</xdr:colOff>
      <xdr:row>74</xdr:row>
      <xdr:rowOff>19050</xdr:rowOff>
    </xdr:to>
    <xdr:cxnSp macro="">
      <xdr:nvCxnSpPr>
        <xdr:cNvPr id="34" name="Conector de Seta Reta 33">
          <a:extLst>
            <a:ext uri="{FF2B5EF4-FFF2-40B4-BE49-F238E27FC236}">
              <a16:creationId xmlns:a16="http://schemas.microsoft.com/office/drawing/2014/main" id="{5387389B-D7F4-42EC-BED7-32A0ED55A4B6}"/>
            </a:ext>
          </a:extLst>
        </xdr:cNvPr>
        <xdr:cNvCxnSpPr/>
      </xdr:nvCxnSpPr>
      <xdr:spPr>
        <a:xfrm flipV="1">
          <a:off x="3162300" y="1689735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89</xdr:row>
      <xdr:rowOff>9525</xdr:rowOff>
    </xdr:from>
    <xdr:to>
      <xdr:col>11</xdr:col>
      <xdr:colOff>428625</xdr:colOff>
      <xdr:row>89</xdr:row>
      <xdr:rowOff>19050</xdr:rowOff>
    </xdr:to>
    <xdr:cxnSp macro="">
      <xdr:nvCxnSpPr>
        <xdr:cNvPr id="35" name="Conector de Seta Reta 34">
          <a:extLst>
            <a:ext uri="{FF2B5EF4-FFF2-40B4-BE49-F238E27FC236}">
              <a16:creationId xmlns:a16="http://schemas.microsoft.com/office/drawing/2014/main" id="{39B4FB32-3EB0-47CA-B21A-46FE5B733FF9}"/>
            </a:ext>
          </a:extLst>
        </xdr:cNvPr>
        <xdr:cNvCxnSpPr/>
      </xdr:nvCxnSpPr>
      <xdr:spPr>
        <a:xfrm flipV="1">
          <a:off x="3162300" y="1994535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90</xdr:row>
      <xdr:rowOff>9525</xdr:rowOff>
    </xdr:from>
    <xdr:to>
      <xdr:col>11</xdr:col>
      <xdr:colOff>428625</xdr:colOff>
      <xdr:row>90</xdr:row>
      <xdr:rowOff>19050</xdr:rowOff>
    </xdr:to>
    <xdr:cxnSp macro="">
      <xdr:nvCxnSpPr>
        <xdr:cNvPr id="36" name="Conector de Seta Reta 35">
          <a:extLst>
            <a:ext uri="{FF2B5EF4-FFF2-40B4-BE49-F238E27FC236}">
              <a16:creationId xmlns:a16="http://schemas.microsoft.com/office/drawing/2014/main" id="{8F55EC29-97F7-4117-8A5E-2E143E21C897}"/>
            </a:ext>
          </a:extLst>
        </xdr:cNvPr>
        <xdr:cNvCxnSpPr/>
      </xdr:nvCxnSpPr>
      <xdr:spPr>
        <a:xfrm flipV="1">
          <a:off x="3162300" y="2013585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81</xdr:row>
      <xdr:rowOff>0</xdr:rowOff>
    </xdr:from>
    <xdr:to>
      <xdr:col>15</xdr:col>
      <xdr:colOff>619125</xdr:colOff>
      <xdr:row>81</xdr:row>
      <xdr:rowOff>28575</xdr:rowOff>
    </xdr:to>
    <xdr:cxnSp macro="">
      <xdr:nvCxnSpPr>
        <xdr:cNvPr id="39" name="Conector de Seta Reta 38">
          <a:extLst>
            <a:ext uri="{FF2B5EF4-FFF2-40B4-BE49-F238E27FC236}">
              <a16:creationId xmlns:a16="http://schemas.microsoft.com/office/drawing/2014/main" id="{1A7B62FF-D5B9-4AF2-B3FB-0D54FA5F0B63}"/>
            </a:ext>
          </a:extLst>
        </xdr:cNvPr>
        <xdr:cNvCxnSpPr/>
      </xdr:nvCxnSpPr>
      <xdr:spPr>
        <a:xfrm>
          <a:off x="3171825" y="18411825"/>
          <a:ext cx="3362325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82</xdr:row>
      <xdr:rowOff>19050</xdr:rowOff>
    </xdr:from>
    <xdr:to>
      <xdr:col>15</xdr:col>
      <xdr:colOff>638175</xdr:colOff>
      <xdr:row>82</xdr:row>
      <xdr:rowOff>47625</xdr:rowOff>
    </xdr:to>
    <xdr:cxnSp macro="">
      <xdr:nvCxnSpPr>
        <xdr:cNvPr id="40" name="Conector de Seta Reta 39">
          <a:extLst>
            <a:ext uri="{FF2B5EF4-FFF2-40B4-BE49-F238E27FC236}">
              <a16:creationId xmlns:a16="http://schemas.microsoft.com/office/drawing/2014/main" id="{BDE6A706-9F1E-4D3C-840D-C9E3BBD41025}"/>
            </a:ext>
          </a:extLst>
        </xdr:cNvPr>
        <xdr:cNvCxnSpPr/>
      </xdr:nvCxnSpPr>
      <xdr:spPr>
        <a:xfrm>
          <a:off x="3162300" y="18621375"/>
          <a:ext cx="3390900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600075</xdr:colOff>
      <xdr:row>85</xdr:row>
      <xdr:rowOff>47625</xdr:rowOff>
    </xdr:from>
    <xdr:to>
      <xdr:col>15</xdr:col>
      <xdr:colOff>628650</xdr:colOff>
      <xdr:row>85</xdr:row>
      <xdr:rowOff>47625</xdr:rowOff>
    </xdr:to>
    <xdr:cxnSp macro="">
      <xdr:nvCxnSpPr>
        <xdr:cNvPr id="41" name="Conector de Seta Reta 40">
          <a:extLst>
            <a:ext uri="{FF2B5EF4-FFF2-40B4-BE49-F238E27FC236}">
              <a16:creationId xmlns:a16="http://schemas.microsoft.com/office/drawing/2014/main" id="{5F6569F1-24D9-4BE0-BD67-C17653E1B76B}"/>
            </a:ext>
          </a:extLst>
        </xdr:cNvPr>
        <xdr:cNvCxnSpPr/>
      </xdr:nvCxnSpPr>
      <xdr:spPr>
        <a:xfrm>
          <a:off x="3152775" y="19221450"/>
          <a:ext cx="33909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600075</xdr:colOff>
      <xdr:row>86</xdr:row>
      <xdr:rowOff>38100</xdr:rowOff>
    </xdr:from>
    <xdr:to>
      <xdr:col>16</xdr:col>
      <xdr:colOff>0</xdr:colOff>
      <xdr:row>86</xdr:row>
      <xdr:rowOff>66675</xdr:rowOff>
    </xdr:to>
    <xdr:cxnSp macro="">
      <xdr:nvCxnSpPr>
        <xdr:cNvPr id="42" name="Conector de Seta Reta 41">
          <a:extLst>
            <a:ext uri="{FF2B5EF4-FFF2-40B4-BE49-F238E27FC236}">
              <a16:creationId xmlns:a16="http://schemas.microsoft.com/office/drawing/2014/main" id="{0EFDB669-D6DC-435C-AE82-958F2BF0D9B7}"/>
            </a:ext>
          </a:extLst>
        </xdr:cNvPr>
        <xdr:cNvCxnSpPr/>
      </xdr:nvCxnSpPr>
      <xdr:spPr>
        <a:xfrm>
          <a:off x="3076575" y="16354425"/>
          <a:ext cx="3409950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247650</xdr:colOff>
      <xdr:row>67</xdr:row>
      <xdr:rowOff>28575</xdr:rowOff>
    </xdr:from>
    <xdr:to>
      <xdr:col>15</xdr:col>
      <xdr:colOff>600075</xdr:colOff>
      <xdr:row>67</xdr:row>
      <xdr:rowOff>28575</xdr:rowOff>
    </xdr:to>
    <xdr:cxnSp macro="">
      <xdr:nvCxnSpPr>
        <xdr:cNvPr id="43" name="Conector de Seta Reta 42">
          <a:extLst>
            <a:ext uri="{FF2B5EF4-FFF2-40B4-BE49-F238E27FC236}">
              <a16:creationId xmlns:a16="http://schemas.microsoft.com/office/drawing/2014/main" id="{47346A0D-0FE4-4DC4-BC35-8D29342B2950}"/>
            </a:ext>
          </a:extLst>
        </xdr:cNvPr>
        <xdr:cNvCxnSpPr/>
      </xdr:nvCxnSpPr>
      <xdr:spPr>
        <a:xfrm>
          <a:off x="5905500" y="15582900"/>
          <a:ext cx="6096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15</xdr:col>
      <xdr:colOff>9525</xdr:colOff>
      <xdr:row>69</xdr:row>
      <xdr:rowOff>76200</xdr:rowOff>
    </xdr:from>
    <xdr:to>
      <xdr:col>15</xdr:col>
      <xdr:colOff>600075</xdr:colOff>
      <xdr:row>69</xdr:row>
      <xdr:rowOff>85725</xdr:rowOff>
    </xdr:to>
    <xdr:cxnSp macro="">
      <xdr:nvCxnSpPr>
        <xdr:cNvPr id="44" name="Conector de Seta Reta 43">
          <a:extLst>
            <a:ext uri="{FF2B5EF4-FFF2-40B4-BE49-F238E27FC236}">
              <a16:creationId xmlns:a16="http://schemas.microsoft.com/office/drawing/2014/main" id="{71943560-2AA4-40A2-90A0-EC42F58AB4C6}"/>
            </a:ext>
          </a:extLst>
        </xdr:cNvPr>
        <xdr:cNvCxnSpPr/>
      </xdr:nvCxnSpPr>
      <xdr:spPr>
        <a:xfrm>
          <a:off x="5848350" y="13154025"/>
          <a:ext cx="5905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56</xdr:row>
      <xdr:rowOff>180975</xdr:rowOff>
    </xdr:from>
    <xdr:to>
      <xdr:col>5</xdr:col>
      <xdr:colOff>566437</xdr:colOff>
      <xdr:row>58</xdr:row>
      <xdr:rowOff>38338</xdr:rowOff>
    </xdr:to>
    <xdr:sp macro="" textlink="">
      <xdr:nvSpPr>
        <xdr:cNvPr id="45" name="CaixaDeTexto 260">
          <a:extLst>
            <a:ext uri="{FF2B5EF4-FFF2-40B4-BE49-F238E27FC236}">
              <a16:creationId xmlns:a16="http://schemas.microsoft.com/office/drawing/2014/main" id="{B7845156-5CF2-4A54-84E3-E8A84CA410B2}"/>
            </a:ext>
          </a:extLst>
        </xdr:cNvPr>
        <xdr:cNvSpPr txBox="1"/>
      </xdr:nvSpPr>
      <xdr:spPr>
        <a:xfrm>
          <a:off x="1438275" y="13449300"/>
          <a:ext cx="385462" cy="2383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UTR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57</xdr:row>
      <xdr:rowOff>109657</xdr:rowOff>
    </xdr:from>
    <xdr:to>
      <xdr:col>5</xdr:col>
      <xdr:colOff>180975</xdr:colOff>
      <xdr:row>57</xdr:row>
      <xdr:rowOff>123825</xdr:rowOff>
    </xdr:to>
    <xdr:cxnSp macro="">
      <xdr:nvCxnSpPr>
        <xdr:cNvPr id="46" name="Conector de Seta Reta 45">
          <a:extLst>
            <a:ext uri="{FF2B5EF4-FFF2-40B4-BE49-F238E27FC236}">
              <a16:creationId xmlns:a16="http://schemas.microsoft.com/office/drawing/2014/main" id="{44D5CAA9-C6A6-4336-88B6-93B02C45DFC4}"/>
            </a:ext>
          </a:extLst>
        </xdr:cNvPr>
        <xdr:cNvCxnSpPr>
          <a:endCxn id="45" idx="1"/>
        </xdr:cNvCxnSpPr>
      </xdr:nvCxnSpPr>
      <xdr:spPr>
        <a:xfrm flipV="1">
          <a:off x="1266825" y="13568482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57</xdr:row>
      <xdr:rowOff>114300</xdr:rowOff>
    </xdr:from>
    <xdr:to>
      <xdr:col>6</xdr:col>
      <xdr:colOff>85725</xdr:colOff>
      <xdr:row>57</xdr:row>
      <xdr:rowOff>128468</xdr:rowOff>
    </xdr:to>
    <xdr:cxnSp macro="">
      <xdr:nvCxnSpPr>
        <xdr:cNvPr id="47" name="Conector de Seta Reta 46">
          <a:extLst>
            <a:ext uri="{FF2B5EF4-FFF2-40B4-BE49-F238E27FC236}">
              <a16:creationId xmlns:a16="http://schemas.microsoft.com/office/drawing/2014/main" id="{0F6B71D1-687D-462A-BD3C-81F8B36CB3E8}"/>
            </a:ext>
          </a:extLst>
        </xdr:cNvPr>
        <xdr:cNvCxnSpPr/>
      </xdr:nvCxnSpPr>
      <xdr:spPr>
        <a:xfrm flipV="1">
          <a:off x="1819275" y="13573125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65</xdr:row>
      <xdr:rowOff>180975</xdr:rowOff>
    </xdr:from>
    <xdr:to>
      <xdr:col>5</xdr:col>
      <xdr:colOff>566437</xdr:colOff>
      <xdr:row>67</xdr:row>
      <xdr:rowOff>38338</xdr:rowOff>
    </xdr:to>
    <xdr:sp macro="" textlink="">
      <xdr:nvSpPr>
        <xdr:cNvPr id="51" name="CaixaDeTexto 260">
          <a:extLst>
            <a:ext uri="{FF2B5EF4-FFF2-40B4-BE49-F238E27FC236}">
              <a16:creationId xmlns:a16="http://schemas.microsoft.com/office/drawing/2014/main" id="{C9F206A2-AD00-420B-AC9C-542BD2487851}"/>
            </a:ext>
          </a:extLst>
        </xdr:cNvPr>
        <xdr:cNvSpPr txBox="1"/>
      </xdr:nvSpPr>
      <xdr:spPr>
        <a:xfrm>
          <a:off x="1438275" y="15354300"/>
          <a:ext cx="385462" cy="2383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UTR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66</xdr:row>
      <xdr:rowOff>109657</xdr:rowOff>
    </xdr:from>
    <xdr:to>
      <xdr:col>5</xdr:col>
      <xdr:colOff>180975</xdr:colOff>
      <xdr:row>66</xdr:row>
      <xdr:rowOff>123825</xdr:rowOff>
    </xdr:to>
    <xdr:cxnSp macro="">
      <xdr:nvCxnSpPr>
        <xdr:cNvPr id="52" name="Conector de Seta Reta 51">
          <a:extLst>
            <a:ext uri="{FF2B5EF4-FFF2-40B4-BE49-F238E27FC236}">
              <a16:creationId xmlns:a16="http://schemas.microsoft.com/office/drawing/2014/main" id="{F8480F8C-8DD8-4E80-A544-EFE66534A7A4}"/>
            </a:ext>
          </a:extLst>
        </xdr:cNvPr>
        <xdr:cNvCxnSpPr>
          <a:endCxn id="51" idx="1"/>
        </xdr:cNvCxnSpPr>
      </xdr:nvCxnSpPr>
      <xdr:spPr>
        <a:xfrm flipV="1">
          <a:off x="1266825" y="15473482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66</xdr:row>
      <xdr:rowOff>114300</xdr:rowOff>
    </xdr:from>
    <xdr:to>
      <xdr:col>6</xdr:col>
      <xdr:colOff>85725</xdr:colOff>
      <xdr:row>66</xdr:row>
      <xdr:rowOff>128468</xdr:rowOff>
    </xdr:to>
    <xdr:cxnSp macro="">
      <xdr:nvCxnSpPr>
        <xdr:cNvPr id="53" name="Conector de Seta Reta 52">
          <a:extLst>
            <a:ext uri="{FF2B5EF4-FFF2-40B4-BE49-F238E27FC236}">
              <a16:creationId xmlns:a16="http://schemas.microsoft.com/office/drawing/2014/main" id="{80C46E8E-2CA8-444E-AE22-680A3BDD2B71}"/>
            </a:ext>
          </a:extLst>
        </xdr:cNvPr>
        <xdr:cNvCxnSpPr/>
      </xdr:nvCxnSpPr>
      <xdr:spPr>
        <a:xfrm flipV="1">
          <a:off x="1819275" y="15478125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81</xdr:row>
      <xdr:rowOff>179804</xdr:rowOff>
    </xdr:from>
    <xdr:to>
      <xdr:col>5</xdr:col>
      <xdr:colOff>566437</xdr:colOff>
      <xdr:row>83</xdr:row>
      <xdr:rowOff>39509</xdr:rowOff>
    </xdr:to>
    <xdr:sp macro="" textlink="">
      <xdr:nvSpPr>
        <xdr:cNvPr id="54" name="CaixaDeTexto 260">
          <a:extLst>
            <a:ext uri="{FF2B5EF4-FFF2-40B4-BE49-F238E27FC236}">
              <a16:creationId xmlns:a16="http://schemas.microsoft.com/office/drawing/2014/main" id="{D5637C3F-00B4-48BF-B0B6-DB38AC2DF363}"/>
            </a:ext>
          </a:extLst>
        </xdr:cNvPr>
        <xdr:cNvSpPr txBox="1"/>
      </xdr:nvSpPr>
      <xdr:spPr>
        <a:xfrm>
          <a:off x="1438275" y="18591629"/>
          <a:ext cx="385462" cy="240705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457189" rtl="0" eaLnBrk="1" latinLnBrk="0" hangingPunct="1"/>
          <a:r>
            <a:rPr lang="pt-BR" sz="800" b="1" kern="1200">
              <a:solidFill>
                <a:schemeClr val="bg1"/>
              </a:solidFill>
              <a:latin typeface="+mn-lt"/>
              <a:ea typeface="+mn-ea"/>
              <a:cs typeface="+mn-cs"/>
            </a:rPr>
            <a:t>UTR</a:t>
          </a:r>
        </a:p>
      </xdr:txBody>
    </xdr:sp>
    <xdr:clientData/>
  </xdr:twoCellAnchor>
  <xdr:twoCellAnchor>
    <xdr:from>
      <xdr:col>5</xdr:col>
      <xdr:colOff>9525</xdr:colOff>
      <xdr:row>82</xdr:row>
      <xdr:rowOff>109657</xdr:rowOff>
    </xdr:from>
    <xdr:to>
      <xdr:col>5</xdr:col>
      <xdr:colOff>180975</xdr:colOff>
      <xdr:row>82</xdr:row>
      <xdr:rowOff>123825</xdr:rowOff>
    </xdr:to>
    <xdr:cxnSp macro="">
      <xdr:nvCxnSpPr>
        <xdr:cNvPr id="55" name="Conector de Seta Reta 54">
          <a:extLst>
            <a:ext uri="{FF2B5EF4-FFF2-40B4-BE49-F238E27FC236}">
              <a16:creationId xmlns:a16="http://schemas.microsoft.com/office/drawing/2014/main" id="{637F58AB-5A08-47D0-9A68-CC9260387181}"/>
            </a:ext>
          </a:extLst>
        </xdr:cNvPr>
        <xdr:cNvCxnSpPr>
          <a:cxnSpLocks/>
          <a:endCxn id="54" idx="1"/>
        </xdr:cNvCxnSpPr>
      </xdr:nvCxnSpPr>
      <xdr:spPr>
        <a:xfrm flipV="1">
          <a:off x="1266825" y="18711982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82</xdr:row>
      <xdr:rowOff>114300</xdr:rowOff>
    </xdr:from>
    <xdr:to>
      <xdr:col>6</xdr:col>
      <xdr:colOff>85725</xdr:colOff>
      <xdr:row>82</xdr:row>
      <xdr:rowOff>128468</xdr:rowOff>
    </xdr:to>
    <xdr:cxnSp macro="">
      <xdr:nvCxnSpPr>
        <xdr:cNvPr id="56" name="Conector de Seta Reta 55">
          <a:extLst>
            <a:ext uri="{FF2B5EF4-FFF2-40B4-BE49-F238E27FC236}">
              <a16:creationId xmlns:a16="http://schemas.microsoft.com/office/drawing/2014/main" id="{F954B5F4-0755-4477-93BE-58272352B2FD}"/>
            </a:ext>
          </a:extLst>
        </xdr:cNvPr>
        <xdr:cNvCxnSpPr/>
      </xdr:nvCxnSpPr>
      <xdr:spPr>
        <a:xfrm flipV="1">
          <a:off x="1819275" y="18716625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85</xdr:row>
      <xdr:rowOff>180975</xdr:rowOff>
    </xdr:from>
    <xdr:to>
      <xdr:col>5</xdr:col>
      <xdr:colOff>566437</xdr:colOff>
      <xdr:row>87</xdr:row>
      <xdr:rowOff>38338</xdr:rowOff>
    </xdr:to>
    <xdr:sp macro="" textlink="">
      <xdr:nvSpPr>
        <xdr:cNvPr id="57" name="CaixaDeTexto 260">
          <a:extLst>
            <a:ext uri="{FF2B5EF4-FFF2-40B4-BE49-F238E27FC236}">
              <a16:creationId xmlns:a16="http://schemas.microsoft.com/office/drawing/2014/main" id="{6D9C19D7-455D-44FE-B3ED-15FA91E7D5E1}"/>
            </a:ext>
          </a:extLst>
        </xdr:cNvPr>
        <xdr:cNvSpPr txBox="1"/>
      </xdr:nvSpPr>
      <xdr:spPr>
        <a:xfrm>
          <a:off x="1438275" y="19354800"/>
          <a:ext cx="385462" cy="2383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UTR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86</xdr:row>
      <xdr:rowOff>109657</xdr:rowOff>
    </xdr:from>
    <xdr:to>
      <xdr:col>5</xdr:col>
      <xdr:colOff>180975</xdr:colOff>
      <xdr:row>86</xdr:row>
      <xdr:rowOff>123825</xdr:rowOff>
    </xdr:to>
    <xdr:cxnSp macro="">
      <xdr:nvCxnSpPr>
        <xdr:cNvPr id="58" name="Conector de Seta Reta 57">
          <a:extLst>
            <a:ext uri="{FF2B5EF4-FFF2-40B4-BE49-F238E27FC236}">
              <a16:creationId xmlns:a16="http://schemas.microsoft.com/office/drawing/2014/main" id="{829D6E98-FFA3-4305-B961-5BED099E4902}"/>
            </a:ext>
          </a:extLst>
        </xdr:cNvPr>
        <xdr:cNvCxnSpPr>
          <a:endCxn id="57" idx="1"/>
        </xdr:cNvCxnSpPr>
      </xdr:nvCxnSpPr>
      <xdr:spPr>
        <a:xfrm flipV="1">
          <a:off x="1266825" y="19473982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86</xdr:row>
      <xdr:rowOff>114300</xdr:rowOff>
    </xdr:from>
    <xdr:to>
      <xdr:col>6</xdr:col>
      <xdr:colOff>85725</xdr:colOff>
      <xdr:row>86</xdr:row>
      <xdr:rowOff>128468</xdr:rowOff>
    </xdr:to>
    <xdr:cxnSp macro="">
      <xdr:nvCxnSpPr>
        <xdr:cNvPr id="59" name="Conector de Seta Reta 58">
          <a:extLst>
            <a:ext uri="{FF2B5EF4-FFF2-40B4-BE49-F238E27FC236}">
              <a16:creationId xmlns:a16="http://schemas.microsoft.com/office/drawing/2014/main" id="{E64E0DB3-9A68-4328-BC2E-793AA9DE9A2F}"/>
            </a:ext>
          </a:extLst>
        </xdr:cNvPr>
        <xdr:cNvCxnSpPr/>
      </xdr:nvCxnSpPr>
      <xdr:spPr>
        <a:xfrm flipV="1">
          <a:off x="1819275" y="19478625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504825</xdr:colOff>
      <xdr:row>51</xdr:row>
      <xdr:rowOff>180975</xdr:rowOff>
    </xdr:from>
    <xdr:to>
      <xdr:col>20</xdr:col>
      <xdr:colOff>231904</xdr:colOff>
      <xdr:row>55</xdr:row>
      <xdr:rowOff>15751</xdr:rowOff>
    </xdr:to>
    <xdr:sp macro="" textlink="">
      <xdr:nvSpPr>
        <xdr:cNvPr id="60" name="CaixaDeTexto 225">
          <a:extLst>
            <a:ext uri="{FF2B5EF4-FFF2-40B4-BE49-F238E27FC236}">
              <a16:creationId xmlns:a16="http://schemas.microsoft.com/office/drawing/2014/main" id="{D6B49F3E-F9DF-4E20-BD50-9FB02D8E5486}"/>
            </a:ext>
          </a:extLst>
        </xdr:cNvPr>
        <xdr:cNvSpPr txBox="1"/>
      </xdr:nvSpPr>
      <xdr:spPr>
        <a:xfrm>
          <a:off x="6838950" y="12496800"/>
          <a:ext cx="2413129" cy="596776"/>
        </a:xfrm>
        <a:prstGeom prst="flowChartAlternateProcess">
          <a:avLst/>
        </a:prstGeom>
        <a:solidFill>
          <a:srgbClr val="1F596B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00" b="1">
              <a:solidFill>
                <a:schemeClr val="bg1"/>
              </a:solidFill>
            </a:rPr>
            <a:t>UTM CISPAR</a:t>
          </a:r>
        </a:p>
        <a:p>
          <a:pPr algn="ctr"/>
          <a:r>
            <a:rPr lang="pt-BR" sz="1300" b="1">
              <a:solidFill>
                <a:schemeClr val="bg1"/>
              </a:solidFill>
            </a:rPr>
            <a:t>220 t/dia</a:t>
          </a:r>
        </a:p>
      </xdr:txBody>
    </xdr:sp>
    <xdr:clientData/>
  </xdr:twoCellAnchor>
  <xdr:twoCellAnchor>
    <xdr:from>
      <xdr:col>18</xdr:col>
      <xdr:colOff>85725</xdr:colOff>
      <xdr:row>87</xdr:row>
      <xdr:rowOff>133350</xdr:rowOff>
    </xdr:from>
    <xdr:to>
      <xdr:col>20</xdr:col>
      <xdr:colOff>198879</xdr:colOff>
      <xdr:row>88</xdr:row>
      <xdr:rowOff>183549</xdr:rowOff>
    </xdr:to>
    <xdr:sp macro="" textlink="">
      <xdr:nvSpPr>
        <xdr:cNvPr id="61" name="Cilindro 60">
          <a:extLst>
            <a:ext uri="{FF2B5EF4-FFF2-40B4-BE49-F238E27FC236}">
              <a16:creationId xmlns:a16="http://schemas.microsoft.com/office/drawing/2014/main" id="{843C195B-0C92-4CE3-A417-F1D316C6B0B6}"/>
            </a:ext>
          </a:extLst>
        </xdr:cNvPr>
        <xdr:cNvSpPr/>
      </xdr:nvSpPr>
      <xdr:spPr>
        <a:xfrm>
          <a:off x="7553325" y="20831175"/>
          <a:ext cx="1665729" cy="240699"/>
        </a:xfrm>
        <a:prstGeom prst="can">
          <a:avLst>
            <a:gd name="adj" fmla="val 18391"/>
          </a:avLst>
        </a:prstGeom>
        <a:solidFill>
          <a:schemeClr val="accent6"/>
        </a:solidFill>
        <a:ln w="12700"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933">
              <a:solidFill>
                <a:schemeClr val="bg1"/>
              </a:solidFill>
            </a:rPr>
            <a:t>Recicláveis</a:t>
          </a:r>
        </a:p>
      </xdr:txBody>
    </xdr:sp>
    <xdr:clientData/>
  </xdr:twoCellAnchor>
  <xdr:twoCellAnchor>
    <xdr:from>
      <xdr:col>18</xdr:col>
      <xdr:colOff>9525</xdr:colOff>
      <xdr:row>90</xdr:row>
      <xdr:rowOff>47626</xdr:rowOff>
    </xdr:from>
    <xdr:to>
      <xdr:col>20</xdr:col>
      <xdr:colOff>122679</xdr:colOff>
      <xdr:row>91</xdr:row>
      <xdr:rowOff>47626</xdr:rowOff>
    </xdr:to>
    <xdr:sp macro="" textlink="">
      <xdr:nvSpPr>
        <xdr:cNvPr id="62" name="Trapezoide 61">
          <a:extLst>
            <a:ext uri="{FF2B5EF4-FFF2-40B4-BE49-F238E27FC236}">
              <a16:creationId xmlns:a16="http://schemas.microsoft.com/office/drawing/2014/main" id="{9AF81D04-79CA-4602-83EE-140A45D3BF6B}"/>
            </a:ext>
          </a:extLst>
        </xdr:cNvPr>
        <xdr:cNvSpPr/>
      </xdr:nvSpPr>
      <xdr:spPr>
        <a:xfrm>
          <a:off x="7477125" y="21316951"/>
          <a:ext cx="1665729" cy="190500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27867</xdr:colOff>
      <xdr:row>60</xdr:row>
      <xdr:rowOff>95370</xdr:rowOff>
    </xdr:from>
    <xdr:to>
      <xdr:col>20</xdr:col>
      <xdr:colOff>129221</xdr:colOff>
      <xdr:row>62</xdr:row>
      <xdr:rowOff>28576</xdr:rowOff>
    </xdr:to>
    <xdr:sp macro="" textlink="">
      <xdr:nvSpPr>
        <xdr:cNvPr id="63" name="Cilindro 62">
          <a:extLst>
            <a:ext uri="{FF2B5EF4-FFF2-40B4-BE49-F238E27FC236}">
              <a16:creationId xmlns:a16="http://schemas.microsoft.com/office/drawing/2014/main" id="{27FD06CB-4288-4D35-818C-3ECDFDF1172A}"/>
            </a:ext>
          </a:extLst>
        </xdr:cNvPr>
        <xdr:cNvSpPr/>
      </xdr:nvSpPr>
      <xdr:spPr>
        <a:xfrm>
          <a:off x="7495467" y="14316195"/>
          <a:ext cx="1653929" cy="314206"/>
        </a:xfrm>
        <a:prstGeom prst="can">
          <a:avLst>
            <a:gd name="adj" fmla="val 20085"/>
          </a:avLst>
        </a:prstGeom>
        <a:solidFill>
          <a:schemeClr val="accent6"/>
        </a:solidFill>
        <a:ln w="12700"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933">
              <a:solidFill>
                <a:schemeClr val="bg1"/>
              </a:solidFill>
            </a:rPr>
            <a:t>Recicláveis</a:t>
          </a:r>
        </a:p>
      </xdr:txBody>
    </xdr:sp>
    <xdr:clientData/>
  </xdr:twoCellAnchor>
  <xdr:twoCellAnchor>
    <xdr:from>
      <xdr:col>18</xdr:col>
      <xdr:colOff>66675</xdr:colOff>
      <xdr:row>63</xdr:row>
      <xdr:rowOff>123825</xdr:rowOff>
    </xdr:from>
    <xdr:to>
      <xdr:col>20</xdr:col>
      <xdr:colOff>179829</xdr:colOff>
      <xdr:row>64</xdr:row>
      <xdr:rowOff>171450</xdr:rowOff>
    </xdr:to>
    <xdr:sp macro="" textlink="">
      <xdr:nvSpPr>
        <xdr:cNvPr id="64" name="Trapezoide 63">
          <a:extLst>
            <a:ext uri="{FF2B5EF4-FFF2-40B4-BE49-F238E27FC236}">
              <a16:creationId xmlns:a16="http://schemas.microsoft.com/office/drawing/2014/main" id="{265252CF-A023-43AE-8D70-8CBFA9376419}"/>
            </a:ext>
          </a:extLst>
        </xdr:cNvPr>
        <xdr:cNvSpPr/>
      </xdr:nvSpPr>
      <xdr:spPr>
        <a:xfrm>
          <a:off x="7534275" y="14916150"/>
          <a:ext cx="1665729" cy="238125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45734</xdr:colOff>
      <xdr:row>66</xdr:row>
      <xdr:rowOff>106592</xdr:rowOff>
    </xdr:from>
    <xdr:to>
      <xdr:col>20</xdr:col>
      <xdr:colOff>220407</xdr:colOff>
      <xdr:row>68</xdr:row>
      <xdr:rowOff>19050</xdr:rowOff>
    </xdr:to>
    <xdr:sp macro="" textlink="">
      <xdr:nvSpPr>
        <xdr:cNvPr id="65" name="Trapezoide 64">
          <a:extLst>
            <a:ext uri="{FF2B5EF4-FFF2-40B4-BE49-F238E27FC236}">
              <a16:creationId xmlns:a16="http://schemas.microsoft.com/office/drawing/2014/main" id="{227B4FC3-0CAF-49A5-9C51-7883D56A4FA0}"/>
            </a:ext>
          </a:extLst>
        </xdr:cNvPr>
        <xdr:cNvSpPr/>
      </xdr:nvSpPr>
      <xdr:spPr>
        <a:xfrm>
          <a:off x="7513334" y="15470417"/>
          <a:ext cx="1727248" cy="293458"/>
        </a:xfrm>
        <a:prstGeom prst="trapezoid">
          <a:avLst/>
        </a:prstGeom>
        <a:solidFill>
          <a:srgbClr val="FFF9E5"/>
        </a:solidFill>
        <a:ln w="12700">
          <a:solidFill>
            <a:schemeClr val="accent4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900" kern="1200">
              <a:solidFill>
                <a:schemeClr val="accent4">
                  <a:lumMod val="50000"/>
                </a:schemeClr>
              </a:solidFill>
            </a:rPr>
            <a:t>Orgânicos</a:t>
          </a:r>
        </a:p>
      </xdr:txBody>
    </xdr:sp>
    <xdr:clientData/>
  </xdr:twoCellAnchor>
  <xdr:twoCellAnchor>
    <xdr:from>
      <xdr:col>17</xdr:col>
      <xdr:colOff>219075</xdr:colOff>
      <xdr:row>55</xdr:row>
      <xdr:rowOff>104776</xdr:rowOff>
    </xdr:from>
    <xdr:to>
      <xdr:col>19</xdr:col>
      <xdr:colOff>257175</xdr:colOff>
      <xdr:row>58</xdr:row>
      <xdr:rowOff>47626</xdr:rowOff>
    </xdr:to>
    <xdr:sp macro="" textlink="">
      <xdr:nvSpPr>
        <xdr:cNvPr id="66" name="Retângulo 65">
          <a:extLst>
            <a:ext uri="{FF2B5EF4-FFF2-40B4-BE49-F238E27FC236}">
              <a16:creationId xmlns:a16="http://schemas.microsoft.com/office/drawing/2014/main" id="{D8580864-A337-4567-9183-8FB5E63F66AF}"/>
            </a:ext>
          </a:extLst>
        </xdr:cNvPr>
        <xdr:cNvSpPr/>
      </xdr:nvSpPr>
      <xdr:spPr>
        <a:xfrm>
          <a:off x="7058025" y="13182601"/>
          <a:ext cx="1571625" cy="514350"/>
        </a:xfrm>
        <a:prstGeom prst="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400050</xdr:colOff>
      <xdr:row>58</xdr:row>
      <xdr:rowOff>47625</xdr:rowOff>
    </xdr:from>
    <xdr:to>
      <xdr:col>18</xdr:col>
      <xdr:colOff>590550</xdr:colOff>
      <xdr:row>59</xdr:row>
      <xdr:rowOff>0</xdr:rowOff>
    </xdr:to>
    <xdr:sp macro="" textlink="">
      <xdr:nvSpPr>
        <xdr:cNvPr id="67" name="Seta: para Baixo 66">
          <a:extLst>
            <a:ext uri="{FF2B5EF4-FFF2-40B4-BE49-F238E27FC236}">
              <a16:creationId xmlns:a16="http://schemas.microsoft.com/office/drawing/2014/main" id="{B3B953EE-3700-4F1E-9E2E-19882AE4EF3D}"/>
            </a:ext>
          </a:extLst>
        </xdr:cNvPr>
        <xdr:cNvSpPr/>
      </xdr:nvSpPr>
      <xdr:spPr>
        <a:xfrm>
          <a:off x="7867650" y="13696950"/>
          <a:ext cx="190500" cy="257175"/>
        </a:xfrm>
        <a:prstGeom prst="downArrow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52108</xdr:colOff>
      <xdr:row>68</xdr:row>
      <xdr:rowOff>19050</xdr:rowOff>
    </xdr:from>
    <xdr:to>
      <xdr:col>19</xdr:col>
      <xdr:colOff>57150</xdr:colOff>
      <xdr:row>69</xdr:row>
      <xdr:rowOff>152400</xdr:rowOff>
    </xdr:to>
    <xdr:cxnSp macro="">
      <xdr:nvCxnSpPr>
        <xdr:cNvPr id="68" name="Conector de Seta Reta 67">
          <a:extLst>
            <a:ext uri="{FF2B5EF4-FFF2-40B4-BE49-F238E27FC236}">
              <a16:creationId xmlns:a16="http://schemas.microsoft.com/office/drawing/2014/main" id="{115F7244-656D-4BC2-AE2F-4C43622D18F7}"/>
            </a:ext>
          </a:extLst>
        </xdr:cNvPr>
        <xdr:cNvCxnSpPr/>
      </xdr:nvCxnSpPr>
      <xdr:spPr>
        <a:xfrm>
          <a:off x="8424583" y="15763875"/>
          <a:ext cx="5042" cy="323850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114300</xdr:colOff>
      <xdr:row>69</xdr:row>
      <xdr:rowOff>152400</xdr:rowOff>
    </xdr:from>
    <xdr:to>
      <xdr:col>20</xdr:col>
      <xdr:colOff>116723</xdr:colOff>
      <xdr:row>71</xdr:row>
      <xdr:rowOff>63503</xdr:rowOff>
    </xdr:to>
    <xdr:sp macro="" textlink="">
      <xdr:nvSpPr>
        <xdr:cNvPr id="69" name="CaixaDeTexto 451">
          <a:extLst>
            <a:ext uri="{FF2B5EF4-FFF2-40B4-BE49-F238E27FC236}">
              <a16:creationId xmlns:a16="http://schemas.microsoft.com/office/drawing/2014/main" id="{D157134A-1D9F-485C-96AB-15CCFB60AF45}"/>
            </a:ext>
          </a:extLst>
        </xdr:cNvPr>
        <xdr:cNvSpPr txBox="1"/>
      </xdr:nvSpPr>
      <xdr:spPr>
        <a:xfrm>
          <a:off x="7581900" y="16087725"/>
          <a:ext cx="1554998" cy="292103"/>
        </a:xfrm>
        <a:prstGeom prst="flowChartAlternateProcess">
          <a:avLst/>
        </a:prstGeom>
        <a:solidFill>
          <a:srgbClr val="2D819B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200" b="0"/>
            <a:t>Compostagem</a:t>
          </a:r>
        </a:p>
      </xdr:txBody>
    </xdr:sp>
    <xdr:clientData/>
  </xdr:twoCellAnchor>
  <xdr:twoCellAnchor>
    <xdr:from>
      <xdr:col>18</xdr:col>
      <xdr:colOff>400050</xdr:colOff>
      <xdr:row>73</xdr:row>
      <xdr:rowOff>187973</xdr:rowOff>
    </xdr:from>
    <xdr:to>
      <xdr:col>20</xdr:col>
      <xdr:colOff>166016</xdr:colOff>
      <xdr:row>75</xdr:row>
      <xdr:rowOff>1</xdr:rowOff>
    </xdr:to>
    <xdr:sp macro="" textlink="">
      <xdr:nvSpPr>
        <xdr:cNvPr id="70" name="Cilindro 69">
          <a:extLst>
            <a:ext uri="{FF2B5EF4-FFF2-40B4-BE49-F238E27FC236}">
              <a16:creationId xmlns:a16="http://schemas.microsoft.com/office/drawing/2014/main" id="{F4FB4444-75FE-4034-9A69-941042173676}"/>
            </a:ext>
          </a:extLst>
        </xdr:cNvPr>
        <xdr:cNvSpPr/>
      </xdr:nvSpPr>
      <xdr:spPr>
        <a:xfrm>
          <a:off x="7867650" y="16885298"/>
          <a:ext cx="1318541" cy="193028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Composto</a:t>
          </a:r>
        </a:p>
      </xdr:txBody>
    </xdr:sp>
    <xdr:clientData/>
  </xdr:twoCellAnchor>
  <xdr:twoCellAnchor>
    <xdr:from>
      <xdr:col>18</xdr:col>
      <xdr:colOff>566943</xdr:colOff>
      <xdr:row>77</xdr:row>
      <xdr:rowOff>19748</xdr:rowOff>
    </xdr:from>
    <xdr:to>
      <xdr:col>20</xdr:col>
      <xdr:colOff>280047</xdr:colOff>
      <xdr:row>79</xdr:row>
      <xdr:rowOff>123825</xdr:rowOff>
    </xdr:to>
    <xdr:sp macro="" textlink="">
      <xdr:nvSpPr>
        <xdr:cNvPr id="71" name="Cilindro 70">
          <a:extLst>
            <a:ext uri="{FF2B5EF4-FFF2-40B4-BE49-F238E27FC236}">
              <a16:creationId xmlns:a16="http://schemas.microsoft.com/office/drawing/2014/main" id="{55009AEF-46B1-4C80-B12D-74918E94F225}"/>
            </a:ext>
          </a:extLst>
        </xdr:cNvPr>
        <xdr:cNvSpPr/>
      </xdr:nvSpPr>
      <xdr:spPr>
        <a:xfrm>
          <a:off x="8034543" y="17669573"/>
          <a:ext cx="1265679" cy="485077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Composto Peneirado</a:t>
          </a:r>
        </a:p>
      </xdr:txBody>
    </xdr:sp>
    <xdr:clientData/>
  </xdr:twoCellAnchor>
  <xdr:twoCellAnchor>
    <xdr:from>
      <xdr:col>16</xdr:col>
      <xdr:colOff>152401</xdr:colOff>
      <xdr:row>73</xdr:row>
      <xdr:rowOff>176265</xdr:rowOff>
    </xdr:from>
    <xdr:to>
      <xdr:col>18</xdr:col>
      <xdr:colOff>180976</xdr:colOff>
      <xdr:row>75</xdr:row>
      <xdr:rowOff>0</xdr:rowOff>
    </xdr:to>
    <xdr:sp macro="" textlink="">
      <xdr:nvSpPr>
        <xdr:cNvPr id="72" name="Cilindro 71">
          <a:extLst>
            <a:ext uri="{FF2B5EF4-FFF2-40B4-BE49-F238E27FC236}">
              <a16:creationId xmlns:a16="http://schemas.microsoft.com/office/drawing/2014/main" id="{0A3F97AC-6E0E-4274-8074-FF400DFB9F16}"/>
            </a:ext>
          </a:extLst>
        </xdr:cNvPr>
        <xdr:cNvSpPr/>
      </xdr:nvSpPr>
      <xdr:spPr>
        <a:xfrm>
          <a:off x="6715126" y="16873590"/>
          <a:ext cx="933450" cy="204735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endParaRPr lang="pt-BR" sz="1050" b="1" kern="1200">
            <a:solidFill>
              <a:schemeClr val="bg1"/>
            </a:solidFill>
          </a:endParaRPr>
        </a:p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Redução</a:t>
          </a:r>
        </a:p>
        <a:p>
          <a:pPr algn="ctr" defTabSz="342900">
            <a:buClrTx/>
          </a:pPr>
          <a:endParaRPr lang="pt-BR" sz="105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19315</xdr:colOff>
      <xdr:row>71</xdr:row>
      <xdr:rowOff>123825</xdr:rowOff>
    </xdr:from>
    <xdr:to>
      <xdr:col>18</xdr:col>
      <xdr:colOff>352426</xdr:colOff>
      <xdr:row>73</xdr:row>
      <xdr:rowOff>128640</xdr:rowOff>
    </xdr:to>
    <xdr:cxnSp macro="">
      <xdr:nvCxnSpPr>
        <xdr:cNvPr id="73" name="Conector angulado 242">
          <a:extLst>
            <a:ext uri="{FF2B5EF4-FFF2-40B4-BE49-F238E27FC236}">
              <a16:creationId xmlns:a16="http://schemas.microsoft.com/office/drawing/2014/main" id="{4A3FDC05-D364-4D37-B939-435529EBFFFF}"/>
            </a:ext>
          </a:extLst>
        </xdr:cNvPr>
        <xdr:cNvCxnSpPr>
          <a:cxnSpLocks/>
        </xdr:cNvCxnSpPr>
      </xdr:nvCxnSpPr>
      <xdr:spPr>
        <a:xfrm rot="5400000">
          <a:off x="7460563" y="16466502"/>
          <a:ext cx="385815" cy="333111"/>
        </a:xfrm>
        <a:prstGeom prst="bentConnector3">
          <a:avLst>
            <a:gd name="adj1" fmla="val 50000"/>
          </a:avLst>
        </a:prstGeom>
        <a:ln w="19050"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352427</xdr:colOff>
      <xdr:row>71</xdr:row>
      <xdr:rowOff>57151</xdr:rowOff>
    </xdr:from>
    <xdr:to>
      <xdr:col>18</xdr:col>
      <xdr:colOff>683713</xdr:colOff>
      <xdr:row>73</xdr:row>
      <xdr:rowOff>178447</xdr:rowOff>
    </xdr:to>
    <xdr:cxnSp macro="">
      <xdr:nvCxnSpPr>
        <xdr:cNvPr id="74" name="Conector angulado 242">
          <a:extLst>
            <a:ext uri="{FF2B5EF4-FFF2-40B4-BE49-F238E27FC236}">
              <a16:creationId xmlns:a16="http://schemas.microsoft.com/office/drawing/2014/main" id="{C68BE5FE-3925-489C-98B6-43E691286F5C}"/>
            </a:ext>
          </a:extLst>
        </xdr:cNvPr>
        <xdr:cNvCxnSpPr>
          <a:cxnSpLocks/>
        </xdr:cNvCxnSpPr>
      </xdr:nvCxnSpPr>
      <xdr:spPr>
        <a:xfrm rot="16200000" flipH="1">
          <a:off x="7734522" y="16458981"/>
          <a:ext cx="502296" cy="331286"/>
        </a:xfrm>
        <a:prstGeom prst="bentConnector3">
          <a:avLst>
            <a:gd name="adj1" fmla="val 51896"/>
          </a:avLst>
        </a:prstGeom>
        <a:ln w="19050"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571500</xdr:colOff>
      <xdr:row>75</xdr:row>
      <xdr:rowOff>9525</xdr:rowOff>
    </xdr:from>
    <xdr:to>
      <xdr:col>18</xdr:col>
      <xdr:colOff>590550</xdr:colOff>
      <xdr:row>77</xdr:row>
      <xdr:rowOff>0</xdr:rowOff>
    </xdr:to>
    <xdr:cxnSp macro="">
      <xdr:nvCxnSpPr>
        <xdr:cNvPr id="75" name="Conector de Seta Reta 74">
          <a:extLst>
            <a:ext uri="{FF2B5EF4-FFF2-40B4-BE49-F238E27FC236}">
              <a16:creationId xmlns:a16="http://schemas.microsoft.com/office/drawing/2014/main" id="{F7EA69C3-90A7-4773-B981-CE0799131B49}"/>
            </a:ext>
          </a:extLst>
        </xdr:cNvPr>
        <xdr:cNvCxnSpPr/>
      </xdr:nvCxnSpPr>
      <xdr:spPr>
        <a:xfrm>
          <a:off x="8039100" y="17087850"/>
          <a:ext cx="19050" cy="561975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161925</xdr:colOff>
      <xdr:row>82</xdr:row>
      <xdr:rowOff>114301</xdr:rowOff>
    </xdr:from>
    <xdr:to>
      <xdr:col>19</xdr:col>
      <xdr:colOff>400050</xdr:colOff>
      <xdr:row>83</xdr:row>
      <xdr:rowOff>152401</xdr:rowOff>
    </xdr:to>
    <xdr:sp macro="" textlink="">
      <xdr:nvSpPr>
        <xdr:cNvPr id="76" name="Trapezoide 75">
          <a:extLst>
            <a:ext uri="{FF2B5EF4-FFF2-40B4-BE49-F238E27FC236}">
              <a16:creationId xmlns:a16="http://schemas.microsoft.com/office/drawing/2014/main" id="{F8429E66-DCAC-4653-8F9E-34A2A3D22DF6}"/>
            </a:ext>
          </a:extLst>
        </xdr:cNvPr>
        <xdr:cNvSpPr/>
      </xdr:nvSpPr>
      <xdr:spPr>
        <a:xfrm>
          <a:off x="7629525" y="18716626"/>
          <a:ext cx="1143000" cy="228600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447675</xdr:colOff>
      <xdr:row>74</xdr:row>
      <xdr:rowOff>180975</xdr:rowOff>
    </xdr:from>
    <xdr:to>
      <xdr:col>18</xdr:col>
      <xdr:colOff>466725</xdr:colOff>
      <xdr:row>82</xdr:row>
      <xdr:rowOff>66675</xdr:rowOff>
    </xdr:to>
    <xdr:cxnSp macro="">
      <xdr:nvCxnSpPr>
        <xdr:cNvPr id="77" name="Conector de Seta Reta 76">
          <a:extLst>
            <a:ext uri="{FF2B5EF4-FFF2-40B4-BE49-F238E27FC236}">
              <a16:creationId xmlns:a16="http://schemas.microsoft.com/office/drawing/2014/main" id="{D9636FDE-F186-47BA-8C14-AA669FE7E943}"/>
            </a:ext>
          </a:extLst>
        </xdr:cNvPr>
        <xdr:cNvCxnSpPr/>
      </xdr:nvCxnSpPr>
      <xdr:spPr>
        <a:xfrm>
          <a:off x="7915275" y="17068800"/>
          <a:ext cx="19050" cy="1600200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150063</xdr:colOff>
      <xdr:row>64</xdr:row>
      <xdr:rowOff>52388</xdr:rowOff>
    </xdr:from>
    <xdr:to>
      <xdr:col>21</xdr:col>
      <xdr:colOff>542925</xdr:colOff>
      <xdr:row>64</xdr:row>
      <xdr:rowOff>57150</xdr:rowOff>
    </xdr:to>
    <xdr:cxnSp macro="">
      <xdr:nvCxnSpPr>
        <xdr:cNvPr id="78" name="Conector de Seta Reta 77">
          <a:extLst>
            <a:ext uri="{FF2B5EF4-FFF2-40B4-BE49-F238E27FC236}">
              <a16:creationId xmlns:a16="http://schemas.microsoft.com/office/drawing/2014/main" id="{5031517B-D122-4447-B005-E374B7257F69}"/>
            </a:ext>
          </a:extLst>
        </xdr:cNvPr>
        <xdr:cNvCxnSpPr>
          <a:stCxn id="64" idx="3"/>
        </xdr:cNvCxnSpPr>
      </xdr:nvCxnSpPr>
      <xdr:spPr>
        <a:xfrm>
          <a:off x="9170238" y="15035213"/>
          <a:ext cx="973887" cy="4762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361950</xdr:colOff>
      <xdr:row>83</xdr:row>
      <xdr:rowOff>19051</xdr:rowOff>
    </xdr:from>
    <xdr:to>
      <xdr:col>21</xdr:col>
      <xdr:colOff>590550</xdr:colOff>
      <xdr:row>83</xdr:row>
      <xdr:rowOff>38100</xdr:rowOff>
    </xdr:to>
    <xdr:cxnSp macro="">
      <xdr:nvCxnSpPr>
        <xdr:cNvPr id="79" name="Conector de Seta Reta 78">
          <a:extLst>
            <a:ext uri="{FF2B5EF4-FFF2-40B4-BE49-F238E27FC236}">
              <a16:creationId xmlns:a16="http://schemas.microsoft.com/office/drawing/2014/main" id="{4AC107D9-471B-4A2C-9007-45CC36B42191}"/>
            </a:ext>
          </a:extLst>
        </xdr:cNvPr>
        <xdr:cNvCxnSpPr/>
      </xdr:nvCxnSpPr>
      <xdr:spPr>
        <a:xfrm>
          <a:off x="8734425" y="18811876"/>
          <a:ext cx="1457325" cy="19049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95250</xdr:colOff>
      <xdr:row>90</xdr:row>
      <xdr:rowOff>142875</xdr:rowOff>
    </xdr:from>
    <xdr:to>
      <xdr:col>21</xdr:col>
      <xdr:colOff>571500</xdr:colOff>
      <xdr:row>90</xdr:row>
      <xdr:rowOff>161925</xdr:rowOff>
    </xdr:to>
    <xdr:cxnSp macro="">
      <xdr:nvCxnSpPr>
        <xdr:cNvPr id="80" name="Conector de Seta Reta 79">
          <a:extLst>
            <a:ext uri="{FF2B5EF4-FFF2-40B4-BE49-F238E27FC236}">
              <a16:creationId xmlns:a16="http://schemas.microsoft.com/office/drawing/2014/main" id="{EE8C9BEF-A88D-4F72-A472-310B47B77D99}"/>
            </a:ext>
          </a:extLst>
        </xdr:cNvPr>
        <xdr:cNvCxnSpPr/>
      </xdr:nvCxnSpPr>
      <xdr:spPr>
        <a:xfrm>
          <a:off x="9115425" y="21412200"/>
          <a:ext cx="1057275" cy="19050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191</xdr:colOff>
      <xdr:row>105</xdr:row>
      <xdr:rowOff>104678</xdr:rowOff>
    </xdr:from>
    <xdr:to>
      <xdr:col>13</xdr:col>
      <xdr:colOff>581025</xdr:colOff>
      <xdr:row>108</xdr:row>
      <xdr:rowOff>33741</xdr:rowOff>
    </xdr:to>
    <xdr:sp macro="" textlink="">
      <xdr:nvSpPr>
        <xdr:cNvPr id="81" name="CaixaDeTexto 220">
          <a:extLst>
            <a:ext uri="{FF2B5EF4-FFF2-40B4-BE49-F238E27FC236}">
              <a16:creationId xmlns:a16="http://schemas.microsoft.com/office/drawing/2014/main" id="{48AB2050-BEBD-4CDE-BF89-FD64F30BCC05}"/>
            </a:ext>
          </a:extLst>
        </xdr:cNvPr>
        <xdr:cNvSpPr txBox="1"/>
      </xdr:nvSpPr>
      <xdr:spPr>
        <a:xfrm>
          <a:off x="4438841" y="24488678"/>
          <a:ext cx="1190434" cy="500563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ETR-01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(Arapuá)</a:t>
          </a:r>
        </a:p>
      </xdr:txBody>
    </xdr:sp>
    <xdr:clientData/>
  </xdr:twoCellAnchor>
  <xdr:twoCellAnchor>
    <xdr:from>
      <xdr:col>12</xdr:col>
      <xdr:colOff>191</xdr:colOff>
      <xdr:row>114</xdr:row>
      <xdr:rowOff>13959</xdr:rowOff>
    </xdr:from>
    <xdr:to>
      <xdr:col>14</xdr:col>
      <xdr:colOff>9525</xdr:colOff>
      <xdr:row>117</xdr:row>
      <xdr:rowOff>47624</xdr:rowOff>
    </xdr:to>
    <xdr:sp macro="" textlink="">
      <xdr:nvSpPr>
        <xdr:cNvPr id="82" name="CaixaDeTexto 221">
          <a:extLst>
            <a:ext uri="{FF2B5EF4-FFF2-40B4-BE49-F238E27FC236}">
              <a16:creationId xmlns:a16="http://schemas.microsoft.com/office/drawing/2014/main" id="{7FC56408-5761-49E3-B550-E9721C6A95B6}"/>
            </a:ext>
          </a:extLst>
        </xdr:cNvPr>
        <xdr:cNvSpPr txBox="1"/>
      </xdr:nvSpPr>
      <xdr:spPr>
        <a:xfrm>
          <a:off x="4438841" y="26302959"/>
          <a:ext cx="1228534" cy="605165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ETR-02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(Coromandel)</a:t>
          </a:r>
        </a:p>
      </xdr:txBody>
    </xdr:sp>
    <xdr:clientData/>
  </xdr:twoCellAnchor>
  <xdr:twoCellAnchor>
    <xdr:from>
      <xdr:col>12</xdr:col>
      <xdr:colOff>191</xdr:colOff>
      <xdr:row>121</xdr:row>
      <xdr:rowOff>188754</xdr:rowOff>
    </xdr:from>
    <xdr:to>
      <xdr:col>13</xdr:col>
      <xdr:colOff>590550</xdr:colOff>
      <xdr:row>124</xdr:row>
      <xdr:rowOff>117817</xdr:rowOff>
    </xdr:to>
    <xdr:sp macro="" textlink="">
      <xdr:nvSpPr>
        <xdr:cNvPr id="83" name="CaixaDeTexto 222">
          <a:extLst>
            <a:ext uri="{FF2B5EF4-FFF2-40B4-BE49-F238E27FC236}">
              <a16:creationId xmlns:a16="http://schemas.microsoft.com/office/drawing/2014/main" id="{E945451A-656D-4C1E-9393-B2A8AA7818C8}"/>
            </a:ext>
          </a:extLst>
        </xdr:cNvPr>
        <xdr:cNvSpPr txBox="1"/>
      </xdr:nvSpPr>
      <xdr:spPr>
        <a:xfrm>
          <a:off x="4362641" y="23429754"/>
          <a:ext cx="1199959" cy="500563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ETR-03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(Guimarânia)</a:t>
          </a:r>
        </a:p>
      </xdr:txBody>
    </xdr:sp>
    <xdr:clientData/>
  </xdr:twoCellAnchor>
  <xdr:twoCellAnchor>
    <xdr:from>
      <xdr:col>11</xdr:col>
      <xdr:colOff>253491</xdr:colOff>
      <xdr:row>136</xdr:row>
      <xdr:rowOff>163220</xdr:rowOff>
    </xdr:from>
    <xdr:to>
      <xdr:col>14</xdr:col>
      <xdr:colOff>76200</xdr:colOff>
      <xdr:row>140</xdr:row>
      <xdr:rowOff>92331</xdr:rowOff>
    </xdr:to>
    <xdr:sp macro="" textlink="">
      <xdr:nvSpPr>
        <xdr:cNvPr id="84" name="CaixaDeTexto 223">
          <a:extLst>
            <a:ext uri="{FF2B5EF4-FFF2-40B4-BE49-F238E27FC236}">
              <a16:creationId xmlns:a16="http://schemas.microsoft.com/office/drawing/2014/main" id="{93D84150-28DA-468E-BD87-FB366D9BF9A2}"/>
            </a:ext>
          </a:extLst>
        </xdr:cNvPr>
        <xdr:cNvSpPr txBox="1"/>
      </xdr:nvSpPr>
      <xdr:spPr>
        <a:xfrm>
          <a:off x="4358766" y="26642720"/>
          <a:ext cx="1299084" cy="691111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ETR-04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(Presidente Olegário)</a:t>
          </a:r>
        </a:p>
      </xdr:txBody>
    </xdr:sp>
    <xdr:clientData/>
  </xdr:twoCellAnchor>
  <xdr:twoCellAnchor>
    <xdr:from>
      <xdr:col>22</xdr:col>
      <xdr:colOff>457200</xdr:colOff>
      <xdr:row>109</xdr:row>
      <xdr:rowOff>64319</xdr:rowOff>
    </xdr:from>
    <xdr:to>
      <xdr:col>25</xdr:col>
      <xdr:colOff>200025</xdr:colOff>
      <xdr:row>114</xdr:row>
      <xdr:rowOff>124711</xdr:rowOff>
    </xdr:to>
    <xdr:sp macro="" textlink="">
      <xdr:nvSpPr>
        <xdr:cNvPr id="85" name="CaixaDeTexto 232">
          <a:extLst>
            <a:ext uri="{FF2B5EF4-FFF2-40B4-BE49-F238E27FC236}">
              <a16:creationId xmlns:a16="http://schemas.microsoft.com/office/drawing/2014/main" id="{A61C3D6B-83FA-4F52-AAC8-9C1931A4FFFD}"/>
            </a:ext>
          </a:extLst>
        </xdr:cNvPr>
        <xdr:cNvSpPr txBox="1"/>
      </xdr:nvSpPr>
      <xdr:spPr>
        <a:xfrm>
          <a:off x="10391775" y="25400819"/>
          <a:ext cx="1895475" cy="1012892"/>
        </a:xfrm>
        <a:prstGeom prst="flowChartTerminator">
          <a:avLst/>
        </a:prstGeom>
        <a:solidFill>
          <a:schemeClr val="accent2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33" b="1">
              <a:solidFill>
                <a:schemeClr val="bg1"/>
              </a:solidFill>
            </a:rPr>
            <a:t>Novo</a:t>
          </a:r>
          <a:r>
            <a:rPr lang="pt-BR" sz="1333" b="1" baseline="0">
              <a:solidFill>
                <a:schemeClr val="bg1"/>
              </a:solidFill>
            </a:rPr>
            <a:t> Aterro Sanitário CISPAR</a:t>
          </a:r>
          <a:endParaRPr lang="pt-BR" sz="1333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0</xdr:colOff>
      <xdr:row>106</xdr:row>
      <xdr:rowOff>9525</xdr:rowOff>
    </xdr:from>
    <xdr:to>
      <xdr:col>11</xdr:col>
      <xdr:colOff>428625</xdr:colOff>
      <xdr:row>106</xdr:row>
      <xdr:rowOff>19050</xdr:rowOff>
    </xdr:to>
    <xdr:cxnSp macro="">
      <xdr:nvCxnSpPr>
        <xdr:cNvPr id="86" name="Conector de Seta Reta 85">
          <a:extLst>
            <a:ext uri="{FF2B5EF4-FFF2-40B4-BE49-F238E27FC236}">
              <a16:creationId xmlns:a16="http://schemas.microsoft.com/office/drawing/2014/main" id="{D43FABCF-A2E2-4727-B0E6-1616F10FBA67}"/>
            </a:ext>
          </a:extLst>
        </xdr:cNvPr>
        <xdr:cNvCxnSpPr/>
      </xdr:nvCxnSpPr>
      <xdr:spPr>
        <a:xfrm flipV="1">
          <a:off x="3162300" y="24584025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107</xdr:row>
      <xdr:rowOff>28575</xdr:rowOff>
    </xdr:from>
    <xdr:to>
      <xdr:col>11</xdr:col>
      <xdr:colOff>438150</xdr:colOff>
      <xdr:row>107</xdr:row>
      <xdr:rowOff>38100</xdr:rowOff>
    </xdr:to>
    <xdr:cxnSp macro="">
      <xdr:nvCxnSpPr>
        <xdr:cNvPr id="87" name="Conector de Seta Reta 86">
          <a:extLst>
            <a:ext uri="{FF2B5EF4-FFF2-40B4-BE49-F238E27FC236}">
              <a16:creationId xmlns:a16="http://schemas.microsoft.com/office/drawing/2014/main" id="{C152F50B-93CC-419E-B061-10CDEFD73B93}"/>
            </a:ext>
          </a:extLst>
        </xdr:cNvPr>
        <xdr:cNvCxnSpPr/>
      </xdr:nvCxnSpPr>
      <xdr:spPr>
        <a:xfrm flipV="1">
          <a:off x="3171825" y="24793575"/>
          <a:ext cx="12668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115</xdr:row>
      <xdr:rowOff>9525</xdr:rowOff>
    </xdr:from>
    <xdr:to>
      <xdr:col>11</xdr:col>
      <xdr:colOff>428625</xdr:colOff>
      <xdr:row>115</xdr:row>
      <xdr:rowOff>19050</xdr:rowOff>
    </xdr:to>
    <xdr:cxnSp macro="">
      <xdr:nvCxnSpPr>
        <xdr:cNvPr id="88" name="Conector de Seta Reta 87">
          <a:extLst>
            <a:ext uri="{FF2B5EF4-FFF2-40B4-BE49-F238E27FC236}">
              <a16:creationId xmlns:a16="http://schemas.microsoft.com/office/drawing/2014/main" id="{CD5543AA-37DD-44A2-91AC-13FC204C7FBF}"/>
            </a:ext>
          </a:extLst>
        </xdr:cNvPr>
        <xdr:cNvCxnSpPr/>
      </xdr:nvCxnSpPr>
      <xdr:spPr>
        <a:xfrm flipV="1">
          <a:off x="3162300" y="26489025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116</xdr:row>
      <xdr:rowOff>9525</xdr:rowOff>
    </xdr:from>
    <xdr:to>
      <xdr:col>11</xdr:col>
      <xdr:colOff>428625</xdr:colOff>
      <xdr:row>116</xdr:row>
      <xdr:rowOff>19050</xdr:rowOff>
    </xdr:to>
    <xdr:cxnSp macro="">
      <xdr:nvCxnSpPr>
        <xdr:cNvPr id="89" name="Conector de Seta Reta 88">
          <a:extLst>
            <a:ext uri="{FF2B5EF4-FFF2-40B4-BE49-F238E27FC236}">
              <a16:creationId xmlns:a16="http://schemas.microsoft.com/office/drawing/2014/main" id="{234CE220-00FD-4AE3-AB10-F19FA48ECEA0}"/>
            </a:ext>
          </a:extLst>
        </xdr:cNvPr>
        <xdr:cNvCxnSpPr/>
      </xdr:nvCxnSpPr>
      <xdr:spPr>
        <a:xfrm flipV="1">
          <a:off x="3162300" y="26679525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123</xdr:row>
      <xdr:rowOff>9525</xdr:rowOff>
    </xdr:from>
    <xdr:to>
      <xdr:col>11</xdr:col>
      <xdr:colOff>428625</xdr:colOff>
      <xdr:row>123</xdr:row>
      <xdr:rowOff>19050</xdr:rowOff>
    </xdr:to>
    <xdr:cxnSp macro="">
      <xdr:nvCxnSpPr>
        <xdr:cNvPr id="90" name="Conector de Seta Reta 89">
          <a:extLst>
            <a:ext uri="{FF2B5EF4-FFF2-40B4-BE49-F238E27FC236}">
              <a16:creationId xmlns:a16="http://schemas.microsoft.com/office/drawing/2014/main" id="{9F3FD815-1B1C-4E5A-941E-9BFDF509255F}"/>
            </a:ext>
          </a:extLst>
        </xdr:cNvPr>
        <xdr:cNvCxnSpPr/>
      </xdr:nvCxnSpPr>
      <xdr:spPr>
        <a:xfrm flipV="1">
          <a:off x="3162300" y="28013025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124</xdr:row>
      <xdr:rowOff>9525</xdr:rowOff>
    </xdr:from>
    <xdr:to>
      <xdr:col>11</xdr:col>
      <xdr:colOff>428625</xdr:colOff>
      <xdr:row>124</xdr:row>
      <xdr:rowOff>19050</xdr:rowOff>
    </xdr:to>
    <xdr:cxnSp macro="">
      <xdr:nvCxnSpPr>
        <xdr:cNvPr id="91" name="Conector de Seta Reta 90">
          <a:extLst>
            <a:ext uri="{FF2B5EF4-FFF2-40B4-BE49-F238E27FC236}">
              <a16:creationId xmlns:a16="http://schemas.microsoft.com/office/drawing/2014/main" id="{8CE231E5-929C-4468-B61D-66CAA525C8BE}"/>
            </a:ext>
          </a:extLst>
        </xdr:cNvPr>
        <xdr:cNvCxnSpPr/>
      </xdr:nvCxnSpPr>
      <xdr:spPr>
        <a:xfrm flipV="1">
          <a:off x="3162300" y="28203525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138</xdr:row>
      <xdr:rowOff>9525</xdr:rowOff>
    </xdr:from>
    <xdr:to>
      <xdr:col>11</xdr:col>
      <xdr:colOff>428625</xdr:colOff>
      <xdr:row>138</xdr:row>
      <xdr:rowOff>19050</xdr:rowOff>
    </xdr:to>
    <xdr:cxnSp macro="">
      <xdr:nvCxnSpPr>
        <xdr:cNvPr id="92" name="Conector de Seta Reta 91">
          <a:extLst>
            <a:ext uri="{FF2B5EF4-FFF2-40B4-BE49-F238E27FC236}">
              <a16:creationId xmlns:a16="http://schemas.microsoft.com/office/drawing/2014/main" id="{C833765B-07C2-480D-BF7E-3C8ED530DA1D}"/>
            </a:ext>
          </a:extLst>
        </xdr:cNvPr>
        <xdr:cNvCxnSpPr/>
      </xdr:nvCxnSpPr>
      <xdr:spPr>
        <a:xfrm flipV="1">
          <a:off x="3162300" y="31251525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139</xdr:row>
      <xdr:rowOff>9525</xdr:rowOff>
    </xdr:from>
    <xdr:to>
      <xdr:col>11</xdr:col>
      <xdr:colOff>428625</xdr:colOff>
      <xdr:row>139</xdr:row>
      <xdr:rowOff>19050</xdr:rowOff>
    </xdr:to>
    <xdr:cxnSp macro="">
      <xdr:nvCxnSpPr>
        <xdr:cNvPr id="93" name="Conector de Seta Reta 92">
          <a:extLst>
            <a:ext uri="{FF2B5EF4-FFF2-40B4-BE49-F238E27FC236}">
              <a16:creationId xmlns:a16="http://schemas.microsoft.com/office/drawing/2014/main" id="{C82D0961-9CFC-41DA-B0B6-8917AE3631A9}"/>
            </a:ext>
          </a:extLst>
        </xdr:cNvPr>
        <xdr:cNvCxnSpPr/>
      </xdr:nvCxnSpPr>
      <xdr:spPr>
        <a:xfrm flipV="1">
          <a:off x="3162300" y="31442025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130</xdr:row>
      <xdr:rowOff>0</xdr:rowOff>
    </xdr:from>
    <xdr:to>
      <xdr:col>15</xdr:col>
      <xdr:colOff>619125</xdr:colOff>
      <xdr:row>130</xdr:row>
      <xdr:rowOff>28575</xdr:rowOff>
    </xdr:to>
    <xdr:cxnSp macro="">
      <xdr:nvCxnSpPr>
        <xdr:cNvPr id="96" name="Conector de Seta Reta 95">
          <a:extLst>
            <a:ext uri="{FF2B5EF4-FFF2-40B4-BE49-F238E27FC236}">
              <a16:creationId xmlns:a16="http://schemas.microsoft.com/office/drawing/2014/main" id="{94C95AC9-BED7-4ED7-876A-E69DA9D55F84}"/>
            </a:ext>
          </a:extLst>
        </xdr:cNvPr>
        <xdr:cNvCxnSpPr/>
      </xdr:nvCxnSpPr>
      <xdr:spPr>
        <a:xfrm>
          <a:off x="3171825" y="29718000"/>
          <a:ext cx="3362325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131</xdr:row>
      <xdr:rowOff>19050</xdr:rowOff>
    </xdr:from>
    <xdr:to>
      <xdr:col>15</xdr:col>
      <xdr:colOff>638175</xdr:colOff>
      <xdr:row>131</xdr:row>
      <xdr:rowOff>47625</xdr:rowOff>
    </xdr:to>
    <xdr:cxnSp macro="">
      <xdr:nvCxnSpPr>
        <xdr:cNvPr id="97" name="Conector de Seta Reta 96">
          <a:extLst>
            <a:ext uri="{FF2B5EF4-FFF2-40B4-BE49-F238E27FC236}">
              <a16:creationId xmlns:a16="http://schemas.microsoft.com/office/drawing/2014/main" id="{76A235B7-0516-45DC-982E-692432D02E7A}"/>
            </a:ext>
          </a:extLst>
        </xdr:cNvPr>
        <xdr:cNvCxnSpPr/>
      </xdr:nvCxnSpPr>
      <xdr:spPr>
        <a:xfrm>
          <a:off x="3162300" y="29927550"/>
          <a:ext cx="3390900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600075</xdr:colOff>
      <xdr:row>134</xdr:row>
      <xdr:rowOff>47625</xdr:rowOff>
    </xdr:from>
    <xdr:to>
      <xdr:col>15</xdr:col>
      <xdr:colOff>628650</xdr:colOff>
      <xdr:row>134</xdr:row>
      <xdr:rowOff>47625</xdr:rowOff>
    </xdr:to>
    <xdr:cxnSp macro="">
      <xdr:nvCxnSpPr>
        <xdr:cNvPr id="98" name="Conector de Seta Reta 97">
          <a:extLst>
            <a:ext uri="{FF2B5EF4-FFF2-40B4-BE49-F238E27FC236}">
              <a16:creationId xmlns:a16="http://schemas.microsoft.com/office/drawing/2014/main" id="{0D7E150A-DA3A-4277-9372-9D9BDDBB21C3}"/>
            </a:ext>
          </a:extLst>
        </xdr:cNvPr>
        <xdr:cNvCxnSpPr/>
      </xdr:nvCxnSpPr>
      <xdr:spPr>
        <a:xfrm>
          <a:off x="3152775" y="30527625"/>
          <a:ext cx="33909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600075</xdr:colOff>
      <xdr:row>135</xdr:row>
      <xdr:rowOff>19050</xdr:rowOff>
    </xdr:from>
    <xdr:to>
      <xdr:col>16</xdr:col>
      <xdr:colOff>0</xdr:colOff>
      <xdr:row>135</xdr:row>
      <xdr:rowOff>47625</xdr:rowOff>
    </xdr:to>
    <xdr:cxnSp macro="">
      <xdr:nvCxnSpPr>
        <xdr:cNvPr id="99" name="Conector de Seta Reta 98">
          <a:extLst>
            <a:ext uri="{FF2B5EF4-FFF2-40B4-BE49-F238E27FC236}">
              <a16:creationId xmlns:a16="http://schemas.microsoft.com/office/drawing/2014/main" id="{BD87EB76-A5D1-453A-B16C-469E8F874306}"/>
            </a:ext>
          </a:extLst>
        </xdr:cNvPr>
        <xdr:cNvCxnSpPr/>
      </xdr:nvCxnSpPr>
      <xdr:spPr>
        <a:xfrm>
          <a:off x="3152775" y="30689550"/>
          <a:ext cx="3409950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247650</xdr:colOff>
      <xdr:row>117</xdr:row>
      <xdr:rowOff>28575</xdr:rowOff>
    </xdr:from>
    <xdr:to>
      <xdr:col>15</xdr:col>
      <xdr:colOff>600075</xdr:colOff>
      <xdr:row>117</xdr:row>
      <xdr:rowOff>28575</xdr:rowOff>
    </xdr:to>
    <xdr:cxnSp macro="">
      <xdr:nvCxnSpPr>
        <xdr:cNvPr id="100" name="Conector de Seta Reta 99">
          <a:extLst>
            <a:ext uri="{FF2B5EF4-FFF2-40B4-BE49-F238E27FC236}">
              <a16:creationId xmlns:a16="http://schemas.microsoft.com/office/drawing/2014/main" id="{AA735AC2-49C6-420E-B5F0-9BBA2F40B6B4}"/>
            </a:ext>
          </a:extLst>
        </xdr:cNvPr>
        <xdr:cNvCxnSpPr/>
      </xdr:nvCxnSpPr>
      <xdr:spPr>
        <a:xfrm>
          <a:off x="5905500" y="26889075"/>
          <a:ext cx="6096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247650</xdr:colOff>
      <xdr:row>119</xdr:row>
      <xdr:rowOff>76200</xdr:rowOff>
    </xdr:from>
    <xdr:to>
      <xdr:col>15</xdr:col>
      <xdr:colOff>581025</xdr:colOff>
      <xdr:row>119</xdr:row>
      <xdr:rowOff>85725</xdr:rowOff>
    </xdr:to>
    <xdr:cxnSp macro="">
      <xdr:nvCxnSpPr>
        <xdr:cNvPr id="101" name="Conector de Seta Reta 100">
          <a:extLst>
            <a:ext uri="{FF2B5EF4-FFF2-40B4-BE49-F238E27FC236}">
              <a16:creationId xmlns:a16="http://schemas.microsoft.com/office/drawing/2014/main" id="{9174C4D6-E7ED-46D0-ADD8-5EF3727DD673}"/>
            </a:ext>
          </a:extLst>
        </xdr:cNvPr>
        <xdr:cNvCxnSpPr/>
      </xdr:nvCxnSpPr>
      <xdr:spPr>
        <a:xfrm>
          <a:off x="5905500" y="27317700"/>
          <a:ext cx="5905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106</xdr:row>
      <xdr:rowOff>180975</xdr:rowOff>
    </xdr:from>
    <xdr:to>
      <xdr:col>5</xdr:col>
      <xdr:colOff>566437</xdr:colOff>
      <xdr:row>108</xdr:row>
      <xdr:rowOff>38338</xdr:rowOff>
    </xdr:to>
    <xdr:sp macro="" textlink="">
      <xdr:nvSpPr>
        <xdr:cNvPr id="102" name="CaixaDeTexto 260">
          <a:extLst>
            <a:ext uri="{FF2B5EF4-FFF2-40B4-BE49-F238E27FC236}">
              <a16:creationId xmlns:a16="http://schemas.microsoft.com/office/drawing/2014/main" id="{E5C7E806-5E3D-49D1-8730-1B6B2646CD81}"/>
            </a:ext>
          </a:extLst>
        </xdr:cNvPr>
        <xdr:cNvSpPr txBox="1"/>
      </xdr:nvSpPr>
      <xdr:spPr>
        <a:xfrm>
          <a:off x="1438275" y="24755475"/>
          <a:ext cx="385462" cy="2383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UTR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107</xdr:row>
      <xdr:rowOff>109657</xdr:rowOff>
    </xdr:from>
    <xdr:to>
      <xdr:col>5</xdr:col>
      <xdr:colOff>180975</xdr:colOff>
      <xdr:row>107</xdr:row>
      <xdr:rowOff>123825</xdr:rowOff>
    </xdr:to>
    <xdr:cxnSp macro="">
      <xdr:nvCxnSpPr>
        <xdr:cNvPr id="103" name="Conector de Seta Reta 102">
          <a:extLst>
            <a:ext uri="{FF2B5EF4-FFF2-40B4-BE49-F238E27FC236}">
              <a16:creationId xmlns:a16="http://schemas.microsoft.com/office/drawing/2014/main" id="{220D660F-95B6-40AC-A884-C7C10226B95D}"/>
            </a:ext>
          </a:extLst>
        </xdr:cNvPr>
        <xdr:cNvCxnSpPr>
          <a:endCxn id="102" idx="1"/>
        </xdr:cNvCxnSpPr>
      </xdr:nvCxnSpPr>
      <xdr:spPr>
        <a:xfrm flipV="1">
          <a:off x="1266825" y="24874657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107</xdr:row>
      <xdr:rowOff>114300</xdr:rowOff>
    </xdr:from>
    <xdr:to>
      <xdr:col>6</xdr:col>
      <xdr:colOff>85725</xdr:colOff>
      <xdr:row>107</xdr:row>
      <xdr:rowOff>128468</xdr:rowOff>
    </xdr:to>
    <xdr:cxnSp macro="">
      <xdr:nvCxnSpPr>
        <xdr:cNvPr id="104" name="Conector de Seta Reta 103">
          <a:extLst>
            <a:ext uri="{FF2B5EF4-FFF2-40B4-BE49-F238E27FC236}">
              <a16:creationId xmlns:a16="http://schemas.microsoft.com/office/drawing/2014/main" id="{84F10C79-D8BA-482A-A3FB-DBA27D50C179}"/>
            </a:ext>
          </a:extLst>
        </xdr:cNvPr>
        <xdr:cNvCxnSpPr/>
      </xdr:nvCxnSpPr>
      <xdr:spPr>
        <a:xfrm flipV="1">
          <a:off x="1819275" y="24879300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115</xdr:row>
      <xdr:rowOff>180975</xdr:rowOff>
    </xdr:from>
    <xdr:to>
      <xdr:col>5</xdr:col>
      <xdr:colOff>566437</xdr:colOff>
      <xdr:row>117</xdr:row>
      <xdr:rowOff>38338</xdr:rowOff>
    </xdr:to>
    <xdr:sp macro="" textlink="">
      <xdr:nvSpPr>
        <xdr:cNvPr id="108" name="CaixaDeTexto 260">
          <a:extLst>
            <a:ext uri="{FF2B5EF4-FFF2-40B4-BE49-F238E27FC236}">
              <a16:creationId xmlns:a16="http://schemas.microsoft.com/office/drawing/2014/main" id="{00F98DD8-E879-4B97-8727-693F6DEF6FDA}"/>
            </a:ext>
          </a:extLst>
        </xdr:cNvPr>
        <xdr:cNvSpPr txBox="1"/>
      </xdr:nvSpPr>
      <xdr:spPr>
        <a:xfrm>
          <a:off x="1438275" y="26660475"/>
          <a:ext cx="385462" cy="2383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UTR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116</xdr:row>
      <xdr:rowOff>109657</xdr:rowOff>
    </xdr:from>
    <xdr:to>
      <xdr:col>5</xdr:col>
      <xdr:colOff>180975</xdr:colOff>
      <xdr:row>116</xdr:row>
      <xdr:rowOff>123825</xdr:rowOff>
    </xdr:to>
    <xdr:cxnSp macro="">
      <xdr:nvCxnSpPr>
        <xdr:cNvPr id="109" name="Conector de Seta Reta 108">
          <a:extLst>
            <a:ext uri="{FF2B5EF4-FFF2-40B4-BE49-F238E27FC236}">
              <a16:creationId xmlns:a16="http://schemas.microsoft.com/office/drawing/2014/main" id="{00458319-D2C6-4E13-8BA2-A9B9BBD7C443}"/>
            </a:ext>
          </a:extLst>
        </xdr:cNvPr>
        <xdr:cNvCxnSpPr>
          <a:endCxn id="108" idx="1"/>
        </xdr:cNvCxnSpPr>
      </xdr:nvCxnSpPr>
      <xdr:spPr>
        <a:xfrm flipV="1">
          <a:off x="1266825" y="26779657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116</xdr:row>
      <xdr:rowOff>114300</xdr:rowOff>
    </xdr:from>
    <xdr:to>
      <xdr:col>6</xdr:col>
      <xdr:colOff>85725</xdr:colOff>
      <xdr:row>116</xdr:row>
      <xdr:rowOff>128468</xdr:rowOff>
    </xdr:to>
    <xdr:cxnSp macro="">
      <xdr:nvCxnSpPr>
        <xdr:cNvPr id="110" name="Conector de Seta Reta 109">
          <a:extLst>
            <a:ext uri="{FF2B5EF4-FFF2-40B4-BE49-F238E27FC236}">
              <a16:creationId xmlns:a16="http://schemas.microsoft.com/office/drawing/2014/main" id="{B199CAF9-13AE-4EB6-9024-75614DBA9C96}"/>
            </a:ext>
          </a:extLst>
        </xdr:cNvPr>
        <xdr:cNvCxnSpPr/>
      </xdr:nvCxnSpPr>
      <xdr:spPr>
        <a:xfrm flipV="1">
          <a:off x="1819275" y="26784300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130</xdr:row>
      <xdr:rowOff>179804</xdr:rowOff>
    </xdr:from>
    <xdr:to>
      <xdr:col>5</xdr:col>
      <xdr:colOff>566437</xdr:colOff>
      <xdr:row>132</xdr:row>
      <xdr:rowOff>39509</xdr:rowOff>
    </xdr:to>
    <xdr:sp macro="" textlink="">
      <xdr:nvSpPr>
        <xdr:cNvPr id="111" name="CaixaDeTexto 260">
          <a:extLst>
            <a:ext uri="{FF2B5EF4-FFF2-40B4-BE49-F238E27FC236}">
              <a16:creationId xmlns:a16="http://schemas.microsoft.com/office/drawing/2014/main" id="{3F4E68F4-C2FD-4339-8AF0-9F201F2F2595}"/>
            </a:ext>
          </a:extLst>
        </xdr:cNvPr>
        <xdr:cNvSpPr txBox="1"/>
      </xdr:nvSpPr>
      <xdr:spPr>
        <a:xfrm>
          <a:off x="1438275" y="29897804"/>
          <a:ext cx="385462" cy="240705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457189" rtl="0" eaLnBrk="1" latinLnBrk="0" hangingPunct="1"/>
          <a:r>
            <a:rPr lang="pt-BR" sz="800" b="1" kern="1200">
              <a:solidFill>
                <a:schemeClr val="bg1"/>
              </a:solidFill>
              <a:latin typeface="+mn-lt"/>
              <a:ea typeface="+mn-ea"/>
              <a:cs typeface="+mn-cs"/>
            </a:rPr>
            <a:t>UTR</a:t>
          </a:r>
        </a:p>
      </xdr:txBody>
    </xdr:sp>
    <xdr:clientData/>
  </xdr:twoCellAnchor>
  <xdr:twoCellAnchor>
    <xdr:from>
      <xdr:col>5</xdr:col>
      <xdr:colOff>9525</xdr:colOff>
      <xdr:row>131</xdr:row>
      <xdr:rowOff>109657</xdr:rowOff>
    </xdr:from>
    <xdr:to>
      <xdr:col>5</xdr:col>
      <xdr:colOff>180975</xdr:colOff>
      <xdr:row>131</xdr:row>
      <xdr:rowOff>123825</xdr:rowOff>
    </xdr:to>
    <xdr:cxnSp macro="">
      <xdr:nvCxnSpPr>
        <xdr:cNvPr id="112" name="Conector de Seta Reta 111">
          <a:extLst>
            <a:ext uri="{FF2B5EF4-FFF2-40B4-BE49-F238E27FC236}">
              <a16:creationId xmlns:a16="http://schemas.microsoft.com/office/drawing/2014/main" id="{B1669038-0981-4A66-9826-240156385B4B}"/>
            </a:ext>
          </a:extLst>
        </xdr:cNvPr>
        <xdr:cNvCxnSpPr>
          <a:cxnSpLocks/>
          <a:endCxn id="111" idx="1"/>
        </xdr:cNvCxnSpPr>
      </xdr:nvCxnSpPr>
      <xdr:spPr>
        <a:xfrm flipV="1">
          <a:off x="1266825" y="30018157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131</xdr:row>
      <xdr:rowOff>114300</xdr:rowOff>
    </xdr:from>
    <xdr:to>
      <xdr:col>6</xdr:col>
      <xdr:colOff>85725</xdr:colOff>
      <xdr:row>131</xdr:row>
      <xdr:rowOff>128468</xdr:rowOff>
    </xdr:to>
    <xdr:cxnSp macro="">
      <xdr:nvCxnSpPr>
        <xdr:cNvPr id="113" name="Conector de Seta Reta 112">
          <a:extLst>
            <a:ext uri="{FF2B5EF4-FFF2-40B4-BE49-F238E27FC236}">
              <a16:creationId xmlns:a16="http://schemas.microsoft.com/office/drawing/2014/main" id="{BDB1C4E7-09FF-4266-A2D9-64856C801807}"/>
            </a:ext>
          </a:extLst>
        </xdr:cNvPr>
        <xdr:cNvCxnSpPr/>
      </xdr:nvCxnSpPr>
      <xdr:spPr>
        <a:xfrm flipV="1">
          <a:off x="1819275" y="30022800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134</xdr:row>
      <xdr:rowOff>180975</xdr:rowOff>
    </xdr:from>
    <xdr:to>
      <xdr:col>5</xdr:col>
      <xdr:colOff>566437</xdr:colOff>
      <xdr:row>136</xdr:row>
      <xdr:rowOff>38338</xdr:rowOff>
    </xdr:to>
    <xdr:sp macro="" textlink="">
      <xdr:nvSpPr>
        <xdr:cNvPr id="114" name="CaixaDeTexto 260">
          <a:extLst>
            <a:ext uri="{FF2B5EF4-FFF2-40B4-BE49-F238E27FC236}">
              <a16:creationId xmlns:a16="http://schemas.microsoft.com/office/drawing/2014/main" id="{7BFA4B88-90E3-406D-9DDA-A0AF56D90B03}"/>
            </a:ext>
          </a:extLst>
        </xdr:cNvPr>
        <xdr:cNvSpPr txBox="1"/>
      </xdr:nvSpPr>
      <xdr:spPr>
        <a:xfrm>
          <a:off x="1438275" y="30660975"/>
          <a:ext cx="385462" cy="2383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UTR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135</xdr:row>
      <xdr:rowOff>109657</xdr:rowOff>
    </xdr:from>
    <xdr:to>
      <xdr:col>5</xdr:col>
      <xdr:colOff>180975</xdr:colOff>
      <xdr:row>135</xdr:row>
      <xdr:rowOff>123825</xdr:rowOff>
    </xdr:to>
    <xdr:cxnSp macro="">
      <xdr:nvCxnSpPr>
        <xdr:cNvPr id="115" name="Conector de Seta Reta 114">
          <a:extLst>
            <a:ext uri="{FF2B5EF4-FFF2-40B4-BE49-F238E27FC236}">
              <a16:creationId xmlns:a16="http://schemas.microsoft.com/office/drawing/2014/main" id="{9FADF16E-0E47-4773-A592-DF6F7E4FBB90}"/>
            </a:ext>
          </a:extLst>
        </xdr:cNvPr>
        <xdr:cNvCxnSpPr>
          <a:endCxn id="114" idx="1"/>
        </xdr:cNvCxnSpPr>
      </xdr:nvCxnSpPr>
      <xdr:spPr>
        <a:xfrm flipV="1">
          <a:off x="1266825" y="30780157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135</xdr:row>
      <xdr:rowOff>114300</xdr:rowOff>
    </xdr:from>
    <xdr:to>
      <xdr:col>6</xdr:col>
      <xdr:colOff>85725</xdr:colOff>
      <xdr:row>135</xdr:row>
      <xdr:rowOff>128468</xdr:rowOff>
    </xdr:to>
    <xdr:cxnSp macro="">
      <xdr:nvCxnSpPr>
        <xdr:cNvPr id="116" name="Conector de Seta Reta 115">
          <a:extLst>
            <a:ext uri="{FF2B5EF4-FFF2-40B4-BE49-F238E27FC236}">
              <a16:creationId xmlns:a16="http://schemas.microsoft.com/office/drawing/2014/main" id="{EA042498-FC51-4E7D-916A-E5D2D71A296D}"/>
            </a:ext>
          </a:extLst>
        </xdr:cNvPr>
        <xdr:cNvCxnSpPr/>
      </xdr:nvCxnSpPr>
      <xdr:spPr>
        <a:xfrm flipV="1">
          <a:off x="1819275" y="30784800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138</xdr:row>
      <xdr:rowOff>180975</xdr:rowOff>
    </xdr:from>
    <xdr:to>
      <xdr:col>5</xdr:col>
      <xdr:colOff>566437</xdr:colOff>
      <xdr:row>140</xdr:row>
      <xdr:rowOff>38338</xdr:rowOff>
    </xdr:to>
    <xdr:sp macro="" textlink="">
      <xdr:nvSpPr>
        <xdr:cNvPr id="117" name="CaixaDeTexto 260">
          <a:extLst>
            <a:ext uri="{FF2B5EF4-FFF2-40B4-BE49-F238E27FC236}">
              <a16:creationId xmlns:a16="http://schemas.microsoft.com/office/drawing/2014/main" id="{F02B406A-AC37-4744-876E-8C670325422D}"/>
            </a:ext>
          </a:extLst>
        </xdr:cNvPr>
        <xdr:cNvSpPr txBox="1"/>
      </xdr:nvSpPr>
      <xdr:spPr>
        <a:xfrm>
          <a:off x="1438275" y="32375475"/>
          <a:ext cx="385462" cy="2383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UTR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139</xdr:row>
      <xdr:rowOff>109657</xdr:rowOff>
    </xdr:from>
    <xdr:to>
      <xdr:col>5</xdr:col>
      <xdr:colOff>180975</xdr:colOff>
      <xdr:row>139</xdr:row>
      <xdr:rowOff>123825</xdr:rowOff>
    </xdr:to>
    <xdr:cxnSp macro="">
      <xdr:nvCxnSpPr>
        <xdr:cNvPr id="118" name="Conector de Seta Reta 117">
          <a:extLst>
            <a:ext uri="{FF2B5EF4-FFF2-40B4-BE49-F238E27FC236}">
              <a16:creationId xmlns:a16="http://schemas.microsoft.com/office/drawing/2014/main" id="{186A9E30-4D8E-4BA1-9C51-045EE72E19F1}"/>
            </a:ext>
          </a:extLst>
        </xdr:cNvPr>
        <xdr:cNvCxnSpPr>
          <a:endCxn id="117" idx="1"/>
        </xdr:cNvCxnSpPr>
      </xdr:nvCxnSpPr>
      <xdr:spPr>
        <a:xfrm flipV="1">
          <a:off x="1266825" y="32494657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139</xdr:row>
      <xdr:rowOff>114300</xdr:rowOff>
    </xdr:from>
    <xdr:to>
      <xdr:col>6</xdr:col>
      <xdr:colOff>85725</xdr:colOff>
      <xdr:row>139</xdr:row>
      <xdr:rowOff>128468</xdr:rowOff>
    </xdr:to>
    <xdr:cxnSp macro="">
      <xdr:nvCxnSpPr>
        <xdr:cNvPr id="119" name="Conector de Seta Reta 118">
          <a:extLst>
            <a:ext uri="{FF2B5EF4-FFF2-40B4-BE49-F238E27FC236}">
              <a16:creationId xmlns:a16="http://schemas.microsoft.com/office/drawing/2014/main" id="{657F8FB4-CD83-4F73-B928-3262F665D2C9}"/>
            </a:ext>
          </a:extLst>
        </xdr:cNvPr>
        <xdr:cNvCxnSpPr/>
      </xdr:nvCxnSpPr>
      <xdr:spPr>
        <a:xfrm flipV="1">
          <a:off x="1819275" y="32499300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504825</xdr:colOff>
      <xdr:row>101</xdr:row>
      <xdr:rowOff>180975</xdr:rowOff>
    </xdr:from>
    <xdr:to>
      <xdr:col>20</xdr:col>
      <xdr:colOff>231904</xdr:colOff>
      <xdr:row>105</xdr:row>
      <xdr:rowOff>15751</xdr:rowOff>
    </xdr:to>
    <xdr:sp macro="" textlink="">
      <xdr:nvSpPr>
        <xdr:cNvPr id="120" name="CaixaDeTexto 225">
          <a:extLst>
            <a:ext uri="{FF2B5EF4-FFF2-40B4-BE49-F238E27FC236}">
              <a16:creationId xmlns:a16="http://schemas.microsoft.com/office/drawing/2014/main" id="{8FC8F3CF-1C45-468F-AD49-EE1FF19A0698}"/>
            </a:ext>
          </a:extLst>
        </xdr:cNvPr>
        <xdr:cNvSpPr txBox="1"/>
      </xdr:nvSpPr>
      <xdr:spPr>
        <a:xfrm>
          <a:off x="6838950" y="23802975"/>
          <a:ext cx="2413129" cy="596776"/>
        </a:xfrm>
        <a:prstGeom prst="flowChartAlternateProcess">
          <a:avLst/>
        </a:prstGeom>
        <a:solidFill>
          <a:srgbClr val="1F596B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00" b="1">
              <a:solidFill>
                <a:schemeClr val="bg1"/>
              </a:solidFill>
            </a:rPr>
            <a:t>UTM CISPAR</a:t>
          </a:r>
        </a:p>
        <a:p>
          <a:pPr algn="ctr"/>
          <a:r>
            <a:rPr lang="pt-BR" sz="1300" b="1">
              <a:solidFill>
                <a:schemeClr val="bg1"/>
              </a:solidFill>
            </a:rPr>
            <a:t>220 t/dia</a:t>
          </a:r>
        </a:p>
      </xdr:txBody>
    </xdr:sp>
    <xdr:clientData/>
  </xdr:twoCellAnchor>
  <xdr:twoCellAnchor>
    <xdr:from>
      <xdr:col>18</xdr:col>
      <xdr:colOff>85725</xdr:colOff>
      <xdr:row>136</xdr:row>
      <xdr:rowOff>133350</xdr:rowOff>
    </xdr:from>
    <xdr:to>
      <xdr:col>20</xdr:col>
      <xdr:colOff>198879</xdr:colOff>
      <xdr:row>137</xdr:row>
      <xdr:rowOff>183549</xdr:rowOff>
    </xdr:to>
    <xdr:sp macro="" textlink="">
      <xdr:nvSpPr>
        <xdr:cNvPr id="121" name="Cilindro 120">
          <a:extLst>
            <a:ext uri="{FF2B5EF4-FFF2-40B4-BE49-F238E27FC236}">
              <a16:creationId xmlns:a16="http://schemas.microsoft.com/office/drawing/2014/main" id="{D88500BB-E1FD-4BF6-9503-9AB82F553C8C}"/>
            </a:ext>
          </a:extLst>
        </xdr:cNvPr>
        <xdr:cNvSpPr/>
      </xdr:nvSpPr>
      <xdr:spPr>
        <a:xfrm>
          <a:off x="7553325" y="32137350"/>
          <a:ext cx="1665729" cy="240699"/>
        </a:xfrm>
        <a:prstGeom prst="can">
          <a:avLst>
            <a:gd name="adj" fmla="val 18391"/>
          </a:avLst>
        </a:prstGeom>
        <a:solidFill>
          <a:schemeClr val="accent6"/>
        </a:solidFill>
        <a:ln w="12700"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933">
              <a:solidFill>
                <a:schemeClr val="bg1"/>
              </a:solidFill>
            </a:rPr>
            <a:t>Recicláveis</a:t>
          </a:r>
        </a:p>
      </xdr:txBody>
    </xdr:sp>
    <xdr:clientData/>
  </xdr:twoCellAnchor>
  <xdr:twoCellAnchor>
    <xdr:from>
      <xdr:col>18</xdr:col>
      <xdr:colOff>9525</xdr:colOff>
      <xdr:row>139</xdr:row>
      <xdr:rowOff>47626</xdr:rowOff>
    </xdr:from>
    <xdr:to>
      <xdr:col>20</xdr:col>
      <xdr:colOff>122679</xdr:colOff>
      <xdr:row>140</xdr:row>
      <xdr:rowOff>47626</xdr:rowOff>
    </xdr:to>
    <xdr:sp macro="" textlink="">
      <xdr:nvSpPr>
        <xdr:cNvPr id="122" name="Trapezoide 121">
          <a:extLst>
            <a:ext uri="{FF2B5EF4-FFF2-40B4-BE49-F238E27FC236}">
              <a16:creationId xmlns:a16="http://schemas.microsoft.com/office/drawing/2014/main" id="{9EAEDE9F-D1C1-4F3A-8D3B-8FFA11215C3E}"/>
            </a:ext>
          </a:extLst>
        </xdr:cNvPr>
        <xdr:cNvSpPr/>
      </xdr:nvSpPr>
      <xdr:spPr>
        <a:xfrm>
          <a:off x="7477125" y="32623126"/>
          <a:ext cx="1665729" cy="190500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27867</xdr:colOff>
      <xdr:row>110</xdr:row>
      <xdr:rowOff>95370</xdr:rowOff>
    </xdr:from>
    <xdr:to>
      <xdr:col>20</xdr:col>
      <xdr:colOff>129221</xdr:colOff>
      <xdr:row>112</xdr:row>
      <xdr:rowOff>28576</xdr:rowOff>
    </xdr:to>
    <xdr:sp macro="" textlink="">
      <xdr:nvSpPr>
        <xdr:cNvPr id="123" name="Cilindro 122">
          <a:extLst>
            <a:ext uri="{FF2B5EF4-FFF2-40B4-BE49-F238E27FC236}">
              <a16:creationId xmlns:a16="http://schemas.microsoft.com/office/drawing/2014/main" id="{E8C49207-E782-4999-B49A-F773C1E01622}"/>
            </a:ext>
          </a:extLst>
        </xdr:cNvPr>
        <xdr:cNvSpPr/>
      </xdr:nvSpPr>
      <xdr:spPr>
        <a:xfrm>
          <a:off x="7495467" y="25622370"/>
          <a:ext cx="1653929" cy="314206"/>
        </a:xfrm>
        <a:prstGeom prst="can">
          <a:avLst>
            <a:gd name="adj" fmla="val 20085"/>
          </a:avLst>
        </a:prstGeom>
        <a:solidFill>
          <a:schemeClr val="accent6"/>
        </a:solidFill>
        <a:ln w="12700"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933">
              <a:solidFill>
                <a:schemeClr val="bg1"/>
              </a:solidFill>
            </a:rPr>
            <a:t>Recicláveis</a:t>
          </a:r>
        </a:p>
      </xdr:txBody>
    </xdr:sp>
    <xdr:clientData/>
  </xdr:twoCellAnchor>
  <xdr:twoCellAnchor>
    <xdr:from>
      <xdr:col>18</xdr:col>
      <xdr:colOff>66675</xdr:colOff>
      <xdr:row>113</xdr:row>
      <xdr:rowOff>123825</xdr:rowOff>
    </xdr:from>
    <xdr:to>
      <xdr:col>20</xdr:col>
      <xdr:colOff>179829</xdr:colOff>
      <xdr:row>114</xdr:row>
      <xdr:rowOff>171450</xdr:rowOff>
    </xdr:to>
    <xdr:sp macro="" textlink="">
      <xdr:nvSpPr>
        <xdr:cNvPr id="124" name="Trapezoide 123">
          <a:extLst>
            <a:ext uri="{FF2B5EF4-FFF2-40B4-BE49-F238E27FC236}">
              <a16:creationId xmlns:a16="http://schemas.microsoft.com/office/drawing/2014/main" id="{6219F182-D1DA-4CA6-A969-01A5B00D72AF}"/>
            </a:ext>
          </a:extLst>
        </xdr:cNvPr>
        <xdr:cNvSpPr/>
      </xdr:nvSpPr>
      <xdr:spPr>
        <a:xfrm>
          <a:off x="7534275" y="26222325"/>
          <a:ext cx="1665729" cy="238125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45734</xdr:colOff>
      <xdr:row>116</xdr:row>
      <xdr:rowOff>106592</xdr:rowOff>
    </xdr:from>
    <xdr:to>
      <xdr:col>20</xdr:col>
      <xdr:colOff>220407</xdr:colOff>
      <xdr:row>118</xdr:row>
      <xdr:rowOff>19050</xdr:rowOff>
    </xdr:to>
    <xdr:sp macro="" textlink="">
      <xdr:nvSpPr>
        <xdr:cNvPr id="125" name="Trapezoide 124">
          <a:extLst>
            <a:ext uri="{FF2B5EF4-FFF2-40B4-BE49-F238E27FC236}">
              <a16:creationId xmlns:a16="http://schemas.microsoft.com/office/drawing/2014/main" id="{152FFF57-B145-4F55-A931-BDFC7C224603}"/>
            </a:ext>
          </a:extLst>
        </xdr:cNvPr>
        <xdr:cNvSpPr/>
      </xdr:nvSpPr>
      <xdr:spPr>
        <a:xfrm>
          <a:off x="7513334" y="26776592"/>
          <a:ext cx="1727248" cy="293458"/>
        </a:xfrm>
        <a:prstGeom prst="trapezoid">
          <a:avLst/>
        </a:prstGeom>
        <a:solidFill>
          <a:srgbClr val="FFF9E5"/>
        </a:solidFill>
        <a:ln w="12700">
          <a:solidFill>
            <a:schemeClr val="accent4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900" kern="1200">
              <a:solidFill>
                <a:schemeClr val="accent4">
                  <a:lumMod val="50000"/>
                </a:schemeClr>
              </a:solidFill>
            </a:rPr>
            <a:t>Orgânicos</a:t>
          </a:r>
        </a:p>
      </xdr:txBody>
    </xdr:sp>
    <xdr:clientData/>
  </xdr:twoCellAnchor>
  <xdr:twoCellAnchor>
    <xdr:from>
      <xdr:col>17</xdr:col>
      <xdr:colOff>219075</xdr:colOff>
      <xdr:row>105</xdr:row>
      <xdr:rowOff>104776</xdr:rowOff>
    </xdr:from>
    <xdr:to>
      <xdr:col>19</xdr:col>
      <xdr:colOff>257175</xdr:colOff>
      <xdr:row>108</xdr:row>
      <xdr:rowOff>47626</xdr:rowOff>
    </xdr:to>
    <xdr:sp macro="" textlink="">
      <xdr:nvSpPr>
        <xdr:cNvPr id="126" name="Retângulo 125">
          <a:extLst>
            <a:ext uri="{FF2B5EF4-FFF2-40B4-BE49-F238E27FC236}">
              <a16:creationId xmlns:a16="http://schemas.microsoft.com/office/drawing/2014/main" id="{62004BAF-0DB8-40DB-A39A-511AE0FF0C81}"/>
            </a:ext>
          </a:extLst>
        </xdr:cNvPr>
        <xdr:cNvSpPr/>
      </xdr:nvSpPr>
      <xdr:spPr>
        <a:xfrm>
          <a:off x="7058025" y="24488776"/>
          <a:ext cx="1571625" cy="514350"/>
        </a:xfrm>
        <a:prstGeom prst="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400050</xdr:colOff>
      <xdr:row>108</xdr:row>
      <xdr:rowOff>47625</xdr:rowOff>
    </xdr:from>
    <xdr:to>
      <xdr:col>18</xdr:col>
      <xdr:colOff>590550</xdr:colOff>
      <xdr:row>109</xdr:row>
      <xdr:rowOff>0</xdr:rowOff>
    </xdr:to>
    <xdr:sp macro="" textlink="">
      <xdr:nvSpPr>
        <xdr:cNvPr id="127" name="Seta: para Baixo 126">
          <a:extLst>
            <a:ext uri="{FF2B5EF4-FFF2-40B4-BE49-F238E27FC236}">
              <a16:creationId xmlns:a16="http://schemas.microsoft.com/office/drawing/2014/main" id="{8E3EF69A-339F-49E4-8761-BF64108BD367}"/>
            </a:ext>
          </a:extLst>
        </xdr:cNvPr>
        <xdr:cNvSpPr/>
      </xdr:nvSpPr>
      <xdr:spPr>
        <a:xfrm>
          <a:off x="7867650" y="25003125"/>
          <a:ext cx="190500" cy="257175"/>
        </a:xfrm>
        <a:prstGeom prst="downArrow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19</xdr:col>
      <xdr:colOff>52108</xdr:colOff>
      <xdr:row>118</xdr:row>
      <xdr:rowOff>19050</xdr:rowOff>
    </xdr:from>
    <xdr:to>
      <xdr:col>19</xdr:col>
      <xdr:colOff>57150</xdr:colOff>
      <xdr:row>119</xdr:row>
      <xdr:rowOff>152400</xdr:rowOff>
    </xdr:to>
    <xdr:cxnSp macro="">
      <xdr:nvCxnSpPr>
        <xdr:cNvPr id="128" name="Conector de Seta Reta 127">
          <a:extLst>
            <a:ext uri="{FF2B5EF4-FFF2-40B4-BE49-F238E27FC236}">
              <a16:creationId xmlns:a16="http://schemas.microsoft.com/office/drawing/2014/main" id="{9398B8C6-2AE5-497B-8BF8-2823B9F10994}"/>
            </a:ext>
          </a:extLst>
        </xdr:cNvPr>
        <xdr:cNvCxnSpPr/>
      </xdr:nvCxnSpPr>
      <xdr:spPr>
        <a:xfrm>
          <a:off x="8424583" y="27070050"/>
          <a:ext cx="5042" cy="323850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114300</xdr:colOff>
      <xdr:row>119</xdr:row>
      <xdr:rowOff>152400</xdr:rowOff>
    </xdr:from>
    <xdr:to>
      <xdr:col>20</xdr:col>
      <xdr:colOff>116723</xdr:colOff>
      <xdr:row>121</xdr:row>
      <xdr:rowOff>63503</xdr:rowOff>
    </xdr:to>
    <xdr:sp macro="" textlink="">
      <xdr:nvSpPr>
        <xdr:cNvPr id="129" name="CaixaDeTexto 451">
          <a:extLst>
            <a:ext uri="{FF2B5EF4-FFF2-40B4-BE49-F238E27FC236}">
              <a16:creationId xmlns:a16="http://schemas.microsoft.com/office/drawing/2014/main" id="{982F0C6D-779B-4E7B-A969-96D10530E902}"/>
            </a:ext>
          </a:extLst>
        </xdr:cNvPr>
        <xdr:cNvSpPr txBox="1"/>
      </xdr:nvSpPr>
      <xdr:spPr>
        <a:xfrm>
          <a:off x="7581900" y="27393900"/>
          <a:ext cx="1554998" cy="292103"/>
        </a:xfrm>
        <a:prstGeom prst="flowChartAlternateProcess">
          <a:avLst/>
        </a:prstGeom>
        <a:solidFill>
          <a:srgbClr val="2D819B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200" b="0"/>
            <a:t>Compostagem</a:t>
          </a:r>
        </a:p>
      </xdr:txBody>
    </xdr:sp>
    <xdr:clientData/>
  </xdr:twoCellAnchor>
  <xdr:twoCellAnchor>
    <xdr:from>
      <xdr:col>18</xdr:col>
      <xdr:colOff>400050</xdr:colOff>
      <xdr:row>123</xdr:row>
      <xdr:rowOff>187973</xdr:rowOff>
    </xdr:from>
    <xdr:to>
      <xdr:col>20</xdr:col>
      <xdr:colOff>166016</xdr:colOff>
      <xdr:row>125</xdr:row>
      <xdr:rowOff>1</xdr:rowOff>
    </xdr:to>
    <xdr:sp macro="" textlink="">
      <xdr:nvSpPr>
        <xdr:cNvPr id="130" name="Cilindro 129">
          <a:extLst>
            <a:ext uri="{FF2B5EF4-FFF2-40B4-BE49-F238E27FC236}">
              <a16:creationId xmlns:a16="http://schemas.microsoft.com/office/drawing/2014/main" id="{4163BA50-D5B7-4680-8741-6B7C14497C10}"/>
            </a:ext>
          </a:extLst>
        </xdr:cNvPr>
        <xdr:cNvSpPr/>
      </xdr:nvSpPr>
      <xdr:spPr>
        <a:xfrm>
          <a:off x="7867650" y="28191473"/>
          <a:ext cx="1318541" cy="193028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Composto</a:t>
          </a:r>
        </a:p>
      </xdr:txBody>
    </xdr:sp>
    <xdr:clientData/>
  </xdr:twoCellAnchor>
  <xdr:twoCellAnchor>
    <xdr:from>
      <xdr:col>18</xdr:col>
      <xdr:colOff>528843</xdr:colOff>
      <xdr:row>126</xdr:row>
      <xdr:rowOff>172148</xdr:rowOff>
    </xdr:from>
    <xdr:to>
      <xdr:col>20</xdr:col>
      <xdr:colOff>241947</xdr:colOff>
      <xdr:row>129</xdr:row>
      <xdr:rowOff>161925</xdr:rowOff>
    </xdr:to>
    <xdr:sp macro="" textlink="">
      <xdr:nvSpPr>
        <xdr:cNvPr id="131" name="Cilindro 130">
          <a:extLst>
            <a:ext uri="{FF2B5EF4-FFF2-40B4-BE49-F238E27FC236}">
              <a16:creationId xmlns:a16="http://schemas.microsoft.com/office/drawing/2014/main" id="{7730C6E8-F06B-46B7-B667-3B12B3A4B873}"/>
            </a:ext>
          </a:extLst>
        </xdr:cNvPr>
        <xdr:cNvSpPr/>
      </xdr:nvSpPr>
      <xdr:spPr>
        <a:xfrm>
          <a:off x="7996443" y="28747148"/>
          <a:ext cx="1265679" cy="942277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Composto Peneirado</a:t>
          </a:r>
        </a:p>
      </xdr:txBody>
    </xdr:sp>
    <xdr:clientData/>
  </xdr:twoCellAnchor>
  <xdr:twoCellAnchor>
    <xdr:from>
      <xdr:col>16</xdr:col>
      <xdr:colOff>152401</xdr:colOff>
      <xdr:row>123</xdr:row>
      <xdr:rowOff>176265</xdr:rowOff>
    </xdr:from>
    <xdr:to>
      <xdr:col>18</xdr:col>
      <xdr:colOff>180976</xdr:colOff>
      <xdr:row>125</xdr:row>
      <xdr:rowOff>0</xdr:rowOff>
    </xdr:to>
    <xdr:sp macro="" textlink="">
      <xdr:nvSpPr>
        <xdr:cNvPr id="132" name="Cilindro 131">
          <a:extLst>
            <a:ext uri="{FF2B5EF4-FFF2-40B4-BE49-F238E27FC236}">
              <a16:creationId xmlns:a16="http://schemas.microsoft.com/office/drawing/2014/main" id="{5035AFD7-EF79-424E-9373-313FA7B4259B}"/>
            </a:ext>
          </a:extLst>
        </xdr:cNvPr>
        <xdr:cNvSpPr/>
      </xdr:nvSpPr>
      <xdr:spPr>
        <a:xfrm>
          <a:off x="6715126" y="28179765"/>
          <a:ext cx="933450" cy="204735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endParaRPr lang="pt-BR" sz="1050" b="1" kern="1200">
            <a:solidFill>
              <a:schemeClr val="bg1"/>
            </a:solidFill>
          </a:endParaRPr>
        </a:p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Redução</a:t>
          </a:r>
        </a:p>
        <a:p>
          <a:pPr algn="ctr" defTabSz="342900">
            <a:buClrTx/>
          </a:pPr>
          <a:endParaRPr lang="pt-BR" sz="105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19315</xdr:colOff>
      <xdr:row>121</xdr:row>
      <xdr:rowOff>123825</xdr:rowOff>
    </xdr:from>
    <xdr:to>
      <xdr:col>18</xdr:col>
      <xdr:colOff>352426</xdr:colOff>
      <xdr:row>123</xdr:row>
      <xdr:rowOff>128640</xdr:rowOff>
    </xdr:to>
    <xdr:cxnSp macro="">
      <xdr:nvCxnSpPr>
        <xdr:cNvPr id="133" name="Conector angulado 242">
          <a:extLst>
            <a:ext uri="{FF2B5EF4-FFF2-40B4-BE49-F238E27FC236}">
              <a16:creationId xmlns:a16="http://schemas.microsoft.com/office/drawing/2014/main" id="{C8A73696-FD8D-4260-8800-563B40DD3D94}"/>
            </a:ext>
          </a:extLst>
        </xdr:cNvPr>
        <xdr:cNvCxnSpPr>
          <a:cxnSpLocks/>
        </xdr:cNvCxnSpPr>
      </xdr:nvCxnSpPr>
      <xdr:spPr>
        <a:xfrm rot="5400000">
          <a:off x="7460563" y="27772677"/>
          <a:ext cx="385815" cy="333111"/>
        </a:xfrm>
        <a:prstGeom prst="bentConnector3">
          <a:avLst>
            <a:gd name="adj1" fmla="val 50000"/>
          </a:avLst>
        </a:prstGeom>
        <a:ln w="19050"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352427</xdr:colOff>
      <xdr:row>121</xdr:row>
      <xdr:rowOff>57151</xdr:rowOff>
    </xdr:from>
    <xdr:to>
      <xdr:col>18</xdr:col>
      <xdr:colOff>683713</xdr:colOff>
      <xdr:row>123</xdr:row>
      <xdr:rowOff>178447</xdr:rowOff>
    </xdr:to>
    <xdr:cxnSp macro="">
      <xdr:nvCxnSpPr>
        <xdr:cNvPr id="134" name="Conector angulado 242">
          <a:extLst>
            <a:ext uri="{FF2B5EF4-FFF2-40B4-BE49-F238E27FC236}">
              <a16:creationId xmlns:a16="http://schemas.microsoft.com/office/drawing/2014/main" id="{0C8B3062-B27B-424C-914E-E7A26063A25F}"/>
            </a:ext>
          </a:extLst>
        </xdr:cNvPr>
        <xdr:cNvCxnSpPr>
          <a:cxnSpLocks/>
        </xdr:cNvCxnSpPr>
      </xdr:nvCxnSpPr>
      <xdr:spPr>
        <a:xfrm rot="16200000" flipH="1">
          <a:off x="7734522" y="27765156"/>
          <a:ext cx="502296" cy="331286"/>
        </a:xfrm>
        <a:prstGeom prst="bentConnector3">
          <a:avLst>
            <a:gd name="adj1" fmla="val 51896"/>
          </a:avLst>
        </a:prstGeom>
        <a:ln w="19050"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571500</xdr:colOff>
      <xdr:row>125</xdr:row>
      <xdr:rowOff>9525</xdr:rowOff>
    </xdr:from>
    <xdr:to>
      <xdr:col>18</xdr:col>
      <xdr:colOff>581025</xdr:colOff>
      <xdr:row>128</xdr:row>
      <xdr:rowOff>9525</xdr:rowOff>
    </xdr:to>
    <xdr:cxnSp macro="">
      <xdr:nvCxnSpPr>
        <xdr:cNvPr id="135" name="Conector de Seta Reta 134">
          <a:extLst>
            <a:ext uri="{FF2B5EF4-FFF2-40B4-BE49-F238E27FC236}">
              <a16:creationId xmlns:a16="http://schemas.microsoft.com/office/drawing/2014/main" id="{031AB784-E319-4DD5-AAA0-205E3C5333DF}"/>
            </a:ext>
          </a:extLst>
        </xdr:cNvPr>
        <xdr:cNvCxnSpPr/>
      </xdr:nvCxnSpPr>
      <xdr:spPr>
        <a:xfrm>
          <a:off x="8039100" y="28394025"/>
          <a:ext cx="9525" cy="952500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131</xdr:row>
      <xdr:rowOff>152401</xdr:rowOff>
    </xdr:from>
    <xdr:to>
      <xdr:col>19</xdr:col>
      <xdr:colOff>295275</xdr:colOff>
      <xdr:row>133</xdr:row>
      <xdr:rowOff>1</xdr:rowOff>
    </xdr:to>
    <xdr:sp macro="" textlink="">
      <xdr:nvSpPr>
        <xdr:cNvPr id="136" name="Trapezoide 135">
          <a:extLst>
            <a:ext uri="{FF2B5EF4-FFF2-40B4-BE49-F238E27FC236}">
              <a16:creationId xmlns:a16="http://schemas.microsoft.com/office/drawing/2014/main" id="{7EDCDC23-32D7-4A39-96A2-56AA9400E723}"/>
            </a:ext>
          </a:extLst>
        </xdr:cNvPr>
        <xdr:cNvSpPr/>
      </xdr:nvSpPr>
      <xdr:spPr>
        <a:xfrm>
          <a:off x="7524750" y="30060901"/>
          <a:ext cx="1143000" cy="228600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428625</xdr:colOff>
      <xdr:row>124</xdr:row>
      <xdr:rowOff>180975</xdr:rowOff>
    </xdr:from>
    <xdr:to>
      <xdr:col>18</xdr:col>
      <xdr:colOff>447675</xdr:colOff>
      <xdr:row>131</xdr:row>
      <xdr:rowOff>95250</xdr:rowOff>
    </xdr:to>
    <xdr:cxnSp macro="">
      <xdr:nvCxnSpPr>
        <xdr:cNvPr id="137" name="Conector de Seta Reta 136">
          <a:extLst>
            <a:ext uri="{FF2B5EF4-FFF2-40B4-BE49-F238E27FC236}">
              <a16:creationId xmlns:a16="http://schemas.microsoft.com/office/drawing/2014/main" id="{703D2668-A88E-4DD8-A389-D784D29298ED}"/>
            </a:ext>
          </a:extLst>
        </xdr:cNvPr>
        <xdr:cNvCxnSpPr/>
      </xdr:nvCxnSpPr>
      <xdr:spPr>
        <a:xfrm>
          <a:off x="7896225" y="28374975"/>
          <a:ext cx="19050" cy="1628775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150063</xdr:colOff>
      <xdr:row>114</xdr:row>
      <xdr:rowOff>52388</xdr:rowOff>
    </xdr:from>
    <xdr:to>
      <xdr:col>21</xdr:col>
      <xdr:colOff>542925</xdr:colOff>
      <xdr:row>114</xdr:row>
      <xdr:rowOff>57150</xdr:rowOff>
    </xdr:to>
    <xdr:cxnSp macro="">
      <xdr:nvCxnSpPr>
        <xdr:cNvPr id="138" name="Conector de Seta Reta 137">
          <a:extLst>
            <a:ext uri="{FF2B5EF4-FFF2-40B4-BE49-F238E27FC236}">
              <a16:creationId xmlns:a16="http://schemas.microsoft.com/office/drawing/2014/main" id="{0CB52A0E-AFA9-48EA-B725-909F8ED751E0}"/>
            </a:ext>
          </a:extLst>
        </xdr:cNvPr>
        <xdr:cNvCxnSpPr>
          <a:stCxn id="124" idx="3"/>
        </xdr:cNvCxnSpPr>
      </xdr:nvCxnSpPr>
      <xdr:spPr>
        <a:xfrm>
          <a:off x="9170238" y="26341388"/>
          <a:ext cx="973887" cy="4762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266700</xdr:colOff>
      <xdr:row>132</xdr:row>
      <xdr:rowOff>57150</xdr:rowOff>
    </xdr:from>
    <xdr:to>
      <xdr:col>22</xdr:col>
      <xdr:colOff>0</xdr:colOff>
      <xdr:row>132</xdr:row>
      <xdr:rowOff>76201</xdr:rowOff>
    </xdr:to>
    <xdr:cxnSp macro="">
      <xdr:nvCxnSpPr>
        <xdr:cNvPr id="139" name="Conector de Seta Reta 138">
          <a:extLst>
            <a:ext uri="{FF2B5EF4-FFF2-40B4-BE49-F238E27FC236}">
              <a16:creationId xmlns:a16="http://schemas.microsoft.com/office/drawing/2014/main" id="{A016D8BE-F986-4379-999C-BF218C19DA5F}"/>
            </a:ext>
          </a:extLst>
        </xdr:cNvPr>
        <xdr:cNvCxnSpPr>
          <a:stCxn id="136" idx="3"/>
        </xdr:cNvCxnSpPr>
      </xdr:nvCxnSpPr>
      <xdr:spPr>
        <a:xfrm flipV="1">
          <a:off x="8639175" y="30156150"/>
          <a:ext cx="1571625" cy="19051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95250</xdr:colOff>
      <xdr:row>139</xdr:row>
      <xdr:rowOff>142875</xdr:rowOff>
    </xdr:from>
    <xdr:to>
      <xdr:col>21</xdr:col>
      <xdr:colOff>571500</xdr:colOff>
      <xdr:row>139</xdr:row>
      <xdr:rowOff>161925</xdr:rowOff>
    </xdr:to>
    <xdr:cxnSp macro="">
      <xdr:nvCxnSpPr>
        <xdr:cNvPr id="140" name="Conector de Seta Reta 139">
          <a:extLst>
            <a:ext uri="{FF2B5EF4-FFF2-40B4-BE49-F238E27FC236}">
              <a16:creationId xmlns:a16="http://schemas.microsoft.com/office/drawing/2014/main" id="{3112382A-C8D6-44C7-BF54-8E2C9B3F8921}"/>
            </a:ext>
          </a:extLst>
        </xdr:cNvPr>
        <xdr:cNvCxnSpPr/>
      </xdr:nvCxnSpPr>
      <xdr:spPr>
        <a:xfrm>
          <a:off x="9115425" y="32718375"/>
          <a:ext cx="1057275" cy="19050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191</xdr:colOff>
      <xdr:row>154</xdr:row>
      <xdr:rowOff>104678</xdr:rowOff>
    </xdr:from>
    <xdr:to>
      <xdr:col>13</xdr:col>
      <xdr:colOff>581025</xdr:colOff>
      <xdr:row>157</xdr:row>
      <xdr:rowOff>33741</xdr:rowOff>
    </xdr:to>
    <xdr:sp macro="" textlink="">
      <xdr:nvSpPr>
        <xdr:cNvPr id="141" name="CaixaDeTexto 220">
          <a:extLst>
            <a:ext uri="{FF2B5EF4-FFF2-40B4-BE49-F238E27FC236}">
              <a16:creationId xmlns:a16="http://schemas.microsoft.com/office/drawing/2014/main" id="{D1256ED2-F34B-4CDD-8C82-49B080E52D76}"/>
            </a:ext>
          </a:extLst>
        </xdr:cNvPr>
        <xdr:cNvSpPr txBox="1"/>
      </xdr:nvSpPr>
      <xdr:spPr>
        <a:xfrm>
          <a:off x="4438841" y="35985353"/>
          <a:ext cx="1190434" cy="500563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ETR-01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(Arapuá)</a:t>
          </a:r>
        </a:p>
      </xdr:txBody>
    </xdr:sp>
    <xdr:clientData/>
  </xdr:twoCellAnchor>
  <xdr:twoCellAnchor>
    <xdr:from>
      <xdr:col>12</xdr:col>
      <xdr:colOff>191</xdr:colOff>
      <xdr:row>163</xdr:row>
      <xdr:rowOff>13959</xdr:rowOff>
    </xdr:from>
    <xdr:to>
      <xdr:col>14</xdr:col>
      <xdr:colOff>9525</xdr:colOff>
      <xdr:row>166</xdr:row>
      <xdr:rowOff>47624</xdr:rowOff>
    </xdr:to>
    <xdr:sp macro="" textlink="">
      <xdr:nvSpPr>
        <xdr:cNvPr id="142" name="CaixaDeTexto 221">
          <a:extLst>
            <a:ext uri="{FF2B5EF4-FFF2-40B4-BE49-F238E27FC236}">
              <a16:creationId xmlns:a16="http://schemas.microsoft.com/office/drawing/2014/main" id="{64E5DD10-060E-489A-87AB-CB329DCC0BE0}"/>
            </a:ext>
          </a:extLst>
        </xdr:cNvPr>
        <xdr:cNvSpPr txBox="1"/>
      </xdr:nvSpPr>
      <xdr:spPr>
        <a:xfrm>
          <a:off x="4438841" y="37799634"/>
          <a:ext cx="1228534" cy="605165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ETR-02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(Coromandel)</a:t>
          </a:r>
        </a:p>
      </xdr:txBody>
    </xdr:sp>
    <xdr:clientData/>
  </xdr:twoCellAnchor>
  <xdr:twoCellAnchor>
    <xdr:from>
      <xdr:col>12</xdr:col>
      <xdr:colOff>191</xdr:colOff>
      <xdr:row>170</xdr:row>
      <xdr:rowOff>188754</xdr:rowOff>
    </xdr:from>
    <xdr:to>
      <xdr:col>13</xdr:col>
      <xdr:colOff>590550</xdr:colOff>
      <xdr:row>173</xdr:row>
      <xdr:rowOff>117817</xdr:rowOff>
    </xdr:to>
    <xdr:sp macro="" textlink="">
      <xdr:nvSpPr>
        <xdr:cNvPr id="143" name="CaixaDeTexto 222">
          <a:extLst>
            <a:ext uri="{FF2B5EF4-FFF2-40B4-BE49-F238E27FC236}">
              <a16:creationId xmlns:a16="http://schemas.microsoft.com/office/drawing/2014/main" id="{91C57A37-9C7B-4763-AF30-F09A0E0D4624}"/>
            </a:ext>
          </a:extLst>
        </xdr:cNvPr>
        <xdr:cNvSpPr txBox="1"/>
      </xdr:nvSpPr>
      <xdr:spPr>
        <a:xfrm>
          <a:off x="4438841" y="39307929"/>
          <a:ext cx="1199959" cy="500563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ETR-03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(Guimarânia)</a:t>
          </a:r>
        </a:p>
      </xdr:txBody>
    </xdr:sp>
    <xdr:clientData/>
  </xdr:twoCellAnchor>
  <xdr:twoCellAnchor>
    <xdr:from>
      <xdr:col>11</xdr:col>
      <xdr:colOff>253491</xdr:colOff>
      <xdr:row>185</xdr:row>
      <xdr:rowOff>163220</xdr:rowOff>
    </xdr:from>
    <xdr:to>
      <xdr:col>14</xdr:col>
      <xdr:colOff>76200</xdr:colOff>
      <xdr:row>189</xdr:row>
      <xdr:rowOff>92331</xdr:rowOff>
    </xdr:to>
    <xdr:sp macro="" textlink="">
      <xdr:nvSpPr>
        <xdr:cNvPr id="144" name="CaixaDeTexto 223">
          <a:extLst>
            <a:ext uri="{FF2B5EF4-FFF2-40B4-BE49-F238E27FC236}">
              <a16:creationId xmlns:a16="http://schemas.microsoft.com/office/drawing/2014/main" id="{26522C62-9044-417D-95D7-1AC308F0B0DF}"/>
            </a:ext>
          </a:extLst>
        </xdr:cNvPr>
        <xdr:cNvSpPr txBox="1"/>
      </xdr:nvSpPr>
      <xdr:spPr>
        <a:xfrm>
          <a:off x="4358766" y="35472395"/>
          <a:ext cx="1299084" cy="691111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ETR-04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(Presidente</a:t>
          </a:r>
          <a:r>
            <a:rPr lang="pt-BR" sz="1100" baseline="0">
              <a:solidFill>
                <a:prstClr val="black"/>
              </a:solidFill>
            </a:rPr>
            <a:t> Olegário</a:t>
          </a:r>
          <a:r>
            <a:rPr lang="pt-BR" sz="1100">
              <a:solidFill>
                <a:prstClr val="black"/>
              </a:solidFill>
            </a:rPr>
            <a:t>)</a:t>
          </a:r>
        </a:p>
      </xdr:txBody>
    </xdr:sp>
    <xdr:clientData/>
  </xdr:twoCellAnchor>
  <xdr:twoCellAnchor>
    <xdr:from>
      <xdr:col>22</xdr:col>
      <xdr:colOff>457200</xdr:colOff>
      <xdr:row>158</xdr:row>
      <xdr:rowOff>64319</xdr:rowOff>
    </xdr:from>
    <xdr:to>
      <xdr:col>25</xdr:col>
      <xdr:colOff>200025</xdr:colOff>
      <xdr:row>163</xdr:row>
      <xdr:rowOff>124711</xdr:rowOff>
    </xdr:to>
    <xdr:sp macro="" textlink="">
      <xdr:nvSpPr>
        <xdr:cNvPr id="145" name="CaixaDeTexto 232">
          <a:extLst>
            <a:ext uri="{FF2B5EF4-FFF2-40B4-BE49-F238E27FC236}">
              <a16:creationId xmlns:a16="http://schemas.microsoft.com/office/drawing/2014/main" id="{6A88F6D0-1829-49C7-859C-92CB6588545A}"/>
            </a:ext>
          </a:extLst>
        </xdr:cNvPr>
        <xdr:cNvSpPr txBox="1"/>
      </xdr:nvSpPr>
      <xdr:spPr>
        <a:xfrm>
          <a:off x="10391775" y="36897494"/>
          <a:ext cx="1895475" cy="1012892"/>
        </a:xfrm>
        <a:prstGeom prst="flowChartTerminator">
          <a:avLst/>
        </a:prstGeom>
        <a:solidFill>
          <a:schemeClr val="accent2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33" b="1">
              <a:solidFill>
                <a:schemeClr val="bg1"/>
              </a:solidFill>
            </a:rPr>
            <a:t>Novo</a:t>
          </a:r>
          <a:r>
            <a:rPr lang="pt-BR" sz="1333" b="1" baseline="0">
              <a:solidFill>
                <a:schemeClr val="bg1"/>
              </a:solidFill>
            </a:rPr>
            <a:t> Aterro Sanitário CISPAR</a:t>
          </a:r>
          <a:endParaRPr lang="pt-BR" sz="1333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0</xdr:colOff>
      <xdr:row>155</xdr:row>
      <xdr:rowOff>9525</xdr:rowOff>
    </xdr:from>
    <xdr:to>
      <xdr:col>11</xdr:col>
      <xdr:colOff>428625</xdr:colOff>
      <xdr:row>155</xdr:row>
      <xdr:rowOff>19050</xdr:rowOff>
    </xdr:to>
    <xdr:cxnSp macro="">
      <xdr:nvCxnSpPr>
        <xdr:cNvPr id="146" name="Conector de Seta Reta 145">
          <a:extLst>
            <a:ext uri="{FF2B5EF4-FFF2-40B4-BE49-F238E27FC236}">
              <a16:creationId xmlns:a16="http://schemas.microsoft.com/office/drawing/2014/main" id="{8930BE9C-C421-437D-B8C6-491D558E3275}"/>
            </a:ext>
          </a:extLst>
        </xdr:cNvPr>
        <xdr:cNvCxnSpPr/>
      </xdr:nvCxnSpPr>
      <xdr:spPr>
        <a:xfrm flipV="1">
          <a:off x="3162300" y="3608070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156</xdr:row>
      <xdr:rowOff>28575</xdr:rowOff>
    </xdr:from>
    <xdr:to>
      <xdr:col>11</xdr:col>
      <xdr:colOff>438150</xdr:colOff>
      <xdr:row>156</xdr:row>
      <xdr:rowOff>38100</xdr:rowOff>
    </xdr:to>
    <xdr:cxnSp macro="">
      <xdr:nvCxnSpPr>
        <xdr:cNvPr id="147" name="Conector de Seta Reta 146">
          <a:extLst>
            <a:ext uri="{FF2B5EF4-FFF2-40B4-BE49-F238E27FC236}">
              <a16:creationId xmlns:a16="http://schemas.microsoft.com/office/drawing/2014/main" id="{23D20EBE-0A82-4F02-8177-2FD00E31439F}"/>
            </a:ext>
          </a:extLst>
        </xdr:cNvPr>
        <xdr:cNvCxnSpPr/>
      </xdr:nvCxnSpPr>
      <xdr:spPr>
        <a:xfrm flipV="1">
          <a:off x="3171825" y="36290250"/>
          <a:ext cx="12668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164</xdr:row>
      <xdr:rowOff>9525</xdr:rowOff>
    </xdr:from>
    <xdr:to>
      <xdr:col>11</xdr:col>
      <xdr:colOff>428625</xdr:colOff>
      <xdr:row>164</xdr:row>
      <xdr:rowOff>19050</xdr:rowOff>
    </xdr:to>
    <xdr:cxnSp macro="">
      <xdr:nvCxnSpPr>
        <xdr:cNvPr id="148" name="Conector de Seta Reta 147">
          <a:extLst>
            <a:ext uri="{FF2B5EF4-FFF2-40B4-BE49-F238E27FC236}">
              <a16:creationId xmlns:a16="http://schemas.microsoft.com/office/drawing/2014/main" id="{BDC43414-7C21-4FF5-9C3C-41CC7CEFD2C2}"/>
            </a:ext>
          </a:extLst>
        </xdr:cNvPr>
        <xdr:cNvCxnSpPr/>
      </xdr:nvCxnSpPr>
      <xdr:spPr>
        <a:xfrm flipV="1">
          <a:off x="3162300" y="3798570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165</xdr:row>
      <xdr:rowOff>9525</xdr:rowOff>
    </xdr:from>
    <xdr:to>
      <xdr:col>11</xdr:col>
      <xdr:colOff>428625</xdr:colOff>
      <xdr:row>165</xdr:row>
      <xdr:rowOff>19050</xdr:rowOff>
    </xdr:to>
    <xdr:cxnSp macro="">
      <xdr:nvCxnSpPr>
        <xdr:cNvPr id="149" name="Conector de Seta Reta 148">
          <a:extLst>
            <a:ext uri="{FF2B5EF4-FFF2-40B4-BE49-F238E27FC236}">
              <a16:creationId xmlns:a16="http://schemas.microsoft.com/office/drawing/2014/main" id="{DB1B75DD-AD6D-4AA5-9E96-FDD2B2C15E51}"/>
            </a:ext>
          </a:extLst>
        </xdr:cNvPr>
        <xdr:cNvCxnSpPr/>
      </xdr:nvCxnSpPr>
      <xdr:spPr>
        <a:xfrm flipV="1">
          <a:off x="3162300" y="3817620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172</xdr:row>
      <xdr:rowOff>9525</xdr:rowOff>
    </xdr:from>
    <xdr:to>
      <xdr:col>11</xdr:col>
      <xdr:colOff>428625</xdr:colOff>
      <xdr:row>172</xdr:row>
      <xdr:rowOff>19050</xdr:rowOff>
    </xdr:to>
    <xdr:cxnSp macro="">
      <xdr:nvCxnSpPr>
        <xdr:cNvPr id="150" name="Conector de Seta Reta 149">
          <a:extLst>
            <a:ext uri="{FF2B5EF4-FFF2-40B4-BE49-F238E27FC236}">
              <a16:creationId xmlns:a16="http://schemas.microsoft.com/office/drawing/2014/main" id="{30FAF50E-4A71-448E-901B-ECCBA1BCA5A5}"/>
            </a:ext>
          </a:extLst>
        </xdr:cNvPr>
        <xdr:cNvCxnSpPr/>
      </xdr:nvCxnSpPr>
      <xdr:spPr>
        <a:xfrm flipV="1">
          <a:off x="3162300" y="3950970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173</xdr:row>
      <xdr:rowOff>9525</xdr:rowOff>
    </xdr:from>
    <xdr:to>
      <xdr:col>11</xdr:col>
      <xdr:colOff>428625</xdr:colOff>
      <xdr:row>173</xdr:row>
      <xdr:rowOff>19050</xdr:rowOff>
    </xdr:to>
    <xdr:cxnSp macro="">
      <xdr:nvCxnSpPr>
        <xdr:cNvPr id="151" name="Conector de Seta Reta 150">
          <a:extLst>
            <a:ext uri="{FF2B5EF4-FFF2-40B4-BE49-F238E27FC236}">
              <a16:creationId xmlns:a16="http://schemas.microsoft.com/office/drawing/2014/main" id="{6F526F10-6F23-4926-A1A0-1F5E5118B248}"/>
            </a:ext>
          </a:extLst>
        </xdr:cNvPr>
        <xdr:cNvCxnSpPr/>
      </xdr:nvCxnSpPr>
      <xdr:spPr>
        <a:xfrm flipV="1">
          <a:off x="3162300" y="3970020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187</xdr:row>
      <xdr:rowOff>9525</xdr:rowOff>
    </xdr:from>
    <xdr:to>
      <xdr:col>11</xdr:col>
      <xdr:colOff>428625</xdr:colOff>
      <xdr:row>187</xdr:row>
      <xdr:rowOff>19050</xdr:rowOff>
    </xdr:to>
    <xdr:cxnSp macro="">
      <xdr:nvCxnSpPr>
        <xdr:cNvPr id="152" name="Conector de Seta Reta 151">
          <a:extLst>
            <a:ext uri="{FF2B5EF4-FFF2-40B4-BE49-F238E27FC236}">
              <a16:creationId xmlns:a16="http://schemas.microsoft.com/office/drawing/2014/main" id="{3C7E245A-7520-43BB-A261-19A05804F8C8}"/>
            </a:ext>
          </a:extLst>
        </xdr:cNvPr>
        <xdr:cNvCxnSpPr/>
      </xdr:nvCxnSpPr>
      <xdr:spPr>
        <a:xfrm flipV="1">
          <a:off x="3162300" y="4274820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188</xdr:row>
      <xdr:rowOff>9525</xdr:rowOff>
    </xdr:from>
    <xdr:to>
      <xdr:col>11</xdr:col>
      <xdr:colOff>428625</xdr:colOff>
      <xdr:row>188</xdr:row>
      <xdr:rowOff>19050</xdr:rowOff>
    </xdr:to>
    <xdr:cxnSp macro="">
      <xdr:nvCxnSpPr>
        <xdr:cNvPr id="153" name="Conector de Seta Reta 152">
          <a:extLst>
            <a:ext uri="{FF2B5EF4-FFF2-40B4-BE49-F238E27FC236}">
              <a16:creationId xmlns:a16="http://schemas.microsoft.com/office/drawing/2014/main" id="{5C35FB81-DE6A-4D4E-945A-2EB2BEDE25AA}"/>
            </a:ext>
          </a:extLst>
        </xdr:cNvPr>
        <xdr:cNvCxnSpPr/>
      </xdr:nvCxnSpPr>
      <xdr:spPr>
        <a:xfrm flipV="1">
          <a:off x="3162300" y="42938700"/>
          <a:ext cx="12763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179</xdr:row>
      <xdr:rowOff>0</xdr:rowOff>
    </xdr:from>
    <xdr:to>
      <xdr:col>15</xdr:col>
      <xdr:colOff>619125</xdr:colOff>
      <xdr:row>179</xdr:row>
      <xdr:rowOff>28575</xdr:rowOff>
    </xdr:to>
    <xdr:cxnSp macro="">
      <xdr:nvCxnSpPr>
        <xdr:cNvPr id="156" name="Conector de Seta Reta 155">
          <a:extLst>
            <a:ext uri="{FF2B5EF4-FFF2-40B4-BE49-F238E27FC236}">
              <a16:creationId xmlns:a16="http://schemas.microsoft.com/office/drawing/2014/main" id="{3378F6CA-F67E-4415-A6D7-C60E75187E3B}"/>
            </a:ext>
          </a:extLst>
        </xdr:cNvPr>
        <xdr:cNvCxnSpPr/>
      </xdr:nvCxnSpPr>
      <xdr:spPr>
        <a:xfrm>
          <a:off x="3171825" y="41214675"/>
          <a:ext cx="3362325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180</xdr:row>
      <xdr:rowOff>19050</xdr:rowOff>
    </xdr:from>
    <xdr:to>
      <xdr:col>15</xdr:col>
      <xdr:colOff>638175</xdr:colOff>
      <xdr:row>180</xdr:row>
      <xdr:rowOff>47625</xdr:rowOff>
    </xdr:to>
    <xdr:cxnSp macro="">
      <xdr:nvCxnSpPr>
        <xdr:cNvPr id="157" name="Conector de Seta Reta 156">
          <a:extLst>
            <a:ext uri="{FF2B5EF4-FFF2-40B4-BE49-F238E27FC236}">
              <a16:creationId xmlns:a16="http://schemas.microsoft.com/office/drawing/2014/main" id="{EBAC07D2-DABD-4C63-9E97-96A1A8E9247A}"/>
            </a:ext>
          </a:extLst>
        </xdr:cNvPr>
        <xdr:cNvCxnSpPr/>
      </xdr:nvCxnSpPr>
      <xdr:spPr>
        <a:xfrm>
          <a:off x="3162300" y="41424225"/>
          <a:ext cx="3390900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600075</xdr:colOff>
      <xdr:row>183</xdr:row>
      <xdr:rowOff>47625</xdr:rowOff>
    </xdr:from>
    <xdr:to>
      <xdr:col>15</xdr:col>
      <xdr:colOff>628650</xdr:colOff>
      <xdr:row>183</xdr:row>
      <xdr:rowOff>47625</xdr:rowOff>
    </xdr:to>
    <xdr:cxnSp macro="">
      <xdr:nvCxnSpPr>
        <xdr:cNvPr id="158" name="Conector de Seta Reta 157">
          <a:extLst>
            <a:ext uri="{FF2B5EF4-FFF2-40B4-BE49-F238E27FC236}">
              <a16:creationId xmlns:a16="http://schemas.microsoft.com/office/drawing/2014/main" id="{A1DED03A-9A8D-45A8-B7BA-C03CB00A8963}"/>
            </a:ext>
          </a:extLst>
        </xdr:cNvPr>
        <xdr:cNvCxnSpPr/>
      </xdr:nvCxnSpPr>
      <xdr:spPr>
        <a:xfrm>
          <a:off x="3152775" y="42024300"/>
          <a:ext cx="33909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600075</xdr:colOff>
      <xdr:row>184</xdr:row>
      <xdr:rowOff>19050</xdr:rowOff>
    </xdr:from>
    <xdr:to>
      <xdr:col>16</xdr:col>
      <xdr:colOff>0</xdr:colOff>
      <xdr:row>184</xdr:row>
      <xdr:rowOff>47625</xdr:rowOff>
    </xdr:to>
    <xdr:cxnSp macro="">
      <xdr:nvCxnSpPr>
        <xdr:cNvPr id="159" name="Conector de Seta Reta 158">
          <a:extLst>
            <a:ext uri="{FF2B5EF4-FFF2-40B4-BE49-F238E27FC236}">
              <a16:creationId xmlns:a16="http://schemas.microsoft.com/office/drawing/2014/main" id="{78F653C9-D6D5-4033-9FE9-F3DE49FDA45F}"/>
            </a:ext>
          </a:extLst>
        </xdr:cNvPr>
        <xdr:cNvCxnSpPr/>
      </xdr:nvCxnSpPr>
      <xdr:spPr>
        <a:xfrm>
          <a:off x="3152775" y="42186225"/>
          <a:ext cx="3409950" cy="285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247650</xdr:colOff>
      <xdr:row>166</xdr:row>
      <xdr:rowOff>28575</xdr:rowOff>
    </xdr:from>
    <xdr:to>
      <xdr:col>15</xdr:col>
      <xdr:colOff>600075</xdr:colOff>
      <xdr:row>166</xdr:row>
      <xdr:rowOff>28575</xdr:rowOff>
    </xdr:to>
    <xdr:cxnSp macro="">
      <xdr:nvCxnSpPr>
        <xdr:cNvPr id="160" name="Conector de Seta Reta 159">
          <a:extLst>
            <a:ext uri="{FF2B5EF4-FFF2-40B4-BE49-F238E27FC236}">
              <a16:creationId xmlns:a16="http://schemas.microsoft.com/office/drawing/2014/main" id="{5705EEFF-A46B-4BEB-A6E0-6EA7C95D6ED9}"/>
            </a:ext>
          </a:extLst>
        </xdr:cNvPr>
        <xdr:cNvCxnSpPr/>
      </xdr:nvCxnSpPr>
      <xdr:spPr>
        <a:xfrm>
          <a:off x="5905500" y="38385750"/>
          <a:ext cx="6096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247650</xdr:colOff>
      <xdr:row>168</xdr:row>
      <xdr:rowOff>76200</xdr:rowOff>
    </xdr:from>
    <xdr:to>
      <xdr:col>15</xdr:col>
      <xdr:colOff>581025</xdr:colOff>
      <xdr:row>168</xdr:row>
      <xdr:rowOff>85725</xdr:rowOff>
    </xdr:to>
    <xdr:cxnSp macro="">
      <xdr:nvCxnSpPr>
        <xdr:cNvPr id="161" name="Conector de Seta Reta 160">
          <a:extLst>
            <a:ext uri="{FF2B5EF4-FFF2-40B4-BE49-F238E27FC236}">
              <a16:creationId xmlns:a16="http://schemas.microsoft.com/office/drawing/2014/main" id="{B9F6CB5D-750D-4D40-8778-C00940122DAD}"/>
            </a:ext>
          </a:extLst>
        </xdr:cNvPr>
        <xdr:cNvCxnSpPr/>
      </xdr:nvCxnSpPr>
      <xdr:spPr>
        <a:xfrm>
          <a:off x="5905500" y="38814375"/>
          <a:ext cx="5905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155</xdr:row>
      <xdr:rowOff>180975</xdr:rowOff>
    </xdr:from>
    <xdr:to>
      <xdr:col>5</xdr:col>
      <xdr:colOff>566437</xdr:colOff>
      <xdr:row>157</xdr:row>
      <xdr:rowOff>38338</xdr:rowOff>
    </xdr:to>
    <xdr:sp macro="" textlink="">
      <xdr:nvSpPr>
        <xdr:cNvPr id="162" name="CaixaDeTexto 260">
          <a:extLst>
            <a:ext uri="{FF2B5EF4-FFF2-40B4-BE49-F238E27FC236}">
              <a16:creationId xmlns:a16="http://schemas.microsoft.com/office/drawing/2014/main" id="{6C17D18F-3B64-4296-A4B4-F2CC908B6FED}"/>
            </a:ext>
          </a:extLst>
        </xdr:cNvPr>
        <xdr:cNvSpPr txBox="1"/>
      </xdr:nvSpPr>
      <xdr:spPr>
        <a:xfrm>
          <a:off x="1438275" y="36252150"/>
          <a:ext cx="385462" cy="2383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UTR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156</xdr:row>
      <xdr:rowOff>109657</xdr:rowOff>
    </xdr:from>
    <xdr:to>
      <xdr:col>5</xdr:col>
      <xdr:colOff>180975</xdr:colOff>
      <xdr:row>156</xdr:row>
      <xdr:rowOff>123825</xdr:rowOff>
    </xdr:to>
    <xdr:cxnSp macro="">
      <xdr:nvCxnSpPr>
        <xdr:cNvPr id="163" name="Conector de Seta Reta 162">
          <a:extLst>
            <a:ext uri="{FF2B5EF4-FFF2-40B4-BE49-F238E27FC236}">
              <a16:creationId xmlns:a16="http://schemas.microsoft.com/office/drawing/2014/main" id="{AAA8DA57-9FF1-41F0-B4AA-119F30D3A4FB}"/>
            </a:ext>
          </a:extLst>
        </xdr:cNvPr>
        <xdr:cNvCxnSpPr>
          <a:endCxn id="162" idx="1"/>
        </xdr:cNvCxnSpPr>
      </xdr:nvCxnSpPr>
      <xdr:spPr>
        <a:xfrm flipV="1">
          <a:off x="1266825" y="36371332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156</xdr:row>
      <xdr:rowOff>114300</xdr:rowOff>
    </xdr:from>
    <xdr:to>
      <xdr:col>6</xdr:col>
      <xdr:colOff>85725</xdr:colOff>
      <xdr:row>156</xdr:row>
      <xdr:rowOff>128468</xdr:rowOff>
    </xdr:to>
    <xdr:cxnSp macro="">
      <xdr:nvCxnSpPr>
        <xdr:cNvPr id="164" name="Conector de Seta Reta 163">
          <a:extLst>
            <a:ext uri="{FF2B5EF4-FFF2-40B4-BE49-F238E27FC236}">
              <a16:creationId xmlns:a16="http://schemas.microsoft.com/office/drawing/2014/main" id="{8FDEF9BD-5669-49D4-AFBE-1C810AE356ED}"/>
            </a:ext>
          </a:extLst>
        </xdr:cNvPr>
        <xdr:cNvCxnSpPr/>
      </xdr:nvCxnSpPr>
      <xdr:spPr>
        <a:xfrm flipV="1">
          <a:off x="1819275" y="36375975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164</xdr:row>
      <xdr:rowOff>180975</xdr:rowOff>
    </xdr:from>
    <xdr:to>
      <xdr:col>5</xdr:col>
      <xdr:colOff>566437</xdr:colOff>
      <xdr:row>166</xdr:row>
      <xdr:rowOff>38338</xdr:rowOff>
    </xdr:to>
    <xdr:sp macro="" textlink="">
      <xdr:nvSpPr>
        <xdr:cNvPr id="168" name="CaixaDeTexto 260">
          <a:extLst>
            <a:ext uri="{FF2B5EF4-FFF2-40B4-BE49-F238E27FC236}">
              <a16:creationId xmlns:a16="http://schemas.microsoft.com/office/drawing/2014/main" id="{F9021109-7C2C-449A-B015-5863483961F8}"/>
            </a:ext>
          </a:extLst>
        </xdr:cNvPr>
        <xdr:cNvSpPr txBox="1"/>
      </xdr:nvSpPr>
      <xdr:spPr>
        <a:xfrm>
          <a:off x="1438275" y="38157150"/>
          <a:ext cx="385462" cy="2383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UTR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165</xdr:row>
      <xdr:rowOff>109657</xdr:rowOff>
    </xdr:from>
    <xdr:to>
      <xdr:col>5</xdr:col>
      <xdr:colOff>180975</xdr:colOff>
      <xdr:row>165</xdr:row>
      <xdr:rowOff>123825</xdr:rowOff>
    </xdr:to>
    <xdr:cxnSp macro="">
      <xdr:nvCxnSpPr>
        <xdr:cNvPr id="169" name="Conector de Seta Reta 168">
          <a:extLst>
            <a:ext uri="{FF2B5EF4-FFF2-40B4-BE49-F238E27FC236}">
              <a16:creationId xmlns:a16="http://schemas.microsoft.com/office/drawing/2014/main" id="{BCCC359A-54C3-4489-9A70-67A12285DFEF}"/>
            </a:ext>
          </a:extLst>
        </xdr:cNvPr>
        <xdr:cNvCxnSpPr>
          <a:endCxn id="168" idx="1"/>
        </xdr:cNvCxnSpPr>
      </xdr:nvCxnSpPr>
      <xdr:spPr>
        <a:xfrm flipV="1">
          <a:off x="1266825" y="38276332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165</xdr:row>
      <xdr:rowOff>114300</xdr:rowOff>
    </xdr:from>
    <xdr:to>
      <xdr:col>6</xdr:col>
      <xdr:colOff>85725</xdr:colOff>
      <xdr:row>165</xdr:row>
      <xdr:rowOff>128468</xdr:rowOff>
    </xdr:to>
    <xdr:cxnSp macro="">
      <xdr:nvCxnSpPr>
        <xdr:cNvPr id="170" name="Conector de Seta Reta 169">
          <a:extLst>
            <a:ext uri="{FF2B5EF4-FFF2-40B4-BE49-F238E27FC236}">
              <a16:creationId xmlns:a16="http://schemas.microsoft.com/office/drawing/2014/main" id="{BE95F9C1-0437-48C8-A6B5-F47BF674D3A2}"/>
            </a:ext>
          </a:extLst>
        </xdr:cNvPr>
        <xdr:cNvCxnSpPr/>
      </xdr:nvCxnSpPr>
      <xdr:spPr>
        <a:xfrm flipV="1">
          <a:off x="1819275" y="38280975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179</xdr:row>
      <xdr:rowOff>179804</xdr:rowOff>
    </xdr:from>
    <xdr:to>
      <xdr:col>5</xdr:col>
      <xdr:colOff>566437</xdr:colOff>
      <xdr:row>181</xdr:row>
      <xdr:rowOff>39509</xdr:rowOff>
    </xdr:to>
    <xdr:sp macro="" textlink="">
      <xdr:nvSpPr>
        <xdr:cNvPr id="171" name="CaixaDeTexto 260">
          <a:extLst>
            <a:ext uri="{FF2B5EF4-FFF2-40B4-BE49-F238E27FC236}">
              <a16:creationId xmlns:a16="http://schemas.microsoft.com/office/drawing/2014/main" id="{5E18BED4-36EC-4E15-9571-CDE485ED2D92}"/>
            </a:ext>
          </a:extLst>
        </xdr:cNvPr>
        <xdr:cNvSpPr txBox="1"/>
      </xdr:nvSpPr>
      <xdr:spPr>
        <a:xfrm>
          <a:off x="1438275" y="41394479"/>
          <a:ext cx="385462" cy="240705"/>
        </a:xfrm>
        <a:prstGeom prst="roundRect">
          <a:avLst/>
        </a:prstGeom>
        <a:solidFill>
          <a:schemeClr val="accent4"/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ysClr val="windowText" lastClr="000000"/>
              </a:solidFill>
            </a:rPr>
            <a:t>UTR</a:t>
          </a:r>
          <a:endParaRPr lang="pt-B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9525</xdr:colOff>
      <xdr:row>180</xdr:row>
      <xdr:rowOff>109657</xdr:rowOff>
    </xdr:from>
    <xdr:to>
      <xdr:col>5</xdr:col>
      <xdr:colOff>180975</xdr:colOff>
      <xdr:row>180</xdr:row>
      <xdr:rowOff>123825</xdr:rowOff>
    </xdr:to>
    <xdr:cxnSp macro="">
      <xdr:nvCxnSpPr>
        <xdr:cNvPr id="172" name="Conector de Seta Reta 171">
          <a:extLst>
            <a:ext uri="{FF2B5EF4-FFF2-40B4-BE49-F238E27FC236}">
              <a16:creationId xmlns:a16="http://schemas.microsoft.com/office/drawing/2014/main" id="{00590026-D2B1-4363-AEBA-01799C1AD9C4}"/>
            </a:ext>
          </a:extLst>
        </xdr:cNvPr>
        <xdr:cNvCxnSpPr>
          <a:cxnSpLocks/>
          <a:endCxn id="171" idx="1"/>
        </xdr:cNvCxnSpPr>
      </xdr:nvCxnSpPr>
      <xdr:spPr>
        <a:xfrm flipV="1">
          <a:off x="1266825" y="41514832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180</xdr:row>
      <xdr:rowOff>114300</xdr:rowOff>
    </xdr:from>
    <xdr:to>
      <xdr:col>6</xdr:col>
      <xdr:colOff>85725</xdr:colOff>
      <xdr:row>180</xdr:row>
      <xdr:rowOff>128468</xdr:rowOff>
    </xdr:to>
    <xdr:cxnSp macro="">
      <xdr:nvCxnSpPr>
        <xdr:cNvPr id="173" name="Conector de Seta Reta 172">
          <a:extLst>
            <a:ext uri="{FF2B5EF4-FFF2-40B4-BE49-F238E27FC236}">
              <a16:creationId xmlns:a16="http://schemas.microsoft.com/office/drawing/2014/main" id="{6D60176B-C627-4041-99FB-8968420E72E9}"/>
            </a:ext>
          </a:extLst>
        </xdr:cNvPr>
        <xdr:cNvCxnSpPr/>
      </xdr:nvCxnSpPr>
      <xdr:spPr>
        <a:xfrm flipV="1">
          <a:off x="1819275" y="41519475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183</xdr:row>
      <xdr:rowOff>180975</xdr:rowOff>
    </xdr:from>
    <xdr:to>
      <xdr:col>5</xdr:col>
      <xdr:colOff>566437</xdr:colOff>
      <xdr:row>185</xdr:row>
      <xdr:rowOff>38338</xdr:rowOff>
    </xdr:to>
    <xdr:sp macro="" textlink="">
      <xdr:nvSpPr>
        <xdr:cNvPr id="174" name="CaixaDeTexto 260">
          <a:extLst>
            <a:ext uri="{FF2B5EF4-FFF2-40B4-BE49-F238E27FC236}">
              <a16:creationId xmlns:a16="http://schemas.microsoft.com/office/drawing/2014/main" id="{49E284FE-9D19-4289-85B7-ED403A4C2694}"/>
            </a:ext>
          </a:extLst>
        </xdr:cNvPr>
        <xdr:cNvSpPr txBox="1"/>
      </xdr:nvSpPr>
      <xdr:spPr>
        <a:xfrm>
          <a:off x="1438275" y="42157650"/>
          <a:ext cx="385462" cy="2383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UTR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184</xdr:row>
      <xdr:rowOff>109657</xdr:rowOff>
    </xdr:from>
    <xdr:to>
      <xdr:col>5</xdr:col>
      <xdr:colOff>180975</xdr:colOff>
      <xdr:row>184</xdr:row>
      <xdr:rowOff>123825</xdr:rowOff>
    </xdr:to>
    <xdr:cxnSp macro="">
      <xdr:nvCxnSpPr>
        <xdr:cNvPr id="175" name="Conector de Seta Reta 174">
          <a:extLst>
            <a:ext uri="{FF2B5EF4-FFF2-40B4-BE49-F238E27FC236}">
              <a16:creationId xmlns:a16="http://schemas.microsoft.com/office/drawing/2014/main" id="{9749957E-CA2D-45E0-B623-BB0B3E51E9F6}"/>
            </a:ext>
          </a:extLst>
        </xdr:cNvPr>
        <xdr:cNvCxnSpPr>
          <a:endCxn id="174" idx="1"/>
        </xdr:cNvCxnSpPr>
      </xdr:nvCxnSpPr>
      <xdr:spPr>
        <a:xfrm flipV="1">
          <a:off x="1266825" y="42276832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184</xdr:row>
      <xdr:rowOff>114300</xdr:rowOff>
    </xdr:from>
    <xdr:to>
      <xdr:col>6</xdr:col>
      <xdr:colOff>85725</xdr:colOff>
      <xdr:row>184</xdr:row>
      <xdr:rowOff>128468</xdr:rowOff>
    </xdr:to>
    <xdr:cxnSp macro="">
      <xdr:nvCxnSpPr>
        <xdr:cNvPr id="176" name="Conector de Seta Reta 175">
          <a:extLst>
            <a:ext uri="{FF2B5EF4-FFF2-40B4-BE49-F238E27FC236}">
              <a16:creationId xmlns:a16="http://schemas.microsoft.com/office/drawing/2014/main" id="{627393F2-B6A5-4333-B26C-691AA86846BE}"/>
            </a:ext>
          </a:extLst>
        </xdr:cNvPr>
        <xdr:cNvCxnSpPr/>
      </xdr:nvCxnSpPr>
      <xdr:spPr>
        <a:xfrm flipV="1">
          <a:off x="1819275" y="42281475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180975</xdr:colOff>
      <xdr:row>187</xdr:row>
      <xdr:rowOff>180975</xdr:rowOff>
    </xdr:from>
    <xdr:to>
      <xdr:col>5</xdr:col>
      <xdr:colOff>566437</xdr:colOff>
      <xdr:row>189</xdr:row>
      <xdr:rowOff>38338</xdr:rowOff>
    </xdr:to>
    <xdr:sp macro="" textlink="">
      <xdr:nvSpPr>
        <xdr:cNvPr id="177" name="CaixaDeTexto 260">
          <a:extLst>
            <a:ext uri="{FF2B5EF4-FFF2-40B4-BE49-F238E27FC236}">
              <a16:creationId xmlns:a16="http://schemas.microsoft.com/office/drawing/2014/main" id="{F23B1F5A-773C-4816-AEE7-A9314401181A}"/>
            </a:ext>
          </a:extLst>
        </xdr:cNvPr>
        <xdr:cNvSpPr txBox="1"/>
      </xdr:nvSpPr>
      <xdr:spPr>
        <a:xfrm>
          <a:off x="1438275" y="43872150"/>
          <a:ext cx="385462" cy="238363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800" b="1">
              <a:solidFill>
                <a:schemeClr val="bg1"/>
              </a:solidFill>
            </a:rPr>
            <a:t>UTR</a:t>
          </a:r>
          <a:endParaRPr lang="pt-BR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9525</xdr:colOff>
      <xdr:row>188</xdr:row>
      <xdr:rowOff>109657</xdr:rowOff>
    </xdr:from>
    <xdr:to>
      <xdr:col>5</xdr:col>
      <xdr:colOff>180975</xdr:colOff>
      <xdr:row>188</xdr:row>
      <xdr:rowOff>123825</xdr:rowOff>
    </xdr:to>
    <xdr:cxnSp macro="">
      <xdr:nvCxnSpPr>
        <xdr:cNvPr id="178" name="Conector de Seta Reta 177">
          <a:extLst>
            <a:ext uri="{FF2B5EF4-FFF2-40B4-BE49-F238E27FC236}">
              <a16:creationId xmlns:a16="http://schemas.microsoft.com/office/drawing/2014/main" id="{A35D2078-EA5B-49B3-BD05-27F9397ABCBF}"/>
            </a:ext>
          </a:extLst>
        </xdr:cNvPr>
        <xdr:cNvCxnSpPr>
          <a:endCxn id="177" idx="1"/>
        </xdr:cNvCxnSpPr>
      </xdr:nvCxnSpPr>
      <xdr:spPr>
        <a:xfrm flipV="1">
          <a:off x="1266825" y="43991332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5</xdr:col>
      <xdr:colOff>561975</xdr:colOff>
      <xdr:row>188</xdr:row>
      <xdr:rowOff>114300</xdr:rowOff>
    </xdr:from>
    <xdr:to>
      <xdr:col>6</xdr:col>
      <xdr:colOff>85725</xdr:colOff>
      <xdr:row>188</xdr:row>
      <xdr:rowOff>128468</xdr:rowOff>
    </xdr:to>
    <xdr:cxnSp macro="">
      <xdr:nvCxnSpPr>
        <xdr:cNvPr id="179" name="Conector de Seta Reta 178">
          <a:extLst>
            <a:ext uri="{FF2B5EF4-FFF2-40B4-BE49-F238E27FC236}">
              <a16:creationId xmlns:a16="http://schemas.microsoft.com/office/drawing/2014/main" id="{294C8013-0B4B-490E-A75C-28ACF7C38B52}"/>
            </a:ext>
          </a:extLst>
        </xdr:cNvPr>
        <xdr:cNvCxnSpPr/>
      </xdr:nvCxnSpPr>
      <xdr:spPr>
        <a:xfrm flipV="1">
          <a:off x="1819275" y="43995975"/>
          <a:ext cx="171450" cy="14168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504825</xdr:colOff>
      <xdr:row>150</xdr:row>
      <xdr:rowOff>180975</xdr:rowOff>
    </xdr:from>
    <xdr:to>
      <xdr:col>20</xdr:col>
      <xdr:colOff>231904</xdr:colOff>
      <xdr:row>154</xdr:row>
      <xdr:rowOff>15751</xdr:rowOff>
    </xdr:to>
    <xdr:sp macro="" textlink="">
      <xdr:nvSpPr>
        <xdr:cNvPr id="180" name="CaixaDeTexto 225">
          <a:extLst>
            <a:ext uri="{FF2B5EF4-FFF2-40B4-BE49-F238E27FC236}">
              <a16:creationId xmlns:a16="http://schemas.microsoft.com/office/drawing/2014/main" id="{86573CC8-D416-48B2-ABE9-F27C8CE28E1E}"/>
            </a:ext>
          </a:extLst>
        </xdr:cNvPr>
        <xdr:cNvSpPr txBox="1"/>
      </xdr:nvSpPr>
      <xdr:spPr>
        <a:xfrm>
          <a:off x="6838950" y="35299650"/>
          <a:ext cx="2413129" cy="596776"/>
        </a:xfrm>
        <a:prstGeom prst="flowChartAlternateProcess">
          <a:avLst/>
        </a:prstGeom>
        <a:solidFill>
          <a:srgbClr val="1F596B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00" b="1">
              <a:solidFill>
                <a:schemeClr val="bg1"/>
              </a:solidFill>
            </a:rPr>
            <a:t>UTM CISPAR</a:t>
          </a:r>
        </a:p>
        <a:p>
          <a:pPr algn="ctr"/>
          <a:r>
            <a:rPr lang="pt-BR" sz="1300" b="1">
              <a:solidFill>
                <a:schemeClr val="bg1"/>
              </a:solidFill>
            </a:rPr>
            <a:t>220 t/dia</a:t>
          </a:r>
        </a:p>
      </xdr:txBody>
    </xdr:sp>
    <xdr:clientData/>
  </xdr:twoCellAnchor>
  <xdr:twoCellAnchor>
    <xdr:from>
      <xdr:col>18</xdr:col>
      <xdr:colOff>85725</xdr:colOff>
      <xdr:row>190</xdr:row>
      <xdr:rowOff>133350</xdr:rowOff>
    </xdr:from>
    <xdr:to>
      <xdr:col>20</xdr:col>
      <xdr:colOff>198879</xdr:colOff>
      <xdr:row>191</xdr:row>
      <xdr:rowOff>183549</xdr:rowOff>
    </xdr:to>
    <xdr:sp macro="" textlink="">
      <xdr:nvSpPr>
        <xdr:cNvPr id="181" name="Cilindro 180">
          <a:extLst>
            <a:ext uri="{FF2B5EF4-FFF2-40B4-BE49-F238E27FC236}">
              <a16:creationId xmlns:a16="http://schemas.microsoft.com/office/drawing/2014/main" id="{15D0F771-036B-4A92-B4E4-5F95294F53EE}"/>
            </a:ext>
          </a:extLst>
        </xdr:cNvPr>
        <xdr:cNvSpPr/>
      </xdr:nvSpPr>
      <xdr:spPr>
        <a:xfrm>
          <a:off x="7553325" y="43634025"/>
          <a:ext cx="1665729" cy="240699"/>
        </a:xfrm>
        <a:prstGeom prst="can">
          <a:avLst>
            <a:gd name="adj" fmla="val 18391"/>
          </a:avLst>
        </a:prstGeom>
        <a:solidFill>
          <a:schemeClr val="accent6"/>
        </a:solidFill>
        <a:ln w="12700"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933">
              <a:solidFill>
                <a:schemeClr val="bg1"/>
              </a:solidFill>
            </a:rPr>
            <a:t>Recicláveis</a:t>
          </a:r>
        </a:p>
      </xdr:txBody>
    </xdr:sp>
    <xdr:clientData/>
  </xdr:twoCellAnchor>
  <xdr:twoCellAnchor>
    <xdr:from>
      <xdr:col>18</xdr:col>
      <xdr:colOff>9525</xdr:colOff>
      <xdr:row>193</xdr:row>
      <xdr:rowOff>47626</xdr:rowOff>
    </xdr:from>
    <xdr:to>
      <xdr:col>20</xdr:col>
      <xdr:colOff>122679</xdr:colOff>
      <xdr:row>194</xdr:row>
      <xdr:rowOff>47626</xdr:rowOff>
    </xdr:to>
    <xdr:sp macro="" textlink="">
      <xdr:nvSpPr>
        <xdr:cNvPr id="182" name="Trapezoide 181">
          <a:extLst>
            <a:ext uri="{FF2B5EF4-FFF2-40B4-BE49-F238E27FC236}">
              <a16:creationId xmlns:a16="http://schemas.microsoft.com/office/drawing/2014/main" id="{AD40DAF2-EFA7-44B5-8A28-43C7455BE88B}"/>
            </a:ext>
          </a:extLst>
        </xdr:cNvPr>
        <xdr:cNvSpPr/>
      </xdr:nvSpPr>
      <xdr:spPr>
        <a:xfrm>
          <a:off x="7477125" y="44119801"/>
          <a:ext cx="1665729" cy="190500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27867</xdr:colOff>
      <xdr:row>159</xdr:row>
      <xdr:rowOff>95370</xdr:rowOff>
    </xdr:from>
    <xdr:to>
      <xdr:col>20</xdr:col>
      <xdr:colOff>129221</xdr:colOff>
      <xdr:row>161</xdr:row>
      <xdr:rowOff>28576</xdr:rowOff>
    </xdr:to>
    <xdr:sp macro="" textlink="">
      <xdr:nvSpPr>
        <xdr:cNvPr id="183" name="Cilindro 182">
          <a:extLst>
            <a:ext uri="{FF2B5EF4-FFF2-40B4-BE49-F238E27FC236}">
              <a16:creationId xmlns:a16="http://schemas.microsoft.com/office/drawing/2014/main" id="{59165A79-2F72-4F74-8A27-F1B4141F6A8C}"/>
            </a:ext>
          </a:extLst>
        </xdr:cNvPr>
        <xdr:cNvSpPr/>
      </xdr:nvSpPr>
      <xdr:spPr>
        <a:xfrm>
          <a:off x="7495467" y="37119045"/>
          <a:ext cx="1653929" cy="314206"/>
        </a:xfrm>
        <a:prstGeom prst="can">
          <a:avLst>
            <a:gd name="adj" fmla="val 20085"/>
          </a:avLst>
        </a:prstGeom>
        <a:solidFill>
          <a:schemeClr val="accent6"/>
        </a:solidFill>
        <a:ln w="12700">
          <a:solidFill>
            <a:srgbClr val="00B05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933">
              <a:solidFill>
                <a:schemeClr val="bg1"/>
              </a:solidFill>
            </a:rPr>
            <a:t>Recicláveis</a:t>
          </a:r>
        </a:p>
      </xdr:txBody>
    </xdr:sp>
    <xdr:clientData/>
  </xdr:twoCellAnchor>
  <xdr:twoCellAnchor>
    <xdr:from>
      <xdr:col>18</xdr:col>
      <xdr:colOff>57150</xdr:colOff>
      <xdr:row>162</xdr:row>
      <xdr:rowOff>9525</xdr:rowOff>
    </xdr:from>
    <xdr:to>
      <xdr:col>20</xdr:col>
      <xdr:colOff>170304</xdr:colOff>
      <xdr:row>163</xdr:row>
      <xdr:rowOff>57150</xdr:rowOff>
    </xdr:to>
    <xdr:sp macro="" textlink="">
      <xdr:nvSpPr>
        <xdr:cNvPr id="184" name="Trapezoide 183">
          <a:extLst>
            <a:ext uri="{FF2B5EF4-FFF2-40B4-BE49-F238E27FC236}">
              <a16:creationId xmlns:a16="http://schemas.microsoft.com/office/drawing/2014/main" id="{0A87E669-E4BD-4359-B413-0DF726A0B7C9}"/>
            </a:ext>
          </a:extLst>
        </xdr:cNvPr>
        <xdr:cNvSpPr/>
      </xdr:nvSpPr>
      <xdr:spPr>
        <a:xfrm>
          <a:off x="7524750" y="37604700"/>
          <a:ext cx="1665729" cy="238125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17</xdr:col>
      <xdr:colOff>219075</xdr:colOff>
      <xdr:row>154</xdr:row>
      <xdr:rowOff>104776</xdr:rowOff>
    </xdr:from>
    <xdr:to>
      <xdr:col>19</xdr:col>
      <xdr:colOff>257175</xdr:colOff>
      <xdr:row>157</xdr:row>
      <xdr:rowOff>47626</xdr:rowOff>
    </xdr:to>
    <xdr:sp macro="" textlink="">
      <xdr:nvSpPr>
        <xdr:cNvPr id="185" name="Retângulo 184">
          <a:extLst>
            <a:ext uri="{FF2B5EF4-FFF2-40B4-BE49-F238E27FC236}">
              <a16:creationId xmlns:a16="http://schemas.microsoft.com/office/drawing/2014/main" id="{87BE3BD6-C21F-4C72-B558-BB9F8653B2C5}"/>
            </a:ext>
          </a:extLst>
        </xdr:cNvPr>
        <xdr:cNvSpPr/>
      </xdr:nvSpPr>
      <xdr:spPr>
        <a:xfrm>
          <a:off x="7058025" y="35985451"/>
          <a:ext cx="1571625" cy="514350"/>
        </a:xfrm>
        <a:prstGeom prst="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18</xdr:col>
      <xdr:colOff>400050</xdr:colOff>
      <xdr:row>157</xdr:row>
      <xdr:rowOff>47625</xdr:rowOff>
    </xdr:from>
    <xdr:to>
      <xdr:col>18</xdr:col>
      <xdr:colOff>590550</xdr:colOff>
      <xdr:row>158</xdr:row>
      <xdr:rowOff>0</xdr:rowOff>
    </xdr:to>
    <xdr:sp macro="" textlink="">
      <xdr:nvSpPr>
        <xdr:cNvPr id="186" name="Seta: para Baixo 185">
          <a:extLst>
            <a:ext uri="{FF2B5EF4-FFF2-40B4-BE49-F238E27FC236}">
              <a16:creationId xmlns:a16="http://schemas.microsoft.com/office/drawing/2014/main" id="{4342E734-2F60-41B5-A479-A31775E09972}"/>
            </a:ext>
          </a:extLst>
        </xdr:cNvPr>
        <xdr:cNvSpPr/>
      </xdr:nvSpPr>
      <xdr:spPr>
        <a:xfrm>
          <a:off x="7867650" y="36499800"/>
          <a:ext cx="190500" cy="257175"/>
        </a:xfrm>
        <a:prstGeom prst="downArrow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142875</xdr:colOff>
      <xdr:row>174</xdr:row>
      <xdr:rowOff>133350</xdr:rowOff>
    </xdr:from>
    <xdr:to>
      <xdr:col>19</xdr:col>
      <xdr:colOff>97673</xdr:colOff>
      <xdr:row>177</xdr:row>
      <xdr:rowOff>44453</xdr:rowOff>
    </xdr:to>
    <xdr:sp macro="" textlink="">
      <xdr:nvSpPr>
        <xdr:cNvPr id="187" name="CaixaDeTexto 451">
          <a:extLst>
            <a:ext uri="{FF2B5EF4-FFF2-40B4-BE49-F238E27FC236}">
              <a16:creationId xmlns:a16="http://schemas.microsoft.com/office/drawing/2014/main" id="{67C13DE4-CCF9-4BD3-9755-DAE43C8C12FE}"/>
            </a:ext>
          </a:extLst>
        </xdr:cNvPr>
        <xdr:cNvSpPr txBox="1"/>
      </xdr:nvSpPr>
      <xdr:spPr>
        <a:xfrm>
          <a:off x="6981825" y="40014525"/>
          <a:ext cx="1488323" cy="863603"/>
        </a:xfrm>
        <a:prstGeom prst="flowChartAlternateProcess">
          <a:avLst/>
        </a:prstGeom>
        <a:solidFill>
          <a:srgbClr val="2D819B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200" b="0"/>
            <a:t>Compostagem</a:t>
          </a:r>
        </a:p>
      </xdr:txBody>
    </xdr:sp>
    <xdr:clientData/>
  </xdr:twoCellAnchor>
  <xdr:twoCellAnchor>
    <xdr:from>
      <xdr:col>18</xdr:col>
      <xdr:colOff>400050</xdr:colOff>
      <xdr:row>179</xdr:row>
      <xdr:rowOff>187973</xdr:rowOff>
    </xdr:from>
    <xdr:to>
      <xdr:col>20</xdr:col>
      <xdr:colOff>166016</xdr:colOff>
      <xdr:row>181</xdr:row>
      <xdr:rowOff>1</xdr:rowOff>
    </xdr:to>
    <xdr:sp macro="" textlink="">
      <xdr:nvSpPr>
        <xdr:cNvPr id="188" name="Cilindro 187">
          <a:extLst>
            <a:ext uri="{FF2B5EF4-FFF2-40B4-BE49-F238E27FC236}">
              <a16:creationId xmlns:a16="http://schemas.microsoft.com/office/drawing/2014/main" id="{516F5F54-982F-44FC-8871-7ABDF1E4D668}"/>
            </a:ext>
          </a:extLst>
        </xdr:cNvPr>
        <xdr:cNvSpPr/>
      </xdr:nvSpPr>
      <xdr:spPr>
        <a:xfrm>
          <a:off x="7867650" y="41402648"/>
          <a:ext cx="1318541" cy="193028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Composto</a:t>
          </a:r>
        </a:p>
      </xdr:txBody>
    </xdr:sp>
    <xdr:clientData/>
  </xdr:twoCellAnchor>
  <xdr:twoCellAnchor>
    <xdr:from>
      <xdr:col>18</xdr:col>
      <xdr:colOff>566943</xdr:colOff>
      <xdr:row>183</xdr:row>
      <xdr:rowOff>19748</xdr:rowOff>
    </xdr:from>
    <xdr:to>
      <xdr:col>20</xdr:col>
      <xdr:colOff>280047</xdr:colOff>
      <xdr:row>185</xdr:row>
      <xdr:rowOff>9525</xdr:rowOff>
    </xdr:to>
    <xdr:sp macro="" textlink="">
      <xdr:nvSpPr>
        <xdr:cNvPr id="189" name="Cilindro 188">
          <a:extLst>
            <a:ext uri="{FF2B5EF4-FFF2-40B4-BE49-F238E27FC236}">
              <a16:creationId xmlns:a16="http://schemas.microsoft.com/office/drawing/2014/main" id="{62D40224-EFAF-4314-AF51-1C0E5490BE98}"/>
            </a:ext>
          </a:extLst>
        </xdr:cNvPr>
        <xdr:cNvSpPr/>
      </xdr:nvSpPr>
      <xdr:spPr>
        <a:xfrm>
          <a:off x="8034543" y="41996423"/>
          <a:ext cx="1265679" cy="370777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Composto Peneirado</a:t>
          </a:r>
        </a:p>
      </xdr:txBody>
    </xdr:sp>
    <xdr:clientData/>
  </xdr:twoCellAnchor>
  <xdr:twoCellAnchor>
    <xdr:from>
      <xdr:col>16</xdr:col>
      <xdr:colOff>152401</xdr:colOff>
      <xdr:row>179</xdr:row>
      <xdr:rowOff>176265</xdr:rowOff>
    </xdr:from>
    <xdr:to>
      <xdr:col>18</xdr:col>
      <xdr:colOff>180976</xdr:colOff>
      <xdr:row>181</xdr:row>
      <xdr:rowOff>0</xdr:rowOff>
    </xdr:to>
    <xdr:sp macro="" textlink="">
      <xdr:nvSpPr>
        <xdr:cNvPr id="190" name="Cilindro 189">
          <a:extLst>
            <a:ext uri="{FF2B5EF4-FFF2-40B4-BE49-F238E27FC236}">
              <a16:creationId xmlns:a16="http://schemas.microsoft.com/office/drawing/2014/main" id="{F304711F-FD2F-4B7A-AB5F-0A03004B48C6}"/>
            </a:ext>
          </a:extLst>
        </xdr:cNvPr>
        <xdr:cNvSpPr/>
      </xdr:nvSpPr>
      <xdr:spPr>
        <a:xfrm>
          <a:off x="6715126" y="41390940"/>
          <a:ext cx="933450" cy="204735"/>
        </a:xfrm>
        <a:prstGeom prst="can">
          <a:avLst>
            <a:gd name="adj" fmla="val 20729"/>
          </a:avLst>
        </a:prstGeom>
        <a:solidFill>
          <a:srgbClr val="7F6000"/>
        </a:solidFill>
        <a:ln w="12700">
          <a:solidFill>
            <a:srgbClr val="544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endParaRPr lang="pt-BR" sz="1050" b="1" kern="1200">
            <a:solidFill>
              <a:schemeClr val="bg1"/>
            </a:solidFill>
          </a:endParaRPr>
        </a:p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Redução</a:t>
          </a:r>
        </a:p>
        <a:p>
          <a:pPr algn="ctr" defTabSz="342900">
            <a:buClrTx/>
          </a:pPr>
          <a:endParaRPr lang="pt-BR" sz="105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19316</xdr:colOff>
      <xdr:row>177</xdr:row>
      <xdr:rowOff>114301</xdr:rowOff>
    </xdr:from>
    <xdr:to>
      <xdr:col>18</xdr:col>
      <xdr:colOff>352425</xdr:colOff>
      <xdr:row>179</xdr:row>
      <xdr:rowOff>128641</xdr:rowOff>
    </xdr:to>
    <xdr:cxnSp macro="">
      <xdr:nvCxnSpPr>
        <xdr:cNvPr id="191" name="Conector angulado 242">
          <a:extLst>
            <a:ext uri="{FF2B5EF4-FFF2-40B4-BE49-F238E27FC236}">
              <a16:creationId xmlns:a16="http://schemas.microsoft.com/office/drawing/2014/main" id="{84411C9F-A6C1-4E79-9F88-1480DD6910BD}"/>
            </a:ext>
          </a:extLst>
        </xdr:cNvPr>
        <xdr:cNvCxnSpPr>
          <a:cxnSpLocks/>
        </xdr:cNvCxnSpPr>
      </xdr:nvCxnSpPr>
      <xdr:spPr>
        <a:xfrm rot="5400000">
          <a:off x="7455801" y="40979091"/>
          <a:ext cx="395340" cy="333109"/>
        </a:xfrm>
        <a:prstGeom prst="bentConnector3">
          <a:avLst>
            <a:gd name="adj1" fmla="val 50000"/>
          </a:avLst>
        </a:prstGeom>
        <a:ln w="19050"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619125</xdr:colOff>
      <xdr:row>181</xdr:row>
      <xdr:rowOff>38100</xdr:rowOff>
    </xdr:from>
    <xdr:to>
      <xdr:col>18</xdr:col>
      <xdr:colOff>628650</xdr:colOff>
      <xdr:row>183</xdr:row>
      <xdr:rowOff>19050</xdr:rowOff>
    </xdr:to>
    <xdr:cxnSp macro="">
      <xdr:nvCxnSpPr>
        <xdr:cNvPr id="192" name="Conector de Seta Reta 191">
          <a:extLst>
            <a:ext uri="{FF2B5EF4-FFF2-40B4-BE49-F238E27FC236}">
              <a16:creationId xmlns:a16="http://schemas.microsoft.com/office/drawing/2014/main" id="{917D87F8-A6A8-4061-8E50-CEDDCB669F03}"/>
            </a:ext>
          </a:extLst>
        </xdr:cNvPr>
        <xdr:cNvCxnSpPr/>
      </xdr:nvCxnSpPr>
      <xdr:spPr>
        <a:xfrm>
          <a:off x="8086725" y="41633775"/>
          <a:ext cx="9525" cy="361950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</xdr:colOff>
      <xdr:row>185</xdr:row>
      <xdr:rowOff>171451</xdr:rowOff>
    </xdr:from>
    <xdr:to>
      <xdr:col>19</xdr:col>
      <xdr:colOff>247650</xdr:colOff>
      <xdr:row>187</xdr:row>
      <xdr:rowOff>19051</xdr:rowOff>
    </xdr:to>
    <xdr:sp macro="" textlink="">
      <xdr:nvSpPr>
        <xdr:cNvPr id="193" name="Trapezoide 192">
          <a:extLst>
            <a:ext uri="{FF2B5EF4-FFF2-40B4-BE49-F238E27FC236}">
              <a16:creationId xmlns:a16="http://schemas.microsoft.com/office/drawing/2014/main" id="{173B4886-4469-4E7F-BF9B-BE1CDBBCF0B0}"/>
            </a:ext>
          </a:extLst>
        </xdr:cNvPr>
        <xdr:cNvSpPr/>
      </xdr:nvSpPr>
      <xdr:spPr>
        <a:xfrm>
          <a:off x="7477125" y="42529126"/>
          <a:ext cx="1143000" cy="228600"/>
        </a:xfrm>
        <a:prstGeom prst="trapezoid">
          <a:avLst/>
        </a:prstGeom>
        <a:ln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  <a:p>
          <a:pPr algn="ctr" defTabSz="457189"/>
          <a:r>
            <a:rPr lang="pt-BR" sz="933">
              <a:solidFill>
                <a:schemeClr val="bg2">
                  <a:lumMod val="50000"/>
                </a:schemeClr>
              </a:solidFill>
            </a:rPr>
            <a:t>Rejeitos</a:t>
          </a:r>
        </a:p>
        <a:p>
          <a:pPr algn="ctr" defTabSz="457189"/>
          <a:endParaRPr lang="pt-BR" sz="933">
            <a:solidFill>
              <a:schemeClr val="bg2">
                <a:lumMod val="50000"/>
              </a:schemeClr>
            </a:solidFill>
          </a:endParaRPr>
        </a:p>
      </xdr:txBody>
    </xdr:sp>
    <xdr:clientData/>
  </xdr:twoCellAnchor>
  <xdr:twoCellAnchor>
    <xdr:from>
      <xdr:col>18</xdr:col>
      <xdr:colOff>457200</xdr:colOff>
      <xdr:row>180</xdr:row>
      <xdr:rowOff>133350</xdr:rowOff>
    </xdr:from>
    <xdr:to>
      <xdr:col>18</xdr:col>
      <xdr:colOff>466725</xdr:colOff>
      <xdr:row>185</xdr:row>
      <xdr:rowOff>171451</xdr:rowOff>
    </xdr:to>
    <xdr:cxnSp macro="">
      <xdr:nvCxnSpPr>
        <xdr:cNvPr id="194" name="Conector de Seta Reta 193">
          <a:extLst>
            <a:ext uri="{FF2B5EF4-FFF2-40B4-BE49-F238E27FC236}">
              <a16:creationId xmlns:a16="http://schemas.microsoft.com/office/drawing/2014/main" id="{9D167538-3A56-448C-9D51-9FFC7A21FD0C}"/>
            </a:ext>
          </a:extLst>
        </xdr:cNvPr>
        <xdr:cNvCxnSpPr>
          <a:endCxn id="193" idx="0"/>
        </xdr:cNvCxnSpPr>
      </xdr:nvCxnSpPr>
      <xdr:spPr>
        <a:xfrm flipH="1">
          <a:off x="7924800" y="41538525"/>
          <a:ext cx="9525" cy="990601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140538</xdr:colOff>
      <xdr:row>162</xdr:row>
      <xdr:rowOff>128588</xdr:rowOff>
    </xdr:from>
    <xdr:to>
      <xdr:col>21</xdr:col>
      <xdr:colOff>533400</xdr:colOff>
      <xdr:row>162</xdr:row>
      <xdr:rowOff>133350</xdr:rowOff>
    </xdr:to>
    <xdr:cxnSp macro="">
      <xdr:nvCxnSpPr>
        <xdr:cNvPr id="195" name="Conector de Seta Reta 194">
          <a:extLst>
            <a:ext uri="{FF2B5EF4-FFF2-40B4-BE49-F238E27FC236}">
              <a16:creationId xmlns:a16="http://schemas.microsoft.com/office/drawing/2014/main" id="{4A398F32-AC32-45A2-A65A-9A0FA9A2DC7E}"/>
            </a:ext>
          </a:extLst>
        </xdr:cNvPr>
        <xdr:cNvCxnSpPr>
          <a:stCxn id="184" idx="3"/>
        </xdr:cNvCxnSpPr>
      </xdr:nvCxnSpPr>
      <xdr:spPr>
        <a:xfrm>
          <a:off x="9160713" y="37723763"/>
          <a:ext cx="973887" cy="4762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219075</xdr:colOff>
      <xdr:row>186</xdr:row>
      <xdr:rowOff>95250</xdr:rowOff>
    </xdr:from>
    <xdr:to>
      <xdr:col>21</xdr:col>
      <xdr:colOff>590550</xdr:colOff>
      <xdr:row>186</xdr:row>
      <xdr:rowOff>95251</xdr:rowOff>
    </xdr:to>
    <xdr:cxnSp macro="">
      <xdr:nvCxnSpPr>
        <xdr:cNvPr id="196" name="Conector de Seta Reta 195">
          <a:extLst>
            <a:ext uri="{FF2B5EF4-FFF2-40B4-BE49-F238E27FC236}">
              <a16:creationId xmlns:a16="http://schemas.microsoft.com/office/drawing/2014/main" id="{33B34EDF-2B67-4DDD-8BC9-4CE6C1CD5001}"/>
            </a:ext>
          </a:extLst>
        </xdr:cNvPr>
        <xdr:cNvCxnSpPr>
          <a:stCxn id="193" idx="3"/>
        </xdr:cNvCxnSpPr>
      </xdr:nvCxnSpPr>
      <xdr:spPr>
        <a:xfrm flipV="1">
          <a:off x="8591550" y="42643425"/>
          <a:ext cx="1600200" cy="1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95250</xdr:colOff>
      <xdr:row>193</xdr:row>
      <xdr:rowOff>142875</xdr:rowOff>
    </xdr:from>
    <xdr:to>
      <xdr:col>21</xdr:col>
      <xdr:colOff>571500</xdr:colOff>
      <xdr:row>193</xdr:row>
      <xdr:rowOff>161925</xdr:rowOff>
    </xdr:to>
    <xdr:cxnSp macro="">
      <xdr:nvCxnSpPr>
        <xdr:cNvPr id="197" name="Conector de Seta Reta 196">
          <a:extLst>
            <a:ext uri="{FF2B5EF4-FFF2-40B4-BE49-F238E27FC236}">
              <a16:creationId xmlns:a16="http://schemas.microsoft.com/office/drawing/2014/main" id="{CF19D8F6-37AE-4D18-9598-11469859B801}"/>
            </a:ext>
          </a:extLst>
        </xdr:cNvPr>
        <xdr:cNvCxnSpPr/>
      </xdr:nvCxnSpPr>
      <xdr:spPr>
        <a:xfrm>
          <a:off x="9115425" y="44215050"/>
          <a:ext cx="1057275" cy="19050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28575</xdr:colOff>
      <xdr:row>168</xdr:row>
      <xdr:rowOff>114300</xdr:rowOff>
    </xdr:from>
    <xdr:to>
      <xdr:col>19</xdr:col>
      <xdr:colOff>33617</xdr:colOff>
      <xdr:row>170</xdr:row>
      <xdr:rowOff>57150</xdr:rowOff>
    </xdr:to>
    <xdr:cxnSp macro="">
      <xdr:nvCxnSpPr>
        <xdr:cNvPr id="198" name="Conector de Seta Reta 197">
          <a:extLst>
            <a:ext uri="{FF2B5EF4-FFF2-40B4-BE49-F238E27FC236}">
              <a16:creationId xmlns:a16="http://schemas.microsoft.com/office/drawing/2014/main" id="{BDDEA9EC-4FEB-4C64-9F8A-41342AF0DA79}"/>
            </a:ext>
          </a:extLst>
        </xdr:cNvPr>
        <xdr:cNvCxnSpPr/>
      </xdr:nvCxnSpPr>
      <xdr:spPr>
        <a:xfrm>
          <a:off x="8401050" y="38852475"/>
          <a:ext cx="5042" cy="323850"/>
        </a:xfrm>
        <a:prstGeom prst="straightConnector1">
          <a:avLst/>
        </a:prstGeom>
        <a:ln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133350</xdr:colOff>
      <xdr:row>171</xdr:row>
      <xdr:rowOff>114299</xdr:rowOff>
    </xdr:from>
    <xdr:to>
      <xdr:col>18</xdr:col>
      <xdr:colOff>495038</xdr:colOff>
      <xdr:row>174</xdr:row>
      <xdr:rowOff>133353</xdr:rowOff>
    </xdr:to>
    <xdr:cxnSp macro="">
      <xdr:nvCxnSpPr>
        <xdr:cNvPr id="199" name="Conector angulado 242">
          <a:extLst>
            <a:ext uri="{FF2B5EF4-FFF2-40B4-BE49-F238E27FC236}">
              <a16:creationId xmlns:a16="http://schemas.microsoft.com/office/drawing/2014/main" id="{E1328A84-9675-4889-9D45-864461F13BBD}"/>
            </a:ext>
          </a:extLst>
        </xdr:cNvPr>
        <xdr:cNvCxnSpPr>
          <a:cxnSpLocks/>
        </xdr:cNvCxnSpPr>
      </xdr:nvCxnSpPr>
      <xdr:spPr>
        <a:xfrm rot="5400000">
          <a:off x="7486517" y="39538407"/>
          <a:ext cx="590554" cy="361688"/>
        </a:xfrm>
        <a:prstGeom prst="bentConnector3">
          <a:avLst>
            <a:gd name="adj1" fmla="val 50000"/>
          </a:avLst>
        </a:prstGeom>
        <a:ln w="19050"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352424</xdr:colOff>
      <xdr:row>178</xdr:row>
      <xdr:rowOff>123825</xdr:rowOff>
    </xdr:from>
    <xdr:to>
      <xdr:col>19</xdr:col>
      <xdr:colOff>244933</xdr:colOff>
      <xdr:row>179</xdr:row>
      <xdr:rowOff>187973</xdr:rowOff>
    </xdr:to>
    <xdr:cxnSp macro="">
      <xdr:nvCxnSpPr>
        <xdr:cNvPr id="200" name="Conector angulado 242">
          <a:extLst>
            <a:ext uri="{FF2B5EF4-FFF2-40B4-BE49-F238E27FC236}">
              <a16:creationId xmlns:a16="http://schemas.microsoft.com/office/drawing/2014/main" id="{0AB49BA8-822F-4B0A-8092-5CDB4A25A629}"/>
            </a:ext>
          </a:extLst>
        </xdr:cNvPr>
        <xdr:cNvCxnSpPr>
          <a:cxnSpLocks/>
          <a:endCxn id="188" idx="1"/>
        </xdr:cNvCxnSpPr>
      </xdr:nvCxnSpPr>
      <xdr:spPr>
        <a:xfrm>
          <a:off x="7820024" y="41148000"/>
          <a:ext cx="797384" cy="254648"/>
        </a:xfrm>
        <a:prstGeom prst="bentConnector2">
          <a:avLst/>
        </a:prstGeom>
        <a:ln w="19050">
          <a:solidFill>
            <a:schemeClr val="accent4">
              <a:lumMod val="5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514350</xdr:colOff>
      <xdr:row>173</xdr:row>
      <xdr:rowOff>19050</xdr:rowOff>
    </xdr:from>
    <xdr:to>
      <xdr:col>20</xdr:col>
      <xdr:colOff>170877</xdr:colOff>
      <xdr:row>174</xdr:row>
      <xdr:rowOff>57150</xdr:rowOff>
    </xdr:to>
    <xdr:cxnSp macro="">
      <xdr:nvCxnSpPr>
        <xdr:cNvPr id="201" name="Conector angulado 242">
          <a:extLst>
            <a:ext uri="{FF2B5EF4-FFF2-40B4-BE49-F238E27FC236}">
              <a16:creationId xmlns:a16="http://schemas.microsoft.com/office/drawing/2014/main" id="{FF80AC01-3C92-41D1-A10F-256CE689D03F}"/>
            </a:ext>
          </a:extLst>
        </xdr:cNvPr>
        <xdr:cNvCxnSpPr>
          <a:cxnSpLocks/>
        </xdr:cNvCxnSpPr>
      </xdr:nvCxnSpPr>
      <xdr:spPr>
        <a:xfrm>
          <a:off x="7981950" y="39709725"/>
          <a:ext cx="1209102" cy="228600"/>
        </a:xfrm>
        <a:prstGeom prst="bentConnector2">
          <a:avLst/>
        </a:prstGeom>
        <a:ln w="19050">
          <a:solidFill>
            <a:schemeClr val="accent4">
              <a:lumMod val="60000"/>
              <a:lumOff val="40000"/>
            </a:schemeClr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342900</xdr:colOff>
      <xdr:row>174</xdr:row>
      <xdr:rowOff>47625</xdr:rowOff>
    </xdr:from>
    <xdr:to>
      <xdr:col>20</xdr:col>
      <xdr:colOff>541779</xdr:colOff>
      <xdr:row>175</xdr:row>
      <xdr:rowOff>142875</xdr:rowOff>
    </xdr:to>
    <xdr:sp macro="" textlink="">
      <xdr:nvSpPr>
        <xdr:cNvPr id="202" name="Cilindro 201">
          <a:extLst>
            <a:ext uri="{FF2B5EF4-FFF2-40B4-BE49-F238E27FC236}">
              <a16:creationId xmlns:a16="http://schemas.microsoft.com/office/drawing/2014/main" id="{598BA241-051B-46E0-9D2A-F9CD824D0CED}"/>
            </a:ext>
          </a:extLst>
        </xdr:cNvPr>
        <xdr:cNvSpPr/>
      </xdr:nvSpPr>
      <xdr:spPr>
        <a:xfrm>
          <a:off x="8715375" y="39928800"/>
          <a:ext cx="846579" cy="285750"/>
        </a:xfrm>
        <a:prstGeom prst="can">
          <a:avLst>
            <a:gd name="adj" fmla="val 20729"/>
          </a:avLst>
        </a:prstGeom>
        <a:solidFill>
          <a:schemeClr val="accent4"/>
        </a:solidFill>
        <a:ln w="12700">
          <a:solidFill>
            <a:srgbClr val="A27B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1050" b="1" kern="1200">
              <a:solidFill>
                <a:schemeClr val="bg1"/>
              </a:solidFill>
            </a:rPr>
            <a:t>Biogás</a:t>
          </a:r>
        </a:p>
      </xdr:txBody>
    </xdr:sp>
    <xdr:clientData/>
  </xdr:twoCellAnchor>
  <xdr:twoCellAnchor>
    <xdr:from>
      <xdr:col>17</xdr:col>
      <xdr:colOff>304800</xdr:colOff>
      <xdr:row>170</xdr:row>
      <xdr:rowOff>66675</xdr:rowOff>
    </xdr:from>
    <xdr:to>
      <xdr:col>20</xdr:col>
      <xdr:colOff>220669</xdr:colOff>
      <xdr:row>172</xdr:row>
      <xdr:rowOff>89443</xdr:rowOff>
    </xdr:to>
    <xdr:sp macro="" textlink="">
      <xdr:nvSpPr>
        <xdr:cNvPr id="203" name="CaixaDeTexto 29">
          <a:extLst>
            <a:ext uri="{FF2B5EF4-FFF2-40B4-BE49-F238E27FC236}">
              <a16:creationId xmlns:a16="http://schemas.microsoft.com/office/drawing/2014/main" id="{AD4867F8-330F-4C2D-9157-4851BE946567}"/>
            </a:ext>
          </a:extLst>
        </xdr:cNvPr>
        <xdr:cNvSpPr txBox="1"/>
      </xdr:nvSpPr>
      <xdr:spPr>
        <a:xfrm>
          <a:off x="7143750" y="39185850"/>
          <a:ext cx="2097094" cy="403768"/>
        </a:xfrm>
        <a:prstGeom prst="flowChartAlternateProcess">
          <a:avLst/>
        </a:prstGeom>
        <a:solidFill>
          <a:srgbClr val="2D819B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/>
            <a:t>Biometanização</a:t>
          </a:r>
        </a:p>
      </xdr:txBody>
    </xdr:sp>
    <xdr:clientData/>
  </xdr:twoCellAnchor>
  <xdr:twoCellAnchor>
    <xdr:from>
      <xdr:col>18</xdr:col>
      <xdr:colOff>17159</xdr:colOff>
      <xdr:row>167</xdr:row>
      <xdr:rowOff>106592</xdr:rowOff>
    </xdr:from>
    <xdr:to>
      <xdr:col>20</xdr:col>
      <xdr:colOff>191832</xdr:colOff>
      <xdr:row>169</xdr:row>
      <xdr:rowOff>19050</xdr:rowOff>
    </xdr:to>
    <xdr:sp macro="" textlink="">
      <xdr:nvSpPr>
        <xdr:cNvPr id="204" name="Trapezoide 203">
          <a:extLst>
            <a:ext uri="{FF2B5EF4-FFF2-40B4-BE49-F238E27FC236}">
              <a16:creationId xmlns:a16="http://schemas.microsoft.com/office/drawing/2014/main" id="{B679091A-8B61-4368-81A0-2B8201D414B2}"/>
            </a:ext>
          </a:extLst>
        </xdr:cNvPr>
        <xdr:cNvSpPr/>
      </xdr:nvSpPr>
      <xdr:spPr>
        <a:xfrm>
          <a:off x="7484759" y="38654267"/>
          <a:ext cx="1727248" cy="293458"/>
        </a:xfrm>
        <a:prstGeom prst="trapezoid">
          <a:avLst/>
        </a:prstGeom>
        <a:solidFill>
          <a:srgbClr val="FFF9E5"/>
        </a:solidFill>
        <a:ln w="12700">
          <a:solidFill>
            <a:schemeClr val="accent4">
              <a:lumMod val="75000"/>
            </a:schemeClr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>
            <a:buClrTx/>
          </a:pPr>
          <a:r>
            <a:rPr lang="pt-BR" sz="900" kern="1200">
              <a:solidFill>
                <a:schemeClr val="accent4">
                  <a:lumMod val="50000"/>
                </a:schemeClr>
              </a:solidFill>
            </a:rPr>
            <a:t>Orgânicos</a:t>
          </a:r>
        </a:p>
      </xdr:txBody>
    </xdr:sp>
    <xdr:clientData/>
  </xdr:twoCellAnchor>
  <xdr:twoCellAnchor>
    <xdr:from>
      <xdr:col>18</xdr:col>
      <xdr:colOff>76199</xdr:colOff>
      <xdr:row>164</xdr:row>
      <xdr:rowOff>57150</xdr:rowOff>
    </xdr:from>
    <xdr:to>
      <xdr:col>20</xdr:col>
      <xdr:colOff>123824</xdr:colOff>
      <xdr:row>166</xdr:row>
      <xdr:rowOff>19050</xdr:rowOff>
    </xdr:to>
    <xdr:sp macro="" textlink="">
      <xdr:nvSpPr>
        <xdr:cNvPr id="205" name="Cilindro 204">
          <a:extLst>
            <a:ext uri="{FF2B5EF4-FFF2-40B4-BE49-F238E27FC236}">
              <a16:creationId xmlns:a16="http://schemas.microsoft.com/office/drawing/2014/main" id="{DE8A88A8-B7A3-41DD-93D8-0EA2BFF680DF}"/>
            </a:ext>
          </a:extLst>
        </xdr:cNvPr>
        <xdr:cNvSpPr/>
      </xdr:nvSpPr>
      <xdr:spPr>
        <a:xfrm>
          <a:off x="7543799" y="38033325"/>
          <a:ext cx="1600200" cy="342900"/>
        </a:xfrm>
        <a:prstGeom prst="can">
          <a:avLst>
            <a:gd name="adj" fmla="val 22362"/>
          </a:avLst>
        </a:prstGeom>
        <a:solidFill>
          <a:schemeClr val="accent4"/>
        </a:solidFill>
        <a:ln w="12700">
          <a:solidFill>
            <a:srgbClr val="A27B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342900"/>
          <a:r>
            <a:rPr lang="pt-BR" sz="1050" b="1">
              <a:solidFill>
                <a:schemeClr val="bg1"/>
              </a:solidFill>
            </a:rPr>
            <a:t>CDR*</a:t>
          </a:r>
        </a:p>
      </xdr:txBody>
    </xdr:sp>
    <xdr:clientData/>
  </xdr:twoCellAnchor>
  <xdr:twoCellAnchor>
    <xdr:from>
      <xdr:col>2</xdr:col>
      <xdr:colOff>110355</xdr:colOff>
      <xdr:row>202</xdr:row>
      <xdr:rowOff>48857</xdr:rowOff>
    </xdr:from>
    <xdr:to>
      <xdr:col>3</xdr:col>
      <xdr:colOff>105180</xdr:colOff>
      <xdr:row>202</xdr:row>
      <xdr:rowOff>50454</xdr:rowOff>
    </xdr:to>
    <xdr:cxnSp macro="">
      <xdr:nvCxnSpPr>
        <xdr:cNvPr id="206" name="Conector angulado 724">
          <a:extLst>
            <a:ext uri="{FF2B5EF4-FFF2-40B4-BE49-F238E27FC236}">
              <a16:creationId xmlns:a16="http://schemas.microsoft.com/office/drawing/2014/main" id="{CDBF13EC-C162-44DC-995D-52CCC7088C4B}"/>
            </a:ext>
          </a:extLst>
        </xdr:cNvPr>
        <xdr:cNvCxnSpPr>
          <a:cxnSpLocks/>
        </xdr:cNvCxnSpPr>
      </xdr:nvCxnSpPr>
      <xdr:spPr>
        <a:xfrm>
          <a:off x="358005" y="46416557"/>
          <a:ext cx="252000" cy="1597"/>
        </a:xfrm>
        <a:prstGeom prst="bentConnector3">
          <a:avLst>
            <a:gd name="adj1" fmla="val 50000"/>
          </a:avLst>
        </a:prstGeom>
        <a:ln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110355</xdr:colOff>
      <xdr:row>203</xdr:row>
      <xdr:rowOff>50318</xdr:rowOff>
    </xdr:from>
    <xdr:to>
      <xdr:col>3</xdr:col>
      <xdr:colOff>105180</xdr:colOff>
      <xdr:row>203</xdr:row>
      <xdr:rowOff>51408</xdr:rowOff>
    </xdr:to>
    <xdr:cxnSp macro="">
      <xdr:nvCxnSpPr>
        <xdr:cNvPr id="207" name="Conector angulado 242">
          <a:extLst>
            <a:ext uri="{FF2B5EF4-FFF2-40B4-BE49-F238E27FC236}">
              <a16:creationId xmlns:a16="http://schemas.microsoft.com/office/drawing/2014/main" id="{EA7209F8-384E-4238-A14F-1B8DD5825541}"/>
            </a:ext>
          </a:extLst>
        </xdr:cNvPr>
        <xdr:cNvCxnSpPr/>
      </xdr:nvCxnSpPr>
      <xdr:spPr>
        <a:xfrm>
          <a:off x="358005" y="46608518"/>
          <a:ext cx="252000" cy="1090"/>
        </a:xfrm>
        <a:prstGeom prst="bentConnector3">
          <a:avLst>
            <a:gd name="adj1" fmla="val 50000"/>
          </a:avLst>
        </a:prstGeom>
        <a:ln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90103</xdr:colOff>
      <xdr:row>201</xdr:row>
      <xdr:rowOff>75705</xdr:rowOff>
    </xdr:from>
    <xdr:to>
      <xdr:col>6</xdr:col>
      <xdr:colOff>621867</xdr:colOff>
      <xdr:row>205</xdr:row>
      <xdr:rowOff>188560</xdr:rowOff>
    </xdr:to>
    <xdr:sp macro="" textlink="">
      <xdr:nvSpPr>
        <xdr:cNvPr id="208" name="CaixaDeTexto 10">
          <a:extLst>
            <a:ext uri="{FF2B5EF4-FFF2-40B4-BE49-F238E27FC236}">
              <a16:creationId xmlns:a16="http://schemas.microsoft.com/office/drawing/2014/main" id="{8B384ECD-9444-48BA-B355-AC592016A61E}"/>
            </a:ext>
          </a:extLst>
        </xdr:cNvPr>
        <xdr:cNvSpPr txBox="1"/>
      </xdr:nvSpPr>
      <xdr:spPr>
        <a:xfrm>
          <a:off x="594928" y="46252905"/>
          <a:ext cx="1931939" cy="87485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000"/>
            <a:t>Resíduo da coleta seletiva</a:t>
          </a:r>
        </a:p>
        <a:p>
          <a:endParaRPr lang="pt-BR" sz="200"/>
        </a:p>
        <a:p>
          <a:r>
            <a:rPr lang="pt-BR" sz="1000"/>
            <a:t>Resíduo da coleta convencional</a:t>
          </a:r>
        </a:p>
        <a:p>
          <a:r>
            <a:rPr lang="pt-BR" sz="1000"/>
            <a:t>Rejeito</a:t>
          </a:r>
          <a:r>
            <a:rPr lang="pt-BR" sz="1000" baseline="0"/>
            <a:t> da UTR</a:t>
          </a:r>
          <a:endParaRPr lang="pt-BR" sz="1000"/>
        </a:p>
        <a:p>
          <a:endParaRPr lang="pt-BR" sz="200"/>
        </a:p>
        <a:p>
          <a:endParaRPr lang="pt-BR" sz="200"/>
        </a:p>
        <a:p>
          <a:endParaRPr lang="pt-BR" sz="200"/>
        </a:p>
        <a:p>
          <a:endParaRPr lang="pt-BR" sz="200"/>
        </a:p>
        <a:p>
          <a:endParaRPr lang="pt-BR" sz="1000"/>
        </a:p>
      </xdr:txBody>
    </xdr:sp>
    <xdr:clientData/>
  </xdr:twoCellAnchor>
  <xdr:twoCellAnchor>
    <xdr:from>
      <xdr:col>2</xdr:col>
      <xdr:colOff>129601</xdr:colOff>
      <xdr:row>208</xdr:row>
      <xdr:rowOff>46700</xdr:rowOff>
    </xdr:from>
    <xdr:to>
      <xdr:col>4</xdr:col>
      <xdr:colOff>215355</xdr:colOff>
      <xdr:row>209</xdr:row>
      <xdr:rowOff>131524</xdr:rowOff>
    </xdr:to>
    <xdr:sp macro="" textlink="">
      <xdr:nvSpPr>
        <xdr:cNvPr id="209" name="CaixaDeTexto 11">
          <a:extLst>
            <a:ext uri="{FF2B5EF4-FFF2-40B4-BE49-F238E27FC236}">
              <a16:creationId xmlns:a16="http://schemas.microsoft.com/office/drawing/2014/main" id="{DCFA8DE2-4FFD-4496-A21E-714982BD1FCC}"/>
            </a:ext>
          </a:extLst>
        </xdr:cNvPr>
        <xdr:cNvSpPr txBox="1"/>
      </xdr:nvSpPr>
      <xdr:spPr>
        <a:xfrm>
          <a:off x="377251" y="47557400"/>
          <a:ext cx="466754" cy="275324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000"/>
            <a:t>UTR</a:t>
          </a:r>
        </a:p>
      </xdr:txBody>
    </xdr:sp>
    <xdr:clientData/>
  </xdr:twoCellAnchor>
  <xdr:twoCellAnchor>
    <xdr:from>
      <xdr:col>2</xdr:col>
      <xdr:colOff>110551</xdr:colOff>
      <xdr:row>206</xdr:row>
      <xdr:rowOff>68098</xdr:rowOff>
    </xdr:from>
    <xdr:to>
      <xdr:col>4</xdr:col>
      <xdr:colOff>196305</xdr:colOff>
      <xdr:row>207</xdr:row>
      <xdr:rowOff>152922</xdr:rowOff>
    </xdr:to>
    <xdr:sp macro="" textlink="">
      <xdr:nvSpPr>
        <xdr:cNvPr id="210" name="CaixaDeTexto 12">
          <a:extLst>
            <a:ext uri="{FF2B5EF4-FFF2-40B4-BE49-F238E27FC236}">
              <a16:creationId xmlns:a16="http://schemas.microsoft.com/office/drawing/2014/main" id="{4CB76371-194B-4C15-901C-56FE7E622ACA}"/>
            </a:ext>
          </a:extLst>
        </xdr:cNvPr>
        <xdr:cNvSpPr txBox="1"/>
      </xdr:nvSpPr>
      <xdr:spPr>
        <a:xfrm>
          <a:off x="358201" y="47197798"/>
          <a:ext cx="466754" cy="275324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000" b="1">
              <a:solidFill>
                <a:sysClr val="windowText" lastClr="000000"/>
              </a:solidFill>
            </a:rPr>
            <a:t>UTR</a:t>
          </a:r>
        </a:p>
      </xdr:txBody>
    </xdr:sp>
    <xdr:clientData/>
  </xdr:twoCellAnchor>
  <xdr:twoCellAnchor>
    <xdr:from>
      <xdr:col>2</xdr:col>
      <xdr:colOff>0</xdr:colOff>
      <xdr:row>200</xdr:row>
      <xdr:rowOff>0</xdr:rowOff>
    </xdr:from>
    <xdr:to>
      <xdr:col>4</xdr:col>
      <xdr:colOff>437622</xdr:colOff>
      <xdr:row>201</xdr:row>
      <xdr:rowOff>86499</xdr:rowOff>
    </xdr:to>
    <xdr:sp macro="" textlink="">
      <xdr:nvSpPr>
        <xdr:cNvPr id="211" name="CaixaDeTexto 18">
          <a:extLst>
            <a:ext uri="{FF2B5EF4-FFF2-40B4-BE49-F238E27FC236}">
              <a16:creationId xmlns:a16="http://schemas.microsoft.com/office/drawing/2014/main" id="{E1F4E121-2FEF-43F9-A298-EEC991FD951C}"/>
            </a:ext>
          </a:extLst>
        </xdr:cNvPr>
        <xdr:cNvSpPr txBox="1"/>
      </xdr:nvSpPr>
      <xdr:spPr>
        <a:xfrm>
          <a:off x="247650" y="45986700"/>
          <a:ext cx="818622" cy="27699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200" b="1"/>
            <a:t>LEGENDA:</a:t>
          </a:r>
        </a:p>
      </xdr:txBody>
    </xdr:sp>
    <xdr:clientData/>
  </xdr:twoCellAnchor>
  <xdr:twoCellAnchor>
    <xdr:from>
      <xdr:col>4</xdr:col>
      <xdr:colOff>229507</xdr:colOff>
      <xdr:row>206</xdr:row>
      <xdr:rowOff>88793</xdr:rowOff>
    </xdr:from>
    <xdr:to>
      <xdr:col>12</xdr:col>
      <xdr:colOff>200025</xdr:colOff>
      <xdr:row>208</xdr:row>
      <xdr:rowOff>57150</xdr:rowOff>
    </xdr:to>
    <xdr:sp macro="" textlink="">
      <xdr:nvSpPr>
        <xdr:cNvPr id="212" name="CaixaDeTexto 19">
          <a:extLst>
            <a:ext uri="{FF2B5EF4-FFF2-40B4-BE49-F238E27FC236}">
              <a16:creationId xmlns:a16="http://schemas.microsoft.com/office/drawing/2014/main" id="{D50B963F-6F22-4C04-BAB8-E72D8A47F55B}"/>
            </a:ext>
          </a:extLst>
        </xdr:cNvPr>
        <xdr:cNvSpPr txBox="1"/>
      </xdr:nvSpPr>
      <xdr:spPr>
        <a:xfrm>
          <a:off x="858157" y="47218493"/>
          <a:ext cx="3780518" cy="349357"/>
        </a:xfrm>
        <a:prstGeom prst="rect">
          <a:avLst/>
        </a:prstGeom>
        <a:noFill/>
      </xdr:spPr>
      <xdr:txBody>
        <a:bodyPr wrap="square" rtlCol="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rtl="0" eaLnBrk="1" fontAlgn="auto" latinLnBrk="0" hangingPunct="1"/>
          <a:r>
            <a:rPr lang="pt-BR" sz="1000" b="0" i="0" kern="12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Estação de Transferência de RSU (Transbordo)</a:t>
          </a:r>
          <a:endParaRPr lang="pt-BR" sz="1000"/>
        </a:p>
      </xdr:txBody>
    </xdr:sp>
    <xdr:clientData/>
  </xdr:twoCellAnchor>
  <xdr:twoCellAnchor>
    <xdr:from>
      <xdr:col>4</xdr:col>
      <xdr:colOff>243930</xdr:colOff>
      <xdr:row>208</xdr:row>
      <xdr:rowOff>45281</xdr:rowOff>
    </xdr:from>
    <xdr:to>
      <xdr:col>6</xdr:col>
      <xdr:colOff>407398</xdr:colOff>
      <xdr:row>209</xdr:row>
      <xdr:rowOff>101002</xdr:rowOff>
    </xdr:to>
    <xdr:sp macro="" textlink="">
      <xdr:nvSpPr>
        <xdr:cNvPr id="213" name="CaixaDeTexto 20">
          <a:extLst>
            <a:ext uri="{FF2B5EF4-FFF2-40B4-BE49-F238E27FC236}">
              <a16:creationId xmlns:a16="http://schemas.microsoft.com/office/drawing/2014/main" id="{E9EFD942-4714-4FA3-A029-022F581C83DC}"/>
            </a:ext>
          </a:extLst>
        </xdr:cNvPr>
        <xdr:cNvSpPr txBox="1"/>
      </xdr:nvSpPr>
      <xdr:spPr>
        <a:xfrm>
          <a:off x="872580" y="47555981"/>
          <a:ext cx="1439818" cy="246221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pt-BR" sz="1000"/>
            <a:t>UTR/UTC local existente</a:t>
          </a:r>
        </a:p>
      </xdr:txBody>
    </xdr:sp>
    <xdr:clientData/>
  </xdr:twoCellAnchor>
  <xdr:twoCellAnchor>
    <xdr:from>
      <xdr:col>2</xdr:col>
      <xdr:colOff>95250</xdr:colOff>
      <xdr:row>212</xdr:row>
      <xdr:rowOff>38100</xdr:rowOff>
    </xdr:from>
    <xdr:to>
      <xdr:col>5</xdr:col>
      <xdr:colOff>109971</xdr:colOff>
      <xdr:row>213</xdr:row>
      <xdr:rowOff>160193</xdr:rowOff>
    </xdr:to>
    <xdr:sp macro="" textlink="">
      <xdr:nvSpPr>
        <xdr:cNvPr id="214" name="Retângulo: Cantos Arredondados 2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6AF005-1A85-44EA-83FC-CD899EDA7286}"/>
            </a:ext>
          </a:extLst>
        </xdr:cNvPr>
        <xdr:cNvSpPr/>
      </xdr:nvSpPr>
      <xdr:spPr>
        <a:xfrm>
          <a:off x="342900" y="48310800"/>
          <a:ext cx="1024371" cy="312593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  <xdr:twoCellAnchor>
    <xdr:from>
      <xdr:col>11</xdr:col>
      <xdr:colOff>66675</xdr:colOff>
      <xdr:row>39</xdr:row>
      <xdr:rowOff>123813</xdr:rowOff>
    </xdr:from>
    <xdr:to>
      <xdr:col>13</xdr:col>
      <xdr:colOff>498984</xdr:colOff>
      <xdr:row>43</xdr:row>
      <xdr:rowOff>52924</xdr:rowOff>
    </xdr:to>
    <xdr:sp macro="" textlink="">
      <xdr:nvSpPr>
        <xdr:cNvPr id="218" name="CaixaDeTexto 223">
          <a:extLst>
            <a:ext uri="{FF2B5EF4-FFF2-40B4-BE49-F238E27FC236}">
              <a16:creationId xmlns:a16="http://schemas.microsoft.com/office/drawing/2014/main" id="{EB56A9A5-F592-485A-A3C2-274D255BFB63}"/>
            </a:ext>
          </a:extLst>
        </xdr:cNvPr>
        <xdr:cNvSpPr txBox="1"/>
      </xdr:nvSpPr>
      <xdr:spPr>
        <a:xfrm>
          <a:off x="4171950" y="8515338"/>
          <a:ext cx="1299084" cy="691111"/>
        </a:xfrm>
        <a:prstGeom prst="roundRect">
          <a:avLst/>
        </a:prstGeom>
        <a:ln>
          <a:extLst>
            <a:ext uri="{C807C97D-BFC1-408E-A445-0C87EB9F89A2}">
              <ask:lineSketchStyleProps xmlns:ask="http://schemas.microsoft.com/office/drawing/2018/sketchyshapes">
                <ask:type>
                  <ask:lineSketchNone/>
                </ask:type>
              </ask:lineSketchStyleProps>
            </a:ext>
          </a:extLst>
        </a:ln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wrap="square" rtlCol="0" anchor="ctr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defTabSz="457189"/>
          <a:r>
            <a:rPr lang="pt-BR" sz="1200" b="1">
              <a:solidFill>
                <a:prstClr val="black"/>
              </a:solidFill>
            </a:rPr>
            <a:t>ETR-04</a:t>
          </a:r>
        </a:p>
        <a:p>
          <a:pPr algn="ctr" defTabSz="457189"/>
          <a:r>
            <a:rPr lang="pt-BR" sz="1100">
              <a:solidFill>
                <a:prstClr val="black"/>
              </a:solidFill>
            </a:rPr>
            <a:t>(Presidente Olegário)</a:t>
          </a:r>
        </a:p>
      </xdr:txBody>
    </xdr:sp>
    <xdr:clientData/>
  </xdr:twoCellAnchor>
  <xdr:twoCellAnchor>
    <xdr:from>
      <xdr:col>8</xdr:col>
      <xdr:colOff>19050</xdr:colOff>
      <xdr:row>40</xdr:row>
      <xdr:rowOff>180975</xdr:rowOff>
    </xdr:from>
    <xdr:to>
      <xdr:col>11</xdr:col>
      <xdr:colOff>57150</xdr:colOff>
      <xdr:row>40</xdr:row>
      <xdr:rowOff>180975</xdr:rowOff>
    </xdr:to>
    <xdr:cxnSp macro="">
      <xdr:nvCxnSpPr>
        <xdr:cNvPr id="219" name="Conector de Seta Reta 218">
          <a:extLst>
            <a:ext uri="{FF2B5EF4-FFF2-40B4-BE49-F238E27FC236}">
              <a16:creationId xmlns:a16="http://schemas.microsoft.com/office/drawing/2014/main" id="{78207CC3-1ACB-42AE-AC77-A2C38C2049F1}"/>
            </a:ext>
          </a:extLst>
        </xdr:cNvPr>
        <xdr:cNvCxnSpPr/>
      </xdr:nvCxnSpPr>
      <xdr:spPr>
        <a:xfrm>
          <a:off x="3181350" y="10096500"/>
          <a:ext cx="105727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41</xdr:row>
      <xdr:rowOff>152400</xdr:rowOff>
    </xdr:from>
    <xdr:to>
      <xdr:col>11</xdr:col>
      <xdr:colOff>57150</xdr:colOff>
      <xdr:row>41</xdr:row>
      <xdr:rowOff>161925</xdr:rowOff>
    </xdr:to>
    <xdr:cxnSp macro="">
      <xdr:nvCxnSpPr>
        <xdr:cNvPr id="220" name="Conector de Seta Reta 219">
          <a:extLst>
            <a:ext uri="{FF2B5EF4-FFF2-40B4-BE49-F238E27FC236}">
              <a16:creationId xmlns:a16="http://schemas.microsoft.com/office/drawing/2014/main" id="{85B7C897-F9E8-454A-B52E-C852182B8A59}"/>
            </a:ext>
          </a:extLst>
        </xdr:cNvPr>
        <xdr:cNvCxnSpPr/>
      </xdr:nvCxnSpPr>
      <xdr:spPr>
        <a:xfrm>
          <a:off x="3171825" y="10258425"/>
          <a:ext cx="106680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</xdr:col>
      <xdr:colOff>123825</xdr:colOff>
      <xdr:row>204</xdr:row>
      <xdr:rowOff>0</xdr:rowOff>
    </xdr:from>
    <xdr:to>
      <xdr:col>3</xdr:col>
      <xdr:colOff>118650</xdr:colOff>
      <xdr:row>204</xdr:row>
      <xdr:rowOff>1090</xdr:rowOff>
    </xdr:to>
    <xdr:cxnSp macro="">
      <xdr:nvCxnSpPr>
        <xdr:cNvPr id="221" name="Conector angulado 242">
          <a:extLst>
            <a:ext uri="{FF2B5EF4-FFF2-40B4-BE49-F238E27FC236}">
              <a16:creationId xmlns:a16="http://schemas.microsoft.com/office/drawing/2014/main" id="{9F055D6B-123C-4374-8741-85CA51247828}"/>
            </a:ext>
          </a:extLst>
        </xdr:cNvPr>
        <xdr:cNvCxnSpPr/>
      </xdr:nvCxnSpPr>
      <xdr:spPr>
        <a:xfrm>
          <a:off x="371475" y="46748700"/>
          <a:ext cx="252000" cy="109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89</xdr:row>
      <xdr:rowOff>0</xdr:rowOff>
    </xdr:from>
    <xdr:to>
      <xdr:col>16</xdr:col>
      <xdr:colOff>9525</xdr:colOff>
      <xdr:row>89</xdr:row>
      <xdr:rowOff>9525</xdr:rowOff>
    </xdr:to>
    <xdr:cxnSp macro="">
      <xdr:nvCxnSpPr>
        <xdr:cNvPr id="228" name="Conector de Seta Reta 227">
          <a:extLst>
            <a:ext uri="{FF2B5EF4-FFF2-40B4-BE49-F238E27FC236}">
              <a16:creationId xmlns:a16="http://schemas.microsoft.com/office/drawing/2014/main" id="{C067A610-2A03-49FF-80CC-8A0479050942}"/>
            </a:ext>
          </a:extLst>
        </xdr:cNvPr>
        <xdr:cNvCxnSpPr/>
      </xdr:nvCxnSpPr>
      <xdr:spPr>
        <a:xfrm flipV="1">
          <a:off x="5753100" y="19935825"/>
          <a:ext cx="81915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85725</xdr:colOff>
      <xdr:row>90</xdr:row>
      <xdr:rowOff>28575</xdr:rowOff>
    </xdr:from>
    <xdr:to>
      <xdr:col>16</xdr:col>
      <xdr:colOff>47625</xdr:colOff>
      <xdr:row>90</xdr:row>
      <xdr:rowOff>38100</xdr:rowOff>
    </xdr:to>
    <xdr:cxnSp macro="">
      <xdr:nvCxnSpPr>
        <xdr:cNvPr id="229" name="Conector de Seta Reta 228">
          <a:extLst>
            <a:ext uri="{FF2B5EF4-FFF2-40B4-BE49-F238E27FC236}">
              <a16:creationId xmlns:a16="http://schemas.microsoft.com/office/drawing/2014/main" id="{C9535CE9-1D2D-4773-8A45-A90CC1C4611F}"/>
            </a:ext>
          </a:extLst>
        </xdr:cNvPr>
        <xdr:cNvCxnSpPr/>
      </xdr:nvCxnSpPr>
      <xdr:spPr>
        <a:xfrm flipV="1">
          <a:off x="5743575" y="20154900"/>
          <a:ext cx="86677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6"/>
        </a:lnRef>
        <a:fillRef idx="0">
          <a:schemeClr val="accent6"/>
        </a:fillRef>
        <a:effectRef idx="0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23</xdr:col>
      <xdr:colOff>0</xdr:colOff>
      <xdr:row>7</xdr:row>
      <xdr:rowOff>0</xdr:rowOff>
    </xdr:from>
    <xdr:to>
      <xdr:col>25</xdr:col>
      <xdr:colOff>200025</xdr:colOff>
      <xdr:row>12</xdr:row>
      <xdr:rowOff>60392</xdr:rowOff>
    </xdr:to>
    <xdr:sp macro="" textlink="">
      <xdr:nvSpPr>
        <xdr:cNvPr id="242" name="CaixaDeTexto 232">
          <a:extLst>
            <a:ext uri="{FF2B5EF4-FFF2-40B4-BE49-F238E27FC236}">
              <a16:creationId xmlns:a16="http://schemas.microsoft.com/office/drawing/2014/main" id="{330FE49F-D15B-4697-95A7-99D6A3638764}"/>
            </a:ext>
          </a:extLst>
        </xdr:cNvPr>
        <xdr:cNvSpPr txBox="1"/>
      </xdr:nvSpPr>
      <xdr:spPr>
        <a:xfrm>
          <a:off x="10315575" y="1533525"/>
          <a:ext cx="1895475" cy="1012892"/>
        </a:xfrm>
        <a:prstGeom prst="flowChartTerminator">
          <a:avLst/>
        </a:prstGeom>
        <a:solidFill>
          <a:srgbClr val="FF0000"/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333" b="1">
              <a:solidFill>
                <a:schemeClr val="bg1"/>
              </a:solidFill>
            </a:rPr>
            <a:t>Aterro Sanitário de Bambuí</a:t>
          </a:r>
        </a:p>
        <a:p>
          <a:pPr algn="ctr"/>
          <a:endParaRPr lang="pt-BR" sz="1333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0</xdr:colOff>
      <xdr:row>9</xdr:row>
      <xdr:rowOff>76200</xdr:rowOff>
    </xdr:from>
    <xdr:to>
      <xdr:col>21</xdr:col>
      <xdr:colOff>581025</xdr:colOff>
      <xdr:row>9</xdr:row>
      <xdr:rowOff>85725</xdr:rowOff>
    </xdr:to>
    <xdr:cxnSp macro="">
      <xdr:nvCxnSpPr>
        <xdr:cNvPr id="243" name="Conector de Seta Reta 242">
          <a:extLst>
            <a:ext uri="{FF2B5EF4-FFF2-40B4-BE49-F238E27FC236}">
              <a16:creationId xmlns:a16="http://schemas.microsoft.com/office/drawing/2014/main" id="{8E0372D0-0078-4333-BBED-286F5A0332FC}"/>
            </a:ext>
          </a:extLst>
        </xdr:cNvPr>
        <xdr:cNvCxnSpPr/>
      </xdr:nvCxnSpPr>
      <xdr:spPr>
        <a:xfrm>
          <a:off x="5838825" y="1990725"/>
          <a:ext cx="4267200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247650</xdr:colOff>
      <xdr:row>11</xdr:row>
      <xdr:rowOff>66675</xdr:rowOff>
    </xdr:from>
    <xdr:to>
      <xdr:col>21</xdr:col>
      <xdr:colOff>581025</xdr:colOff>
      <xdr:row>11</xdr:row>
      <xdr:rowOff>76200</xdr:rowOff>
    </xdr:to>
    <xdr:cxnSp macro="">
      <xdr:nvCxnSpPr>
        <xdr:cNvPr id="244" name="Conector de Seta Reta 243">
          <a:extLst>
            <a:ext uri="{FF2B5EF4-FFF2-40B4-BE49-F238E27FC236}">
              <a16:creationId xmlns:a16="http://schemas.microsoft.com/office/drawing/2014/main" id="{3CEEEF92-0BC6-4D2A-A6FC-D3C9A7DF7C2A}"/>
            </a:ext>
          </a:extLst>
        </xdr:cNvPr>
        <xdr:cNvCxnSpPr/>
      </xdr:nvCxnSpPr>
      <xdr:spPr>
        <a:xfrm>
          <a:off x="5829300" y="2362200"/>
          <a:ext cx="42767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242</xdr:row>
      <xdr:rowOff>57150</xdr:rowOff>
    </xdr:from>
    <xdr:to>
      <xdr:col>1</xdr:col>
      <xdr:colOff>1021774</xdr:colOff>
      <xdr:row>243</xdr:row>
      <xdr:rowOff>169718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19075" y="438054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122</xdr:row>
      <xdr:rowOff>47625</xdr:rowOff>
    </xdr:from>
    <xdr:to>
      <xdr:col>1</xdr:col>
      <xdr:colOff>1012249</xdr:colOff>
      <xdr:row>123</xdr:row>
      <xdr:rowOff>160193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09550" y="246030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95</xdr:row>
      <xdr:rowOff>142875</xdr:rowOff>
    </xdr:from>
    <xdr:to>
      <xdr:col>1</xdr:col>
      <xdr:colOff>1040824</xdr:colOff>
      <xdr:row>97</xdr:row>
      <xdr:rowOff>64943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9075" y="2371725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57979</xdr:colOff>
      <xdr:row>60</xdr:row>
      <xdr:rowOff>107674</xdr:rowOff>
    </xdr:from>
    <xdr:to>
      <xdr:col>3</xdr:col>
      <xdr:colOff>433708</xdr:colOff>
      <xdr:row>62</xdr:row>
      <xdr:rowOff>38401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3522" y="8075544"/>
          <a:ext cx="1021773" cy="31172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  <xdr:twoCellAnchor>
    <xdr:from>
      <xdr:col>1</xdr:col>
      <xdr:colOff>47625</xdr:colOff>
      <xdr:row>57</xdr:row>
      <xdr:rowOff>123825</xdr:rowOff>
    </xdr:from>
    <xdr:to>
      <xdr:col>3</xdr:col>
      <xdr:colOff>445189</xdr:colOff>
      <xdr:row>59</xdr:row>
      <xdr:rowOff>114300</xdr:rowOff>
    </xdr:to>
    <xdr:sp macro="[0]!Zerar_vp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504825" y="8667750"/>
          <a:ext cx="1045264" cy="3714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+mn-lt"/>
              <a:cs typeface="Arial" panose="020B0604020202020204" pitchFamily="34" charset="0"/>
            </a:rPr>
            <a:t>Zerar</a:t>
          </a:r>
          <a:r>
            <a:rPr lang="pt-BR" sz="1400" b="1" baseline="0">
              <a:latin typeface="+mn-lt"/>
              <a:cs typeface="Arial" panose="020B0604020202020204" pitchFamily="34" charset="0"/>
            </a:rPr>
            <a:t> VPL</a:t>
          </a:r>
          <a:endParaRPr lang="pt-BR" sz="1400" b="1"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114300</xdr:colOff>
      <xdr:row>34</xdr:row>
      <xdr:rowOff>66675</xdr:rowOff>
    </xdr:from>
    <xdr:to>
      <xdr:col>3</xdr:col>
      <xdr:colOff>488373</xdr:colOff>
      <xdr:row>35</xdr:row>
      <xdr:rowOff>187902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71500" y="6029325"/>
          <a:ext cx="1021773" cy="31172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259</xdr:row>
      <xdr:rowOff>123825</xdr:rowOff>
    </xdr:from>
    <xdr:to>
      <xdr:col>3</xdr:col>
      <xdr:colOff>583624</xdr:colOff>
      <xdr:row>261</xdr:row>
      <xdr:rowOff>45893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85750" y="705802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  <xdr:twoCellAnchor>
    <xdr:from>
      <xdr:col>3</xdr:col>
      <xdr:colOff>722781</xdr:colOff>
      <xdr:row>264</xdr:row>
      <xdr:rowOff>6723</xdr:rowOff>
    </xdr:from>
    <xdr:to>
      <xdr:col>8</xdr:col>
      <xdr:colOff>571501</xdr:colOff>
      <xdr:row>280</xdr:row>
      <xdr:rowOff>89647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46BF0F1-AE33-F30C-F656-92A48A76D0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229719</xdr:colOff>
      <xdr:row>263</xdr:row>
      <xdr:rowOff>152398</xdr:rowOff>
    </xdr:from>
    <xdr:to>
      <xdr:col>16</xdr:col>
      <xdr:colOff>67235</xdr:colOff>
      <xdr:row>280</xdr:row>
      <xdr:rowOff>44823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DAACB98-E1F3-F65A-304E-FBB5B77DFC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147</xdr:row>
      <xdr:rowOff>76200</xdr:rowOff>
    </xdr:from>
    <xdr:to>
      <xdr:col>2</xdr:col>
      <xdr:colOff>840799</xdr:colOff>
      <xdr:row>148</xdr:row>
      <xdr:rowOff>188768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00025" y="69627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91</xdr:row>
      <xdr:rowOff>0</xdr:rowOff>
    </xdr:from>
    <xdr:to>
      <xdr:col>2</xdr:col>
      <xdr:colOff>1021774</xdr:colOff>
      <xdr:row>92</xdr:row>
      <xdr:rowOff>112568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571500" y="1499235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  <xdr:twoCellAnchor>
    <xdr:from>
      <xdr:col>7</xdr:col>
      <xdr:colOff>523875</xdr:colOff>
      <xdr:row>109</xdr:row>
      <xdr:rowOff>95249</xdr:rowOff>
    </xdr:from>
    <xdr:to>
      <xdr:col>15</xdr:col>
      <xdr:colOff>114300</xdr:colOff>
      <xdr:row>129</xdr:row>
      <xdr:rowOff>66674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390525</xdr:colOff>
      <xdr:row>111</xdr:row>
      <xdr:rowOff>47625</xdr:rowOff>
    </xdr:from>
    <xdr:to>
      <xdr:col>13</xdr:col>
      <xdr:colOff>609600</xdr:colOff>
      <xdr:row>126</xdr:row>
      <xdr:rowOff>66675</xdr:rowOff>
    </xdr:to>
    <xdr:sp macro="" textlink="">
      <xdr:nvSpPr>
        <xdr:cNvPr id="7" name="Chave Direita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12506325" y="20440650"/>
          <a:ext cx="219075" cy="28765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609599</xdr:colOff>
      <xdr:row>116</xdr:row>
      <xdr:rowOff>123825</xdr:rowOff>
    </xdr:from>
    <xdr:to>
      <xdr:col>14</xdr:col>
      <xdr:colOff>733424</xdr:colOff>
      <xdr:row>123</xdr:row>
      <xdr:rowOff>161925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 txBox="1"/>
      </xdr:nvSpPr>
      <xdr:spPr>
        <a:xfrm>
          <a:off x="12725399" y="21469350"/>
          <a:ext cx="923925" cy="1371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000"/>
            <a:t>Custo total</a:t>
          </a:r>
          <a:r>
            <a:rPr lang="pt-BR" sz="1000" baseline="0"/>
            <a:t> a Valor Presente da Concessão</a:t>
          </a:r>
          <a:endParaRPr lang="pt-BR" sz="1000"/>
        </a:p>
      </xdr:txBody>
    </xdr:sp>
    <xdr:clientData/>
  </xdr:twoCellAnchor>
  <xdr:twoCellAnchor>
    <xdr:from>
      <xdr:col>8</xdr:col>
      <xdr:colOff>257175</xdr:colOff>
      <xdr:row>110</xdr:row>
      <xdr:rowOff>161926</xdr:rowOff>
    </xdr:from>
    <xdr:to>
      <xdr:col>8</xdr:col>
      <xdr:colOff>409575</xdr:colOff>
      <xdr:row>126</xdr:row>
      <xdr:rowOff>28576</xdr:rowOff>
    </xdr:to>
    <xdr:sp macro="" textlink="">
      <xdr:nvSpPr>
        <xdr:cNvPr id="9" name="Chave Esquerda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/>
      </xdr:nvSpPr>
      <xdr:spPr>
        <a:xfrm>
          <a:off x="9267825" y="20574001"/>
          <a:ext cx="152400" cy="2914650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</cdr:x>
      <cdr:y>0.35348</cdr:y>
    </cdr:from>
    <cdr:to>
      <cdr:x>0.11449</cdr:x>
      <cdr:y>0.7733</cdr:y>
    </cdr:to>
    <cdr:sp macro="" textlink="">
      <cdr:nvSpPr>
        <cdr:cNvPr id="2" name="CaixaDeTexto 7">
          <a:extLst xmlns:a="http://schemas.openxmlformats.org/drawingml/2006/main">
            <a:ext uri="{FF2B5EF4-FFF2-40B4-BE49-F238E27FC236}">
              <a16:creationId xmlns:a16="http://schemas.microsoft.com/office/drawing/2014/main" id="{F8072B52-E25F-A96C-0F22-077C3329561C}"/>
            </a:ext>
          </a:extLst>
        </cdr:cNvPr>
        <cdr:cNvSpPr txBox="1"/>
      </cdr:nvSpPr>
      <cdr:spPr>
        <a:xfrm xmlns:a="http://schemas.openxmlformats.org/drawingml/2006/main">
          <a:off x="0" y="1336674"/>
          <a:ext cx="752475" cy="1587501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pt-BR" sz="1000">
              <a:solidFill>
                <a:schemeClr val="accent1"/>
              </a:solidFill>
            </a:rPr>
            <a:t>Custo total</a:t>
          </a:r>
          <a:r>
            <a:rPr lang="pt-BR" sz="1000" baseline="0">
              <a:solidFill>
                <a:schemeClr val="accent1"/>
              </a:solidFill>
            </a:rPr>
            <a:t> a Valor Presente do Modelo Tradicional</a:t>
          </a:r>
          <a:endParaRPr lang="pt-BR" sz="1000">
            <a:solidFill>
              <a:schemeClr val="accent1"/>
            </a:solidFill>
          </a:endParaRP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18</xdr:row>
      <xdr:rowOff>0</xdr:rowOff>
    </xdr:from>
    <xdr:to>
      <xdr:col>3</xdr:col>
      <xdr:colOff>402649</xdr:colOff>
      <xdr:row>19</xdr:row>
      <xdr:rowOff>103043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276225" y="356235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19</xdr:row>
      <xdr:rowOff>104775</xdr:rowOff>
    </xdr:from>
    <xdr:to>
      <xdr:col>3</xdr:col>
      <xdr:colOff>421699</xdr:colOff>
      <xdr:row>21</xdr:row>
      <xdr:rowOff>26843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295275" y="49053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22413</xdr:colOff>
      <xdr:row>26</xdr:row>
      <xdr:rowOff>56029</xdr:rowOff>
    </xdr:from>
    <xdr:to>
      <xdr:col>3</xdr:col>
      <xdr:colOff>170127</xdr:colOff>
      <xdr:row>27</xdr:row>
      <xdr:rowOff>177256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358589" y="24888264"/>
          <a:ext cx="1021773" cy="31172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664400</xdr:colOff>
      <xdr:row>22</xdr:row>
      <xdr:rowOff>46640</xdr:rowOff>
    </xdr:from>
    <xdr:ext cx="2027606" cy="39151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SpPr txBox="1"/>
          </xdr:nvSpPr>
          <xdr:spPr>
            <a:xfrm>
              <a:off x="1635950" y="5513990"/>
              <a:ext cx="2027606" cy="3915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>
                    <m:f>
                      <m:fPr>
                        <m:ctrlPr>
                          <a:rPr lang="pt-BR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𝑁𝑜𝑚𝑖𝑛𝑎𝑙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𝑇𝑟𝑒𝑎𝑠𝑢𝑟𝑦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𝑅𝑎𝑡𝑒</m:t>
                        </m:r>
                      </m:num>
                      <m:den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1+</m:t>
                        </m:r>
                        <m:r>
                          <m:rPr>
                            <m:sty m:val="p"/>
                          </m:rPr>
                          <a:rPr lang="pt-BR" sz="1100" b="0" i="0">
                            <a:latin typeface="Cambria Math" panose="02040503050406030204" pitchFamily="18" charset="0"/>
                          </a:rPr>
                          <m:t>TIP</m:t>
                        </m:r>
                        <m:r>
                          <a:rPr lang="pt-BR" sz="1100" b="0" i="1" baseline="-25000">
                            <a:latin typeface="Cambria Math" panose="02040503050406030204" pitchFamily="18" charset="0"/>
                          </a:rPr>
                          <m:t>𝑆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1100" b="0" i="1">
                            <a:latin typeface="Cambria Math" panose="02040503050406030204" pitchFamily="18" charset="0"/>
                          </a:rPr>
                          <m:t>𝑅𝑎𝑡𝑒</m:t>
                        </m:r>
                      </m:den>
                    </m:f>
                    <m:r>
                      <a:rPr lang="pt-BR" sz="1100" b="0" i="1">
                        <a:latin typeface="Cambria Math" panose="02040503050406030204" pitchFamily="18" charset="0"/>
                      </a:rPr>
                      <m:t>−1</m:t>
                    </m:r>
                  </m:oMath>
                </m:oMathPara>
              </a14:m>
              <a:endParaRPr lang="pt-BR" sz="11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34B867CC-42CF-40E7-897F-5F60E895A54F}"/>
                </a:ext>
              </a:extLst>
            </xdr:cNvPr>
            <xdr:cNvSpPr txBox="1"/>
          </xdr:nvSpPr>
          <xdr:spPr>
            <a:xfrm>
              <a:off x="1635950" y="5513990"/>
              <a:ext cx="2027606" cy="39151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pt-BR" sz="1100" i="0">
                  <a:latin typeface="Cambria Math" panose="02040503050406030204" pitchFamily="18" charset="0"/>
                </a:rPr>
                <a:t>(</a:t>
              </a:r>
              <a:r>
                <a:rPr lang="pt-BR" sz="1100" b="0" i="0">
                  <a:latin typeface="Cambria Math" panose="02040503050406030204" pitchFamily="18" charset="0"/>
                </a:rPr>
                <a:t>1+𝑁𝑜𝑚𝑖𝑛𝑎𝑙 𝑇𝑟𝑒𝑎𝑠𝑢𝑟𝑦 𝑅𝑎𝑡𝑒)/(1+TIP</a:t>
              </a:r>
              <a:r>
                <a:rPr lang="pt-BR" sz="1100" b="0" i="0" baseline="-25000">
                  <a:latin typeface="Cambria Math" panose="02040503050406030204" pitchFamily="18" charset="0"/>
                </a:rPr>
                <a:t>𝑆</a:t>
              </a:r>
              <a:r>
                <a:rPr lang="pt-BR" sz="1100" b="0" i="0">
                  <a:latin typeface="Cambria Math" panose="02040503050406030204" pitchFamily="18" charset="0"/>
                </a:rPr>
                <a:t> 𝑅𝑎𝑡𝑒)−1</a:t>
              </a:r>
              <a:endParaRPr lang="pt-BR" sz="1100"/>
            </a:p>
          </xdr:txBody>
        </xdr:sp>
      </mc:Fallback>
    </mc:AlternateContent>
    <xdr:clientData/>
  </xdr:oneCellAnchor>
  <xdr:twoCellAnchor>
    <xdr:from>
      <xdr:col>1</xdr:col>
      <xdr:colOff>9525</xdr:colOff>
      <xdr:row>46</xdr:row>
      <xdr:rowOff>19050</xdr:rowOff>
    </xdr:from>
    <xdr:to>
      <xdr:col>3</xdr:col>
      <xdr:colOff>174048</xdr:colOff>
      <xdr:row>47</xdr:row>
      <xdr:rowOff>140277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23825" y="10763250"/>
          <a:ext cx="1021773" cy="31172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105</xdr:row>
      <xdr:rowOff>95250</xdr:rowOff>
    </xdr:from>
    <xdr:to>
      <xdr:col>4</xdr:col>
      <xdr:colOff>507424</xdr:colOff>
      <xdr:row>107</xdr:row>
      <xdr:rowOff>93518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33400" y="180975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44</xdr:row>
      <xdr:rowOff>76200</xdr:rowOff>
    </xdr:from>
    <xdr:to>
      <xdr:col>4</xdr:col>
      <xdr:colOff>497899</xdr:colOff>
      <xdr:row>46</xdr:row>
      <xdr:rowOff>74468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885825" y="84582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</xdr:colOff>
      <xdr:row>160</xdr:row>
      <xdr:rowOff>38100</xdr:rowOff>
    </xdr:from>
    <xdr:to>
      <xdr:col>2</xdr:col>
      <xdr:colOff>1069399</xdr:colOff>
      <xdr:row>161</xdr:row>
      <xdr:rowOff>150668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42925" y="3029902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149</xdr:row>
      <xdr:rowOff>152400</xdr:rowOff>
    </xdr:from>
    <xdr:to>
      <xdr:col>2</xdr:col>
      <xdr:colOff>831274</xdr:colOff>
      <xdr:row>151</xdr:row>
      <xdr:rowOff>74468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80975" y="5700712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68</xdr:row>
      <xdr:rowOff>180975</xdr:rowOff>
    </xdr:from>
    <xdr:to>
      <xdr:col>2</xdr:col>
      <xdr:colOff>1021774</xdr:colOff>
      <xdr:row>70</xdr:row>
      <xdr:rowOff>103043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371475" y="134874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85</xdr:row>
      <xdr:rowOff>28575</xdr:rowOff>
    </xdr:from>
    <xdr:to>
      <xdr:col>2</xdr:col>
      <xdr:colOff>1031299</xdr:colOff>
      <xdr:row>86</xdr:row>
      <xdr:rowOff>141143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381000" y="3042285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54</xdr:row>
      <xdr:rowOff>28575</xdr:rowOff>
    </xdr:from>
    <xdr:to>
      <xdr:col>2</xdr:col>
      <xdr:colOff>1031299</xdr:colOff>
      <xdr:row>55</xdr:row>
      <xdr:rowOff>141143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381000" y="122682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76</xdr:row>
      <xdr:rowOff>28575</xdr:rowOff>
    </xdr:from>
    <xdr:to>
      <xdr:col>2</xdr:col>
      <xdr:colOff>1031299</xdr:colOff>
      <xdr:row>77</xdr:row>
      <xdr:rowOff>141143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1A5354-DD51-4ADE-A0BA-7A13288F3168}"/>
            </a:ext>
          </a:extLst>
        </xdr:cNvPr>
        <xdr:cNvSpPr/>
      </xdr:nvSpPr>
      <xdr:spPr>
        <a:xfrm>
          <a:off x="381000" y="1223962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179</xdr:row>
      <xdr:rowOff>28575</xdr:rowOff>
    </xdr:from>
    <xdr:to>
      <xdr:col>3</xdr:col>
      <xdr:colOff>659824</xdr:colOff>
      <xdr:row>180</xdr:row>
      <xdr:rowOff>141143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247650" y="4252912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87</xdr:row>
      <xdr:rowOff>180975</xdr:rowOff>
    </xdr:from>
    <xdr:to>
      <xdr:col>2</xdr:col>
      <xdr:colOff>1040824</xdr:colOff>
      <xdr:row>89</xdr:row>
      <xdr:rowOff>103043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352425" y="202977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57</xdr:row>
      <xdr:rowOff>66675</xdr:rowOff>
    </xdr:from>
    <xdr:to>
      <xdr:col>2</xdr:col>
      <xdr:colOff>1031299</xdr:colOff>
      <xdr:row>58</xdr:row>
      <xdr:rowOff>179243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342900" y="186594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180975</xdr:colOff>
      <xdr:row>75</xdr:row>
      <xdr:rowOff>47625</xdr:rowOff>
    </xdr:from>
    <xdr:to>
      <xdr:col>2</xdr:col>
      <xdr:colOff>983674</xdr:colOff>
      <xdr:row>76</xdr:row>
      <xdr:rowOff>160193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295275" y="201168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70</xdr:row>
      <xdr:rowOff>9525</xdr:rowOff>
    </xdr:from>
    <xdr:to>
      <xdr:col>2</xdr:col>
      <xdr:colOff>1021774</xdr:colOff>
      <xdr:row>71</xdr:row>
      <xdr:rowOff>122093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466725" y="2028825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79</xdr:row>
      <xdr:rowOff>123825</xdr:rowOff>
    </xdr:from>
    <xdr:to>
      <xdr:col>3</xdr:col>
      <xdr:colOff>240724</xdr:colOff>
      <xdr:row>81</xdr:row>
      <xdr:rowOff>179243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485775" y="18497550"/>
          <a:ext cx="955099" cy="43641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130</xdr:row>
      <xdr:rowOff>123825</xdr:rowOff>
    </xdr:from>
    <xdr:to>
      <xdr:col>3</xdr:col>
      <xdr:colOff>240724</xdr:colOff>
      <xdr:row>132</xdr:row>
      <xdr:rowOff>179243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72118F1-18CE-4F29-B818-3FBB3451F827}"/>
            </a:ext>
          </a:extLst>
        </xdr:cNvPr>
        <xdr:cNvSpPr/>
      </xdr:nvSpPr>
      <xdr:spPr>
        <a:xfrm>
          <a:off x="485775" y="16764000"/>
          <a:ext cx="955099" cy="43641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19049</xdr:colOff>
      <xdr:row>17</xdr:row>
      <xdr:rowOff>40005</xdr:rowOff>
    </xdr:from>
    <xdr:to>
      <xdr:col>12</xdr:col>
      <xdr:colOff>19050</xdr:colOff>
      <xdr:row>35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180975</xdr:colOff>
      <xdr:row>13</xdr:row>
      <xdr:rowOff>85725</xdr:rowOff>
    </xdr:from>
    <xdr:to>
      <xdr:col>3</xdr:col>
      <xdr:colOff>783649</xdr:colOff>
      <xdr:row>15</xdr:row>
      <xdr:rowOff>83993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80975" y="21717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51</xdr:row>
      <xdr:rowOff>0</xdr:rowOff>
    </xdr:from>
    <xdr:to>
      <xdr:col>3</xdr:col>
      <xdr:colOff>469324</xdr:colOff>
      <xdr:row>52</xdr:row>
      <xdr:rowOff>112568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762000" y="917257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85</xdr:row>
      <xdr:rowOff>28575</xdr:rowOff>
    </xdr:from>
    <xdr:to>
      <xdr:col>3</xdr:col>
      <xdr:colOff>388039</xdr:colOff>
      <xdr:row>87</xdr:row>
      <xdr:rowOff>19050</xdr:rowOff>
    </xdr:to>
    <xdr:sp macro="[0]!ZERAR_VPL_RPU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447675" y="15078075"/>
          <a:ext cx="1045264" cy="3714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+mn-lt"/>
              <a:cs typeface="Arial" panose="020B0604020202020204" pitchFamily="34" charset="0"/>
            </a:rPr>
            <a:t>Zerar</a:t>
          </a:r>
          <a:r>
            <a:rPr lang="pt-BR" sz="1400" b="1" baseline="0">
              <a:latin typeface="+mn-lt"/>
              <a:cs typeface="Arial" panose="020B0604020202020204" pitchFamily="34" charset="0"/>
            </a:rPr>
            <a:t> VPL</a:t>
          </a:r>
          <a:endParaRPr lang="pt-BR" sz="1400" b="1"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19050</xdr:colOff>
      <xdr:row>87</xdr:row>
      <xdr:rowOff>133350</xdr:rowOff>
    </xdr:from>
    <xdr:to>
      <xdr:col>3</xdr:col>
      <xdr:colOff>393124</xdr:colOff>
      <xdr:row>89</xdr:row>
      <xdr:rowOff>55418</xdr:rowOff>
    </xdr:to>
    <xdr:sp macro="" textlink="">
      <xdr:nvSpPr>
        <xdr:cNvPr id="5" name="Retângulo: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/>
      </xdr:nvSpPr>
      <xdr:spPr>
        <a:xfrm>
          <a:off x="476250" y="1556385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27</xdr:row>
      <xdr:rowOff>0</xdr:rowOff>
    </xdr:from>
    <xdr:to>
      <xdr:col>3</xdr:col>
      <xdr:colOff>412174</xdr:colOff>
      <xdr:row>28</xdr:row>
      <xdr:rowOff>112568</xdr:rowOff>
    </xdr:to>
    <xdr:sp macro="" textlink="">
      <xdr:nvSpPr>
        <xdr:cNvPr id="3" name="Retângulo: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285750" y="48006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37</xdr:row>
      <xdr:rowOff>38100</xdr:rowOff>
    </xdr:from>
    <xdr:to>
      <xdr:col>4</xdr:col>
      <xdr:colOff>497899</xdr:colOff>
      <xdr:row>39</xdr:row>
      <xdr:rowOff>36368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885825" y="7553325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26</xdr:row>
      <xdr:rowOff>0</xdr:rowOff>
    </xdr:from>
    <xdr:to>
      <xdr:col>2</xdr:col>
      <xdr:colOff>412174</xdr:colOff>
      <xdr:row>27</xdr:row>
      <xdr:rowOff>112568</xdr:rowOff>
    </xdr:to>
    <xdr:sp macro="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266700" y="5143500"/>
          <a:ext cx="1021774" cy="3030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113</xdr:row>
      <xdr:rowOff>19050</xdr:rowOff>
    </xdr:from>
    <xdr:to>
      <xdr:col>2</xdr:col>
      <xdr:colOff>1288474</xdr:colOff>
      <xdr:row>115</xdr:row>
      <xdr:rowOff>131618</xdr:rowOff>
    </xdr:to>
    <xdr:sp macro="" textlink="">
      <xdr:nvSpPr>
        <xdr:cNvPr id="2" name="Retângulo: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647700" y="18697575"/>
          <a:ext cx="1050349" cy="493568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Painel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471487</xdr:colOff>
      <xdr:row>11</xdr:row>
      <xdr:rowOff>66674</xdr:rowOff>
    </xdr:from>
    <xdr:to>
      <xdr:col>8</xdr:col>
      <xdr:colOff>771525</xdr:colOff>
      <xdr:row>31</xdr:row>
      <xdr:rowOff>171450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33</xdr:row>
      <xdr:rowOff>76199</xdr:rowOff>
    </xdr:from>
    <xdr:to>
      <xdr:col>9</xdr:col>
      <xdr:colOff>123825</xdr:colOff>
      <xdr:row>52</xdr:row>
      <xdr:rowOff>161925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5</xdr:col>
      <xdr:colOff>466725</xdr:colOff>
      <xdr:row>94</xdr:row>
      <xdr:rowOff>47625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96</xdr:row>
      <xdr:rowOff>190499</xdr:rowOff>
    </xdr:from>
    <xdr:to>
      <xdr:col>7</xdr:col>
      <xdr:colOff>85725</xdr:colOff>
      <xdr:row>115</xdr:row>
      <xdr:rowOff>47624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461962</xdr:colOff>
      <xdr:row>58</xdr:row>
      <xdr:rowOff>61912</xdr:rowOff>
    </xdr:from>
    <xdr:to>
      <xdr:col>8</xdr:col>
      <xdr:colOff>790575</xdr:colOff>
      <xdr:row>75</xdr:row>
      <xdr:rowOff>133350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EA820F3-5DCF-9A5A-F955-69496A18E9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523875</xdr:colOff>
      <xdr:row>119</xdr:row>
      <xdr:rowOff>0</xdr:rowOff>
    </xdr:from>
    <xdr:to>
      <xdr:col>7</xdr:col>
      <xdr:colOff>66675</xdr:colOff>
      <xdr:row>133</xdr:row>
      <xdr:rowOff>76200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994ACA2-E703-4B4B-B70C-27D19C0A23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447674</xdr:colOff>
      <xdr:row>137</xdr:row>
      <xdr:rowOff>38100</xdr:rowOff>
    </xdr:from>
    <xdr:to>
      <xdr:col>8</xdr:col>
      <xdr:colOff>638174</xdr:colOff>
      <xdr:row>151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F91C3B5-8B9B-4AE5-84B7-FBB924568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381000</xdr:colOff>
      <xdr:row>155</xdr:row>
      <xdr:rowOff>142875</xdr:rowOff>
    </xdr:from>
    <xdr:to>
      <xdr:col>8</xdr:col>
      <xdr:colOff>571500</xdr:colOff>
      <xdr:row>170</xdr:row>
      <xdr:rowOff>28575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2C048515-814A-4BB3-AE55-2B23B7F7A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238125</xdr:colOff>
      <xdr:row>172</xdr:row>
      <xdr:rowOff>66675</xdr:rowOff>
    </xdr:from>
    <xdr:to>
      <xdr:col>9</xdr:col>
      <xdr:colOff>300038</xdr:colOff>
      <xdr:row>192</xdr:row>
      <xdr:rowOff>171451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839386EB-FDCB-4F7E-B174-53BE23F1C8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590549</xdr:colOff>
      <xdr:row>196</xdr:row>
      <xdr:rowOff>104775</xdr:rowOff>
    </xdr:from>
    <xdr:to>
      <xdr:col>8</xdr:col>
      <xdr:colOff>761999</xdr:colOff>
      <xdr:row>210</xdr:row>
      <xdr:rowOff>180975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734CDC19-CD8A-4EAF-AAA9-A3D63AB325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581025</xdr:colOff>
      <xdr:row>213</xdr:row>
      <xdr:rowOff>180975</xdr:rowOff>
    </xdr:from>
    <xdr:to>
      <xdr:col>8</xdr:col>
      <xdr:colOff>781050</xdr:colOff>
      <xdr:row>228</xdr:row>
      <xdr:rowOff>66675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99894F08-CC2C-4C99-ACCF-71C6F1A963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2.TRABALHOS\3.%20BDMG\1.%20RELAT&#211;RIOS\Relat&#243;rio%20Avalia&#231;&#227;o%20Econ&#244;mico-Financeira\13.%20Relat&#243;rio%20revis&#227;o%2020%2010%202025\0522CT0020-02_Planilha_Capex_Opex_P5_R3_rev02.xlsx" TargetMode="External"/><Relationship Id="rId1" Type="http://schemas.openxmlformats.org/officeDocument/2006/relationships/externalLinkPath" Target="https://bdmg365.sharepoint.com/2.TRABALHOS/3.%20BDMG/1.%20RELAT&#211;RIOS/Relat&#243;rio%20Avalia&#231;&#227;o%20Econ&#244;mico-Financeira/13.%20Relat&#243;rio%20revis&#227;o%2020%2010%202025/0522CT0020-02_Planilha_Capex_Opex_P5_R3_rev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ão"/>
      <sheetName val="REVISAO"/>
      <sheetName val="Premissas"/>
      <sheetName val="MAPA SELEÇÃO"/>
      <sheetName val="Resumo"/>
      <sheetName val="CAPEX"/>
      <sheetName val="OPEX"/>
      <sheetName val="Rateio dos custos por município"/>
      <sheetName val="Anexo 6"/>
      <sheetName val="Geração de resíduos"/>
      <sheetName val="Projeção do balanço de massa"/>
      <sheetName val="Dimensionamento coleta"/>
      <sheetName val="Coleta Sel.-Balanço de Massas"/>
      <sheetName val="Extensão roteiros coleta"/>
      <sheetName val="Custo Coleta"/>
      <sheetName val="Custo Coleta Seletiva"/>
      <sheetName val="UTR Patos de Minas"/>
      <sheetName val="Coleta organicos"/>
      <sheetName val="Implantação de UTRs"/>
      <sheetName val="Distâncias"/>
      <sheetName val="Transporte ano 1 -2"/>
      <sheetName val="Transporte 3-30"/>
      <sheetName val="Transporte rejeitos 3-4"/>
      <sheetName val="Custo Carreta"/>
      <sheetName val="Custo tranbordo e transporte"/>
      <sheetName val=" Triagem"/>
      <sheetName val="Biometanização"/>
      <sheetName val="Compostagem"/>
      <sheetName val="AS Patos"/>
      <sheetName val="AS novo"/>
      <sheetName val="BIOGÁS"/>
      <sheetName val="SPE"/>
      <sheetName val="GEE"/>
      <sheetName val="Composições e Cotações"/>
      <sheetName val="Insumos "/>
      <sheetName val="TPU URBEL"/>
      <sheetName val="TPU SD-JUL25"/>
      <sheetName val="TPU CD-SET24"/>
      <sheetName val="CUB MG SD-JUL25"/>
      <sheetName val="BDI-SD"/>
      <sheetName val="ENCARGOS SOCIAIS"/>
      <sheetName val="População_FJP"/>
      <sheetName val="População_FJP_CISPAR"/>
    </sheetNames>
    <sheetDataSet>
      <sheetData sheetId="0"/>
      <sheetData sheetId="1"/>
      <sheetData sheetId="2">
        <row r="21">
          <cell r="F21">
            <v>2027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copasa.com.br/wps/portal/internet/a-copasa/numeros-e-indicadore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hyperlink" Target="https://www.jpmorganchase.com/about/our-business/historical-prime-rate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11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1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3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C8C33-DF5C-49EE-8128-4F083170CEBF}">
  <dimension ref="A1"/>
  <sheetViews>
    <sheetView topLeftCell="A10" zoomScaleNormal="100" workbookViewId="0">
      <selection activeCell="R14" sqref="R14"/>
    </sheetView>
  </sheetViews>
  <sheetFormatPr defaultColWidth="8.81640625" defaultRowHeight="14.5" x14ac:dyDescent="0.35"/>
  <sheetData/>
  <sheetProtection sheet="1" objects="1" scenarios="1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452F9-17B0-4C6F-9487-B266BAE21774}">
  <sheetPr codeName="Planilha6"/>
  <dimension ref="B2:C26"/>
  <sheetViews>
    <sheetView showGridLines="0" topLeftCell="A3" zoomScale="115" zoomScaleNormal="115" workbookViewId="0">
      <selection activeCell="B13" sqref="B13"/>
    </sheetView>
  </sheetViews>
  <sheetFormatPr defaultColWidth="8.81640625" defaultRowHeight="14.5" x14ac:dyDescent="0.35"/>
  <cols>
    <col min="2" max="2" width="5.453125" customWidth="1"/>
    <col min="4" max="4" width="9.08984375" customWidth="1"/>
  </cols>
  <sheetData>
    <row r="2" spans="2:3" ht="26" x14ac:dyDescent="0.6">
      <c r="B2" s="1156" t="s">
        <v>20</v>
      </c>
    </row>
    <row r="3" spans="2:3" ht="7.5" customHeight="1" x14ac:dyDescent="0.35"/>
    <row r="4" spans="2:3" ht="18.5" x14ac:dyDescent="0.45">
      <c r="B4" s="357" t="s">
        <v>21</v>
      </c>
    </row>
    <row r="5" spans="2:3" ht="4.5" customHeight="1" x14ac:dyDescent="0.45">
      <c r="B5" s="357"/>
    </row>
    <row r="6" spans="2:3" x14ac:dyDescent="0.35">
      <c r="B6" t="s">
        <v>22</v>
      </c>
    </row>
    <row r="7" spans="2:3" x14ac:dyDescent="0.35">
      <c r="B7" t="s">
        <v>23</v>
      </c>
    </row>
    <row r="8" spans="2:3" x14ac:dyDescent="0.35">
      <c r="B8" s="19" t="s">
        <v>24</v>
      </c>
      <c r="C8" s="19"/>
    </row>
    <row r="9" spans="2:3" x14ac:dyDescent="0.35">
      <c r="B9" s="19"/>
      <c r="C9" s="19" t="s">
        <v>25</v>
      </c>
    </row>
    <row r="11" spans="2:3" ht="18.5" x14ac:dyDescent="0.45">
      <c r="B11" s="357" t="s">
        <v>26</v>
      </c>
    </row>
    <row r="12" spans="2:3" ht="4.5" customHeight="1" thickBot="1" x14ac:dyDescent="0.4"/>
    <row r="13" spans="2:3" ht="15" thickBot="1" x14ac:dyDescent="0.4">
      <c r="B13" s="1157" t="s">
        <v>27</v>
      </c>
      <c r="C13" t="s">
        <v>28</v>
      </c>
    </row>
    <row r="14" spans="2:3" ht="15" thickBot="1" x14ac:dyDescent="0.4">
      <c r="B14" s="1158" t="s">
        <v>27</v>
      </c>
      <c r="C14" t="s">
        <v>29</v>
      </c>
    </row>
    <row r="15" spans="2:3" ht="15" thickBot="1" x14ac:dyDescent="0.4">
      <c r="B15" s="1165" t="s">
        <v>27</v>
      </c>
      <c r="C15" t="s">
        <v>30</v>
      </c>
    </row>
    <row r="17" spans="2:3" ht="18.5" x14ac:dyDescent="0.45">
      <c r="B17" s="357" t="s">
        <v>31</v>
      </c>
    </row>
    <row r="18" spans="2:3" ht="15" thickBot="1" x14ac:dyDescent="0.4">
      <c r="B18" t="s">
        <v>32</v>
      </c>
    </row>
    <row r="19" spans="2:3" ht="15" thickBot="1" x14ac:dyDescent="0.4">
      <c r="B19" s="1159"/>
      <c r="C19" t="s">
        <v>33</v>
      </c>
    </row>
    <row r="20" spans="2:3" ht="15" thickBot="1" x14ac:dyDescent="0.4">
      <c r="B20" s="1160"/>
      <c r="C20" t="s">
        <v>34</v>
      </c>
    </row>
    <row r="21" spans="2:3" ht="15" thickBot="1" x14ac:dyDescent="0.4">
      <c r="B21" s="1161"/>
      <c r="C21" t="s">
        <v>35</v>
      </c>
    </row>
    <row r="22" spans="2:3" ht="15" thickBot="1" x14ac:dyDescent="0.4">
      <c r="B22" s="1162"/>
      <c r="C22" t="s">
        <v>36</v>
      </c>
    </row>
    <row r="23" spans="2:3" ht="15" thickBot="1" x14ac:dyDescent="0.4">
      <c r="B23" s="1163"/>
      <c r="C23" t="s">
        <v>37</v>
      </c>
    </row>
    <row r="24" spans="2:3" ht="15" thickBot="1" x14ac:dyDescent="0.4">
      <c r="B24" s="1164"/>
      <c r="C24" t="s">
        <v>38</v>
      </c>
    </row>
    <row r="25" spans="2:3" ht="7.5" customHeight="1" x14ac:dyDescent="0.35"/>
    <row r="26" spans="2:3" x14ac:dyDescent="0.35">
      <c r="B26" t="s">
        <v>39</v>
      </c>
    </row>
  </sheetData>
  <sheetProtection algorithmName="SHA-512" hashValue="PLe0P6MuMBJiF5OtPDbKHXeZY+TSXTSr8mPmYUc2p4xMcoKDz422hegvc1ZD4U1d89YM/FWbQJkCE5n8Npwidw==" saltValue="LUfXqrMOIx6s3M7LcF6lNQ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&amp;C_x000D_&amp;1#&amp;"Aptos"&amp;10&amp;K000000 INFORMAÇÃO CONTROLADA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8E3D9-24D5-4E60-AC19-B9772AD0A2B3}">
  <sheetPr codeName="Planilha2">
    <tabColor theme="9" tint="-0.249977111117893"/>
  </sheetPr>
  <dimension ref="B2:Q57"/>
  <sheetViews>
    <sheetView showGridLines="0" topLeftCell="A31" zoomScale="85" zoomScaleNormal="85" workbookViewId="0"/>
  </sheetViews>
  <sheetFormatPr defaultColWidth="9.08984375" defaultRowHeight="14.5" x14ac:dyDescent="0.35"/>
  <cols>
    <col min="1" max="1" width="2.08984375" customWidth="1"/>
    <col min="2" max="2" width="15.6328125" customWidth="1"/>
    <col min="3" max="3" width="27.453125" customWidth="1"/>
    <col min="4" max="4" width="20.453125" bestFit="1" customWidth="1"/>
    <col min="5" max="5" width="10.453125" bestFit="1" customWidth="1"/>
    <col min="6" max="6" width="9.08984375" customWidth="1"/>
    <col min="7" max="7" width="19.453125" bestFit="1" customWidth="1"/>
    <col min="8" max="13" width="9.08984375" customWidth="1"/>
    <col min="16" max="16" width="5.453125" customWidth="1"/>
  </cols>
  <sheetData>
    <row r="2" spans="2:17" ht="21" x14ac:dyDescent="0.5">
      <c r="B2" s="98" t="s">
        <v>40</v>
      </c>
      <c r="C2" s="76"/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</row>
    <row r="3" spans="2:17" ht="6" customHeight="1" x14ac:dyDescent="0.35"/>
    <row r="30" spans="2:17" ht="15" thickBot="1" x14ac:dyDescent="0.4"/>
    <row r="31" spans="2:17" ht="21.5" thickTop="1" x14ac:dyDescent="0.5">
      <c r="B31" s="573" t="s">
        <v>41</v>
      </c>
      <c r="C31" s="574"/>
      <c r="D31" s="574"/>
      <c r="E31" s="574"/>
      <c r="F31" s="574"/>
      <c r="G31" s="574"/>
      <c r="H31" s="574"/>
      <c r="I31" s="574"/>
      <c r="J31" s="574"/>
      <c r="K31" s="574"/>
      <c r="L31" s="574"/>
      <c r="M31" s="574"/>
      <c r="N31" s="574"/>
      <c r="O31" s="574"/>
      <c r="P31" s="574"/>
      <c r="Q31" s="575"/>
    </row>
    <row r="32" spans="2:17" x14ac:dyDescent="0.35">
      <c r="B32" s="57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577"/>
    </row>
    <row r="33" spans="2:17" x14ac:dyDescent="0.35">
      <c r="B33" s="590" t="s">
        <v>42</v>
      </c>
      <c r="C33" s="591"/>
      <c r="D33" s="106">
        <f>'Premissas Gerais'!E7</f>
        <v>30</v>
      </c>
      <c r="E33" s="106" t="s">
        <v>43</v>
      </c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577"/>
    </row>
    <row r="34" spans="2:17" ht="3" customHeight="1" x14ac:dyDescent="0.35">
      <c r="B34" s="590"/>
      <c r="C34" s="591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577"/>
    </row>
    <row r="35" spans="2:17" x14ac:dyDescent="0.35">
      <c r="B35" s="590" t="s">
        <v>44</v>
      </c>
      <c r="C35" s="591"/>
      <c r="D35" s="578">
        <f>SUM('CAPEX E OPEX'!E88)</f>
        <v>144967729.68000001</v>
      </c>
      <c r="E35" s="579" t="s">
        <v>45</v>
      </c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577"/>
    </row>
    <row r="36" spans="2:17" ht="3" customHeight="1" x14ac:dyDescent="0.35">
      <c r="B36" s="590"/>
      <c r="C36" s="591"/>
      <c r="D36" s="578">
        <f>'CAPEX E OPEX'!E88</f>
        <v>144967729.68000001</v>
      </c>
      <c r="E36" s="579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577"/>
    </row>
    <row r="37" spans="2:17" x14ac:dyDescent="0.35">
      <c r="B37" s="590" t="s">
        <v>46</v>
      </c>
      <c r="C37" s="591"/>
      <c r="D37" s="578">
        <f>'CAPEX E OPEX'!E256</f>
        <v>1040707659.8720034</v>
      </c>
      <c r="E37" s="579" t="s">
        <v>45</v>
      </c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577"/>
    </row>
    <row r="38" spans="2:17" ht="3" customHeight="1" x14ac:dyDescent="0.35">
      <c r="B38" s="592"/>
      <c r="C38" s="591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577"/>
    </row>
    <row r="39" spans="2:17" x14ac:dyDescent="0.35">
      <c r="B39" s="590" t="s">
        <v>47</v>
      </c>
      <c r="C39" s="591"/>
      <c r="D39" s="578">
        <f>SUM(Receitas!E118:AH118)+SUM(Receitas!E135:AH135)</f>
        <v>1743398724.0872536</v>
      </c>
      <c r="E39" s="579" t="s">
        <v>0</v>
      </c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577"/>
    </row>
    <row r="40" spans="2:17" ht="3" customHeight="1" x14ac:dyDescent="0.35">
      <c r="B40" s="592"/>
      <c r="C40" s="591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577"/>
    </row>
    <row r="41" spans="2:17" x14ac:dyDescent="0.35">
      <c r="B41" s="590" t="s">
        <v>48</v>
      </c>
      <c r="C41" s="591"/>
      <c r="D41" s="580">
        <f>WACC!E39</f>
        <v>0.11686498859823251</v>
      </c>
      <c r="E41" s="579" t="s">
        <v>49</v>
      </c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577"/>
    </row>
    <row r="42" spans="2:17" ht="9.75" customHeight="1" x14ac:dyDescent="0.35">
      <c r="B42" s="592"/>
      <c r="C42" s="591"/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577"/>
    </row>
    <row r="43" spans="2:17" x14ac:dyDescent="0.35">
      <c r="B43" s="590" t="s">
        <v>50</v>
      </c>
      <c r="C43" s="591"/>
      <c r="D43" s="581">
        <f>'Fluxo de Caixa'!E55</f>
        <v>0</v>
      </c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577"/>
    </row>
    <row r="44" spans="2:17" x14ac:dyDescent="0.35">
      <c r="B44" s="590" t="s">
        <v>51</v>
      </c>
      <c r="C44" s="591"/>
      <c r="D44" s="580">
        <f>'Fluxo de Caixa'!E53</f>
        <v>0.11686498859823247</v>
      </c>
      <c r="E44" s="106" t="s">
        <v>52</v>
      </c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577"/>
    </row>
    <row r="45" spans="2:17" x14ac:dyDescent="0.35">
      <c r="B45" s="590" t="s">
        <v>53</v>
      </c>
      <c r="C45" s="591"/>
      <c r="D45" s="580">
        <f>'Fluxo de Caixa'!E54</f>
        <v>9.2530171673383954E-3</v>
      </c>
      <c r="E45" s="106" t="s">
        <v>54</v>
      </c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577"/>
    </row>
    <row r="46" spans="2:17" x14ac:dyDescent="0.35">
      <c r="B46" s="590" t="s">
        <v>55</v>
      </c>
      <c r="C46" s="591"/>
      <c r="D46" s="582">
        <f>'Fluxo de Caixa'!E56</f>
        <v>10</v>
      </c>
      <c r="E46" s="106" t="s">
        <v>43</v>
      </c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6"/>
      <c r="Q46" s="577"/>
    </row>
    <row r="47" spans="2:17" x14ac:dyDescent="0.35">
      <c r="B47" s="592"/>
      <c r="C47" s="591"/>
      <c r="D47" s="106"/>
      <c r="E47" s="106"/>
      <c r="F47" s="106"/>
      <c r="G47" s="107"/>
      <c r="H47" s="106"/>
      <c r="I47" s="106"/>
      <c r="J47" s="106"/>
      <c r="K47" s="106"/>
      <c r="L47" s="106"/>
      <c r="M47" s="106"/>
      <c r="N47" s="106"/>
      <c r="O47" s="106"/>
      <c r="P47" s="106"/>
      <c r="Q47" s="577"/>
    </row>
    <row r="48" spans="2:17" x14ac:dyDescent="0.35">
      <c r="B48" s="590" t="s">
        <v>56</v>
      </c>
      <c r="C48" s="591"/>
      <c r="D48" s="583">
        <f>'Premissas Gerais'!E35</f>
        <v>2.8567488023289074</v>
      </c>
      <c r="E48" s="106"/>
      <c r="F48" s="106"/>
      <c r="G48" s="584"/>
      <c r="H48" s="106"/>
      <c r="I48" s="106"/>
      <c r="J48" s="106"/>
      <c r="K48" s="106"/>
      <c r="L48" s="106"/>
      <c r="M48" s="106"/>
      <c r="N48" s="106"/>
      <c r="O48" s="106"/>
      <c r="P48" s="106"/>
      <c r="Q48" s="577"/>
    </row>
    <row r="49" spans="2:17" x14ac:dyDescent="0.35">
      <c r="B49" s="590" t="s">
        <v>57</v>
      </c>
      <c r="C49" s="591"/>
      <c r="D49" s="585">
        <f>'Premissas Gerais'!J35</f>
        <v>223.66837788691851</v>
      </c>
      <c r="E49" s="106"/>
      <c r="F49" s="106"/>
      <c r="G49" s="106"/>
      <c r="H49" s="106"/>
      <c r="I49" s="106"/>
      <c r="J49" s="106"/>
      <c r="K49" s="106"/>
      <c r="L49" s="106"/>
      <c r="M49" s="106"/>
      <c r="N49" s="106"/>
      <c r="O49" s="106"/>
      <c r="P49" s="106"/>
      <c r="Q49" s="577"/>
    </row>
    <row r="50" spans="2:17" ht="9" customHeight="1" x14ac:dyDescent="0.35">
      <c r="B50" s="592"/>
      <c r="C50" s="591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577"/>
    </row>
    <row r="51" spans="2:17" x14ac:dyDescent="0.35">
      <c r="B51" s="590" t="s">
        <v>58</v>
      </c>
      <c r="C51" s="591"/>
      <c r="D51" s="578">
        <f>Receitas!E118/'Premissas Economias e Água'!F71</f>
        <v>413.29891997533355</v>
      </c>
      <c r="E51" s="106" t="s">
        <v>59</v>
      </c>
      <c r="F51" s="106"/>
      <c r="G51" s="581"/>
      <c r="H51" s="106"/>
      <c r="I51" s="106"/>
      <c r="J51" s="106"/>
      <c r="K51" s="106"/>
      <c r="L51" s="106"/>
      <c r="M51" s="106"/>
      <c r="N51" s="106"/>
      <c r="O51" s="106"/>
      <c r="P51" s="106"/>
      <c r="Q51" s="577"/>
    </row>
    <row r="52" spans="2:17" x14ac:dyDescent="0.35">
      <c r="B52" s="592" t="s">
        <v>60</v>
      </c>
      <c r="C52" s="591"/>
      <c r="D52" s="584">
        <f>D51/12</f>
        <v>34.441576664611127</v>
      </c>
      <c r="E52" s="106" t="s">
        <v>61</v>
      </c>
      <c r="F52" s="106"/>
      <c r="G52" s="584"/>
      <c r="H52" s="106"/>
      <c r="I52" s="106"/>
      <c r="J52" s="106"/>
      <c r="K52" s="106"/>
      <c r="L52" s="106"/>
      <c r="M52" s="106"/>
      <c r="N52" s="106"/>
      <c r="O52" s="106"/>
      <c r="P52" s="106"/>
      <c r="Q52" s="577"/>
    </row>
    <row r="53" spans="2:17" x14ac:dyDescent="0.35">
      <c r="B53" s="592"/>
      <c r="C53" s="591"/>
      <c r="D53" s="106"/>
      <c r="E53" s="106"/>
      <c r="F53" s="106"/>
      <c r="G53" s="586"/>
      <c r="H53" s="106"/>
      <c r="I53" s="106"/>
      <c r="J53" s="106"/>
      <c r="K53" s="106"/>
      <c r="L53" s="106"/>
      <c r="M53" s="106"/>
      <c r="N53" s="106"/>
      <c r="O53" s="106"/>
      <c r="P53" s="106"/>
      <c r="Q53" s="577"/>
    </row>
    <row r="54" spans="2:17" x14ac:dyDescent="0.35">
      <c r="B54" s="590" t="s">
        <v>62</v>
      </c>
      <c r="C54" s="591"/>
      <c r="D54" s="578">
        <f>Receitas!E118/'Premissas Geração de Resíduos'!D35</f>
        <v>181.45425367422848</v>
      </c>
      <c r="E54" s="106" t="s">
        <v>59</v>
      </c>
      <c r="F54" s="106"/>
      <c r="G54" s="106"/>
      <c r="H54" s="106"/>
      <c r="I54" s="106"/>
      <c r="J54" s="106"/>
      <c r="K54" s="106"/>
      <c r="L54" s="106"/>
      <c r="M54" s="106"/>
      <c r="N54" s="106"/>
      <c r="O54" s="106"/>
      <c r="P54" s="106"/>
      <c r="Q54" s="577"/>
    </row>
    <row r="55" spans="2:17" x14ac:dyDescent="0.35">
      <c r="B55" s="592" t="s">
        <v>60</v>
      </c>
      <c r="C55" s="591"/>
      <c r="D55" s="584">
        <f>D54/12</f>
        <v>15.121187806185707</v>
      </c>
      <c r="E55" s="106" t="s">
        <v>61</v>
      </c>
      <c r="F55" s="106"/>
      <c r="G55" s="106"/>
      <c r="H55" s="106"/>
      <c r="I55" s="106"/>
      <c r="J55" s="106"/>
      <c r="K55" s="106"/>
      <c r="L55" s="106"/>
      <c r="M55" s="106"/>
      <c r="N55" s="106"/>
      <c r="O55" s="106"/>
      <c r="P55" s="106"/>
      <c r="Q55" s="577"/>
    </row>
    <row r="56" spans="2:17" ht="15" thickBot="1" x14ac:dyDescent="0.4">
      <c r="B56" s="587"/>
      <c r="C56" s="588"/>
      <c r="D56" s="588"/>
      <c r="E56" s="588"/>
      <c r="F56" s="588"/>
      <c r="G56" s="588"/>
      <c r="H56" s="588"/>
      <c r="I56" s="588"/>
      <c r="J56" s="588"/>
      <c r="K56" s="588"/>
      <c r="L56" s="588"/>
      <c r="M56" s="588"/>
      <c r="N56" s="588"/>
      <c r="O56" s="588"/>
      <c r="P56" s="588"/>
      <c r="Q56" s="589"/>
    </row>
    <row r="57" spans="2:17" ht="15" thickTop="1" x14ac:dyDescent="0.35"/>
  </sheetData>
  <sheetProtection algorithmName="SHA-512" hashValue="XdN34qzDLmU41YUxSVBIP4VfPJh8iizLzs27uW/Im/wh6HPVWYXQQbFYHSEBOlTEKSCkaB2P3KwSxmYiJy2gDg==" saltValue="Qtnqb74v2jShTwzAbppWoA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&amp;C_x000D_&amp;1#&amp;"Aptos"&amp;10&amp;K000000 INFORMAÇÃO CONTROLADA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6C374-AFFD-4ED5-B861-012C0E6378D0}">
  <sheetPr codeName="Planilha1">
    <tabColor theme="4" tint="-0.249977111117893"/>
  </sheetPr>
  <dimension ref="B1:AQ177"/>
  <sheetViews>
    <sheetView showGridLines="0" topLeftCell="A2" zoomScaleNormal="100" workbookViewId="0">
      <selection activeCell="G24" sqref="G24"/>
    </sheetView>
  </sheetViews>
  <sheetFormatPr defaultColWidth="8.81640625" defaultRowHeight="14.5" x14ac:dyDescent="0.35"/>
  <cols>
    <col min="1" max="1" width="1.81640625" customWidth="1"/>
    <col min="2" max="2" width="2.6328125" customWidth="1"/>
    <col min="4" max="4" width="13.08984375" customWidth="1"/>
    <col min="5" max="5" width="16.08984375" customWidth="1"/>
    <col min="6" max="6" width="13" customWidth="1"/>
    <col min="7" max="7" width="22.36328125" customWidth="1"/>
    <col min="8" max="8" width="20.08984375" customWidth="1"/>
    <col min="9" max="9" width="16.81640625" bestFit="1" customWidth="1"/>
    <col min="10" max="10" width="14.453125" customWidth="1"/>
    <col min="11" max="12" width="12.6328125" customWidth="1"/>
    <col min="13" max="13" width="12.81640625" customWidth="1"/>
    <col min="15" max="16" width="13.453125" bestFit="1" customWidth="1"/>
  </cols>
  <sheetData>
    <row r="1" spans="2:13" ht="10.5" customHeight="1" thickBot="1" x14ac:dyDescent="0.4"/>
    <row r="2" spans="2:13" ht="50.25" customHeight="1" thickTop="1" thickBot="1" x14ac:dyDescent="0.5">
      <c r="B2" s="1878" t="s">
        <v>63</v>
      </c>
      <c r="C2" s="1879"/>
      <c r="D2" s="1879"/>
      <c r="E2" s="1879"/>
      <c r="F2" s="1879"/>
      <c r="G2" s="1879"/>
      <c r="H2" s="1879"/>
      <c r="I2" s="1879"/>
      <c r="J2" s="1879"/>
      <c r="K2" s="1879"/>
      <c r="L2" s="1879"/>
      <c r="M2" s="1880"/>
    </row>
    <row r="3" spans="2:13" ht="19.5" thickTop="1" thickBot="1" x14ac:dyDescent="0.5">
      <c r="B3" s="343"/>
      <c r="C3" s="343"/>
      <c r="D3" s="343"/>
      <c r="E3" s="343"/>
      <c r="F3" s="343"/>
      <c r="G3" s="343"/>
      <c r="H3" s="343"/>
      <c r="I3" s="343"/>
      <c r="J3" s="343"/>
      <c r="K3" s="343"/>
      <c r="L3" s="343"/>
      <c r="M3" s="343"/>
    </row>
    <row r="4" spans="2:13" ht="15" thickTop="1" x14ac:dyDescent="0.35">
      <c r="B4" s="415"/>
      <c r="C4" s="416"/>
      <c r="D4" s="416"/>
      <c r="E4" s="416"/>
      <c r="F4" s="416"/>
      <c r="G4" s="416"/>
      <c r="H4" s="416"/>
      <c r="I4" s="416"/>
      <c r="J4" s="416"/>
      <c r="K4" s="416"/>
      <c r="L4" s="416"/>
      <c r="M4" s="417"/>
    </row>
    <row r="5" spans="2:13" ht="15.5" x14ac:dyDescent="0.35">
      <c r="B5" s="418"/>
      <c r="C5" s="419" t="s">
        <v>64</v>
      </c>
      <c r="D5" s="328"/>
      <c r="E5" s="328"/>
      <c r="F5" s="328"/>
      <c r="G5" s="328"/>
      <c r="H5" s="328"/>
      <c r="I5" s="328"/>
      <c r="J5" s="328"/>
      <c r="K5" s="328"/>
      <c r="L5" s="328"/>
      <c r="M5" s="420"/>
    </row>
    <row r="6" spans="2:13" ht="15" thickBot="1" x14ac:dyDescent="0.4">
      <c r="B6" s="418"/>
      <c r="C6" s="328"/>
      <c r="D6" s="328"/>
      <c r="E6" s="328"/>
      <c r="F6" s="328"/>
      <c r="G6" s="328"/>
      <c r="H6" s="328"/>
      <c r="I6" s="328"/>
      <c r="J6" s="328"/>
      <c r="K6" s="328"/>
      <c r="L6" s="328"/>
      <c r="M6" s="420"/>
    </row>
    <row r="7" spans="2:13" ht="15" thickBot="1" x14ac:dyDescent="0.4">
      <c r="B7" s="418"/>
      <c r="C7" s="327" t="s">
        <v>65</v>
      </c>
      <c r="D7" s="328"/>
      <c r="E7" s="414">
        <v>30</v>
      </c>
      <c r="F7" s="421" t="s">
        <v>66</v>
      </c>
      <c r="G7" s="331"/>
      <c r="H7" s="328"/>
      <c r="I7" s="328"/>
      <c r="J7" s="328"/>
      <c r="K7" s="328"/>
      <c r="L7" s="328"/>
      <c r="M7" s="420"/>
    </row>
    <row r="8" spans="2:13" ht="15" thickBot="1" x14ac:dyDescent="0.4">
      <c r="B8" s="422"/>
      <c r="C8" s="423"/>
      <c r="D8" s="423"/>
      <c r="E8" s="423"/>
      <c r="F8" s="423"/>
      <c r="G8" s="423"/>
      <c r="H8" s="423"/>
      <c r="I8" s="423"/>
      <c r="J8" s="423"/>
      <c r="K8" s="423"/>
      <c r="L8" s="423"/>
      <c r="M8" s="424"/>
    </row>
    <row r="9" spans="2:13" ht="15" thickTop="1" x14ac:dyDescent="0.35">
      <c r="B9" s="415"/>
      <c r="C9" s="425"/>
      <c r="D9" s="416"/>
      <c r="E9" s="416"/>
      <c r="F9" s="416"/>
      <c r="G9" s="416"/>
      <c r="H9" s="416"/>
      <c r="I9" s="416"/>
      <c r="J9" s="416"/>
      <c r="K9" s="416"/>
      <c r="L9" s="416"/>
      <c r="M9" s="417"/>
    </row>
    <row r="10" spans="2:13" ht="16" thickBot="1" x14ac:dyDescent="0.4">
      <c r="B10" s="418"/>
      <c r="C10" s="419" t="s">
        <v>67</v>
      </c>
      <c r="D10" s="328"/>
      <c r="E10" s="328"/>
      <c r="F10" s="328"/>
      <c r="G10" s="328"/>
      <c r="H10" s="328"/>
      <c r="I10" s="328"/>
      <c r="J10" s="328"/>
      <c r="K10" s="328"/>
      <c r="L10" s="328"/>
      <c r="M10" s="420"/>
    </row>
    <row r="11" spans="2:13" ht="29.5" thickBot="1" x14ac:dyDescent="0.4">
      <c r="B11" s="418"/>
      <c r="C11" s="1883" t="s">
        <v>68</v>
      </c>
      <c r="D11" s="1883"/>
      <c r="E11" s="1883"/>
      <c r="F11" s="1883"/>
      <c r="G11" s="431" t="s">
        <v>69</v>
      </c>
      <c r="H11" s="427"/>
      <c r="I11" s="427"/>
      <c r="J11" s="427"/>
      <c r="K11" s="427"/>
      <c r="L11" s="328"/>
      <c r="M11" s="420"/>
    </row>
    <row r="12" spans="2:13" s="162" customFormat="1" ht="13.5" thickBot="1" x14ac:dyDescent="0.35">
      <c r="B12" s="426"/>
      <c r="C12" s="1884" t="s">
        <v>70</v>
      </c>
      <c r="D12" s="1885"/>
      <c r="E12" s="1885"/>
      <c r="F12" s="1886"/>
      <c r="G12" s="412" t="s">
        <v>71</v>
      </c>
      <c r="H12" s="427"/>
      <c r="I12" s="427"/>
      <c r="J12" s="427"/>
      <c r="K12" s="427"/>
      <c r="L12" s="427"/>
      <c r="M12" s="428"/>
    </row>
    <row r="13" spans="2:13" ht="15" thickBot="1" x14ac:dyDescent="0.4">
      <c r="B13" s="418"/>
      <c r="C13" s="440" t="s">
        <v>1</v>
      </c>
      <c r="D13" s="441"/>
      <c r="E13" s="441"/>
      <c r="F13" s="410"/>
      <c r="G13" s="619">
        <v>0.68100000000000005</v>
      </c>
      <c r="H13" s="427"/>
      <c r="I13" s="427"/>
      <c r="J13" s="427"/>
      <c r="K13" s="427"/>
      <c r="L13" s="328"/>
      <c r="M13" s="420"/>
    </row>
    <row r="14" spans="2:13" ht="15" thickBot="1" x14ac:dyDescent="0.4">
      <c r="B14" s="418"/>
      <c r="C14" s="440" t="s">
        <v>2</v>
      </c>
      <c r="D14" s="441"/>
      <c r="E14" s="441"/>
      <c r="F14" s="410"/>
      <c r="G14" s="619">
        <v>0.69699999999999995</v>
      </c>
      <c r="H14" s="427"/>
      <c r="I14" s="427"/>
      <c r="J14" s="427"/>
      <c r="K14" s="427"/>
      <c r="L14" s="328"/>
      <c r="M14" s="420"/>
    </row>
    <row r="15" spans="2:13" ht="15" thickBot="1" x14ac:dyDescent="0.4">
      <c r="B15" s="418"/>
      <c r="C15" s="440" t="s">
        <v>3</v>
      </c>
      <c r="D15" s="441"/>
      <c r="E15" s="441"/>
      <c r="F15" s="410"/>
      <c r="G15" s="619">
        <v>0.68100000000000005</v>
      </c>
      <c r="H15" s="427"/>
      <c r="I15" s="427"/>
      <c r="J15" s="427"/>
      <c r="K15" s="427"/>
      <c r="L15" s="328"/>
      <c r="M15" s="420"/>
    </row>
    <row r="16" spans="2:13" ht="15" thickBot="1" x14ac:dyDescent="0.4">
      <c r="B16" s="418"/>
      <c r="C16" s="440" t="s">
        <v>4</v>
      </c>
      <c r="D16" s="441"/>
      <c r="E16" s="441"/>
      <c r="F16" s="410"/>
      <c r="G16" s="619">
        <v>0.65400000000000003</v>
      </c>
      <c r="H16" s="427"/>
      <c r="I16" s="427"/>
      <c r="J16" s="427"/>
      <c r="K16" s="427"/>
      <c r="L16" s="328"/>
      <c r="M16" s="420"/>
    </row>
    <row r="17" spans="2:13" ht="15" thickBot="1" x14ac:dyDescent="0.4">
      <c r="B17" s="418"/>
      <c r="C17" s="440" t="s">
        <v>5</v>
      </c>
      <c r="D17" s="441"/>
      <c r="E17" s="441"/>
      <c r="F17" s="410"/>
      <c r="G17" s="619">
        <v>0.69699999999999995</v>
      </c>
      <c r="H17" s="427"/>
      <c r="I17" s="427"/>
      <c r="J17" s="427"/>
      <c r="K17" s="427"/>
      <c r="L17" s="328"/>
      <c r="M17" s="420"/>
    </row>
    <row r="18" spans="2:13" ht="15" thickBot="1" x14ac:dyDescent="0.4">
      <c r="B18" s="418"/>
      <c r="C18" s="440" t="s">
        <v>6</v>
      </c>
      <c r="D18" s="441"/>
      <c r="E18" s="441"/>
      <c r="F18" s="410"/>
      <c r="G18" s="619">
        <v>0.86</v>
      </c>
      <c r="H18" s="427"/>
      <c r="I18" s="427"/>
      <c r="J18" s="427"/>
      <c r="K18" s="427"/>
      <c r="L18" s="328"/>
      <c r="M18" s="420"/>
    </row>
    <row r="19" spans="2:13" ht="15" thickBot="1" x14ac:dyDescent="0.4">
      <c r="B19" s="418"/>
      <c r="C19" s="440" t="s">
        <v>7</v>
      </c>
      <c r="D19" s="441"/>
      <c r="E19" s="441"/>
      <c r="F19" s="410"/>
      <c r="G19" s="619">
        <v>0.69699999999999995</v>
      </c>
      <c r="H19" s="427"/>
      <c r="I19" s="427"/>
      <c r="J19" s="427"/>
      <c r="K19" s="427"/>
      <c r="L19" s="328"/>
      <c r="M19" s="420"/>
    </row>
    <row r="20" spans="2:13" ht="15" thickBot="1" x14ac:dyDescent="0.4">
      <c r="B20" s="418"/>
      <c r="C20" s="440" t="s">
        <v>8</v>
      </c>
      <c r="D20" s="441"/>
      <c r="E20" s="441"/>
      <c r="F20" s="410"/>
      <c r="G20" s="619">
        <v>0.69699999999999995</v>
      </c>
      <c r="H20" s="427"/>
      <c r="I20" s="427"/>
      <c r="J20" s="427"/>
      <c r="K20" s="427"/>
      <c r="L20" s="328"/>
      <c r="M20" s="420"/>
    </row>
    <row r="21" spans="2:13" ht="15" thickBot="1" x14ac:dyDescent="0.4">
      <c r="B21" s="418"/>
      <c r="C21" s="440" t="s">
        <v>9</v>
      </c>
      <c r="D21" s="441"/>
      <c r="E21" s="441"/>
      <c r="F21" s="410"/>
      <c r="G21" s="619">
        <v>0.69699999999999995</v>
      </c>
      <c r="H21" s="427"/>
      <c r="I21" s="427"/>
      <c r="J21" s="427"/>
      <c r="K21" s="427"/>
      <c r="L21" s="328"/>
      <c r="M21" s="420"/>
    </row>
    <row r="22" spans="2:13" ht="15" thickBot="1" x14ac:dyDescent="0.4">
      <c r="B22" s="418"/>
      <c r="C22" s="328"/>
      <c r="D22" s="328"/>
      <c r="E22" s="328"/>
      <c r="F22" s="328"/>
      <c r="G22" s="328"/>
      <c r="H22" s="427"/>
      <c r="I22" s="427"/>
      <c r="J22" s="427"/>
      <c r="K22" s="427"/>
      <c r="L22" s="328"/>
      <c r="M22" s="420"/>
    </row>
    <row r="23" spans="2:13" ht="15" thickBot="1" x14ac:dyDescent="0.4">
      <c r="B23" s="418"/>
      <c r="C23" s="1662" t="s">
        <v>72</v>
      </c>
      <c r="D23" s="441"/>
      <c r="E23" s="441"/>
      <c r="F23" s="410"/>
      <c r="G23" s="1009">
        <v>0.23499999999999999</v>
      </c>
      <c r="H23" s="427"/>
      <c r="I23" s="427"/>
      <c r="J23" s="427"/>
      <c r="K23" s="427"/>
      <c r="L23" s="328"/>
      <c r="M23" s="420"/>
    </row>
    <row r="24" spans="2:13" ht="15" thickBot="1" x14ac:dyDescent="0.4">
      <c r="B24" s="418"/>
      <c r="C24" s="1662" t="s">
        <v>73</v>
      </c>
      <c r="D24" s="441"/>
      <c r="E24" s="441"/>
      <c r="F24" s="410"/>
      <c r="G24" s="354">
        <v>313</v>
      </c>
      <c r="H24" s="328"/>
      <c r="I24" s="328"/>
      <c r="J24" s="427"/>
      <c r="K24" s="427"/>
      <c r="L24" s="328"/>
      <c r="M24" s="420"/>
    </row>
    <row r="25" spans="2:13" ht="14.25" customHeight="1" thickBot="1" x14ac:dyDescent="0.4">
      <c r="B25" s="418"/>
      <c r="C25" s="328"/>
      <c r="D25" s="328"/>
      <c r="E25" s="328"/>
      <c r="F25" s="328"/>
      <c r="G25" s="442"/>
      <c r="H25" s="328"/>
      <c r="I25" s="328"/>
      <c r="J25" s="328"/>
      <c r="K25" s="328"/>
      <c r="L25" s="328"/>
      <c r="M25" s="420"/>
    </row>
    <row r="26" spans="2:13" ht="15" thickBot="1" x14ac:dyDescent="0.4">
      <c r="B26" s="418"/>
      <c r="C26" s="1662" t="s">
        <v>74</v>
      </c>
      <c r="D26" s="441"/>
      <c r="E26" s="441"/>
      <c r="F26" s="410"/>
      <c r="G26" s="1663">
        <v>0.40050000000000002</v>
      </c>
      <c r="H26" s="328"/>
      <c r="I26" s="328"/>
      <c r="J26" s="328"/>
      <c r="K26" s="328"/>
      <c r="L26" s="328"/>
      <c r="M26" s="420"/>
    </row>
    <row r="27" spans="2:13" ht="15" thickBot="1" x14ac:dyDescent="0.4">
      <c r="B27" s="418"/>
      <c r="C27" s="1662" t="s">
        <v>75</v>
      </c>
      <c r="D27" s="441"/>
      <c r="E27" s="441"/>
      <c r="F27" s="410"/>
      <c r="G27" s="1663">
        <v>0.44819999999999999</v>
      </c>
      <c r="H27" s="328"/>
      <c r="I27" s="328"/>
      <c r="J27" s="328"/>
      <c r="K27" s="328"/>
      <c r="L27" s="328"/>
      <c r="M27" s="420"/>
    </row>
    <row r="28" spans="2:13" x14ac:dyDescent="0.35">
      <c r="B28" s="418"/>
      <c r="C28" s="328"/>
      <c r="D28" s="328"/>
      <c r="E28" s="328"/>
      <c r="F28" s="328"/>
      <c r="G28" s="328"/>
      <c r="H28" s="328"/>
      <c r="I28" s="328"/>
      <c r="J28" s="328"/>
      <c r="K28" s="328"/>
      <c r="L28" s="328"/>
      <c r="M28" s="420"/>
    </row>
    <row r="29" spans="2:13" ht="15" thickBot="1" x14ac:dyDescent="0.4">
      <c r="B29" s="422"/>
      <c r="C29" s="423"/>
      <c r="D29" s="423"/>
      <c r="E29" s="423"/>
      <c r="F29" s="423"/>
      <c r="G29" s="423"/>
      <c r="H29" s="423"/>
      <c r="I29" s="423"/>
      <c r="J29" s="423"/>
      <c r="K29" s="423"/>
      <c r="L29" s="423"/>
      <c r="M29" s="424"/>
    </row>
    <row r="30" spans="2:13" ht="15" thickTop="1" x14ac:dyDescent="0.35">
      <c r="B30" s="415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7"/>
    </row>
    <row r="31" spans="2:13" ht="15.5" x14ac:dyDescent="0.35">
      <c r="B31" s="418"/>
      <c r="C31" s="419" t="s">
        <v>76</v>
      </c>
      <c r="D31" s="328"/>
      <c r="E31" s="328"/>
      <c r="F31" s="328"/>
      <c r="G31" s="328"/>
      <c r="H31" s="328"/>
      <c r="I31" s="328"/>
      <c r="J31" s="328"/>
      <c r="K31" s="328"/>
      <c r="L31" s="328"/>
      <c r="M31" s="420"/>
    </row>
    <row r="32" spans="2:13" ht="15.5" x14ac:dyDescent="0.35">
      <c r="B32" s="418"/>
      <c r="C32" s="419"/>
      <c r="D32" s="328"/>
      <c r="E32" s="328"/>
      <c r="F32" s="328"/>
      <c r="G32" s="328"/>
      <c r="H32" s="328"/>
      <c r="I32" s="328"/>
      <c r="J32" s="328"/>
      <c r="K32" s="328"/>
      <c r="L32" s="328"/>
      <c r="M32" s="420"/>
    </row>
    <row r="33" spans="2:16" ht="15.5" x14ac:dyDescent="0.35">
      <c r="B33" s="418"/>
      <c r="C33" s="419" t="s">
        <v>77</v>
      </c>
      <c r="D33" s="328"/>
      <c r="E33" s="328"/>
      <c r="F33" s="328"/>
      <c r="G33" s="328"/>
      <c r="H33" s="329" t="s">
        <v>37</v>
      </c>
      <c r="I33" s="421"/>
      <c r="J33" s="328"/>
      <c r="K33" s="328"/>
      <c r="L33" s="433"/>
      <c r="M33" s="420"/>
    </row>
    <row r="34" spans="2:16" ht="16" thickBot="1" x14ac:dyDescent="0.4">
      <c r="B34" s="418"/>
      <c r="C34" s="419"/>
      <c r="D34" s="328"/>
      <c r="E34" s="328"/>
      <c r="F34" s="328"/>
      <c r="G34" s="328"/>
      <c r="H34" s="328"/>
      <c r="I34" s="328"/>
      <c r="J34" s="328"/>
      <c r="K34" s="328"/>
      <c r="L34" s="433"/>
      <c r="M34" s="420"/>
    </row>
    <row r="35" spans="2:16" ht="15" thickBot="1" x14ac:dyDescent="0.4">
      <c r="B35" s="418"/>
      <c r="C35" s="328" t="s">
        <v>78</v>
      </c>
      <c r="D35" s="328"/>
      <c r="E35" s="620">
        <v>2.8567488023289074</v>
      </c>
      <c r="F35" s="328" t="s">
        <v>79</v>
      </c>
      <c r="G35" s="328"/>
      <c r="H35" s="434" t="s">
        <v>80</v>
      </c>
      <c r="I35" s="421"/>
      <c r="J35" s="621">
        <f>'Cálculo Valor RPU'!E43</f>
        <v>223.66837788691851</v>
      </c>
      <c r="K35" s="434" t="s">
        <v>81</v>
      </c>
      <c r="L35" s="433"/>
      <c r="M35" s="420"/>
      <c r="O35" s="96"/>
      <c r="P35" s="96"/>
    </row>
    <row r="36" spans="2:16" x14ac:dyDescent="0.35">
      <c r="B36" s="418"/>
      <c r="C36" s="328"/>
      <c r="D36" s="328"/>
      <c r="E36" s="328"/>
      <c r="F36" s="328"/>
      <c r="G36" s="328"/>
      <c r="H36" s="328"/>
      <c r="I36" s="328"/>
      <c r="J36" s="328"/>
      <c r="K36" s="328"/>
      <c r="L36" s="433"/>
      <c r="M36" s="420"/>
    </row>
    <row r="37" spans="2:16" ht="15" thickBot="1" x14ac:dyDescent="0.4">
      <c r="B37" s="418"/>
      <c r="C37" s="328" t="s">
        <v>17</v>
      </c>
      <c r="D37" s="328"/>
      <c r="E37" s="328"/>
      <c r="F37" s="328"/>
      <c r="G37" s="328"/>
      <c r="H37" s="328"/>
      <c r="I37" s="328"/>
      <c r="J37" s="328"/>
      <c r="K37" s="328"/>
      <c r="L37" s="328"/>
      <c r="M37" s="420"/>
    </row>
    <row r="38" spans="2:16" ht="15" thickBot="1" x14ac:dyDescent="0.4">
      <c r="B38" s="418"/>
      <c r="C38" s="1881" t="s">
        <v>82</v>
      </c>
      <c r="D38" s="1882"/>
      <c r="E38" s="355">
        <v>1</v>
      </c>
      <c r="F38" s="328"/>
      <c r="G38" s="328"/>
      <c r="H38" s="328"/>
      <c r="I38" s="328"/>
      <c r="J38" s="328"/>
      <c r="K38" s="328"/>
      <c r="L38" s="443"/>
      <c r="M38" s="420"/>
    </row>
    <row r="39" spans="2:16" ht="15" thickBot="1" x14ac:dyDescent="0.4">
      <c r="B39" s="418"/>
      <c r="C39" s="1881" t="s">
        <v>83</v>
      </c>
      <c r="D39" s="1882"/>
      <c r="E39" s="355">
        <v>1</v>
      </c>
      <c r="F39" s="328"/>
      <c r="G39" s="328"/>
      <c r="H39" s="329" t="s">
        <v>84</v>
      </c>
      <c r="I39" s="421"/>
      <c r="J39" s="328"/>
      <c r="K39" s="328"/>
      <c r="L39" s="433"/>
      <c r="M39" s="420"/>
    </row>
    <row r="40" spans="2:16" ht="15" thickBot="1" x14ac:dyDescent="0.4">
      <c r="B40" s="418"/>
      <c r="C40" s="1881" t="s">
        <v>85</v>
      </c>
      <c r="D40" s="1882"/>
      <c r="E40" s="355">
        <v>1</v>
      </c>
      <c r="F40" s="328"/>
      <c r="G40" s="328"/>
      <c r="H40" s="434" t="s">
        <v>86</v>
      </c>
      <c r="I40" s="421"/>
      <c r="J40" s="328"/>
      <c r="K40" s="622">
        <v>0</v>
      </c>
      <c r="L40" s="433" t="s">
        <v>87</v>
      </c>
      <c r="M40" s="420"/>
    </row>
    <row r="41" spans="2:16" ht="15" thickBot="1" x14ac:dyDescent="0.4">
      <c r="B41" s="418"/>
      <c r="C41" s="1881" t="s">
        <v>88</v>
      </c>
      <c r="D41" s="1882"/>
      <c r="E41" s="355">
        <v>1</v>
      </c>
      <c r="F41" s="328"/>
      <c r="G41" s="328"/>
      <c r="H41" s="421"/>
      <c r="I41" s="421"/>
      <c r="J41" s="328"/>
      <c r="K41" s="328"/>
      <c r="L41" s="433"/>
      <c r="M41" s="420"/>
    </row>
    <row r="42" spans="2:16" ht="15" thickBot="1" x14ac:dyDescent="0.4">
      <c r="B42" s="418"/>
      <c r="C42" s="1881" t="s">
        <v>89</v>
      </c>
      <c r="D42" s="1882"/>
      <c r="E42" s="355">
        <v>1</v>
      </c>
      <c r="F42" s="328"/>
      <c r="G42" s="328"/>
      <c r="H42" s="328"/>
      <c r="I42" s="328"/>
      <c r="J42" s="443"/>
      <c r="K42" s="443"/>
      <c r="L42" s="443"/>
      <c r="M42" s="420"/>
    </row>
    <row r="43" spans="2:16" ht="15" thickBot="1" x14ac:dyDescent="0.4">
      <c r="B43" s="418"/>
      <c r="C43" s="1881" t="s">
        <v>90</v>
      </c>
      <c r="D43" s="1882"/>
      <c r="E43" s="355">
        <v>1</v>
      </c>
      <c r="F43" s="328"/>
      <c r="G43" s="432"/>
      <c r="H43" s="432"/>
      <c r="I43" s="443"/>
      <c r="J43" s="443"/>
      <c r="K43" s="443"/>
      <c r="L43" s="443"/>
      <c r="M43" s="420"/>
    </row>
    <row r="44" spans="2:16" ht="15" thickBot="1" x14ac:dyDescent="0.4">
      <c r="B44" s="418"/>
      <c r="C44" s="1881" t="s">
        <v>91</v>
      </c>
      <c r="D44" s="1882"/>
      <c r="E44" s="355">
        <v>1</v>
      </c>
      <c r="F44" s="328"/>
      <c r="G44" s="432"/>
      <c r="H44" s="432"/>
      <c r="I44" s="443"/>
      <c r="J44" s="443"/>
      <c r="K44" s="443"/>
      <c r="L44" s="443"/>
      <c r="M44" s="420"/>
    </row>
    <row r="45" spans="2:16" ht="15" thickBot="1" x14ac:dyDescent="0.4">
      <c r="B45" s="418"/>
      <c r="C45" s="1881" t="s">
        <v>92</v>
      </c>
      <c r="D45" s="1882"/>
      <c r="E45" s="355">
        <v>1</v>
      </c>
      <c r="F45" s="328"/>
      <c r="G45" s="432"/>
      <c r="H45" s="432"/>
      <c r="I45" s="443"/>
      <c r="J45" s="443"/>
      <c r="K45" s="443"/>
      <c r="L45" s="443"/>
      <c r="M45" s="420"/>
    </row>
    <row r="46" spans="2:16" ht="15" thickBot="1" x14ac:dyDescent="0.4">
      <c r="B46" s="418"/>
      <c r="C46" s="1881" t="s">
        <v>93</v>
      </c>
      <c r="D46" s="1882"/>
      <c r="E46" s="355">
        <v>1</v>
      </c>
      <c r="F46" s="328"/>
      <c r="G46" s="432"/>
      <c r="H46" s="432"/>
      <c r="I46" s="443"/>
      <c r="J46" s="443"/>
      <c r="K46" s="443"/>
      <c r="L46" s="443"/>
      <c r="M46" s="420"/>
    </row>
    <row r="47" spans="2:16" ht="15" thickBot="1" x14ac:dyDescent="0.4">
      <c r="B47" s="418"/>
      <c r="C47" s="1881" t="s">
        <v>94</v>
      </c>
      <c r="D47" s="1882"/>
      <c r="E47" s="355">
        <v>1</v>
      </c>
      <c r="F47" s="328"/>
      <c r="G47" s="432"/>
      <c r="H47" s="432"/>
      <c r="I47" s="443"/>
      <c r="J47" s="443"/>
      <c r="K47" s="443"/>
      <c r="L47" s="443"/>
      <c r="M47" s="420"/>
    </row>
    <row r="48" spans="2:16" x14ac:dyDescent="0.35">
      <c r="B48" s="418"/>
      <c r="C48" s="432"/>
      <c r="D48" s="432"/>
      <c r="E48" s="443"/>
      <c r="F48" s="328"/>
      <c r="G48" s="328"/>
      <c r="H48" s="432"/>
      <c r="I48" s="432"/>
      <c r="J48" s="443"/>
      <c r="K48" s="443"/>
      <c r="L48" s="443"/>
      <c r="M48" s="420"/>
    </row>
    <row r="49" spans="2:13" ht="15" thickBot="1" x14ac:dyDescent="0.4">
      <c r="B49" s="418"/>
      <c r="C49" s="329" t="s">
        <v>95</v>
      </c>
      <c r="D49" s="421"/>
      <c r="E49" s="328"/>
      <c r="F49" s="328"/>
      <c r="G49" s="328"/>
      <c r="H49" s="432"/>
      <c r="I49" s="432"/>
      <c r="J49" s="443"/>
      <c r="K49" s="443"/>
      <c r="L49" s="443"/>
      <c r="M49" s="420"/>
    </row>
    <row r="50" spans="2:13" ht="44" thickBot="1" x14ac:dyDescent="0.4">
      <c r="B50" s="418"/>
      <c r="C50" s="434"/>
      <c r="D50" s="431" t="s">
        <v>96</v>
      </c>
      <c r="E50" s="431" t="s">
        <v>97</v>
      </c>
      <c r="F50" s="328"/>
      <c r="G50" s="328"/>
      <c r="H50" s="432"/>
      <c r="I50" s="432"/>
      <c r="J50" s="443"/>
      <c r="K50" s="443"/>
      <c r="L50" s="443"/>
      <c r="M50" s="420"/>
    </row>
    <row r="51" spans="2:13" ht="15" thickBot="1" x14ac:dyDescent="0.4">
      <c r="B51" s="418"/>
      <c r="C51" s="434"/>
      <c r="D51" s="1564">
        <v>1</v>
      </c>
      <c r="E51" s="355">
        <f>'Base Inadimplência'!D32</f>
        <v>0.16619512328884023</v>
      </c>
      <c r="F51" s="1890" t="s">
        <v>98</v>
      </c>
      <c r="G51" s="1891"/>
      <c r="H51" s="1891"/>
      <c r="I51" s="1891"/>
      <c r="J51" s="1892"/>
      <c r="K51" s="443"/>
      <c r="L51" s="443"/>
      <c r="M51" s="420"/>
    </row>
    <row r="52" spans="2:13" ht="15" thickBot="1" x14ac:dyDescent="0.4">
      <c r="B52" s="418"/>
      <c r="C52" s="434"/>
      <c r="D52" s="1565">
        <v>2</v>
      </c>
      <c r="E52" s="355">
        <f>'Base Inadimplência'!D33</f>
        <v>9.5100268752781977E-2</v>
      </c>
      <c r="F52" s="1893"/>
      <c r="G52" s="1894"/>
      <c r="H52" s="1894"/>
      <c r="I52" s="1894"/>
      <c r="J52" s="1895"/>
      <c r="K52" s="443"/>
      <c r="L52" s="443"/>
      <c r="M52" s="420"/>
    </row>
    <row r="53" spans="2:13" ht="15" thickBot="1" x14ac:dyDescent="0.4">
      <c r="B53" s="418"/>
      <c r="C53" s="434"/>
      <c r="D53" s="1565">
        <v>3</v>
      </c>
      <c r="E53" s="355">
        <f>'Base Inadimplência'!D34</f>
        <v>7.5279157716018869E-2</v>
      </c>
      <c r="F53" s="1893"/>
      <c r="G53" s="1894"/>
      <c r="H53" s="1894"/>
      <c r="I53" s="1894"/>
      <c r="J53" s="1895"/>
      <c r="K53" s="443"/>
      <c r="L53" s="443"/>
      <c r="M53" s="420"/>
    </row>
    <row r="54" spans="2:13" ht="15" thickBot="1" x14ac:dyDescent="0.4">
      <c r="B54" s="418"/>
      <c r="C54" s="434"/>
      <c r="D54" s="1565">
        <v>4</v>
      </c>
      <c r="E54" s="355">
        <f>'Base Inadimplência'!D35</f>
        <v>6.5140520287618492E-2</v>
      </c>
      <c r="F54" s="1893"/>
      <c r="G54" s="1894"/>
      <c r="H54" s="1894"/>
      <c r="I54" s="1894"/>
      <c r="J54" s="1895"/>
      <c r="K54" s="443"/>
      <c r="L54" s="443"/>
      <c r="M54" s="420"/>
    </row>
    <row r="55" spans="2:13" ht="15" thickBot="1" x14ac:dyDescent="0.4">
      <c r="B55" s="418"/>
      <c r="C55" s="434"/>
      <c r="D55" s="1565">
        <v>5</v>
      </c>
      <c r="E55" s="355">
        <f>'Base Inadimplência'!D36</f>
        <v>5.9994138443102057E-2</v>
      </c>
      <c r="F55" s="1893"/>
      <c r="G55" s="1894"/>
      <c r="H55" s="1894"/>
      <c r="I55" s="1894"/>
      <c r="J55" s="1895"/>
      <c r="K55" s="443"/>
      <c r="L55" s="443"/>
      <c r="M55" s="420"/>
    </row>
    <row r="56" spans="2:13" ht="15" thickBot="1" x14ac:dyDescent="0.4">
      <c r="B56" s="418"/>
      <c r="C56" s="434"/>
      <c r="D56" s="1565">
        <v>6</v>
      </c>
      <c r="E56" s="355">
        <f>'Base Inadimplência'!D37</f>
        <v>5.598223630529757E-2</v>
      </c>
      <c r="F56" s="1893"/>
      <c r="G56" s="1894"/>
      <c r="H56" s="1894"/>
      <c r="I56" s="1894"/>
      <c r="J56" s="1895"/>
      <c r="K56" s="443"/>
      <c r="L56" s="443"/>
      <c r="M56" s="420"/>
    </row>
    <row r="57" spans="2:13" ht="15" thickBot="1" x14ac:dyDescent="0.4">
      <c r="B57" s="418"/>
      <c r="C57" s="434"/>
      <c r="D57" s="1565">
        <v>7</v>
      </c>
      <c r="E57" s="355">
        <f>'Base Inadimplência'!D38</f>
        <v>5.3283693667424518E-2</v>
      </c>
      <c r="F57" s="1893"/>
      <c r="G57" s="1894"/>
      <c r="H57" s="1894"/>
      <c r="I57" s="1894"/>
      <c r="J57" s="1895"/>
      <c r="K57" s="443"/>
      <c r="L57" s="443"/>
      <c r="M57" s="420"/>
    </row>
    <row r="58" spans="2:13" ht="15" thickBot="1" x14ac:dyDescent="0.4">
      <c r="B58" s="418"/>
      <c r="C58" s="434"/>
      <c r="D58" s="1565">
        <v>8</v>
      </c>
      <c r="E58" s="355">
        <f>E57</f>
        <v>5.3283693667424518E-2</v>
      </c>
      <c r="F58" s="1893"/>
      <c r="G58" s="1894"/>
      <c r="H58" s="1894"/>
      <c r="I58" s="1894"/>
      <c r="J58" s="1895"/>
      <c r="K58" s="443"/>
      <c r="L58" s="443"/>
      <c r="M58" s="420"/>
    </row>
    <row r="59" spans="2:13" ht="15" thickBot="1" x14ac:dyDescent="0.4">
      <c r="B59" s="418"/>
      <c r="C59" s="434"/>
      <c r="D59" s="1565">
        <v>9</v>
      </c>
      <c r="E59" s="355">
        <f t="shared" ref="E59:E70" si="0">E58</f>
        <v>5.3283693667424518E-2</v>
      </c>
      <c r="F59" s="1893"/>
      <c r="G59" s="1894"/>
      <c r="H59" s="1894"/>
      <c r="I59" s="1894"/>
      <c r="J59" s="1895"/>
      <c r="K59" s="443"/>
      <c r="L59" s="443"/>
      <c r="M59" s="420"/>
    </row>
    <row r="60" spans="2:13" ht="15" thickBot="1" x14ac:dyDescent="0.4">
      <c r="B60" s="418"/>
      <c r="C60" s="434"/>
      <c r="D60" s="1565">
        <v>10</v>
      </c>
      <c r="E60" s="355">
        <f t="shared" si="0"/>
        <v>5.3283693667424518E-2</v>
      </c>
      <c r="F60" s="1893"/>
      <c r="G60" s="1894"/>
      <c r="H60" s="1894"/>
      <c r="I60" s="1894"/>
      <c r="J60" s="1895"/>
      <c r="K60" s="443"/>
      <c r="L60" s="443"/>
      <c r="M60" s="420"/>
    </row>
    <row r="61" spans="2:13" ht="15" thickBot="1" x14ac:dyDescent="0.4">
      <c r="B61" s="418"/>
      <c r="C61" s="434"/>
      <c r="D61" s="1565">
        <v>11</v>
      </c>
      <c r="E61" s="355">
        <f t="shared" si="0"/>
        <v>5.3283693667424518E-2</v>
      </c>
      <c r="F61" s="1893"/>
      <c r="G61" s="1894"/>
      <c r="H61" s="1894"/>
      <c r="I61" s="1894"/>
      <c r="J61" s="1895"/>
      <c r="K61" s="443"/>
      <c r="L61" s="443"/>
      <c r="M61" s="420"/>
    </row>
    <row r="62" spans="2:13" ht="15" thickBot="1" x14ac:dyDescent="0.4">
      <c r="B62" s="418"/>
      <c r="C62" s="434"/>
      <c r="D62" s="1565">
        <v>12</v>
      </c>
      <c r="E62" s="355">
        <f t="shared" si="0"/>
        <v>5.3283693667424518E-2</v>
      </c>
      <c r="F62" s="1893"/>
      <c r="G62" s="1894"/>
      <c r="H62" s="1894"/>
      <c r="I62" s="1894"/>
      <c r="J62" s="1895"/>
      <c r="K62" s="443"/>
      <c r="L62" s="443"/>
      <c r="M62" s="420"/>
    </row>
    <row r="63" spans="2:13" ht="15" thickBot="1" x14ac:dyDescent="0.4">
      <c r="B63" s="418"/>
      <c r="C63" s="434"/>
      <c r="D63" s="1565">
        <v>13</v>
      </c>
      <c r="E63" s="355">
        <f t="shared" si="0"/>
        <v>5.3283693667424518E-2</v>
      </c>
      <c r="F63" s="1893"/>
      <c r="G63" s="1894"/>
      <c r="H63" s="1894"/>
      <c r="I63" s="1894"/>
      <c r="J63" s="1895"/>
      <c r="K63" s="443"/>
      <c r="L63" s="443"/>
      <c r="M63" s="420"/>
    </row>
    <row r="64" spans="2:13" ht="15" thickBot="1" x14ac:dyDescent="0.4">
      <c r="B64" s="418"/>
      <c r="C64" s="434"/>
      <c r="D64" s="1565">
        <v>14</v>
      </c>
      <c r="E64" s="355">
        <f t="shared" si="0"/>
        <v>5.3283693667424518E-2</v>
      </c>
      <c r="F64" s="1893"/>
      <c r="G64" s="1894"/>
      <c r="H64" s="1894"/>
      <c r="I64" s="1894"/>
      <c r="J64" s="1895"/>
      <c r="K64" s="443"/>
      <c r="L64" s="443"/>
      <c r="M64" s="420"/>
    </row>
    <row r="65" spans="2:13" ht="15" thickBot="1" x14ac:dyDescent="0.4">
      <c r="B65" s="418"/>
      <c r="C65" s="434"/>
      <c r="D65" s="1565">
        <v>15</v>
      </c>
      <c r="E65" s="355">
        <f t="shared" si="0"/>
        <v>5.3283693667424518E-2</v>
      </c>
      <c r="F65" s="1893"/>
      <c r="G65" s="1894"/>
      <c r="H65" s="1894"/>
      <c r="I65" s="1894"/>
      <c r="J65" s="1895"/>
      <c r="K65" s="443"/>
      <c r="L65" s="443"/>
      <c r="M65" s="420"/>
    </row>
    <row r="66" spans="2:13" ht="15" thickBot="1" x14ac:dyDescent="0.4">
      <c r="B66" s="418"/>
      <c r="C66" s="434"/>
      <c r="D66" s="1565">
        <v>16</v>
      </c>
      <c r="E66" s="355">
        <f t="shared" si="0"/>
        <v>5.3283693667424518E-2</v>
      </c>
      <c r="F66" s="1893"/>
      <c r="G66" s="1894"/>
      <c r="H66" s="1894"/>
      <c r="I66" s="1894"/>
      <c r="J66" s="1895"/>
      <c r="K66" s="443"/>
      <c r="L66" s="443"/>
      <c r="M66" s="420"/>
    </row>
    <row r="67" spans="2:13" ht="15" thickBot="1" x14ac:dyDescent="0.4">
      <c r="B67" s="418"/>
      <c r="C67" s="434"/>
      <c r="D67" s="1565">
        <v>17</v>
      </c>
      <c r="E67" s="355">
        <f t="shared" si="0"/>
        <v>5.3283693667424518E-2</v>
      </c>
      <c r="F67" s="1893"/>
      <c r="G67" s="1894"/>
      <c r="H67" s="1894"/>
      <c r="I67" s="1894"/>
      <c r="J67" s="1895"/>
      <c r="K67" s="443"/>
      <c r="L67" s="443"/>
      <c r="M67" s="420"/>
    </row>
    <row r="68" spans="2:13" ht="15" thickBot="1" x14ac:dyDescent="0.4">
      <c r="B68" s="418"/>
      <c r="C68" s="434"/>
      <c r="D68" s="1565">
        <v>18</v>
      </c>
      <c r="E68" s="355">
        <f t="shared" si="0"/>
        <v>5.3283693667424518E-2</v>
      </c>
      <c r="F68" s="1893"/>
      <c r="G68" s="1894"/>
      <c r="H68" s="1894"/>
      <c r="I68" s="1894"/>
      <c r="J68" s="1895"/>
      <c r="K68" s="443"/>
      <c r="L68" s="443"/>
      <c r="M68" s="420"/>
    </row>
    <row r="69" spans="2:13" ht="15" thickBot="1" x14ac:dyDescent="0.4">
      <c r="B69" s="418"/>
      <c r="C69" s="434"/>
      <c r="D69" s="1565">
        <v>19</v>
      </c>
      <c r="E69" s="355">
        <f t="shared" si="0"/>
        <v>5.3283693667424518E-2</v>
      </c>
      <c r="F69" s="1893"/>
      <c r="G69" s="1894"/>
      <c r="H69" s="1894"/>
      <c r="I69" s="1894"/>
      <c r="J69" s="1895"/>
      <c r="K69" s="443"/>
      <c r="L69" s="443"/>
      <c r="M69" s="420"/>
    </row>
    <row r="70" spans="2:13" ht="15" thickBot="1" x14ac:dyDescent="0.4">
      <c r="B70" s="418"/>
      <c r="C70" s="434"/>
      <c r="D70" s="1566">
        <v>20</v>
      </c>
      <c r="E70" s="355">
        <f t="shared" si="0"/>
        <v>5.3283693667424518E-2</v>
      </c>
      <c r="F70" s="1896"/>
      <c r="G70" s="1897"/>
      <c r="H70" s="1897"/>
      <c r="I70" s="1897"/>
      <c r="J70" s="1898"/>
      <c r="K70" s="443"/>
      <c r="L70" s="443"/>
      <c r="M70" s="420"/>
    </row>
    <row r="71" spans="2:13" x14ac:dyDescent="0.35">
      <c r="B71" s="418"/>
      <c r="C71" s="434"/>
      <c r="D71" s="421"/>
      <c r="E71" s="328"/>
      <c r="F71" s="328"/>
      <c r="G71" s="328"/>
      <c r="H71" s="328"/>
      <c r="I71" s="328"/>
      <c r="J71" s="328"/>
      <c r="K71" s="443"/>
      <c r="L71" s="443"/>
      <c r="M71" s="420"/>
    </row>
    <row r="72" spans="2:13" ht="15" thickBot="1" x14ac:dyDescent="0.4">
      <c r="B72" s="418"/>
      <c r="C72" s="432"/>
      <c r="D72" s="432"/>
      <c r="E72" s="443"/>
      <c r="F72" s="328"/>
      <c r="G72" s="432"/>
      <c r="H72" s="432"/>
      <c r="I72" s="443"/>
      <c r="J72" s="443"/>
      <c r="K72" s="443"/>
      <c r="L72" s="443"/>
      <c r="M72" s="420"/>
    </row>
    <row r="73" spans="2:13" ht="15" thickTop="1" x14ac:dyDescent="0.35">
      <c r="B73" s="415"/>
      <c r="C73" s="416"/>
      <c r="D73" s="416"/>
      <c r="E73" s="416"/>
      <c r="F73" s="416"/>
      <c r="G73" s="416"/>
      <c r="H73" s="416"/>
      <c r="I73" s="416"/>
      <c r="J73" s="416"/>
      <c r="K73" s="416"/>
      <c r="L73" s="416"/>
      <c r="M73" s="417"/>
    </row>
    <row r="74" spans="2:13" ht="15.5" x14ac:dyDescent="0.35">
      <c r="B74" s="418"/>
      <c r="C74" s="419" t="s">
        <v>99</v>
      </c>
      <c r="D74" s="328"/>
      <c r="E74" s="328"/>
      <c r="F74" s="328"/>
      <c r="G74" s="328"/>
      <c r="H74" s="328"/>
      <c r="I74" s="328"/>
      <c r="J74" s="328"/>
      <c r="K74" s="328"/>
      <c r="L74" s="328"/>
      <c r="M74" s="420"/>
    </row>
    <row r="75" spans="2:13" ht="15" thickBot="1" x14ac:dyDescent="0.4">
      <c r="B75" s="418"/>
      <c r="C75" s="328"/>
      <c r="D75" s="328"/>
      <c r="E75" s="328"/>
      <c r="F75" s="328"/>
      <c r="G75" s="328"/>
      <c r="H75" s="328"/>
      <c r="I75" s="328"/>
      <c r="J75" s="328"/>
      <c r="K75" s="328"/>
      <c r="L75" s="328"/>
      <c r="M75" s="420"/>
    </row>
    <row r="76" spans="2:13" ht="15" thickBot="1" x14ac:dyDescent="0.4">
      <c r="B76" s="418"/>
      <c r="C76" s="328" t="s">
        <v>100</v>
      </c>
      <c r="D76" s="328"/>
      <c r="E76" s="328"/>
      <c r="F76" s="328"/>
      <c r="G76" s="623">
        <v>0.56000000000000005</v>
      </c>
      <c r="H76" s="459" t="s">
        <v>101</v>
      </c>
      <c r="I76" s="460"/>
      <c r="J76" s="460"/>
      <c r="K76" s="460"/>
      <c r="L76" s="461"/>
      <c r="M76" s="420"/>
    </row>
    <row r="77" spans="2:13" ht="15" thickBot="1" x14ac:dyDescent="0.4">
      <c r="B77" s="418"/>
      <c r="C77" s="328" t="s">
        <v>102</v>
      </c>
      <c r="D77" s="328"/>
      <c r="E77" s="328"/>
      <c r="F77" s="328"/>
      <c r="G77" s="623">
        <v>3011407.33</v>
      </c>
      <c r="H77" s="459" t="s">
        <v>103</v>
      </c>
      <c r="I77" s="460"/>
      <c r="J77" s="460"/>
      <c r="K77" s="460"/>
      <c r="L77" s="461"/>
      <c r="M77" s="420"/>
    </row>
    <row r="78" spans="2:13" ht="15" thickBot="1" x14ac:dyDescent="0.4">
      <c r="B78" s="418"/>
      <c r="C78" s="328" t="s">
        <v>104</v>
      </c>
      <c r="D78" s="328"/>
      <c r="E78" s="328"/>
      <c r="F78" s="328"/>
      <c r="G78" s="623">
        <v>512268.4</v>
      </c>
      <c r="H78" s="459" t="s">
        <v>105</v>
      </c>
      <c r="I78" s="460"/>
      <c r="J78" s="460"/>
      <c r="K78" s="460"/>
      <c r="L78" s="461"/>
      <c r="M78" s="420"/>
    </row>
    <row r="79" spans="2:13" ht="15" thickBot="1" x14ac:dyDescent="0.4">
      <c r="B79" s="418"/>
      <c r="C79" s="328" t="s">
        <v>106</v>
      </c>
      <c r="D79" s="328"/>
      <c r="E79" s="328"/>
      <c r="F79" s="328"/>
      <c r="G79" s="623">
        <v>8050</v>
      </c>
      <c r="H79" s="459" t="s">
        <v>107</v>
      </c>
      <c r="I79" s="460"/>
      <c r="J79" s="460"/>
      <c r="K79" s="460"/>
      <c r="L79" s="461"/>
      <c r="M79" s="420"/>
    </row>
    <row r="80" spans="2:13" ht="15" thickBot="1" x14ac:dyDescent="0.4">
      <c r="B80" s="418"/>
      <c r="C80" s="328" t="s">
        <v>108</v>
      </c>
      <c r="D80" s="328"/>
      <c r="E80" s="328"/>
      <c r="F80" s="328"/>
      <c r="G80" s="623">
        <v>50000</v>
      </c>
      <c r="H80" s="459" t="s">
        <v>109</v>
      </c>
      <c r="I80" s="460"/>
      <c r="J80" s="460"/>
      <c r="K80" s="460"/>
      <c r="L80" s="461"/>
      <c r="M80" s="420"/>
    </row>
    <row r="81" spans="2:13" x14ac:dyDescent="0.35">
      <c r="B81" s="418"/>
      <c r="C81" s="328"/>
      <c r="D81" s="328"/>
      <c r="E81" s="328"/>
      <c r="F81" s="328"/>
      <c r="G81" s="328"/>
      <c r="H81" s="328"/>
      <c r="I81" s="328"/>
      <c r="J81" s="328"/>
      <c r="K81" s="328"/>
      <c r="L81" s="328"/>
      <c r="M81" s="420"/>
    </row>
    <row r="82" spans="2:13" ht="15" thickBot="1" x14ac:dyDescent="0.4">
      <c r="B82" s="418"/>
      <c r="C82" s="327" t="s">
        <v>110</v>
      </c>
      <c r="D82" s="328"/>
      <c r="E82" s="328"/>
      <c r="F82" s="328"/>
      <c r="G82" s="328"/>
      <c r="H82" s="328"/>
      <c r="I82" s="328"/>
      <c r="J82" s="328"/>
      <c r="K82" s="328"/>
      <c r="L82" s="328"/>
      <c r="M82" s="420"/>
    </row>
    <row r="83" spans="2:13" ht="15" thickBot="1" x14ac:dyDescent="0.4">
      <c r="B83" s="418"/>
      <c r="C83" s="328" t="s">
        <v>111</v>
      </c>
      <c r="D83" s="328"/>
      <c r="E83" s="328"/>
      <c r="F83" s="328"/>
      <c r="G83" s="1595">
        <f>'Dados Cobrança'!G6</f>
        <v>2.1698932637499997</v>
      </c>
      <c r="H83" s="459" t="s">
        <v>112</v>
      </c>
      <c r="I83" s="460"/>
      <c r="J83" s="460"/>
      <c r="K83" s="460"/>
      <c r="L83" s="461"/>
      <c r="M83" s="420"/>
    </row>
    <row r="84" spans="2:13" ht="15" thickBot="1" x14ac:dyDescent="0.4">
      <c r="B84" s="418"/>
      <c r="C84" s="328" t="s">
        <v>113</v>
      </c>
      <c r="D84" s="328"/>
      <c r="E84" s="328"/>
      <c r="F84" s="328"/>
      <c r="G84" s="328"/>
      <c r="H84" s="328"/>
      <c r="I84" s="328"/>
      <c r="J84" s="328"/>
      <c r="K84" s="328"/>
      <c r="L84" s="328"/>
      <c r="M84" s="420"/>
    </row>
    <row r="85" spans="2:13" ht="15" thickBot="1" x14ac:dyDescent="0.4">
      <c r="B85" s="418"/>
      <c r="C85" s="328"/>
      <c r="D85" s="328" t="s">
        <v>114</v>
      </c>
      <c r="E85" s="328"/>
      <c r="F85" s="328"/>
      <c r="G85" s="1595">
        <f>'Dados Cobrança'!E33+'Dados Cobrança'!E34</f>
        <v>17936.511300000002</v>
      </c>
      <c r="H85" s="459" t="s">
        <v>115</v>
      </c>
      <c r="I85" s="460"/>
      <c r="J85" s="460"/>
      <c r="K85" s="460"/>
      <c r="L85" s="461"/>
      <c r="M85" s="420"/>
    </row>
    <row r="86" spans="2:13" ht="15" thickBot="1" x14ac:dyDescent="0.4">
      <c r="B86" s="418"/>
      <c r="C86" s="328"/>
      <c r="D86" s="328" t="s">
        <v>116</v>
      </c>
      <c r="E86" s="328"/>
      <c r="F86" s="328"/>
      <c r="G86" s="1595">
        <f>'Dados Cobrança'!E35</f>
        <v>3692.8111500000005</v>
      </c>
      <c r="H86" s="459" t="s">
        <v>117</v>
      </c>
      <c r="I86" s="460"/>
      <c r="J86" s="460"/>
      <c r="K86" s="460"/>
      <c r="L86" s="461"/>
      <c r="M86" s="420"/>
    </row>
    <row r="87" spans="2:13" ht="15" thickBot="1" x14ac:dyDescent="0.4">
      <c r="B87" s="418"/>
      <c r="C87" s="328"/>
      <c r="D87" s="328" t="s">
        <v>118</v>
      </c>
      <c r="E87" s="328"/>
      <c r="F87" s="328"/>
      <c r="G87" s="1595">
        <f>'Dados Cobrança'!E36</f>
        <v>2.1101778000000002E-2</v>
      </c>
      <c r="H87" s="459" t="s">
        <v>117</v>
      </c>
      <c r="I87" s="460"/>
      <c r="J87" s="460"/>
      <c r="K87" s="460"/>
      <c r="L87" s="461"/>
      <c r="M87" s="420"/>
    </row>
    <row r="88" spans="2:13" ht="15" thickBot="1" x14ac:dyDescent="0.4">
      <c r="B88" s="418"/>
      <c r="C88" s="328"/>
      <c r="D88" s="328" t="s">
        <v>119</v>
      </c>
      <c r="E88" s="328"/>
      <c r="F88" s="328"/>
      <c r="G88" s="1595">
        <f>'Dados Cobrança'!E37</f>
        <v>0.28487400300000004</v>
      </c>
      <c r="H88" s="459" t="s">
        <v>117</v>
      </c>
      <c r="I88" s="460"/>
      <c r="J88" s="460"/>
      <c r="K88" s="460"/>
      <c r="L88" s="461"/>
      <c r="M88" s="420"/>
    </row>
    <row r="89" spans="2:13" ht="15" thickBot="1" x14ac:dyDescent="0.4">
      <c r="B89" s="418"/>
      <c r="C89" s="328" t="s">
        <v>120</v>
      </c>
      <c r="D89" s="328"/>
      <c r="E89" s="328"/>
      <c r="F89" s="328"/>
      <c r="G89" s="1595">
        <f>'Dados Cobrança'!G17</f>
        <v>0.247923791</v>
      </c>
      <c r="H89" s="459" t="s">
        <v>121</v>
      </c>
      <c r="I89" s="460"/>
      <c r="J89" s="460"/>
      <c r="K89" s="460"/>
      <c r="L89" s="461"/>
      <c r="M89" s="420"/>
    </row>
    <row r="90" spans="2:13" ht="15" thickBot="1" x14ac:dyDescent="0.4">
      <c r="B90" s="418"/>
      <c r="C90" s="328" t="s">
        <v>122</v>
      </c>
      <c r="D90" s="328"/>
      <c r="E90" s="328"/>
      <c r="F90" s="328"/>
      <c r="G90" s="1595">
        <v>3.7</v>
      </c>
      <c r="H90" s="459" t="s">
        <v>123</v>
      </c>
      <c r="I90" s="460"/>
      <c r="J90" s="460"/>
      <c r="K90" s="460"/>
      <c r="L90" s="461"/>
      <c r="M90" s="420"/>
    </row>
    <row r="91" spans="2:13" ht="15" thickBot="1" x14ac:dyDescent="0.4">
      <c r="B91" s="418"/>
      <c r="C91" s="328" t="s">
        <v>124</v>
      </c>
      <c r="D91" s="328"/>
      <c r="E91" s="328"/>
      <c r="F91" s="328"/>
      <c r="G91" s="1595">
        <f>'Dados Cobrança'!D61</f>
        <v>4.1366666666666667</v>
      </c>
      <c r="H91" s="459" t="s">
        <v>112</v>
      </c>
      <c r="I91" s="460"/>
      <c r="J91" s="460"/>
      <c r="K91" s="460"/>
      <c r="L91" s="461"/>
      <c r="M91" s="420"/>
    </row>
    <row r="92" spans="2:13" ht="15" thickBot="1" x14ac:dyDescent="0.4">
      <c r="B92" s="418"/>
      <c r="C92" s="328" t="s">
        <v>125</v>
      </c>
      <c r="D92" s="328"/>
      <c r="E92" s="328"/>
      <c r="F92" s="328"/>
      <c r="G92" s="1595">
        <f>'Dados Cobrança'!E46</f>
        <v>53460</v>
      </c>
      <c r="H92" s="459" t="s">
        <v>126</v>
      </c>
      <c r="I92" s="460"/>
      <c r="J92" s="460"/>
      <c r="K92" s="460"/>
      <c r="L92" s="461"/>
      <c r="M92" s="420"/>
    </row>
    <row r="93" spans="2:13" x14ac:dyDescent="0.35">
      <c r="B93" s="418"/>
      <c r="C93" s="328"/>
      <c r="D93" s="328"/>
      <c r="E93" s="328"/>
      <c r="F93" s="328"/>
      <c r="G93" s="328"/>
      <c r="H93" s="328"/>
      <c r="I93" s="328"/>
      <c r="J93" s="328"/>
      <c r="K93" s="328"/>
      <c r="L93" s="328"/>
      <c r="M93" s="420"/>
    </row>
    <row r="94" spans="2:13" ht="15" thickBot="1" x14ac:dyDescent="0.4">
      <c r="B94" s="422"/>
      <c r="C94" s="423"/>
      <c r="D94" s="423"/>
      <c r="E94" s="423"/>
      <c r="F94" s="423"/>
      <c r="G94" s="423"/>
      <c r="H94" s="423"/>
      <c r="I94" s="423"/>
      <c r="J94" s="423"/>
      <c r="K94" s="423"/>
      <c r="L94" s="423"/>
      <c r="M94" s="424"/>
    </row>
    <row r="95" spans="2:13" ht="15" thickTop="1" x14ac:dyDescent="0.35">
      <c r="B95" s="415"/>
      <c r="C95" s="416"/>
      <c r="D95" s="416"/>
      <c r="E95" s="416"/>
      <c r="F95" s="416"/>
      <c r="G95" s="416"/>
      <c r="H95" s="416"/>
      <c r="I95" s="416"/>
      <c r="J95" s="416"/>
      <c r="K95" s="416"/>
      <c r="L95" s="416"/>
      <c r="M95" s="417"/>
    </row>
    <row r="96" spans="2:13" ht="16" thickBot="1" x14ac:dyDescent="0.4">
      <c r="B96" s="418"/>
      <c r="C96" s="419" t="s">
        <v>127</v>
      </c>
      <c r="D96" s="328"/>
      <c r="E96" s="328"/>
      <c r="F96" s="328"/>
      <c r="G96" s="328"/>
      <c r="H96" s="328"/>
      <c r="I96" s="328"/>
      <c r="J96" s="328"/>
      <c r="K96" s="328"/>
      <c r="L96" s="328"/>
      <c r="M96" s="420"/>
    </row>
    <row r="97" spans="2:17" ht="15" thickBot="1" x14ac:dyDescent="0.4">
      <c r="B97" s="418"/>
      <c r="C97" s="328"/>
      <c r="D97" s="328"/>
      <c r="E97" s="328"/>
      <c r="F97" s="431" t="s">
        <v>128</v>
      </c>
      <c r="G97" s="431" t="s">
        <v>129</v>
      </c>
      <c r="H97" s="1884" t="s">
        <v>70</v>
      </c>
      <c r="I97" s="1885"/>
      <c r="J97" s="1885"/>
      <c r="K97" s="1885"/>
      <c r="L97" s="1886"/>
      <c r="M97" s="420"/>
    </row>
    <row r="98" spans="2:17" ht="15" thickBot="1" x14ac:dyDescent="0.4">
      <c r="B98" s="418"/>
      <c r="C98" s="327" t="s">
        <v>130</v>
      </c>
      <c r="D98" s="328"/>
      <c r="E98" s="328"/>
      <c r="F98" s="464"/>
      <c r="G98" s="328"/>
      <c r="H98" s="328"/>
      <c r="I98" s="328"/>
      <c r="J98" s="328"/>
      <c r="K98" s="328"/>
      <c r="L98" s="328"/>
      <c r="M98" s="420"/>
    </row>
    <row r="99" spans="2:17" ht="15" thickBot="1" x14ac:dyDescent="0.4">
      <c r="B99" s="418"/>
      <c r="C99" s="462" t="s">
        <v>131</v>
      </c>
      <c r="D99" s="328"/>
      <c r="E99" s="328"/>
      <c r="F99" s="624">
        <v>1.6500000000000001E-2</v>
      </c>
      <c r="G99" s="624">
        <v>6.4999999999999997E-3</v>
      </c>
      <c r="H99" s="459" t="s">
        <v>132</v>
      </c>
      <c r="I99" s="460"/>
      <c r="J99" s="460"/>
      <c r="K99" s="460"/>
      <c r="L99" s="461"/>
      <c r="M99" s="420"/>
    </row>
    <row r="100" spans="2:17" ht="15" thickBot="1" x14ac:dyDescent="0.4">
      <c r="B100" s="418"/>
      <c r="C100" s="462" t="s">
        <v>133</v>
      </c>
      <c r="D100" s="328"/>
      <c r="E100" s="328"/>
      <c r="F100" s="624">
        <v>7.5999999999999998E-2</v>
      </c>
      <c r="G100" s="624">
        <v>0.03</v>
      </c>
      <c r="H100" s="459" t="s">
        <v>132</v>
      </c>
      <c r="I100" s="460"/>
      <c r="J100" s="460"/>
      <c r="K100" s="460"/>
      <c r="L100" s="461"/>
      <c r="M100" s="420"/>
    </row>
    <row r="101" spans="2:17" ht="6.75" customHeight="1" x14ac:dyDescent="0.35">
      <c r="B101" s="418"/>
      <c r="C101" s="463"/>
      <c r="D101" s="328"/>
      <c r="E101" s="328"/>
      <c r="F101" s="465"/>
      <c r="G101" s="328"/>
      <c r="H101" s="328"/>
      <c r="I101" s="328"/>
      <c r="J101" s="328"/>
      <c r="K101" s="328"/>
      <c r="L101" s="328"/>
      <c r="M101" s="420"/>
    </row>
    <row r="102" spans="2:17" ht="15" thickBot="1" x14ac:dyDescent="0.4">
      <c r="B102" s="418"/>
      <c r="C102" s="327" t="s">
        <v>134</v>
      </c>
      <c r="D102" s="328"/>
      <c r="E102" s="328"/>
      <c r="F102" s="464"/>
      <c r="G102" s="328"/>
      <c r="H102" s="466"/>
      <c r="I102" s="466"/>
      <c r="J102" s="466"/>
      <c r="K102" s="466"/>
      <c r="L102" s="328"/>
      <c r="M102" s="420"/>
    </row>
    <row r="103" spans="2:17" ht="15" thickBot="1" x14ac:dyDescent="0.4">
      <c r="B103" s="418"/>
      <c r="C103" s="444" t="s">
        <v>1</v>
      </c>
      <c r="D103" s="445"/>
      <c r="E103" s="446"/>
      <c r="F103" s="624">
        <v>0.03</v>
      </c>
      <c r="G103" s="624">
        <v>0.03</v>
      </c>
      <c r="H103" s="459" t="s">
        <v>135</v>
      </c>
      <c r="I103" s="460"/>
      <c r="J103" s="460"/>
      <c r="K103" s="460"/>
      <c r="L103" s="461"/>
      <c r="M103" s="420"/>
      <c r="P103" s="804"/>
      <c r="Q103" s="804"/>
    </row>
    <row r="104" spans="2:17" ht="15" thickBot="1" x14ac:dyDescent="0.4">
      <c r="B104" s="418"/>
      <c r="C104" s="447" t="s">
        <v>2</v>
      </c>
      <c r="D104" s="448"/>
      <c r="E104" s="449"/>
      <c r="F104" s="624">
        <v>0.05</v>
      </c>
      <c r="G104" s="624">
        <v>0.05</v>
      </c>
      <c r="H104" s="459" t="s">
        <v>136</v>
      </c>
      <c r="I104" s="460"/>
      <c r="J104" s="460"/>
      <c r="K104" s="460"/>
      <c r="L104" s="461"/>
      <c r="M104" s="420"/>
      <c r="P104" s="804"/>
      <c r="Q104" s="804"/>
    </row>
    <row r="105" spans="2:17" ht="15" thickBot="1" x14ac:dyDescent="0.4">
      <c r="B105" s="418"/>
      <c r="C105" s="447" t="s">
        <v>3</v>
      </c>
      <c r="D105" s="448"/>
      <c r="E105" s="449"/>
      <c r="F105" s="624">
        <v>0.03</v>
      </c>
      <c r="G105" s="624">
        <v>0.03</v>
      </c>
      <c r="H105" s="459" t="s">
        <v>137</v>
      </c>
      <c r="I105" s="460"/>
      <c r="J105" s="460"/>
      <c r="K105" s="460"/>
      <c r="L105" s="461"/>
      <c r="M105" s="420"/>
      <c r="P105" s="804"/>
      <c r="Q105" s="804"/>
    </row>
    <row r="106" spans="2:17" ht="15" thickBot="1" x14ac:dyDescent="0.4">
      <c r="B106" s="418"/>
      <c r="C106" s="447" t="s">
        <v>4</v>
      </c>
      <c r="D106" s="448"/>
      <c r="E106" s="449"/>
      <c r="F106" s="624">
        <v>0.02</v>
      </c>
      <c r="G106" s="624">
        <v>0.02</v>
      </c>
      <c r="H106" s="459" t="s">
        <v>138</v>
      </c>
      <c r="I106" s="460"/>
      <c r="J106" s="460"/>
      <c r="K106" s="460"/>
      <c r="L106" s="461"/>
      <c r="M106" s="420"/>
      <c r="P106" s="804"/>
      <c r="Q106" s="804"/>
    </row>
    <row r="107" spans="2:17" ht="15" thickBot="1" x14ac:dyDescent="0.4">
      <c r="B107" s="418"/>
      <c r="C107" s="447" t="s">
        <v>5</v>
      </c>
      <c r="D107" s="448"/>
      <c r="E107" s="449"/>
      <c r="F107" s="624">
        <v>0.02</v>
      </c>
      <c r="G107" s="624">
        <v>0.02</v>
      </c>
      <c r="H107" s="459" t="s">
        <v>139</v>
      </c>
      <c r="I107" s="460"/>
      <c r="J107" s="460"/>
      <c r="K107" s="460"/>
      <c r="L107" s="461"/>
      <c r="M107" s="420"/>
      <c r="P107" s="804"/>
      <c r="Q107" s="804"/>
    </row>
    <row r="108" spans="2:17" ht="15" thickBot="1" x14ac:dyDescent="0.4">
      <c r="B108" s="418"/>
      <c r="C108" s="447" t="s">
        <v>6</v>
      </c>
      <c r="D108" s="448"/>
      <c r="E108" s="449"/>
      <c r="F108" s="624">
        <v>0.02</v>
      </c>
      <c r="G108" s="624">
        <v>0.02</v>
      </c>
      <c r="H108" s="459" t="s">
        <v>140</v>
      </c>
      <c r="I108" s="460"/>
      <c r="J108" s="460"/>
      <c r="K108" s="460"/>
      <c r="L108" s="461"/>
      <c r="M108" s="420"/>
      <c r="P108" s="804"/>
      <c r="Q108" s="804"/>
    </row>
    <row r="109" spans="2:17" ht="15" thickBot="1" x14ac:dyDescent="0.4">
      <c r="B109" s="418"/>
      <c r="C109" s="447" t="s">
        <v>7</v>
      </c>
      <c r="D109" s="448"/>
      <c r="E109" s="449"/>
      <c r="F109" s="624">
        <v>0.03</v>
      </c>
      <c r="G109" s="624">
        <v>0.03</v>
      </c>
      <c r="H109" s="459" t="s">
        <v>141</v>
      </c>
      <c r="I109" s="460"/>
      <c r="J109" s="460"/>
      <c r="K109" s="460"/>
      <c r="L109" s="461"/>
      <c r="M109" s="420"/>
      <c r="P109" s="804"/>
      <c r="Q109" s="804"/>
    </row>
    <row r="110" spans="2:17" ht="15" thickBot="1" x14ac:dyDescent="0.4">
      <c r="B110" s="418"/>
      <c r="C110" s="447" t="s">
        <v>8</v>
      </c>
      <c r="D110" s="448"/>
      <c r="E110" s="449"/>
      <c r="F110" s="624">
        <v>0.03</v>
      </c>
      <c r="G110" s="624">
        <v>0.03</v>
      </c>
      <c r="H110" s="459" t="s">
        <v>142</v>
      </c>
      <c r="I110" s="460"/>
      <c r="J110" s="460"/>
      <c r="K110" s="460"/>
      <c r="L110" s="461"/>
      <c r="M110" s="420"/>
      <c r="P110" s="804"/>
      <c r="Q110" s="804"/>
    </row>
    <row r="111" spans="2:17" ht="15" thickBot="1" x14ac:dyDescent="0.4">
      <c r="B111" s="418"/>
      <c r="C111" s="447" t="s">
        <v>9</v>
      </c>
      <c r="D111" s="448"/>
      <c r="E111" s="449"/>
      <c r="F111" s="624">
        <v>0.03</v>
      </c>
      <c r="G111" s="624">
        <v>0.03</v>
      </c>
      <c r="H111" s="459" t="s">
        <v>143</v>
      </c>
      <c r="I111" s="460"/>
      <c r="J111" s="460"/>
      <c r="K111" s="460"/>
      <c r="L111" s="461"/>
      <c r="M111" s="420"/>
      <c r="P111" s="804"/>
      <c r="Q111" s="804"/>
    </row>
    <row r="112" spans="2:17" ht="11.25" customHeight="1" thickBot="1" x14ac:dyDescent="0.4">
      <c r="B112" s="418"/>
      <c r="C112" s="328"/>
      <c r="D112" s="328"/>
      <c r="E112" s="328"/>
      <c r="F112" s="328"/>
      <c r="G112" s="328"/>
      <c r="H112" s="328"/>
      <c r="I112" s="328"/>
      <c r="J112" s="328"/>
      <c r="K112" s="328"/>
      <c r="L112" s="328"/>
      <c r="M112" s="420"/>
    </row>
    <row r="113" spans="2:13" ht="15" thickBot="1" x14ac:dyDescent="0.4">
      <c r="B113" s="418"/>
      <c r="C113" s="327" t="s">
        <v>144</v>
      </c>
      <c r="D113" s="328"/>
      <c r="E113" s="328"/>
      <c r="F113" s="624">
        <v>0.15</v>
      </c>
      <c r="G113" s="624">
        <v>0.15</v>
      </c>
      <c r="H113" s="459" t="s">
        <v>132</v>
      </c>
      <c r="I113" s="460"/>
      <c r="J113" s="460"/>
      <c r="K113" s="460"/>
      <c r="L113" s="461"/>
      <c r="M113" s="420"/>
    </row>
    <row r="114" spans="2:13" ht="15" thickBot="1" x14ac:dyDescent="0.4">
      <c r="B114" s="418"/>
      <c r="C114" s="327" t="s">
        <v>145</v>
      </c>
      <c r="D114" s="328"/>
      <c r="E114" s="328"/>
      <c r="F114" s="624">
        <v>0.1</v>
      </c>
      <c r="G114" s="624">
        <v>0.1</v>
      </c>
      <c r="H114" s="459" t="s">
        <v>146</v>
      </c>
      <c r="I114" s="460"/>
      <c r="J114" s="460"/>
      <c r="K114" s="460"/>
      <c r="L114" s="461"/>
      <c r="M114" s="420"/>
    </row>
    <row r="115" spans="2:13" ht="15" thickBot="1" x14ac:dyDescent="0.4">
      <c r="B115" s="418"/>
      <c r="C115" s="327" t="s">
        <v>147</v>
      </c>
      <c r="D115" s="328"/>
      <c r="E115" s="328"/>
      <c r="F115" s="624">
        <v>0.09</v>
      </c>
      <c r="G115" s="624">
        <v>0.09</v>
      </c>
      <c r="H115" s="459" t="s">
        <v>132</v>
      </c>
      <c r="I115" s="460"/>
      <c r="J115" s="460"/>
      <c r="K115" s="460"/>
      <c r="L115" s="461"/>
      <c r="M115" s="420"/>
    </row>
    <row r="116" spans="2:13" x14ac:dyDescent="0.35">
      <c r="B116" s="418"/>
      <c r="C116" s="328"/>
      <c r="D116" s="328"/>
      <c r="E116" s="328"/>
      <c r="F116" s="328"/>
      <c r="G116" s="328"/>
      <c r="H116" s="328"/>
      <c r="I116" s="328"/>
      <c r="J116" s="328"/>
      <c r="K116" s="328"/>
      <c r="L116" s="328"/>
      <c r="M116" s="420"/>
    </row>
    <row r="117" spans="2:13" ht="15" thickBot="1" x14ac:dyDescent="0.4">
      <c r="B117" s="422"/>
      <c r="C117" s="423"/>
      <c r="D117" s="423"/>
      <c r="E117" s="423"/>
      <c r="F117" s="423"/>
      <c r="G117" s="423"/>
      <c r="H117" s="423"/>
      <c r="I117" s="423"/>
      <c r="J117" s="423"/>
      <c r="K117" s="423"/>
      <c r="L117" s="423"/>
      <c r="M117" s="424"/>
    </row>
    <row r="118" spans="2:13" ht="15" thickTop="1" x14ac:dyDescent="0.35">
      <c r="B118" s="415"/>
      <c r="C118" s="416"/>
      <c r="D118" s="416"/>
      <c r="E118" s="416"/>
      <c r="F118" s="328"/>
      <c r="G118" s="328"/>
      <c r="H118" s="328"/>
      <c r="I118" s="328"/>
      <c r="J118" s="328"/>
      <c r="K118" s="328"/>
      <c r="L118" s="328"/>
      <c r="M118" s="417"/>
    </row>
    <row r="119" spans="2:13" ht="15.5" x14ac:dyDescent="0.35">
      <c r="B119" s="418"/>
      <c r="C119" s="419" t="s">
        <v>148</v>
      </c>
      <c r="D119" s="328"/>
      <c r="E119" s="328"/>
      <c r="F119" s="328"/>
      <c r="G119" s="328"/>
      <c r="H119" s="328"/>
      <c r="I119" s="328"/>
      <c r="J119" s="328"/>
      <c r="K119" s="328"/>
      <c r="L119" s="328"/>
      <c r="M119" s="420"/>
    </row>
    <row r="120" spans="2:13" ht="3.75" customHeight="1" thickBot="1" x14ac:dyDescent="0.4">
      <c r="B120" s="418"/>
      <c r="C120" s="328"/>
      <c r="D120" s="328"/>
      <c r="E120" s="328"/>
      <c r="F120" s="328"/>
      <c r="G120" s="328"/>
      <c r="H120" s="328"/>
      <c r="I120" s="328"/>
      <c r="J120" s="328"/>
      <c r="K120" s="328"/>
      <c r="L120" s="328"/>
      <c r="M120" s="420"/>
    </row>
    <row r="121" spans="2:13" ht="15.75" customHeight="1" thickBot="1" x14ac:dyDescent="0.4">
      <c r="B121" s="418"/>
      <c r="C121" s="1902" t="s">
        <v>149</v>
      </c>
      <c r="D121" s="1903"/>
      <c r="E121" s="431" t="s">
        <v>150</v>
      </c>
      <c r="F121" s="328"/>
      <c r="G121" s="328"/>
      <c r="H121" s="328"/>
      <c r="I121" s="328"/>
      <c r="J121" s="328"/>
      <c r="K121" s="328"/>
      <c r="L121" s="328"/>
      <c r="M121" s="420"/>
    </row>
    <row r="122" spans="2:13" ht="15" thickBot="1" x14ac:dyDescent="0.4">
      <c r="B122" s="418"/>
      <c r="C122" s="510" t="s">
        <v>151</v>
      </c>
      <c r="D122" s="511"/>
      <c r="E122" s="625">
        <v>45</v>
      </c>
      <c r="F122" s="328"/>
      <c r="G122" s="328"/>
      <c r="H122" s="328"/>
      <c r="I122" s="328"/>
      <c r="J122" s="328"/>
      <c r="K122" s="328"/>
      <c r="L122" s="328"/>
      <c r="M122" s="420"/>
    </row>
    <row r="123" spans="2:13" ht="15" thickBot="1" x14ac:dyDescent="0.4">
      <c r="B123" s="418"/>
      <c r="C123" s="510" t="s">
        <v>152</v>
      </c>
      <c r="D123" s="511"/>
      <c r="E123" s="626">
        <v>30</v>
      </c>
      <c r="F123" s="328"/>
      <c r="G123" s="328"/>
      <c r="H123" s="328"/>
      <c r="I123" s="328"/>
      <c r="J123" s="328"/>
      <c r="K123" s="328"/>
      <c r="L123" s="328"/>
      <c r="M123" s="420"/>
    </row>
    <row r="124" spans="2:13" ht="15" thickBot="1" x14ac:dyDescent="0.4">
      <c r="B124" s="418"/>
      <c r="C124" s="510" t="s">
        <v>153</v>
      </c>
      <c r="D124" s="511"/>
      <c r="E124" s="626">
        <v>15</v>
      </c>
      <c r="F124" s="328"/>
      <c r="G124" s="328"/>
      <c r="H124" s="328"/>
      <c r="I124" s="328"/>
      <c r="J124" s="328"/>
      <c r="K124" s="328"/>
      <c r="L124" s="328"/>
      <c r="M124" s="420"/>
    </row>
    <row r="125" spans="2:13" ht="15" thickBot="1" x14ac:dyDescent="0.4">
      <c r="B125" s="418"/>
      <c r="C125" s="512" t="s">
        <v>154</v>
      </c>
      <c r="D125" s="513"/>
      <c r="E125" s="626">
        <v>30</v>
      </c>
      <c r="F125" s="328"/>
      <c r="G125" s="328"/>
      <c r="H125" s="328"/>
      <c r="I125" s="328"/>
      <c r="J125" s="328"/>
      <c r="K125" s="328"/>
      <c r="L125" s="328"/>
      <c r="M125" s="420"/>
    </row>
    <row r="126" spans="2:13" ht="15" thickBot="1" x14ac:dyDescent="0.4">
      <c r="B126" s="418"/>
      <c r="C126" s="328"/>
      <c r="D126" s="328"/>
      <c r="E126" s="328"/>
      <c r="F126" s="328"/>
      <c r="G126" s="328"/>
      <c r="H126" s="328"/>
      <c r="I126" s="328"/>
      <c r="J126" s="328"/>
      <c r="K126" s="328"/>
      <c r="L126" s="328"/>
      <c r="M126" s="420"/>
    </row>
    <row r="127" spans="2:13" ht="15" thickTop="1" x14ac:dyDescent="0.35">
      <c r="B127" s="415"/>
      <c r="C127" s="416"/>
      <c r="D127" s="416"/>
      <c r="E127" s="416"/>
      <c r="F127" s="416"/>
      <c r="G127" s="416"/>
      <c r="H127" s="416"/>
      <c r="I127" s="416"/>
      <c r="J127" s="416"/>
      <c r="K127" s="416"/>
      <c r="L127" s="416"/>
      <c r="M127" s="417"/>
    </row>
    <row r="128" spans="2:13" ht="15.5" x14ac:dyDescent="0.35">
      <c r="B128" s="418"/>
      <c r="C128" s="419" t="s">
        <v>155</v>
      </c>
      <c r="D128" s="328"/>
      <c r="E128" s="328"/>
      <c r="F128" s="328"/>
      <c r="G128" s="328"/>
      <c r="H128" s="328"/>
      <c r="I128" s="328"/>
      <c r="J128" s="328"/>
      <c r="K128" s="328"/>
      <c r="L128" s="328"/>
      <c r="M128" s="420"/>
    </row>
    <row r="129" spans="2:13" ht="15" thickBot="1" x14ac:dyDescent="0.4">
      <c r="B129" s="418"/>
      <c r="C129" s="328"/>
      <c r="D129" s="328"/>
      <c r="E129" s="328"/>
      <c r="F129" s="328"/>
      <c r="G129" s="328"/>
      <c r="H129" s="328" t="s">
        <v>156</v>
      </c>
      <c r="I129" s="421" t="s">
        <v>157</v>
      </c>
      <c r="J129" s="328" t="s">
        <v>158</v>
      </c>
      <c r="K129" s="328"/>
      <c r="L129" s="328"/>
      <c r="M129" s="420"/>
    </row>
    <row r="130" spans="2:13" ht="23.25" customHeight="1" x14ac:dyDescent="0.35">
      <c r="B130" s="418"/>
      <c r="C130" s="1910" t="s">
        <v>159</v>
      </c>
      <c r="D130" s="1910"/>
      <c r="E130" s="1910"/>
      <c r="F130" s="1910"/>
      <c r="G130" s="1396" t="s">
        <v>160</v>
      </c>
      <c r="H130" s="1397">
        <v>0.05</v>
      </c>
      <c r="I130" s="1394">
        <v>2E-3</v>
      </c>
      <c r="J130" s="1904" t="s">
        <v>161</v>
      </c>
      <c r="K130" s="1905"/>
      <c r="L130" s="1906"/>
      <c r="M130" s="420"/>
    </row>
    <row r="131" spans="2:13" ht="21.75" customHeight="1" thickBot="1" x14ac:dyDescent="0.4">
      <c r="B131" s="418"/>
      <c r="C131" s="1910"/>
      <c r="D131" s="1910"/>
      <c r="E131" s="1910"/>
      <c r="F131" s="1910"/>
      <c r="G131" s="1396" t="s">
        <v>162</v>
      </c>
      <c r="H131" s="1398">
        <v>2.5000000000000001E-2</v>
      </c>
      <c r="I131" s="1395">
        <v>2E-3</v>
      </c>
      <c r="J131" s="1907"/>
      <c r="K131" s="1908"/>
      <c r="L131" s="1909"/>
      <c r="M131" s="420"/>
    </row>
    <row r="132" spans="2:13" ht="37.5" customHeight="1" thickBot="1" x14ac:dyDescent="0.4">
      <c r="B132" s="418"/>
      <c r="C132" s="328" t="s">
        <v>163</v>
      </c>
      <c r="D132" s="328"/>
      <c r="E132" s="328"/>
      <c r="F132" s="328"/>
      <c r="G132" s="721"/>
      <c r="H132" s="720">
        <f>PAINEL!D35</f>
        <v>144967729.68000001</v>
      </c>
      <c r="I132" s="719">
        <v>3.5000000000000001E-3</v>
      </c>
      <c r="J132" s="1887" t="s">
        <v>164</v>
      </c>
      <c r="K132" s="1888"/>
      <c r="L132" s="1889"/>
      <c r="M132" s="420"/>
    </row>
    <row r="133" spans="2:13" ht="42" customHeight="1" thickBot="1" x14ac:dyDescent="0.4">
      <c r="B133" s="418"/>
      <c r="C133" s="328" t="s">
        <v>165</v>
      </c>
      <c r="D133" s="328"/>
      <c r="E133" s="328"/>
      <c r="F133" s="328"/>
      <c r="G133" s="328"/>
      <c r="H133" s="720">
        <v>5000000</v>
      </c>
      <c r="I133" s="719">
        <v>5.4999999999999997E-3</v>
      </c>
      <c r="J133" s="1887" t="s">
        <v>166</v>
      </c>
      <c r="K133" s="1888"/>
      <c r="L133" s="1889"/>
      <c r="M133" s="420"/>
    </row>
    <row r="134" spans="2:13" ht="36" customHeight="1" thickBot="1" x14ac:dyDescent="0.4">
      <c r="B134" s="418"/>
      <c r="C134" s="328" t="s">
        <v>167</v>
      </c>
      <c r="D134" s="328"/>
      <c r="E134" s="328"/>
      <c r="F134" s="328"/>
      <c r="G134" s="328"/>
      <c r="H134" s="720">
        <v>2500000</v>
      </c>
      <c r="I134" s="719">
        <v>4.4999999999999997E-3</v>
      </c>
      <c r="J134" s="1887" t="s">
        <v>168</v>
      </c>
      <c r="K134" s="1888"/>
      <c r="L134" s="1889"/>
      <c r="M134" s="420"/>
    </row>
    <row r="135" spans="2:13" x14ac:dyDescent="0.35">
      <c r="B135" s="418"/>
      <c r="C135" s="328"/>
      <c r="D135" s="328"/>
      <c r="E135" s="328"/>
      <c r="F135" s="328"/>
      <c r="G135" s="328"/>
      <c r="H135" s="328"/>
      <c r="I135" s="328"/>
      <c r="J135" s="328"/>
      <c r="K135" s="328"/>
      <c r="L135" s="328"/>
      <c r="M135" s="420"/>
    </row>
    <row r="136" spans="2:13" x14ac:dyDescent="0.35">
      <c r="B136" s="418"/>
      <c r="C136" s="328"/>
      <c r="D136" s="328"/>
      <c r="E136" s="328"/>
      <c r="F136" s="328"/>
      <c r="G136" s="328"/>
      <c r="H136" s="328"/>
      <c r="I136" s="721"/>
      <c r="J136" s="328"/>
      <c r="K136" s="328"/>
      <c r="L136" s="328"/>
      <c r="M136" s="420"/>
    </row>
    <row r="137" spans="2:13" ht="15" thickBot="1" x14ac:dyDescent="0.4">
      <c r="B137" s="422"/>
      <c r="C137" s="423"/>
      <c r="D137" s="423"/>
      <c r="E137" s="423"/>
      <c r="F137" s="423"/>
      <c r="G137" s="423"/>
      <c r="H137" s="423"/>
      <c r="I137" s="423"/>
      <c r="J137" s="423"/>
      <c r="K137" s="423"/>
      <c r="L137" s="423"/>
      <c r="M137" s="424"/>
    </row>
    <row r="138" spans="2:13" ht="15" thickTop="1" x14ac:dyDescent="0.35">
      <c r="B138" s="415"/>
      <c r="C138" s="416"/>
      <c r="D138" s="416"/>
      <c r="E138" s="416"/>
      <c r="F138" s="416"/>
      <c r="G138" s="416"/>
      <c r="H138" s="416"/>
      <c r="I138" s="416"/>
      <c r="J138" s="416"/>
      <c r="K138" s="416"/>
      <c r="L138" s="416"/>
      <c r="M138" s="417"/>
    </row>
    <row r="139" spans="2:13" ht="15.5" x14ac:dyDescent="0.35">
      <c r="B139" s="418"/>
      <c r="C139" s="419" t="s">
        <v>169</v>
      </c>
      <c r="D139" s="328"/>
      <c r="E139" s="328"/>
      <c r="F139" s="328"/>
      <c r="G139" s="328"/>
      <c r="H139" s="328"/>
      <c r="I139" s="328"/>
      <c r="J139" s="328"/>
      <c r="K139" s="328"/>
      <c r="L139" s="328"/>
      <c r="M139" s="420"/>
    </row>
    <row r="140" spans="2:13" ht="15" thickBot="1" x14ac:dyDescent="0.4">
      <c r="B140" s="418"/>
      <c r="C140" s="328"/>
      <c r="D140" s="328"/>
      <c r="E140" s="328"/>
      <c r="F140" s="328"/>
      <c r="G140" s="328"/>
      <c r="H140" s="328"/>
      <c r="I140" s="328"/>
      <c r="J140" s="328"/>
      <c r="K140" s="328"/>
      <c r="L140" s="328"/>
      <c r="M140" s="420"/>
    </row>
    <row r="141" spans="2:13" ht="15" thickBot="1" x14ac:dyDescent="0.4">
      <c r="B141" s="418"/>
      <c r="C141" s="431" t="s">
        <v>96</v>
      </c>
      <c r="D141" s="431">
        <v>2026</v>
      </c>
      <c r="E141" s="431">
        <v>2027</v>
      </c>
      <c r="F141" s="431">
        <v>2028</v>
      </c>
      <c r="G141" s="431">
        <v>2029</v>
      </c>
      <c r="H141" s="1884" t="s">
        <v>70</v>
      </c>
      <c r="I141" s="1885"/>
      <c r="J141" s="1885"/>
      <c r="K141" s="1885"/>
      <c r="L141" s="1886"/>
      <c r="M141" s="420"/>
    </row>
    <row r="142" spans="2:13" ht="15" thickBot="1" x14ac:dyDescent="0.4">
      <c r="B142" s="418"/>
      <c r="C142" s="429" t="s">
        <v>170</v>
      </c>
      <c r="D142" s="624">
        <v>3.9899999999999998E-2</v>
      </c>
      <c r="E142" s="624">
        <v>3.7999999999999999E-2</v>
      </c>
      <c r="F142" s="624">
        <v>3.5000000000000003E-2</v>
      </c>
      <c r="G142" s="624">
        <v>3.5000000000000003E-2</v>
      </c>
      <c r="H142" s="1884" t="s">
        <v>171</v>
      </c>
      <c r="I142" s="1885"/>
      <c r="J142" s="1885"/>
      <c r="K142" s="1885"/>
      <c r="L142" s="1886"/>
      <c r="M142" s="420"/>
    </row>
    <row r="143" spans="2:13" ht="15" thickBot="1" x14ac:dyDescent="0.4">
      <c r="B143" s="418"/>
      <c r="C143" s="429" t="s">
        <v>172</v>
      </c>
      <c r="D143" s="624">
        <v>0.1225</v>
      </c>
      <c r="E143" s="624">
        <v>0.105</v>
      </c>
      <c r="F143" s="624">
        <v>0.1</v>
      </c>
      <c r="G143" s="624">
        <v>9.5000000000000001E-2</v>
      </c>
      <c r="H143" s="1884" t="s">
        <v>171</v>
      </c>
      <c r="I143" s="1885"/>
      <c r="J143" s="1885"/>
      <c r="K143" s="1885"/>
      <c r="L143" s="1886"/>
      <c r="M143" s="420"/>
    </row>
    <row r="144" spans="2:13" ht="15" thickBot="1" x14ac:dyDescent="0.4">
      <c r="B144" s="422"/>
      <c r="C144" s="423"/>
      <c r="D144" s="423"/>
      <c r="E144" s="423"/>
      <c r="F144" s="423"/>
      <c r="G144" s="423"/>
      <c r="H144" s="423"/>
      <c r="I144" s="423"/>
      <c r="J144" s="423"/>
      <c r="K144" s="423"/>
      <c r="L144" s="423"/>
      <c r="M144" s="424"/>
    </row>
    <row r="145" spans="2:43" ht="15" thickTop="1" x14ac:dyDescent="0.35">
      <c r="B145" s="415"/>
      <c r="C145" s="425"/>
      <c r="D145" s="416"/>
      <c r="E145" s="416"/>
      <c r="F145" s="416"/>
      <c r="G145" s="416"/>
      <c r="H145" s="416"/>
      <c r="I145" s="416"/>
      <c r="J145" s="416"/>
      <c r="K145" s="416"/>
      <c r="L145" s="416"/>
      <c r="M145" s="416"/>
      <c r="N145" s="416"/>
      <c r="O145" s="416"/>
      <c r="P145" s="416"/>
      <c r="Q145" s="416"/>
      <c r="R145" s="416"/>
      <c r="S145" s="416"/>
      <c r="T145" s="416"/>
      <c r="U145" s="416"/>
      <c r="V145" s="416"/>
      <c r="W145" s="416"/>
      <c r="X145" s="416"/>
      <c r="Y145" s="416"/>
      <c r="Z145" s="416"/>
      <c r="AA145" s="416"/>
      <c r="AB145" s="416"/>
      <c r="AC145" s="416"/>
      <c r="AD145" s="416"/>
      <c r="AE145" s="416"/>
      <c r="AF145" s="416"/>
      <c r="AG145" s="416"/>
      <c r="AH145" s="416"/>
      <c r="AI145" s="416"/>
      <c r="AJ145" s="416"/>
      <c r="AK145" s="416"/>
      <c r="AL145" s="416"/>
      <c r="AM145" s="416"/>
      <c r="AN145" s="416"/>
      <c r="AO145" s="416"/>
      <c r="AP145" s="416"/>
      <c r="AQ145" s="417"/>
    </row>
    <row r="146" spans="2:43" ht="16" thickBot="1" x14ac:dyDescent="0.4">
      <c r="B146" s="418"/>
      <c r="C146" s="419" t="s">
        <v>173</v>
      </c>
      <c r="D146" s="328"/>
      <c r="E146" s="328"/>
      <c r="F146" s="328"/>
      <c r="G146" s="328"/>
      <c r="H146" s="328"/>
      <c r="I146" s="328"/>
      <c r="J146" s="328"/>
      <c r="K146" s="328"/>
      <c r="L146" s="328"/>
      <c r="M146" s="328"/>
      <c r="N146" s="328"/>
      <c r="O146" s="328"/>
      <c r="P146" s="328"/>
      <c r="Q146" s="328"/>
      <c r="R146" s="328"/>
      <c r="S146" s="328"/>
      <c r="T146" s="328"/>
      <c r="U146" s="328"/>
      <c r="V146" s="328"/>
      <c r="W146" s="328"/>
      <c r="X146" s="328"/>
      <c r="Y146" s="328"/>
      <c r="Z146" s="328"/>
      <c r="AA146" s="328"/>
      <c r="AB146" s="328"/>
      <c r="AC146" s="328"/>
      <c r="AD146" s="328"/>
      <c r="AE146" s="328"/>
      <c r="AF146" s="328"/>
      <c r="AG146" s="328"/>
      <c r="AH146" s="328"/>
      <c r="AI146" s="328"/>
      <c r="AJ146" s="328"/>
      <c r="AK146" s="328"/>
      <c r="AL146" s="328"/>
      <c r="AM146" s="328"/>
      <c r="AN146" s="328"/>
      <c r="AO146" s="328"/>
      <c r="AP146" s="328"/>
      <c r="AQ146" s="420"/>
    </row>
    <row r="147" spans="2:43" ht="15" thickBot="1" x14ac:dyDescent="0.4">
      <c r="B147" s="418"/>
      <c r="C147" s="435" t="s">
        <v>68</v>
      </c>
      <c r="D147" s="436"/>
      <c r="E147" s="436"/>
      <c r="F147" s="436"/>
      <c r="G147" s="1392"/>
      <c r="H147" s="430">
        <v>1</v>
      </c>
      <c r="I147" s="430">
        <f>H147+1</f>
        <v>2</v>
      </c>
      <c r="J147" s="430">
        <f t="shared" ref="J147:AK147" si="1">I147+1</f>
        <v>3</v>
      </c>
      <c r="K147" s="430">
        <f t="shared" si="1"/>
        <v>4</v>
      </c>
      <c r="L147" s="430">
        <f t="shared" si="1"/>
        <v>5</v>
      </c>
      <c r="M147" s="430">
        <f t="shared" si="1"/>
        <v>6</v>
      </c>
      <c r="N147" s="430">
        <f t="shared" si="1"/>
        <v>7</v>
      </c>
      <c r="O147" s="430">
        <f t="shared" si="1"/>
        <v>8</v>
      </c>
      <c r="P147" s="430">
        <f t="shared" si="1"/>
        <v>9</v>
      </c>
      <c r="Q147" s="430">
        <f t="shared" si="1"/>
        <v>10</v>
      </c>
      <c r="R147" s="430">
        <f t="shared" si="1"/>
        <v>11</v>
      </c>
      <c r="S147" s="430">
        <f t="shared" si="1"/>
        <v>12</v>
      </c>
      <c r="T147" s="430">
        <f t="shared" si="1"/>
        <v>13</v>
      </c>
      <c r="U147" s="430">
        <f t="shared" si="1"/>
        <v>14</v>
      </c>
      <c r="V147" s="430">
        <f t="shared" si="1"/>
        <v>15</v>
      </c>
      <c r="W147" s="430">
        <f t="shared" si="1"/>
        <v>16</v>
      </c>
      <c r="X147" s="430">
        <f t="shared" si="1"/>
        <v>17</v>
      </c>
      <c r="Y147" s="430">
        <f t="shared" si="1"/>
        <v>18</v>
      </c>
      <c r="Z147" s="430">
        <f t="shared" si="1"/>
        <v>19</v>
      </c>
      <c r="AA147" s="430">
        <f t="shared" si="1"/>
        <v>20</v>
      </c>
      <c r="AB147" s="430">
        <f t="shared" si="1"/>
        <v>21</v>
      </c>
      <c r="AC147" s="430">
        <f t="shared" si="1"/>
        <v>22</v>
      </c>
      <c r="AD147" s="430">
        <f t="shared" si="1"/>
        <v>23</v>
      </c>
      <c r="AE147" s="430">
        <f t="shared" si="1"/>
        <v>24</v>
      </c>
      <c r="AF147" s="430">
        <f t="shared" si="1"/>
        <v>25</v>
      </c>
      <c r="AG147" s="430">
        <f t="shared" si="1"/>
        <v>26</v>
      </c>
      <c r="AH147" s="430">
        <f t="shared" si="1"/>
        <v>27</v>
      </c>
      <c r="AI147" s="430">
        <f t="shared" si="1"/>
        <v>28</v>
      </c>
      <c r="AJ147" s="430">
        <f t="shared" si="1"/>
        <v>29</v>
      </c>
      <c r="AK147" s="430">
        <f t="shared" si="1"/>
        <v>30</v>
      </c>
      <c r="AL147" s="430">
        <f t="shared" ref="AL147" si="2">AK147+1</f>
        <v>31</v>
      </c>
      <c r="AM147" s="430">
        <f t="shared" ref="AM147" si="3">AL147+1</f>
        <v>32</v>
      </c>
      <c r="AN147" s="430">
        <f t="shared" ref="AN147" si="4">AM147+1</f>
        <v>33</v>
      </c>
      <c r="AO147" s="430">
        <f t="shared" ref="AO147:AP147" si="5">AN147+1</f>
        <v>34</v>
      </c>
      <c r="AP147" s="430">
        <f t="shared" si="5"/>
        <v>35</v>
      </c>
      <c r="AQ147" s="420"/>
    </row>
    <row r="148" spans="2:43" ht="15" thickBot="1" x14ac:dyDescent="0.4">
      <c r="B148" s="426"/>
      <c r="C148" s="1884" t="s">
        <v>174</v>
      </c>
      <c r="D148" s="1885"/>
      <c r="E148" s="1885"/>
      <c r="F148" s="1885"/>
      <c r="G148" s="1885"/>
      <c r="H148" s="1885"/>
      <c r="I148" s="1885"/>
      <c r="J148" s="1885"/>
      <c r="K148" s="1885"/>
      <c r="L148" s="1885"/>
      <c r="M148" s="1885"/>
      <c r="N148" s="1885"/>
      <c r="O148" s="1885"/>
      <c r="P148" s="1885"/>
      <c r="Q148" s="1885"/>
      <c r="R148" s="1885"/>
      <c r="S148" s="1885"/>
      <c r="T148" s="1885"/>
      <c r="U148" s="1885"/>
      <c r="V148" s="1885"/>
      <c r="W148" s="1885"/>
      <c r="X148" s="1885"/>
      <c r="Y148" s="1885"/>
      <c r="Z148" s="1885"/>
      <c r="AA148" s="1885"/>
      <c r="AB148" s="1885"/>
      <c r="AC148" s="1885"/>
      <c r="AD148" s="1885"/>
      <c r="AE148" s="1885"/>
      <c r="AF148" s="1885"/>
      <c r="AG148" s="1885"/>
      <c r="AH148" s="1885"/>
      <c r="AI148" s="413"/>
      <c r="AJ148" s="413"/>
      <c r="AK148" s="413"/>
      <c r="AL148" s="413"/>
      <c r="AM148" s="413"/>
      <c r="AN148" s="413"/>
      <c r="AO148" s="413"/>
      <c r="AP148" s="413"/>
      <c r="AQ148" s="420"/>
    </row>
    <row r="149" spans="2:43" ht="15" thickBot="1" x14ac:dyDescent="0.4">
      <c r="B149" s="418"/>
      <c r="C149" s="440" t="s">
        <v>1</v>
      </c>
      <c r="D149" s="441"/>
      <c r="E149" s="441"/>
      <c r="F149" s="1393"/>
      <c r="G149" s="410"/>
      <c r="H149" s="627">
        <v>2642</v>
      </c>
      <c r="I149" s="627">
        <v>2627</v>
      </c>
      <c r="J149" s="627">
        <v>2612</v>
      </c>
      <c r="K149" s="627">
        <v>2597</v>
      </c>
      <c r="L149" s="627">
        <v>2582</v>
      </c>
      <c r="M149" s="627">
        <v>2567</v>
      </c>
      <c r="N149" s="627">
        <v>2548</v>
      </c>
      <c r="O149" s="627">
        <v>2529</v>
      </c>
      <c r="P149" s="627">
        <v>2510</v>
      </c>
      <c r="Q149" s="627">
        <v>2491</v>
      </c>
      <c r="R149" s="627">
        <v>2474</v>
      </c>
      <c r="S149" s="627">
        <v>2452</v>
      </c>
      <c r="T149" s="627">
        <v>2430</v>
      </c>
      <c r="U149" s="627">
        <v>2408</v>
      </c>
      <c r="V149" s="627">
        <v>2386</v>
      </c>
      <c r="W149" s="627">
        <v>2365</v>
      </c>
      <c r="X149" s="627">
        <v>2342</v>
      </c>
      <c r="Y149" s="627">
        <v>2319</v>
      </c>
      <c r="Z149" s="627">
        <v>2296</v>
      </c>
      <c r="AA149" s="627">
        <v>2273</v>
      </c>
      <c r="AB149" s="627">
        <v>2248</v>
      </c>
      <c r="AC149" s="627">
        <v>2225</v>
      </c>
      <c r="AD149" s="627">
        <v>2202</v>
      </c>
      <c r="AE149" s="627">
        <v>2179</v>
      </c>
      <c r="AF149" s="627">
        <v>2156</v>
      </c>
      <c r="AG149" s="627">
        <v>2133</v>
      </c>
      <c r="AH149" s="627">
        <v>2110</v>
      </c>
      <c r="AI149" s="627">
        <v>2087</v>
      </c>
      <c r="AJ149" s="627">
        <v>2064</v>
      </c>
      <c r="AK149" s="627">
        <v>2041</v>
      </c>
      <c r="AL149" s="627">
        <v>2505.0000000000005</v>
      </c>
      <c r="AM149" s="627">
        <v>2505.0000000000005</v>
      </c>
      <c r="AN149" s="627">
        <v>2505.0000000000005</v>
      </c>
      <c r="AO149" s="627">
        <v>2505.0000000000005</v>
      </c>
      <c r="AP149" s="627">
        <v>2505.0000000000005</v>
      </c>
      <c r="AQ149" s="420"/>
    </row>
    <row r="150" spans="2:43" ht="15" thickBot="1" x14ac:dyDescent="0.4">
      <c r="B150" s="418"/>
      <c r="C150" s="440" t="s">
        <v>2</v>
      </c>
      <c r="D150" s="441"/>
      <c r="E150" s="441"/>
      <c r="F150" s="1393"/>
      <c r="G150" s="410"/>
      <c r="H150" s="627">
        <v>30204</v>
      </c>
      <c r="I150" s="627">
        <v>30221</v>
      </c>
      <c r="J150" s="627">
        <v>30238</v>
      </c>
      <c r="K150" s="627">
        <v>30255</v>
      </c>
      <c r="L150" s="627">
        <v>30272</v>
      </c>
      <c r="M150" s="627">
        <v>30291</v>
      </c>
      <c r="N150" s="627">
        <v>30246</v>
      </c>
      <c r="O150" s="627">
        <v>30201</v>
      </c>
      <c r="P150" s="627">
        <v>30156</v>
      </c>
      <c r="Q150" s="627">
        <v>30111</v>
      </c>
      <c r="R150" s="627">
        <v>30066</v>
      </c>
      <c r="S150" s="627">
        <v>29979</v>
      </c>
      <c r="T150" s="627">
        <v>29892</v>
      </c>
      <c r="U150" s="627">
        <v>29805</v>
      </c>
      <c r="V150" s="627">
        <v>29718</v>
      </c>
      <c r="W150" s="627">
        <v>29629</v>
      </c>
      <c r="X150" s="627">
        <v>29504</v>
      </c>
      <c r="Y150" s="627">
        <v>29379</v>
      </c>
      <c r="Z150" s="627">
        <v>29254</v>
      </c>
      <c r="AA150" s="627">
        <v>29129</v>
      </c>
      <c r="AB150" s="627">
        <v>29005</v>
      </c>
      <c r="AC150" s="627">
        <v>28880</v>
      </c>
      <c r="AD150" s="627">
        <v>28755</v>
      </c>
      <c r="AE150" s="627">
        <v>28630</v>
      </c>
      <c r="AF150" s="627">
        <v>28505</v>
      </c>
      <c r="AG150" s="627">
        <v>28380</v>
      </c>
      <c r="AH150" s="627">
        <v>28255</v>
      </c>
      <c r="AI150" s="627">
        <v>28130</v>
      </c>
      <c r="AJ150" s="627">
        <v>28005</v>
      </c>
      <c r="AK150" s="627">
        <v>27880</v>
      </c>
      <c r="AL150" s="627">
        <v>26558.000000000007</v>
      </c>
      <c r="AM150" s="627">
        <v>26558.000000000007</v>
      </c>
      <c r="AN150" s="627">
        <v>26558.000000000007</v>
      </c>
      <c r="AO150" s="627">
        <v>26558.000000000007</v>
      </c>
      <c r="AP150" s="627">
        <v>26558.000000000007</v>
      </c>
      <c r="AQ150" s="420"/>
    </row>
    <row r="151" spans="2:43" ht="15" thickBot="1" x14ac:dyDescent="0.4">
      <c r="B151" s="418"/>
      <c r="C151" s="440" t="s">
        <v>3</v>
      </c>
      <c r="D151" s="441"/>
      <c r="E151" s="441"/>
      <c r="F151" s="1393"/>
      <c r="G151" s="410"/>
      <c r="H151" s="627">
        <v>3646</v>
      </c>
      <c r="I151" s="627">
        <v>3650</v>
      </c>
      <c r="J151" s="627">
        <v>3654</v>
      </c>
      <c r="K151" s="627">
        <v>3658</v>
      </c>
      <c r="L151" s="627">
        <v>3662</v>
      </c>
      <c r="M151" s="627">
        <v>3668</v>
      </c>
      <c r="N151" s="627">
        <v>3667</v>
      </c>
      <c r="O151" s="627">
        <v>3666</v>
      </c>
      <c r="P151" s="627">
        <v>3665</v>
      </c>
      <c r="Q151" s="627">
        <v>3664</v>
      </c>
      <c r="R151" s="627">
        <v>3661</v>
      </c>
      <c r="S151" s="627">
        <v>3653</v>
      </c>
      <c r="T151" s="627">
        <v>3645</v>
      </c>
      <c r="U151" s="627">
        <v>3637</v>
      </c>
      <c r="V151" s="627">
        <v>3629</v>
      </c>
      <c r="W151" s="627">
        <v>3622</v>
      </c>
      <c r="X151" s="627">
        <v>3610</v>
      </c>
      <c r="Y151" s="627">
        <v>3598</v>
      </c>
      <c r="Z151" s="627">
        <v>3586</v>
      </c>
      <c r="AA151" s="627">
        <v>3574</v>
      </c>
      <c r="AB151" s="627">
        <v>3562</v>
      </c>
      <c r="AC151" s="627">
        <v>3550</v>
      </c>
      <c r="AD151" s="627">
        <v>3538</v>
      </c>
      <c r="AE151" s="627">
        <v>3526</v>
      </c>
      <c r="AF151" s="627">
        <v>3514</v>
      </c>
      <c r="AG151" s="627">
        <v>3502</v>
      </c>
      <c r="AH151" s="627">
        <v>3490</v>
      </c>
      <c r="AI151" s="627">
        <v>3478</v>
      </c>
      <c r="AJ151" s="627">
        <v>3466</v>
      </c>
      <c r="AK151" s="627">
        <v>3454</v>
      </c>
      <c r="AL151" s="627">
        <v>4038</v>
      </c>
      <c r="AM151" s="627">
        <v>4038</v>
      </c>
      <c r="AN151" s="627">
        <v>4038</v>
      </c>
      <c r="AO151" s="627">
        <v>4038</v>
      </c>
      <c r="AP151" s="627">
        <v>4038</v>
      </c>
      <c r="AQ151" s="420"/>
    </row>
    <row r="152" spans="2:43" ht="15" thickBot="1" x14ac:dyDescent="0.4">
      <c r="B152" s="418"/>
      <c r="C152" s="440" t="s">
        <v>4</v>
      </c>
      <c r="D152" s="441"/>
      <c r="E152" s="441"/>
      <c r="F152" s="1393"/>
      <c r="G152" s="410"/>
      <c r="H152" s="627">
        <v>9071</v>
      </c>
      <c r="I152" s="627">
        <v>9155</v>
      </c>
      <c r="J152" s="627">
        <v>9239</v>
      </c>
      <c r="K152" s="627">
        <v>9323</v>
      </c>
      <c r="L152" s="627">
        <v>9407</v>
      </c>
      <c r="M152" s="627">
        <v>9490</v>
      </c>
      <c r="N152" s="627">
        <v>9563</v>
      </c>
      <c r="O152" s="627">
        <v>9636</v>
      </c>
      <c r="P152" s="627">
        <v>9709</v>
      </c>
      <c r="Q152" s="627">
        <v>9782</v>
      </c>
      <c r="R152" s="627">
        <v>9854</v>
      </c>
      <c r="S152" s="627">
        <v>9912</v>
      </c>
      <c r="T152" s="627">
        <v>9970</v>
      </c>
      <c r="U152" s="627">
        <v>10028</v>
      </c>
      <c r="V152" s="627">
        <v>10086</v>
      </c>
      <c r="W152" s="627">
        <v>10146</v>
      </c>
      <c r="X152" s="627">
        <v>10188</v>
      </c>
      <c r="Y152" s="627">
        <v>10230</v>
      </c>
      <c r="Z152" s="627">
        <v>10272</v>
      </c>
      <c r="AA152" s="627">
        <v>10314</v>
      </c>
      <c r="AB152" s="627">
        <v>10354</v>
      </c>
      <c r="AC152" s="627">
        <v>10396</v>
      </c>
      <c r="AD152" s="627">
        <v>10438</v>
      </c>
      <c r="AE152" s="627">
        <v>10480</v>
      </c>
      <c r="AF152" s="627">
        <v>10522</v>
      </c>
      <c r="AG152" s="627">
        <v>10564</v>
      </c>
      <c r="AH152" s="627">
        <v>10606</v>
      </c>
      <c r="AI152" s="627">
        <v>10648</v>
      </c>
      <c r="AJ152" s="627">
        <v>10690</v>
      </c>
      <c r="AK152" s="627">
        <v>10732</v>
      </c>
      <c r="AL152" s="627">
        <v>8592.9999999999982</v>
      </c>
      <c r="AM152" s="627">
        <v>8592.9999999999982</v>
      </c>
      <c r="AN152" s="627">
        <v>8592.9999999999982</v>
      </c>
      <c r="AO152" s="627">
        <v>8592.9999999999982</v>
      </c>
      <c r="AP152" s="627">
        <v>8592.9999999999982</v>
      </c>
      <c r="AQ152" s="420"/>
    </row>
    <row r="153" spans="2:43" ht="15" thickBot="1" x14ac:dyDescent="0.4">
      <c r="B153" s="418"/>
      <c r="C153" s="440" t="s">
        <v>5</v>
      </c>
      <c r="D153" s="441"/>
      <c r="E153" s="441"/>
      <c r="F153" s="1393"/>
      <c r="G153" s="410"/>
      <c r="H153" s="627">
        <v>19814</v>
      </c>
      <c r="I153" s="627">
        <v>19899</v>
      </c>
      <c r="J153" s="627">
        <v>19984</v>
      </c>
      <c r="K153" s="627">
        <v>20069</v>
      </c>
      <c r="L153" s="627">
        <v>20154</v>
      </c>
      <c r="M153" s="627">
        <v>20238</v>
      </c>
      <c r="N153" s="627">
        <v>20287</v>
      </c>
      <c r="O153" s="627">
        <v>20336</v>
      </c>
      <c r="P153" s="627">
        <v>20385</v>
      </c>
      <c r="Q153" s="627">
        <v>20434</v>
      </c>
      <c r="R153" s="627">
        <v>20485</v>
      </c>
      <c r="S153" s="627">
        <v>20504</v>
      </c>
      <c r="T153" s="627">
        <v>20523</v>
      </c>
      <c r="U153" s="627">
        <v>20542</v>
      </c>
      <c r="V153" s="627">
        <v>20561</v>
      </c>
      <c r="W153" s="627">
        <v>20582</v>
      </c>
      <c r="X153" s="627">
        <v>20570</v>
      </c>
      <c r="Y153" s="627">
        <v>20558</v>
      </c>
      <c r="Z153" s="627">
        <v>20546</v>
      </c>
      <c r="AA153" s="627">
        <v>20534</v>
      </c>
      <c r="AB153" s="627">
        <v>20522</v>
      </c>
      <c r="AC153" s="627">
        <v>20510</v>
      </c>
      <c r="AD153" s="627">
        <v>20498</v>
      </c>
      <c r="AE153" s="627">
        <v>20486</v>
      </c>
      <c r="AF153" s="627">
        <v>20474</v>
      </c>
      <c r="AG153" s="627">
        <v>20462</v>
      </c>
      <c r="AH153" s="627">
        <v>20450</v>
      </c>
      <c r="AI153" s="627">
        <v>20438</v>
      </c>
      <c r="AJ153" s="627">
        <v>20426</v>
      </c>
      <c r="AK153" s="627">
        <v>20414</v>
      </c>
      <c r="AL153" s="627">
        <v>17653.999999999993</v>
      </c>
      <c r="AM153" s="627">
        <v>17653.999999999993</v>
      </c>
      <c r="AN153" s="627">
        <v>17653.999999999993</v>
      </c>
      <c r="AO153" s="627">
        <v>17653.999999999993</v>
      </c>
      <c r="AP153" s="627">
        <v>17653.999999999993</v>
      </c>
      <c r="AQ153" s="420"/>
    </row>
    <row r="154" spans="2:43" ht="15" thickBot="1" x14ac:dyDescent="0.4">
      <c r="B154" s="418"/>
      <c r="C154" s="440" t="s">
        <v>6</v>
      </c>
      <c r="D154" s="441"/>
      <c r="E154" s="441"/>
      <c r="F154" s="1393"/>
      <c r="G154" s="410"/>
      <c r="H154" s="627">
        <v>172460</v>
      </c>
      <c r="I154" s="627">
        <v>173387</v>
      </c>
      <c r="J154" s="627">
        <v>174314</v>
      </c>
      <c r="K154" s="627">
        <v>175241</v>
      </c>
      <c r="L154" s="627">
        <v>176168</v>
      </c>
      <c r="M154" s="627">
        <v>177094</v>
      </c>
      <c r="N154" s="627">
        <v>178023</v>
      </c>
      <c r="O154" s="627">
        <v>178952</v>
      </c>
      <c r="P154" s="627">
        <v>179881</v>
      </c>
      <c r="Q154" s="627">
        <v>180810</v>
      </c>
      <c r="R154" s="627">
        <v>181737</v>
      </c>
      <c r="S154" s="627">
        <v>182362</v>
      </c>
      <c r="T154" s="627">
        <v>182987</v>
      </c>
      <c r="U154" s="627">
        <v>183612</v>
      </c>
      <c r="V154" s="627">
        <v>184237</v>
      </c>
      <c r="W154" s="627">
        <v>184861</v>
      </c>
      <c r="X154" s="627">
        <v>185238</v>
      </c>
      <c r="Y154" s="627">
        <v>185615</v>
      </c>
      <c r="Z154" s="627">
        <v>185992</v>
      </c>
      <c r="AA154" s="627">
        <v>186369</v>
      </c>
      <c r="AB154" s="627">
        <v>186745</v>
      </c>
      <c r="AC154" s="627">
        <v>187122</v>
      </c>
      <c r="AD154" s="627">
        <v>187499</v>
      </c>
      <c r="AE154" s="627">
        <v>187876</v>
      </c>
      <c r="AF154" s="627">
        <v>188253</v>
      </c>
      <c r="AG154" s="627">
        <v>188630</v>
      </c>
      <c r="AH154" s="627">
        <v>189007</v>
      </c>
      <c r="AI154" s="627">
        <v>189384</v>
      </c>
      <c r="AJ154" s="627">
        <v>189761</v>
      </c>
      <c r="AK154" s="627">
        <v>190138</v>
      </c>
      <c r="AL154" s="627">
        <v>165495.00000000006</v>
      </c>
      <c r="AM154" s="627">
        <v>165495.00000000006</v>
      </c>
      <c r="AN154" s="627">
        <v>165495.00000000006</v>
      </c>
      <c r="AO154" s="627">
        <v>165495.00000000006</v>
      </c>
      <c r="AP154" s="627">
        <v>165495.00000000006</v>
      </c>
      <c r="AQ154" s="420"/>
    </row>
    <row r="155" spans="2:43" ht="15" thickBot="1" x14ac:dyDescent="0.4">
      <c r="B155" s="418"/>
      <c r="C155" s="440" t="s">
        <v>7</v>
      </c>
      <c r="D155" s="441"/>
      <c r="E155" s="441"/>
      <c r="F155" s="1393"/>
      <c r="G155" s="410"/>
      <c r="H155" s="627">
        <v>19112</v>
      </c>
      <c r="I155" s="627">
        <v>19061</v>
      </c>
      <c r="J155" s="627">
        <v>19010</v>
      </c>
      <c r="K155" s="627">
        <v>18959</v>
      </c>
      <c r="L155" s="627">
        <v>18908</v>
      </c>
      <c r="M155" s="627">
        <v>18855</v>
      </c>
      <c r="N155" s="627">
        <v>18766</v>
      </c>
      <c r="O155" s="627">
        <v>18677</v>
      </c>
      <c r="P155" s="627">
        <v>18588</v>
      </c>
      <c r="Q155" s="627">
        <v>18499</v>
      </c>
      <c r="R155" s="627">
        <v>18409</v>
      </c>
      <c r="S155" s="627">
        <v>18287</v>
      </c>
      <c r="T155" s="627">
        <v>18165</v>
      </c>
      <c r="U155" s="627">
        <v>18043</v>
      </c>
      <c r="V155" s="627">
        <v>17921</v>
      </c>
      <c r="W155" s="627">
        <v>17797</v>
      </c>
      <c r="X155" s="627">
        <v>17665</v>
      </c>
      <c r="Y155" s="627">
        <v>17533</v>
      </c>
      <c r="Z155" s="627">
        <v>17401</v>
      </c>
      <c r="AA155" s="627">
        <v>17269</v>
      </c>
      <c r="AB155" s="627">
        <v>17139</v>
      </c>
      <c r="AC155" s="627">
        <v>17007</v>
      </c>
      <c r="AD155" s="627">
        <v>16875</v>
      </c>
      <c r="AE155" s="627">
        <v>16743</v>
      </c>
      <c r="AF155" s="627">
        <v>16611</v>
      </c>
      <c r="AG155" s="627">
        <v>16479</v>
      </c>
      <c r="AH155" s="627">
        <v>16347</v>
      </c>
      <c r="AI155" s="627">
        <v>16215</v>
      </c>
      <c r="AJ155" s="627">
        <v>16083</v>
      </c>
      <c r="AK155" s="627">
        <v>15951</v>
      </c>
      <c r="AL155" s="627">
        <v>20090.999999999978</v>
      </c>
      <c r="AM155" s="627">
        <v>20090.999999999978</v>
      </c>
      <c r="AN155" s="627">
        <v>20090.999999999978</v>
      </c>
      <c r="AO155" s="627">
        <v>20090.999999999978</v>
      </c>
      <c r="AP155" s="627">
        <v>20090.999999999978</v>
      </c>
      <c r="AQ155" s="420"/>
    </row>
    <row r="156" spans="2:43" ht="15" thickBot="1" x14ac:dyDescent="0.4">
      <c r="B156" s="418"/>
      <c r="C156" s="440" t="s">
        <v>8</v>
      </c>
      <c r="D156" s="441"/>
      <c r="E156" s="441"/>
      <c r="F156" s="1393"/>
      <c r="G156" s="410"/>
      <c r="H156" s="627">
        <v>15453</v>
      </c>
      <c r="I156" s="627">
        <v>15587</v>
      </c>
      <c r="J156" s="627">
        <v>15721</v>
      </c>
      <c r="K156" s="627">
        <v>15855</v>
      </c>
      <c r="L156" s="627">
        <v>15989</v>
      </c>
      <c r="M156" s="627">
        <v>16121</v>
      </c>
      <c r="N156" s="627">
        <v>16227</v>
      </c>
      <c r="O156" s="627">
        <v>16333</v>
      </c>
      <c r="P156" s="627">
        <v>16439</v>
      </c>
      <c r="Q156" s="627">
        <v>16545</v>
      </c>
      <c r="R156" s="627">
        <v>16652</v>
      </c>
      <c r="S156" s="627">
        <v>16737</v>
      </c>
      <c r="T156" s="627">
        <v>16822</v>
      </c>
      <c r="U156" s="627">
        <v>16907</v>
      </c>
      <c r="V156" s="627">
        <v>16992</v>
      </c>
      <c r="W156" s="627">
        <v>17078</v>
      </c>
      <c r="X156" s="627">
        <v>17133</v>
      </c>
      <c r="Y156" s="627">
        <v>17188</v>
      </c>
      <c r="Z156" s="627">
        <v>17243</v>
      </c>
      <c r="AA156" s="627">
        <v>17298</v>
      </c>
      <c r="AB156" s="627">
        <v>17354</v>
      </c>
      <c r="AC156" s="627">
        <v>17409</v>
      </c>
      <c r="AD156" s="627">
        <v>17464</v>
      </c>
      <c r="AE156" s="627">
        <v>17519</v>
      </c>
      <c r="AF156" s="627">
        <v>17574</v>
      </c>
      <c r="AG156" s="627">
        <v>17629</v>
      </c>
      <c r="AH156" s="627">
        <v>17684</v>
      </c>
      <c r="AI156" s="627">
        <v>17739</v>
      </c>
      <c r="AJ156" s="627">
        <v>17794</v>
      </c>
      <c r="AK156" s="627">
        <v>17849</v>
      </c>
      <c r="AL156" s="627">
        <v>11296.999999999998</v>
      </c>
      <c r="AM156" s="627">
        <v>11296.999999999998</v>
      </c>
      <c r="AN156" s="627">
        <v>11296.999999999998</v>
      </c>
      <c r="AO156" s="627">
        <v>11296.999999999998</v>
      </c>
      <c r="AP156" s="627">
        <v>11296.999999999998</v>
      </c>
      <c r="AQ156" s="420"/>
    </row>
    <row r="157" spans="2:43" ht="15" thickBot="1" x14ac:dyDescent="0.4">
      <c r="B157" s="418"/>
      <c r="C157" s="440" t="s">
        <v>9</v>
      </c>
      <c r="D157" s="441"/>
      <c r="E157" s="441"/>
      <c r="F157" s="1393"/>
      <c r="G157" s="410"/>
      <c r="H157" s="627">
        <v>12601</v>
      </c>
      <c r="I157" s="627">
        <v>12712</v>
      </c>
      <c r="J157" s="627">
        <v>12823</v>
      </c>
      <c r="K157" s="627">
        <v>12934</v>
      </c>
      <c r="L157" s="627">
        <v>13045</v>
      </c>
      <c r="M157" s="627">
        <v>13158</v>
      </c>
      <c r="N157" s="627">
        <v>13252</v>
      </c>
      <c r="O157" s="627">
        <v>13346</v>
      </c>
      <c r="P157" s="627">
        <v>13440</v>
      </c>
      <c r="Q157" s="627">
        <v>13534</v>
      </c>
      <c r="R157" s="627">
        <v>13627</v>
      </c>
      <c r="S157" s="627">
        <v>13693</v>
      </c>
      <c r="T157" s="627">
        <v>13759</v>
      </c>
      <c r="U157" s="627">
        <v>13825</v>
      </c>
      <c r="V157" s="627">
        <v>13891</v>
      </c>
      <c r="W157" s="627">
        <v>13959</v>
      </c>
      <c r="X157" s="627">
        <v>14007</v>
      </c>
      <c r="Y157" s="627">
        <v>14055</v>
      </c>
      <c r="Z157" s="627">
        <v>14103</v>
      </c>
      <c r="AA157" s="627">
        <v>14151</v>
      </c>
      <c r="AB157" s="627">
        <v>14201</v>
      </c>
      <c r="AC157" s="627">
        <v>14249</v>
      </c>
      <c r="AD157" s="627">
        <v>14297</v>
      </c>
      <c r="AE157" s="627">
        <v>14345</v>
      </c>
      <c r="AF157" s="627">
        <v>14393</v>
      </c>
      <c r="AG157" s="627">
        <v>14441</v>
      </c>
      <c r="AH157" s="627">
        <v>14489</v>
      </c>
      <c r="AI157" s="627">
        <v>14537</v>
      </c>
      <c r="AJ157" s="627">
        <v>14585</v>
      </c>
      <c r="AK157" s="627">
        <v>14633</v>
      </c>
      <c r="AL157" s="627">
        <v>12080.999999999998</v>
      </c>
      <c r="AM157" s="627">
        <v>12080.999999999998</v>
      </c>
      <c r="AN157" s="627">
        <v>12080.999999999998</v>
      </c>
      <c r="AO157" s="627">
        <v>12080.999999999998</v>
      </c>
      <c r="AP157" s="627">
        <v>12080.999999999998</v>
      </c>
      <c r="AQ157" s="420"/>
    </row>
    <row r="158" spans="2:43" x14ac:dyDescent="0.35">
      <c r="B158" s="418"/>
      <c r="C158" s="328"/>
      <c r="D158" s="328"/>
      <c r="E158" s="328"/>
      <c r="F158" s="328"/>
      <c r="G158" s="438"/>
      <c r="H158" s="438">
        <f t="shared" ref="H158:AP158" si="6">SUM(H149:H157)</f>
        <v>285003</v>
      </c>
      <c r="I158" s="438">
        <f t="shared" si="6"/>
        <v>286299</v>
      </c>
      <c r="J158" s="438">
        <f t="shared" si="6"/>
        <v>287595</v>
      </c>
      <c r="K158" s="438">
        <f t="shared" si="6"/>
        <v>288891</v>
      </c>
      <c r="L158" s="438">
        <f t="shared" si="6"/>
        <v>290187</v>
      </c>
      <c r="M158" s="438">
        <f t="shared" si="6"/>
        <v>291482</v>
      </c>
      <c r="N158" s="438">
        <f t="shared" si="6"/>
        <v>292579</v>
      </c>
      <c r="O158" s="438">
        <f t="shared" si="6"/>
        <v>293676</v>
      </c>
      <c r="P158" s="438">
        <f t="shared" si="6"/>
        <v>294773</v>
      </c>
      <c r="Q158" s="438">
        <f t="shared" si="6"/>
        <v>295870</v>
      </c>
      <c r="R158" s="438">
        <f t="shared" si="6"/>
        <v>296965</v>
      </c>
      <c r="S158" s="438">
        <f t="shared" si="6"/>
        <v>297579</v>
      </c>
      <c r="T158" s="438">
        <f t="shared" si="6"/>
        <v>298193</v>
      </c>
      <c r="U158" s="438">
        <f t="shared" si="6"/>
        <v>298807</v>
      </c>
      <c r="V158" s="438">
        <f t="shared" si="6"/>
        <v>299421</v>
      </c>
      <c r="W158" s="438">
        <f t="shared" si="6"/>
        <v>300039</v>
      </c>
      <c r="X158" s="438">
        <f t="shared" si="6"/>
        <v>300257</v>
      </c>
      <c r="Y158" s="438">
        <f t="shared" si="6"/>
        <v>300475</v>
      </c>
      <c r="Z158" s="438">
        <f t="shared" si="6"/>
        <v>300693</v>
      </c>
      <c r="AA158" s="438">
        <f t="shared" si="6"/>
        <v>300911</v>
      </c>
      <c r="AB158" s="438">
        <f t="shared" si="6"/>
        <v>301130</v>
      </c>
      <c r="AC158" s="438">
        <f t="shared" si="6"/>
        <v>301348</v>
      </c>
      <c r="AD158" s="438">
        <f t="shared" si="6"/>
        <v>301566</v>
      </c>
      <c r="AE158" s="438">
        <f t="shared" si="6"/>
        <v>301784</v>
      </c>
      <c r="AF158" s="438">
        <f t="shared" si="6"/>
        <v>302002</v>
      </c>
      <c r="AG158" s="438">
        <f t="shared" si="6"/>
        <v>302220</v>
      </c>
      <c r="AH158" s="438">
        <f t="shared" si="6"/>
        <v>302438</v>
      </c>
      <c r="AI158" s="438">
        <f t="shared" si="6"/>
        <v>302656</v>
      </c>
      <c r="AJ158" s="438">
        <f t="shared" si="6"/>
        <v>302874</v>
      </c>
      <c r="AK158" s="438">
        <f t="shared" si="6"/>
        <v>303092</v>
      </c>
      <c r="AL158" s="438">
        <f t="shared" si="6"/>
        <v>268312</v>
      </c>
      <c r="AM158" s="438">
        <f t="shared" si="6"/>
        <v>268312</v>
      </c>
      <c r="AN158" s="438">
        <f t="shared" si="6"/>
        <v>268312</v>
      </c>
      <c r="AO158" s="438">
        <f t="shared" si="6"/>
        <v>268312</v>
      </c>
      <c r="AP158" s="438">
        <f t="shared" si="6"/>
        <v>268312</v>
      </c>
      <c r="AQ158" s="420"/>
    </row>
    <row r="159" spans="2:43" x14ac:dyDescent="0.35">
      <c r="B159" s="418"/>
      <c r="C159" s="328" t="s">
        <v>72</v>
      </c>
      <c r="D159" s="328"/>
      <c r="E159" s="328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  <c r="R159" s="328"/>
      <c r="S159" s="328"/>
      <c r="T159" s="328"/>
      <c r="U159" s="328"/>
      <c r="V159" s="328"/>
      <c r="W159" s="328"/>
      <c r="X159" s="328"/>
      <c r="Y159" s="328"/>
      <c r="Z159" s="328"/>
      <c r="AA159" s="328"/>
      <c r="AB159" s="328"/>
      <c r="AC159" s="328"/>
      <c r="AD159" s="328"/>
      <c r="AE159" s="328"/>
      <c r="AF159" s="328"/>
      <c r="AG159" s="328"/>
      <c r="AH159" s="328"/>
      <c r="AI159" s="328"/>
      <c r="AJ159" s="328"/>
      <c r="AK159" s="328"/>
      <c r="AL159" s="328"/>
      <c r="AM159" s="328"/>
      <c r="AN159" s="328"/>
      <c r="AO159" s="328"/>
      <c r="AP159" s="328"/>
      <c r="AQ159" s="420"/>
    </row>
    <row r="160" spans="2:43" ht="15" thickBot="1" x14ac:dyDescent="0.4">
      <c r="B160" s="422"/>
      <c r="C160" s="423"/>
      <c r="D160" s="423"/>
      <c r="E160" s="423"/>
      <c r="F160" s="423"/>
      <c r="G160" s="423"/>
      <c r="H160" s="423"/>
      <c r="I160" s="423"/>
      <c r="J160" s="423"/>
      <c r="K160" s="423"/>
      <c r="L160" s="423"/>
      <c r="M160" s="423"/>
      <c r="N160" s="423"/>
      <c r="O160" s="423"/>
      <c r="P160" s="423"/>
      <c r="Q160" s="423"/>
      <c r="R160" s="423"/>
      <c r="S160" s="423"/>
      <c r="T160" s="423"/>
      <c r="U160" s="423"/>
      <c r="V160" s="423"/>
      <c r="W160" s="423"/>
      <c r="X160" s="423"/>
      <c r="Y160" s="423"/>
      <c r="Z160" s="423"/>
      <c r="AA160" s="423"/>
      <c r="AB160" s="423"/>
      <c r="AC160" s="423"/>
      <c r="AD160" s="423"/>
      <c r="AE160" s="423"/>
      <c r="AF160" s="423"/>
      <c r="AG160" s="423"/>
      <c r="AH160" s="423"/>
      <c r="AI160" s="423"/>
      <c r="AJ160" s="423"/>
      <c r="AK160" s="423"/>
      <c r="AL160" s="423"/>
      <c r="AM160" s="423"/>
      <c r="AN160" s="423"/>
      <c r="AO160" s="423"/>
      <c r="AP160" s="423"/>
      <c r="AQ160" s="424"/>
    </row>
    <row r="161" spans="2:43" ht="15" thickTop="1" x14ac:dyDescent="0.35">
      <c r="B161" s="415"/>
      <c r="C161" s="425"/>
      <c r="D161" s="416"/>
      <c r="E161" s="416"/>
      <c r="F161" s="416"/>
      <c r="G161" s="416"/>
      <c r="H161" s="416"/>
      <c r="I161" s="416"/>
      <c r="J161" s="416"/>
      <c r="K161" s="416"/>
      <c r="L161" s="416"/>
      <c r="M161" s="416"/>
      <c r="N161" s="416"/>
      <c r="O161" s="416"/>
      <c r="P161" s="416"/>
      <c r="Q161" s="416"/>
      <c r="R161" s="416"/>
      <c r="S161" s="416"/>
      <c r="T161" s="416"/>
      <c r="U161" s="416"/>
      <c r="V161" s="416"/>
      <c r="W161" s="416"/>
      <c r="X161" s="416"/>
      <c r="Y161" s="416"/>
      <c r="Z161" s="416"/>
      <c r="AA161" s="416"/>
      <c r="AB161" s="416"/>
      <c r="AC161" s="416"/>
      <c r="AD161" s="416"/>
      <c r="AE161" s="416"/>
      <c r="AF161" s="416"/>
      <c r="AG161" s="416"/>
      <c r="AH161" s="416"/>
      <c r="AI161" s="416"/>
      <c r="AJ161" s="416"/>
      <c r="AK161" s="416"/>
      <c r="AL161" s="416"/>
      <c r="AM161" s="416"/>
      <c r="AN161" s="416"/>
      <c r="AO161" s="416"/>
      <c r="AP161" s="416"/>
      <c r="AQ161" s="417"/>
    </row>
    <row r="162" spans="2:43" ht="16" thickBot="1" x14ac:dyDescent="0.4">
      <c r="B162" s="418"/>
      <c r="C162" s="419" t="s">
        <v>175</v>
      </c>
      <c r="D162" s="328"/>
      <c r="E162" s="328"/>
      <c r="F162" s="328"/>
      <c r="G162" s="328"/>
      <c r="H162" s="328"/>
      <c r="I162" s="328"/>
      <c r="J162" s="328"/>
      <c r="K162" s="328"/>
      <c r="L162" s="328"/>
      <c r="M162" s="328"/>
      <c r="N162" s="328"/>
      <c r="O162" s="328"/>
      <c r="P162" s="328"/>
      <c r="Q162" s="328"/>
      <c r="R162" s="328"/>
      <c r="S162" s="328"/>
      <c r="T162" s="328"/>
      <c r="U162" s="328"/>
      <c r="V162" s="328"/>
      <c r="W162" s="328"/>
      <c r="X162" s="328"/>
      <c r="Y162" s="328"/>
      <c r="Z162" s="328"/>
      <c r="AA162" s="328"/>
      <c r="AB162" s="328"/>
      <c r="AC162" s="328"/>
      <c r="AD162" s="328"/>
      <c r="AE162" s="328"/>
      <c r="AF162" s="328"/>
      <c r="AG162" s="328"/>
      <c r="AH162" s="328"/>
      <c r="AI162" s="328"/>
      <c r="AJ162" s="328"/>
      <c r="AK162" s="328"/>
      <c r="AL162" s="328"/>
      <c r="AM162" s="328"/>
      <c r="AN162" s="328"/>
      <c r="AO162" s="328"/>
      <c r="AP162" s="328"/>
      <c r="AQ162" s="420"/>
    </row>
    <row r="163" spans="2:43" ht="15" thickBot="1" x14ac:dyDescent="0.4">
      <c r="B163" s="418"/>
      <c r="C163" s="435" t="s">
        <v>68</v>
      </c>
      <c r="D163" s="436"/>
      <c r="E163" s="436"/>
      <c r="F163" s="437"/>
      <c r="G163" s="430" t="s">
        <v>176</v>
      </c>
      <c r="H163" s="328"/>
      <c r="I163" s="328"/>
      <c r="J163" s="328"/>
      <c r="K163" s="328"/>
      <c r="L163" s="328"/>
      <c r="M163" s="328"/>
      <c r="N163" s="328"/>
      <c r="O163" s="328"/>
      <c r="P163" s="328"/>
      <c r="Q163" s="328"/>
      <c r="R163" s="328"/>
      <c r="S163" s="328"/>
      <c r="T163" s="328"/>
      <c r="U163" s="328"/>
      <c r="V163" s="328"/>
      <c r="W163" s="328"/>
      <c r="X163" s="328"/>
      <c r="Y163" s="328"/>
      <c r="Z163" s="328"/>
      <c r="AA163" s="328"/>
      <c r="AB163" s="328"/>
      <c r="AC163" s="328"/>
      <c r="AD163" s="328"/>
      <c r="AE163" s="328"/>
      <c r="AF163" s="328"/>
      <c r="AG163" s="328"/>
      <c r="AH163" s="328"/>
      <c r="AI163" s="328"/>
      <c r="AJ163" s="328"/>
      <c r="AK163" s="328"/>
      <c r="AL163" s="328"/>
      <c r="AM163" s="328"/>
      <c r="AN163" s="328"/>
      <c r="AO163" s="328"/>
      <c r="AP163" s="328"/>
      <c r="AQ163" s="420"/>
    </row>
    <row r="164" spans="2:43" ht="15" thickBot="1" x14ac:dyDescent="0.4">
      <c r="B164" s="426"/>
      <c r="C164" s="1899" t="s">
        <v>177</v>
      </c>
      <c r="D164" s="1900"/>
      <c r="E164" s="1900"/>
      <c r="F164" s="1900"/>
      <c r="G164" s="1901"/>
      <c r="H164" s="328"/>
      <c r="I164" s="328"/>
      <c r="J164" s="328"/>
      <c r="K164" s="328"/>
      <c r="L164" s="328"/>
      <c r="M164" s="328"/>
      <c r="N164" s="328"/>
      <c r="O164" s="328"/>
      <c r="P164" s="328"/>
      <c r="Q164" s="328"/>
      <c r="R164" s="328"/>
      <c r="S164" s="328"/>
      <c r="T164" s="328"/>
      <c r="U164" s="328"/>
      <c r="V164" s="328"/>
      <c r="W164" s="328"/>
      <c r="X164" s="328"/>
      <c r="Y164" s="328"/>
      <c r="Z164" s="328"/>
      <c r="AA164" s="328"/>
      <c r="AB164" s="328"/>
      <c r="AC164" s="328"/>
      <c r="AD164" s="328"/>
      <c r="AE164" s="328"/>
      <c r="AF164" s="328"/>
      <c r="AG164" s="328"/>
      <c r="AH164" s="328"/>
      <c r="AI164" s="328"/>
      <c r="AJ164" s="328"/>
      <c r="AK164" s="328"/>
      <c r="AL164" s="328"/>
      <c r="AM164" s="328"/>
      <c r="AN164" s="328"/>
      <c r="AO164" s="328"/>
      <c r="AP164" s="328"/>
      <c r="AQ164" s="420"/>
    </row>
    <row r="165" spans="2:43" ht="15" thickBot="1" x14ac:dyDescent="0.4">
      <c r="B165" s="418"/>
      <c r="C165" s="440" t="s">
        <v>1</v>
      </c>
      <c r="D165" s="441"/>
      <c r="E165" s="441"/>
      <c r="F165" s="410"/>
      <c r="G165" s="1094">
        <f>SUM('Premissas Geração de Resíduos'!D179:AG179)/SUM('Premissas Geração de Resíduos'!$D$189:$AG$189)</f>
        <v>6.8271733926195486E-3</v>
      </c>
      <c r="H165" s="328"/>
      <c r="I165" s="328"/>
      <c r="J165" s="328"/>
      <c r="K165" s="328"/>
      <c r="L165" s="328"/>
      <c r="M165" s="328"/>
      <c r="N165" s="328"/>
      <c r="O165" s="328"/>
      <c r="P165" s="328"/>
      <c r="Q165" s="328"/>
      <c r="R165" s="328"/>
      <c r="S165" s="328"/>
      <c r="T165" s="328"/>
      <c r="U165" s="328"/>
      <c r="V165" s="328"/>
      <c r="W165" s="328"/>
      <c r="X165" s="328"/>
      <c r="Y165" s="328"/>
      <c r="Z165" s="328"/>
      <c r="AA165" s="328"/>
      <c r="AB165" s="328"/>
      <c r="AC165" s="328"/>
      <c r="AD165" s="328"/>
      <c r="AE165" s="328"/>
      <c r="AF165" s="328"/>
      <c r="AG165" s="328"/>
      <c r="AH165" s="328"/>
      <c r="AI165" s="328"/>
      <c r="AJ165" s="328"/>
      <c r="AK165" s="328"/>
      <c r="AL165" s="328"/>
      <c r="AM165" s="328"/>
      <c r="AN165" s="328"/>
      <c r="AO165" s="328"/>
      <c r="AP165" s="328"/>
      <c r="AQ165" s="420"/>
    </row>
    <row r="166" spans="2:43" ht="15" thickBot="1" x14ac:dyDescent="0.4">
      <c r="B166" s="418"/>
      <c r="C166" s="440" t="s">
        <v>2</v>
      </c>
      <c r="D166" s="441"/>
      <c r="E166" s="441"/>
      <c r="F166" s="410"/>
      <c r="G166" s="1094">
        <f>SUM('Premissas Geração de Resíduos'!D180:AG180)/SUM('Premissas Geração de Resíduos'!$D$189:$AG$189)</f>
        <v>8.6463706442174645E-2</v>
      </c>
      <c r="H166" s="328"/>
      <c r="I166" s="328"/>
      <c r="J166" s="328"/>
      <c r="K166" s="328"/>
      <c r="L166" s="328"/>
      <c r="M166" s="328"/>
      <c r="N166" s="328"/>
      <c r="O166" s="328"/>
      <c r="P166" s="328"/>
      <c r="Q166" s="328"/>
      <c r="R166" s="328"/>
      <c r="S166" s="328"/>
      <c r="T166" s="328"/>
      <c r="U166" s="328"/>
      <c r="V166" s="328"/>
      <c r="W166" s="328"/>
      <c r="X166" s="328"/>
      <c r="Y166" s="328"/>
      <c r="Z166" s="328"/>
      <c r="AA166" s="328"/>
      <c r="AB166" s="328"/>
      <c r="AC166" s="328"/>
      <c r="AD166" s="328"/>
      <c r="AE166" s="328"/>
      <c r="AF166" s="328"/>
      <c r="AG166" s="328"/>
      <c r="AH166" s="328"/>
      <c r="AI166" s="328"/>
      <c r="AJ166" s="328"/>
      <c r="AK166" s="328"/>
      <c r="AL166" s="328"/>
      <c r="AM166" s="328"/>
      <c r="AN166" s="328"/>
      <c r="AO166" s="328"/>
      <c r="AP166" s="328"/>
      <c r="AQ166" s="420"/>
    </row>
    <row r="167" spans="2:43" ht="15" thickBot="1" x14ac:dyDescent="0.4">
      <c r="B167" s="418"/>
      <c r="C167" s="440" t="s">
        <v>3</v>
      </c>
      <c r="D167" s="441"/>
      <c r="E167" s="441"/>
      <c r="F167" s="410"/>
      <c r="G167" s="1094">
        <f>SUM('Premissas Geração de Resíduos'!D181:AG181)/SUM('Premissas Geração de Resíduos'!$D$189:$AG$189)</f>
        <v>1.0357808135649236E-2</v>
      </c>
      <c r="H167" s="328"/>
      <c r="I167" s="328"/>
      <c r="J167" s="328"/>
      <c r="K167" s="328"/>
      <c r="L167" s="328"/>
      <c r="M167" s="328"/>
      <c r="N167" s="328"/>
      <c r="O167" s="328"/>
      <c r="P167" s="328"/>
      <c r="Q167" s="328"/>
      <c r="R167" s="328"/>
      <c r="S167" s="328"/>
      <c r="T167" s="328"/>
      <c r="U167" s="328"/>
      <c r="V167" s="328"/>
      <c r="W167" s="328"/>
      <c r="X167" s="328"/>
      <c r="Y167" s="328"/>
      <c r="Z167" s="328"/>
      <c r="AA167" s="328"/>
      <c r="AB167" s="328"/>
      <c r="AC167" s="328"/>
      <c r="AD167" s="328"/>
      <c r="AE167" s="328"/>
      <c r="AF167" s="328"/>
      <c r="AG167" s="328"/>
      <c r="AH167" s="328"/>
      <c r="AI167" s="328"/>
      <c r="AJ167" s="328"/>
      <c r="AK167" s="328"/>
      <c r="AL167" s="328"/>
      <c r="AM167" s="328"/>
      <c r="AN167" s="328"/>
      <c r="AO167" s="328"/>
      <c r="AP167" s="328"/>
      <c r="AQ167" s="420"/>
    </row>
    <row r="168" spans="2:43" ht="15" thickBot="1" x14ac:dyDescent="0.4">
      <c r="B168" s="418"/>
      <c r="C168" s="440" t="s">
        <v>4</v>
      </c>
      <c r="D168" s="441"/>
      <c r="E168" s="441"/>
      <c r="F168" s="410"/>
      <c r="G168" s="1094">
        <f>SUM('Premissas Geração de Resíduos'!D182:AG182)/SUM('Premissas Geração de Resíduos'!$D$189:$AG$189)</f>
        <v>2.7637330894877687E-2</v>
      </c>
      <c r="H168" s="328"/>
      <c r="I168" s="328"/>
      <c r="J168" s="328"/>
      <c r="K168" s="328"/>
      <c r="L168" s="328"/>
      <c r="M168" s="328"/>
      <c r="N168" s="328"/>
      <c r="O168" s="328"/>
      <c r="P168" s="328"/>
      <c r="Q168" s="328"/>
      <c r="R168" s="328"/>
      <c r="S168" s="328"/>
      <c r="T168" s="328"/>
      <c r="U168" s="328"/>
      <c r="V168" s="328"/>
      <c r="W168" s="328"/>
      <c r="X168" s="328"/>
      <c r="Y168" s="328"/>
      <c r="Z168" s="328"/>
      <c r="AA168" s="328"/>
      <c r="AB168" s="328"/>
      <c r="AC168" s="328"/>
      <c r="AD168" s="328"/>
      <c r="AE168" s="328"/>
      <c r="AF168" s="328"/>
      <c r="AG168" s="328"/>
      <c r="AH168" s="328"/>
      <c r="AI168" s="328"/>
      <c r="AJ168" s="328"/>
      <c r="AK168" s="328"/>
      <c r="AL168" s="328"/>
      <c r="AM168" s="328"/>
      <c r="AN168" s="328"/>
      <c r="AO168" s="328"/>
      <c r="AP168" s="328"/>
      <c r="AQ168" s="420"/>
    </row>
    <row r="169" spans="2:43" ht="15" thickBot="1" x14ac:dyDescent="0.4">
      <c r="B169" s="418"/>
      <c r="C169" s="440" t="s">
        <v>5</v>
      </c>
      <c r="D169" s="441"/>
      <c r="E169" s="441"/>
      <c r="F169" s="410"/>
      <c r="G169" s="1094">
        <f>SUM('Premissas Geração de Resíduos'!D183:AG183)/SUM('Premissas Geração de Resíduos'!$D$189:$AG$189)</f>
        <v>6.0023208808459072E-2</v>
      </c>
      <c r="H169" s="328"/>
      <c r="I169" s="328"/>
      <c r="J169" s="328"/>
      <c r="K169" s="328"/>
      <c r="L169" s="328"/>
      <c r="M169" s="328"/>
      <c r="N169" s="328"/>
      <c r="O169" s="328"/>
      <c r="P169" s="328"/>
      <c r="Q169" s="328"/>
      <c r="R169" s="328"/>
      <c r="S169" s="328"/>
      <c r="T169" s="328"/>
      <c r="U169" s="328"/>
      <c r="V169" s="328"/>
      <c r="W169" s="328"/>
      <c r="X169" s="328"/>
      <c r="Y169" s="328"/>
      <c r="Z169" s="328"/>
      <c r="AA169" s="328"/>
      <c r="AB169" s="328"/>
      <c r="AC169" s="328"/>
      <c r="AD169" s="328"/>
      <c r="AE169" s="328"/>
      <c r="AF169" s="328"/>
      <c r="AG169" s="328"/>
      <c r="AH169" s="328"/>
      <c r="AI169" s="328"/>
      <c r="AJ169" s="328"/>
      <c r="AK169" s="328"/>
      <c r="AL169" s="328"/>
      <c r="AM169" s="328"/>
      <c r="AN169" s="328"/>
      <c r="AO169" s="328"/>
      <c r="AP169" s="328"/>
      <c r="AQ169" s="420"/>
    </row>
    <row r="170" spans="2:43" ht="15" thickBot="1" x14ac:dyDescent="0.4">
      <c r="B170" s="418"/>
      <c r="C170" s="440" t="s">
        <v>6</v>
      </c>
      <c r="D170" s="441"/>
      <c r="E170" s="441"/>
      <c r="F170" s="410"/>
      <c r="G170" s="1094">
        <f>SUM('Premissas Geração de Resíduos'!D184:AG184)/SUM('Premissas Geração de Resíduos'!$D$189:$AG$189)</f>
        <v>0.66444642387502584</v>
      </c>
      <c r="H170" s="328"/>
      <c r="I170" s="328"/>
      <c r="J170" s="328"/>
      <c r="K170" s="328"/>
      <c r="L170" s="328"/>
      <c r="M170" s="328"/>
      <c r="N170" s="328"/>
      <c r="O170" s="328"/>
      <c r="P170" s="328"/>
      <c r="Q170" s="328"/>
      <c r="R170" s="328"/>
      <c r="S170" s="328"/>
      <c r="T170" s="328"/>
      <c r="U170" s="328"/>
      <c r="V170" s="328"/>
      <c r="W170" s="328"/>
      <c r="X170" s="328"/>
      <c r="Y170" s="328"/>
      <c r="Z170" s="328"/>
      <c r="AA170" s="328"/>
      <c r="AB170" s="328"/>
      <c r="AC170" s="328"/>
      <c r="AD170" s="328"/>
      <c r="AE170" s="328"/>
      <c r="AF170" s="328"/>
      <c r="AG170" s="328"/>
      <c r="AH170" s="328"/>
      <c r="AI170" s="328"/>
      <c r="AJ170" s="328"/>
      <c r="AK170" s="328"/>
      <c r="AL170" s="328"/>
      <c r="AM170" s="328"/>
      <c r="AN170" s="328"/>
      <c r="AO170" s="328"/>
      <c r="AP170" s="328"/>
      <c r="AQ170" s="420"/>
    </row>
    <row r="171" spans="2:43" ht="15" thickBot="1" x14ac:dyDescent="0.4">
      <c r="B171" s="418"/>
      <c r="C171" s="440" t="s">
        <v>7</v>
      </c>
      <c r="D171" s="441"/>
      <c r="E171" s="441"/>
      <c r="F171" s="410"/>
      <c r="G171" s="1094">
        <f>SUM('Premissas Geração de Resíduos'!D185:AG185)/SUM('Premissas Geração de Resíduos'!$D$189:$AG$189)</f>
        <v>5.4255720482041685E-2</v>
      </c>
      <c r="H171" s="328"/>
      <c r="I171" s="328"/>
      <c r="J171" s="328"/>
      <c r="K171" s="328"/>
      <c r="L171" s="328"/>
      <c r="M171" s="328"/>
      <c r="N171" s="328"/>
      <c r="O171" s="328"/>
      <c r="P171" s="328"/>
      <c r="Q171" s="328"/>
      <c r="R171" s="328"/>
      <c r="S171" s="328"/>
      <c r="T171" s="328"/>
      <c r="U171" s="328"/>
      <c r="V171" s="328"/>
      <c r="W171" s="328"/>
      <c r="X171" s="328"/>
      <c r="Y171" s="328"/>
      <c r="Z171" s="328"/>
      <c r="AA171" s="328"/>
      <c r="AB171" s="328"/>
      <c r="AC171" s="328"/>
      <c r="AD171" s="328"/>
      <c r="AE171" s="328"/>
      <c r="AF171" s="328"/>
      <c r="AG171" s="328"/>
      <c r="AH171" s="328"/>
      <c r="AI171" s="328"/>
      <c r="AJ171" s="328"/>
      <c r="AK171" s="328"/>
      <c r="AL171" s="328"/>
      <c r="AM171" s="328"/>
      <c r="AN171" s="328"/>
      <c r="AO171" s="328"/>
      <c r="AP171" s="328"/>
      <c r="AQ171" s="420"/>
    </row>
    <row r="172" spans="2:43" ht="15" thickBot="1" x14ac:dyDescent="0.4">
      <c r="B172" s="418"/>
      <c r="C172" s="440" t="s">
        <v>8</v>
      </c>
      <c r="D172" s="441"/>
      <c r="E172" s="441"/>
      <c r="F172" s="410"/>
      <c r="G172" s="1094">
        <f>SUM('Premissas Geração de Resíduos'!D186:AG186)/SUM('Premissas Geração de Resíduos'!$D$189:$AG$189)</f>
        <v>4.9429792991115142E-2</v>
      </c>
      <c r="H172" s="328"/>
      <c r="I172" s="328"/>
      <c r="J172" s="328"/>
      <c r="K172" s="328"/>
      <c r="L172" s="328"/>
      <c r="M172" s="328"/>
      <c r="N172" s="328"/>
      <c r="O172" s="328"/>
      <c r="P172" s="328"/>
      <c r="Q172" s="328"/>
      <c r="R172" s="328"/>
      <c r="S172" s="328"/>
      <c r="T172" s="328"/>
      <c r="U172" s="328"/>
      <c r="V172" s="328"/>
      <c r="W172" s="328"/>
      <c r="X172" s="328"/>
      <c r="Y172" s="328"/>
      <c r="Z172" s="328"/>
      <c r="AA172" s="328"/>
      <c r="AB172" s="328"/>
      <c r="AC172" s="328"/>
      <c r="AD172" s="328"/>
      <c r="AE172" s="328"/>
      <c r="AF172" s="328"/>
      <c r="AG172" s="328"/>
      <c r="AH172" s="328"/>
      <c r="AI172" s="328"/>
      <c r="AJ172" s="328"/>
      <c r="AK172" s="328"/>
      <c r="AL172" s="328"/>
      <c r="AM172" s="328"/>
      <c r="AN172" s="328"/>
      <c r="AO172" s="328"/>
      <c r="AP172" s="328"/>
      <c r="AQ172" s="420"/>
    </row>
    <row r="173" spans="2:43" ht="15" thickBot="1" x14ac:dyDescent="0.4">
      <c r="B173" s="418"/>
      <c r="C173" s="440" t="s">
        <v>9</v>
      </c>
      <c r="D173" s="441"/>
      <c r="E173" s="441"/>
      <c r="F173" s="410"/>
      <c r="G173" s="1094">
        <f>SUM('Premissas Geração de Resíduos'!D187:AG187)/SUM('Premissas Geração de Resíduos'!$D$189:$AG$189)</f>
        <v>4.0558834978037216E-2</v>
      </c>
      <c r="H173" s="328"/>
      <c r="I173" s="328"/>
      <c r="J173" s="328"/>
      <c r="K173" s="328"/>
      <c r="L173" s="328"/>
      <c r="M173" s="328"/>
      <c r="N173" s="328"/>
      <c r="O173" s="328"/>
      <c r="P173" s="328"/>
      <c r="Q173" s="328"/>
      <c r="R173" s="328"/>
      <c r="S173" s="328"/>
      <c r="T173" s="328"/>
      <c r="U173" s="328"/>
      <c r="V173" s="328"/>
      <c r="W173" s="328"/>
      <c r="X173" s="328"/>
      <c r="Y173" s="328"/>
      <c r="Z173" s="328"/>
      <c r="AA173" s="328"/>
      <c r="AB173" s="328"/>
      <c r="AC173" s="328"/>
      <c r="AD173" s="328"/>
      <c r="AE173" s="328"/>
      <c r="AF173" s="328"/>
      <c r="AG173" s="328"/>
      <c r="AH173" s="328"/>
      <c r="AI173" s="328"/>
      <c r="AJ173" s="328"/>
      <c r="AK173" s="328"/>
      <c r="AL173" s="328"/>
      <c r="AM173" s="328"/>
      <c r="AN173" s="328"/>
      <c r="AO173" s="328"/>
      <c r="AP173" s="328"/>
      <c r="AQ173" s="420"/>
    </row>
    <row r="174" spans="2:43" x14ac:dyDescent="0.35">
      <c r="B174" s="418"/>
      <c r="C174" s="328"/>
      <c r="D174" s="328"/>
      <c r="E174" s="328"/>
      <c r="F174" s="328"/>
      <c r="G174" s="1095">
        <f>SUM(G165:G173)</f>
        <v>1</v>
      </c>
      <c r="H174" s="328"/>
      <c r="I174" s="328"/>
      <c r="J174" s="328"/>
      <c r="K174" s="328"/>
      <c r="L174" s="328"/>
      <c r="M174" s="328"/>
      <c r="N174" s="328"/>
      <c r="O174" s="328"/>
      <c r="P174" s="328"/>
      <c r="Q174" s="328"/>
      <c r="R174" s="328"/>
      <c r="S174" s="328"/>
      <c r="T174" s="328"/>
      <c r="U174" s="328"/>
      <c r="V174" s="328"/>
      <c r="W174" s="328"/>
      <c r="X174" s="328"/>
      <c r="Y174" s="328"/>
      <c r="Z174" s="328"/>
      <c r="AA174" s="328"/>
      <c r="AB174" s="328"/>
      <c r="AC174" s="328"/>
      <c r="AD174" s="328"/>
      <c r="AE174" s="328"/>
      <c r="AF174" s="328"/>
      <c r="AG174" s="328"/>
      <c r="AH174" s="328"/>
      <c r="AI174" s="328"/>
      <c r="AJ174" s="328"/>
      <c r="AK174" s="328"/>
      <c r="AL174" s="328"/>
      <c r="AM174" s="328"/>
      <c r="AN174" s="328"/>
      <c r="AO174" s="328"/>
      <c r="AP174" s="328"/>
      <c r="AQ174" s="420"/>
    </row>
    <row r="175" spans="2:43" x14ac:dyDescent="0.35">
      <c r="B175" s="418"/>
      <c r="C175" s="328" t="s">
        <v>72</v>
      </c>
      <c r="D175" s="328"/>
      <c r="E175" s="328"/>
      <c r="F175" s="328"/>
      <c r="G175" s="328"/>
      <c r="H175" s="328"/>
      <c r="I175" s="328"/>
      <c r="J175" s="328"/>
      <c r="K175" s="328"/>
      <c r="L175" s="328"/>
      <c r="M175" s="328"/>
      <c r="N175" s="328"/>
      <c r="O175" s="328"/>
      <c r="P175" s="328"/>
      <c r="Q175" s="328"/>
      <c r="R175" s="328"/>
      <c r="S175" s="328"/>
      <c r="T175" s="328"/>
      <c r="U175" s="328"/>
      <c r="V175" s="328"/>
      <c r="W175" s="328"/>
      <c r="X175" s="328"/>
      <c r="Y175" s="328"/>
      <c r="Z175" s="328"/>
      <c r="AA175" s="328"/>
      <c r="AB175" s="328"/>
      <c r="AC175" s="328"/>
      <c r="AD175" s="328"/>
      <c r="AE175" s="328"/>
      <c r="AF175" s="328"/>
      <c r="AG175" s="328"/>
      <c r="AH175" s="328"/>
      <c r="AI175" s="328"/>
      <c r="AJ175" s="328"/>
      <c r="AK175" s="328"/>
      <c r="AL175" s="328"/>
      <c r="AM175" s="328"/>
      <c r="AN175" s="328"/>
      <c r="AO175" s="328"/>
      <c r="AP175" s="328"/>
      <c r="AQ175" s="420"/>
    </row>
    <row r="176" spans="2:43" ht="15" thickBot="1" x14ac:dyDescent="0.4">
      <c r="B176" s="422"/>
      <c r="C176" s="423"/>
      <c r="D176" s="423"/>
      <c r="E176" s="423"/>
      <c r="F176" s="423"/>
      <c r="G176" s="423"/>
      <c r="H176" s="423"/>
      <c r="I176" s="423"/>
      <c r="J176" s="423"/>
      <c r="K176" s="423"/>
      <c r="L176" s="423"/>
      <c r="M176" s="423"/>
      <c r="N176" s="423"/>
      <c r="O176" s="423"/>
      <c r="P176" s="423"/>
      <c r="Q176" s="423"/>
      <c r="R176" s="423"/>
      <c r="S176" s="423"/>
      <c r="T176" s="423"/>
      <c r="U176" s="423"/>
      <c r="V176" s="423"/>
      <c r="W176" s="423"/>
      <c r="X176" s="423"/>
      <c r="Y176" s="423"/>
      <c r="Z176" s="423"/>
      <c r="AA176" s="423"/>
      <c r="AB176" s="423"/>
      <c r="AC176" s="423"/>
      <c r="AD176" s="423"/>
      <c r="AE176" s="423"/>
      <c r="AF176" s="423"/>
      <c r="AG176" s="423"/>
      <c r="AH176" s="423"/>
      <c r="AI176" s="423"/>
      <c r="AJ176" s="423"/>
      <c r="AK176" s="423"/>
      <c r="AL176" s="423"/>
      <c r="AM176" s="423"/>
      <c r="AN176" s="423"/>
      <c r="AO176" s="423"/>
      <c r="AP176" s="423"/>
      <c r="AQ176" s="424"/>
    </row>
    <row r="177" ht="15" thickTop="1" x14ac:dyDescent="0.35"/>
  </sheetData>
  <sheetProtection algorithmName="SHA-512" hashValue="L6dyZfDo1VcvkYd1kvd8XQjrB8GficErjb2VEMTQ149LyAcJLxv0PkvfjXqCkcSz2jVsnUR6K1CXsQZ7ygrf0g==" saltValue="GJHQZDPVP/muKULTWBPoZA==" spinCount="100000" sheet="1" objects="1" scenarios="1"/>
  <protectedRanges>
    <protectedRange sqref="G165:G173" name="Intervalo13"/>
    <protectedRange sqref="H149:AP157" name="Intervalo12"/>
    <protectedRange sqref="D142:G143" name="Intervalo11"/>
    <protectedRange sqref="I130:I134" name="Intervalo10"/>
    <protectedRange sqref="E122:E125" name="Intervalo9"/>
    <protectedRange sqref="E51:E70" name="Intervalo5"/>
    <protectedRange sqref="G13:G27" name="Intervalo1"/>
    <protectedRange sqref="K40" name="Intervalo2"/>
    <protectedRange sqref="E38:E47" name="Intervalo3"/>
    <protectedRange sqref="E35" name="Intervalo4"/>
    <protectedRange sqref="G76:G80" name="Intervalo6"/>
    <protectedRange sqref="F99:G100" name="Intervalo7"/>
    <protectedRange sqref="F103:G115" name="Intervalo8"/>
  </protectedRanges>
  <mergeCells count="33">
    <mergeCell ref="F51:J70"/>
    <mergeCell ref="C164:G164"/>
    <mergeCell ref="C148:F148"/>
    <mergeCell ref="G148:J148"/>
    <mergeCell ref="H97:L97"/>
    <mergeCell ref="C121:D121"/>
    <mergeCell ref="J132:L132"/>
    <mergeCell ref="H143:L143"/>
    <mergeCell ref="J130:L131"/>
    <mergeCell ref="C130:F131"/>
    <mergeCell ref="C43:D43"/>
    <mergeCell ref="C44:D44"/>
    <mergeCell ref="C45:D45"/>
    <mergeCell ref="C46:D46"/>
    <mergeCell ref="C47:D47"/>
    <mergeCell ref="S148:V148"/>
    <mergeCell ref="W148:Z148"/>
    <mergeCell ref="AA148:AD148"/>
    <mergeCell ref="AE148:AH148"/>
    <mergeCell ref="J133:L133"/>
    <mergeCell ref="J134:L134"/>
    <mergeCell ref="H141:L141"/>
    <mergeCell ref="H142:L142"/>
    <mergeCell ref="O148:R148"/>
    <mergeCell ref="K148:N148"/>
    <mergeCell ref="B2:M2"/>
    <mergeCell ref="C42:D42"/>
    <mergeCell ref="C38:D38"/>
    <mergeCell ref="C39:D39"/>
    <mergeCell ref="C40:D40"/>
    <mergeCell ref="C41:D41"/>
    <mergeCell ref="C11:F11"/>
    <mergeCell ref="C12:F12"/>
  </mergeCells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&amp;C_x000D_&amp;1#&amp;"Aptos"&amp;10&amp;K000000 INFORMAÇÃO CONTROLADA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AC64B-0302-46A1-8702-7DC5179758C9}">
  <sheetPr codeName="Planilha40">
    <tabColor theme="4" tint="-0.249977111117893"/>
  </sheetPr>
  <dimension ref="C1:AA198"/>
  <sheetViews>
    <sheetView showGridLines="0" topLeftCell="A167" zoomScaleNormal="100" workbookViewId="0">
      <selection activeCell="P205" sqref="P205"/>
    </sheetView>
  </sheetViews>
  <sheetFormatPr defaultColWidth="8.81640625" defaultRowHeight="14.5" x14ac:dyDescent="0.35"/>
  <cols>
    <col min="1" max="2" width="1.81640625" customWidth="1"/>
    <col min="3" max="3" width="3.81640625" customWidth="1"/>
    <col min="4" max="4" width="1.81640625" customWidth="1"/>
    <col min="5" max="5" width="9.453125" customWidth="1"/>
    <col min="6" max="6" width="9.6328125" bestFit="1" customWidth="1"/>
    <col min="7" max="7" width="8.453125" customWidth="1"/>
    <col min="9" max="9" width="2.36328125" customWidth="1"/>
    <col min="10" max="10" width="9.6328125" bestFit="1" customWidth="1"/>
    <col min="11" max="11" width="3.36328125" customWidth="1"/>
    <col min="12" max="12" width="3.81640625" customWidth="1"/>
    <col min="15" max="15" width="3.81640625" customWidth="1"/>
    <col min="16" max="16" width="9.6328125" customWidth="1"/>
    <col min="17" max="17" width="4.08984375" customWidth="1"/>
    <col min="18" max="18" width="9.453125" customWidth="1"/>
    <col min="19" max="19" width="13.453125" bestFit="1" customWidth="1"/>
    <col min="20" max="20" width="9.6328125" bestFit="1" customWidth="1"/>
    <col min="21" max="21" width="8.6328125" customWidth="1"/>
    <col min="23" max="23" width="2.6328125" customWidth="1"/>
    <col min="24" max="24" width="10.453125" customWidth="1"/>
    <col min="25" max="25" width="15" customWidth="1"/>
    <col min="26" max="26" width="4.453125" customWidth="1"/>
    <col min="27" max="27" width="5.36328125" customWidth="1"/>
  </cols>
  <sheetData>
    <row r="1" spans="3:27" ht="15" thickBot="1" x14ac:dyDescent="0.4"/>
    <row r="2" spans="3:27" x14ac:dyDescent="0.35">
      <c r="C2" s="1408"/>
      <c r="D2" s="1409"/>
      <c r="E2" s="1409"/>
      <c r="F2" s="1409"/>
      <c r="G2" s="1409"/>
      <c r="H2" s="1409"/>
      <c r="I2" s="1409"/>
      <c r="J2" s="1409"/>
      <c r="K2" s="1409"/>
      <c r="L2" s="1409"/>
      <c r="M2" s="1409"/>
      <c r="N2" s="1409"/>
      <c r="O2" s="1409"/>
      <c r="P2" s="1409"/>
      <c r="Q2" s="1409"/>
      <c r="R2" s="1409"/>
      <c r="S2" s="1409"/>
      <c r="T2" s="1409"/>
      <c r="U2" s="1409"/>
      <c r="V2" s="1409"/>
      <c r="W2" s="1409"/>
      <c r="X2" s="1409"/>
      <c r="Y2" s="1409"/>
      <c r="Z2" s="1409"/>
      <c r="AA2" s="1410"/>
    </row>
    <row r="3" spans="3:27" ht="15" customHeight="1" x14ac:dyDescent="0.45">
      <c r="C3" s="1411"/>
      <c r="D3" s="106"/>
      <c r="E3" s="1911" t="s">
        <v>178</v>
      </c>
      <c r="F3" s="1911"/>
      <c r="G3" s="1911"/>
      <c r="H3" s="1911"/>
      <c r="I3" s="1911"/>
      <c r="J3" s="1911"/>
      <c r="K3" s="1911"/>
      <c r="L3" s="1911"/>
      <c r="M3" s="1911"/>
      <c r="N3" s="1911"/>
      <c r="O3" s="1911"/>
      <c r="P3" s="1911"/>
      <c r="Q3" s="1911"/>
      <c r="R3" s="1911"/>
      <c r="S3" s="1911"/>
      <c r="T3" s="1911"/>
      <c r="U3" s="1911"/>
      <c r="V3" s="1911"/>
      <c r="W3" s="1911"/>
      <c r="X3" s="1911"/>
      <c r="Y3" s="1911"/>
      <c r="Z3" s="1911"/>
      <c r="AA3" s="1912"/>
    </row>
    <row r="4" spans="3:27" x14ac:dyDescent="0.35">
      <c r="C4" s="1411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412"/>
    </row>
    <row r="5" spans="3:27" x14ac:dyDescent="0.35">
      <c r="C5" s="1411"/>
      <c r="D5" s="1419"/>
      <c r="E5" s="1913" t="s">
        <v>179</v>
      </c>
      <c r="F5" s="1913"/>
      <c r="G5" s="1913"/>
      <c r="H5" s="1913"/>
      <c r="I5" s="1420"/>
      <c r="J5" s="106"/>
      <c r="K5" s="1914" t="s">
        <v>180</v>
      </c>
      <c r="L5" s="1915"/>
      <c r="M5" s="1915"/>
      <c r="N5" s="1915"/>
      <c r="O5" s="1916"/>
      <c r="P5" s="106"/>
      <c r="Q5" s="106"/>
      <c r="R5" s="106"/>
      <c r="S5" s="106"/>
      <c r="T5" s="106"/>
      <c r="U5" s="106"/>
      <c r="V5" s="106"/>
      <c r="W5" s="1917" t="s">
        <v>181</v>
      </c>
      <c r="X5" s="1918"/>
      <c r="Y5" s="1918"/>
      <c r="Z5" s="1919"/>
      <c r="AA5" s="1412"/>
    </row>
    <row r="6" spans="3:27" x14ac:dyDescent="0.35">
      <c r="C6" s="1411"/>
      <c r="D6" s="1421"/>
      <c r="E6" s="349"/>
      <c r="F6" s="349"/>
      <c r="G6" s="349"/>
      <c r="H6" s="349"/>
      <c r="I6" s="1422"/>
      <c r="J6" s="106"/>
      <c r="K6" s="1432"/>
      <c r="L6" s="726"/>
      <c r="M6" s="726"/>
      <c r="N6" s="726"/>
      <c r="O6" s="1433"/>
      <c r="P6" s="106"/>
      <c r="Q6" s="106"/>
      <c r="R6" s="106"/>
      <c r="S6" s="106"/>
      <c r="T6" s="106"/>
      <c r="U6" s="106"/>
      <c r="V6" s="106"/>
      <c r="W6" s="1439"/>
      <c r="X6" s="1440"/>
      <c r="Y6" s="1440"/>
      <c r="Z6" s="1441"/>
      <c r="AA6" s="1412"/>
    </row>
    <row r="7" spans="3:27" x14ac:dyDescent="0.35">
      <c r="C7" s="1411"/>
      <c r="D7" s="1421"/>
      <c r="E7" s="1920" t="s">
        <v>1</v>
      </c>
      <c r="F7" s="1921"/>
      <c r="G7" s="1921"/>
      <c r="H7" s="1922"/>
      <c r="I7" s="1422"/>
      <c r="J7" s="106"/>
      <c r="K7" s="1432"/>
      <c r="L7" s="726"/>
      <c r="M7" s="726"/>
      <c r="N7" s="726"/>
      <c r="O7" s="1433"/>
      <c r="P7" s="106"/>
      <c r="Q7" s="106"/>
      <c r="R7" s="106"/>
      <c r="S7" s="106"/>
      <c r="T7" s="106"/>
      <c r="U7" s="106"/>
      <c r="V7" s="106"/>
      <c r="W7" s="1439"/>
      <c r="X7" s="1440"/>
      <c r="Y7" s="1440"/>
      <c r="Z7" s="1441"/>
      <c r="AA7" s="1412"/>
    </row>
    <row r="8" spans="3:27" x14ac:dyDescent="0.35">
      <c r="C8" s="1411"/>
      <c r="D8" s="1421"/>
      <c r="E8" s="246"/>
      <c r="F8" s="1832">
        <f>AVERAGE('Premissas Geração de Resíduos'!D116:E116)</f>
        <v>561.55157850000001</v>
      </c>
      <c r="G8" s="1427"/>
      <c r="H8" s="243"/>
      <c r="I8" s="1422"/>
      <c r="J8" s="106"/>
      <c r="K8" s="1432"/>
      <c r="L8" s="726"/>
      <c r="M8" s="726"/>
      <c r="N8" s="726"/>
      <c r="O8" s="1433"/>
      <c r="P8" s="106"/>
      <c r="Q8" s="106"/>
      <c r="R8" s="106"/>
      <c r="S8" s="106"/>
      <c r="T8" s="106"/>
      <c r="U8" s="106"/>
      <c r="V8" s="106"/>
      <c r="W8" s="1439"/>
      <c r="X8" s="1440"/>
      <c r="Y8" s="1440"/>
      <c r="Z8" s="1441"/>
      <c r="AA8" s="1412"/>
    </row>
    <row r="9" spans="3:27" x14ac:dyDescent="0.35">
      <c r="C9" s="1411"/>
      <c r="D9" s="1421"/>
      <c r="E9" s="246"/>
      <c r="F9" s="1833">
        <f>AVERAGE('Premissas Geração de Resíduos'!D99:E99)</f>
        <v>0</v>
      </c>
      <c r="G9" s="1428"/>
      <c r="H9" s="243"/>
      <c r="I9" s="1422"/>
      <c r="J9" s="106"/>
      <c r="K9" s="1432"/>
      <c r="L9" s="726"/>
      <c r="M9" s="726"/>
      <c r="N9" s="726"/>
      <c r="O9" s="1433"/>
      <c r="P9" s="106"/>
      <c r="Q9" s="106"/>
      <c r="R9" s="106"/>
      <c r="S9" s="1416">
        <f>J10</f>
        <v>3744.0541402819999</v>
      </c>
      <c r="T9" s="106"/>
      <c r="U9" s="106"/>
      <c r="V9" s="106"/>
      <c r="W9" s="1439"/>
      <c r="X9" s="1440"/>
      <c r="Y9" s="1440"/>
      <c r="Z9" s="1441"/>
      <c r="AA9" s="1412"/>
    </row>
    <row r="10" spans="3:27" x14ac:dyDescent="0.35">
      <c r="C10" s="1411"/>
      <c r="D10" s="1421"/>
      <c r="E10" s="1923" t="s">
        <v>8</v>
      </c>
      <c r="F10" s="1924"/>
      <c r="G10" s="1924"/>
      <c r="H10" s="1925"/>
      <c r="I10" s="1422"/>
      <c r="J10" s="1416">
        <f>F8+F11</f>
        <v>3744.0541402819999</v>
      </c>
      <c r="K10" s="1432"/>
      <c r="L10" s="726"/>
      <c r="M10" s="726"/>
      <c r="N10" s="726"/>
      <c r="O10" s="1433"/>
      <c r="P10" s="106"/>
      <c r="Q10" s="106"/>
      <c r="R10" s="106"/>
      <c r="S10" s="106"/>
      <c r="T10" s="106"/>
      <c r="U10" s="106"/>
      <c r="V10" s="106"/>
      <c r="W10" s="1439"/>
      <c r="X10" s="1440"/>
      <c r="Y10" s="1440"/>
      <c r="Z10" s="1441"/>
      <c r="AA10" s="1412"/>
    </row>
    <row r="11" spans="3:27" x14ac:dyDescent="0.35">
      <c r="C11" s="1411"/>
      <c r="D11" s="1421"/>
      <c r="E11" s="246"/>
      <c r="F11" s="1427">
        <f>AVERAGE('Premissas Geração de Resíduos'!D123:E123)</f>
        <v>3182.5025617820002</v>
      </c>
      <c r="G11" s="1427"/>
      <c r="H11" s="243"/>
      <c r="I11" s="1422"/>
      <c r="J11" s="1704">
        <f>F9+G12</f>
        <v>40.671231643599995</v>
      </c>
      <c r="K11" s="1432"/>
      <c r="L11" s="726"/>
      <c r="M11" s="726"/>
      <c r="N11" s="726"/>
      <c r="O11" s="1433"/>
      <c r="P11" s="106"/>
      <c r="Q11" s="106"/>
      <c r="R11" s="106"/>
      <c r="S11" s="1704">
        <f>J11</f>
        <v>40.671231643599995</v>
      </c>
      <c r="T11" s="106"/>
      <c r="U11" s="106"/>
      <c r="V11" s="106"/>
      <c r="W11" s="1439"/>
      <c r="X11" s="1440"/>
      <c r="Y11" s="1440"/>
      <c r="Z11" s="1441"/>
      <c r="AA11" s="1412"/>
    </row>
    <row r="12" spans="3:27" x14ac:dyDescent="0.35">
      <c r="C12" s="1411"/>
      <c r="D12" s="1421"/>
      <c r="E12" s="1445">
        <f>AVERAGE('Premissas Geração de Resíduos'!D106:E106)</f>
        <v>203.35615821799996</v>
      </c>
      <c r="G12" s="1834">
        <f>E12*0.2</f>
        <v>40.671231643599995</v>
      </c>
      <c r="H12" s="243"/>
      <c r="I12" s="1422"/>
      <c r="J12" s="106"/>
      <c r="K12" s="1432"/>
      <c r="L12" s="726"/>
      <c r="M12" s="726"/>
      <c r="N12" s="726"/>
      <c r="O12" s="1433"/>
      <c r="P12" s="106"/>
      <c r="Q12" s="106"/>
      <c r="R12" s="106"/>
      <c r="S12" s="106"/>
      <c r="T12" s="106"/>
      <c r="U12" s="106"/>
      <c r="V12" s="106"/>
      <c r="W12" s="1439"/>
      <c r="X12" s="1440"/>
      <c r="Y12" s="1440"/>
      <c r="Z12" s="1441"/>
      <c r="AA12" s="1412"/>
    </row>
    <row r="13" spans="3:27" x14ac:dyDescent="0.35">
      <c r="C13" s="1411"/>
      <c r="D13" s="1421"/>
      <c r="E13" s="247"/>
      <c r="F13" s="313"/>
      <c r="G13" s="313"/>
      <c r="H13" s="244"/>
      <c r="I13" s="1422"/>
      <c r="J13" s="106"/>
      <c r="K13" s="1432"/>
      <c r="L13" s="726"/>
      <c r="M13" s="726"/>
      <c r="N13" s="726"/>
      <c r="O13" s="1433"/>
      <c r="P13" s="106"/>
      <c r="Q13" s="106"/>
      <c r="R13" s="106"/>
      <c r="S13" s="106"/>
      <c r="T13" s="106"/>
      <c r="U13" s="106"/>
      <c r="V13" s="106"/>
      <c r="W13" s="1439"/>
      <c r="X13" s="1440"/>
      <c r="Y13" s="1440"/>
      <c r="Z13" s="1441"/>
      <c r="AA13" s="1412"/>
    </row>
    <row r="14" spans="3:27" x14ac:dyDescent="0.35">
      <c r="C14" s="1411"/>
      <c r="D14" s="1421"/>
      <c r="E14" s="349"/>
      <c r="F14" s="349"/>
      <c r="G14" s="349"/>
      <c r="H14" s="349"/>
      <c r="I14" s="1422"/>
      <c r="J14" s="106"/>
      <c r="K14" s="1436"/>
      <c r="L14" s="1437"/>
      <c r="M14" s="1437"/>
      <c r="N14" s="1437"/>
      <c r="O14" s="1438"/>
      <c r="P14" s="106"/>
      <c r="Q14" s="106"/>
      <c r="R14" s="106"/>
      <c r="S14" s="106"/>
      <c r="T14" s="106"/>
      <c r="U14" s="106"/>
      <c r="V14" s="106"/>
      <c r="W14" s="1439"/>
      <c r="X14" s="1416">
        <f>J10</f>
        <v>3744.0541402819999</v>
      </c>
      <c r="Y14" s="1416" t="s">
        <v>182</v>
      </c>
      <c r="Z14" s="1441"/>
      <c r="AA14" s="1412"/>
    </row>
    <row r="15" spans="3:27" x14ac:dyDescent="0.35">
      <c r="C15" s="1411"/>
      <c r="D15" s="1421"/>
      <c r="E15" s="349"/>
      <c r="F15" s="349"/>
      <c r="G15" s="349"/>
      <c r="H15" s="349"/>
      <c r="I15" s="1422"/>
      <c r="J15" s="106"/>
      <c r="K15" s="106"/>
      <c r="L15" s="106"/>
      <c r="M15" s="106"/>
      <c r="N15" s="106"/>
      <c r="O15" s="106"/>
      <c r="P15" s="106"/>
      <c r="Q15" s="106"/>
      <c r="R15" s="106"/>
      <c r="S15" s="106"/>
      <c r="T15" s="106"/>
      <c r="U15" s="106"/>
      <c r="V15" s="106"/>
      <c r="W15" s="1439"/>
      <c r="X15" s="1704">
        <f>J11</f>
        <v>40.671231643599995</v>
      </c>
      <c r="Y15" s="1704" t="s">
        <v>183</v>
      </c>
      <c r="Z15" s="1441"/>
      <c r="AA15" s="1412"/>
    </row>
    <row r="16" spans="3:27" x14ac:dyDescent="0.35">
      <c r="C16" s="1411"/>
      <c r="D16" s="1421"/>
      <c r="E16" s="349"/>
      <c r="F16" s="349"/>
      <c r="G16" s="349"/>
      <c r="H16" s="349"/>
      <c r="I16" s="1422"/>
      <c r="J16" s="106"/>
      <c r="K16" s="1702"/>
      <c r="L16" s="1283"/>
      <c r="M16" s="1283"/>
      <c r="N16" s="1283"/>
      <c r="O16" s="1703"/>
      <c r="P16" s="106"/>
      <c r="Q16" s="106"/>
      <c r="R16" s="106"/>
      <c r="S16" s="106"/>
      <c r="T16" s="106"/>
      <c r="U16" s="106"/>
      <c r="V16" s="106"/>
      <c r="W16" s="1442"/>
      <c r="X16" s="1443"/>
      <c r="Y16" s="1443"/>
      <c r="Z16" s="1444"/>
      <c r="AA16" s="1412"/>
    </row>
    <row r="17" spans="3:27" x14ac:dyDescent="0.35">
      <c r="C17" s="1411"/>
      <c r="D17" s="1421"/>
      <c r="E17" s="349"/>
      <c r="F17" s="349"/>
      <c r="G17" s="349"/>
      <c r="H17" s="349"/>
      <c r="I17" s="1422"/>
      <c r="J17" s="106"/>
      <c r="K17" s="1432"/>
      <c r="L17" s="726"/>
      <c r="M17" s="726"/>
      <c r="N17" s="726"/>
      <c r="O17" s="1433"/>
      <c r="P17" s="106"/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412"/>
    </row>
    <row r="18" spans="3:27" x14ac:dyDescent="0.35">
      <c r="C18" s="1411"/>
      <c r="D18" s="1421"/>
      <c r="E18" s="245"/>
      <c r="F18" s="248" t="s">
        <v>2</v>
      </c>
      <c r="G18" s="248"/>
      <c r="H18" s="242"/>
      <c r="I18" s="1422"/>
      <c r="J18" s="1416">
        <f>F19</f>
        <v>6195.6918985909997</v>
      </c>
      <c r="K18" s="1432"/>
      <c r="L18" s="726"/>
      <c r="M18" s="726"/>
      <c r="N18" s="726"/>
      <c r="O18" s="1433"/>
      <c r="P18" s="106"/>
      <c r="Q18" s="106"/>
      <c r="R18" s="106"/>
      <c r="S18" s="1416"/>
      <c r="T18" s="106"/>
      <c r="U18" s="106"/>
      <c r="V18" s="106"/>
      <c r="W18" s="1699"/>
      <c r="X18" s="1700"/>
      <c r="Y18" s="1700"/>
      <c r="Z18" s="1701"/>
      <c r="AA18" s="1412"/>
    </row>
    <row r="19" spans="3:27" x14ac:dyDescent="0.35">
      <c r="C19" s="1411"/>
      <c r="D19" s="1421"/>
      <c r="E19" s="246"/>
      <c r="F19" s="1427">
        <f>AVERAGE('Premissas Geração de Resíduos'!$D$117:$E$117)</f>
        <v>6195.6918985909997</v>
      </c>
      <c r="G19" s="1427"/>
      <c r="H19" s="243"/>
      <c r="I19" s="1422"/>
      <c r="J19" s="1704">
        <f>G20</f>
        <v>79.0994627818</v>
      </c>
      <c r="K19" s="1432"/>
      <c r="L19" s="726"/>
      <c r="M19" s="726"/>
      <c r="N19" s="726"/>
      <c r="O19" s="1433"/>
      <c r="P19" s="106"/>
      <c r="Q19" s="106"/>
      <c r="R19" s="106"/>
      <c r="S19" s="106"/>
      <c r="T19" s="106"/>
      <c r="U19" s="106"/>
      <c r="V19" s="106"/>
      <c r="W19" s="1439"/>
      <c r="X19" s="1440"/>
      <c r="Y19" s="1440"/>
      <c r="Z19" s="1441"/>
      <c r="AA19" s="1412"/>
    </row>
    <row r="20" spans="3:27" x14ac:dyDescent="0.35">
      <c r="C20" s="1411"/>
      <c r="D20" s="1421"/>
      <c r="E20" s="1447">
        <f>AVERAGE('Premissas Geração de Resíduos'!$D$100:$E$100)</f>
        <v>395.49731390899996</v>
      </c>
      <c r="F20" s="53"/>
      <c r="G20" s="1705">
        <f>E20*0.2</f>
        <v>79.0994627818</v>
      </c>
      <c r="H20" s="244"/>
      <c r="I20" s="1422"/>
      <c r="J20" s="106"/>
      <c r="K20" s="1432"/>
      <c r="L20" s="726"/>
      <c r="M20" s="726"/>
      <c r="N20" s="726"/>
      <c r="O20" s="1433"/>
      <c r="P20" s="106"/>
      <c r="Q20" s="106"/>
      <c r="R20" s="106"/>
      <c r="S20" s="1704"/>
      <c r="T20" s="106"/>
      <c r="U20" s="106"/>
      <c r="V20" s="106"/>
      <c r="W20" s="1439"/>
      <c r="X20" s="1440"/>
      <c r="Y20" s="1440"/>
      <c r="Z20" s="1441"/>
      <c r="AA20" s="1412"/>
    </row>
    <row r="21" spans="3:27" x14ac:dyDescent="0.35">
      <c r="C21" s="1411"/>
      <c r="D21" s="1421"/>
      <c r="E21" s="349"/>
      <c r="F21" s="349"/>
      <c r="G21" s="349"/>
      <c r="H21" s="349"/>
      <c r="I21" s="1422"/>
      <c r="J21" s="106"/>
      <c r="K21" s="1432"/>
      <c r="L21" s="726"/>
      <c r="M21" s="726"/>
      <c r="N21" s="726"/>
      <c r="O21" s="1433"/>
      <c r="P21" s="106"/>
      <c r="Q21" s="106"/>
      <c r="R21" s="106"/>
      <c r="S21" s="106"/>
      <c r="T21" s="106"/>
      <c r="U21" s="106"/>
      <c r="V21" s="106"/>
      <c r="W21" s="1439"/>
      <c r="X21" s="1440"/>
      <c r="Y21" s="1440"/>
      <c r="Z21" s="1441"/>
      <c r="AA21" s="1412"/>
    </row>
    <row r="22" spans="3:27" x14ac:dyDescent="0.35">
      <c r="C22" s="1411"/>
      <c r="D22" s="1421"/>
      <c r="E22" s="245"/>
      <c r="F22" s="1430" t="s">
        <v>3</v>
      </c>
      <c r="G22" s="1430"/>
      <c r="H22" s="242"/>
      <c r="I22" s="1422"/>
      <c r="J22" s="106"/>
      <c r="K22" s="1432"/>
      <c r="L22" s="726"/>
      <c r="M22" s="726"/>
      <c r="N22" s="726"/>
      <c r="O22" s="1433"/>
      <c r="P22" s="106"/>
      <c r="Q22" s="106"/>
      <c r="R22" s="106"/>
      <c r="S22" s="106"/>
      <c r="T22" s="106"/>
      <c r="U22" s="106"/>
      <c r="V22" s="106"/>
      <c r="W22" s="1439"/>
      <c r="X22" s="1440"/>
      <c r="Y22" s="1440"/>
      <c r="Z22" s="1441"/>
      <c r="AA22" s="1412"/>
    </row>
    <row r="23" spans="3:27" x14ac:dyDescent="0.35">
      <c r="C23" s="1411"/>
      <c r="D23" s="1421"/>
      <c r="E23" s="246"/>
      <c r="F23" s="1427">
        <f>AVERAGE('Premissas Geração de Resíduos'!$D$118:$E$118)</f>
        <v>777.58214400000008</v>
      </c>
      <c r="G23" s="1427"/>
      <c r="H23" s="243"/>
      <c r="I23" s="1422"/>
      <c r="J23" s="106"/>
      <c r="K23" s="1432"/>
      <c r="L23" s="726"/>
      <c r="M23" s="726"/>
      <c r="N23" s="726"/>
      <c r="O23" s="1433"/>
      <c r="P23" s="106"/>
      <c r="Q23" s="106"/>
      <c r="R23" s="106"/>
      <c r="S23" s="106"/>
      <c r="T23" s="106"/>
      <c r="U23" s="106"/>
      <c r="V23" s="106"/>
      <c r="W23" s="1439"/>
      <c r="X23" s="1440"/>
      <c r="Y23" s="1440"/>
      <c r="Z23" s="1441"/>
      <c r="AA23" s="1412"/>
    </row>
    <row r="24" spans="3:27" x14ac:dyDescent="0.35">
      <c r="C24" s="1411"/>
      <c r="D24" s="1421"/>
      <c r="E24" s="246"/>
      <c r="F24" s="1428">
        <f>AVERAGE('Premissas Geração de Resíduos'!$D$101:$E$101)</f>
        <v>0</v>
      </c>
      <c r="G24" s="1428"/>
      <c r="H24" s="243"/>
      <c r="I24" s="1422"/>
      <c r="J24" s="106"/>
      <c r="K24" s="1432"/>
      <c r="L24" s="726"/>
      <c r="M24" s="726"/>
      <c r="N24" s="726"/>
      <c r="O24" s="1433"/>
      <c r="P24" s="106"/>
      <c r="Q24" s="106"/>
      <c r="R24" s="106"/>
      <c r="S24" s="106"/>
      <c r="T24" s="106"/>
      <c r="U24" s="106"/>
      <c r="V24" s="106"/>
      <c r="W24" s="1439"/>
      <c r="X24" s="1440"/>
      <c r="Y24" s="1440"/>
      <c r="Z24" s="1441"/>
      <c r="AA24" s="1412"/>
    </row>
    <row r="25" spans="3:27" x14ac:dyDescent="0.35">
      <c r="C25" s="1411"/>
      <c r="D25" s="1421"/>
      <c r="E25" s="246"/>
      <c r="F25" s="1431" t="s">
        <v>9</v>
      </c>
      <c r="G25" s="1431"/>
      <c r="H25" s="243"/>
      <c r="I25" s="1422"/>
      <c r="J25" s="106"/>
      <c r="K25" s="1432"/>
      <c r="L25" s="726"/>
      <c r="M25" s="726"/>
      <c r="N25" s="726"/>
      <c r="O25" s="1433"/>
      <c r="P25" s="106"/>
      <c r="Q25" s="106"/>
      <c r="R25" s="106"/>
      <c r="S25" s="1416">
        <f>J18+J26+J36+J41</f>
        <v>66643.269618090999</v>
      </c>
      <c r="T25" s="1416"/>
      <c r="U25" s="106"/>
      <c r="V25" s="106"/>
      <c r="W25" s="1439"/>
      <c r="X25" s="1440"/>
      <c r="Y25" s="1440"/>
      <c r="Z25" s="1441"/>
      <c r="AA25" s="1412"/>
    </row>
    <row r="26" spans="3:27" x14ac:dyDescent="0.35">
      <c r="C26" s="1411"/>
      <c r="D26" s="1421"/>
      <c r="E26" s="246"/>
      <c r="F26" s="1427">
        <f>AVERAGE('Premissas Geração de Resíduos'!$D$124:$E$124)</f>
        <v>2761.1546964999998</v>
      </c>
      <c r="G26" s="1427"/>
      <c r="H26" s="243"/>
      <c r="I26" s="1422"/>
      <c r="J26" s="1416">
        <f>F23+F26+F29</f>
        <v>5404.1861664999997</v>
      </c>
      <c r="K26" s="1432"/>
      <c r="L26" s="726"/>
      <c r="M26" s="726"/>
      <c r="N26" s="726"/>
      <c r="O26" s="1433"/>
      <c r="P26" s="106"/>
      <c r="Q26" s="106"/>
      <c r="R26" s="106"/>
      <c r="S26" s="106"/>
      <c r="T26" s="106"/>
      <c r="U26" s="106"/>
      <c r="V26" s="106"/>
      <c r="W26" s="1439"/>
      <c r="X26" s="1440"/>
      <c r="Y26" s="1440"/>
      <c r="Z26" s="1441"/>
      <c r="AA26" s="1412"/>
    </row>
    <row r="27" spans="3:27" x14ac:dyDescent="0.35">
      <c r="C27" s="1411"/>
      <c r="D27" s="1421"/>
      <c r="E27" s="246"/>
      <c r="F27" s="1428">
        <f>AVERAGE('Premissas Geração de Resíduos'!$D$107:$E$107)</f>
        <v>0</v>
      </c>
      <c r="G27" s="1428"/>
      <c r="H27" s="243"/>
      <c r="I27" s="1422"/>
      <c r="J27" s="1704">
        <f>F24+F27+F30</f>
        <v>0</v>
      </c>
      <c r="K27" s="1432"/>
      <c r="L27" s="726"/>
      <c r="M27" s="726"/>
      <c r="N27" s="726"/>
      <c r="O27" s="1433"/>
      <c r="P27" s="106"/>
      <c r="Q27" s="106"/>
      <c r="R27" s="106"/>
      <c r="S27" s="1704">
        <f>J19+J27+J37+J42</f>
        <v>79.0994627818</v>
      </c>
      <c r="T27" s="1417"/>
      <c r="U27" s="106"/>
      <c r="V27" s="106"/>
      <c r="W27" s="1439"/>
      <c r="X27" s="1440"/>
      <c r="Y27" s="1440"/>
      <c r="Z27" s="1441"/>
      <c r="AA27" s="1412"/>
    </row>
    <row r="28" spans="3:27" x14ac:dyDescent="0.35">
      <c r="C28" s="1411"/>
      <c r="D28" s="1421"/>
      <c r="E28" s="246"/>
      <c r="F28" s="1431" t="s">
        <v>4</v>
      </c>
      <c r="G28" s="1431"/>
      <c r="H28" s="243"/>
      <c r="I28" s="1422"/>
      <c r="J28" s="106"/>
      <c r="K28" s="1434"/>
      <c r="L28" s="726"/>
      <c r="M28" s="726"/>
      <c r="N28" s="726"/>
      <c r="O28" s="1433"/>
      <c r="P28" s="106"/>
      <c r="Q28" s="106"/>
      <c r="R28" s="106"/>
      <c r="S28" s="106"/>
      <c r="T28" s="106"/>
      <c r="U28" s="106"/>
      <c r="V28" s="106"/>
      <c r="W28" s="1439"/>
      <c r="X28" s="1440"/>
      <c r="Y28" s="1440"/>
      <c r="Z28" s="1441"/>
      <c r="AA28" s="1412"/>
    </row>
    <row r="29" spans="3:27" x14ac:dyDescent="0.35">
      <c r="C29" s="1411"/>
      <c r="D29" s="1421"/>
      <c r="E29" s="246"/>
      <c r="F29" s="1427">
        <f>AVERAGE('Premissas Geração de Resíduos'!$D$119:$E$119)</f>
        <v>1865.4493259999999</v>
      </c>
      <c r="G29" s="1427"/>
      <c r="H29" s="243"/>
      <c r="I29" s="1422"/>
      <c r="J29" s="106"/>
      <c r="K29" s="1435"/>
      <c r="L29" s="726"/>
      <c r="M29" s="726"/>
      <c r="N29" s="726"/>
      <c r="O29" s="1433"/>
      <c r="P29" s="106"/>
      <c r="Q29" s="106"/>
      <c r="R29" s="106"/>
      <c r="S29" s="106"/>
      <c r="T29" s="106"/>
      <c r="U29" s="106"/>
      <c r="V29" s="106"/>
      <c r="W29" s="1439"/>
      <c r="X29" s="1416">
        <f>S25</f>
        <v>66643.269618090999</v>
      </c>
      <c r="Y29" s="1416" t="s">
        <v>182</v>
      </c>
      <c r="Z29" s="1441"/>
      <c r="AA29" s="1412"/>
    </row>
    <row r="30" spans="3:27" x14ac:dyDescent="0.35">
      <c r="C30" s="1411"/>
      <c r="D30" s="1421"/>
      <c r="E30" s="246"/>
      <c r="F30" s="1428">
        <f>AVERAGE('Premissas Geração de Resíduos'!$D$102:$E$102)</f>
        <v>0</v>
      </c>
      <c r="G30" s="1428"/>
      <c r="H30" s="243"/>
      <c r="I30" s="1422"/>
      <c r="J30" s="106"/>
      <c r="K30" s="1432"/>
      <c r="L30" s="726"/>
      <c r="M30" s="726"/>
      <c r="N30" s="726"/>
      <c r="O30" s="1433"/>
      <c r="P30" s="106"/>
      <c r="Q30" s="106"/>
      <c r="R30" s="106"/>
      <c r="S30" s="106"/>
      <c r="T30" s="106"/>
      <c r="U30" s="106"/>
      <c r="V30" s="106"/>
      <c r="W30" s="1439"/>
      <c r="X30" s="1704">
        <f>S27</f>
        <v>79.0994627818</v>
      </c>
      <c r="Y30" s="1704" t="s">
        <v>183</v>
      </c>
      <c r="Z30" s="1441"/>
      <c r="AA30" s="1412"/>
    </row>
    <row r="31" spans="3:27" x14ac:dyDescent="0.35">
      <c r="C31" s="1411"/>
      <c r="D31" s="1421"/>
      <c r="E31" s="1447"/>
      <c r="F31" s="53"/>
      <c r="G31" s="1705"/>
      <c r="H31" s="244"/>
      <c r="I31" s="1422"/>
      <c r="J31" s="106"/>
      <c r="K31" s="1432"/>
      <c r="L31" s="726"/>
      <c r="M31" s="726"/>
      <c r="N31" s="726"/>
      <c r="O31" s="1433"/>
      <c r="P31" s="106"/>
      <c r="Q31" s="106"/>
      <c r="R31" s="106"/>
      <c r="S31" s="106"/>
      <c r="T31" s="106"/>
      <c r="U31" s="106"/>
      <c r="V31" s="106"/>
      <c r="W31" s="1439"/>
      <c r="X31" s="1440"/>
      <c r="Y31" s="1440"/>
      <c r="Z31" s="1441"/>
      <c r="AA31" s="1412"/>
    </row>
    <row r="32" spans="3:27" x14ac:dyDescent="0.35">
      <c r="C32" s="1411"/>
      <c r="D32" s="1421"/>
      <c r="E32" s="349"/>
      <c r="F32" s="349"/>
      <c r="G32" s="349"/>
      <c r="H32" s="349"/>
      <c r="I32" s="1422"/>
      <c r="J32" s="106"/>
      <c r="K32" s="1432"/>
      <c r="L32" s="726"/>
      <c r="M32" s="726"/>
      <c r="N32" s="726"/>
      <c r="O32" s="1433"/>
      <c r="P32" s="106"/>
      <c r="Q32" s="106"/>
      <c r="R32" s="106"/>
      <c r="S32" s="106"/>
      <c r="T32" s="106"/>
      <c r="U32" s="106"/>
      <c r="V32" s="106"/>
      <c r="W32" s="1439"/>
      <c r="X32" s="1440"/>
      <c r="Y32" s="1440"/>
      <c r="Z32" s="1441"/>
      <c r="AA32" s="1412"/>
    </row>
    <row r="33" spans="3:27" x14ac:dyDescent="0.35">
      <c r="C33" s="1411"/>
      <c r="D33" s="1421"/>
      <c r="E33" s="245"/>
      <c r="F33" s="1430" t="s">
        <v>6</v>
      </c>
      <c r="G33" s="1430"/>
      <c r="H33" s="242"/>
      <c r="I33" s="1422"/>
      <c r="J33" s="106"/>
      <c r="K33" s="1432"/>
      <c r="L33" s="726"/>
      <c r="M33" s="726"/>
      <c r="N33" s="726"/>
      <c r="O33" s="1433"/>
      <c r="P33" s="106"/>
      <c r="Q33" s="106"/>
      <c r="R33" s="106"/>
      <c r="S33" s="106"/>
      <c r="T33" s="106"/>
      <c r="U33" s="106"/>
      <c r="V33" s="106"/>
      <c r="W33" s="1439"/>
      <c r="X33" s="1440"/>
      <c r="Y33" s="1440"/>
      <c r="Z33" s="1441"/>
      <c r="AA33" s="1412"/>
    </row>
    <row r="34" spans="3:27" x14ac:dyDescent="0.35">
      <c r="C34" s="1411"/>
      <c r="D34" s="1421"/>
      <c r="E34" s="246"/>
      <c r="F34" s="1427">
        <f>AVERAGE('Premissas Geração de Resíduos'!$D$121:$E$121)</f>
        <v>46547.547730000006</v>
      </c>
      <c r="G34" s="1427"/>
      <c r="H34" s="243"/>
      <c r="I34" s="1422"/>
      <c r="J34" s="106"/>
      <c r="K34" s="1434"/>
      <c r="L34" s="726"/>
      <c r="M34" s="726"/>
      <c r="N34" s="726"/>
      <c r="O34" s="1433"/>
      <c r="P34" s="106"/>
      <c r="Q34" s="106"/>
      <c r="R34" s="106"/>
      <c r="S34" s="106"/>
      <c r="T34" s="106"/>
      <c r="U34" s="106"/>
      <c r="V34" s="106"/>
      <c r="W34" s="1439"/>
      <c r="X34" s="1440"/>
      <c r="Y34" s="1440"/>
      <c r="Z34" s="1441"/>
      <c r="AA34" s="1412"/>
    </row>
    <row r="35" spans="3:27" x14ac:dyDescent="0.35">
      <c r="C35" s="1411"/>
      <c r="D35" s="1421"/>
      <c r="E35" s="246"/>
      <c r="F35" s="1428">
        <f>AVERAGE('Premissas Geração de Resíduos'!$D$104:$E$104)</f>
        <v>0</v>
      </c>
      <c r="G35" s="1428"/>
      <c r="H35" s="243"/>
      <c r="I35" s="1422"/>
      <c r="J35" s="106"/>
      <c r="K35" s="1435"/>
      <c r="L35" s="726"/>
      <c r="M35" s="726"/>
      <c r="N35" s="726"/>
      <c r="O35" s="1433"/>
      <c r="P35" s="106"/>
      <c r="Q35" s="106"/>
      <c r="R35" s="106"/>
      <c r="S35" s="106"/>
      <c r="T35" s="106"/>
      <c r="U35" s="106"/>
      <c r="V35" s="106"/>
      <c r="W35" s="1439"/>
      <c r="X35" s="1440"/>
      <c r="Y35" s="1440"/>
      <c r="Z35" s="1441"/>
      <c r="AA35" s="1412"/>
    </row>
    <row r="36" spans="3:27" x14ac:dyDescent="0.35">
      <c r="C36" s="1411"/>
      <c r="D36" s="1421"/>
      <c r="E36" s="246"/>
      <c r="F36" s="1431" t="s">
        <v>5</v>
      </c>
      <c r="G36" s="1431"/>
      <c r="H36" s="243"/>
      <c r="I36" s="1422"/>
      <c r="J36" s="1416">
        <f>F34+F37</f>
        <v>50879.461626500008</v>
      </c>
      <c r="K36" s="1432"/>
      <c r="L36" s="726"/>
      <c r="M36" s="726"/>
      <c r="N36" s="726"/>
      <c r="O36" s="1433"/>
      <c r="P36" s="106"/>
      <c r="Q36" s="106"/>
      <c r="R36" s="106"/>
      <c r="S36" s="106"/>
      <c r="T36" s="106"/>
      <c r="U36" s="106"/>
      <c r="V36" s="106"/>
      <c r="W36" s="1439"/>
      <c r="X36" s="1440"/>
      <c r="Y36" s="1440"/>
      <c r="Z36" s="1441"/>
      <c r="AA36" s="1412"/>
    </row>
    <row r="37" spans="3:27" x14ac:dyDescent="0.35">
      <c r="C37" s="1411"/>
      <c r="D37" s="1421"/>
      <c r="E37" s="246"/>
      <c r="F37" s="1427">
        <f>AVERAGE('Premissas Geração de Resíduos'!$D$120:$E$120)</f>
        <v>4331.9138965000002</v>
      </c>
      <c r="G37" s="1427"/>
      <c r="H37" s="243"/>
      <c r="I37" s="1422"/>
      <c r="J37" s="1417">
        <f>F35+F38</f>
        <v>0</v>
      </c>
      <c r="K37" s="1432"/>
      <c r="L37" s="726"/>
      <c r="M37" s="726"/>
      <c r="N37" s="726"/>
      <c r="O37" s="1433"/>
      <c r="P37" s="106"/>
      <c r="Q37" s="106"/>
      <c r="R37" s="106"/>
      <c r="S37" s="106"/>
      <c r="T37" s="106"/>
      <c r="U37" s="106"/>
      <c r="V37" s="106"/>
      <c r="W37" s="1439"/>
      <c r="X37" s="1440"/>
      <c r="Y37" s="1440"/>
      <c r="Z37" s="1441"/>
      <c r="AA37" s="1412"/>
    </row>
    <row r="38" spans="3:27" x14ac:dyDescent="0.35">
      <c r="C38" s="1411"/>
      <c r="D38" s="1421"/>
      <c r="E38" s="246"/>
      <c r="F38" s="1428">
        <f>AVERAGE('Premissas Geração de Resíduos'!$D$103:$E$103)</f>
        <v>0</v>
      </c>
      <c r="G38" s="1428"/>
      <c r="H38" s="243"/>
      <c r="I38" s="1422"/>
      <c r="J38" s="106"/>
      <c r="K38" s="1432"/>
      <c r="L38" s="726"/>
      <c r="M38" s="726"/>
      <c r="N38" s="726"/>
      <c r="O38" s="1433"/>
      <c r="P38" s="106"/>
      <c r="Q38" s="106"/>
      <c r="R38" s="106"/>
      <c r="S38" s="106"/>
      <c r="T38" s="106"/>
      <c r="U38" s="106"/>
      <c r="V38" s="106"/>
      <c r="W38" s="1439"/>
      <c r="X38" s="1440"/>
      <c r="Y38" s="1440"/>
      <c r="Z38" s="1441"/>
      <c r="AA38" s="1412"/>
    </row>
    <row r="39" spans="3:27" x14ac:dyDescent="0.35">
      <c r="C39" s="1411"/>
      <c r="D39" s="1421"/>
      <c r="E39" s="247"/>
      <c r="F39" s="1429"/>
      <c r="G39" s="1429"/>
      <c r="H39" s="244"/>
      <c r="I39" s="1422"/>
      <c r="J39" s="1417"/>
      <c r="K39" s="1435"/>
      <c r="L39" s="726"/>
      <c r="M39" s="726"/>
      <c r="N39" s="726"/>
      <c r="O39" s="1433"/>
      <c r="P39" s="106"/>
      <c r="Q39" s="106"/>
      <c r="R39" s="106"/>
      <c r="S39" s="1417"/>
      <c r="T39" s="1417"/>
      <c r="U39" s="106"/>
      <c r="V39" s="106"/>
      <c r="W39" s="1439"/>
      <c r="X39" s="1440"/>
      <c r="Y39" s="1440"/>
      <c r="Z39" s="1441"/>
      <c r="AA39" s="1412"/>
    </row>
    <row r="40" spans="3:27" x14ac:dyDescent="0.35">
      <c r="C40" s="1411"/>
      <c r="D40" s="1421"/>
      <c r="E40" s="349"/>
      <c r="F40" s="349"/>
      <c r="G40" s="349"/>
      <c r="H40" s="349"/>
      <c r="I40" s="1422"/>
      <c r="J40" s="106"/>
      <c r="K40" s="1432"/>
      <c r="L40" s="726"/>
      <c r="M40" s="726"/>
      <c r="N40" s="726"/>
      <c r="O40" s="1433"/>
      <c r="P40" s="106"/>
      <c r="Q40" s="106"/>
      <c r="R40" s="106"/>
      <c r="S40" s="106"/>
      <c r="T40" s="106"/>
      <c r="U40" s="106"/>
      <c r="V40" s="106"/>
      <c r="W40" s="1439"/>
      <c r="X40" s="1440"/>
      <c r="Y40" s="1440"/>
      <c r="Z40" s="1441"/>
      <c r="AA40" s="1412"/>
    </row>
    <row r="41" spans="3:27" x14ac:dyDescent="0.35">
      <c r="C41" s="1411"/>
      <c r="D41" s="1421"/>
      <c r="E41" s="245"/>
      <c r="F41" s="1430" t="s">
        <v>7</v>
      </c>
      <c r="G41" s="1430"/>
      <c r="H41" s="242"/>
      <c r="I41" s="1422"/>
      <c r="J41" s="1416">
        <f>F42</f>
        <v>4163.9299264999991</v>
      </c>
      <c r="K41" s="1434"/>
      <c r="L41" s="726"/>
      <c r="M41" s="726"/>
      <c r="N41" s="726"/>
      <c r="O41" s="1433"/>
      <c r="P41" s="106"/>
      <c r="Q41" s="106"/>
      <c r="R41" s="106"/>
      <c r="S41" s="1416"/>
      <c r="T41" s="1416"/>
      <c r="U41" s="106"/>
      <c r="V41" s="106"/>
      <c r="W41" s="1439"/>
      <c r="X41" s="1440"/>
      <c r="Y41" s="1440"/>
      <c r="Z41" s="1441"/>
      <c r="AA41" s="1412"/>
    </row>
    <row r="42" spans="3:27" x14ac:dyDescent="0.35">
      <c r="C42" s="1411"/>
      <c r="D42" s="1421"/>
      <c r="E42" s="246"/>
      <c r="F42" s="1427">
        <f>AVERAGE('Premissas Geração de Resíduos'!D122:E122)</f>
        <v>4163.9299264999991</v>
      </c>
      <c r="G42" s="1427"/>
      <c r="H42" s="243"/>
      <c r="I42" s="1422"/>
      <c r="J42" s="1417">
        <f>F43</f>
        <v>0</v>
      </c>
      <c r="K42" s="1435"/>
      <c r="L42" s="726"/>
      <c r="M42" s="726"/>
      <c r="N42" s="726"/>
      <c r="O42" s="1433"/>
      <c r="P42" s="106"/>
      <c r="Q42" s="106"/>
      <c r="R42" s="106"/>
      <c r="S42" s="1417"/>
      <c r="T42" s="1417"/>
      <c r="U42" s="106"/>
      <c r="V42" s="106"/>
      <c r="W42" s="1439"/>
      <c r="X42" s="1440"/>
      <c r="Y42" s="1440"/>
      <c r="Z42" s="1441"/>
      <c r="AA42" s="1412"/>
    </row>
    <row r="43" spans="3:27" x14ac:dyDescent="0.35">
      <c r="C43" s="1411"/>
      <c r="D43" s="1421"/>
      <c r="E43" s="247"/>
      <c r="F43" s="1429">
        <f>AVERAGE('Premissas Geração de Resíduos'!D105:E105)</f>
        <v>0</v>
      </c>
      <c r="G43" s="1429"/>
      <c r="H43" s="244"/>
      <c r="I43" s="1422"/>
      <c r="J43" s="106"/>
      <c r="K43" s="1432"/>
      <c r="L43" s="726"/>
      <c r="M43" s="726"/>
      <c r="N43" s="726"/>
      <c r="O43" s="1433"/>
      <c r="P43" s="106"/>
      <c r="Q43" s="106"/>
      <c r="R43" s="106"/>
      <c r="S43" s="106"/>
      <c r="T43" s="106"/>
      <c r="U43" s="106"/>
      <c r="V43" s="106"/>
      <c r="W43" s="1439"/>
      <c r="X43" s="1440"/>
      <c r="Y43" s="1440"/>
      <c r="Z43" s="1441"/>
      <c r="AA43" s="1412"/>
    </row>
    <row r="44" spans="3:27" x14ac:dyDescent="0.35">
      <c r="C44" s="1411"/>
      <c r="D44" s="1424"/>
      <c r="E44" s="1426"/>
      <c r="F44" s="1426"/>
      <c r="G44" s="1426"/>
      <c r="H44" s="1426"/>
      <c r="I44" s="1425"/>
      <c r="J44" s="106"/>
      <c r="K44" s="1436"/>
      <c r="L44" s="1437"/>
      <c r="M44" s="1437"/>
      <c r="N44" s="1437"/>
      <c r="O44" s="1438"/>
      <c r="P44" s="106"/>
      <c r="Q44" s="106"/>
      <c r="R44" s="106"/>
      <c r="S44" s="106"/>
      <c r="T44" s="106"/>
      <c r="U44" s="106"/>
      <c r="V44" s="106"/>
      <c r="W44" s="1442"/>
      <c r="X44" s="1443"/>
      <c r="Y44" s="1443"/>
      <c r="Z44" s="1444"/>
      <c r="AA44" s="1412"/>
    </row>
    <row r="45" spans="3:27" ht="3.75" customHeight="1" x14ac:dyDescent="0.35">
      <c r="C45" s="1411"/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  <c r="S45" s="106"/>
      <c r="T45" s="106"/>
      <c r="U45" s="106"/>
      <c r="V45" s="106"/>
      <c r="W45" s="106"/>
      <c r="X45" s="106"/>
      <c r="Y45" s="106"/>
      <c r="Z45" s="106"/>
      <c r="AA45" s="1412"/>
    </row>
    <row r="46" spans="3:27" ht="15" thickBot="1" x14ac:dyDescent="0.4">
      <c r="C46" s="1413"/>
      <c r="D46" s="1414"/>
      <c r="E46" s="1414" t="s">
        <v>184</v>
      </c>
      <c r="F46" s="1414"/>
      <c r="G46" s="1414"/>
      <c r="H46" s="1414"/>
      <c r="I46" s="1414"/>
      <c r="J46" s="1414"/>
      <c r="K46" s="1414"/>
      <c r="L46" s="1414"/>
      <c r="M46" s="1414"/>
      <c r="N46" s="1414"/>
      <c r="O46" s="1414"/>
      <c r="P46" s="1414"/>
      <c r="Q46" s="1414"/>
      <c r="R46" s="1414"/>
      <c r="S46" s="1414"/>
      <c r="T46" s="1414"/>
      <c r="U46" s="1414"/>
      <c r="V46" s="1414"/>
      <c r="W46" s="1414"/>
      <c r="X46" s="1414"/>
      <c r="Y46" s="1414"/>
      <c r="Z46" s="1414"/>
      <c r="AA46" s="1415"/>
    </row>
    <row r="47" spans="3:27" ht="15" thickBot="1" x14ac:dyDescent="0.4"/>
    <row r="48" spans="3:27" x14ac:dyDescent="0.35">
      <c r="C48" s="1408"/>
      <c r="D48" s="1409"/>
      <c r="E48" s="1409"/>
      <c r="F48" s="1409"/>
      <c r="G48" s="1409"/>
      <c r="H48" s="1409"/>
      <c r="I48" s="1409"/>
      <c r="J48" s="1409"/>
      <c r="K48" s="1409"/>
      <c r="L48" s="1409"/>
      <c r="M48" s="1409"/>
      <c r="N48" s="1409"/>
      <c r="O48" s="1409"/>
      <c r="P48" s="1409"/>
      <c r="Q48" s="1409"/>
      <c r="R48" s="1409"/>
      <c r="S48" s="1409"/>
      <c r="T48" s="1409"/>
      <c r="U48" s="1409"/>
      <c r="V48" s="1409"/>
      <c r="W48" s="1409"/>
      <c r="X48" s="1409"/>
      <c r="Y48" s="1409"/>
      <c r="Z48" s="1409"/>
      <c r="AA48" s="1410"/>
    </row>
    <row r="49" spans="3:27" ht="18.5" x14ac:dyDescent="0.45">
      <c r="C49" s="1411"/>
      <c r="D49" s="106"/>
      <c r="E49" s="1911" t="s">
        <v>185</v>
      </c>
      <c r="F49" s="1911"/>
      <c r="G49" s="1911"/>
      <c r="H49" s="1911"/>
      <c r="I49" s="1911"/>
      <c r="J49" s="1911"/>
      <c r="K49" s="1911"/>
      <c r="L49" s="1911"/>
      <c r="M49" s="1911"/>
      <c r="N49" s="1911"/>
      <c r="O49" s="1911"/>
      <c r="P49" s="1911"/>
      <c r="Q49" s="1911"/>
      <c r="R49" s="1911"/>
      <c r="S49" s="1911"/>
      <c r="T49" s="1911"/>
      <c r="U49" s="1911"/>
      <c r="V49" s="1911"/>
      <c r="W49" s="1911"/>
      <c r="X49" s="1911"/>
      <c r="Y49" s="1911"/>
      <c r="Z49" s="1911"/>
      <c r="AA49" s="1912"/>
    </row>
    <row r="50" spans="3:27" x14ac:dyDescent="0.35">
      <c r="C50" s="1411"/>
      <c r="D50" s="106"/>
      <c r="E50" s="106"/>
      <c r="F50" s="106"/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6"/>
      <c r="W50" s="106"/>
      <c r="X50" s="106"/>
      <c r="Y50" s="106"/>
      <c r="Z50" s="106"/>
      <c r="AA50" s="1412"/>
    </row>
    <row r="51" spans="3:27" x14ac:dyDescent="0.35">
      <c r="C51" s="1411"/>
      <c r="D51" s="1419"/>
      <c r="E51" s="1913" t="s">
        <v>179</v>
      </c>
      <c r="F51" s="1913"/>
      <c r="G51" s="1913"/>
      <c r="H51" s="1913"/>
      <c r="I51" s="1420"/>
      <c r="J51" s="106"/>
      <c r="K51" s="1914" t="s">
        <v>180</v>
      </c>
      <c r="L51" s="1915"/>
      <c r="M51" s="1915"/>
      <c r="N51" s="1915"/>
      <c r="O51" s="1916"/>
      <c r="P51" s="106"/>
      <c r="Q51" s="1469"/>
      <c r="R51" s="1291"/>
      <c r="S51" s="1470" t="s">
        <v>186</v>
      </c>
      <c r="T51" s="1470"/>
      <c r="U51" s="1471"/>
      <c r="V51" s="106"/>
      <c r="W51" s="1917" t="s">
        <v>181</v>
      </c>
      <c r="X51" s="1918"/>
      <c r="Y51" s="1918"/>
      <c r="Z51" s="1919"/>
      <c r="AA51" s="1412"/>
    </row>
    <row r="52" spans="3:27" x14ac:dyDescent="0.35">
      <c r="C52" s="1411"/>
      <c r="D52" s="1421"/>
      <c r="E52" s="349"/>
      <c r="F52" s="349"/>
      <c r="G52" s="349"/>
      <c r="H52" s="349"/>
      <c r="I52" s="1422"/>
      <c r="J52" s="106"/>
      <c r="K52" s="1432"/>
      <c r="L52" s="726"/>
      <c r="M52" s="726"/>
      <c r="N52" s="726"/>
      <c r="O52" s="1433"/>
      <c r="P52" s="106"/>
      <c r="Q52" s="1472"/>
      <c r="R52" s="1473"/>
      <c r="S52" s="1473"/>
      <c r="T52" s="1473"/>
      <c r="U52" s="1474"/>
      <c r="V52" s="106"/>
      <c r="W52" s="1439"/>
      <c r="X52" s="1440"/>
      <c r="Y52" s="1440"/>
      <c r="Z52" s="1441"/>
      <c r="AA52" s="1412"/>
    </row>
    <row r="53" spans="3:27" x14ac:dyDescent="0.35">
      <c r="C53" s="1411"/>
      <c r="D53" s="1421"/>
      <c r="E53" s="1920" t="s">
        <v>1</v>
      </c>
      <c r="F53" s="1921"/>
      <c r="G53" s="1921"/>
      <c r="H53" s="1922"/>
      <c r="I53" s="1422"/>
      <c r="J53" s="106"/>
      <c r="K53" s="1432"/>
      <c r="L53" s="726"/>
      <c r="M53" s="726"/>
      <c r="N53" s="726"/>
      <c r="O53" s="1433"/>
      <c r="P53" s="106"/>
      <c r="Q53" s="1472"/>
      <c r="R53" s="1473"/>
      <c r="S53" s="1473"/>
      <c r="T53" s="1473"/>
      <c r="U53" s="1474"/>
      <c r="V53" s="106"/>
      <c r="W53" s="1439"/>
      <c r="X53" s="1440"/>
      <c r="Y53" s="1440"/>
      <c r="Z53" s="1441"/>
      <c r="AA53" s="1412"/>
    </row>
    <row r="54" spans="3:27" x14ac:dyDescent="0.35">
      <c r="C54" s="1411"/>
      <c r="D54" s="1421"/>
      <c r="E54" s="246"/>
      <c r="F54" s="1427">
        <f>AVERAGE('Premissas Geração de Resíduos'!$F$116:$G$116)</f>
        <v>514.07537135100006</v>
      </c>
      <c r="G54" s="1427"/>
      <c r="H54" s="243"/>
      <c r="I54" s="1422"/>
      <c r="J54" s="106"/>
      <c r="K54" s="1432"/>
      <c r="L54" s="726"/>
      <c r="M54" s="726"/>
      <c r="N54" s="726"/>
      <c r="O54" s="1433"/>
      <c r="P54" s="106"/>
      <c r="Q54" s="1472"/>
      <c r="R54" s="1473"/>
      <c r="S54" s="1473"/>
      <c r="T54" s="1473"/>
      <c r="U54" s="1474"/>
      <c r="V54" s="106"/>
      <c r="W54" s="1439"/>
      <c r="X54" s="1440"/>
      <c r="Y54" s="1440"/>
      <c r="Z54" s="1441"/>
      <c r="AA54" s="1412"/>
    </row>
    <row r="55" spans="3:27" x14ac:dyDescent="0.35">
      <c r="C55" s="1411"/>
      <c r="D55" s="1421"/>
      <c r="E55" s="246"/>
      <c r="F55" s="1428">
        <f>AVERAGE('Premissas Geração de Resíduos'!$F$99:$G$99)</f>
        <v>41.081617149000003</v>
      </c>
      <c r="G55" s="1428"/>
      <c r="H55" s="243"/>
      <c r="I55" s="1423"/>
      <c r="J55" s="106"/>
      <c r="K55" s="1432"/>
      <c r="L55" s="726"/>
      <c r="M55" s="726"/>
      <c r="N55" s="726"/>
      <c r="O55" s="1433"/>
      <c r="P55" s="106"/>
      <c r="Q55" s="1472"/>
      <c r="R55" s="1473"/>
      <c r="S55" s="1473"/>
      <c r="T55" s="1473"/>
      <c r="U55" s="1474"/>
      <c r="V55" s="106"/>
      <c r="W55" s="1439"/>
      <c r="X55" s="1440"/>
      <c r="Y55" s="1440"/>
      <c r="Z55" s="1441"/>
      <c r="AA55" s="1412"/>
    </row>
    <row r="56" spans="3:27" x14ac:dyDescent="0.35">
      <c r="C56" s="1411"/>
      <c r="D56" s="1421"/>
      <c r="E56" s="1923" t="s">
        <v>8</v>
      </c>
      <c r="F56" s="1924"/>
      <c r="G56" s="1924"/>
      <c r="H56" s="1925"/>
      <c r="I56" s="1422"/>
      <c r="J56" s="1416">
        <f>F54+F57</f>
        <v>3703.5211251189994</v>
      </c>
      <c r="K56" s="1434"/>
      <c r="L56" s="726"/>
      <c r="M56" s="726"/>
      <c r="N56" s="726"/>
      <c r="O56" s="1433"/>
      <c r="P56" s="106"/>
      <c r="Q56" s="1472"/>
      <c r="R56" s="1473"/>
      <c r="S56" s="1473"/>
      <c r="T56" s="1473"/>
      <c r="U56" s="1474"/>
      <c r="V56" s="106"/>
      <c r="W56" s="1439"/>
      <c r="X56" s="1440"/>
      <c r="Y56" s="1440"/>
      <c r="Z56" s="1441"/>
      <c r="AA56" s="1412"/>
    </row>
    <row r="57" spans="3:27" x14ac:dyDescent="0.35">
      <c r="C57" s="1411"/>
      <c r="D57" s="1421"/>
      <c r="E57" s="246"/>
      <c r="F57" s="1427">
        <f>AVERAGE('Premissas Geração de Resíduos'!$F$123:$G$123)</f>
        <v>3189.4457537679996</v>
      </c>
      <c r="G57" s="1427"/>
      <c r="H57" s="243"/>
      <c r="I57" s="1422"/>
      <c r="J57" s="1417">
        <f>F55+G58</f>
        <v>92.057639995399995</v>
      </c>
      <c r="K57" s="1435"/>
      <c r="L57" s="726"/>
      <c r="M57" s="726"/>
      <c r="N57" s="726"/>
      <c r="O57" s="1433"/>
      <c r="P57" s="106"/>
      <c r="Q57" s="1472"/>
      <c r="R57" s="1473"/>
      <c r="S57" s="1475">
        <f>P67+P81+P85+P89</f>
        <v>66342.426258895008</v>
      </c>
      <c r="T57" s="1475"/>
      <c r="U57" s="1474"/>
      <c r="V57" s="106"/>
      <c r="W57" s="1439"/>
      <c r="X57" s="1440"/>
      <c r="Y57" s="1440"/>
      <c r="Z57" s="1441"/>
      <c r="AA57" s="1412"/>
    </row>
    <row r="58" spans="3:27" x14ac:dyDescent="0.35">
      <c r="C58" s="1411"/>
      <c r="D58" s="1421"/>
      <c r="E58" s="1445">
        <f>AVERAGE('Premissas Geração de Resíduos'!$F$106:$G$106)</f>
        <v>254.88011423199998</v>
      </c>
      <c r="G58" s="1428">
        <f>E58*0.2</f>
        <v>50.976022846399999</v>
      </c>
      <c r="H58" s="243"/>
      <c r="I58" s="1422"/>
      <c r="J58" s="106"/>
      <c r="K58" s="1432"/>
      <c r="L58" s="726"/>
      <c r="M58" s="726"/>
      <c r="N58" s="726"/>
      <c r="O58" s="1433"/>
      <c r="P58" s="106"/>
      <c r="Q58" s="1472"/>
      <c r="R58" s="1473"/>
      <c r="S58" s="1476">
        <f>P69+P82+P86+P90</f>
        <v>1663.3169303617999</v>
      </c>
      <c r="T58" s="1476"/>
      <c r="U58" s="1474"/>
      <c r="V58" s="106"/>
      <c r="W58" s="1439"/>
      <c r="X58" s="1440"/>
      <c r="Y58" s="1440"/>
      <c r="Z58" s="1441"/>
      <c r="AA58" s="1412"/>
    </row>
    <row r="59" spans="3:27" x14ac:dyDescent="0.35">
      <c r="C59" s="1411"/>
      <c r="D59" s="1421"/>
      <c r="E59" s="246"/>
      <c r="F59" s="77"/>
      <c r="G59" s="77"/>
      <c r="H59" s="243"/>
      <c r="I59" s="1422"/>
      <c r="J59" s="106"/>
      <c r="K59" s="1432"/>
      <c r="L59" s="726"/>
      <c r="M59" s="726"/>
      <c r="N59" s="726"/>
      <c r="O59" s="1433"/>
      <c r="P59" s="106"/>
      <c r="Q59" s="1472"/>
      <c r="R59" s="1473"/>
      <c r="S59" s="1473"/>
      <c r="T59" s="1473"/>
      <c r="U59" s="1474"/>
      <c r="V59" s="106"/>
      <c r="W59" s="1439"/>
      <c r="X59" s="1440"/>
      <c r="Y59" s="1440"/>
      <c r="Z59" s="1441"/>
      <c r="AA59" s="1412"/>
    </row>
    <row r="60" spans="3:27" x14ac:dyDescent="0.35">
      <c r="C60" s="1411"/>
      <c r="D60" s="1421"/>
      <c r="E60" s="246"/>
      <c r="F60" s="1428"/>
      <c r="G60" s="1428"/>
      <c r="H60" s="243"/>
      <c r="I60" s="1422"/>
      <c r="J60" s="106"/>
      <c r="K60" s="1432"/>
      <c r="L60" s="726"/>
      <c r="M60" s="726"/>
      <c r="N60" s="726"/>
      <c r="O60" s="1433"/>
      <c r="P60" s="106"/>
      <c r="Q60" s="1472"/>
      <c r="R60" s="1477" t="s">
        <v>187</v>
      </c>
      <c r="S60" s="1473"/>
      <c r="T60" s="1473"/>
      <c r="U60" s="1474"/>
      <c r="V60" s="106"/>
      <c r="W60" s="1439"/>
      <c r="X60" s="1440"/>
      <c r="Y60" s="1440"/>
      <c r="Z60" s="1441"/>
      <c r="AA60" s="1412"/>
    </row>
    <row r="61" spans="3:27" x14ac:dyDescent="0.35">
      <c r="C61" s="1411"/>
      <c r="D61" s="1421"/>
      <c r="E61" s="246"/>
      <c r="F61" s="77"/>
      <c r="G61" s="77"/>
      <c r="H61" s="243"/>
      <c r="I61" s="1422"/>
      <c r="J61" s="106"/>
      <c r="K61" s="1432"/>
      <c r="L61" s="726"/>
      <c r="M61" s="726"/>
      <c r="N61" s="726"/>
      <c r="O61" s="1433"/>
      <c r="P61" s="106"/>
      <c r="Q61" s="1472"/>
      <c r="R61" s="1473"/>
      <c r="S61" s="1473"/>
      <c r="T61" s="1473"/>
      <c r="U61" s="1474"/>
      <c r="V61" s="106"/>
      <c r="W61" s="1439"/>
      <c r="X61" s="1440"/>
      <c r="Y61" s="1440"/>
      <c r="Z61" s="1441"/>
      <c r="AA61" s="1412"/>
    </row>
    <row r="62" spans="3:27" x14ac:dyDescent="0.35">
      <c r="C62" s="1411"/>
      <c r="D62" s="1421"/>
      <c r="E62" s="246"/>
      <c r="F62" s="1427"/>
      <c r="G62" s="1427"/>
      <c r="H62" s="243"/>
      <c r="I62" s="1422"/>
      <c r="J62" s="106"/>
      <c r="K62" s="1432"/>
      <c r="L62" s="726"/>
      <c r="M62" s="726"/>
      <c r="N62" s="726"/>
      <c r="O62" s="1433"/>
      <c r="P62" s="106"/>
      <c r="Q62" s="1472"/>
      <c r="R62" s="1478">
        <v>0.1</v>
      </c>
      <c r="S62" s="1473"/>
      <c r="T62" s="1473"/>
      <c r="U62" s="1474"/>
      <c r="V62" s="106"/>
      <c r="W62" s="1439"/>
      <c r="X62" s="1440"/>
      <c r="Y62" s="1440"/>
      <c r="Z62" s="1441"/>
      <c r="AA62" s="1412"/>
    </row>
    <row r="63" spans="3:27" x14ac:dyDescent="0.35">
      <c r="C63" s="1411"/>
      <c r="D63" s="1421"/>
      <c r="E63" s="1447"/>
      <c r="F63" s="53"/>
      <c r="G63" s="1429"/>
      <c r="H63" s="244"/>
      <c r="I63" s="1422"/>
      <c r="J63" s="106"/>
      <c r="K63" s="1432"/>
      <c r="L63" s="726"/>
      <c r="M63" s="726"/>
      <c r="N63" s="726"/>
      <c r="O63" s="1433"/>
      <c r="P63" s="106"/>
      <c r="Q63" s="1472"/>
      <c r="R63" s="1473"/>
      <c r="S63" s="1479">
        <f>$S$57*R62</f>
        <v>6634.2426258895011</v>
      </c>
      <c r="T63" s="1473"/>
      <c r="U63" s="1474"/>
      <c r="V63" s="106"/>
      <c r="W63" s="1439"/>
      <c r="X63" s="1440"/>
      <c r="Y63" s="1440"/>
      <c r="Z63" s="1441"/>
      <c r="AA63" s="1412"/>
    </row>
    <row r="64" spans="3:27" x14ac:dyDescent="0.35">
      <c r="C64" s="1411"/>
      <c r="D64" s="1421"/>
      <c r="E64" s="349"/>
      <c r="F64" s="349"/>
      <c r="G64" s="349"/>
      <c r="H64" s="349"/>
      <c r="I64" s="1422"/>
      <c r="J64" s="106"/>
      <c r="K64" s="1432"/>
      <c r="L64" s="726"/>
      <c r="M64" s="726"/>
      <c r="N64" s="726"/>
      <c r="O64" s="1433"/>
      <c r="P64" s="106"/>
      <c r="Q64" s="1472"/>
      <c r="R64" s="1473"/>
      <c r="S64" s="1473"/>
      <c r="T64" s="1473"/>
      <c r="U64" s="1474"/>
      <c r="V64" s="106"/>
      <c r="W64" s="1439"/>
      <c r="X64" s="1440"/>
      <c r="Y64" s="1440"/>
      <c r="Z64" s="1441"/>
      <c r="AA64" s="1412"/>
    </row>
    <row r="65" spans="3:27" x14ac:dyDescent="0.35">
      <c r="C65" s="1411"/>
      <c r="D65" s="1421"/>
      <c r="E65" s="245"/>
      <c r="F65" s="248" t="s">
        <v>2</v>
      </c>
      <c r="G65" s="248"/>
      <c r="H65" s="242"/>
      <c r="I65" s="1422"/>
      <c r="J65" s="1416">
        <f>F66</f>
        <v>6110.3097916989991</v>
      </c>
      <c r="K65" s="1434"/>
      <c r="L65" s="726"/>
      <c r="M65" s="726"/>
      <c r="N65" s="726"/>
      <c r="O65" s="1433"/>
      <c r="P65" s="106"/>
      <c r="Q65" s="1472"/>
      <c r="R65" s="1478">
        <v>0.7</v>
      </c>
      <c r="S65" s="1473"/>
      <c r="T65" s="1473"/>
      <c r="U65" s="1474"/>
      <c r="V65" s="106"/>
      <c r="W65" s="1439"/>
      <c r="X65" s="1440"/>
      <c r="Y65" s="1440"/>
      <c r="Z65" s="1441"/>
      <c r="AA65" s="1412"/>
    </row>
    <row r="66" spans="3:27" x14ac:dyDescent="0.35">
      <c r="C66" s="1411"/>
      <c r="D66" s="1421"/>
      <c r="E66" s="246"/>
      <c r="F66" s="1427">
        <f>AVERAGE('Premissas Geração de Resíduos'!$F$117:$G$117)</f>
        <v>6110.3097916989991</v>
      </c>
      <c r="G66" s="1427"/>
      <c r="H66" s="243"/>
      <c r="I66" s="1422"/>
      <c r="J66" s="1417">
        <f>G67</f>
        <v>97.659378960199987</v>
      </c>
      <c r="K66" s="1435"/>
      <c r="L66" s="726"/>
      <c r="M66" s="726"/>
      <c r="N66" s="726"/>
      <c r="O66" s="1433"/>
      <c r="P66" s="106"/>
      <c r="Q66" s="1472"/>
      <c r="R66" s="1473"/>
      <c r="S66" s="1479">
        <f>$S$57*R65</f>
        <v>46439.698381226503</v>
      </c>
      <c r="T66" s="1473"/>
      <c r="U66" s="1474"/>
      <c r="V66" s="106"/>
      <c r="W66" s="1439"/>
      <c r="X66" s="1440"/>
      <c r="Y66" s="1440"/>
      <c r="Z66" s="1441"/>
      <c r="AA66" s="1412"/>
    </row>
    <row r="67" spans="3:27" x14ac:dyDescent="0.35">
      <c r="C67" s="1411"/>
      <c r="D67" s="1421"/>
      <c r="E67" s="1447">
        <f>AVERAGE('Premissas Geração de Resíduos'!$F$100:$G$100)</f>
        <v>488.29689480099989</v>
      </c>
      <c r="F67" s="53"/>
      <c r="G67" s="1429">
        <f>E67*0.2</f>
        <v>97.659378960199987</v>
      </c>
      <c r="H67" s="244"/>
      <c r="I67" s="1422"/>
      <c r="J67" s="106"/>
      <c r="K67" s="1432"/>
      <c r="L67" s="726"/>
      <c r="M67" s="726"/>
      <c r="N67" s="726"/>
      <c r="O67" s="1433"/>
      <c r="P67" s="1416">
        <f>J56+J65+J73</f>
        <v>14896.379218248998</v>
      </c>
      <c r="Q67" s="1472"/>
      <c r="R67" s="1473"/>
      <c r="S67" s="1473"/>
      <c r="T67" s="1473"/>
      <c r="U67" s="1474"/>
      <c r="V67" s="106"/>
      <c r="W67" s="1439"/>
      <c r="X67" s="1926">
        <f>S66+T85+S92</f>
        <v>50752.907342832565</v>
      </c>
      <c r="Y67" s="1926"/>
      <c r="Z67" s="1441"/>
      <c r="AA67" s="1412"/>
    </row>
    <row r="68" spans="3:27" x14ac:dyDescent="0.35">
      <c r="C68" s="1411"/>
      <c r="D68" s="1421"/>
      <c r="E68" s="349"/>
      <c r="F68" s="1418"/>
      <c r="G68" s="1418"/>
      <c r="H68" s="349"/>
      <c r="I68" s="1422"/>
      <c r="J68" s="106"/>
      <c r="K68" s="1432"/>
      <c r="L68" s="726"/>
      <c r="M68" s="726"/>
      <c r="N68" s="726"/>
      <c r="O68" s="1433"/>
      <c r="P68" s="106"/>
      <c r="Q68" s="1472"/>
      <c r="R68" s="1478">
        <v>0.2</v>
      </c>
      <c r="S68" s="1473"/>
      <c r="T68" s="1473"/>
      <c r="U68" s="1474"/>
      <c r="V68" s="106"/>
      <c r="W68" s="1439"/>
      <c r="X68" s="1440"/>
      <c r="Y68" s="1440"/>
      <c r="Z68" s="1441"/>
      <c r="AA68" s="1412"/>
    </row>
    <row r="69" spans="3:27" x14ac:dyDescent="0.35">
      <c r="C69" s="1411"/>
      <c r="D69" s="1421"/>
      <c r="E69" s="245"/>
      <c r="F69" s="1430" t="s">
        <v>3</v>
      </c>
      <c r="G69" s="1430"/>
      <c r="H69" s="242"/>
      <c r="I69" s="1422"/>
      <c r="J69" s="106"/>
      <c r="K69" s="1432"/>
      <c r="L69" s="726"/>
      <c r="M69" s="726"/>
      <c r="N69" s="726"/>
      <c r="O69" s="1433"/>
      <c r="P69" s="1448">
        <f>J57+J66+J74</f>
        <v>595.88178602459993</v>
      </c>
      <c r="Q69" s="1472"/>
      <c r="R69" s="1473"/>
      <c r="S69" s="1479">
        <f>$S$57*R68</f>
        <v>13268.485251779002</v>
      </c>
      <c r="T69" s="1473"/>
      <c r="U69" s="1474"/>
      <c r="V69" s="106"/>
      <c r="W69" s="1439"/>
      <c r="X69" s="1440"/>
      <c r="Y69" s="1440"/>
      <c r="Z69" s="1441"/>
      <c r="AA69" s="1412"/>
    </row>
    <row r="70" spans="3:27" x14ac:dyDescent="0.35">
      <c r="C70" s="1411"/>
      <c r="D70" s="1421"/>
      <c r="E70" s="246"/>
      <c r="F70" s="1427">
        <f>AVERAGE('Premissas Geração de Resíduos'!$F$118:$G$118)</f>
        <v>721.62010276799992</v>
      </c>
      <c r="G70" s="1427"/>
      <c r="H70" s="243"/>
      <c r="I70" s="1422"/>
      <c r="J70" s="106"/>
      <c r="K70" s="1432"/>
      <c r="L70" s="726"/>
      <c r="M70" s="726"/>
      <c r="N70" s="726"/>
      <c r="O70" s="1433"/>
      <c r="P70" s="106"/>
      <c r="Q70" s="1472"/>
      <c r="R70" s="1473"/>
      <c r="S70" s="1473"/>
      <c r="T70" s="1473"/>
      <c r="U70" s="1474"/>
      <c r="V70" s="106"/>
      <c r="W70" s="1439"/>
      <c r="X70" s="1440"/>
      <c r="Y70" s="1440"/>
      <c r="Z70" s="1441"/>
      <c r="AA70" s="1412"/>
    </row>
    <row r="71" spans="3:27" x14ac:dyDescent="0.35">
      <c r="C71" s="1411"/>
      <c r="D71" s="1421"/>
      <c r="E71" s="246"/>
      <c r="F71" s="1428">
        <f>AVERAGE('Premissas Geração de Resíduos'!$F$101:$G$101)</f>
        <v>57.667265231999998</v>
      </c>
      <c r="G71" s="1428"/>
      <c r="H71" s="243"/>
      <c r="I71" s="1422"/>
      <c r="J71" s="106"/>
      <c r="K71" s="1432"/>
      <c r="L71" s="726"/>
      <c r="M71" s="726"/>
      <c r="N71" s="726"/>
      <c r="O71" s="1433"/>
      <c r="P71" s="106"/>
      <c r="Q71" s="1472"/>
      <c r="R71" s="1473"/>
      <c r="S71" s="1473"/>
      <c r="T71" s="1473"/>
      <c r="U71" s="1474"/>
      <c r="V71" s="106"/>
      <c r="W71" s="1439"/>
      <c r="X71" s="1440"/>
      <c r="Y71" s="1440"/>
      <c r="Z71" s="1441"/>
      <c r="AA71" s="1412"/>
    </row>
    <row r="72" spans="3:27" x14ac:dyDescent="0.35">
      <c r="C72" s="1411"/>
      <c r="D72" s="1421"/>
      <c r="E72" s="246"/>
      <c r="F72" s="1431" t="s">
        <v>9</v>
      </c>
      <c r="G72" s="1431"/>
      <c r="H72" s="243"/>
      <c r="I72" s="1422"/>
      <c r="J72" s="106"/>
      <c r="K72" s="1432"/>
      <c r="L72" s="726"/>
      <c r="M72" s="726"/>
      <c r="N72" s="726"/>
      <c r="O72" s="1433"/>
      <c r="P72" s="106"/>
      <c r="Q72" s="1472"/>
      <c r="R72" s="1473"/>
      <c r="S72" s="1473"/>
      <c r="T72" s="1473"/>
      <c r="U72" s="1474"/>
      <c r="V72" s="106"/>
      <c r="W72" s="1439"/>
      <c r="X72" s="1440"/>
      <c r="Y72" s="1440"/>
      <c r="Z72" s="1441"/>
      <c r="AA72" s="1412"/>
    </row>
    <row r="73" spans="3:27" x14ac:dyDescent="0.35">
      <c r="C73" s="1411"/>
      <c r="D73" s="1421"/>
      <c r="E73" s="246"/>
      <c r="F73" s="1427">
        <f>AVERAGE('Premissas Geração de Resíduos'!$F$124:$G$124)</f>
        <v>2601.6770420509997</v>
      </c>
      <c r="G73" s="1427"/>
      <c r="H73" s="243"/>
      <c r="I73" s="1422"/>
      <c r="J73" s="1416">
        <f>F70+F73+F76</f>
        <v>5082.5483014309993</v>
      </c>
      <c r="K73" s="1434"/>
      <c r="L73" s="726"/>
      <c r="M73" s="726"/>
      <c r="N73" s="726"/>
      <c r="O73" s="1433"/>
      <c r="P73" s="106"/>
      <c r="Q73" s="1472"/>
      <c r="R73" s="1473"/>
      <c r="S73" s="1473"/>
      <c r="T73" s="1473"/>
      <c r="U73" s="1474"/>
      <c r="V73" s="106"/>
      <c r="W73" s="1439"/>
      <c r="X73" s="1440"/>
      <c r="Y73" s="1440"/>
      <c r="Z73" s="1441"/>
      <c r="AA73" s="1412"/>
    </row>
    <row r="74" spans="3:27" x14ac:dyDescent="0.35">
      <c r="C74" s="1411"/>
      <c r="D74" s="1421"/>
      <c r="E74" s="246"/>
      <c r="F74" s="1428">
        <f>AVERAGE('Premissas Geração de Resíduos'!$F$107:$G$107)</f>
        <v>207.90939644899998</v>
      </c>
      <c r="G74" s="1428"/>
      <c r="H74" s="243"/>
      <c r="I74" s="1422"/>
      <c r="J74" s="1417">
        <f>F71+F74+F77</f>
        <v>406.16476706899994</v>
      </c>
      <c r="K74" s="1435"/>
      <c r="L74" s="726"/>
      <c r="M74" s="726"/>
      <c r="N74" s="726"/>
      <c r="O74" s="1433"/>
      <c r="P74" s="106"/>
      <c r="Q74" s="1472"/>
      <c r="R74" s="1480">
        <v>0.6</v>
      </c>
      <c r="S74" s="1473"/>
      <c r="T74" s="1480">
        <v>0.4</v>
      </c>
      <c r="U74" s="1474"/>
      <c r="V74" s="106"/>
      <c r="W74" s="1439"/>
      <c r="X74" s="1440"/>
      <c r="Y74" s="1440"/>
      <c r="Z74" s="1441"/>
      <c r="AA74" s="1412"/>
    </row>
    <row r="75" spans="3:27" x14ac:dyDescent="0.35">
      <c r="C75" s="1411"/>
      <c r="D75" s="1421"/>
      <c r="E75" s="246"/>
      <c r="F75" s="1431" t="s">
        <v>4</v>
      </c>
      <c r="G75" s="1431"/>
      <c r="H75" s="243"/>
      <c r="I75" s="1422"/>
      <c r="J75" s="106"/>
      <c r="K75" s="1432"/>
      <c r="L75" s="726"/>
      <c r="M75" s="726"/>
      <c r="N75" s="726"/>
      <c r="O75" s="1433"/>
      <c r="P75" s="106"/>
      <c r="Q75" s="1472"/>
      <c r="R75" s="1473"/>
      <c r="S75" s="1473"/>
      <c r="T75" s="1473"/>
      <c r="U75" s="1474"/>
      <c r="V75" s="106"/>
      <c r="W75" s="1439"/>
      <c r="X75" s="1440"/>
      <c r="Y75" s="1440"/>
      <c r="Z75" s="1441"/>
      <c r="AA75" s="1412"/>
    </row>
    <row r="76" spans="3:27" x14ac:dyDescent="0.35">
      <c r="C76" s="1411"/>
      <c r="D76" s="1421"/>
      <c r="E76" s="246"/>
      <c r="F76" s="1427">
        <f>AVERAGE('Premissas Geração de Resíduos'!$F$119:$G$119)</f>
        <v>1759.2511566120002</v>
      </c>
      <c r="G76" s="1427"/>
      <c r="H76" s="243"/>
      <c r="I76" s="1422"/>
      <c r="J76" s="106"/>
      <c r="K76" s="1432"/>
      <c r="L76" s="726"/>
      <c r="M76" s="726"/>
      <c r="N76" s="726"/>
      <c r="O76" s="1433"/>
      <c r="P76" s="106"/>
      <c r="Q76" s="1472"/>
      <c r="R76" s="1482">
        <f>S69*R74</f>
        <v>7961.0911510674014</v>
      </c>
      <c r="S76" s="1473"/>
      <c r="T76" s="1482">
        <f>S69*T74</f>
        <v>5307.3941007116009</v>
      </c>
      <c r="U76" s="1474"/>
      <c r="V76" s="106"/>
      <c r="W76" s="1439"/>
      <c r="X76" s="1440"/>
      <c r="Y76" s="1440"/>
      <c r="Z76" s="1441"/>
      <c r="AA76" s="1412"/>
    </row>
    <row r="77" spans="3:27" x14ac:dyDescent="0.35">
      <c r="C77" s="1411"/>
      <c r="D77" s="1421"/>
      <c r="E77" s="246"/>
      <c r="F77" s="1428">
        <f>AVERAGE('Premissas Geração de Resíduos'!$F$102:$G$102)</f>
        <v>140.588105388</v>
      </c>
      <c r="G77" s="1428"/>
      <c r="H77" s="243"/>
      <c r="I77" s="1422"/>
      <c r="J77" s="106"/>
      <c r="K77" s="1432"/>
      <c r="L77" s="726"/>
      <c r="M77" s="726"/>
      <c r="N77" s="726"/>
      <c r="O77" s="1433"/>
      <c r="P77" s="106"/>
      <c r="Q77" s="1472"/>
      <c r="R77" s="1473"/>
      <c r="S77" s="1473"/>
      <c r="T77" s="1480">
        <v>0.25</v>
      </c>
      <c r="U77" s="1474"/>
      <c r="V77" s="106"/>
      <c r="W77" s="1439"/>
      <c r="X77" s="1440"/>
      <c r="Y77" s="1440"/>
      <c r="Z77" s="1441"/>
      <c r="AA77" s="1412"/>
    </row>
    <row r="78" spans="3:27" x14ac:dyDescent="0.35">
      <c r="C78" s="1411"/>
      <c r="D78" s="1421"/>
      <c r="E78" s="246"/>
      <c r="F78" s="1427"/>
      <c r="G78" s="1427"/>
      <c r="H78" s="243"/>
      <c r="I78" s="1422"/>
      <c r="J78" s="106"/>
      <c r="K78" s="1432"/>
      <c r="L78" s="726"/>
      <c r="M78" s="726"/>
      <c r="N78" s="726"/>
      <c r="O78" s="1433"/>
      <c r="P78" s="106"/>
      <c r="Q78" s="1472"/>
      <c r="R78" s="1473"/>
      <c r="S78" s="1473"/>
      <c r="T78" s="1480"/>
      <c r="U78" s="1474"/>
      <c r="V78" s="106"/>
      <c r="W78" s="1439"/>
      <c r="X78" s="1440"/>
      <c r="Y78" s="1440"/>
      <c r="Z78" s="1441"/>
      <c r="AA78" s="1412"/>
    </row>
    <row r="79" spans="3:27" x14ac:dyDescent="0.35">
      <c r="C79" s="1411"/>
      <c r="D79" s="1421"/>
      <c r="E79" s="1447"/>
      <c r="F79" s="53"/>
      <c r="G79" s="1705"/>
      <c r="H79" s="244"/>
      <c r="I79" s="1422"/>
      <c r="J79" s="106"/>
      <c r="K79" s="1432"/>
      <c r="L79" s="726"/>
      <c r="M79" s="726"/>
      <c r="N79" s="726"/>
      <c r="O79" s="1433"/>
      <c r="P79" s="106"/>
      <c r="Q79" s="1472"/>
      <c r="R79" s="1473"/>
      <c r="S79" s="1473"/>
      <c r="T79" s="1480"/>
      <c r="U79" s="1474"/>
      <c r="V79" s="106"/>
      <c r="W79" s="1439"/>
      <c r="X79" s="1440"/>
      <c r="Y79" s="1440"/>
      <c r="Z79" s="1441"/>
      <c r="AA79" s="1412"/>
    </row>
    <row r="80" spans="3:27" x14ac:dyDescent="0.35">
      <c r="C80" s="1411"/>
      <c r="D80" s="1421"/>
      <c r="E80" s="349"/>
      <c r="F80" s="349"/>
      <c r="G80" s="349"/>
      <c r="H80" s="349"/>
      <c r="I80" s="1422"/>
      <c r="J80" s="106"/>
      <c r="K80" s="1432"/>
      <c r="L80" s="726"/>
      <c r="M80" s="726"/>
      <c r="N80" s="726"/>
      <c r="O80" s="1433"/>
      <c r="P80" s="106"/>
      <c r="Q80" s="1472"/>
      <c r="R80" s="1473"/>
      <c r="S80" s="1473"/>
      <c r="T80" s="1473"/>
      <c r="U80" s="1474"/>
      <c r="V80" s="106"/>
      <c r="W80" s="1439"/>
      <c r="X80" s="1440"/>
      <c r="Y80" s="1440"/>
      <c r="Z80" s="1441"/>
      <c r="AA80" s="1412"/>
    </row>
    <row r="81" spans="3:27" x14ac:dyDescent="0.35">
      <c r="C81" s="1411"/>
      <c r="D81" s="1421"/>
      <c r="E81" s="245"/>
      <c r="F81" s="1430" t="s">
        <v>6</v>
      </c>
      <c r="G81" s="1430"/>
      <c r="H81" s="242"/>
      <c r="I81" s="1422"/>
      <c r="J81" s="1416">
        <f>F82</f>
        <v>43565.158498700002</v>
      </c>
      <c r="K81" s="1434"/>
      <c r="L81" s="726"/>
      <c r="M81" s="726"/>
      <c r="N81" s="726"/>
      <c r="O81" s="1433"/>
      <c r="P81" s="1416">
        <f>J81</f>
        <v>43565.158498700002</v>
      </c>
      <c r="Q81" s="1472"/>
      <c r="R81" s="1473"/>
      <c r="S81" s="1473"/>
      <c r="T81" s="1473"/>
      <c r="U81" s="1474"/>
      <c r="V81" s="106"/>
      <c r="W81" s="1439"/>
      <c r="X81" s="1440"/>
      <c r="Y81" s="1440"/>
      <c r="Z81" s="1441"/>
      <c r="AA81" s="1412"/>
    </row>
    <row r="82" spans="3:27" x14ac:dyDescent="0.35">
      <c r="C82" s="1411"/>
      <c r="D82" s="1421"/>
      <c r="E82" s="246"/>
      <c r="F82" s="1427">
        <f>AVERAGE('Premissas Geração de Resíduos'!$F$121:$G$121)</f>
        <v>43565.158498700002</v>
      </c>
      <c r="G82" s="1427"/>
      <c r="H82" s="243"/>
      <c r="I82" s="1422"/>
      <c r="J82" s="1417">
        <f>G83</f>
        <v>696.28979026000002</v>
      </c>
      <c r="K82" s="1435"/>
      <c r="L82" s="726"/>
      <c r="M82" s="726"/>
      <c r="N82" s="726"/>
      <c r="O82" s="1433"/>
      <c r="P82" s="1417">
        <f>J82</f>
        <v>696.28979026000002</v>
      </c>
      <c r="Q82" s="1472"/>
      <c r="R82" s="1473"/>
      <c r="S82" s="1473"/>
      <c r="T82" s="1482">
        <f>T76*T77</f>
        <v>1326.8485251779002</v>
      </c>
      <c r="U82" s="1474"/>
      <c r="V82" s="106"/>
      <c r="W82" s="1439"/>
      <c r="X82" s="1440"/>
      <c r="Y82" s="1440"/>
      <c r="Z82" s="1441"/>
      <c r="AA82" s="1412"/>
    </row>
    <row r="83" spans="3:27" x14ac:dyDescent="0.35">
      <c r="C83" s="1411"/>
      <c r="D83" s="1421"/>
      <c r="E83" s="1447">
        <f>AVERAGE('Premissas Geração de Resíduos'!$F$104:$G$104)</f>
        <v>3481.4489512999999</v>
      </c>
      <c r="F83" s="53"/>
      <c r="G83" s="1429">
        <f>E83*0.2</f>
        <v>696.28979026000002</v>
      </c>
      <c r="H83" s="244"/>
      <c r="I83" s="1422"/>
      <c r="J83" s="106"/>
      <c r="K83" s="1432"/>
      <c r="L83" s="726"/>
      <c r="M83" s="726"/>
      <c r="N83" s="726"/>
      <c r="O83" s="1433"/>
      <c r="P83" s="106"/>
      <c r="Q83" s="1472"/>
      <c r="R83" s="1473"/>
      <c r="S83" s="1473"/>
      <c r="T83" s="1473"/>
      <c r="U83" s="1474"/>
      <c r="V83" s="106"/>
      <c r="W83" s="1439"/>
      <c r="X83" s="1440"/>
      <c r="Y83" s="1440"/>
      <c r="Z83" s="1441"/>
      <c r="AA83" s="1412"/>
    </row>
    <row r="84" spans="3:27" x14ac:dyDescent="0.35">
      <c r="C84" s="1411"/>
      <c r="D84" s="1421"/>
      <c r="E84" s="349"/>
      <c r="F84" s="349"/>
      <c r="G84" s="349"/>
      <c r="H84" s="349"/>
      <c r="I84" s="1422"/>
      <c r="J84" s="106"/>
      <c r="K84" s="1432"/>
      <c r="L84" s="726"/>
      <c r="M84" s="726"/>
      <c r="N84" s="726"/>
      <c r="O84" s="1433"/>
      <c r="P84" s="106"/>
      <c r="Q84" s="1472"/>
      <c r="R84" s="1473"/>
      <c r="S84" s="1473"/>
      <c r="T84" s="1473"/>
      <c r="U84" s="1474"/>
      <c r="V84" s="106"/>
      <c r="W84" s="1439"/>
      <c r="X84" s="1440"/>
      <c r="Y84" s="1440"/>
      <c r="Z84" s="1441"/>
      <c r="AA84" s="1412"/>
    </row>
    <row r="85" spans="3:27" x14ac:dyDescent="0.35">
      <c r="C85" s="1411"/>
      <c r="D85" s="1421"/>
      <c r="E85" s="245"/>
      <c r="F85" s="1430" t="s">
        <v>5</v>
      </c>
      <c r="G85" s="1430"/>
      <c r="H85" s="242"/>
      <c r="I85" s="1422"/>
      <c r="J85" s="1416">
        <f>F86</f>
        <v>4045.6951727789992</v>
      </c>
      <c r="K85" s="1434"/>
      <c r="L85" s="726"/>
      <c r="M85" s="726"/>
      <c r="N85" s="726"/>
      <c r="O85" s="1433"/>
      <c r="P85" s="1416">
        <f>J85</f>
        <v>4045.6951727789992</v>
      </c>
      <c r="Q85" s="1472"/>
      <c r="R85" s="1473"/>
      <c r="S85" s="1484">
        <v>0.75</v>
      </c>
      <c r="T85" s="1485">
        <f>T76*S85</f>
        <v>3980.5455755337007</v>
      </c>
      <c r="U85" s="1474"/>
      <c r="V85" s="106"/>
      <c r="W85" s="1439"/>
      <c r="X85" s="1440"/>
      <c r="Y85" s="1440"/>
      <c r="Z85" s="1441"/>
      <c r="AA85" s="1412"/>
    </row>
    <row r="86" spans="3:27" x14ac:dyDescent="0.35">
      <c r="C86" s="1411"/>
      <c r="D86" s="1421"/>
      <c r="E86" s="246"/>
      <c r="F86" s="1427">
        <f>AVERAGE('Premissas Geração de Resíduos'!$F$120:$G$120)</f>
        <v>4045.6951727789992</v>
      </c>
      <c r="G86" s="1427"/>
      <c r="H86" s="243"/>
      <c r="I86" s="1422"/>
      <c r="J86" s="1417">
        <f>G87</f>
        <v>64.661218744199985</v>
      </c>
      <c r="K86" s="1435"/>
      <c r="L86" s="726"/>
      <c r="M86" s="726"/>
      <c r="N86" s="726"/>
      <c r="O86" s="1433"/>
      <c r="P86" s="1417">
        <f>J86</f>
        <v>64.661218744199985</v>
      </c>
      <c r="Q86" s="1472"/>
      <c r="R86" s="1473"/>
      <c r="S86" s="1473"/>
      <c r="T86" s="1473"/>
      <c r="U86" s="1474"/>
      <c r="V86" s="106"/>
      <c r="W86" s="1439"/>
      <c r="X86" s="1440"/>
      <c r="Y86" s="1440"/>
      <c r="Z86" s="1441"/>
      <c r="AA86" s="1412"/>
    </row>
    <row r="87" spans="3:27" x14ac:dyDescent="0.35">
      <c r="C87" s="1411"/>
      <c r="D87" s="1421"/>
      <c r="E87" s="1447">
        <f>AVERAGE('Premissas Geração de Resíduos'!$F$103:$G$103)</f>
        <v>323.30609372099991</v>
      </c>
      <c r="F87" s="53"/>
      <c r="G87" s="1429">
        <f>E87*0.2</f>
        <v>64.661218744199985</v>
      </c>
      <c r="H87" s="244"/>
      <c r="I87" s="1422"/>
      <c r="J87" s="106"/>
      <c r="K87" s="1432"/>
      <c r="L87" s="726"/>
      <c r="M87" s="726"/>
      <c r="N87" s="726"/>
      <c r="O87" s="1433"/>
      <c r="P87" s="106"/>
      <c r="Q87" s="1472"/>
      <c r="R87" s="1486" t="s">
        <v>188</v>
      </c>
      <c r="S87" s="1473"/>
      <c r="T87" s="1473"/>
      <c r="U87" s="1474"/>
      <c r="V87" s="106"/>
      <c r="W87" s="1439"/>
      <c r="X87" s="1440"/>
      <c r="Y87" s="1440"/>
      <c r="Z87" s="1441"/>
      <c r="AA87" s="1412"/>
    </row>
    <row r="88" spans="3:27" x14ac:dyDescent="0.35">
      <c r="C88" s="1411"/>
      <c r="D88" s="1421"/>
      <c r="E88" s="349"/>
      <c r="F88" s="349"/>
      <c r="G88" s="349"/>
      <c r="H88" s="349"/>
      <c r="I88" s="1422"/>
      <c r="J88" s="106"/>
      <c r="K88" s="1432"/>
      <c r="L88" s="726"/>
      <c r="M88" s="726"/>
      <c r="N88" s="726"/>
      <c r="O88" s="1433"/>
      <c r="P88" s="106"/>
      <c r="Q88" s="1472"/>
      <c r="R88" s="1473"/>
      <c r="S88" s="1473"/>
      <c r="T88" s="1473"/>
      <c r="U88" s="1474"/>
      <c r="V88" s="106"/>
      <c r="W88" s="1439"/>
      <c r="X88" s="1440"/>
      <c r="Y88" s="1440"/>
      <c r="Z88" s="1441"/>
      <c r="AA88" s="1412"/>
    </row>
    <row r="89" spans="3:27" x14ac:dyDescent="0.35">
      <c r="C89" s="1411"/>
      <c r="D89" s="1421"/>
      <c r="E89" s="245"/>
      <c r="F89" s="1430" t="s">
        <v>7</v>
      </c>
      <c r="G89" s="1430"/>
      <c r="H89" s="242"/>
      <c r="I89" s="1422"/>
      <c r="J89" s="1416">
        <f>F90</f>
        <v>3835.1933691670001</v>
      </c>
      <c r="K89" s="1434"/>
      <c r="L89" s="726"/>
      <c r="M89" s="726"/>
      <c r="N89" s="726"/>
      <c r="O89" s="1433"/>
      <c r="P89" s="1416">
        <f>J89</f>
        <v>3835.1933691670001</v>
      </c>
      <c r="Q89" s="1472"/>
      <c r="R89" s="1487">
        <v>0.8</v>
      </c>
      <c r="S89" s="1488"/>
      <c r="T89" s="1473"/>
      <c r="U89" s="1474"/>
      <c r="V89" s="106"/>
      <c r="W89" s="1439"/>
      <c r="X89" s="1440"/>
      <c r="Y89" s="1440"/>
      <c r="Z89" s="1441"/>
      <c r="AA89" s="1412"/>
    </row>
    <row r="90" spans="3:27" x14ac:dyDescent="0.35">
      <c r="C90" s="1411"/>
      <c r="D90" s="1421"/>
      <c r="E90" s="246"/>
      <c r="F90" s="1427">
        <f>AVERAGE('Premissas Geração de Resíduos'!$F$122:$G$122)</f>
        <v>3835.1933691670001</v>
      </c>
      <c r="G90" s="1427"/>
      <c r="H90" s="243"/>
      <c r="I90" s="1422"/>
      <c r="J90" s="1417">
        <f>F91</f>
        <v>306.48413533299998</v>
      </c>
      <c r="K90" s="1435"/>
      <c r="L90" s="726"/>
      <c r="M90" s="726"/>
      <c r="N90" s="726"/>
      <c r="O90" s="1433"/>
      <c r="P90" s="1417">
        <f>J90</f>
        <v>306.48413533299998</v>
      </c>
      <c r="Q90" s="1472"/>
      <c r="R90" s="1488"/>
      <c r="S90" s="1489">
        <f>$S$58*R89</f>
        <v>1330.6535442894401</v>
      </c>
      <c r="T90" s="1473"/>
      <c r="U90" s="1474"/>
      <c r="V90" s="106"/>
      <c r="W90" s="1439"/>
      <c r="X90" s="1440"/>
      <c r="Y90" s="1440"/>
      <c r="Z90" s="1441"/>
      <c r="AA90" s="1412"/>
    </row>
    <row r="91" spans="3:27" x14ac:dyDescent="0.35">
      <c r="C91" s="1411"/>
      <c r="D91" s="1421"/>
      <c r="E91" s="247"/>
      <c r="F91" s="1429">
        <f>AVERAGE('Premissas Geração de Resíduos'!$F$105:$G$105)</f>
        <v>306.48413533299998</v>
      </c>
      <c r="G91" s="1429"/>
      <c r="H91" s="244"/>
      <c r="I91" s="1422"/>
      <c r="J91" s="106"/>
      <c r="K91" s="1432"/>
      <c r="L91" s="726"/>
      <c r="M91" s="726"/>
      <c r="N91" s="726"/>
      <c r="O91" s="1433"/>
      <c r="P91" s="106"/>
      <c r="Q91" s="1472"/>
      <c r="R91" s="1487">
        <v>0.2</v>
      </c>
      <c r="S91" s="1473"/>
      <c r="T91" s="1473"/>
      <c r="U91" s="1474"/>
      <c r="V91" s="106"/>
      <c r="W91" s="1439"/>
      <c r="X91" s="1440"/>
      <c r="Y91" s="1440"/>
      <c r="Z91" s="1441"/>
      <c r="AA91" s="1412"/>
    </row>
    <row r="92" spans="3:27" x14ac:dyDescent="0.35">
      <c r="C92" s="1411"/>
      <c r="D92" s="1421"/>
      <c r="E92" s="349"/>
      <c r="F92" s="349"/>
      <c r="G92" s="349"/>
      <c r="H92" s="349"/>
      <c r="I92" s="1422"/>
      <c r="J92" s="106"/>
      <c r="K92" s="1432"/>
      <c r="L92" s="726"/>
      <c r="M92" s="726"/>
      <c r="N92" s="726"/>
      <c r="O92" s="1433"/>
      <c r="P92" s="106"/>
      <c r="Q92" s="1472"/>
      <c r="R92" s="1473"/>
      <c r="S92" s="1489">
        <f>$S$58*R91</f>
        <v>332.66338607236003</v>
      </c>
      <c r="T92" s="1473"/>
      <c r="U92" s="1474"/>
      <c r="V92" s="106"/>
      <c r="W92" s="1439"/>
      <c r="X92" s="1440"/>
      <c r="Y92" s="1440"/>
      <c r="Z92" s="1441"/>
      <c r="AA92" s="1412"/>
    </row>
    <row r="93" spans="3:27" x14ac:dyDescent="0.35">
      <c r="C93" s="1411"/>
      <c r="D93" s="1421"/>
      <c r="E93" s="349"/>
      <c r="F93" s="349"/>
      <c r="G93" s="349"/>
      <c r="H93" s="349"/>
      <c r="I93" s="1422"/>
      <c r="J93" s="106"/>
      <c r="K93" s="1432"/>
      <c r="L93" s="726"/>
      <c r="M93" s="726"/>
      <c r="N93" s="726"/>
      <c r="O93" s="1433"/>
      <c r="P93" s="106"/>
      <c r="Q93" s="1472"/>
      <c r="R93" s="1473"/>
      <c r="S93" s="1489"/>
      <c r="T93" s="1473"/>
      <c r="U93" s="1474"/>
      <c r="V93" s="106"/>
      <c r="W93" s="1439"/>
      <c r="X93" s="1440"/>
      <c r="Y93" s="1440"/>
      <c r="Z93" s="1441"/>
      <c r="AA93" s="1412"/>
    </row>
    <row r="94" spans="3:27" x14ac:dyDescent="0.35">
      <c r="C94" s="1411"/>
      <c r="D94" s="1424"/>
      <c r="E94" s="1426"/>
      <c r="F94" s="1426"/>
      <c r="G94" s="1426"/>
      <c r="H94" s="1426"/>
      <c r="I94" s="1425"/>
      <c r="J94" s="106"/>
      <c r="K94" s="1436"/>
      <c r="L94" s="1437"/>
      <c r="M94" s="1437"/>
      <c r="N94" s="1437"/>
      <c r="O94" s="1438"/>
      <c r="P94" s="106"/>
      <c r="Q94" s="1490"/>
      <c r="R94" s="1491"/>
      <c r="S94" s="1491"/>
      <c r="T94" s="1491"/>
      <c r="U94" s="1492"/>
      <c r="V94" s="106"/>
      <c r="W94" s="1442"/>
      <c r="X94" s="1443"/>
      <c r="Y94" s="1443"/>
      <c r="Z94" s="1444"/>
      <c r="AA94" s="1412"/>
    </row>
    <row r="95" spans="3:27" x14ac:dyDescent="0.35">
      <c r="C95" s="1411"/>
      <c r="D95" s="106"/>
      <c r="E95" s="106"/>
      <c r="F95" s="106"/>
      <c r="G95" s="106"/>
      <c r="H95" s="106"/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6"/>
      <c r="V95" s="106"/>
      <c r="W95" s="106"/>
      <c r="X95" s="106"/>
      <c r="Y95" s="106"/>
      <c r="Z95" s="106"/>
      <c r="AA95" s="1412"/>
    </row>
    <row r="96" spans="3:27" ht="15" thickBot="1" x14ac:dyDescent="0.4">
      <c r="C96" s="1413"/>
      <c r="D96" s="1414"/>
      <c r="E96" s="1414" t="s">
        <v>189</v>
      </c>
      <c r="F96" s="1414"/>
      <c r="G96" s="1414"/>
      <c r="H96" s="1414"/>
      <c r="I96" s="1414"/>
      <c r="J96" s="1414"/>
      <c r="K96" s="1414"/>
      <c r="L96" s="1414"/>
      <c r="M96" s="1414"/>
      <c r="N96" s="1414"/>
      <c r="O96" s="1414"/>
      <c r="P96" s="1414"/>
      <c r="Q96" s="1414"/>
      <c r="R96" s="1414"/>
      <c r="S96" s="1414"/>
      <c r="T96" s="1414"/>
      <c r="U96" s="1414"/>
      <c r="V96" s="1414"/>
      <c r="W96" s="1414"/>
      <c r="X96" s="1414"/>
      <c r="Y96" s="1414"/>
      <c r="Z96" s="1414"/>
      <c r="AA96" s="1415"/>
    </row>
    <row r="97" spans="3:27" ht="15" thickBot="1" x14ac:dyDescent="0.4"/>
    <row r="98" spans="3:27" x14ac:dyDescent="0.35">
      <c r="C98" s="1408"/>
      <c r="D98" s="1409"/>
      <c r="E98" s="1409"/>
      <c r="F98" s="1409"/>
      <c r="G98" s="1409"/>
      <c r="H98" s="1409"/>
      <c r="I98" s="1409"/>
      <c r="J98" s="1409"/>
      <c r="K98" s="1409"/>
      <c r="L98" s="1409"/>
      <c r="M98" s="1409"/>
      <c r="N98" s="1409"/>
      <c r="O98" s="1409"/>
      <c r="P98" s="1409"/>
      <c r="Q98" s="1409"/>
      <c r="R98" s="1409"/>
      <c r="S98" s="1409"/>
      <c r="T98" s="1409"/>
      <c r="U98" s="1409"/>
      <c r="V98" s="1409"/>
      <c r="W98" s="1409"/>
      <c r="X98" s="1409"/>
      <c r="Y98" s="1409"/>
      <c r="Z98" s="1409"/>
      <c r="AA98" s="1410"/>
    </row>
    <row r="99" spans="3:27" ht="18.5" x14ac:dyDescent="0.45">
      <c r="C99" s="1411"/>
      <c r="D99" s="106"/>
      <c r="E99" s="1911" t="s">
        <v>190</v>
      </c>
      <c r="F99" s="1911"/>
      <c r="G99" s="1911"/>
      <c r="H99" s="1911"/>
      <c r="I99" s="1911"/>
      <c r="J99" s="1911"/>
      <c r="K99" s="1911"/>
      <c r="L99" s="1911"/>
      <c r="M99" s="1911"/>
      <c r="N99" s="1911"/>
      <c r="O99" s="1911"/>
      <c r="P99" s="1911"/>
      <c r="Q99" s="1911"/>
      <c r="R99" s="1911"/>
      <c r="S99" s="1911"/>
      <c r="T99" s="1911"/>
      <c r="U99" s="1911"/>
      <c r="V99" s="1911"/>
      <c r="W99" s="1911"/>
      <c r="X99" s="1911"/>
      <c r="Y99" s="1911"/>
      <c r="Z99" s="1911"/>
      <c r="AA99" s="1912"/>
    </row>
    <row r="100" spans="3:27" x14ac:dyDescent="0.35">
      <c r="C100" s="1411"/>
      <c r="D100" s="106"/>
      <c r="E100" s="106"/>
      <c r="F100" s="106"/>
      <c r="G100" s="106"/>
      <c r="H100" s="106"/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  <c r="Z100" s="106"/>
      <c r="AA100" s="1412"/>
    </row>
    <row r="101" spans="3:27" x14ac:dyDescent="0.35">
      <c r="C101" s="1411"/>
      <c r="D101" s="1419"/>
      <c r="E101" s="1913" t="s">
        <v>179</v>
      </c>
      <c r="F101" s="1913"/>
      <c r="G101" s="1913"/>
      <c r="H101" s="1913"/>
      <c r="I101" s="1420"/>
      <c r="J101" s="106"/>
      <c r="K101" s="1914" t="s">
        <v>180</v>
      </c>
      <c r="L101" s="1915"/>
      <c r="M101" s="1915"/>
      <c r="N101" s="1915"/>
      <c r="O101" s="1916"/>
      <c r="P101" s="106"/>
      <c r="Q101" s="1469"/>
      <c r="R101" s="1291"/>
      <c r="S101" s="1470" t="s">
        <v>186</v>
      </c>
      <c r="T101" s="1470"/>
      <c r="U101" s="1471"/>
      <c r="V101" s="106"/>
      <c r="W101" s="1917" t="s">
        <v>181</v>
      </c>
      <c r="X101" s="1918"/>
      <c r="Y101" s="1918"/>
      <c r="Z101" s="1919"/>
      <c r="AA101" s="1412"/>
    </row>
    <row r="102" spans="3:27" x14ac:dyDescent="0.35">
      <c r="C102" s="1411"/>
      <c r="D102" s="1421"/>
      <c r="E102" s="349"/>
      <c r="F102" s="349"/>
      <c r="G102" s="349"/>
      <c r="H102" s="349"/>
      <c r="I102" s="1422"/>
      <c r="J102" s="106"/>
      <c r="K102" s="1432"/>
      <c r="L102" s="726"/>
      <c r="M102" s="726"/>
      <c r="N102" s="726"/>
      <c r="O102" s="1433"/>
      <c r="P102" s="106"/>
      <c r="Q102" s="1472"/>
      <c r="R102" s="1473"/>
      <c r="S102" s="1473"/>
      <c r="T102" s="1473"/>
      <c r="U102" s="1474"/>
      <c r="V102" s="106"/>
      <c r="W102" s="1439"/>
      <c r="X102" s="1440"/>
      <c r="Y102" s="1440"/>
      <c r="Z102" s="1441"/>
      <c r="AA102" s="1412"/>
    </row>
    <row r="103" spans="3:27" x14ac:dyDescent="0.35">
      <c r="C103" s="1411"/>
      <c r="D103" s="1421"/>
      <c r="E103" s="245"/>
      <c r="F103" s="248" t="s">
        <v>1</v>
      </c>
      <c r="G103" s="248"/>
      <c r="H103" s="242"/>
      <c r="I103" s="1422"/>
      <c r="J103" s="106"/>
      <c r="K103" s="1432"/>
      <c r="L103" s="726"/>
      <c r="M103" s="726"/>
      <c r="N103" s="726"/>
      <c r="O103" s="1433"/>
      <c r="P103" s="106"/>
      <c r="Q103" s="1472"/>
      <c r="R103" s="1473"/>
      <c r="S103" s="1473"/>
      <c r="T103" s="1473"/>
      <c r="U103" s="1474"/>
      <c r="V103" s="106"/>
      <c r="W103" s="1439"/>
      <c r="X103" s="1440"/>
      <c r="Y103" s="1440"/>
      <c r="Z103" s="1441"/>
      <c r="AA103" s="1412"/>
    </row>
    <row r="104" spans="3:27" x14ac:dyDescent="0.35">
      <c r="C104" s="1411"/>
      <c r="D104" s="1421"/>
      <c r="E104" s="246"/>
      <c r="F104" s="1427">
        <f>AVERAGE('Premissas Geração de Resíduos'!$H$116:$J$116)</f>
        <v>498.05166562700009</v>
      </c>
      <c r="G104" s="1427"/>
      <c r="H104" s="243"/>
      <c r="I104" s="1422"/>
      <c r="J104" s="106"/>
      <c r="K104" s="1432"/>
      <c r="L104" s="726"/>
      <c r="M104" s="726"/>
      <c r="N104" s="726"/>
      <c r="O104" s="1433"/>
      <c r="P104" s="106"/>
      <c r="Q104" s="1472"/>
      <c r="R104" s="1473"/>
      <c r="S104" s="1473"/>
      <c r="T104" s="1473"/>
      <c r="U104" s="1474"/>
      <c r="V104" s="106"/>
      <c r="W104" s="1439"/>
      <c r="X104" s="1440"/>
      <c r="Y104" s="1440"/>
      <c r="Z104" s="1441"/>
      <c r="AA104" s="1412"/>
    </row>
    <row r="105" spans="3:27" x14ac:dyDescent="0.35">
      <c r="C105" s="1411"/>
      <c r="D105" s="1421"/>
      <c r="E105" s="246"/>
      <c r="F105" s="1428">
        <f>AVERAGE('Premissas Geração de Resíduos'!$H$99:$J$99)</f>
        <v>48.827881373000004</v>
      </c>
      <c r="G105" s="1428"/>
      <c r="H105" s="243"/>
      <c r="I105" s="1423"/>
      <c r="J105" s="106"/>
      <c r="K105" s="1432"/>
      <c r="L105" s="726"/>
      <c r="M105" s="726"/>
      <c r="N105" s="726"/>
      <c r="O105" s="1433"/>
      <c r="P105" s="106"/>
      <c r="Q105" s="1472"/>
      <c r="R105" s="1473"/>
      <c r="S105" s="1473"/>
      <c r="T105" s="1473"/>
      <c r="U105" s="1474"/>
      <c r="V105" s="106"/>
      <c r="W105" s="1439"/>
      <c r="X105" s="1440"/>
      <c r="Y105" s="1440"/>
      <c r="Z105" s="1441"/>
      <c r="AA105" s="1412"/>
    </row>
    <row r="106" spans="3:27" x14ac:dyDescent="0.35">
      <c r="C106" s="1411"/>
      <c r="D106" s="1421"/>
      <c r="E106" s="246"/>
      <c r="F106" s="77" t="s">
        <v>8</v>
      </c>
      <c r="G106" s="77"/>
      <c r="H106" s="243"/>
      <c r="I106" s="1422"/>
      <c r="J106" s="1416">
        <f>F104+F107</f>
        <v>3698.9140754063328</v>
      </c>
      <c r="K106" s="1434"/>
      <c r="L106" s="726"/>
      <c r="M106" s="726"/>
      <c r="N106" s="726"/>
      <c r="O106" s="1433"/>
      <c r="P106" s="106"/>
      <c r="Q106" s="1472"/>
      <c r="R106" s="1473"/>
      <c r="S106" s="1473"/>
      <c r="T106" s="1473"/>
      <c r="U106" s="1474"/>
      <c r="V106" s="106"/>
      <c r="W106" s="1439"/>
      <c r="X106" s="1440"/>
      <c r="Y106" s="1440"/>
      <c r="Z106" s="1441"/>
      <c r="AA106" s="1412"/>
    </row>
    <row r="107" spans="3:27" x14ac:dyDescent="0.35">
      <c r="C107" s="1411"/>
      <c r="D107" s="1421"/>
      <c r="E107" s="246"/>
      <c r="F107" s="1427">
        <f>AVERAGE('Premissas Geração de Resíduos'!$H$123:$J$123)</f>
        <v>3200.8624097793327</v>
      </c>
      <c r="G107" s="1427"/>
      <c r="H107" s="243"/>
      <c r="I107" s="1422"/>
      <c r="J107" s="1417">
        <f>F105+G108+F110+G113</f>
        <v>111.6719498838</v>
      </c>
      <c r="K107" s="1435"/>
      <c r="L107" s="726"/>
      <c r="M107" s="726"/>
      <c r="N107" s="726"/>
      <c r="O107" s="1433"/>
      <c r="P107" s="106"/>
      <c r="Q107" s="1472"/>
      <c r="R107" s="1473"/>
      <c r="S107" s="1475">
        <f>P117+P130+P134</f>
        <v>65977.145519378333</v>
      </c>
      <c r="T107" s="1475"/>
      <c r="U107" s="1474"/>
      <c r="V107" s="106"/>
      <c r="W107" s="1439"/>
      <c r="X107" s="1440"/>
      <c r="Y107" s="1440"/>
      <c r="Z107" s="1441"/>
      <c r="AA107" s="1412"/>
    </row>
    <row r="108" spans="3:27" x14ac:dyDescent="0.35">
      <c r="C108" s="1411"/>
      <c r="D108" s="1421"/>
      <c r="E108" s="1445">
        <f>AVERAGE('Premissas Geração de Resíduos'!$H$106:$J$106)</f>
        <v>314.22034255399996</v>
      </c>
      <c r="G108" s="1428">
        <f>E108*0.2</f>
        <v>62.844068510799993</v>
      </c>
      <c r="H108" s="243"/>
      <c r="I108" s="1422"/>
      <c r="J108" s="106"/>
      <c r="K108" s="1432"/>
      <c r="L108" s="726"/>
      <c r="M108" s="726"/>
      <c r="N108" s="726"/>
      <c r="O108" s="1433"/>
      <c r="P108" s="106"/>
      <c r="Q108" s="1472"/>
      <c r="R108" s="1473"/>
      <c r="S108" s="1476">
        <f>P119+P131+P135</f>
        <v>1733.9414493739334</v>
      </c>
      <c r="T108" s="1476"/>
      <c r="U108" s="1474"/>
      <c r="V108" s="106"/>
      <c r="W108" s="1439"/>
      <c r="X108" s="1440"/>
      <c r="Y108" s="1440"/>
      <c r="Z108" s="1441"/>
      <c r="AA108" s="1412"/>
    </row>
    <row r="109" spans="3:27" x14ac:dyDescent="0.35">
      <c r="C109" s="1411"/>
      <c r="D109" s="1421"/>
      <c r="E109" s="246"/>
      <c r="F109" s="77"/>
      <c r="G109" s="77"/>
      <c r="H109" s="243"/>
      <c r="I109" s="1422"/>
      <c r="J109" s="106"/>
      <c r="K109" s="1432"/>
      <c r="L109" s="726"/>
      <c r="M109" s="726"/>
      <c r="N109" s="726"/>
      <c r="O109" s="1433"/>
      <c r="P109" s="106"/>
      <c r="Q109" s="1472"/>
      <c r="R109" s="1473"/>
      <c r="S109" s="1473"/>
      <c r="T109" s="1473"/>
      <c r="U109" s="1474"/>
      <c r="V109" s="106"/>
      <c r="W109" s="1439"/>
      <c r="X109" s="1440"/>
      <c r="Y109" s="1440"/>
      <c r="Z109" s="1441"/>
      <c r="AA109" s="1412"/>
    </row>
    <row r="110" spans="3:27" x14ac:dyDescent="0.35">
      <c r="C110" s="1411"/>
      <c r="D110" s="1421"/>
      <c r="E110" s="246"/>
      <c r="F110" s="1428"/>
      <c r="G110" s="1428"/>
      <c r="H110" s="243"/>
      <c r="I110" s="1422"/>
      <c r="J110" s="106"/>
      <c r="K110" s="1432"/>
      <c r="L110" s="726"/>
      <c r="M110" s="726"/>
      <c r="N110" s="726"/>
      <c r="O110" s="1433"/>
      <c r="P110" s="106"/>
      <c r="Q110" s="1472"/>
      <c r="R110" s="1477" t="s">
        <v>187</v>
      </c>
      <c r="S110" s="1473"/>
      <c r="T110" s="1473"/>
      <c r="U110" s="1474"/>
      <c r="V110" s="106"/>
      <c r="W110" s="1439"/>
      <c r="X110" s="1440"/>
      <c r="Y110" s="1440"/>
      <c r="Z110" s="1441"/>
      <c r="AA110" s="1412"/>
    </row>
    <row r="111" spans="3:27" x14ac:dyDescent="0.35">
      <c r="C111" s="1411"/>
      <c r="D111" s="1421"/>
      <c r="E111" s="246"/>
      <c r="F111" s="77"/>
      <c r="G111" s="77"/>
      <c r="H111" s="243"/>
      <c r="I111" s="1422"/>
      <c r="J111" s="106"/>
      <c r="K111" s="1432"/>
      <c r="L111" s="726"/>
      <c r="M111" s="726"/>
      <c r="N111" s="726"/>
      <c r="O111" s="1433"/>
      <c r="P111" s="106"/>
      <c r="Q111" s="1472"/>
      <c r="R111" s="1473"/>
      <c r="S111" s="1473"/>
      <c r="T111" s="1473"/>
      <c r="U111" s="1474"/>
      <c r="V111" s="106"/>
      <c r="W111" s="1439"/>
      <c r="X111" s="1440"/>
      <c r="Y111" s="1440"/>
      <c r="Z111" s="1441"/>
      <c r="AA111" s="1412"/>
    </row>
    <row r="112" spans="3:27" x14ac:dyDescent="0.35">
      <c r="C112" s="1411"/>
      <c r="D112" s="1421"/>
      <c r="E112" s="246"/>
      <c r="F112" s="1427"/>
      <c r="G112" s="1427"/>
      <c r="H112" s="243"/>
      <c r="I112" s="1422"/>
      <c r="J112" s="106"/>
      <c r="K112" s="1432"/>
      <c r="L112" s="726"/>
      <c r="M112" s="726"/>
      <c r="N112" s="726"/>
      <c r="O112" s="1433"/>
      <c r="P112" s="106"/>
      <c r="Q112" s="1472"/>
      <c r="R112" s="1478">
        <v>0.1</v>
      </c>
      <c r="S112" s="1473"/>
      <c r="T112" s="1473"/>
      <c r="U112" s="1474"/>
      <c r="V112" s="106"/>
      <c r="W112" s="1439"/>
      <c r="X112" s="1440"/>
      <c r="Y112" s="1440"/>
      <c r="Z112" s="1441"/>
      <c r="AA112" s="1412"/>
    </row>
    <row r="113" spans="3:27" x14ac:dyDescent="0.35">
      <c r="C113" s="1411"/>
      <c r="D113" s="1421"/>
      <c r="E113" s="1447"/>
      <c r="F113" s="53"/>
      <c r="G113" s="1429"/>
      <c r="H113" s="244"/>
      <c r="I113" s="1422"/>
      <c r="J113" s="106"/>
      <c r="K113" s="1432"/>
      <c r="L113" s="726"/>
      <c r="M113" s="726"/>
      <c r="N113" s="726"/>
      <c r="O113" s="1433"/>
      <c r="P113" s="106"/>
      <c r="Q113" s="1472"/>
      <c r="R113" s="1473"/>
      <c r="S113" s="1479">
        <f>$S$107*R112</f>
        <v>6597.7145519378337</v>
      </c>
      <c r="T113" s="1473"/>
      <c r="U113" s="1474"/>
      <c r="V113" s="106"/>
      <c r="W113" s="1439"/>
      <c r="X113" s="1440"/>
      <c r="Y113" s="1440"/>
      <c r="Z113" s="1441"/>
      <c r="AA113" s="1412"/>
    </row>
    <row r="114" spans="3:27" x14ac:dyDescent="0.35">
      <c r="C114" s="1411"/>
      <c r="D114" s="1421"/>
      <c r="E114" s="349"/>
      <c r="F114" s="349"/>
      <c r="G114" s="349"/>
      <c r="H114" s="349"/>
      <c r="I114" s="1422"/>
      <c r="J114" s="106"/>
      <c r="K114" s="1432"/>
      <c r="L114" s="726"/>
      <c r="M114" s="726"/>
      <c r="N114" s="726"/>
      <c r="O114" s="1433"/>
      <c r="P114" s="106"/>
      <c r="Q114" s="1472"/>
      <c r="R114" s="1473"/>
      <c r="S114" s="1473"/>
      <c r="T114" s="1473"/>
      <c r="U114" s="1474"/>
      <c r="V114" s="106"/>
      <c r="W114" s="1439"/>
      <c r="X114" s="1440"/>
      <c r="Y114" s="1440"/>
      <c r="Z114" s="1441"/>
      <c r="AA114" s="1412"/>
    </row>
    <row r="115" spans="3:27" x14ac:dyDescent="0.35">
      <c r="C115" s="1411"/>
      <c r="D115" s="1421"/>
      <c r="E115" s="245"/>
      <c r="F115" s="248" t="s">
        <v>2</v>
      </c>
      <c r="G115" s="248"/>
      <c r="H115" s="242"/>
      <c r="I115" s="1422"/>
      <c r="J115" s="1416">
        <f>F116</f>
        <v>6013.7376253543334</v>
      </c>
      <c r="K115" s="1434"/>
      <c r="L115" s="726"/>
      <c r="M115" s="726"/>
      <c r="N115" s="726"/>
      <c r="O115" s="1433"/>
      <c r="P115" s="106"/>
      <c r="Q115" s="1472"/>
      <c r="R115" s="1478">
        <v>0.7</v>
      </c>
      <c r="S115" s="1473"/>
      <c r="T115" s="1473"/>
      <c r="U115" s="1474"/>
      <c r="V115" s="106"/>
      <c r="W115" s="1439"/>
      <c r="X115" s="1440"/>
      <c r="Y115" s="1440"/>
      <c r="Z115" s="1441"/>
      <c r="AA115" s="1412"/>
    </row>
    <row r="116" spans="3:27" x14ac:dyDescent="0.35">
      <c r="C116" s="1411"/>
      <c r="D116" s="1421"/>
      <c r="E116" s="246"/>
      <c r="F116" s="1427">
        <f>AVERAGE('Premissas Geração de Resíduos'!$H$117:$J$117)</f>
        <v>6013.7376253543334</v>
      </c>
      <c r="G116" s="1427"/>
      <c r="H116" s="243"/>
      <c r="I116" s="1422"/>
      <c r="J116" s="1417">
        <f>G117</f>
        <v>117.98462486246666</v>
      </c>
      <c r="K116" s="1435"/>
      <c r="L116" s="726"/>
      <c r="M116" s="726"/>
      <c r="N116" s="726"/>
      <c r="O116" s="1433"/>
      <c r="P116" s="106"/>
      <c r="Q116" s="1472"/>
      <c r="R116" s="1473"/>
      <c r="S116" s="1479">
        <f>$S$107*R115</f>
        <v>46184.00186356483</v>
      </c>
      <c r="T116" s="1473"/>
      <c r="U116" s="1474"/>
      <c r="V116" s="106"/>
      <c r="W116" s="1439"/>
      <c r="X116" s="1440"/>
      <c r="Y116" s="1440"/>
      <c r="Z116" s="1441"/>
      <c r="AA116" s="1412"/>
    </row>
    <row r="117" spans="3:27" x14ac:dyDescent="0.35">
      <c r="C117" s="1411"/>
      <c r="D117" s="1421"/>
      <c r="E117" s="1447">
        <f>AVERAGE('Premissas Geração de Resíduos'!$H$100:$J$100)</f>
        <v>589.92312431233324</v>
      </c>
      <c r="F117" s="53"/>
      <c r="G117" s="1429">
        <f>E117*0.2</f>
        <v>117.98462486246666</v>
      </c>
      <c r="H117" s="244"/>
      <c r="I117" s="1422"/>
      <c r="J117" s="106"/>
      <c r="K117" s="1432"/>
      <c r="L117" s="726"/>
      <c r="M117" s="726"/>
      <c r="N117" s="726"/>
      <c r="O117" s="1433"/>
      <c r="P117" s="1416">
        <f>J106+J115+J123+J138</f>
        <v>18548.900966798668</v>
      </c>
      <c r="Q117" s="1472"/>
      <c r="R117" s="1473"/>
      <c r="S117" s="1473"/>
      <c r="T117" s="1473"/>
      <c r="U117" s="1474"/>
      <c r="V117" s="106"/>
      <c r="W117" s="1439"/>
      <c r="X117" s="1926">
        <f>S116+T134+S141</f>
        <v>50489.418884602317</v>
      </c>
      <c r="Y117" s="1926"/>
      <c r="Z117" s="1441"/>
      <c r="AA117" s="1412"/>
    </row>
    <row r="118" spans="3:27" x14ac:dyDescent="0.35">
      <c r="C118" s="1411"/>
      <c r="D118" s="1421"/>
      <c r="E118" s="349"/>
      <c r="F118" s="1418"/>
      <c r="G118" s="1418"/>
      <c r="H118" s="349"/>
      <c r="I118" s="1422"/>
      <c r="J118" s="106"/>
      <c r="K118" s="1432"/>
      <c r="L118" s="726"/>
      <c r="M118" s="726"/>
      <c r="N118" s="726"/>
      <c r="O118" s="1433"/>
      <c r="P118" s="106"/>
      <c r="Q118" s="1472"/>
      <c r="R118" s="1478">
        <v>0.2</v>
      </c>
      <c r="S118" s="1473"/>
      <c r="T118" s="1473"/>
      <c r="U118" s="1474"/>
      <c r="V118" s="106"/>
      <c r="W118" s="1439"/>
      <c r="X118" s="1440"/>
      <c r="Y118" s="1440"/>
      <c r="Z118" s="1441"/>
      <c r="AA118" s="1412"/>
    </row>
    <row r="119" spans="3:27" x14ac:dyDescent="0.35">
      <c r="C119" s="1411"/>
      <c r="D119" s="1421"/>
      <c r="E119" s="245"/>
      <c r="F119" s="1430" t="s">
        <v>3</v>
      </c>
      <c r="G119" s="1430"/>
      <c r="H119" s="242"/>
      <c r="I119" s="1422"/>
      <c r="J119" s="106"/>
      <c r="K119" s="1432"/>
      <c r="L119" s="726"/>
      <c r="M119" s="726"/>
      <c r="N119" s="726"/>
      <c r="O119" s="1433"/>
      <c r="P119" s="1448">
        <f>J107+J116+J124+J139</f>
        <v>802.98451862319996</v>
      </c>
      <c r="Q119" s="1472"/>
      <c r="R119" s="1473"/>
      <c r="S119" s="1479">
        <f>$S$107*R118</f>
        <v>13195.429103875667</v>
      </c>
      <c r="T119" s="1473"/>
      <c r="U119" s="1474"/>
      <c r="V119" s="106"/>
      <c r="W119" s="1439"/>
      <c r="X119" s="1440"/>
      <c r="Y119" s="1440"/>
      <c r="Z119" s="1441"/>
      <c r="AA119" s="1412"/>
    </row>
    <row r="120" spans="3:27" x14ac:dyDescent="0.35">
      <c r="C120" s="1411"/>
      <c r="D120" s="1421"/>
      <c r="E120" s="246"/>
      <c r="F120" s="1427">
        <f>AVERAGE('Premissas Geração de Resíduos'!$H$118:$J$118)</f>
        <v>711.54144736700016</v>
      </c>
      <c r="G120" s="1427"/>
      <c r="H120" s="243"/>
      <c r="I120" s="1422"/>
      <c r="J120" s="106"/>
      <c r="K120" s="1432"/>
      <c r="L120" s="726"/>
      <c r="M120" s="726"/>
      <c r="N120" s="726"/>
      <c r="O120" s="1433"/>
      <c r="P120" s="106"/>
      <c r="Q120" s="1472"/>
      <c r="R120" s="1473"/>
      <c r="S120" s="1473"/>
      <c r="T120" s="1473"/>
      <c r="U120" s="1474"/>
      <c r="V120" s="106"/>
      <c r="W120" s="1439"/>
      <c r="X120" s="1440"/>
      <c r="Y120" s="1440"/>
      <c r="Z120" s="1441"/>
      <c r="AA120" s="1412"/>
    </row>
    <row r="121" spans="3:27" x14ac:dyDescent="0.35">
      <c r="C121" s="1411"/>
      <c r="D121" s="1421"/>
      <c r="E121" s="246"/>
      <c r="F121" s="1428">
        <f>AVERAGE('Premissas Geração de Resíduos'!$H$101:$J$101)</f>
        <v>69.806399633000012</v>
      </c>
      <c r="G121" s="1428"/>
      <c r="H121" s="243"/>
      <c r="I121" s="1422"/>
      <c r="J121" s="106"/>
      <c r="K121" s="1432"/>
      <c r="L121" s="726"/>
      <c r="M121" s="726"/>
      <c r="N121" s="726"/>
      <c r="O121" s="1433"/>
      <c r="P121" s="106"/>
      <c r="Q121" s="1472"/>
      <c r="R121" s="1473"/>
      <c r="S121" s="1473"/>
      <c r="T121" s="1473"/>
      <c r="U121" s="1474"/>
      <c r="V121" s="106"/>
      <c r="W121" s="1439"/>
      <c r="X121" s="1440"/>
      <c r="Y121" s="1440"/>
      <c r="Z121" s="1441"/>
      <c r="AA121" s="1412"/>
    </row>
    <row r="122" spans="3:27" x14ac:dyDescent="0.35">
      <c r="C122" s="1411"/>
      <c r="D122" s="1421"/>
      <c r="E122" s="246"/>
      <c r="F122" s="1431" t="s">
        <v>9</v>
      </c>
      <c r="G122" s="1431"/>
      <c r="H122" s="243"/>
      <c r="I122" s="1422"/>
      <c r="J122" s="106"/>
      <c r="K122" s="1432"/>
      <c r="L122" s="726"/>
      <c r="M122" s="726"/>
      <c r="N122" s="726"/>
      <c r="O122" s="1433"/>
      <c r="P122" s="106"/>
      <c r="Q122" s="1472"/>
      <c r="R122" s="1473"/>
      <c r="S122" s="1473"/>
      <c r="T122" s="1473"/>
      <c r="U122" s="1474"/>
      <c r="V122" s="106"/>
      <c r="W122" s="1439"/>
      <c r="X122" s="1440"/>
      <c r="Y122" s="1440"/>
      <c r="Z122" s="1441"/>
      <c r="AA122" s="1412"/>
    </row>
    <row r="123" spans="3:27" x14ac:dyDescent="0.35">
      <c r="C123" s="1411"/>
      <c r="D123" s="1421"/>
      <c r="E123" s="246"/>
      <c r="F123" s="1427">
        <f>AVERAGE('Premissas Geração de Resíduos'!$H$124:$J$124)</f>
        <v>2612.6888639666668</v>
      </c>
      <c r="G123" s="1427"/>
      <c r="H123" s="243"/>
      <c r="I123" s="1422"/>
      <c r="J123" s="1416">
        <f>F120+F123+F126</f>
        <v>5092.5649827276666</v>
      </c>
      <c r="K123" s="1434"/>
      <c r="L123" s="726"/>
      <c r="M123" s="726"/>
      <c r="N123" s="726"/>
      <c r="O123" s="1433"/>
      <c r="P123" s="106"/>
      <c r="Q123" s="1472"/>
      <c r="R123" s="1473"/>
      <c r="S123" s="1473"/>
      <c r="T123" s="1473"/>
      <c r="U123" s="1474"/>
      <c r="V123" s="106"/>
      <c r="W123" s="1439"/>
      <c r="X123" s="1440"/>
      <c r="Y123" s="1440"/>
      <c r="Z123" s="1441"/>
      <c r="AA123" s="1412"/>
    </row>
    <row r="124" spans="3:27" x14ac:dyDescent="0.35">
      <c r="C124" s="1411"/>
      <c r="D124" s="1421"/>
      <c r="E124" s="246"/>
      <c r="F124" s="1428">
        <f>AVERAGE('Premissas Geração de Resíduos'!$H$107:$J$107)</f>
        <v>256.49188770000001</v>
      </c>
      <c r="G124" s="1428"/>
      <c r="H124" s="243"/>
      <c r="I124" s="1422"/>
      <c r="J124" s="1417">
        <f>F121+F124+F127</f>
        <v>499.90325593900002</v>
      </c>
      <c r="K124" s="1435"/>
      <c r="L124" s="726"/>
      <c r="M124" s="726"/>
      <c r="N124" s="726"/>
      <c r="O124" s="1433"/>
      <c r="P124" s="106"/>
      <c r="Q124" s="1472"/>
      <c r="R124" s="1480">
        <v>0.6</v>
      </c>
      <c r="S124" s="1473"/>
      <c r="T124" s="1480">
        <v>0.4</v>
      </c>
      <c r="U124" s="1474"/>
      <c r="V124" s="106"/>
      <c r="W124" s="1439"/>
      <c r="X124" s="1440"/>
      <c r="Y124" s="1440"/>
      <c r="Z124" s="1441"/>
      <c r="AA124" s="1412"/>
    </row>
    <row r="125" spans="3:27" x14ac:dyDescent="0.35">
      <c r="C125" s="1411"/>
      <c r="D125" s="1421"/>
      <c r="E125" s="246"/>
      <c r="F125" s="1431" t="s">
        <v>4</v>
      </c>
      <c r="G125" s="1431"/>
      <c r="H125" s="243"/>
      <c r="I125" s="1422"/>
      <c r="J125" s="106"/>
      <c r="K125" s="1432"/>
      <c r="L125" s="726"/>
      <c r="M125" s="726"/>
      <c r="N125" s="726"/>
      <c r="O125" s="1433"/>
      <c r="P125" s="106"/>
      <c r="Q125" s="1472"/>
      <c r="R125" s="1473"/>
      <c r="S125" s="1473"/>
      <c r="T125" s="1473"/>
      <c r="U125" s="1474"/>
      <c r="V125" s="106"/>
      <c r="W125" s="1439"/>
      <c r="X125" s="1440"/>
      <c r="Y125" s="1440"/>
      <c r="Z125" s="1441"/>
      <c r="AA125" s="1412"/>
    </row>
    <row r="126" spans="3:27" x14ac:dyDescent="0.35">
      <c r="C126" s="1411"/>
      <c r="D126" s="1421"/>
      <c r="E126" s="246"/>
      <c r="F126" s="1427">
        <f>AVERAGE('Premissas Geração de Resíduos'!$H$119:$J$119)</f>
        <v>1768.334671394</v>
      </c>
      <c r="G126" s="1427"/>
      <c r="H126" s="243"/>
      <c r="I126" s="1422"/>
      <c r="J126" s="106"/>
      <c r="K126" s="1432"/>
      <c r="L126" s="726"/>
      <c r="M126" s="726"/>
      <c r="N126" s="726"/>
      <c r="O126" s="1433"/>
      <c r="P126" s="106"/>
      <c r="Q126" s="1472"/>
      <c r="R126" s="1482">
        <f>S119*R124</f>
        <v>7917.2574623254004</v>
      </c>
      <c r="S126" s="1473"/>
      <c r="T126" s="1482">
        <f>S119*T124</f>
        <v>5278.1716415502669</v>
      </c>
      <c r="U126" s="1474"/>
      <c r="V126" s="106"/>
      <c r="W126" s="1439"/>
      <c r="X126" s="1440"/>
      <c r="Y126" s="1440"/>
      <c r="Z126" s="1441"/>
      <c r="AA126" s="1412"/>
    </row>
    <row r="127" spans="3:27" x14ac:dyDescent="0.35">
      <c r="C127" s="1411"/>
      <c r="D127" s="1421"/>
      <c r="E127" s="246"/>
      <c r="F127" s="1428">
        <f>AVERAGE('Premissas Geração de Resíduos'!$H$102:$J$102)</f>
        <v>173.60496860599997</v>
      </c>
      <c r="G127" s="1428"/>
      <c r="H127" s="243"/>
      <c r="I127" s="1422"/>
      <c r="J127" s="106"/>
      <c r="K127" s="1432"/>
      <c r="L127" s="726"/>
      <c r="M127" s="726"/>
      <c r="N127" s="726"/>
      <c r="O127" s="1433"/>
      <c r="P127" s="106"/>
      <c r="Q127" s="1472"/>
      <c r="R127" s="1473"/>
      <c r="S127" s="1473"/>
      <c r="T127" s="1480">
        <v>0.25</v>
      </c>
      <c r="U127" s="1474"/>
      <c r="V127" s="106"/>
      <c r="W127" s="1439"/>
      <c r="X127" s="1440"/>
      <c r="Y127" s="1440"/>
      <c r="Z127" s="1441"/>
      <c r="AA127" s="1412"/>
    </row>
    <row r="128" spans="3:27" x14ac:dyDescent="0.35">
      <c r="C128" s="1411"/>
      <c r="D128" s="1421"/>
      <c r="E128" s="1447"/>
      <c r="F128" s="53"/>
      <c r="G128" s="1705"/>
      <c r="H128" s="244"/>
      <c r="I128" s="1422"/>
      <c r="J128" s="106"/>
      <c r="K128" s="1432"/>
      <c r="L128" s="726"/>
      <c r="M128" s="726"/>
      <c r="N128" s="726"/>
      <c r="O128" s="1433"/>
      <c r="P128" s="106"/>
      <c r="Q128" s="1472"/>
      <c r="R128" s="1473"/>
      <c r="S128" s="1473"/>
      <c r="T128" s="1480"/>
      <c r="U128" s="1474"/>
      <c r="V128" s="106"/>
      <c r="W128" s="1439"/>
      <c r="X128" s="1440"/>
      <c r="Y128" s="1440"/>
      <c r="Z128" s="1441"/>
      <c r="AA128" s="1412"/>
    </row>
    <row r="129" spans="3:27" x14ac:dyDescent="0.35">
      <c r="C129" s="1411"/>
      <c r="D129" s="1421"/>
      <c r="E129" s="349"/>
      <c r="F129" s="349"/>
      <c r="G129" s="349"/>
      <c r="H129" s="349"/>
      <c r="I129" s="1422"/>
      <c r="J129" s="106"/>
      <c r="K129" s="1432"/>
      <c r="L129" s="726"/>
      <c r="M129" s="726"/>
      <c r="N129" s="726"/>
      <c r="O129" s="1433"/>
      <c r="P129" s="106"/>
      <c r="Q129" s="1472"/>
      <c r="R129" s="1473"/>
      <c r="S129" s="1473"/>
      <c r="T129" s="1473"/>
      <c r="U129" s="1474"/>
      <c r="V129" s="106"/>
      <c r="W129" s="1439"/>
      <c r="X129" s="1440"/>
      <c r="Y129" s="1440"/>
      <c r="Z129" s="1441"/>
      <c r="AA129" s="1412"/>
    </row>
    <row r="130" spans="3:27" x14ac:dyDescent="0.35">
      <c r="C130" s="1411"/>
      <c r="D130" s="1421"/>
      <c r="E130" s="245"/>
      <c r="F130" s="1430" t="s">
        <v>6</v>
      </c>
      <c r="G130" s="1430"/>
      <c r="H130" s="242"/>
      <c r="I130" s="1422"/>
      <c r="J130" s="1416">
        <f>F131</f>
        <v>43409.960436806665</v>
      </c>
      <c r="K130" s="1434"/>
      <c r="L130" s="726"/>
      <c r="M130" s="726"/>
      <c r="N130" s="726"/>
      <c r="O130" s="1433"/>
      <c r="P130" s="1416">
        <f>J130</f>
        <v>43409.960436806665</v>
      </c>
      <c r="Q130" s="1472"/>
      <c r="R130" s="1473"/>
      <c r="S130" s="1473"/>
      <c r="T130" s="1473"/>
      <c r="U130" s="1474"/>
      <c r="V130" s="106"/>
      <c r="W130" s="1439"/>
      <c r="X130" s="1440"/>
      <c r="Y130" s="1440"/>
      <c r="Z130" s="1441"/>
      <c r="AA130" s="1412"/>
    </row>
    <row r="131" spans="3:27" x14ac:dyDescent="0.35">
      <c r="C131" s="1411"/>
      <c r="D131" s="1421"/>
      <c r="E131" s="246"/>
      <c r="F131" s="1427">
        <f>AVERAGE('Premissas Geração de Resíduos'!$H$121:$J$121)</f>
        <v>43409.960436806665</v>
      </c>
      <c r="G131" s="1427"/>
      <c r="H131" s="243"/>
      <c r="I131" s="1422"/>
      <c r="J131" s="1417">
        <f>G132</f>
        <v>852.09433263866674</v>
      </c>
      <c r="K131" s="1435"/>
      <c r="L131" s="726"/>
      <c r="M131" s="726"/>
      <c r="N131" s="726"/>
      <c r="O131" s="1433"/>
      <c r="P131" s="1417">
        <f>J131</f>
        <v>852.09433263866674</v>
      </c>
      <c r="Q131" s="1472"/>
      <c r="R131" s="1473"/>
      <c r="S131" s="1473"/>
      <c r="T131" s="1482">
        <f>T126*T127</f>
        <v>1319.5429103875667</v>
      </c>
      <c r="U131" s="1474"/>
      <c r="V131" s="106"/>
      <c r="W131" s="1439"/>
      <c r="X131" s="1440"/>
      <c r="Y131" s="1440"/>
      <c r="Z131" s="1441"/>
      <c r="AA131" s="1412"/>
    </row>
    <row r="132" spans="3:27" x14ac:dyDescent="0.35">
      <c r="C132" s="1411"/>
      <c r="D132" s="1421"/>
      <c r="E132" s="1447">
        <f>AVERAGE('Premissas Geração de Resíduos'!$H$104:$J$104)</f>
        <v>4260.4716631933334</v>
      </c>
      <c r="F132" s="53"/>
      <c r="G132" s="1429">
        <f>E132*0.2</f>
        <v>852.09433263866674</v>
      </c>
      <c r="H132" s="244"/>
      <c r="I132" s="1422"/>
      <c r="J132" s="106"/>
      <c r="K132" s="1432"/>
      <c r="L132" s="726"/>
      <c r="M132" s="726"/>
      <c r="N132" s="726"/>
      <c r="O132" s="1433"/>
      <c r="P132" s="106"/>
      <c r="Q132" s="1472"/>
      <c r="R132" s="1473"/>
      <c r="S132" s="1473"/>
      <c r="T132" s="1473"/>
      <c r="U132" s="1474"/>
      <c r="V132" s="106"/>
      <c r="W132" s="1439"/>
      <c r="X132" s="1440"/>
      <c r="Y132" s="1440"/>
      <c r="Z132" s="1441"/>
      <c r="AA132" s="1412"/>
    </row>
    <row r="133" spans="3:27" x14ac:dyDescent="0.35">
      <c r="C133" s="1411"/>
      <c r="D133" s="1421"/>
      <c r="E133" s="349"/>
      <c r="F133" s="349"/>
      <c r="G133" s="349"/>
      <c r="H133" s="349"/>
      <c r="I133" s="1422"/>
      <c r="J133" s="106"/>
      <c r="K133" s="1432"/>
      <c r="L133" s="726"/>
      <c r="M133" s="726"/>
      <c r="N133" s="726"/>
      <c r="O133" s="1433"/>
      <c r="P133" s="106"/>
      <c r="Q133" s="1472"/>
      <c r="R133" s="1473"/>
      <c r="S133" s="1473"/>
      <c r="T133" s="1473"/>
      <c r="U133" s="1474"/>
      <c r="V133" s="106"/>
      <c r="W133" s="1439"/>
      <c r="X133" s="1440"/>
      <c r="Y133" s="1440"/>
      <c r="Z133" s="1441"/>
      <c r="AA133" s="1412"/>
    </row>
    <row r="134" spans="3:27" x14ac:dyDescent="0.35">
      <c r="C134" s="1411"/>
      <c r="D134" s="1421"/>
      <c r="E134" s="245"/>
      <c r="F134" s="1430" t="s">
        <v>5</v>
      </c>
      <c r="G134" s="1430"/>
      <c r="H134" s="242"/>
      <c r="I134" s="1422"/>
      <c r="J134" s="1416">
        <f>F135</f>
        <v>4018.2841157729999</v>
      </c>
      <c r="K134" s="1434"/>
      <c r="L134" s="726"/>
      <c r="M134" s="726"/>
      <c r="N134" s="726"/>
      <c r="O134" s="1433"/>
      <c r="P134" s="1416">
        <f>J134</f>
        <v>4018.2841157729999</v>
      </c>
      <c r="Q134" s="1472"/>
      <c r="R134" s="1473"/>
      <c r="S134" s="1484">
        <v>0.75</v>
      </c>
      <c r="T134" s="1485">
        <f>T126*S134</f>
        <v>3958.6287311627002</v>
      </c>
      <c r="U134" s="1474"/>
      <c r="V134" s="106"/>
      <c r="W134" s="1439"/>
      <c r="X134" s="1440"/>
      <c r="Y134" s="1440"/>
      <c r="Z134" s="1441"/>
      <c r="AA134" s="1412"/>
    </row>
    <row r="135" spans="3:27" x14ac:dyDescent="0.35">
      <c r="C135" s="1411"/>
      <c r="D135" s="1421"/>
      <c r="E135" s="246"/>
      <c r="F135" s="1427">
        <f>AVERAGE('Premissas Geração de Resíduos'!$H$120:$J$120)</f>
        <v>4018.2841157729999</v>
      </c>
      <c r="G135" s="1427"/>
      <c r="H135" s="243"/>
      <c r="I135" s="1422"/>
      <c r="J135" s="1417">
        <f>G136</f>
        <v>78.862598112066664</v>
      </c>
      <c r="K135" s="1435"/>
      <c r="L135" s="726"/>
      <c r="M135" s="726"/>
      <c r="N135" s="726"/>
      <c r="O135" s="1433"/>
      <c r="P135" s="1417">
        <f>J135</f>
        <v>78.862598112066664</v>
      </c>
      <c r="Q135" s="1472"/>
      <c r="R135" s="1473"/>
      <c r="S135" s="1473"/>
      <c r="T135" s="1473"/>
      <c r="U135" s="1474"/>
      <c r="V135" s="106"/>
      <c r="W135" s="1439"/>
      <c r="X135" s="1440"/>
      <c r="Y135" s="1440"/>
      <c r="Z135" s="1441"/>
      <c r="AA135" s="1412"/>
    </row>
    <row r="136" spans="3:27" x14ac:dyDescent="0.35">
      <c r="C136" s="1411"/>
      <c r="D136" s="1421"/>
      <c r="E136" s="1447">
        <f>AVERAGE('Premissas Geração de Resíduos'!$H$103:$J$103)</f>
        <v>394.31299056033328</v>
      </c>
      <c r="F136" s="53"/>
      <c r="G136" s="1429">
        <f>E136*0.2</f>
        <v>78.862598112066664</v>
      </c>
      <c r="H136" s="244"/>
      <c r="I136" s="1422"/>
      <c r="J136" s="106"/>
      <c r="K136" s="1432"/>
      <c r="L136" s="726"/>
      <c r="M136" s="726"/>
      <c r="N136" s="726"/>
      <c r="O136" s="1433"/>
      <c r="P136" s="106"/>
      <c r="Q136" s="1472"/>
      <c r="R136" s="1486" t="s">
        <v>188</v>
      </c>
      <c r="S136" s="1473"/>
      <c r="T136" s="1473"/>
      <c r="U136" s="1474"/>
      <c r="V136" s="106"/>
      <c r="W136" s="1439"/>
      <c r="X136" s="1440"/>
      <c r="Y136" s="1440"/>
      <c r="Z136" s="1441"/>
      <c r="AA136" s="1412"/>
    </row>
    <row r="137" spans="3:27" x14ac:dyDescent="0.35">
      <c r="C137" s="1411"/>
      <c r="D137" s="1421"/>
      <c r="E137" s="349"/>
      <c r="F137" s="349"/>
      <c r="G137" s="349"/>
      <c r="H137" s="349"/>
      <c r="I137" s="1422"/>
      <c r="J137" s="106"/>
      <c r="K137" s="1432"/>
      <c r="L137" s="726"/>
      <c r="M137" s="726"/>
      <c r="N137" s="726"/>
      <c r="O137" s="1433"/>
      <c r="P137" s="106"/>
      <c r="Q137" s="1472"/>
      <c r="R137" s="1473"/>
      <c r="S137" s="1473"/>
      <c r="T137" s="1473"/>
      <c r="U137" s="1474"/>
      <c r="V137" s="106"/>
      <c r="W137" s="1439"/>
      <c r="X137" s="1440"/>
      <c r="Y137" s="1440"/>
      <c r="Z137" s="1441"/>
      <c r="AA137" s="1412"/>
    </row>
    <row r="138" spans="3:27" x14ac:dyDescent="0.35">
      <c r="C138" s="1411"/>
      <c r="D138" s="1421"/>
      <c r="E138" s="245"/>
      <c r="F138" s="1430" t="s">
        <v>7</v>
      </c>
      <c r="G138" s="1430"/>
      <c r="H138" s="242"/>
      <c r="I138" s="1422"/>
      <c r="J138" s="1416">
        <f>F139</f>
        <v>3743.6842833103328</v>
      </c>
      <c r="K138" s="1434"/>
      <c r="L138" s="726"/>
      <c r="M138" s="726"/>
      <c r="N138" s="726"/>
      <c r="O138" s="1433"/>
      <c r="P138" s="106"/>
      <c r="Q138" s="1472"/>
      <c r="R138" s="1487">
        <v>0.8</v>
      </c>
      <c r="S138" s="1488"/>
      <c r="T138" s="1473"/>
      <c r="U138" s="1474"/>
      <c r="V138" s="106"/>
      <c r="W138" s="1439"/>
      <c r="X138" s="1440"/>
      <c r="Y138" s="1440"/>
      <c r="Z138" s="1441"/>
      <c r="AA138" s="1412"/>
    </row>
    <row r="139" spans="3:27" x14ac:dyDescent="0.35">
      <c r="C139" s="1411"/>
      <c r="D139" s="1421"/>
      <c r="E139" s="246"/>
      <c r="F139" s="1427">
        <f>AVERAGE('Premissas Geração de Resíduos'!$H$122:$J$122)</f>
        <v>3743.6842833103328</v>
      </c>
      <c r="G139" s="1427"/>
      <c r="H139" s="243"/>
      <c r="I139" s="1422"/>
      <c r="J139" s="1417">
        <f>G140</f>
        <v>73.424687937933328</v>
      </c>
      <c r="K139" s="1435"/>
      <c r="L139" s="726"/>
      <c r="M139" s="726"/>
      <c r="N139" s="726"/>
      <c r="O139" s="1433"/>
      <c r="P139" s="106"/>
      <c r="Q139" s="1472"/>
      <c r="R139" s="1488"/>
      <c r="S139" s="1489">
        <f>$S$108*R138</f>
        <v>1387.1531594991468</v>
      </c>
      <c r="T139" s="1473"/>
      <c r="U139" s="1474"/>
      <c r="V139" s="106"/>
      <c r="W139" s="1439"/>
      <c r="X139" s="1440"/>
      <c r="Y139" s="1440"/>
      <c r="Z139" s="1441"/>
      <c r="AA139" s="1412"/>
    </row>
    <row r="140" spans="3:27" x14ac:dyDescent="0.35">
      <c r="C140" s="1411"/>
      <c r="D140" s="1421"/>
      <c r="E140" s="1447">
        <f>AVERAGE('Premissas Geração de Resíduos'!$H$105:$J$105)</f>
        <v>367.12343968966661</v>
      </c>
      <c r="F140" s="53"/>
      <c r="G140" s="1429">
        <f>E140*0.2</f>
        <v>73.424687937933328</v>
      </c>
      <c r="H140" s="244"/>
      <c r="I140" s="1422"/>
      <c r="J140" s="106"/>
      <c r="K140" s="1432"/>
      <c r="L140" s="726"/>
      <c r="M140" s="726"/>
      <c r="N140" s="726"/>
      <c r="O140" s="1433"/>
      <c r="P140" s="106"/>
      <c r="Q140" s="1472"/>
      <c r="R140" s="1487">
        <v>0.2</v>
      </c>
      <c r="S140" s="1473"/>
      <c r="T140" s="1473"/>
      <c r="U140" s="1474"/>
      <c r="V140" s="106"/>
      <c r="W140" s="1439"/>
      <c r="X140" s="1440"/>
      <c r="Y140" s="1440"/>
      <c r="Z140" s="1441"/>
      <c r="AA140" s="1412"/>
    </row>
    <row r="141" spans="3:27" x14ac:dyDescent="0.35">
      <c r="C141" s="1411"/>
      <c r="D141" s="1421"/>
      <c r="E141" s="349"/>
      <c r="F141" s="349"/>
      <c r="G141" s="349"/>
      <c r="H141" s="349"/>
      <c r="I141" s="1422"/>
      <c r="J141" s="106"/>
      <c r="K141" s="1432"/>
      <c r="L141" s="726"/>
      <c r="M141" s="726"/>
      <c r="N141" s="726"/>
      <c r="O141" s="1433"/>
      <c r="P141" s="106"/>
      <c r="Q141" s="1472"/>
      <c r="R141" s="1473"/>
      <c r="S141" s="1489">
        <f>$S$108*R140</f>
        <v>346.7882898747867</v>
      </c>
      <c r="T141" s="1473"/>
      <c r="U141" s="1474"/>
      <c r="V141" s="106"/>
      <c r="W141" s="1439"/>
      <c r="X141" s="1440"/>
      <c r="Y141" s="1440"/>
      <c r="Z141" s="1441"/>
      <c r="AA141" s="1412"/>
    </row>
    <row r="142" spans="3:27" x14ac:dyDescent="0.35">
      <c r="C142" s="1411"/>
      <c r="D142" s="1421"/>
      <c r="E142" s="349"/>
      <c r="F142" s="349"/>
      <c r="G142" s="349"/>
      <c r="H142" s="349"/>
      <c r="I142" s="1422"/>
      <c r="J142" s="106"/>
      <c r="K142" s="1432"/>
      <c r="L142" s="726"/>
      <c r="M142" s="726"/>
      <c r="N142" s="726"/>
      <c r="O142" s="1433"/>
      <c r="P142" s="106"/>
      <c r="Q142" s="1472"/>
      <c r="R142" s="1473"/>
      <c r="S142" s="1489"/>
      <c r="T142" s="1473"/>
      <c r="U142" s="1474"/>
      <c r="V142" s="106"/>
      <c r="W142" s="1439"/>
      <c r="X142" s="1440"/>
      <c r="Y142" s="1440"/>
      <c r="Z142" s="1441"/>
      <c r="AA142" s="1412"/>
    </row>
    <row r="143" spans="3:27" x14ac:dyDescent="0.35">
      <c r="C143" s="1411"/>
      <c r="D143" s="1424"/>
      <c r="E143" s="1426"/>
      <c r="F143" s="1426"/>
      <c r="G143" s="1426"/>
      <c r="H143" s="1426"/>
      <c r="I143" s="1425"/>
      <c r="J143" s="106"/>
      <c r="K143" s="1436"/>
      <c r="L143" s="1437"/>
      <c r="M143" s="1437"/>
      <c r="N143" s="1437"/>
      <c r="O143" s="1438"/>
      <c r="P143" s="106"/>
      <c r="Q143" s="1490"/>
      <c r="R143" s="1491"/>
      <c r="S143" s="1491"/>
      <c r="T143" s="1491"/>
      <c r="U143" s="1492"/>
      <c r="V143" s="106"/>
      <c r="W143" s="1442"/>
      <c r="X143" s="1443"/>
      <c r="Y143" s="1443"/>
      <c r="Z143" s="1444"/>
      <c r="AA143" s="1412"/>
    </row>
    <row r="144" spans="3:27" x14ac:dyDescent="0.35">
      <c r="C144" s="1411"/>
      <c r="D144" s="106"/>
      <c r="E144" s="106"/>
      <c r="F144" s="106"/>
      <c r="G144" s="106"/>
      <c r="H144" s="106"/>
      <c r="I144" s="106"/>
      <c r="J144" s="106"/>
      <c r="K144" s="106"/>
      <c r="L144" s="106"/>
      <c r="M144" s="106"/>
      <c r="N144" s="106"/>
      <c r="O144" s="106"/>
      <c r="P144" s="106"/>
      <c r="Q144" s="106"/>
      <c r="R144" s="106"/>
      <c r="S144" s="106"/>
      <c r="T144" s="106"/>
      <c r="U144" s="106"/>
      <c r="V144" s="106"/>
      <c r="W144" s="106"/>
      <c r="X144" s="106"/>
      <c r="Y144" s="106"/>
      <c r="Z144" s="106"/>
      <c r="AA144" s="1412"/>
    </row>
    <row r="145" spans="3:27" ht="15" thickBot="1" x14ac:dyDescent="0.4">
      <c r="C145" s="1413"/>
      <c r="D145" s="1414"/>
      <c r="E145" s="1414" t="s">
        <v>191</v>
      </c>
      <c r="F145" s="1414"/>
      <c r="G145" s="1414"/>
      <c r="H145" s="1414"/>
      <c r="I145" s="1414"/>
      <c r="J145" s="1414"/>
      <c r="K145" s="1414"/>
      <c r="L145" s="1414"/>
      <c r="M145" s="1414"/>
      <c r="N145" s="1414"/>
      <c r="O145" s="1414"/>
      <c r="P145" s="1414"/>
      <c r="Q145" s="1414"/>
      <c r="R145" s="1414"/>
      <c r="S145" s="1414"/>
      <c r="T145" s="1414"/>
      <c r="U145" s="1414"/>
      <c r="V145" s="1414"/>
      <c r="W145" s="1414"/>
      <c r="X145" s="1414"/>
      <c r="Y145" s="1414"/>
      <c r="Z145" s="1414"/>
      <c r="AA145" s="1415"/>
    </row>
    <row r="146" spans="3:27" ht="15" thickBot="1" x14ac:dyDescent="0.4"/>
    <row r="147" spans="3:27" x14ac:dyDescent="0.35">
      <c r="C147" s="1408"/>
      <c r="D147" s="1409"/>
      <c r="E147" s="1409"/>
      <c r="F147" s="1409"/>
      <c r="G147" s="1409"/>
      <c r="H147" s="1409"/>
      <c r="I147" s="1409"/>
      <c r="J147" s="1409"/>
      <c r="K147" s="1409"/>
      <c r="L147" s="1409"/>
      <c r="M147" s="1409"/>
      <c r="N147" s="1409"/>
      <c r="O147" s="1409"/>
      <c r="P147" s="1409"/>
      <c r="Q147" s="1409"/>
      <c r="R147" s="1409"/>
      <c r="S147" s="1409"/>
      <c r="T147" s="1409"/>
      <c r="U147" s="1409"/>
      <c r="V147" s="1409"/>
      <c r="W147" s="1409"/>
      <c r="X147" s="1409"/>
      <c r="Y147" s="1409"/>
      <c r="Z147" s="1409"/>
      <c r="AA147" s="1410"/>
    </row>
    <row r="148" spans="3:27" ht="18.5" x14ac:dyDescent="0.45">
      <c r="C148" s="1411"/>
      <c r="D148" s="106"/>
      <c r="E148" s="1911" t="s">
        <v>192</v>
      </c>
      <c r="F148" s="1911"/>
      <c r="G148" s="1911"/>
      <c r="H148" s="1911"/>
      <c r="I148" s="1911"/>
      <c r="J148" s="1911"/>
      <c r="K148" s="1911"/>
      <c r="L148" s="1911"/>
      <c r="M148" s="1911"/>
      <c r="N148" s="1911"/>
      <c r="O148" s="1911"/>
      <c r="P148" s="1911"/>
      <c r="Q148" s="1911"/>
      <c r="R148" s="1911"/>
      <c r="S148" s="1911"/>
      <c r="T148" s="1911"/>
      <c r="U148" s="1911"/>
      <c r="V148" s="1911"/>
      <c r="W148" s="1911"/>
      <c r="X148" s="1911"/>
      <c r="Y148" s="1911"/>
      <c r="Z148" s="1911"/>
      <c r="AA148" s="1912"/>
    </row>
    <row r="149" spans="3:27" x14ac:dyDescent="0.35">
      <c r="C149" s="1411"/>
      <c r="D149" s="106"/>
      <c r="E149" s="106"/>
      <c r="F149" s="106"/>
      <c r="G149" s="106"/>
      <c r="H149" s="106"/>
      <c r="I149" s="106"/>
      <c r="J149" s="106"/>
      <c r="K149" s="106"/>
      <c r="L149" s="106"/>
      <c r="M149" s="106"/>
      <c r="N149" s="106"/>
      <c r="O149" s="106"/>
      <c r="P149" s="106"/>
      <c r="Q149" s="106"/>
      <c r="R149" s="106"/>
      <c r="S149" s="106"/>
      <c r="T149" s="106"/>
      <c r="U149" s="106"/>
      <c r="V149" s="106"/>
      <c r="W149" s="106"/>
      <c r="X149" s="106"/>
      <c r="Y149" s="106"/>
      <c r="Z149" s="106"/>
      <c r="AA149" s="1412"/>
    </row>
    <row r="150" spans="3:27" x14ac:dyDescent="0.35">
      <c r="C150" s="1411"/>
      <c r="D150" s="1419"/>
      <c r="E150" s="1913" t="s">
        <v>179</v>
      </c>
      <c r="F150" s="1913"/>
      <c r="G150" s="1913"/>
      <c r="H150" s="1913"/>
      <c r="I150" s="1420"/>
      <c r="J150" s="106"/>
      <c r="K150" s="1914" t="s">
        <v>180</v>
      </c>
      <c r="L150" s="1915"/>
      <c r="M150" s="1915"/>
      <c r="N150" s="1915"/>
      <c r="O150" s="1916"/>
      <c r="P150" s="106"/>
      <c r="Q150" s="1469"/>
      <c r="R150" s="1291"/>
      <c r="S150" s="1470" t="s">
        <v>186</v>
      </c>
      <c r="T150" s="1470"/>
      <c r="U150" s="1471"/>
      <c r="V150" s="106"/>
      <c r="W150" s="1917" t="s">
        <v>181</v>
      </c>
      <c r="X150" s="1918"/>
      <c r="Y150" s="1918"/>
      <c r="Z150" s="1919"/>
      <c r="AA150" s="1412"/>
    </row>
    <row r="151" spans="3:27" x14ac:dyDescent="0.35">
      <c r="C151" s="1411"/>
      <c r="D151" s="1421"/>
      <c r="E151" s="349"/>
      <c r="F151" s="349"/>
      <c r="G151" s="349"/>
      <c r="H151" s="349"/>
      <c r="I151" s="1422"/>
      <c r="J151" s="106"/>
      <c r="K151" s="1432"/>
      <c r="L151" s="726"/>
      <c r="M151" s="726"/>
      <c r="N151" s="726"/>
      <c r="O151" s="1433"/>
      <c r="P151" s="106"/>
      <c r="Q151" s="1472"/>
      <c r="R151" s="1473"/>
      <c r="S151" s="1473"/>
      <c r="T151" s="1473"/>
      <c r="U151" s="1474"/>
      <c r="V151" s="106"/>
      <c r="W151" s="1439"/>
      <c r="X151" s="1440"/>
      <c r="Y151" s="1440"/>
      <c r="Z151" s="1441"/>
      <c r="AA151" s="1412"/>
    </row>
    <row r="152" spans="3:27" x14ac:dyDescent="0.35">
      <c r="C152" s="1411"/>
      <c r="D152" s="1421"/>
      <c r="E152" s="245"/>
      <c r="F152" s="248" t="s">
        <v>1</v>
      </c>
      <c r="G152" s="248"/>
      <c r="H152" s="242"/>
      <c r="I152" s="1422"/>
      <c r="J152" s="106"/>
      <c r="K152" s="1432"/>
      <c r="L152" s="726"/>
      <c r="M152" s="726"/>
      <c r="N152" s="726"/>
      <c r="O152" s="1433"/>
      <c r="P152" s="106"/>
      <c r="Q152" s="1472"/>
      <c r="R152" s="1473"/>
      <c r="S152" s="1473"/>
      <c r="T152" s="1473"/>
      <c r="U152" s="1474"/>
      <c r="V152" s="106"/>
      <c r="W152" s="1439"/>
      <c r="X152" s="1440"/>
      <c r="Y152" s="1440"/>
      <c r="Z152" s="1441"/>
      <c r="AA152" s="1412"/>
    </row>
    <row r="153" spans="3:27" x14ac:dyDescent="0.35">
      <c r="C153" s="1411"/>
      <c r="D153" s="1421"/>
      <c r="E153" s="246"/>
      <c r="F153" s="1427">
        <f>AVERAGE('Premissas Geração de Resíduos'!$K$116:$AG$116)</f>
        <v>428.510928772174</v>
      </c>
      <c r="G153" s="1427"/>
      <c r="H153" s="243"/>
      <c r="I153" s="1422"/>
      <c r="J153" s="106"/>
      <c r="K153" s="1432"/>
      <c r="L153" s="726"/>
      <c r="M153" s="726"/>
      <c r="N153" s="726"/>
      <c r="O153" s="1433"/>
      <c r="P153" s="106"/>
      <c r="Q153" s="1472"/>
      <c r="R153" s="1473"/>
      <c r="S153" s="1473"/>
      <c r="T153" s="1473"/>
      <c r="U153" s="1474"/>
      <c r="V153" s="106"/>
      <c r="W153" s="1439"/>
      <c r="X153" s="1440"/>
      <c r="Y153" s="1440"/>
      <c r="Z153" s="1441"/>
      <c r="AA153" s="1412"/>
    </row>
    <row r="154" spans="3:27" x14ac:dyDescent="0.35">
      <c r="C154" s="1411"/>
      <c r="D154" s="1421"/>
      <c r="E154" s="246"/>
      <c r="F154" s="1428">
        <f>AVERAGE('Premissas Geração de Resíduos'!$K$99:$AG$99)</f>
        <v>60.072817314782618</v>
      </c>
      <c r="G154" s="1428"/>
      <c r="H154" s="243"/>
      <c r="I154" s="1423"/>
      <c r="J154" s="106"/>
      <c r="K154" s="1432"/>
      <c r="L154" s="726"/>
      <c r="M154" s="726"/>
      <c r="N154" s="726"/>
      <c r="O154" s="1433"/>
      <c r="P154" s="106"/>
      <c r="Q154" s="1472"/>
      <c r="R154" s="1473"/>
      <c r="S154" s="1473"/>
      <c r="T154" s="1473"/>
      <c r="U154" s="1474"/>
      <c r="V154" s="106"/>
      <c r="W154" s="1439"/>
      <c r="X154" s="1440"/>
      <c r="Y154" s="1440"/>
      <c r="Z154" s="1441"/>
      <c r="AA154" s="1412"/>
    </row>
    <row r="155" spans="3:27" x14ac:dyDescent="0.35">
      <c r="C155" s="1411"/>
      <c r="D155" s="1421"/>
      <c r="E155" s="246"/>
      <c r="F155" s="77" t="s">
        <v>8</v>
      </c>
      <c r="G155" s="77"/>
      <c r="H155" s="243"/>
      <c r="I155" s="1422"/>
      <c r="J155" s="1416">
        <f>F153+F156</f>
        <v>3715.1018598174778</v>
      </c>
      <c r="K155" s="1434"/>
      <c r="L155" s="726"/>
      <c r="M155" s="726"/>
      <c r="N155" s="726"/>
      <c r="O155" s="1433"/>
      <c r="P155" s="106"/>
      <c r="Q155" s="1472"/>
      <c r="R155" s="1473"/>
      <c r="S155" s="1473"/>
      <c r="T155" s="1473"/>
      <c r="U155" s="1474"/>
      <c r="V155" s="106"/>
      <c r="W155" s="1439"/>
      <c r="X155" s="1440"/>
      <c r="Y155" s="1440"/>
      <c r="Z155" s="1441"/>
      <c r="AA155" s="1412"/>
    </row>
    <row r="156" spans="3:27" x14ac:dyDescent="0.35">
      <c r="C156" s="1411"/>
      <c r="D156" s="1421"/>
      <c r="E156" s="246"/>
      <c r="F156" s="1427">
        <f>AVERAGE('Premissas Geração de Resíduos'!$K$123:$AG$123)</f>
        <v>3286.5909310453039</v>
      </c>
      <c r="G156" s="1427"/>
      <c r="H156" s="243"/>
      <c r="I156" s="1422"/>
      <c r="J156" s="1417">
        <f>F154+G157</f>
        <v>152.81491373180867</v>
      </c>
      <c r="K156" s="1435"/>
      <c r="L156" s="726"/>
      <c r="M156" s="726"/>
      <c r="N156" s="726"/>
      <c r="O156" s="1433"/>
      <c r="P156" s="106"/>
      <c r="Q156" s="1472"/>
      <c r="R156" s="1473"/>
      <c r="S156" s="1475">
        <f>P166+P179+P183</f>
        <v>65503.297338570177</v>
      </c>
      <c r="T156" s="1475"/>
      <c r="U156" s="1474"/>
      <c r="V156" s="106"/>
      <c r="W156" s="1439"/>
      <c r="X156" s="1440"/>
      <c r="Y156" s="1440"/>
      <c r="Z156" s="1441"/>
      <c r="AA156" s="1412"/>
    </row>
    <row r="157" spans="3:27" x14ac:dyDescent="0.35">
      <c r="C157" s="1411"/>
      <c r="D157" s="1421"/>
      <c r="E157" s="1445">
        <f>AVERAGE('Premissas Geração de Resíduos'!$K$106:$AG$106)</f>
        <v>463.71048208513031</v>
      </c>
      <c r="G157" s="1428">
        <f>E157*0.2</f>
        <v>92.742096417026062</v>
      </c>
      <c r="H157" s="243"/>
      <c r="I157" s="1422"/>
      <c r="J157" s="106"/>
      <c r="K157" s="1432"/>
      <c r="L157" s="726"/>
      <c r="M157" s="726"/>
      <c r="N157" s="726"/>
      <c r="O157" s="1433"/>
      <c r="P157" s="106"/>
      <c r="Q157" s="1472"/>
      <c r="R157" s="1473"/>
      <c r="S157" s="1476">
        <f>P168+P180+P184</f>
        <v>2480.5997155005743</v>
      </c>
      <c r="T157" s="1476"/>
      <c r="U157" s="1474"/>
      <c r="V157" s="106"/>
      <c r="W157" s="1439"/>
      <c r="X157" s="1440"/>
      <c r="Y157" s="1440"/>
      <c r="Z157" s="1441"/>
      <c r="AA157" s="1412"/>
    </row>
    <row r="158" spans="3:27" x14ac:dyDescent="0.35">
      <c r="C158" s="1411"/>
      <c r="D158" s="1421"/>
      <c r="E158" s="246"/>
      <c r="F158" s="77"/>
      <c r="G158" s="77"/>
      <c r="H158" s="243"/>
      <c r="I158" s="1422"/>
      <c r="J158" s="106"/>
      <c r="K158" s="1432"/>
      <c r="L158" s="726"/>
      <c r="M158" s="726"/>
      <c r="N158" s="726"/>
      <c r="O158" s="1433"/>
      <c r="P158" s="106"/>
      <c r="Q158" s="1472"/>
      <c r="R158" s="1473"/>
      <c r="S158" s="1473"/>
      <c r="T158" s="1473"/>
      <c r="U158" s="1474"/>
      <c r="V158" s="106"/>
      <c r="W158" s="1439"/>
      <c r="X158" s="1440"/>
      <c r="Y158" s="1440"/>
      <c r="Z158" s="1441"/>
      <c r="AA158" s="1412"/>
    </row>
    <row r="159" spans="3:27" x14ac:dyDescent="0.35">
      <c r="C159" s="1411"/>
      <c r="D159" s="1421"/>
      <c r="E159" s="246"/>
      <c r="F159" s="1428"/>
      <c r="G159" s="1428"/>
      <c r="H159" s="243"/>
      <c r="I159" s="1422"/>
      <c r="J159" s="106"/>
      <c r="K159" s="1432"/>
      <c r="L159" s="726"/>
      <c r="M159" s="726"/>
      <c r="N159" s="726"/>
      <c r="O159" s="1433"/>
      <c r="P159" s="106"/>
      <c r="Q159" s="1472"/>
      <c r="R159" s="1477" t="s">
        <v>187</v>
      </c>
      <c r="S159" s="1473"/>
      <c r="T159" s="1473"/>
      <c r="U159" s="1474"/>
      <c r="V159" s="106"/>
      <c r="W159" s="1439"/>
      <c r="X159" s="1440"/>
      <c r="Y159" s="1440"/>
      <c r="Z159" s="1441"/>
      <c r="AA159" s="1412"/>
    </row>
    <row r="160" spans="3:27" x14ac:dyDescent="0.35">
      <c r="C160" s="1411"/>
      <c r="D160" s="1421"/>
      <c r="E160" s="246"/>
      <c r="F160" s="77"/>
      <c r="G160" s="77"/>
      <c r="H160" s="243"/>
      <c r="I160" s="1422"/>
      <c r="J160" s="106"/>
      <c r="K160" s="1432"/>
      <c r="L160" s="726"/>
      <c r="M160" s="726"/>
      <c r="N160" s="726"/>
      <c r="O160" s="1433"/>
      <c r="P160" s="106"/>
      <c r="Q160" s="1472"/>
      <c r="R160" s="1473"/>
      <c r="S160" s="1473"/>
      <c r="T160" s="1473"/>
      <c r="U160" s="1474"/>
      <c r="V160" s="106"/>
      <c r="W160" s="1439"/>
      <c r="X160" s="1440"/>
      <c r="Y160" s="1440"/>
      <c r="Z160" s="1441"/>
      <c r="AA160" s="1412"/>
    </row>
    <row r="161" spans="3:27" x14ac:dyDescent="0.35">
      <c r="C161" s="1411"/>
      <c r="D161" s="1421"/>
      <c r="E161" s="246"/>
      <c r="F161" s="1427"/>
      <c r="G161" s="1427"/>
      <c r="H161" s="243"/>
      <c r="I161" s="1422"/>
      <c r="J161" s="106"/>
      <c r="K161" s="1432"/>
      <c r="L161" s="726"/>
      <c r="M161" s="726"/>
      <c r="N161" s="726"/>
      <c r="O161" s="1433"/>
      <c r="P161" s="106"/>
      <c r="Q161" s="1472"/>
      <c r="R161" s="1478">
        <v>0.1</v>
      </c>
      <c r="S161" s="1473"/>
      <c r="T161" s="1473"/>
      <c r="U161" s="1474"/>
      <c r="V161" s="106"/>
      <c r="W161" s="1439"/>
      <c r="X161" s="1440"/>
      <c r="Y161" s="1440"/>
      <c r="Z161" s="1441"/>
      <c r="AA161" s="1412"/>
    </row>
    <row r="162" spans="3:27" x14ac:dyDescent="0.35">
      <c r="C162" s="1411"/>
      <c r="D162" s="1421"/>
      <c r="E162" s="1447"/>
      <c r="F162" s="53"/>
      <c r="G162" s="1429"/>
      <c r="H162" s="244"/>
      <c r="I162" s="1422"/>
      <c r="J162" s="106"/>
      <c r="K162" s="1432"/>
      <c r="L162" s="726"/>
      <c r="M162" s="726"/>
      <c r="N162" s="726"/>
      <c r="O162" s="1433"/>
      <c r="P162" s="106"/>
      <c r="Q162" s="1472"/>
      <c r="R162" s="1473"/>
      <c r="S162" s="1479">
        <f>$S$156*R161</f>
        <v>6550.3297338570183</v>
      </c>
      <c r="T162" s="1473"/>
      <c r="U162" s="1474"/>
      <c r="V162" s="106"/>
      <c r="W162" s="1439"/>
      <c r="X162" s="1440"/>
      <c r="Y162" s="1440"/>
      <c r="Z162" s="1441"/>
      <c r="AA162" s="1412"/>
    </row>
    <row r="163" spans="3:27" x14ac:dyDescent="0.35">
      <c r="C163" s="1411"/>
      <c r="D163" s="1421"/>
      <c r="E163" s="349"/>
      <c r="F163" s="349"/>
      <c r="G163" s="349"/>
      <c r="H163" s="349"/>
      <c r="I163" s="1422"/>
      <c r="J163" s="106"/>
      <c r="K163" s="1432"/>
      <c r="L163" s="726"/>
      <c r="M163" s="726"/>
      <c r="N163" s="726"/>
      <c r="O163" s="1433"/>
      <c r="P163" s="106"/>
      <c r="Q163" s="1472"/>
      <c r="R163" s="1478">
        <v>0.3</v>
      </c>
      <c r="S163" s="1473"/>
      <c r="T163" s="1473"/>
      <c r="U163" s="1474"/>
      <c r="V163" s="106"/>
      <c r="W163" s="1439"/>
      <c r="X163" s="1440"/>
      <c r="Y163" s="1440"/>
      <c r="Z163" s="1441"/>
      <c r="AA163" s="1412"/>
    </row>
    <row r="164" spans="3:27" x14ac:dyDescent="0.35">
      <c r="C164" s="1411"/>
      <c r="D164" s="1421"/>
      <c r="E164" s="245"/>
      <c r="F164" s="248" t="s">
        <v>2</v>
      </c>
      <c r="G164" s="248"/>
      <c r="H164" s="242"/>
      <c r="I164" s="1422"/>
      <c r="J164" s="1416">
        <f>F165</f>
        <v>5582.163286139129</v>
      </c>
      <c r="K164" s="1434"/>
      <c r="L164" s="726"/>
      <c r="M164" s="726"/>
      <c r="N164" s="726"/>
      <c r="O164" s="1433"/>
      <c r="P164" s="106"/>
      <c r="Q164" s="1472"/>
      <c r="R164" s="1473"/>
      <c r="S164" s="1479">
        <f>$S$156*R163</f>
        <v>19650.989201571054</v>
      </c>
      <c r="T164" s="1473"/>
      <c r="U164" s="1474"/>
      <c r="V164" s="106"/>
      <c r="W164" s="1439"/>
      <c r="X164" s="1440"/>
      <c r="Y164" s="1440"/>
      <c r="Z164" s="1441"/>
      <c r="AA164" s="1412"/>
    </row>
    <row r="165" spans="3:27" x14ac:dyDescent="0.35">
      <c r="C165" s="1411"/>
      <c r="D165" s="1421"/>
      <c r="E165" s="246"/>
      <c r="F165" s="1427">
        <f>AVERAGE('Premissas Geração de Resíduos'!$K$117:$AG$117)</f>
        <v>5582.163286139129</v>
      </c>
      <c r="G165" s="1427"/>
      <c r="H165" s="243"/>
      <c r="I165" s="1422"/>
      <c r="J165" s="1417">
        <f>G166</f>
        <v>156.95982040695648</v>
      </c>
      <c r="K165" s="1435"/>
      <c r="L165" s="726"/>
      <c r="M165" s="726"/>
      <c r="N165" s="726"/>
      <c r="O165" s="1433"/>
      <c r="P165" s="106"/>
      <c r="Q165" s="1472"/>
      <c r="R165" s="1478">
        <v>0.2</v>
      </c>
      <c r="S165" s="1473"/>
      <c r="T165" s="1473"/>
      <c r="U165" s="1474"/>
      <c r="V165" s="106"/>
      <c r="W165" s="1439"/>
      <c r="X165" s="1440"/>
      <c r="Y165" s="1440"/>
      <c r="Z165" s="1441"/>
      <c r="AA165" s="1412"/>
    </row>
    <row r="166" spans="3:27" x14ac:dyDescent="0.35">
      <c r="C166" s="1411"/>
      <c r="D166" s="1421"/>
      <c r="E166" s="1447">
        <f>AVERAGE('Premissas Geração de Resíduos'!$K$100:$AG$100)</f>
        <v>784.79910203478232</v>
      </c>
      <c r="F166" s="53"/>
      <c r="G166" s="1429">
        <f>E166*0.2</f>
        <v>156.95982040695648</v>
      </c>
      <c r="H166" s="244"/>
      <c r="I166" s="1422"/>
      <c r="J166" s="106"/>
      <c r="K166" s="1432"/>
      <c r="L166" s="726"/>
      <c r="M166" s="726"/>
      <c r="N166" s="726"/>
      <c r="O166" s="1433"/>
      <c r="P166" s="1416">
        <f>J155+J164+J172+J187</f>
        <v>17817.24830693852</v>
      </c>
      <c r="Q166" s="1472"/>
      <c r="R166" s="1473"/>
      <c r="S166" s="1473"/>
      <c r="T166" s="1473"/>
      <c r="U166" s="1474"/>
      <c r="V166" s="106"/>
      <c r="W166" s="1439"/>
      <c r="X166" s="1926">
        <f>S164+T188+S195</f>
        <v>26042.405905142485</v>
      </c>
      <c r="Y166" s="1926"/>
      <c r="Z166" s="1441"/>
      <c r="AA166" s="1412"/>
    </row>
    <row r="167" spans="3:27" x14ac:dyDescent="0.35">
      <c r="C167" s="1411"/>
      <c r="D167" s="1421"/>
      <c r="E167" s="349"/>
      <c r="F167" s="1418"/>
      <c r="G167" s="1418"/>
      <c r="H167" s="349"/>
      <c r="I167" s="1422"/>
      <c r="J167" s="106"/>
      <c r="K167" s="1432"/>
      <c r="L167" s="726"/>
      <c r="M167" s="726"/>
      <c r="N167" s="726"/>
      <c r="O167" s="1433"/>
      <c r="P167" s="106"/>
      <c r="Q167" s="1472"/>
      <c r="R167" s="1473"/>
      <c r="S167" s="1479">
        <f>$S$156*R165</f>
        <v>13100.659467714037</v>
      </c>
      <c r="T167" s="1473"/>
      <c r="U167" s="1474"/>
      <c r="V167" s="106"/>
      <c r="W167" s="1439"/>
      <c r="X167" s="1440"/>
      <c r="Y167" s="1440"/>
      <c r="Z167" s="1441"/>
      <c r="AA167" s="1412"/>
    </row>
    <row r="168" spans="3:27" x14ac:dyDescent="0.35">
      <c r="C168" s="1411"/>
      <c r="D168" s="1421"/>
      <c r="E168" s="245"/>
      <c r="F168" s="1430" t="s">
        <v>3</v>
      </c>
      <c r="G168" s="1430"/>
      <c r="H168" s="242"/>
      <c r="I168" s="1422"/>
      <c r="J168" s="106"/>
      <c r="K168" s="1432"/>
      <c r="L168" s="726"/>
      <c r="M168" s="726"/>
      <c r="N168" s="726"/>
      <c r="O168" s="1433"/>
      <c r="P168" s="1448">
        <f>J156+J165+J173+J188</f>
        <v>1135.9351402616871</v>
      </c>
      <c r="Q168" s="1472"/>
      <c r="R168" s="1473"/>
      <c r="S168" s="1473"/>
      <c r="T168" s="1473"/>
      <c r="U168" s="1474"/>
      <c r="V168" s="106"/>
      <c r="W168" s="1439"/>
      <c r="X168" s="1440"/>
      <c r="Y168" s="1440"/>
      <c r="Z168" s="1441"/>
      <c r="AA168" s="1412"/>
    </row>
    <row r="169" spans="3:27" x14ac:dyDescent="0.35">
      <c r="C169" s="1411"/>
      <c r="D169" s="1421"/>
      <c r="E169" s="246"/>
      <c r="F169" s="1427">
        <f>AVERAGE('Premissas Geração de Resíduos'!$K$118:$AG$118)</f>
        <v>668.5882109543478</v>
      </c>
      <c r="G169" s="1427"/>
      <c r="H169" s="243"/>
      <c r="I169" s="1422"/>
      <c r="J169" s="106"/>
      <c r="K169" s="1432"/>
      <c r="L169" s="726"/>
      <c r="M169" s="726"/>
      <c r="N169" s="726"/>
      <c r="O169" s="1433"/>
      <c r="P169" s="106"/>
      <c r="Q169" s="1472"/>
      <c r="R169" s="1478">
        <v>0.4</v>
      </c>
      <c r="S169" s="1473"/>
      <c r="T169" s="1473"/>
      <c r="U169" s="1474"/>
      <c r="V169" s="106"/>
      <c r="W169" s="1439"/>
      <c r="X169" s="1440"/>
      <c r="Y169" s="1440"/>
      <c r="Z169" s="1441"/>
      <c r="AA169" s="1412"/>
    </row>
    <row r="170" spans="3:27" x14ac:dyDescent="0.35">
      <c r="C170" s="1411"/>
      <c r="D170" s="1421"/>
      <c r="E170" s="246"/>
      <c r="F170" s="1428">
        <f>AVERAGE('Premissas Geração de Resíduos'!$K$101:$AG$101)</f>
        <v>94.036152958695652</v>
      </c>
      <c r="G170" s="1428"/>
      <c r="H170" s="243"/>
      <c r="I170" s="1422"/>
      <c r="J170" s="106"/>
      <c r="K170" s="1432"/>
      <c r="L170" s="726"/>
      <c r="M170" s="726"/>
      <c r="N170" s="726"/>
      <c r="O170" s="1433"/>
      <c r="P170" s="106"/>
      <c r="Q170" s="1472"/>
      <c r="R170" s="1473"/>
      <c r="S170" s="1479">
        <f>$S$156*R169</f>
        <v>26201.318935428073</v>
      </c>
      <c r="T170" s="1473"/>
      <c r="U170" s="1474"/>
      <c r="V170" s="106"/>
      <c r="W170" s="1439"/>
      <c r="X170" s="1440"/>
      <c r="Y170" s="1440"/>
      <c r="Z170" s="1441"/>
      <c r="AA170" s="1412"/>
    </row>
    <row r="171" spans="3:27" x14ac:dyDescent="0.35">
      <c r="C171" s="1411"/>
      <c r="D171" s="1421"/>
      <c r="E171" s="246"/>
      <c r="F171" s="1431" t="s">
        <v>9</v>
      </c>
      <c r="G171" s="1431"/>
      <c r="H171" s="243"/>
      <c r="I171" s="1422"/>
      <c r="J171" s="106"/>
      <c r="K171" s="1432"/>
      <c r="L171" s="726"/>
      <c r="M171" s="726"/>
      <c r="N171" s="726"/>
      <c r="O171" s="1433"/>
      <c r="P171" s="106"/>
      <c r="Q171" s="1472"/>
      <c r="R171" s="1473"/>
      <c r="S171" s="1473"/>
      <c r="T171" s="1473"/>
      <c r="U171" s="1474"/>
      <c r="V171" s="106"/>
      <c r="W171" s="1439"/>
      <c r="X171" s="1440"/>
      <c r="Y171" s="1440"/>
      <c r="Z171" s="1441"/>
      <c r="AA171" s="1412"/>
    </row>
    <row r="172" spans="3:27" x14ac:dyDescent="0.35">
      <c r="C172" s="1411"/>
      <c r="D172" s="1421"/>
      <c r="E172" s="246"/>
      <c r="F172" s="1427">
        <f>AVERAGE('Premissas Geração de Resíduos'!$K$124:$AG$124)</f>
        <v>2689.5620342139127</v>
      </c>
      <c r="G172" s="1427"/>
      <c r="H172" s="243"/>
      <c r="I172" s="1422"/>
      <c r="J172" s="1416">
        <f>F169+F172+F175</f>
        <v>5195.3193223617382</v>
      </c>
      <c r="K172" s="1434"/>
      <c r="L172" s="726"/>
      <c r="M172" s="726"/>
      <c r="N172" s="726"/>
      <c r="O172" s="1433"/>
      <c r="P172" s="106"/>
      <c r="Q172" s="1472"/>
      <c r="R172" s="1473"/>
      <c r="S172" s="1473"/>
      <c r="T172" s="1473"/>
      <c r="U172" s="1474"/>
      <c r="V172" s="106"/>
      <c r="W172" s="1439"/>
      <c r="X172" s="1440"/>
      <c r="Y172" s="1440"/>
      <c r="Z172" s="1441"/>
      <c r="AA172" s="1412"/>
    </row>
    <row r="173" spans="3:27" x14ac:dyDescent="0.35">
      <c r="C173" s="1411"/>
      <c r="D173" s="1421"/>
      <c r="E173" s="246"/>
      <c r="F173" s="1428">
        <f>AVERAGE('Premissas Geração de Resíduos'!$K$107:$AG$107)</f>
        <v>379.48897274260872</v>
      </c>
      <c r="G173" s="1428"/>
      <c r="H173" s="243"/>
      <c r="I173" s="1422"/>
      <c r="J173" s="1417">
        <f>F170+F173+F176</f>
        <v>732.83383172521746</v>
      </c>
      <c r="K173" s="1435"/>
      <c r="L173" s="726"/>
      <c r="M173" s="726"/>
      <c r="N173" s="726"/>
      <c r="O173" s="1433"/>
      <c r="P173" s="106"/>
      <c r="Q173" s="1472"/>
      <c r="R173" s="1473"/>
      <c r="S173" s="1473"/>
      <c r="T173" s="1473"/>
      <c r="U173" s="1474"/>
      <c r="V173" s="106"/>
      <c r="W173" s="1439"/>
      <c r="X173" s="1440"/>
      <c r="Y173" s="1440"/>
      <c r="Z173" s="1441"/>
      <c r="AA173" s="1412"/>
    </row>
    <row r="174" spans="3:27" x14ac:dyDescent="0.35">
      <c r="C174" s="1411"/>
      <c r="D174" s="1421"/>
      <c r="E174" s="246"/>
      <c r="F174" s="1431" t="s">
        <v>4</v>
      </c>
      <c r="G174" s="1431"/>
      <c r="H174" s="243"/>
      <c r="I174" s="1422"/>
      <c r="J174" s="106"/>
      <c r="K174" s="1432"/>
      <c r="L174" s="726"/>
      <c r="M174" s="726"/>
      <c r="N174" s="726"/>
      <c r="O174" s="1433"/>
      <c r="P174" s="106"/>
      <c r="Q174" s="1472"/>
      <c r="R174" s="1480">
        <v>0.75</v>
      </c>
      <c r="S174" s="1473"/>
      <c r="T174" s="1481">
        <v>0.25</v>
      </c>
      <c r="U174" s="1474"/>
      <c r="V174" s="106"/>
      <c r="W174" s="1439"/>
      <c r="X174" s="1440"/>
      <c r="Y174" s="1440"/>
      <c r="Z174" s="1441"/>
      <c r="AA174" s="1412"/>
    </row>
    <row r="175" spans="3:27" x14ac:dyDescent="0.35">
      <c r="C175" s="1411"/>
      <c r="D175" s="1421"/>
      <c r="E175" s="246"/>
      <c r="F175" s="1427">
        <f>AVERAGE('Premissas Geração de Resíduos'!$K$119:$AG$119)</f>
        <v>1837.169077193478</v>
      </c>
      <c r="G175" s="1427"/>
      <c r="H175" s="243"/>
      <c r="I175" s="1422"/>
      <c r="J175" s="106"/>
      <c r="K175" s="1432"/>
      <c r="L175" s="726"/>
      <c r="M175" s="726"/>
      <c r="N175" s="726"/>
      <c r="O175" s="1433"/>
      <c r="P175" s="106"/>
      <c r="Q175" s="1472"/>
      <c r="R175" s="1473"/>
      <c r="S175" s="1473"/>
      <c r="T175" s="1473"/>
      <c r="U175" s="1474"/>
      <c r="V175" s="106"/>
      <c r="W175" s="1439"/>
      <c r="X175" s="1440"/>
      <c r="Y175" s="1440"/>
      <c r="Z175" s="1441"/>
      <c r="AA175" s="1412"/>
    </row>
    <row r="176" spans="3:27" x14ac:dyDescent="0.35">
      <c r="C176" s="1411"/>
      <c r="D176" s="1421"/>
      <c r="E176" s="246"/>
      <c r="F176" s="1428">
        <f>AVERAGE('Premissas Geração de Resíduos'!$K$102:$AG$102)</f>
        <v>259.30870602391309</v>
      </c>
      <c r="G176" s="1428"/>
      <c r="H176" s="243"/>
      <c r="I176" s="1422"/>
      <c r="J176" s="106"/>
      <c r="K176" s="1432"/>
      <c r="L176" s="726"/>
      <c r="M176" s="726"/>
      <c r="N176" s="726"/>
      <c r="O176" s="1433"/>
      <c r="P176" s="106"/>
      <c r="Q176" s="1472"/>
      <c r="R176" s="1473"/>
      <c r="S176" s="1473"/>
      <c r="T176" s="1473"/>
      <c r="U176" s="1474"/>
      <c r="V176" s="106"/>
      <c r="W176" s="1439"/>
      <c r="X176" s="1440"/>
      <c r="Y176" s="1440"/>
      <c r="Z176" s="1441"/>
      <c r="AA176" s="1412"/>
    </row>
    <row r="177" spans="3:27" x14ac:dyDescent="0.35">
      <c r="C177" s="1411"/>
      <c r="D177" s="1421"/>
      <c r="E177" s="247"/>
      <c r="F177" s="53"/>
      <c r="G177" s="1705"/>
      <c r="H177" s="244"/>
      <c r="I177" s="1422"/>
      <c r="J177" s="106"/>
      <c r="K177" s="1432"/>
      <c r="L177" s="726"/>
      <c r="M177" s="726"/>
      <c r="N177" s="726"/>
      <c r="O177" s="1433"/>
      <c r="P177" s="106"/>
      <c r="Q177" s="1472"/>
      <c r="R177" s="1473"/>
      <c r="S177" s="1473"/>
      <c r="T177" s="1473"/>
      <c r="U177" s="1474"/>
      <c r="V177" s="106"/>
      <c r="W177" s="1439"/>
      <c r="X177" s="1440"/>
      <c r="Y177" s="1440"/>
      <c r="Z177" s="1441"/>
      <c r="AA177" s="1412"/>
    </row>
    <row r="178" spans="3:27" x14ac:dyDescent="0.35">
      <c r="C178" s="1411"/>
      <c r="D178" s="1421"/>
      <c r="E178" s="349"/>
      <c r="F178" s="349"/>
      <c r="G178" s="349"/>
      <c r="H178" s="349"/>
      <c r="I178" s="1422"/>
      <c r="J178" s="106"/>
      <c r="K178" s="1432"/>
      <c r="L178" s="726"/>
      <c r="M178" s="726"/>
      <c r="N178" s="726"/>
      <c r="O178" s="1433"/>
      <c r="P178" s="106"/>
      <c r="Q178" s="1472"/>
      <c r="R178" s="1482">
        <f>R174*S170</f>
        <v>19650.989201571054</v>
      </c>
      <c r="S178" s="1473"/>
      <c r="T178" s="1473"/>
      <c r="U178" s="1483">
        <f>S170*T174</f>
        <v>6550.3297338570183</v>
      </c>
      <c r="V178" s="106"/>
      <c r="W178" s="1439"/>
      <c r="X178" s="1440"/>
      <c r="Y178" s="1440"/>
      <c r="Z178" s="1441"/>
      <c r="AA178" s="1412"/>
    </row>
    <row r="179" spans="3:27" x14ac:dyDescent="0.35">
      <c r="C179" s="1411"/>
      <c r="D179" s="1421"/>
      <c r="E179" s="245"/>
      <c r="F179" s="1430" t="s">
        <v>6</v>
      </c>
      <c r="G179" s="1430"/>
      <c r="H179" s="242"/>
      <c r="I179" s="1422"/>
      <c r="J179" s="1416">
        <f>F180</f>
        <v>43768.026883460872</v>
      </c>
      <c r="K179" s="1434"/>
      <c r="L179" s="726"/>
      <c r="M179" s="726"/>
      <c r="N179" s="726"/>
      <c r="O179" s="1433"/>
      <c r="P179" s="1416">
        <f>J179</f>
        <v>43768.026883460872</v>
      </c>
      <c r="Q179" s="1472"/>
      <c r="R179" s="1473"/>
      <c r="S179" s="1473"/>
      <c r="T179" s="1473"/>
      <c r="U179" s="1474"/>
      <c r="V179" s="106"/>
      <c r="W179" s="1439"/>
      <c r="X179" s="1440"/>
      <c r="Y179" s="1440"/>
      <c r="Z179" s="1441"/>
      <c r="AA179" s="1412"/>
    </row>
    <row r="180" spans="3:27" x14ac:dyDescent="0.35">
      <c r="C180" s="1411"/>
      <c r="D180" s="1421"/>
      <c r="E180" s="246"/>
      <c r="F180" s="1427">
        <f>AVERAGE('Premissas Geração de Resíduos'!$K$121:$AG$121)</f>
        <v>43768.026883460872</v>
      </c>
      <c r="G180" s="1427"/>
      <c r="H180" s="243"/>
      <c r="I180" s="1422"/>
      <c r="J180" s="1417">
        <f>G181</f>
        <v>1234.302138438261</v>
      </c>
      <c r="K180" s="1435"/>
      <c r="L180" s="726"/>
      <c r="M180" s="726"/>
      <c r="N180" s="726"/>
      <c r="O180" s="1433"/>
      <c r="P180" s="1417">
        <f>J180</f>
        <v>1234.302138438261</v>
      </c>
      <c r="Q180" s="1472"/>
      <c r="R180" s="1480">
        <v>0.6</v>
      </c>
      <c r="S180" s="1473"/>
      <c r="T180" s="1480">
        <v>0.4</v>
      </c>
      <c r="U180" s="1474"/>
      <c r="V180" s="106"/>
      <c r="W180" s="1439"/>
      <c r="X180" s="1440"/>
      <c r="Y180" s="1440"/>
      <c r="Z180" s="1441"/>
      <c r="AA180" s="1412"/>
    </row>
    <row r="181" spans="3:27" x14ac:dyDescent="0.35">
      <c r="C181" s="1411"/>
      <c r="D181" s="1421"/>
      <c r="E181" s="1447">
        <f>AVERAGE('Premissas Geração de Resíduos'!$K$104:$AG$104)</f>
        <v>6171.5106921913048</v>
      </c>
      <c r="F181" s="53"/>
      <c r="G181" s="1429">
        <f>E181*0.2</f>
        <v>1234.302138438261</v>
      </c>
      <c r="H181" s="244"/>
      <c r="I181" s="1422"/>
      <c r="J181" s="106"/>
      <c r="K181" s="1432"/>
      <c r="L181" s="726"/>
      <c r="M181" s="726"/>
      <c r="N181" s="726"/>
      <c r="O181" s="1433"/>
      <c r="P181" s="106"/>
      <c r="Q181" s="1472"/>
      <c r="R181" s="1473"/>
      <c r="S181" s="1473"/>
      <c r="T181" s="1473"/>
      <c r="U181" s="1474"/>
      <c r="V181" s="106"/>
      <c r="W181" s="1439"/>
      <c r="X181" s="1440"/>
      <c r="Y181" s="1440"/>
      <c r="Z181" s="1441"/>
      <c r="AA181" s="1412"/>
    </row>
    <row r="182" spans="3:27" x14ac:dyDescent="0.35">
      <c r="C182" s="1411"/>
      <c r="D182" s="1421"/>
      <c r="E182" s="349"/>
      <c r="F182" s="349"/>
      <c r="G182" s="349"/>
      <c r="H182" s="349"/>
      <c r="I182" s="1422"/>
      <c r="J182" s="106"/>
      <c r="K182" s="1432"/>
      <c r="L182" s="726"/>
      <c r="M182" s="726"/>
      <c r="N182" s="726"/>
      <c r="O182" s="1433"/>
      <c r="P182" s="106"/>
      <c r="Q182" s="1472"/>
      <c r="R182" s="1482">
        <f>R178*R180</f>
        <v>11790.593520942632</v>
      </c>
      <c r="S182" s="1473"/>
      <c r="T182" s="1482">
        <f>R178*T180</f>
        <v>7860.3956806284223</v>
      </c>
      <c r="U182" s="1474"/>
      <c r="V182" s="106"/>
      <c r="W182" s="1439"/>
      <c r="X182" s="1440"/>
      <c r="Y182" s="1440"/>
      <c r="Z182" s="1441"/>
      <c r="AA182" s="1412"/>
    </row>
    <row r="183" spans="3:27" x14ac:dyDescent="0.35">
      <c r="C183" s="1411"/>
      <c r="D183" s="1421"/>
      <c r="E183" s="245"/>
      <c r="F183" s="1430" t="s">
        <v>5</v>
      </c>
      <c r="G183" s="1430"/>
      <c r="H183" s="242"/>
      <c r="I183" s="1422"/>
      <c r="J183" s="1416">
        <f>F184</f>
        <v>3918.0221481707817</v>
      </c>
      <c r="K183" s="1434"/>
      <c r="L183" s="726"/>
      <c r="M183" s="726"/>
      <c r="N183" s="726"/>
      <c r="O183" s="1433"/>
      <c r="P183" s="1416">
        <f>J183</f>
        <v>3918.0221481707817</v>
      </c>
      <c r="Q183" s="1472"/>
      <c r="R183" s="1473"/>
      <c r="S183" s="1473"/>
      <c r="T183" s="1480">
        <v>0.25</v>
      </c>
      <c r="U183" s="1474"/>
      <c r="V183" s="106"/>
      <c r="W183" s="1439"/>
      <c r="X183" s="1440"/>
      <c r="Y183" s="1440"/>
      <c r="Z183" s="1441"/>
      <c r="AA183" s="1412"/>
    </row>
    <row r="184" spans="3:27" x14ac:dyDescent="0.35">
      <c r="C184" s="1411"/>
      <c r="D184" s="1421"/>
      <c r="E184" s="246"/>
      <c r="F184" s="1427">
        <f>AVERAGE('Premissas Geração de Resíduos'!$K$120:$AG$120)</f>
        <v>3918.0221481707817</v>
      </c>
      <c r="G184" s="1427"/>
      <c r="H184" s="243"/>
      <c r="I184" s="1422"/>
      <c r="J184" s="1417">
        <f>G185</f>
        <v>110.36243680062609</v>
      </c>
      <c r="K184" s="1435"/>
      <c r="L184" s="726"/>
      <c r="M184" s="726"/>
      <c r="N184" s="726"/>
      <c r="O184" s="1433"/>
      <c r="P184" s="1417">
        <f>J184</f>
        <v>110.36243680062609</v>
      </c>
      <c r="Q184" s="1472"/>
      <c r="R184" s="1473"/>
      <c r="S184" s="1473"/>
      <c r="T184" s="1473"/>
      <c r="U184" s="1474"/>
      <c r="V184" s="106"/>
      <c r="W184" s="1439"/>
      <c r="X184" s="1440"/>
      <c r="Y184" s="1440"/>
      <c r="Z184" s="1441"/>
      <c r="AA184" s="1412"/>
    </row>
    <row r="185" spans="3:27" x14ac:dyDescent="0.35">
      <c r="C185" s="1411"/>
      <c r="D185" s="1421"/>
      <c r="E185" s="1447">
        <f>AVERAGE('Premissas Geração de Resíduos'!$K$103:$AG$103)</f>
        <v>551.81218400313037</v>
      </c>
      <c r="F185" s="53"/>
      <c r="G185" s="1429">
        <f>E185*0.2</f>
        <v>110.36243680062609</v>
      </c>
      <c r="H185" s="244"/>
      <c r="I185" s="1422"/>
      <c r="J185" s="106"/>
      <c r="K185" s="1432"/>
      <c r="L185" s="726"/>
      <c r="M185" s="726"/>
      <c r="N185" s="726"/>
      <c r="O185" s="1433"/>
      <c r="P185" s="106"/>
      <c r="Q185" s="1472"/>
      <c r="R185" s="1473"/>
      <c r="S185" s="1473"/>
      <c r="T185" s="1473"/>
      <c r="U185" s="1474"/>
      <c r="V185" s="106"/>
      <c r="W185" s="1439"/>
      <c r="X185" s="1440"/>
      <c r="Y185" s="1440"/>
      <c r="Z185" s="1441"/>
      <c r="AA185" s="1412"/>
    </row>
    <row r="186" spans="3:27" x14ac:dyDescent="0.35">
      <c r="C186" s="1411"/>
      <c r="D186" s="1421"/>
      <c r="E186" s="349"/>
      <c r="F186" s="349"/>
      <c r="G186" s="349"/>
      <c r="H186" s="349"/>
      <c r="I186" s="1422"/>
      <c r="J186" s="106"/>
      <c r="K186" s="1432"/>
      <c r="L186" s="726"/>
      <c r="M186" s="726"/>
      <c r="N186" s="726"/>
      <c r="O186" s="1433"/>
      <c r="P186" s="106"/>
      <c r="Q186" s="1472"/>
      <c r="R186" s="1473"/>
      <c r="S186" s="1473"/>
      <c r="T186" s="1482">
        <f>T182*T183</f>
        <v>1965.0989201571056</v>
      </c>
      <c r="U186" s="1474"/>
      <c r="V186" s="106"/>
      <c r="W186" s="1439"/>
      <c r="X186" s="1440"/>
      <c r="Y186" s="1440"/>
      <c r="Z186" s="1441"/>
      <c r="AA186" s="1412"/>
    </row>
    <row r="187" spans="3:27" x14ac:dyDescent="0.35">
      <c r="C187" s="1411"/>
      <c r="D187" s="1421"/>
      <c r="E187" s="245"/>
      <c r="F187" s="1430" t="s">
        <v>7</v>
      </c>
      <c r="G187" s="1430"/>
      <c r="H187" s="242"/>
      <c r="I187" s="1422"/>
      <c r="J187" s="1416">
        <f>F188</f>
        <v>3324.663838620173</v>
      </c>
      <c r="K187" s="1434"/>
      <c r="L187" s="726"/>
      <c r="M187" s="726"/>
      <c r="N187" s="726"/>
      <c r="O187" s="1433"/>
      <c r="P187" s="106"/>
      <c r="Q187" s="1472"/>
      <c r="R187" s="1473"/>
      <c r="S187" s="1473"/>
      <c r="T187" s="1473"/>
      <c r="U187" s="1474"/>
      <c r="V187" s="106"/>
      <c r="W187" s="1439"/>
      <c r="X187" s="1440"/>
      <c r="Y187" s="1440"/>
      <c r="Z187" s="1441"/>
      <c r="AA187" s="1412"/>
    </row>
    <row r="188" spans="3:27" x14ac:dyDescent="0.35">
      <c r="C188" s="1411"/>
      <c r="D188" s="1421"/>
      <c r="E188" s="246"/>
      <c r="F188" s="1427">
        <f>AVERAGE('Premissas Geração de Resíduos'!$K$122:$AG$122)</f>
        <v>3324.663838620173</v>
      </c>
      <c r="G188" s="1427"/>
      <c r="H188" s="243"/>
      <c r="I188" s="1422"/>
      <c r="J188" s="1417">
        <f>G189</f>
        <v>93.326574397704348</v>
      </c>
      <c r="K188" s="1435"/>
      <c r="L188" s="726"/>
      <c r="M188" s="726"/>
      <c r="N188" s="726"/>
      <c r="O188" s="1433"/>
      <c r="P188" s="106"/>
      <c r="Q188" s="1472"/>
      <c r="R188" s="1473"/>
      <c r="S188" s="1484">
        <v>0.75</v>
      </c>
      <c r="T188" s="1485">
        <f>T182*S188</f>
        <v>5895.2967604713167</v>
      </c>
      <c r="U188" s="1474"/>
      <c r="V188" s="106"/>
      <c r="W188" s="1439"/>
      <c r="X188" s="1440"/>
      <c r="Y188" s="1440"/>
      <c r="Z188" s="1441"/>
      <c r="AA188" s="1412"/>
    </row>
    <row r="189" spans="3:27" x14ac:dyDescent="0.35">
      <c r="C189" s="1411"/>
      <c r="D189" s="1421"/>
      <c r="E189" s="1447">
        <f>AVERAGE('Premissas Geração de Resíduos'!$K$105:$AG$105)</f>
        <v>466.63287198852174</v>
      </c>
      <c r="F189" s="53"/>
      <c r="G189" s="1429">
        <f>E189*0.2</f>
        <v>93.326574397704348</v>
      </c>
      <c r="H189" s="244"/>
      <c r="I189" s="1422"/>
      <c r="J189" s="106"/>
      <c r="K189" s="1432"/>
      <c r="L189" s="726"/>
      <c r="M189" s="726"/>
      <c r="N189" s="726"/>
      <c r="O189" s="1433"/>
      <c r="P189" s="106"/>
      <c r="Q189" s="1472"/>
      <c r="R189" s="1473"/>
      <c r="S189" s="1473"/>
      <c r="T189" s="1473"/>
      <c r="U189" s="1474"/>
      <c r="V189" s="106"/>
      <c r="W189" s="1439"/>
      <c r="X189" s="1440"/>
      <c r="Y189" s="1440"/>
      <c r="Z189" s="1441"/>
      <c r="AA189" s="1412"/>
    </row>
    <row r="190" spans="3:27" x14ac:dyDescent="0.35">
      <c r="C190" s="1411"/>
      <c r="D190" s="1421"/>
      <c r="E190" s="349"/>
      <c r="F190" s="349"/>
      <c r="G190" s="349"/>
      <c r="H190" s="349"/>
      <c r="I190" s="1422"/>
      <c r="J190" s="106"/>
      <c r="K190" s="1432"/>
      <c r="L190" s="726"/>
      <c r="M190" s="726"/>
      <c r="N190" s="726"/>
      <c r="O190" s="1433"/>
      <c r="P190" s="106"/>
      <c r="Q190" s="1472"/>
      <c r="R190" s="1486" t="s">
        <v>188</v>
      </c>
      <c r="S190" s="1473"/>
      <c r="T190" s="1473"/>
      <c r="U190" s="1474"/>
      <c r="V190" s="106"/>
      <c r="W190" s="1439"/>
      <c r="X190" s="1440"/>
      <c r="Y190" s="1440"/>
      <c r="Z190" s="1441"/>
      <c r="AA190" s="1412"/>
    </row>
    <row r="191" spans="3:27" x14ac:dyDescent="0.35">
      <c r="C191" s="1411"/>
      <c r="D191" s="1421"/>
      <c r="E191" s="349"/>
      <c r="F191" s="349"/>
      <c r="G191" s="349"/>
      <c r="H191" s="349"/>
      <c r="I191" s="1422"/>
      <c r="J191" s="106"/>
      <c r="K191" s="1432"/>
      <c r="L191" s="726"/>
      <c r="M191" s="726"/>
      <c r="N191" s="726"/>
      <c r="O191" s="1433"/>
      <c r="P191" s="106"/>
      <c r="Q191" s="1472"/>
      <c r="R191" s="1473"/>
      <c r="S191" s="1473"/>
      <c r="T191" s="1473"/>
      <c r="U191" s="1474"/>
      <c r="V191" s="106"/>
      <c r="W191" s="1439"/>
      <c r="X191" s="1440"/>
      <c r="Y191" s="1440"/>
      <c r="Z191" s="1441"/>
      <c r="AA191" s="1412"/>
    </row>
    <row r="192" spans="3:27" x14ac:dyDescent="0.35">
      <c r="C192" s="1411"/>
      <c r="D192" s="1421"/>
      <c r="E192" s="349"/>
      <c r="F192" s="349"/>
      <c r="G192" s="349"/>
      <c r="H192" s="349"/>
      <c r="I192" s="1422"/>
      <c r="J192" s="106"/>
      <c r="K192" s="1434"/>
      <c r="L192" s="726"/>
      <c r="M192" s="726"/>
      <c r="N192" s="726"/>
      <c r="O192" s="1433"/>
      <c r="P192" s="1416"/>
      <c r="Q192" s="1472"/>
      <c r="R192" s="1487">
        <v>0.8</v>
      </c>
      <c r="S192" s="1488"/>
      <c r="T192" s="1473"/>
      <c r="U192" s="1474"/>
      <c r="V192" s="106"/>
      <c r="W192" s="1439"/>
      <c r="X192" s="1440"/>
      <c r="Y192" s="1440"/>
      <c r="Z192" s="1441"/>
      <c r="AA192" s="1412"/>
    </row>
    <row r="193" spans="3:27" x14ac:dyDescent="0.35">
      <c r="C193" s="1411"/>
      <c r="D193" s="1421"/>
      <c r="E193" s="349"/>
      <c r="F193" s="349"/>
      <c r="G193" s="349"/>
      <c r="H193" s="349"/>
      <c r="I193" s="1422"/>
      <c r="J193" s="106"/>
      <c r="K193" s="1435"/>
      <c r="L193" s="726"/>
      <c r="M193" s="726"/>
      <c r="N193" s="726"/>
      <c r="O193" s="1433"/>
      <c r="P193" s="1417"/>
      <c r="Q193" s="1472"/>
      <c r="R193" s="1488"/>
      <c r="S193" s="1489">
        <f>$S$157*R192</f>
        <v>1984.4797724004595</v>
      </c>
      <c r="T193" s="1473"/>
      <c r="U193" s="1474"/>
      <c r="V193" s="106"/>
      <c r="W193" s="1439"/>
      <c r="X193" s="1440"/>
      <c r="Y193" s="1440"/>
      <c r="Z193" s="1441"/>
      <c r="AA193" s="1412"/>
    </row>
    <row r="194" spans="3:27" x14ac:dyDescent="0.35">
      <c r="C194" s="1411"/>
      <c r="D194" s="1421"/>
      <c r="E194" s="349"/>
      <c r="F194" s="349"/>
      <c r="G194" s="349"/>
      <c r="H194" s="349"/>
      <c r="I194" s="1422"/>
      <c r="J194" s="106"/>
      <c r="K194" s="1432"/>
      <c r="L194" s="726"/>
      <c r="M194" s="726"/>
      <c r="N194" s="726"/>
      <c r="O194" s="1433"/>
      <c r="P194" s="106"/>
      <c r="Q194" s="1472"/>
      <c r="R194" s="1487">
        <v>0.2</v>
      </c>
      <c r="S194" s="1473"/>
      <c r="T194" s="1473"/>
      <c r="U194" s="1474"/>
      <c r="V194" s="106"/>
      <c r="W194" s="1439"/>
      <c r="X194" s="1440"/>
      <c r="Y194" s="1440"/>
      <c r="Z194" s="1441"/>
      <c r="AA194" s="1412"/>
    </row>
    <row r="195" spans="3:27" x14ac:dyDescent="0.35">
      <c r="C195" s="1411"/>
      <c r="D195" s="1421"/>
      <c r="E195" s="349"/>
      <c r="F195" s="349"/>
      <c r="G195" s="349"/>
      <c r="H195" s="349"/>
      <c r="I195" s="1422"/>
      <c r="J195" s="106"/>
      <c r="K195" s="1432"/>
      <c r="L195" s="726"/>
      <c r="M195" s="726"/>
      <c r="N195" s="726"/>
      <c r="O195" s="1433"/>
      <c r="P195" s="106"/>
      <c r="Q195" s="1472"/>
      <c r="R195" s="1473"/>
      <c r="S195" s="1489">
        <f>$S$157*R194</f>
        <v>496.11994310011488</v>
      </c>
      <c r="T195" s="1473"/>
      <c r="U195" s="1474"/>
      <c r="V195" s="106"/>
      <c r="W195" s="1439"/>
      <c r="X195" s="1440"/>
      <c r="Y195" s="1440"/>
      <c r="Z195" s="1441"/>
      <c r="AA195" s="1412"/>
    </row>
    <row r="196" spans="3:27" x14ac:dyDescent="0.35">
      <c r="C196" s="1411"/>
      <c r="D196" s="1424"/>
      <c r="E196" s="1426"/>
      <c r="F196" s="1426"/>
      <c r="G196" s="1426"/>
      <c r="H196" s="1426"/>
      <c r="I196" s="1425"/>
      <c r="J196" s="106"/>
      <c r="K196" s="1436"/>
      <c r="L196" s="1437"/>
      <c r="M196" s="1437"/>
      <c r="N196" s="1437"/>
      <c r="O196" s="1438"/>
      <c r="P196" s="106"/>
      <c r="Q196" s="1490"/>
      <c r="R196" s="1491"/>
      <c r="S196" s="1491"/>
      <c r="T196" s="1491"/>
      <c r="U196" s="1492"/>
      <c r="V196" s="106"/>
      <c r="W196" s="1442"/>
      <c r="X196" s="1443"/>
      <c r="Y196" s="1443"/>
      <c r="Z196" s="1444"/>
      <c r="AA196" s="1412"/>
    </row>
    <row r="197" spans="3:27" x14ac:dyDescent="0.35">
      <c r="C197" s="1411"/>
      <c r="D197" s="106"/>
      <c r="E197" s="106"/>
      <c r="F197" s="106"/>
      <c r="G197" s="106"/>
      <c r="H197" s="106"/>
      <c r="I197" s="106"/>
      <c r="J197" s="106"/>
      <c r="K197" s="106"/>
      <c r="L197" s="106"/>
      <c r="M197" s="106"/>
      <c r="N197" s="106"/>
      <c r="O197" s="106"/>
      <c r="P197" s="106"/>
      <c r="Q197" s="106"/>
      <c r="R197" s="106"/>
      <c r="S197" s="106"/>
      <c r="T197" s="106"/>
      <c r="U197" s="106"/>
      <c r="V197" s="106"/>
      <c r="W197" s="106"/>
      <c r="X197" s="106"/>
      <c r="Y197" s="106"/>
      <c r="Z197" s="106"/>
      <c r="AA197" s="1412"/>
    </row>
    <row r="198" spans="3:27" ht="15" thickBot="1" x14ac:dyDescent="0.4">
      <c r="C198" s="1413"/>
      <c r="D198" s="1414"/>
      <c r="E198" s="1414" t="s">
        <v>193</v>
      </c>
      <c r="F198" s="1414"/>
      <c r="G198" s="1414"/>
      <c r="H198" s="1414"/>
      <c r="I198" s="1414"/>
      <c r="J198" s="1414"/>
      <c r="K198" s="1414"/>
      <c r="L198" s="1414"/>
      <c r="M198" s="1414"/>
      <c r="N198" s="1414"/>
      <c r="O198" s="1414"/>
      <c r="P198" s="1414"/>
      <c r="Q198" s="1414"/>
      <c r="R198" s="1414"/>
      <c r="S198" s="1414"/>
      <c r="T198" s="1414"/>
      <c r="U198" s="1414"/>
      <c r="V198" s="1414"/>
      <c r="W198" s="1414"/>
      <c r="X198" s="1414"/>
      <c r="Y198" s="1414"/>
      <c r="Z198" s="1414"/>
      <c r="AA198" s="1415"/>
    </row>
  </sheetData>
  <sheetProtection algorithmName="SHA-512" hashValue="dRLIGaM3awYWg6nUycK+XZ/uwUTWCe3ny5RhtBiY2jpDb1Lk9xHcGRirlWrz3FXIWpfeD3H6ZRCVLqxz7UslWw==" saltValue="4QrUdzJAiIkMhCr3X7Ty6g==" spinCount="100000" sheet="1" objects="1" scenarios="1"/>
  <mergeCells count="23">
    <mergeCell ref="E148:AA148"/>
    <mergeCell ref="E150:H150"/>
    <mergeCell ref="K150:O150"/>
    <mergeCell ref="W150:Z150"/>
    <mergeCell ref="X166:Y166"/>
    <mergeCell ref="E53:H53"/>
    <mergeCell ref="E56:H56"/>
    <mergeCell ref="X67:Y67"/>
    <mergeCell ref="E51:H51"/>
    <mergeCell ref="K51:O51"/>
    <mergeCell ref="W51:Z51"/>
    <mergeCell ref="E99:AA99"/>
    <mergeCell ref="E101:H101"/>
    <mergeCell ref="K101:O101"/>
    <mergeCell ref="W101:Z101"/>
    <mergeCell ref="X117:Y117"/>
    <mergeCell ref="E3:AA3"/>
    <mergeCell ref="E5:H5"/>
    <mergeCell ref="K5:O5"/>
    <mergeCell ref="W5:Z5"/>
    <mergeCell ref="E49:AA49"/>
    <mergeCell ref="E7:H7"/>
    <mergeCell ref="E10:H10"/>
  </mergeCells>
  <pageMargins left="0.51181102362204722" right="0.51181102362204722" top="0.78740157480314965" bottom="0.78740157480314965" header="0.31496062992125984" footer="0.31496062992125984"/>
  <pageSetup paperSize="9" scale="60" orientation="landscape" r:id="rId1"/>
  <headerFooter>
    <oddFooter>&amp;C_x000D_&amp;1#&amp;"Aptos"&amp;10&amp;K000000 INFORMAÇÃO CONTROLADA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3431C-F5F8-4871-8D44-778411D5B350}">
  <sheetPr codeName="Planilha3">
    <tabColor theme="4" tint="-0.249977111117893"/>
  </sheetPr>
  <dimension ref="A2:CW252"/>
  <sheetViews>
    <sheetView showGridLines="0" topLeftCell="A44" zoomScale="80" zoomScaleNormal="80" workbookViewId="0">
      <selection activeCell="H58" sqref="H58"/>
    </sheetView>
  </sheetViews>
  <sheetFormatPr defaultColWidth="8.81640625" defaultRowHeight="14.5" x14ac:dyDescent="0.35"/>
  <cols>
    <col min="1" max="1" width="3.36328125" customWidth="1"/>
    <col min="2" max="2" width="24" customWidth="1"/>
    <col min="3" max="3" width="17.453125" customWidth="1"/>
    <col min="4" max="4" width="12.6328125" customWidth="1"/>
    <col min="5" max="5" width="14" customWidth="1"/>
    <col min="6" max="6" width="13.36328125" customWidth="1"/>
    <col min="7" max="7" width="15.6328125" customWidth="1"/>
    <col min="8" max="9" width="15.453125" customWidth="1"/>
    <col min="10" max="33" width="9.453125" bestFit="1" customWidth="1"/>
  </cols>
  <sheetData>
    <row r="2" spans="2:33" ht="21" x14ac:dyDescent="0.5">
      <c r="B2" s="98" t="s">
        <v>194</v>
      </c>
      <c r="C2" s="76"/>
      <c r="D2" s="76"/>
      <c r="E2" s="76"/>
      <c r="F2" s="76"/>
      <c r="G2" s="76"/>
      <c r="H2" s="76"/>
      <c r="I2" s="76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</row>
    <row r="4" spans="2:33" ht="18.5" x14ac:dyDescent="0.45">
      <c r="B4" s="102" t="s">
        <v>195</v>
      </c>
      <c r="C4" s="77"/>
    </row>
    <row r="5" spans="2:33" x14ac:dyDescent="0.35">
      <c r="B5" s="77"/>
      <c r="C5" s="77"/>
    </row>
    <row r="6" spans="2:33" ht="43.5" x14ac:dyDescent="0.35">
      <c r="B6" s="87" t="s">
        <v>68</v>
      </c>
      <c r="C6" s="88"/>
      <c r="D6" s="88" t="s">
        <v>196</v>
      </c>
      <c r="E6" s="88" t="s">
        <v>197</v>
      </c>
      <c r="F6" s="88" t="s">
        <v>198</v>
      </c>
      <c r="G6" s="88"/>
      <c r="H6" s="88"/>
      <c r="I6" s="88"/>
      <c r="J6" s="88"/>
      <c r="K6" s="89"/>
      <c r="L6" s="89"/>
      <c r="M6" s="89"/>
      <c r="N6" s="89"/>
      <c r="O6" s="89"/>
      <c r="P6" s="89"/>
      <c r="Q6" s="89"/>
      <c r="R6" s="89"/>
      <c r="S6" s="89"/>
      <c r="T6" s="89"/>
      <c r="U6" s="89"/>
      <c r="V6" s="89"/>
      <c r="W6" s="89"/>
      <c r="X6" s="89"/>
      <c r="Y6" s="89"/>
      <c r="Z6" s="89"/>
      <c r="AA6" s="89"/>
      <c r="AB6" s="89"/>
      <c r="AC6" s="89"/>
      <c r="AD6" s="89"/>
      <c r="AE6" s="89"/>
      <c r="AF6" s="89"/>
      <c r="AG6" s="89"/>
    </row>
    <row r="7" spans="2:33" ht="15" thickBot="1" x14ac:dyDescent="0.4">
      <c r="B7" s="82"/>
      <c r="C7" s="83"/>
      <c r="D7" s="83"/>
      <c r="E7" s="84"/>
      <c r="F7" s="84"/>
      <c r="G7" s="83"/>
      <c r="H7" s="83"/>
      <c r="I7" s="84"/>
      <c r="J7" s="84"/>
      <c r="K7" s="84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/>
      <c r="AF7" s="84"/>
      <c r="AG7" s="84"/>
    </row>
    <row r="8" spans="2:33" ht="15" thickBot="1" x14ac:dyDescent="0.4">
      <c r="B8" t="s">
        <v>1</v>
      </c>
      <c r="D8" s="359">
        <f>'Premissas Gerais'!G13*(1+Sensibilidade!$G$8)</f>
        <v>0.68100000000000005</v>
      </c>
      <c r="E8" s="359">
        <f>D8*'Premissas Gerais'!$G$23</f>
        <v>0.16003500000000001</v>
      </c>
      <c r="F8" s="360">
        <f>D8+E8</f>
        <v>0.84103500000000009</v>
      </c>
      <c r="H8" s="96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80"/>
      <c r="X8" s="80"/>
      <c r="Y8" s="80"/>
      <c r="Z8" s="80"/>
      <c r="AA8" s="80"/>
      <c r="AB8" s="80"/>
      <c r="AC8" s="80"/>
      <c r="AD8" s="80"/>
      <c r="AE8" s="80"/>
      <c r="AF8" s="80"/>
      <c r="AG8" s="80"/>
    </row>
    <row r="9" spans="2:33" ht="15" thickBot="1" x14ac:dyDescent="0.4">
      <c r="B9" t="s">
        <v>2</v>
      </c>
      <c r="D9" s="359">
        <f>'Premissas Gerais'!G14*(1+Sensibilidade!$G$8)</f>
        <v>0.69699999999999995</v>
      </c>
      <c r="E9" s="359">
        <f>D9*'Premissas Gerais'!$G$23</f>
        <v>0.16379499999999997</v>
      </c>
      <c r="F9" s="360">
        <f>D9+E9</f>
        <v>0.86079499999999998</v>
      </c>
      <c r="H9" s="96"/>
      <c r="K9" s="80"/>
      <c r="L9" s="80"/>
      <c r="M9" s="80"/>
      <c r="N9" s="80"/>
      <c r="O9" s="80"/>
      <c r="P9" s="80"/>
      <c r="Q9" s="80"/>
      <c r="R9" s="80"/>
      <c r="S9" s="80"/>
      <c r="T9" s="80"/>
      <c r="U9" s="80"/>
      <c r="V9" s="80"/>
      <c r="W9" s="80"/>
      <c r="X9" s="80"/>
      <c r="Y9" s="80"/>
      <c r="Z9" s="80"/>
      <c r="AA9" s="80"/>
      <c r="AB9" s="80"/>
      <c r="AC9" s="80"/>
      <c r="AD9" s="80"/>
      <c r="AE9" s="80"/>
      <c r="AF9" s="80"/>
      <c r="AG9" s="80"/>
    </row>
    <row r="10" spans="2:33" ht="15" thickBot="1" x14ac:dyDescent="0.4">
      <c r="B10" t="s">
        <v>3</v>
      </c>
      <c r="D10" s="359">
        <f>'Premissas Gerais'!G15*(1+Sensibilidade!$G$8)</f>
        <v>0.68100000000000005</v>
      </c>
      <c r="E10" s="359">
        <f>D10*'Premissas Gerais'!$G$23</f>
        <v>0.16003500000000001</v>
      </c>
      <c r="F10" s="360">
        <f>D10+E10</f>
        <v>0.84103500000000009</v>
      </c>
      <c r="H10" s="96"/>
      <c r="K10" s="80"/>
      <c r="L10" s="80"/>
      <c r="M10" s="80"/>
      <c r="N10" s="80"/>
      <c r="O10" s="80"/>
      <c r="P10" s="80"/>
      <c r="Q10" s="80"/>
      <c r="R10" s="80"/>
      <c r="S10" s="80"/>
      <c r="T10" s="80"/>
      <c r="U10" s="80"/>
      <c r="V10" s="80"/>
      <c r="W10" s="80"/>
      <c r="X10" s="80"/>
      <c r="Y10" s="80"/>
      <c r="Z10" s="80"/>
      <c r="AA10" s="80"/>
      <c r="AB10" s="80"/>
      <c r="AC10" s="80"/>
      <c r="AD10" s="80"/>
      <c r="AE10" s="80"/>
      <c r="AF10" s="80"/>
      <c r="AG10" s="80"/>
    </row>
    <row r="11" spans="2:33" ht="15" thickBot="1" x14ac:dyDescent="0.4">
      <c r="B11" t="s">
        <v>4</v>
      </c>
      <c r="D11" s="359">
        <f>'Premissas Gerais'!G16*(1+Sensibilidade!$G$8)</f>
        <v>0.65400000000000003</v>
      </c>
      <c r="E11" s="359">
        <f>D11*'Premissas Gerais'!$G$23</f>
        <v>0.15368999999999999</v>
      </c>
      <c r="F11" s="360">
        <f t="shared" ref="F11:F16" si="0">D11+E11</f>
        <v>0.80769000000000002</v>
      </c>
      <c r="H11" s="96"/>
      <c r="K11" s="80"/>
      <c r="L11" s="80"/>
      <c r="M11" s="80"/>
      <c r="N11" s="80"/>
      <c r="O11" s="80"/>
      <c r="P11" s="80"/>
      <c r="Q11" s="80"/>
      <c r="R11" s="80"/>
      <c r="S11" s="80"/>
      <c r="T11" s="80"/>
      <c r="U11" s="80"/>
      <c r="V11" s="80"/>
      <c r="W11" s="80"/>
      <c r="X11" s="80"/>
      <c r="Y11" s="80"/>
      <c r="Z11" s="80"/>
      <c r="AA11" s="80"/>
      <c r="AB11" s="80"/>
      <c r="AC11" s="80"/>
      <c r="AD11" s="80"/>
      <c r="AE11" s="80"/>
      <c r="AF11" s="80"/>
      <c r="AG11" s="80"/>
    </row>
    <row r="12" spans="2:33" ht="15" thickBot="1" x14ac:dyDescent="0.4">
      <c r="B12" t="s">
        <v>5</v>
      </c>
      <c r="D12" s="359">
        <f>'Premissas Gerais'!G17*(1+Sensibilidade!$G$8)</f>
        <v>0.69699999999999995</v>
      </c>
      <c r="E12" s="359">
        <f>D12*'Premissas Gerais'!$G$23</f>
        <v>0.16379499999999997</v>
      </c>
      <c r="F12" s="360">
        <f t="shared" si="0"/>
        <v>0.86079499999999998</v>
      </c>
      <c r="H12" s="96"/>
      <c r="K12" s="80"/>
      <c r="L12" s="80"/>
      <c r="M12" s="80"/>
      <c r="N12" s="80"/>
      <c r="O12" s="80"/>
      <c r="P12" s="80"/>
      <c r="Q12" s="80"/>
      <c r="R12" s="80"/>
      <c r="S12" s="80"/>
      <c r="T12" s="80"/>
      <c r="U12" s="80"/>
      <c r="V12" s="80"/>
      <c r="W12" s="80"/>
      <c r="X12" s="80"/>
      <c r="Y12" s="80"/>
      <c r="Z12" s="80"/>
      <c r="AA12" s="80"/>
      <c r="AB12" s="80"/>
      <c r="AC12" s="80"/>
      <c r="AD12" s="80"/>
      <c r="AE12" s="80"/>
      <c r="AF12" s="80"/>
      <c r="AG12" s="80"/>
    </row>
    <row r="13" spans="2:33" ht="15" thickBot="1" x14ac:dyDescent="0.4">
      <c r="B13" t="s">
        <v>6</v>
      </c>
      <c r="D13" s="359">
        <f>'Premissas Gerais'!G18*(1+Sensibilidade!$G$8)</f>
        <v>0.86</v>
      </c>
      <c r="E13" s="359">
        <f>D13*'Premissas Gerais'!$G$23</f>
        <v>0.20209999999999997</v>
      </c>
      <c r="F13" s="360">
        <f t="shared" si="0"/>
        <v>1.0621</v>
      </c>
      <c r="H13" s="96"/>
      <c r="K13" s="80"/>
      <c r="L13" s="80"/>
      <c r="M13" s="80"/>
      <c r="N13" s="80"/>
      <c r="O13" s="80"/>
      <c r="P13" s="80"/>
      <c r="Q13" s="80"/>
      <c r="R13" s="80"/>
      <c r="S13" s="80"/>
      <c r="T13" s="80"/>
      <c r="U13" s="80"/>
      <c r="V13" s="80"/>
      <c r="W13" s="80"/>
      <c r="X13" s="80"/>
      <c r="Y13" s="80"/>
      <c r="Z13" s="80"/>
      <c r="AA13" s="80"/>
      <c r="AB13" s="80"/>
      <c r="AC13" s="80"/>
      <c r="AD13" s="80"/>
      <c r="AE13" s="80"/>
      <c r="AF13" s="80"/>
      <c r="AG13" s="80"/>
    </row>
    <row r="14" spans="2:33" ht="15" thickBot="1" x14ac:dyDescent="0.4">
      <c r="B14" t="s">
        <v>7</v>
      </c>
      <c r="D14" s="359">
        <f>'Premissas Gerais'!G19*(1+Sensibilidade!$G$8)</f>
        <v>0.69699999999999995</v>
      </c>
      <c r="E14" s="359">
        <f>D14*'Premissas Gerais'!$G$23</f>
        <v>0.16379499999999997</v>
      </c>
      <c r="F14" s="360">
        <f t="shared" si="0"/>
        <v>0.86079499999999998</v>
      </c>
      <c r="H14" s="96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80"/>
      <c r="AF14" s="80"/>
      <c r="AG14" s="80"/>
    </row>
    <row r="15" spans="2:33" ht="15" thickBot="1" x14ac:dyDescent="0.4">
      <c r="B15" t="s">
        <v>8</v>
      </c>
      <c r="D15" s="359">
        <f>'Premissas Gerais'!G20*(1+Sensibilidade!$G$8)</f>
        <v>0.69699999999999995</v>
      </c>
      <c r="E15" s="359">
        <f>D15*'Premissas Gerais'!$G$23</f>
        <v>0.16379499999999997</v>
      </c>
      <c r="F15" s="360">
        <f t="shared" si="0"/>
        <v>0.86079499999999998</v>
      </c>
      <c r="H15" s="96"/>
      <c r="K15" s="80"/>
      <c r="L15" s="80"/>
      <c r="M15" s="80"/>
      <c r="N15" s="80"/>
      <c r="O15" s="80"/>
      <c r="P15" s="80"/>
      <c r="Q15" s="80"/>
      <c r="R15" s="80"/>
      <c r="S15" s="80"/>
      <c r="T15" s="80"/>
      <c r="U15" s="80"/>
      <c r="V15" s="80"/>
      <c r="W15" s="80"/>
      <c r="X15" s="80"/>
      <c r="Y15" s="80"/>
      <c r="Z15" s="80"/>
      <c r="AA15" s="80"/>
      <c r="AB15" s="80"/>
      <c r="AC15" s="80"/>
      <c r="AD15" s="80"/>
      <c r="AE15" s="80"/>
      <c r="AF15" s="80"/>
      <c r="AG15" s="80"/>
    </row>
    <row r="16" spans="2:33" ht="15" thickBot="1" x14ac:dyDescent="0.4">
      <c r="B16" t="s">
        <v>9</v>
      </c>
      <c r="D16" s="359">
        <f>'Premissas Gerais'!G21*(1+Sensibilidade!$G$8)</f>
        <v>0.69699999999999995</v>
      </c>
      <c r="E16" s="359">
        <f>D16*'Premissas Gerais'!$G$23</f>
        <v>0.16379499999999997</v>
      </c>
      <c r="F16" s="360">
        <f t="shared" si="0"/>
        <v>0.86079499999999998</v>
      </c>
      <c r="H16" s="96"/>
      <c r="K16" s="80"/>
      <c r="L16" s="80"/>
      <c r="M16" s="80"/>
      <c r="N16" s="80"/>
      <c r="O16" s="80"/>
      <c r="P16" s="80"/>
      <c r="Q16" s="80"/>
      <c r="R16" s="80"/>
      <c r="S16" s="80"/>
      <c r="T16" s="80"/>
      <c r="U16" s="80"/>
      <c r="V16" s="80"/>
      <c r="W16" s="80"/>
      <c r="X16" s="80"/>
      <c r="Y16" s="80"/>
      <c r="Z16" s="80"/>
      <c r="AA16" s="80"/>
      <c r="AB16" s="80"/>
      <c r="AC16" s="80"/>
      <c r="AD16" s="80"/>
      <c r="AE16" s="80"/>
      <c r="AF16" s="80"/>
      <c r="AG16" s="80"/>
    </row>
    <row r="17" spans="2:33" x14ac:dyDescent="0.35">
      <c r="C17" s="91">
        <v>-5.0664332946023793E-3</v>
      </c>
      <c r="D17" s="91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  <c r="U17" s="93"/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</row>
    <row r="18" spans="2:33" x14ac:dyDescent="0.35">
      <c r="B18" s="81"/>
      <c r="C18" s="81"/>
      <c r="D18" s="85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</row>
    <row r="19" spans="2:33" x14ac:dyDescent="0.35">
      <c r="D19" s="13"/>
      <c r="E19" s="411"/>
    </row>
    <row r="20" spans="2:33" x14ac:dyDescent="0.35">
      <c r="D20" s="97"/>
      <c r="E20" s="97"/>
    </row>
    <row r="21" spans="2:33" ht="15.5" x14ac:dyDescent="0.35">
      <c r="B21" s="86" t="s">
        <v>199</v>
      </c>
      <c r="D21" s="96"/>
      <c r="E21" s="96"/>
    </row>
    <row r="22" spans="2:33" x14ac:dyDescent="0.35">
      <c r="B22" s="77"/>
      <c r="C22" s="77"/>
    </row>
    <row r="23" spans="2:33" x14ac:dyDescent="0.35">
      <c r="B23" s="87" t="s">
        <v>68</v>
      </c>
      <c r="C23" s="87"/>
      <c r="D23" s="89">
        <v>1</v>
      </c>
      <c r="E23" s="89">
        <f>D23+1</f>
        <v>2</v>
      </c>
      <c r="F23" s="89">
        <f t="shared" ref="F23:AG23" si="1">E23+1</f>
        <v>3</v>
      </c>
      <c r="G23" s="89">
        <f t="shared" si="1"/>
        <v>4</v>
      </c>
      <c r="H23" s="89">
        <f t="shared" si="1"/>
        <v>5</v>
      </c>
      <c r="I23" s="89">
        <f t="shared" si="1"/>
        <v>6</v>
      </c>
      <c r="J23" s="89">
        <f t="shared" si="1"/>
        <v>7</v>
      </c>
      <c r="K23" s="89">
        <f t="shared" si="1"/>
        <v>8</v>
      </c>
      <c r="L23" s="89">
        <f t="shared" si="1"/>
        <v>9</v>
      </c>
      <c r="M23" s="89">
        <f t="shared" si="1"/>
        <v>10</v>
      </c>
      <c r="N23" s="89">
        <f t="shared" si="1"/>
        <v>11</v>
      </c>
      <c r="O23" s="89">
        <f t="shared" si="1"/>
        <v>12</v>
      </c>
      <c r="P23" s="89">
        <f t="shared" si="1"/>
        <v>13</v>
      </c>
      <c r="Q23" s="89">
        <f t="shared" si="1"/>
        <v>14</v>
      </c>
      <c r="R23" s="89">
        <f t="shared" si="1"/>
        <v>15</v>
      </c>
      <c r="S23" s="89">
        <f t="shared" si="1"/>
        <v>16</v>
      </c>
      <c r="T23" s="89">
        <f t="shared" si="1"/>
        <v>17</v>
      </c>
      <c r="U23" s="89">
        <f t="shared" si="1"/>
        <v>18</v>
      </c>
      <c r="V23" s="89">
        <f t="shared" si="1"/>
        <v>19</v>
      </c>
      <c r="W23" s="89">
        <f t="shared" si="1"/>
        <v>20</v>
      </c>
      <c r="X23" s="89">
        <f t="shared" si="1"/>
        <v>21</v>
      </c>
      <c r="Y23" s="89">
        <f t="shared" si="1"/>
        <v>22</v>
      </c>
      <c r="Z23" s="89">
        <f t="shared" si="1"/>
        <v>23</v>
      </c>
      <c r="AA23" s="89">
        <f t="shared" si="1"/>
        <v>24</v>
      </c>
      <c r="AB23" s="89">
        <f t="shared" si="1"/>
        <v>25</v>
      </c>
      <c r="AC23" s="89">
        <f t="shared" si="1"/>
        <v>26</v>
      </c>
      <c r="AD23" s="89">
        <f t="shared" si="1"/>
        <v>27</v>
      </c>
      <c r="AE23" s="89">
        <f t="shared" si="1"/>
        <v>28</v>
      </c>
      <c r="AF23" s="89">
        <f t="shared" si="1"/>
        <v>29</v>
      </c>
      <c r="AG23" s="89">
        <f t="shared" si="1"/>
        <v>30</v>
      </c>
    </row>
    <row r="24" spans="2:33" ht="15" thickBot="1" x14ac:dyDescent="0.4">
      <c r="B24" s="82"/>
      <c r="C24" s="82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  <c r="S24" s="84"/>
      <c r="T24" s="84"/>
      <c r="U24" s="84"/>
      <c r="V24" s="84"/>
      <c r="W24" s="84"/>
      <c r="X24" s="84"/>
      <c r="Y24" s="84"/>
      <c r="Z24" s="84"/>
      <c r="AA24" s="84"/>
      <c r="AB24" s="84"/>
      <c r="AC24" s="84"/>
      <c r="AD24" s="84"/>
      <c r="AE24" s="84"/>
      <c r="AF24" s="84"/>
      <c r="AG24" s="84"/>
    </row>
    <row r="25" spans="2:33" ht="15" thickBot="1" x14ac:dyDescent="0.4">
      <c r="B25" t="s">
        <v>1</v>
      </c>
      <c r="C25" s="439"/>
      <c r="D25" s="439">
        <f>IF(D23&gt;'Premissas Gerais'!$E$7,0,'Premissas Gerais'!H149*(1+Sensibilidade!$G$7))</f>
        <v>2642</v>
      </c>
      <c r="E25" s="439">
        <f>IF(E23&gt;'Premissas Gerais'!$E$7,0,'Premissas Gerais'!I149*(1+Sensibilidade!$G$7))</f>
        <v>2627</v>
      </c>
      <c r="F25" s="439">
        <f>IF(F23&gt;'Premissas Gerais'!$E$7,0,'Premissas Gerais'!J149*(1+Sensibilidade!$G$7))</f>
        <v>2612</v>
      </c>
      <c r="G25" s="439">
        <f>IF(G23&gt;'Premissas Gerais'!$E$7,0,'Premissas Gerais'!K149*(1+Sensibilidade!$G$7))</f>
        <v>2597</v>
      </c>
      <c r="H25" s="439">
        <f>IF(H23&gt;'Premissas Gerais'!$E$7,0,'Premissas Gerais'!L149*(1+Sensibilidade!$G$7))</f>
        <v>2582</v>
      </c>
      <c r="I25" s="439">
        <f>IF(I23&gt;'Premissas Gerais'!$E$7,0,'Premissas Gerais'!M149*(1+Sensibilidade!$G$7))</f>
        <v>2567</v>
      </c>
      <c r="J25" s="439">
        <f>IF(J23&gt;'Premissas Gerais'!$E$7,0,'Premissas Gerais'!N149*(1+Sensibilidade!$G$7))</f>
        <v>2548</v>
      </c>
      <c r="K25" s="439">
        <f>IF(K23&gt;'Premissas Gerais'!$E$7,0,'Premissas Gerais'!O149*(1+Sensibilidade!$G$7))</f>
        <v>2529</v>
      </c>
      <c r="L25" s="439">
        <f>IF(L23&gt;'Premissas Gerais'!$E$7,0,'Premissas Gerais'!P149*(1+Sensibilidade!$G$7))</f>
        <v>2510</v>
      </c>
      <c r="M25" s="439">
        <f>IF(M23&gt;'Premissas Gerais'!$E$7,0,'Premissas Gerais'!Q149*(1+Sensibilidade!$G$7))</f>
        <v>2491</v>
      </c>
      <c r="N25" s="439">
        <f>IF(N23&gt;'Premissas Gerais'!$E$7,0,'Premissas Gerais'!R149*(1+Sensibilidade!$G$7))</f>
        <v>2474</v>
      </c>
      <c r="O25" s="439">
        <f>IF(O23&gt;'Premissas Gerais'!$E$7,0,'Premissas Gerais'!S149*(1+Sensibilidade!$G$7))</f>
        <v>2452</v>
      </c>
      <c r="P25" s="439">
        <f>IF(P23&gt;'Premissas Gerais'!$E$7,0,'Premissas Gerais'!T149*(1+Sensibilidade!$G$7))</f>
        <v>2430</v>
      </c>
      <c r="Q25" s="439">
        <f>IF(Q23&gt;'Premissas Gerais'!$E$7,0,'Premissas Gerais'!U149*(1+Sensibilidade!$G$7))</f>
        <v>2408</v>
      </c>
      <c r="R25" s="439">
        <f>IF(R23&gt;'Premissas Gerais'!$E$7,0,'Premissas Gerais'!V149*(1+Sensibilidade!$G$7))</f>
        <v>2386</v>
      </c>
      <c r="S25" s="439">
        <f>IF(S23&gt;'Premissas Gerais'!$E$7,0,'Premissas Gerais'!W149*(1+Sensibilidade!$G$7))</f>
        <v>2365</v>
      </c>
      <c r="T25" s="439">
        <f>IF(T23&gt;'Premissas Gerais'!$E$7,0,'Premissas Gerais'!X149*(1+Sensibilidade!$G$7))</f>
        <v>2342</v>
      </c>
      <c r="U25" s="439">
        <f>IF(U23&gt;'Premissas Gerais'!$E$7,0,'Premissas Gerais'!Y149*(1+Sensibilidade!$G$7))</f>
        <v>2319</v>
      </c>
      <c r="V25" s="439">
        <f>IF(V23&gt;'Premissas Gerais'!$E$7,0,'Premissas Gerais'!Z149*(1+Sensibilidade!$G$7))</f>
        <v>2296</v>
      </c>
      <c r="W25" s="439">
        <f>IF(W23&gt;'Premissas Gerais'!$E$7,0,'Premissas Gerais'!AA149*(1+Sensibilidade!$G$7))</f>
        <v>2273</v>
      </c>
      <c r="X25" s="439">
        <f>IF(X23&gt;'Premissas Gerais'!$E$7,0,'Premissas Gerais'!AB149*(1+Sensibilidade!$G$7))</f>
        <v>2248</v>
      </c>
      <c r="Y25" s="439">
        <f>IF(Y23&gt;'Premissas Gerais'!$E$7,0,'Premissas Gerais'!AC149*(1+Sensibilidade!$G$7))</f>
        <v>2225</v>
      </c>
      <c r="Z25" s="439">
        <f>IF(Z23&gt;'Premissas Gerais'!$E$7,0,'Premissas Gerais'!AD149*(1+Sensibilidade!$G$7))</f>
        <v>2202</v>
      </c>
      <c r="AA25" s="439">
        <f>IF(AA23&gt;'Premissas Gerais'!$E$7,0,'Premissas Gerais'!AE149*(1+Sensibilidade!$G$7))</f>
        <v>2179</v>
      </c>
      <c r="AB25" s="439">
        <f>IF(AB23&gt;'Premissas Gerais'!$E$7,0,'Premissas Gerais'!AF149*(1+Sensibilidade!$G$7))</f>
        <v>2156</v>
      </c>
      <c r="AC25" s="439">
        <f>IF(AC23&gt;'Premissas Gerais'!$E$7,0,'Premissas Gerais'!AG149*(1+Sensibilidade!$G$7))</f>
        <v>2133</v>
      </c>
      <c r="AD25" s="439">
        <f>IF(AD23&gt;'Premissas Gerais'!$E$7,0,'Premissas Gerais'!AH149*(1+Sensibilidade!$G$7))</f>
        <v>2110</v>
      </c>
      <c r="AE25" s="439">
        <f>IF(AE23&gt;'Premissas Gerais'!$E$7,0,'Premissas Gerais'!AI149*(1+Sensibilidade!$G$7))</f>
        <v>2087</v>
      </c>
      <c r="AF25" s="439">
        <f>IF(AF23&gt;'Premissas Gerais'!$E$7,0,'Premissas Gerais'!AJ149*(1+Sensibilidade!$G$7))</f>
        <v>2064</v>
      </c>
      <c r="AG25" s="439">
        <f>IF(AG23&gt;'Premissas Gerais'!$E$7,0,'Premissas Gerais'!AK149*(1+Sensibilidade!$G$7))</f>
        <v>2041</v>
      </c>
    </row>
    <row r="26" spans="2:33" ht="15" thickBot="1" x14ac:dyDescent="0.4">
      <c r="B26" t="s">
        <v>2</v>
      </c>
      <c r="C26" s="439"/>
      <c r="D26" s="439">
        <f>IF(D23&gt;'Premissas Gerais'!$E$7,0,'Premissas Gerais'!H150*(1+Sensibilidade!$G$7))</f>
        <v>30204</v>
      </c>
      <c r="E26" s="439">
        <f>IF(E23&gt;'Premissas Gerais'!$E$7,0,'Premissas Gerais'!I150*(1+Sensibilidade!$G$7))</f>
        <v>30221</v>
      </c>
      <c r="F26" s="439">
        <f>IF(F23&gt;'Premissas Gerais'!$E$7,0,'Premissas Gerais'!J150*(1+Sensibilidade!$G$7))</f>
        <v>30238</v>
      </c>
      <c r="G26" s="439">
        <f>IF(G23&gt;'Premissas Gerais'!$E$7,0,'Premissas Gerais'!K150*(1+Sensibilidade!$G$7))</f>
        <v>30255</v>
      </c>
      <c r="H26" s="439">
        <f>IF(H23&gt;'Premissas Gerais'!$E$7,0,'Premissas Gerais'!L150*(1+Sensibilidade!$G$7))</f>
        <v>30272</v>
      </c>
      <c r="I26" s="439">
        <f>IF(I23&gt;'Premissas Gerais'!$E$7,0,'Premissas Gerais'!M150*(1+Sensibilidade!$G$7))</f>
        <v>30291</v>
      </c>
      <c r="J26" s="439">
        <f>IF(J23&gt;'Premissas Gerais'!$E$7,0,'Premissas Gerais'!N150*(1+Sensibilidade!$G$7))</f>
        <v>30246</v>
      </c>
      <c r="K26" s="439">
        <f>IF(K23&gt;'Premissas Gerais'!$E$7,0,'Premissas Gerais'!O150*(1+Sensibilidade!$G$7))</f>
        <v>30201</v>
      </c>
      <c r="L26" s="439">
        <f>IF(L23&gt;'Premissas Gerais'!$E$7,0,'Premissas Gerais'!P150*(1+Sensibilidade!$G$7))</f>
        <v>30156</v>
      </c>
      <c r="M26" s="439">
        <f>IF(M23&gt;'Premissas Gerais'!$E$7,0,'Premissas Gerais'!Q150*(1+Sensibilidade!$G$7))</f>
        <v>30111</v>
      </c>
      <c r="N26" s="439">
        <f>IF(N23&gt;'Premissas Gerais'!$E$7,0,'Premissas Gerais'!R150*(1+Sensibilidade!$G$7))</f>
        <v>30066</v>
      </c>
      <c r="O26" s="439">
        <f>IF(O23&gt;'Premissas Gerais'!$E$7,0,'Premissas Gerais'!S150*(1+Sensibilidade!$G$7))</f>
        <v>29979</v>
      </c>
      <c r="P26" s="439">
        <f>IF(P23&gt;'Premissas Gerais'!$E$7,0,'Premissas Gerais'!T150*(1+Sensibilidade!$G$7))</f>
        <v>29892</v>
      </c>
      <c r="Q26" s="439">
        <f>IF(Q23&gt;'Premissas Gerais'!$E$7,0,'Premissas Gerais'!U150*(1+Sensibilidade!$G$7))</f>
        <v>29805</v>
      </c>
      <c r="R26" s="439">
        <f>IF(R23&gt;'Premissas Gerais'!$E$7,0,'Premissas Gerais'!V150*(1+Sensibilidade!$G$7))</f>
        <v>29718</v>
      </c>
      <c r="S26" s="439">
        <f>IF(S23&gt;'Premissas Gerais'!$E$7,0,'Premissas Gerais'!W150*(1+Sensibilidade!$G$7))</f>
        <v>29629</v>
      </c>
      <c r="T26" s="439">
        <f>IF(T23&gt;'Premissas Gerais'!$E$7,0,'Premissas Gerais'!X150*(1+Sensibilidade!$G$7))</f>
        <v>29504</v>
      </c>
      <c r="U26" s="439">
        <f>IF(U23&gt;'Premissas Gerais'!$E$7,0,'Premissas Gerais'!Y150*(1+Sensibilidade!$G$7))</f>
        <v>29379</v>
      </c>
      <c r="V26" s="439">
        <f>IF(V23&gt;'Premissas Gerais'!$E$7,0,'Premissas Gerais'!Z150*(1+Sensibilidade!$G$7))</f>
        <v>29254</v>
      </c>
      <c r="W26" s="439">
        <f>IF(W23&gt;'Premissas Gerais'!$E$7,0,'Premissas Gerais'!AA150*(1+Sensibilidade!$G$7))</f>
        <v>29129</v>
      </c>
      <c r="X26" s="439">
        <f>IF(X23&gt;'Premissas Gerais'!$E$7,0,'Premissas Gerais'!AB150*(1+Sensibilidade!$G$7))</f>
        <v>29005</v>
      </c>
      <c r="Y26" s="439">
        <f>IF(Y23&gt;'Premissas Gerais'!$E$7,0,'Premissas Gerais'!AC150*(1+Sensibilidade!$G$7))</f>
        <v>28880</v>
      </c>
      <c r="Z26" s="439">
        <f>IF(Z23&gt;'Premissas Gerais'!$E$7,0,'Premissas Gerais'!AD150*(1+Sensibilidade!$G$7))</f>
        <v>28755</v>
      </c>
      <c r="AA26" s="439">
        <f>IF(AA23&gt;'Premissas Gerais'!$E$7,0,'Premissas Gerais'!AE150*(1+Sensibilidade!$G$7))</f>
        <v>28630</v>
      </c>
      <c r="AB26" s="439">
        <f>IF(AB23&gt;'Premissas Gerais'!$E$7,0,'Premissas Gerais'!AF150*(1+Sensibilidade!$G$7))</f>
        <v>28505</v>
      </c>
      <c r="AC26" s="439">
        <f>IF(AC23&gt;'Premissas Gerais'!$E$7,0,'Premissas Gerais'!AG150*(1+Sensibilidade!$G$7))</f>
        <v>28380</v>
      </c>
      <c r="AD26" s="439">
        <f>IF(AD23&gt;'Premissas Gerais'!$E$7,0,'Premissas Gerais'!AH150*(1+Sensibilidade!$G$7))</f>
        <v>28255</v>
      </c>
      <c r="AE26" s="439">
        <f>IF(AE23&gt;'Premissas Gerais'!$E$7,0,'Premissas Gerais'!AI150*(1+Sensibilidade!$G$7))</f>
        <v>28130</v>
      </c>
      <c r="AF26" s="439">
        <f>IF(AF23&gt;'Premissas Gerais'!$E$7,0,'Premissas Gerais'!AJ150*(1+Sensibilidade!$G$7))</f>
        <v>28005</v>
      </c>
      <c r="AG26" s="439">
        <f>IF(AG23&gt;'Premissas Gerais'!$E$7,0,'Premissas Gerais'!AK150*(1+Sensibilidade!$G$7))</f>
        <v>27880</v>
      </c>
    </row>
    <row r="27" spans="2:33" ht="15" thickBot="1" x14ac:dyDescent="0.4">
      <c r="B27" t="s">
        <v>3</v>
      </c>
      <c r="C27" s="439"/>
      <c r="D27" s="439">
        <f>IF(D23&gt;'Premissas Gerais'!$E$7,0,'Premissas Gerais'!H151*(1+Sensibilidade!$G$7))</f>
        <v>3646</v>
      </c>
      <c r="E27" s="439">
        <f>IF(E23&gt;'Premissas Gerais'!$E$7,0,'Premissas Gerais'!I151*(1+Sensibilidade!$G$7))</f>
        <v>3650</v>
      </c>
      <c r="F27" s="439">
        <f>IF(F23&gt;'Premissas Gerais'!$E$7,0,'Premissas Gerais'!J151*(1+Sensibilidade!$G$7))</f>
        <v>3654</v>
      </c>
      <c r="G27" s="439">
        <f>IF(G23&gt;'Premissas Gerais'!$E$7,0,'Premissas Gerais'!K151*(1+Sensibilidade!$G$7))</f>
        <v>3658</v>
      </c>
      <c r="H27" s="439">
        <f>IF(H23&gt;'Premissas Gerais'!$E$7,0,'Premissas Gerais'!L151*(1+Sensibilidade!$G$7))</f>
        <v>3662</v>
      </c>
      <c r="I27" s="439">
        <f>IF(I23&gt;'Premissas Gerais'!$E$7,0,'Premissas Gerais'!M151*(1+Sensibilidade!$G$7))</f>
        <v>3668</v>
      </c>
      <c r="J27" s="439">
        <f>IF(J23&gt;'Premissas Gerais'!$E$7,0,'Premissas Gerais'!N151*(1+Sensibilidade!$G$7))</f>
        <v>3667</v>
      </c>
      <c r="K27" s="439">
        <f>IF(K23&gt;'Premissas Gerais'!$E$7,0,'Premissas Gerais'!O151*(1+Sensibilidade!$G$7))</f>
        <v>3666</v>
      </c>
      <c r="L27" s="439">
        <f>IF(L23&gt;'Premissas Gerais'!$E$7,0,'Premissas Gerais'!P151*(1+Sensibilidade!$G$7))</f>
        <v>3665</v>
      </c>
      <c r="M27" s="439">
        <f>IF(M23&gt;'Premissas Gerais'!$E$7,0,'Premissas Gerais'!Q151*(1+Sensibilidade!$G$7))</f>
        <v>3664</v>
      </c>
      <c r="N27" s="439">
        <f>IF(N23&gt;'Premissas Gerais'!$E$7,0,'Premissas Gerais'!R151*(1+Sensibilidade!$G$7))</f>
        <v>3661</v>
      </c>
      <c r="O27" s="439">
        <f>IF(O23&gt;'Premissas Gerais'!$E$7,0,'Premissas Gerais'!S151*(1+Sensibilidade!$G$7))</f>
        <v>3653</v>
      </c>
      <c r="P27" s="439">
        <f>IF(P23&gt;'Premissas Gerais'!$E$7,0,'Premissas Gerais'!T151*(1+Sensibilidade!$G$7))</f>
        <v>3645</v>
      </c>
      <c r="Q27" s="439">
        <f>IF(Q23&gt;'Premissas Gerais'!$E$7,0,'Premissas Gerais'!U151*(1+Sensibilidade!$G$7))</f>
        <v>3637</v>
      </c>
      <c r="R27" s="439">
        <f>IF(R23&gt;'Premissas Gerais'!$E$7,0,'Premissas Gerais'!V151*(1+Sensibilidade!$G$7))</f>
        <v>3629</v>
      </c>
      <c r="S27" s="439">
        <f>IF(S23&gt;'Premissas Gerais'!$E$7,0,'Premissas Gerais'!W151*(1+Sensibilidade!$G$7))</f>
        <v>3622</v>
      </c>
      <c r="T27" s="439">
        <f>IF(T23&gt;'Premissas Gerais'!$E$7,0,'Premissas Gerais'!X151*(1+Sensibilidade!$G$7))</f>
        <v>3610</v>
      </c>
      <c r="U27" s="439">
        <f>IF(U23&gt;'Premissas Gerais'!$E$7,0,'Premissas Gerais'!Y151*(1+Sensibilidade!$G$7))</f>
        <v>3598</v>
      </c>
      <c r="V27" s="439">
        <f>IF(V23&gt;'Premissas Gerais'!$E$7,0,'Premissas Gerais'!Z151*(1+Sensibilidade!$G$7))</f>
        <v>3586</v>
      </c>
      <c r="W27" s="439">
        <f>IF(W23&gt;'Premissas Gerais'!$E$7,0,'Premissas Gerais'!AA151*(1+Sensibilidade!$G$7))</f>
        <v>3574</v>
      </c>
      <c r="X27" s="439">
        <f>IF(X23&gt;'Premissas Gerais'!$E$7,0,'Premissas Gerais'!AB151*(1+Sensibilidade!$G$7))</f>
        <v>3562</v>
      </c>
      <c r="Y27" s="439">
        <f>IF(Y23&gt;'Premissas Gerais'!$E$7,0,'Premissas Gerais'!AC151*(1+Sensibilidade!$G$7))</f>
        <v>3550</v>
      </c>
      <c r="Z27" s="439">
        <f>IF(Z23&gt;'Premissas Gerais'!$E$7,0,'Premissas Gerais'!AD151*(1+Sensibilidade!$G$7))</f>
        <v>3538</v>
      </c>
      <c r="AA27" s="439">
        <f>IF(AA23&gt;'Premissas Gerais'!$E$7,0,'Premissas Gerais'!AE151*(1+Sensibilidade!$G$7))</f>
        <v>3526</v>
      </c>
      <c r="AB27" s="439">
        <f>IF(AB23&gt;'Premissas Gerais'!$E$7,0,'Premissas Gerais'!AF151*(1+Sensibilidade!$G$7))</f>
        <v>3514</v>
      </c>
      <c r="AC27" s="439">
        <f>IF(AC23&gt;'Premissas Gerais'!$E$7,0,'Premissas Gerais'!AG151*(1+Sensibilidade!$G$7))</f>
        <v>3502</v>
      </c>
      <c r="AD27" s="439">
        <f>IF(AD23&gt;'Premissas Gerais'!$E$7,0,'Premissas Gerais'!AH151*(1+Sensibilidade!$G$7))</f>
        <v>3490</v>
      </c>
      <c r="AE27" s="439">
        <f>IF(AE23&gt;'Premissas Gerais'!$E$7,0,'Premissas Gerais'!AI151*(1+Sensibilidade!$G$7))</f>
        <v>3478</v>
      </c>
      <c r="AF27" s="439">
        <f>IF(AF23&gt;'Premissas Gerais'!$E$7,0,'Premissas Gerais'!AJ151*(1+Sensibilidade!$G$7))</f>
        <v>3466</v>
      </c>
      <c r="AG27" s="439">
        <f>IF(AG23&gt;'Premissas Gerais'!$E$7,0,'Premissas Gerais'!AK151*(1+Sensibilidade!$G$7))</f>
        <v>3454</v>
      </c>
    </row>
    <row r="28" spans="2:33" ht="15" thickBot="1" x14ac:dyDescent="0.4">
      <c r="B28" t="s">
        <v>4</v>
      </c>
      <c r="C28" s="439"/>
      <c r="D28" s="439">
        <f>IF(D23&gt;'Premissas Gerais'!$E$7,0,'Premissas Gerais'!H152*(1+Sensibilidade!$G$7))</f>
        <v>9071</v>
      </c>
      <c r="E28" s="439">
        <f>IF(E23&gt;'Premissas Gerais'!$E$7,0,'Premissas Gerais'!I152*(1+Sensibilidade!$G$7))</f>
        <v>9155</v>
      </c>
      <c r="F28" s="439">
        <f>IF(F23&gt;'Premissas Gerais'!$E$7,0,'Premissas Gerais'!J152*(1+Sensibilidade!$G$7))</f>
        <v>9239</v>
      </c>
      <c r="G28" s="439">
        <f>IF(G23&gt;'Premissas Gerais'!$E$7,0,'Premissas Gerais'!K152*(1+Sensibilidade!$G$7))</f>
        <v>9323</v>
      </c>
      <c r="H28" s="439">
        <f>IF(H23&gt;'Premissas Gerais'!$E$7,0,'Premissas Gerais'!L152*(1+Sensibilidade!$G$7))</f>
        <v>9407</v>
      </c>
      <c r="I28" s="439">
        <f>IF(I23&gt;'Premissas Gerais'!$E$7,0,'Premissas Gerais'!M152*(1+Sensibilidade!$G$7))</f>
        <v>9490</v>
      </c>
      <c r="J28" s="439">
        <f>IF(J23&gt;'Premissas Gerais'!$E$7,0,'Premissas Gerais'!N152*(1+Sensibilidade!$G$7))</f>
        <v>9563</v>
      </c>
      <c r="K28" s="439">
        <f>IF(K23&gt;'Premissas Gerais'!$E$7,0,'Premissas Gerais'!O152*(1+Sensibilidade!$G$7))</f>
        <v>9636</v>
      </c>
      <c r="L28" s="439">
        <f>IF(L23&gt;'Premissas Gerais'!$E$7,0,'Premissas Gerais'!P152*(1+Sensibilidade!$G$7))</f>
        <v>9709</v>
      </c>
      <c r="M28" s="439">
        <f>IF(M23&gt;'Premissas Gerais'!$E$7,0,'Premissas Gerais'!Q152*(1+Sensibilidade!$G$7))</f>
        <v>9782</v>
      </c>
      <c r="N28" s="439">
        <f>IF(N23&gt;'Premissas Gerais'!$E$7,0,'Premissas Gerais'!R152*(1+Sensibilidade!$G$7))</f>
        <v>9854</v>
      </c>
      <c r="O28" s="439">
        <f>IF(O23&gt;'Premissas Gerais'!$E$7,0,'Premissas Gerais'!S152*(1+Sensibilidade!$G$7))</f>
        <v>9912</v>
      </c>
      <c r="P28" s="439">
        <f>IF(P23&gt;'Premissas Gerais'!$E$7,0,'Premissas Gerais'!T152*(1+Sensibilidade!$G$7))</f>
        <v>9970</v>
      </c>
      <c r="Q28" s="439">
        <f>IF(Q23&gt;'Premissas Gerais'!$E$7,0,'Premissas Gerais'!U152*(1+Sensibilidade!$G$7))</f>
        <v>10028</v>
      </c>
      <c r="R28" s="439">
        <f>IF(R23&gt;'Premissas Gerais'!$E$7,0,'Premissas Gerais'!V152*(1+Sensibilidade!$G$7))</f>
        <v>10086</v>
      </c>
      <c r="S28" s="439">
        <f>IF(S23&gt;'Premissas Gerais'!$E$7,0,'Premissas Gerais'!W152*(1+Sensibilidade!$G$7))</f>
        <v>10146</v>
      </c>
      <c r="T28" s="439">
        <f>IF(T23&gt;'Premissas Gerais'!$E$7,0,'Premissas Gerais'!X152*(1+Sensibilidade!$G$7))</f>
        <v>10188</v>
      </c>
      <c r="U28" s="439">
        <f>IF(U23&gt;'Premissas Gerais'!$E$7,0,'Premissas Gerais'!Y152*(1+Sensibilidade!$G$7))</f>
        <v>10230</v>
      </c>
      <c r="V28" s="439">
        <f>IF(V23&gt;'Premissas Gerais'!$E$7,0,'Premissas Gerais'!Z152*(1+Sensibilidade!$G$7))</f>
        <v>10272</v>
      </c>
      <c r="W28" s="439">
        <f>IF(W23&gt;'Premissas Gerais'!$E$7,0,'Premissas Gerais'!AA152*(1+Sensibilidade!$G$7))</f>
        <v>10314</v>
      </c>
      <c r="X28" s="439">
        <f>IF(X23&gt;'Premissas Gerais'!$E$7,0,'Premissas Gerais'!AB152*(1+Sensibilidade!$G$7))</f>
        <v>10354</v>
      </c>
      <c r="Y28" s="439">
        <f>IF(Y23&gt;'Premissas Gerais'!$E$7,0,'Premissas Gerais'!AC152*(1+Sensibilidade!$G$7))</f>
        <v>10396</v>
      </c>
      <c r="Z28" s="439">
        <f>IF(Z23&gt;'Premissas Gerais'!$E$7,0,'Premissas Gerais'!AD152*(1+Sensibilidade!$G$7))</f>
        <v>10438</v>
      </c>
      <c r="AA28" s="439">
        <f>IF(AA23&gt;'Premissas Gerais'!$E$7,0,'Premissas Gerais'!AE152*(1+Sensibilidade!$G$7))</f>
        <v>10480</v>
      </c>
      <c r="AB28" s="439">
        <f>IF(AB23&gt;'Premissas Gerais'!$E$7,0,'Premissas Gerais'!AF152*(1+Sensibilidade!$G$7))</f>
        <v>10522</v>
      </c>
      <c r="AC28" s="439">
        <f>IF(AC23&gt;'Premissas Gerais'!$E$7,0,'Premissas Gerais'!AG152*(1+Sensibilidade!$G$7))</f>
        <v>10564</v>
      </c>
      <c r="AD28" s="439">
        <f>IF(AD23&gt;'Premissas Gerais'!$E$7,0,'Premissas Gerais'!AH152*(1+Sensibilidade!$G$7))</f>
        <v>10606</v>
      </c>
      <c r="AE28" s="439">
        <f>IF(AE23&gt;'Premissas Gerais'!$E$7,0,'Premissas Gerais'!AI152*(1+Sensibilidade!$G$7))</f>
        <v>10648</v>
      </c>
      <c r="AF28" s="439">
        <f>IF(AF23&gt;'Premissas Gerais'!$E$7,0,'Premissas Gerais'!AJ152*(1+Sensibilidade!$G$7))</f>
        <v>10690</v>
      </c>
      <c r="AG28" s="439">
        <f>IF(AG23&gt;'Premissas Gerais'!$E$7,0,'Premissas Gerais'!AK152*(1+Sensibilidade!$G$7))</f>
        <v>10732</v>
      </c>
    </row>
    <row r="29" spans="2:33" ht="15" thickBot="1" x14ac:dyDescent="0.4">
      <c r="B29" t="s">
        <v>5</v>
      </c>
      <c r="C29" s="439"/>
      <c r="D29" s="439">
        <f>IF(D23&gt;'Premissas Gerais'!$E$7,0,'Premissas Gerais'!H153*(1+Sensibilidade!$G$7))</f>
        <v>19814</v>
      </c>
      <c r="E29" s="439">
        <f>IF(E23&gt;'Premissas Gerais'!$E$7,0,'Premissas Gerais'!I153*(1+Sensibilidade!$G$7))</f>
        <v>19899</v>
      </c>
      <c r="F29" s="439">
        <f>IF(F23&gt;'Premissas Gerais'!$E$7,0,'Premissas Gerais'!J153*(1+Sensibilidade!$G$7))</f>
        <v>19984</v>
      </c>
      <c r="G29" s="439">
        <f>IF(G23&gt;'Premissas Gerais'!$E$7,0,'Premissas Gerais'!K153*(1+Sensibilidade!$G$7))</f>
        <v>20069</v>
      </c>
      <c r="H29" s="439">
        <f>IF(H23&gt;'Premissas Gerais'!$E$7,0,'Premissas Gerais'!L153*(1+Sensibilidade!$G$7))</f>
        <v>20154</v>
      </c>
      <c r="I29" s="439">
        <f>IF(I23&gt;'Premissas Gerais'!$E$7,0,'Premissas Gerais'!M153*(1+Sensibilidade!$G$7))</f>
        <v>20238</v>
      </c>
      <c r="J29" s="439">
        <f>IF(J23&gt;'Premissas Gerais'!$E$7,0,'Premissas Gerais'!N153*(1+Sensibilidade!$G$7))</f>
        <v>20287</v>
      </c>
      <c r="K29" s="439">
        <f>IF(K23&gt;'Premissas Gerais'!$E$7,0,'Premissas Gerais'!O153*(1+Sensibilidade!$G$7))</f>
        <v>20336</v>
      </c>
      <c r="L29" s="439">
        <f>IF(L23&gt;'Premissas Gerais'!$E$7,0,'Premissas Gerais'!P153*(1+Sensibilidade!$G$7))</f>
        <v>20385</v>
      </c>
      <c r="M29" s="439">
        <f>IF(M23&gt;'Premissas Gerais'!$E$7,0,'Premissas Gerais'!Q153*(1+Sensibilidade!$G$7))</f>
        <v>20434</v>
      </c>
      <c r="N29" s="439">
        <f>IF(N23&gt;'Premissas Gerais'!$E$7,0,'Premissas Gerais'!R153*(1+Sensibilidade!$G$7))</f>
        <v>20485</v>
      </c>
      <c r="O29" s="439">
        <f>IF(O23&gt;'Premissas Gerais'!$E$7,0,'Premissas Gerais'!S153*(1+Sensibilidade!$G$7))</f>
        <v>20504</v>
      </c>
      <c r="P29" s="439">
        <f>IF(P23&gt;'Premissas Gerais'!$E$7,0,'Premissas Gerais'!T153*(1+Sensibilidade!$G$7))</f>
        <v>20523</v>
      </c>
      <c r="Q29" s="439">
        <f>IF(Q23&gt;'Premissas Gerais'!$E$7,0,'Premissas Gerais'!U153*(1+Sensibilidade!$G$7))</f>
        <v>20542</v>
      </c>
      <c r="R29" s="439">
        <f>IF(R23&gt;'Premissas Gerais'!$E$7,0,'Premissas Gerais'!V153*(1+Sensibilidade!$G$7))</f>
        <v>20561</v>
      </c>
      <c r="S29" s="439">
        <f>IF(S23&gt;'Premissas Gerais'!$E$7,0,'Premissas Gerais'!W153*(1+Sensibilidade!$G$7))</f>
        <v>20582</v>
      </c>
      <c r="T29" s="439">
        <f>IF(T23&gt;'Premissas Gerais'!$E$7,0,'Premissas Gerais'!X153*(1+Sensibilidade!$G$7))</f>
        <v>20570</v>
      </c>
      <c r="U29" s="439">
        <f>IF(U23&gt;'Premissas Gerais'!$E$7,0,'Premissas Gerais'!Y153*(1+Sensibilidade!$G$7))</f>
        <v>20558</v>
      </c>
      <c r="V29" s="439">
        <f>IF(V23&gt;'Premissas Gerais'!$E$7,0,'Premissas Gerais'!Z153*(1+Sensibilidade!$G$7))</f>
        <v>20546</v>
      </c>
      <c r="W29" s="439">
        <f>IF(W23&gt;'Premissas Gerais'!$E$7,0,'Premissas Gerais'!AA153*(1+Sensibilidade!$G$7))</f>
        <v>20534</v>
      </c>
      <c r="X29" s="439">
        <f>IF(X23&gt;'Premissas Gerais'!$E$7,0,'Premissas Gerais'!AB153*(1+Sensibilidade!$G$7))</f>
        <v>20522</v>
      </c>
      <c r="Y29" s="439">
        <f>IF(Y23&gt;'Premissas Gerais'!$E$7,0,'Premissas Gerais'!AC153*(1+Sensibilidade!$G$7))</f>
        <v>20510</v>
      </c>
      <c r="Z29" s="439">
        <f>IF(Z23&gt;'Premissas Gerais'!$E$7,0,'Premissas Gerais'!AD153*(1+Sensibilidade!$G$7))</f>
        <v>20498</v>
      </c>
      <c r="AA29" s="439">
        <f>IF(AA23&gt;'Premissas Gerais'!$E$7,0,'Premissas Gerais'!AE153*(1+Sensibilidade!$G$7))</f>
        <v>20486</v>
      </c>
      <c r="AB29" s="439">
        <f>IF(AB23&gt;'Premissas Gerais'!$E$7,0,'Premissas Gerais'!AF153*(1+Sensibilidade!$G$7))</f>
        <v>20474</v>
      </c>
      <c r="AC29" s="439">
        <f>IF(AC23&gt;'Premissas Gerais'!$E$7,0,'Premissas Gerais'!AG153*(1+Sensibilidade!$G$7))</f>
        <v>20462</v>
      </c>
      <c r="AD29" s="439">
        <f>IF(AD23&gt;'Premissas Gerais'!$E$7,0,'Premissas Gerais'!AH153*(1+Sensibilidade!$G$7))</f>
        <v>20450</v>
      </c>
      <c r="AE29" s="439">
        <f>IF(AE23&gt;'Premissas Gerais'!$E$7,0,'Premissas Gerais'!AI153*(1+Sensibilidade!$G$7))</f>
        <v>20438</v>
      </c>
      <c r="AF29" s="439">
        <f>IF(AF23&gt;'Premissas Gerais'!$E$7,0,'Premissas Gerais'!AJ153*(1+Sensibilidade!$G$7))</f>
        <v>20426</v>
      </c>
      <c r="AG29" s="439">
        <f>IF(AG23&gt;'Premissas Gerais'!$E$7,0,'Premissas Gerais'!AK153*(1+Sensibilidade!$G$7))</f>
        <v>20414</v>
      </c>
    </row>
    <row r="30" spans="2:33" ht="15" thickBot="1" x14ac:dyDescent="0.4">
      <c r="B30" t="s">
        <v>6</v>
      </c>
      <c r="C30" s="439"/>
      <c r="D30" s="439">
        <f>IF(D23&gt;'Premissas Gerais'!$E$7,0,'Premissas Gerais'!H154*(1+Sensibilidade!$G$7))</f>
        <v>172460</v>
      </c>
      <c r="E30" s="439">
        <f>IF(E23&gt;'Premissas Gerais'!$E$7,0,'Premissas Gerais'!I154*(1+Sensibilidade!$G$7))</f>
        <v>173387</v>
      </c>
      <c r="F30" s="439">
        <f>IF(F23&gt;'Premissas Gerais'!$E$7,0,'Premissas Gerais'!J154*(1+Sensibilidade!$G$7))</f>
        <v>174314</v>
      </c>
      <c r="G30" s="439">
        <f>IF(G23&gt;'Premissas Gerais'!$E$7,0,'Premissas Gerais'!K154*(1+Sensibilidade!$G$7))</f>
        <v>175241</v>
      </c>
      <c r="H30" s="439">
        <f>IF(H23&gt;'Premissas Gerais'!$E$7,0,'Premissas Gerais'!L154*(1+Sensibilidade!$G$7))</f>
        <v>176168</v>
      </c>
      <c r="I30" s="439">
        <f>IF(I23&gt;'Premissas Gerais'!$E$7,0,'Premissas Gerais'!M154*(1+Sensibilidade!$G$7))</f>
        <v>177094</v>
      </c>
      <c r="J30" s="439">
        <f>IF(J23&gt;'Premissas Gerais'!$E$7,0,'Premissas Gerais'!N154*(1+Sensibilidade!$G$7))</f>
        <v>178023</v>
      </c>
      <c r="K30" s="439">
        <f>IF(K23&gt;'Premissas Gerais'!$E$7,0,'Premissas Gerais'!O154*(1+Sensibilidade!$G$7))</f>
        <v>178952</v>
      </c>
      <c r="L30" s="439">
        <f>IF(L23&gt;'Premissas Gerais'!$E$7,0,'Premissas Gerais'!P154*(1+Sensibilidade!$G$7))</f>
        <v>179881</v>
      </c>
      <c r="M30" s="439">
        <f>IF(M23&gt;'Premissas Gerais'!$E$7,0,'Premissas Gerais'!Q154*(1+Sensibilidade!$G$7))</f>
        <v>180810</v>
      </c>
      <c r="N30" s="439">
        <f>IF(N23&gt;'Premissas Gerais'!$E$7,0,'Premissas Gerais'!R154*(1+Sensibilidade!$G$7))</f>
        <v>181737</v>
      </c>
      <c r="O30" s="439">
        <f>IF(O23&gt;'Premissas Gerais'!$E$7,0,'Premissas Gerais'!S154*(1+Sensibilidade!$G$7))</f>
        <v>182362</v>
      </c>
      <c r="P30" s="439">
        <f>IF(P23&gt;'Premissas Gerais'!$E$7,0,'Premissas Gerais'!T154*(1+Sensibilidade!$G$7))</f>
        <v>182987</v>
      </c>
      <c r="Q30" s="439">
        <f>IF(Q23&gt;'Premissas Gerais'!$E$7,0,'Premissas Gerais'!U154*(1+Sensibilidade!$G$7))</f>
        <v>183612</v>
      </c>
      <c r="R30" s="439">
        <f>IF(R23&gt;'Premissas Gerais'!$E$7,0,'Premissas Gerais'!V154*(1+Sensibilidade!$G$7))</f>
        <v>184237</v>
      </c>
      <c r="S30" s="439">
        <f>IF(S23&gt;'Premissas Gerais'!$E$7,0,'Premissas Gerais'!W154*(1+Sensibilidade!$G$7))</f>
        <v>184861</v>
      </c>
      <c r="T30" s="439">
        <f>IF(T23&gt;'Premissas Gerais'!$E$7,0,'Premissas Gerais'!X154*(1+Sensibilidade!$G$7))</f>
        <v>185238</v>
      </c>
      <c r="U30" s="439">
        <f>IF(U23&gt;'Premissas Gerais'!$E$7,0,'Premissas Gerais'!Y154*(1+Sensibilidade!$G$7))</f>
        <v>185615</v>
      </c>
      <c r="V30" s="439">
        <f>IF(V23&gt;'Premissas Gerais'!$E$7,0,'Premissas Gerais'!Z154*(1+Sensibilidade!$G$7))</f>
        <v>185992</v>
      </c>
      <c r="W30" s="439">
        <f>IF(W23&gt;'Premissas Gerais'!$E$7,0,'Premissas Gerais'!AA154*(1+Sensibilidade!$G$7))</f>
        <v>186369</v>
      </c>
      <c r="X30" s="439">
        <f>IF(X23&gt;'Premissas Gerais'!$E$7,0,'Premissas Gerais'!AB154*(1+Sensibilidade!$G$7))</f>
        <v>186745</v>
      </c>
      <c r="Y30" s="439">
        <f>IF(Y23&gt;'Premissas Gerais'!$E$7,0,'Premissas Gerais'!AC154*(1+Sensibilidade!$G$7))</f>
        <v>187122</v>
      </c>
      <c r="Z30" s="439">
        <f>IF(Z23&gt;'Premissas Gerais'!$E$7,0,'Premissas Gerais'!AD154*(1+Sensibilidade!$G$7))</f>
        <v>187499</v>
      </c>
      <c r="AA30" s="439">
        <f>IF(AA23&gt;'Premissas Gerais'!$E$7,0,'Premissas Gerais'!AE154*(1+Sensibilidade!$G$7))</f>
        <v>187876</v>
      </c>
      <c r="AB30" s="439">
        <f>IF(AB23&gt;'Premissas Gerais'!$E$7,0,'Premissas Gerais'!AF154*(1+Sensibilidade!$G$7))</f>
        <v>188253</v>
      </c>
      <c r="AC30" s="439">
        <f>IF(AC23&gt;'Premissas Gerais'!$E$7,0,'Premissas Gerais'!AG154*(1+Sensibilidade!$G$7))</f>
        <v>188630</v>
      </c>
      <c r="AD30" s="439">
        <f>IF(AD23&gt;'Premissas Gerais'!$E$7,0,'Premissas Gerais'!AH154*(1+Sensibilidade!$G$7))</f>
        <v>189007</v>
      </c>
      <c r="AE30" s="439">
        <f>IF(AE23&gt;'Premissas Gerais'!$E$7,0,'Premissas Gerais'!AI154*(1+Sensibilidade!$G$7))</f>
        <v>189384</v>
      </c>
      <c r="AF30" s="439">
        <f>IF(AF23&gt;'Premissas Gerais'!$E$7,0,'Premissas Gerais'!AJ154*(1+Sensibilidade!$G$7))</f>
        <v>189761</v>
      </c>
      <c r="AG30" s="439">
        <f>IF(AG23&gt;'Premissas Gerais'!$E$7,0,'Premissas Gerais'!AK154*(1+Sensibilidade!$G$7))</f>
        <v>190138</v>
      </c>
    </row>
    <row r="31" spans="2:33" ht="15" thickBot="1" x14ac:dyDescent="0.4">
      <c r="B31" t="s">
        <v>7</v>
      </c>
      <c r="C31" s="439"/>
      <c r="D31" s="439">
        <f>IF(D23&gt;'Premissas Gerais'!$E$7,0,'Premissas Gerais'!H155*(1+Sensibilidade!$G$7))</f>
        <v>19112</v>
      </c>
      <c r="E31" s="439">
        <f>IF(E23&gt;'Premissas Gerais'!$E$7,0,'Premissas Gerais'!I155*(1+Sensibilidade!$G$7))</f>
        <v>19061</v>
      </c>
      <c r="F31" s="439">
        <f>IF(F23&gt;'Premissas Gerais'!$E$7,0,'Premissas Gerais'!J155*(1+Sensibilidade!$G$7))</f>
        <v>19010</v>
      </c>
      <c r="G31" s="439">
        <f>IF(G23&gt;'Premissas Gerais'!$E$7,0,'Premissas Gerais'!K155*(1+Sensibilidade!$G$7))</f>
        <v>18959</v>
      </c>
      <c r="H31" s="439">
        <f>IF(H23&gt;'Premissas Gerais'!$E$7,0,'Premissas Gerais'!L155*(1+Sensibilidade!$G$7))</f>
        <v>18908</v>
      </c>
      <c r="I31" s="439">
        <f>IF(I23&gt;'Premissas Gerais'!$E$7,0,'Premissas Gerais'!M155*(1+Sensibilidade!$G$7))</f>
        <v>18855</v>
      </c>
      <c r="J31" s="439">
        <f>IF(J23&gt;'Premissas Gerais'!$E$7,0,'Premissas Gerais'!N155*(1+Sensibilidade!$G$7))</f>
        <v>18766</v>
      </c>
      <c r="K31" s="439">
        <f>IF(K23&gt;'Premissas Gerais'!$E$7,0,'Premissas Gerais'!O155*(1+Sensibilidade!$G$7))</f>
        <v>18677</v>
      </c>
      <c r="L31" s="439">
        <f>IF(L23&gt;'Premissas Gerais'!$E$7,0,'Premissas Gerais'!P155*(1+Sensibilidade!$G$7))</f>
        <v>18588</v>
      </c>
      <c r="M31" s="439">
        <f>IF(M23&gt;'Premissas Gerais'!$E$7,0,'Premissas Gerais'!Q155*(1+Sensibilidade!$G$7))</f>
        <v>18499</v>
      </c>
      <c r="N31" s="439">
        <f>IF(N23&gt;'Premissas Gerais'!$E$7,0,'Premissas Gerais'!R155*(1+Sensibilidade!$G$7))</f>
        <v>18409</v>
      </c>
      <c r="O31" s="439">
        <f>IF(O23&gt;'Premissas Gerais'!$E$7,0,'Premissas Gerais'!S155*(1+Sensibilidade!$G$7))</f>
        <v>18287</v>
      </c>
      <c r="P31" s="439">
        <f>IF(P23&gt;'Premissas Gerais'!$E$7,0,'Premissas Gerais'!T155*(1+Sensibilidade!$G$7))</f>
        <v>18165</v>
      </c>
      <c r="Q31" s="439">
        <f>IF(Q23&gt;'Premissas Gerais'!$E$7,0,'Premissas Gerais'!U155*(1+Sensibilidade!$G$7))</f>
        <v>18043</v>
      </c>
      <c r="R31" s="439">
        <f>IF(R23&gt;'Premissas Gerais'!$E$7,0,'Premissas Gerais'!V155*(1+Sensibilidade!$G$7))</f>
        <v>17921</v>
      </c>
      <c r="S31" s="439">
        <f>IF(S23&gt;'Premissas Gerais'!$E$7,0,'Premissas Gerais'!W155*(1+Sensibilidade!$G$7))</f>
        <v>17797</v>
      </c>
      <c r="T31" s="439">
        <f>IF(T23&gt;'Premissas Gerais'!$E$7,0,'Premissas Gerais'!X155*(1+Sensibilidade!$G$7))</f>
        <v>17665</v>
      </c>
      <c r="U31" s="439">
        <f>IF(U23&gt;'Premissas Gerais'!$E$7,0,'Premissas Gerais'!Y155*(1+Sensibilidade!$G$7))</f>
        <v>17533</v>
      </c>
      <c r="V31" s="439">
        <f>IF(V23&gt;'Premissas Gerais'!$E$7,0,'Premissas Gerais'!Z155*(1+Sensibilidade!$G$7))</f>
        <v>17401</v>
      </c>
      <c r="W31" s="439">
        <f>IF(W23&gt;'Premissas Gerais'!$E$7,0,'Premissas Gerais'!AA155*(1+Sensibilidade!$G$7))</f>
        <v>17269</v>
      </c>
      <c r="X31" s="439">
        <f>IF(X23&gt;'Premissas Gerais'!$E$7,0,'Premissas Gerais'!AB155*(1+Sensibilidade!$G$7))</f>
        <v>17139</v>
      </c>
      <c r="Y31" s="439">
        <f>IF(Y23&gt;'Premissas Gerais'!$E$7,0,'Premissas Gerais'!AC155*(1+Sensibilidade!$G$7))</f>
        <v>17007</v>
      </c>
      <c r="Z31" s="439">
        <f>IF(Z23&gt;'Premissas Gerais'!$E$7,0,'Premissas Gerais'!AD155*(1+Sensibilidade!$G$7))</f>
        <v>16875</v>
      </c>
      <c r="AA31" s="439">
        <f>IF(AA23&gt;'Premissas Gerais'!$E$7,0,'Premissas Gerais'!AE155*(1+Sensibilidade!$G$7))</f>
        <v>16743</v>
      </c>
      <c r="AB31" s="439">
        <f>IF(AB23&gt;'Premissas Gerais'!$E$7,0,'Premissas Gerais'!AF155*(1+Sensibilidade!$G$7))</f>
        <v>16611</v>
      </c>
      <c r="AC31" s="439">
        <f>IF(AC23&gt;'Premissas Gerais'!$E$7,0,'Premissas Gerais'!AG155*(1+Sensibilidade!$G$7))</f>
        <v>16479</v>
      </c>
      <c r="AD31" s="439">
        <f>IF(AD23&gt;'Premissas Gerais'!$E$7,0,'Premissas Gerais'!AH155*(1+Sensibilidade!$G$7))</f>
        <v>16347</v>
      </c>
      <c r="AE31" s="439">
        <f>IF(AE23&gt;'Premissas Gerais'!$E$7,0,'Premissas Gerais'!AI155*(1+Sensibilidade!$G$7))</f>
        <v>16215</v>
      </c>
      <c r="AF31" s="439">
        <f>IF(AF23&gt;'Premissas Gerais'!$E$7,0,'Premissas Gerais'!AJ155*(1+Sensibilidade!$G$7))</f>
        <v>16083</v>
      </c>
      <c r="AG31" s="439">
        <f>IF(AG23&gt;'Premissas Gerais'!$E$7,0,'Premissas Gerais'!AK155*(1+Sensibilidade!$G$7))</f>
        <v>15951</v>
      </c>
    </row>
    <row r="32" spans="2:33" ht="15" thickBot="1" x14ac:dyDescent="0.4">
      <c r="B32" t="s">
        <v>8</v>
      </c>
      <c r="C32" s="439"/>
      <c r="D32" s="439">
        <f>IF(D23&gt;'Premissas Gerais'!$E$7,0,'Premissas Gerais'!H156*(1+Sensibilidade!$G$7))</f>
        <v>15453</v>
      </c>
      <c r="E32" s="439">
        <f>IF(E23&gt;'Premissas Gerais'!$E$7,0,'Premissas Gerais'!I156*(1+Sensibilidade!$G$7))</f>
        <v>15587</v>
      </c>
      <c r="F32" s="439">
        <f>IF(F23&gt;'Premissas Gerais'!$E$7,0,'Premissas Gerais'!J156*(1+Sensibilidade!$G$7))</f>
        <v>15721</v>
      </c>
      <c r="G32" s="439">
        <f>IF(G23&gt;'Premissas Gerais'!$E$7,0,'Premissas Gerais'!K156*(1+Sensibilidade!$G$7))</f>
        <v>15855</v>
      </c>
      <c r="H32" s="439">
        <f>IF(H23&gt;'Premissas Gerais'!$E$7,0,'Premissas Gerais'!L156*(1+Sensibilidade!$G$7))</f>
        <v>15989</v>
      </c>
      <c r="I32" s="439">
        <f>IF(I23&gt;'Premissas Gerais'!$E$7,0,'Premissas Gerais'!M156*(1+Sensibilidade!$G$7))</f>
        <v>16121</v>
      </c>
      <c r="J32" s="439">
        <f>IF(J23&gt;'Premissas Gerais'!$E$7,0,'Premissas Gerais'!N156*(1+Sensibilidade!$G$7))</f>
        <v>16227</v>
      </c>
      <c r="K32" s="439">
        <f>IF(K23&gt;'Premissas Gerais'!$E$7,0,'Premissas Gerais'!O156*(1+Sensibilidade!$G$7))</f>
        <v>16333</v>
      </c>
      <c r="L32" s="439">
        <f>IF(L23&gt;'Premissas Gerais'!$E$7,0,'Premissas Gerais'!P156*(1+Sensibilidade!$G$7))</f>
        <v>16439</v>
      </c>
      <c r="M32" s="439">
        <f>IF(M23&gt;'Premissas Gerais'!$E$7,0,'Premissas Gerais'!Q156*(1+Sensibilidade!$G$7))</f>
        <v>16545</v>
      </c>
      <c r="N32" s="439">
        <f>IF(N23&gt;'Premissas Gerais'!$E$7,0,'Premissas Gerais'!R156*(1+Sensibilidade!$G$7))</f>
        <v>16652</v>
      </c>
      <c r="O32" s="439">
        <f>IF(O23&gt;'Premissas Gerais'!$E$7,0,'Premissas Gerais'!S156*(1+Sensibilidade!$G$7))</f>
        <v>16737</v>
      </c>
      <c r="P32" s="439">
        <f>IF(P23&gt;'Premissas Gerais'!$E$7,0,'Premissas Gerais'!T156*(1+Sensibilidade!$G$7))</f>
        <v>16822</v>
      </c>
      <c r="Q32" s="439">
        <f>IF(Q23&gt;'Premissas Gerais'!$E$7,0,'Premissas Gerais'!U156*(1+Sensibilidade!$G$7))</f>
        <v>16907</v>
      </c>
      <c r="R32" s="439">
        <f>IF(R23&gt;'Premissas Gerais'!$E$7,0,'Premissas Gerais'!V156*(1+Sensibilidade!$G$7))</f>
        <v>16992</v>
      </c>
      <c r="S32" s="439">
        <f>IF(S23&gt;'Premissas Gerais'!$E$7,0,'Premissas Gerais'!W156*(1+Sensibilidade!$G$7))</f>
        <v>17078</v>
      </c>
      <c r="T32" s="439">
        <f>IF(T23&gt;'Premissas Gerais'!$E$7,0,'Premissas Gerais'!X156*(1+Sensibilidade!$G$7))</f>
        <v>17133</v>
      </c>
      <c r="U32" s="439">
        <f>IF(U23&gt;'Premissas Gerais'!$E$7,0,'Premissas Gerais'!Y156*(1+Sensibilidade!$G$7))</f>
        <v>17188</v>
      </c>
      <c r="V32" s="439">
        <f>IF(V23&gt;'Premissas Gerais'!$E$7,0,'Premissas Gerais'!Z156*(1+Sensibilidade!$G$7))</f>
        <v>17243</v>
      </c>
      <c r="W32" s="439">
        <f>IF(W23&gt;'Premissas Gerais'!$E$7,0,'Premissas Gerais'!AA156*(1+Sensibilidade!$G$7))</f>
        <v>17298</v>
      </c>
      <c r="X32" s="439">
        <f>IF(X23&gt;'Premissas Gerais'!$E$7,0,'Premissas Gerais'!AB156*(1+Sensibilidade!$G$7))</f>
        <v>17354</v>
      </c>
      <c r="Y32" s="439">
        <f>IF(Y23&gt;'Premissas Gerais'!$E$7,0,'Premissas Gerais'!AC156*(1+Sensibilidade!$G$7))</f>
        <v>17409</v>
      </c>
      <c r="Z32" s="439">
        <f>IF(Z23&gt;'Premissas Gerais'!$E$7,0,'Premissas Gerais'!AD156*(1+Sensibilidade!$G$7))</f>
        <v>17464</v>
      </c>
      <c r="AA32" s="439">
        <f>IF(AA23&gt;'Premissas Gerais'!$E$7,0,'Premissas Gerais'!AE156*(1+Sensibilidade!$G$7))</f>
        <v>17519</v>
      </c>
      <c r="AB32" s="439">
        <f>IF(AB23&gt;'Premissas Gerais'!$E$7,0,'Premissas Gerais'!AF156*(1+Sensibilidade!$G$7))</f>
        <v>17574</v>
      </c>
      <c r="AC32" s="439">
        <f>IF(AC23&gt;'Premissas Gerais'!$E$7,0,'Premissas Gerais'!AG156*(1+Sensibilidade!$G$7))</f>
        <v>17629</v>
      </c>
      <c r="AD32" s="439">
        <f>IF(AD23&gt;'Premissas Gerais'!$E$7,0,'Premissas Gerais'!AH156*(1+Sensibilidade!$G$7))</f>
        <v>17684</v>
      </c>
      <c r="AE32" s="439">
        <f>IF(AE23&gt;'Premissas Gerais'!$E$7,0,'Premissas Gerais'!AI156*(1+Sensibilidade!$G$7))</f>
        <v>17739</v>
      </c>
      <c r="AF32" s="439">
        <f>IF(AF23&gt;'Premissas Gerais'!$E$7,0,'Premissas Gerais'!AJ156*(1+Sensibilidade!$G$7))</f>
        <v>17794</v>
      </c>
      <c r="AG32" s="439">
        <f>IF(AG23&gt;'Premissas Gerais'!$E$7,0,'Premissas Gerais'!AK156*(1+Sensibilidade!$G$7))</f>
        <v>17849</v>
      </c>
    </row>
    <row r="33" spans="2:33" ht="15" thickBot="1" x14ac:dyDescent="0.4">
      <c r="B33" t="s">
        <v>9</v>
      </c>
      <c r="C33" s="439"/>
      <c r="D33" s="439">
        <f>IF(D23&gt;'Premissas Gerais'!$E$7,0,'Premissas Gerais'!H157*(1+Sensibilidade!$G$7))</f>
        <v>12601</v>
      </c>
      <c r="E33" s="439">
        <f>IF(E23&gt;'Premissas Gerais'!$E$7,0,'Premissas Gerais'!I157*(1+Sensibilidade!$G$7))</f>
        <v>12712</v>
      </c>
      <c r="F33" s="439">
        <f>IF(F23&gt;'Premissas Gerais'!$E$7,0,'Premissas Gerais'!J157*(1+Sensibilidade!$G$7))</f>
        <v>12823</v>
      </c>
      <c r="G33" s="439">
        <f>IF(G23&gt;'Premissas Gerais'!$E$7,0,'Premissas Gerais'!K157*(1+Sensibilidade!$G$7))</f>
        <v>12934</v>
      </c>
      <c r="H33" s="439">
        <f>IF(H23&gt;'Premissas Gerais'!$E$7,0,'Premissas Gerais'!L157*(1+Sensibilidade!$G$7))</f>
        <v>13045</v>
      </c>
      <c r="I33" s="439">
        <f>IF(I23&gt;'Premissas Gerais'!$E$7,0,'Premissas Gerais'!M157*(1+Sensibilidade!$G$7))</f>
        <v>13158</v>
      </c>
      <c r="J33" s="439">
        <f>IF(J23&gt;'Premissas Gerais'!$E$7,0,'Premissas Gerais'!N157*(1+Sensibilidade!$G$7))</f>
        <v>13252</v>
      </c>
      <c r="K33" s="439">
        <f>IF(K23&gt;'Premissas Gerais'!$E$7,0,'Premissas Gerais'!O157*(1+Sensibilidade!$G$7))</f>
        <v>13346</v>
      </c>
      <c r="L33" s="439">
        <f>IF(L23&gt;'Premissas Gerais'!$E$7,0,'Premissas Gerais'!P157*(1+Sensibilidade!$G$7))</f>
        <v>13440</v>
      </c>
      <c r="M33" s="439">
        <f>IF(M23&gt;'Premissas Gerais'!$E$7,0,'Premissas Gerais'!Q157*(1+Sensibilidade!$G$7))</f>
        <v>13534</v>
      </c>
      <c r="N33" s="439">
        <f>IF(N23&gt;'Premissas Gerais'!$E$7,0,'Premissas Gerais'!R157*(1+Sensibilidade!$G$7))</f>
        <v>13627</v>
      </c>
      <c r="O33" s="439">
        <f>IF(O23&gt;'Premissas Gerais'!$E$7,0,'Premissas Gerais'!S157*(1+Sensibilidade!$G$7))</f>
        <v>13693</v>
      </c>
      <c r="P33" s="439">
        <f>IF(P23&gt;'Premissas Gerais'!$E$7,0,'Premissas Gerais'!T157*(1+Sensibilidade!$G$7))</f>
        <v>13759</v>
      </c>
      <c r="Q33" s="439">
        <f>IF(Q23&gt;'Premissas Gerais'!$E$7,0,'Premissas Gerais'!U157*(1+Sensibilidade!$G$7))</f>
        <v>13825</v>
      </c>
      <c r="R33" s="439">
        <f>IF(R23&gt;'Premissas Gerais'!$E$7,0,'Premissas Gerais'!V157*(1+Sensibilidade!$G$7))</f>
        <v>13891</v>
      </c>
      <c r="S33" s="439">
        <f>IF(S23&gt;'Premissas Gerais'!$E$7,0,'Premissas Gerais'!W157*(1+Sensibilidade!$G$7))</f>
        <v>13959</v>
      </c>
      <c r="T33" s="439">
        <f>IF(T23&gt;'Premissas Gerais'!$E$7,0,'Premissas Gerais'!X157*(1+Sensibilidade!$G$7))</f>
        <v>14007</v>
      </c>
      <c r="U33" s="439">
        <f>IF(U23&gt;'Premissas Gerais'!$E$7,0,'Premissas Gerais'!Y157*(1+Sensibilidade!$G$7))</f>
        <v>14055</v>
      </c>
      <c r="V33" s="439">
        <f>IF(V23&gt;'Premissas Gerais'!$E$7,0,'Premissas Gerais'!Z157*(1+Sensibilidade!$G$7))</f>
        <v>14103</v>
      </c>
      <c r="W33" s="439">
        <f>IF(W23&gt;'Premissas Gerais'!$E$7,0,'Premissas Gerais'!AA157*(1+Sensibilidade!$G$7))</f>
        <v>14151</v>
      </c>
      <c r="X33" s="439">
        <f>IF(X23&gt;'Premissas Gerais'!$E$7,0,'Premissas Gerais'!AB157*(1+Sensibilidade!$G$7))</f>
        <v>14201</v>
      </c>
      <c r="Y33" s="439">
        <f>IF(Y23&gt;'Premissas Gerais'!$E$7,0,'Premissas Gerais'!AC157*(1+Sensibilidade!$G$7))</f>
        <v>14249</v>
      </c>
      <c r="Z33" s="439">
        <f>IF(Z23&gt;'Premissas Gerais'!$E$7,0,'Premissas Gerais'!AD157*(1+Sensibilidade!$G$7))</f>
        <v>14297</v>
      </c>
      <c r="AA33" s="439">
        <f>IF(AA23&gt;'Premissas Gerais'!$E$7,0,'Premissas Gerais'!AE157*(1+Sensibilidade!$G$7))</f>
        <v>14345</v>
      </c>
      <c r="AB33" s="439">
        <f>IF(AB23&gt;'Premissas Gerais'!$E$7,0,'Premissas Gerais'!AF157*(1+Sensibilidade!$G$7))</f>
        <v>14393</v>
      </c>
      <c r="AC33" s="439">
        <f>IF(AC23&gt;'Premissas Gerais'!$E$7,0,'Premissas Gerais'!AG157*(1+Sensibilidade!$G$7))</f>
        <v>14441</v>
      </c>
      <c r="AD33" s="439">
        <f>IF(AD23&gt;'Premissas Gerais'!$E$7,0,'Premissas Gerais'!AH157*(1+Sensibilidade!$G$7))</f>
        <v>14489</v>
      </c>
      <c r="AE33" s="439">
        <f>IF(AE23&gt;'Premissas Gerais'!$E$7,0,'Premissas Gerais'!AI157*(1+Sensibilidade!$G$7))</f>
        <v>14537</v>
      </c>
      <c r="AF33" s="439">
        <f>IF(AF23&gt;'Premissas Gerais'!$E$7,0,'Premissas Gerais'!AJ157*(1+Sensibilidade!$G$7))</f>
        <v>14585</v>
      </c>
      <c r="AG33" s="439">
        <f>IF(AG23&gt;'Premissas Gerais'!$E$7,0,'Premissas Gerais'!AK157*(1+Sensibilidade!$G$7))</f>
        <v>14633</v>
      </c>
    </row>
    <row r="34" spans="2:33" x14ac:dyDescent="0.35">
      <c r="C34" s="92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</row>
    <row r="35" spans="2:33" x14ac:dyDescent="0.35">
      <c r="B35" s="81" t="s">
        <v>200</v>
      </c>
      <c r="C35" s="362"/>
      <c r="D35" s="362">
        <f t="shared" ref="D35:AG35" si="2">SUM(D25:D33)</f>
        <v>285003</v>
      </c>
      <c r="E35" s="362">
        <f t="shared" si="2"/>
        <v>286299</v>
      </c>
      <c r="F35" s="362">
        <f t="shared" si="2"/>
        <v>287595</v>
      </c>
      <c r="G35" s="362">
        <f t="shared" si="2"/>
        <v>288891</v>
      </c>
      <c r="H35" s="362">
        <f t="shared" si="2"/>
        <v>290187</v>
      </c>
      <c r="I35" s="362">
        <f t="shared" si="2"/>
        <v>291482</v>
      </c>
      <c r="J35" s="362">
        <f t="shared" si="2"/>
        <v>292579</v>
      </c>
      <c r="K35" s="362">
        <f t="shared" si="2"/>
        <v>293676</v>
      </c>
      <c r="L35" s="362">
        <f t="shared" si="2"/>
        <v>294773</v>
      </c>
      <c r="M35" s="362">
        <f t="shared" si="2"/>
        <v>295870</v>
      </c>
      <c r="N35" s="362">
        <f t="shared" si="2"/>
        <v>296965</v>
      </c>
      <c r="O35" s="362">
        <f t="shared" si="2"/>
        <v>297579</v>
      </c>
      <c r="P35" s="362">
        <f t="shared" si="2"/>
        <v>298193</v>
      </c>
      <c r="Q35" s="362">
        <f t="shared" si="2"/>
        <v>298807</v>
      </c>
      <c r="R35" s="362">
        <f t="shared" si="2"/>
        <v>299421</v>
      </c>
      <c r="S35" s="362">
        <f t="shared" si="2"/>
        <v>300039</v>
      </c>
      <c r="T35" s="362">
        <f t="shared" si="2"/>
        <v>300257</v>
      </c>
      <c r="U35" s="362">
        <f t="shared" si="2"/>
        <v>300475</v>
      </c>
      <c r="V35" s="362">
        <f t="shared" si="2"/>
        <v>300693</v>
      </c>
      <c r="W35" s="362">
        <f t="shared" si="2"/>
        <v>300911</v>
      </c>
      <c r="X35" s="362">
        <f t="shared" si="2"/>
        <v>301130</v>
      </c>
      <c r="Y35" s="362">
        <f t="shared" si="2"/>
        <v>301348</v>
      </c>
      <c r="Z35" s="362">
        <f t="shared" si="2"/>
        <v>301566</v>
      </c>
      <c r="AA35" s="362">
        <f t="shared" si="2"/>
        <v>301784</v>
      </c>
      <c r="AB35" s="362">
        <f t="shared" si="2"/>
        <v>302002</v>
      </c>
      <c r="AC35" s="362">
        <f t="shared" si="2"/>
        <v>302220</v>
      </c>
      <c r="AD35" s="362">
        <f t="shared" si="2"/>
        <v>302438</v>
      </c>
      <c r="AE35" s="362">
        <f t="shared" si="2"/>
        <v>302656</v>
      </c>
      <c r="AF35" s="362">
        <f t="shared" si="2"/>
        <v>302874</v>
      </c>
      <c r="AG35" s="362">
        <f t="shared" si="2"/>
        <v>303092</v>
      </c>
    </row>
    <row r="36" spans="2:33" x14ac:dyDescent="0.35">
      <c r="B36" s="79"/>
      <c r="C36" s="79"/>
      <c r="E36" s="80"/>
      <c r="F36" s="80"/>
    </row>
    <row r="38" spans="2:33" ht="15.5" x14ac:dyDescent="0.35">
      <c r="B38" s="99" t="s">
        <v>16</v>
      </c>
    </row>
    <row r="39" spans="2:33" x14ac:dyDescent="0.35">
      <c r="B39" s="77"/>
      <c r="C39" s="77"/>
    </row>
    <row r="40" spans="2:33" x14ac:dyDescent="0.35">
      <c r="B40" s="87" t="s">
        <v>68</v>
      </c>
      <c r="C40" s="87"/>
      <c r="D40" s="89">
        <v>1</v>
      </c>
      <c r="E40" s="89">
        <f>D40+1</f>
        <v>2</v>
      </c>
      <c r="F40" s="89">
        <f t="shared" ref="F40:AG40" si="3">E40+1</f>
        <v>3</v>
      </c>
      <c r="G40" s="89">
        <f t="shared" si="3"/>
        <v>4</v>
      </c>
      <c r="H40" s="89">
        <f t="shared" si="3"/>
        <v>5</v>
      </c>
      <c r="I40" s="89">
        <f t="shared" si="3"/>
        <v>6</v>
      </c>
      <c r="J40" s="89">
        <f t="shared" si="3"/>
        <v>7</v>
      </c>
      <c r="K40" s="89">
        <f t="shared" si="3"/>
        <v>8</v>
      </c>
      <c r="L40" s="89">
        <f t="shared" si="3"/>
        <v>9</v>
      </c>
      <c r="M40" s="89">
        <f t="shared" si="3"/>
        <v>10</v>
      </c>
      <c r="N40" s="89">
        <f t="shared" si="3"/>
        <v>11</v>
      </c>
      <c r="O40" s="89">
        <f t="shared" si="3"/>
        <v>12</v>
      </c>
      <c r="P40" s="89">
        <f t="shared" si="3"/>
        <v>13</v>
      </c>
      <c r="Q40" s="89">
        <f t="shared" si="3"/>
        <v>14</v>
      </c>
      <c r="R40" s="89">
        <f t="shared" si="3"/>
        <v>15</v>
      </c>
      <c r="S40" s="89">
        <f t="shared" si="3"/>
        <v>16</v>
      </c>
      <c r="T40" s="89">
        <f t="shared" si="3"/>
        <v>17</v>
      </c>
      <c r="U40" s="89">
        <f t="shared" si="3"/>
        <v>18</v>
      </c>
      <c r="V40" s="89">
        <f t="shared" si="3"/>
        <v>19</v>
      </c>
      <c r="W40" s="89">
        <f t="shared" si="3"/>
        <v>20</v>
      </c>
      <c r="X40" s="89">
        <f t="shared" si="3"/>
        <v>21</v>
      </c>
      <c r="Y40" s="89">
        <f t="shared" si="3"/>
        <v>22</v>
      </c>
      <c r="Z40" s="89">
        <f t="shared" si="3"/>
        <v>23</v>
      </c>
      <c r="AA40" s="89">
        <f t="shared" si="3"/>
        <v>24</v>
      </c>
      <c r="AB40" s="89">
        <f t="shared" si="3"/>
        <v>25</v>
      </c>
      <c r="AC40" s="89">
        <f t="shared" si="3"/>
        <v>26</v>
      </c>
      <c r="AD40" s="89">
        <f t="shared" si="3"/>
        <v>27</v>
      </c>
      <c r="AE40" s="89">
        <f t="shared" si="3"/>
        <v>28</v>
      </c>
      <c r="AF40" s="89">
        <f t="shared" si="3"/>
        <v>29</v>
      </c>
      <c r="AG40" s="89">
        <f t="shared" si="3"/>
        <v>30</v>
      </c>
    </row>
    <row r="41" spans="2:33" ht="15" thickBot="1" x14ac:dyDescent="0.4">
      <c r="B41" s="82"/>
      <c r="C41" s="82"/>
      <c r="D41" s="84"/>
      <c r="E41" s="84"/>
      <c r="F41" s="84"/>
      <c r="G41" s="84"/>
      <c r="H41" s="84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4"/>
      <c r="W41" s="84"/>
      <c r="X41" s="84"/>
      <c r="Y41" s="84"/>
      <c r="Z41" s="84"/>
      <c r="AA41" s="84"/>
      <c r="AB41" s="84"/>
      <c r="AC41" s="84"/>
      <c r="AD41" s="84"/>
      <c r="AE41" s="84"/>
      <c r="AF41" s="84"/>
      <c r="AG41" s="84"/>
    </row>
    <row r="42" spans="2:33" ht="15" thickBot="1" x14ac:dyDescent="0.4">
      <c r="B42" t="s">
        <v>1</v>
      </c>
      <c r="C42" s="80"/>
      <c r="D42" s="363">
        <f>D25*$D$8*'Premissas Gerais'!$G$24/1000</f>
        <v>563.15022599999998</v>
      </c>
      <c r="E42" s="363">
        <f>E25*$D$8*'Premissas Gerais'!$G$24/1000</f>
        <v>559.95293100000004</v>
      </c>
      <c r="F42" s="363">
        <f>F25*$D$8*'Premissas Gerais'!$G$24/1000</f>
        <v>556.7556360000001</v>
      </c>
      <c r="G42" s="363">
        <f>G25*$D$8*'Premissas Gerais'!$G$24/1000</f>
        <v>553.55834100000004</v>
      </c>
      <c r="H42" s="363">
        <f>H25*$D$8*'Premissas Gerais'!$G$24/1000</f>
        <v>550.36104599999999</v>
      </c>
      <c r="I42" s="363">
        <f>I25*$D$8*'Premissas Gerais'!$G$24/1000</f>
        <v>547.16375100000005</v>
      </c>
      <c r="J42" s="363">
        <f>J25*$D$8*'Premissas Gerais'!$G$24/1000</f>
        <v>543.11384400000009</v>
      </c>
      <c r="K42" s="363">
        <f>K25*$D$8*'Premissas Gerais'!$G$24/1000</f>
        <v>539.06393700000001</v>
      </c>
      <c r="L42" s="363">
        <f>L25*$D$8*'Premissas Gerais'!$G$24/1000</f>
        <v>535.01403000000005</v>
      </c>
      <c r="M42" s="363">
        <f>M25*$D$8*'Premissas Gerais'!$G$24/1000</f>
        <v>530.96412299999997</v>
      </c>
      <c r="N42" s="363">
        <f>N25*$D$8*'Premissas Gerais'!$G$24/1000</f>
        <v>527.34052199999996</v>
      </c>
      <c r="O42" s="363">
        <f>O25*$D$8*'Premissas Gerais'!$G$24/1000</f>
        <v>522.65115600000001</v>
      </c>
      <c r="P42" s="363">
        <f>P25*$D$8*'Premissas Gerais'!$G$24/1000</f>
        <v>517.96179000000006</v>
      </c>
      <c r="Q42" s="363">
        <f>Q25*$D$8*'Premissas Gerais'!$G$24/1000</f>
        <v>513.272424</v>
      </c>
      <c r="R42" s="363">
        <f>R25*$D$8*'Premissas Gerais'!$G$24/1000</f>
        <v>508.58305800000005</v>
      </c>
      <c r="S42" s="363">
        <f>S25*$D$8*'Premissas Gerais'!$G$24/1000</f>
        <v>504.10684500000002</v>
      </c>
      <c r="T42" s="363">
        <f>T25*$D$8*'Premissas Gerais'!$G$24/1000</f>
        <v>499.20432599999998</v>
      </c>
      <c r="U42" s="363">
        <f>U25*$D$8*'Premissas Gerais'!$G$24/1000</f>
        <v>494.30180700000005</v>
      </c>
      <c r="V42" s="363">
        <f>V25*$D$8*'Premissas Gerais'!$G$24/1000</f>
        <v>489.39928800000001</v>
      </c>
      <c r="W42" s="363">
        <f>W25*$D$8*'Premissas Gerais'!$G$24/1000</f>
        <v>484.49676900000003</v>
      </c>
      <c r="X42" s="363">
        <f>X25*$D$8*'Premissas Gerais'!$G$24/1000</f>
        <v>479.16794400000003</v>
      </c>
      <c r="Y42" s="363">
        <f>Y25*$D$8*'Premissas Gerais'!$G$24/1000</f>
        <v>474.26542500000005</v>
      </c>
      <c r="Z42" s="363">
        <f>Z25*$D$8*'Premissas Gerais'!$G$24/1000</f>
        <v>469.36290600000001</v>
      </c>
      <c r="AA42" s="363">
        <f>AA25*$D$8*'Premissas Gerais'!$G$24/1000</f>
        <v>464.46038700000003</v>
      </c>
      <c r="AB42" s="363">
        <f>AB25*$D$8*'Premissas Gerais'!$G$24/1000</f>
        <v>459.55786800000004</v>
      </c>
      <c r="AC42" s="363">
        <f>AC25*$D$8*'Premissas Gerais'!$G$24/1000</f>
        <v>454.65534900000006</v>
      </c>
      <c r="AD42" s="363">
        <f>AD25*$D$8*'Premissas Gerais'!$G$24/1000</f>
        <v>449.75283000000002</v>
      </c>
      <c r="AE42" s="363">
        <f>AE25*$D$8*'Premissas Gerais'!$G$24/1000</f>
        <v>444.85031100000003</v>
      </c>
      <c r="AF42" s="363">
        <f>AF25*$D$8*'Premissas Gerais'!$G$24/1000</f>
        <v>439.94779199999999</v>
      </c>
      <c r="AG42" s="363">
        <f>AG25*$D$8*'Premissas Gerais'!$G$24/1000</f>
        <v>435.04527300000001</v>
      </c>
    </row>
    <row r="43" spans="2:33" ht="15" thickBot="1" x14ac:dyDescent="0.4">
      <c r="B43" t="s">
        <v>2</v>
      </c>
      <c r="C43" s="80"/>
      <c r="D43" s="363">
        <f>D26*$D$9*'Premissas Gerais'!$G$24/1000</f>
        <v>6589.334844</v>
      </c>
      <c r="E43" s="363">
        <f>E26*$D$9*'Premissas Gerais'!$G$24/1000</f>
        <v>6593.0435809999999</v>
      </c>
      <c r="F43" s="363">
        <f>F26*$D$9*'Premissas Gerais'!$G$24/1000</f>
        <v>6596.7523179999998</v>
      </c>
      <c r="G43" s="363">
        <f>G26*$D$9*'Premissas Gerais'!$G$24/1000</f>
        <v>6600.4610549999989</v>
      </c>
      <c r="H43" s="363">
        <f>H26*$D$9*'Premissas Gerais'!$G$24/1000</f>
        <v>6604.1697919999997</v>
      </c>
      <c r="I43" s="363">
        <f>I26*$D$9*'Premissas Gerais'!$G$24/1000</f>
        <v>6608.3148509999992</v>
      </c>
      <c r="J43" s="363">
        <f>J26*$D$9*'Premissas Gerais'!$G$24/1000</f>
        <v>6598.4976059999999</v>
      </c>
      <c r="K43" s="363">
        <f>K26*$D$9*'Premissas Gerais'!$G$24/1000</f>
        <v>6588.6803609999997</v>
      </c>
      <c r="L43" s="363">
        <f>L26*$D$9*'Premissas Gerais'!$G$24/1000</f>
        <v>6578.8631160000004</v>
      </c>
      <c r="M43" s="363">
        <f>M26*$D$9*'Premissas Gerais'!$G$24/1000</f>
        <v>6569.0458709999994</v>
      </c>
      <c r="N43" s="363">
        <f>N26*$D$9*'Premissas Gerais'!$G$24/1000</f>
        <v>6559.2286259999992</v>
      </c>
      <c r="O43" s="363">
        <f>O26*$D$9*'Premissas Gerais'!$G$24/1000</f>
        <v>6540.2486189999991</v>
      </c>
      <c r="P43" s="363">
        <f>P26*$D$9*'Premissas Gerais'!$G$24/1000</f>
        <v>6521.2686119999998</v>
      </c>
      <c r="Q43" s="363">
        <f>Q26*$D$9*'Premissas Gerais'!$G$24/1000</f>
        <v>6502.2886049999997</v>
      </c>
      <c r="R43" s="363">
        <f>R26*$D$9*'Premissas Gerais'!$G$24/1000</f>
        <v>6483.3085980000005</v>
      </c>
      <c r="S43" s="363">
        <f>S26*$D$9*'Premissas Gerais'!$G$24/1000</f>
        <v>6463.892268999999</v>
      </c>
      <c r="T43" s="363">
        <f>T26*$D$9*'Premissas Gerais'!$G$24/1000</f>
        <v>6436.622143999999</v>
      </c>
      <c r="U43" s="363">
        <f>U26*$D$9*'Premissas Gerais'!$G$24/1000</f>
        <v>6409.352018999999</v>
      </c>
      <c r="V43" s="363">
        <f>V26*$D$9*'Premissas Gerais'!$G$24/1000</f>
        <v>6382.081893999999</v>
      </c>
      <c r="W43" s="363">
        <f>W26*$D$9*'Premissas Gerais'!$G$24/1000</f>
        <v>6354.811768999999</v>
      </c>
      <c r="X43" s="363">
        <f>X26*$D$9*'Premissas Gerais'!$G$24/1000</f>
        <v>6327.7598049999988</v>
      </c>
      <c r="Y43" s="363">
        <f>Y26*$D$9*'Premissas Gerais'!$G$24/1000</f>
        <v>6300.4896799999988</v>
      </c>
      <c r="Z43" s="363">
        <f>Z26*$D$9*'Premissas Gerais'!$G$24/1000</f>
        <v>6273.2195549999988</v>
      </c>
      <c r="AA43" s="363">
        <f>AA26*$D$9*'Premissas Gerais'!$G$24/1000</f>
        <v>6245.9494299999988</v>
      </c>
      <c r="AB43" s="363">
        <f>AB26*$D$9*'Premissas Gerais'!$G$24/1000</f>
        <v>6218.6793049999987</v>
      </c>
      <c r="AC43" s="363">
        <f>AC26*$D$9*'Premissas Gerais'!$G$24/1000</f>
        <v>6191.4091799999987</v>
      </c>
      <c r="AD43" s="363">
        <f>AD26*$D$9*'Premissas Gerais'!$G$24/1000</f>
        <v>6164.1390549999987</v>
      </c>
      <c r="AE43" s="363">
        <f>AE26*$D$9*'Premissas Gerais'!$G$24/1000</f>
        <v>6136.8689299999987</v>
      </c>
      <c r="AF43" s="363">
        <f>AF26*$D$9*'Premissas Gerais'!$G$24/1000</f>
        <v>6109.5988049999987</v>
      </c>
      <c r="AG43" s="363">
        <f>AG26*$D$9*'Premissas Gerais'!$G$24/1000</f>
        <v>6082.3286799999987</v>
      </c>
    </row>
    <row r="44" spans="2:33" ht="15" thickBot="1" x14ac:dyDescent="0.4">
      <c r="B44" t="s">
        <v>3</v>
      </c>
      <c r="C44" s="80"/>
      <c r="D44" s="363">
        <f>D27*$D$10*'Premissas Gerais'!$G$24/1000</f>
        <v>777.15583800000013</v>
      </c>
      <c r="E44" s="363">
        <f>E27*$D$10*'Premissas Gerais'!$G$24/1000</f>
        <v>778.00845000000004</v>
      </c>
      <c r="F44" s="363">
        <f>F27*$D$10*'Premissas Gerais'!$G$24/1000</f>
        <v>778.86106200000006</v>
      </c>
      <c r="G44" s="363">
        <f>G27*$D$10*'Premissas Gerais'!$G$24/1000</f>
        <v>779.71367399999997</v>
      </c>
      <c r="H44" s="363">
        <f>H27*$D$10*'Premissas Gerais'!$G$24/1000</f>
        <v>780.5662860000001</v>
      </c>
      <c r="I44" s="363">
        <f>I27*$D$10*'Premissas Gerais'!$G$24/1000</f>
        <v>781.84520400000019</v>
      </c>
      <c r="J44" s="363">
        <f>J27*$D$10*'Premissas Gerais'!$G$24/1000</f>
        <v>781.63205100000005</v>
      </c>
      <c r="K44" s="363">
        <f>K27*$D$10*'Premissas Gerais'!$G$24/1000</f>
        <v>781.41889800000001</v>
      </c>
      <c r="L44" s="363">
        <f>L27*$D$10*'Premissas Gerais'!$G$24/1000</f>
        <v>781.20574500000009</v>
      </c>
      <c r="M44" s="363">
        <f>M27*$D$10*'Premissas Gerais'!$G$24/1000</f>
        <v>780.99259200000006</v>
      </c>
      <c r="N44" s="363">
        <f>N27*$D$10*'Premissas Gerais'!$G$24/1000</f>
        <v>780.35313300000007</v>
      </c>
      <c r="O44" s="363">
        <f>O27*$D$10*'Premissas Gerais'!$G$24/1000</f>
        <v>778.64790900000014</v>
      </c>
      <c r="P44" s="363">
        <f>P27*$D$10*'Premissas Gerais'!$G$24/1000</f>
        <v>776.9426850000001</v>
      </c>
      <c r="Q44" s="363">
        <f>Q27*$D$10*'Premissas Gerais'!$G$24/1000</f>
        <v>775.23746100000005</v>
      </c>
      <c r="R44" s="363">
        <f>R27*$D$10*'Premissas Gerais'!$G$24/1000</f>
        <v>773.53223700000012</v>
      </c>
      <c r="S44" s="363">
        <f>S27*$D$10*'Premissas Gerais'!$G$24/1000</f>
        <v>772.04016600000011</v>
      </c>
      <c r="T44" s="363">
        <f>T27*$D$10*'Premissas Gerais'!$G$24/1000</f>
        <v>769.48233000000005</v>
      </c>
      <c r="U44" s="363">
        <f>U27*$D$10*'Premissas Gerais'!$G$24/1000</f>
        <v>766.9244940000001</v>
      </c>
      <c r="V44" s="363">
        <f>V27*$D$10*'Premissas Gerais'!$G$24/1000</f>
        <v>764.36665800000003</v>
      </c>
      <c r="W44" s="363">
        <f>W27*$D$10*'Premissas Gerais'!$G$24/1000</f>
        <v>761.80882200000008</v>
      </c>
      <c r="X44" s="363">
        <f>X27*$D$10*'Premissas Gerais'!$G$24/1000</f>
        <v>759.25098600000001</v>
      </c>
      <c r="Y44" s="363">
        <f>Y27*$D$10*'Premissas Gerais'!$G$24/1000</f>
        <v>756.69315000000006</v>
      </c>
      <c r="Z44" s="363">
        <f>Z27*$D$10*'Premissas Gerais'!$G$24/1000</f>
        <v>754.13531399999999</v>
      </c>
      <c r="AA44" s="363">
        <f>AA27*$D$10*'Premissas Gerais'!$G$24/1000</f>
        <v>751.57747800000004</v>
      </c>
      <c r="AB44" s="363">
        <f>AB27*$D$10*'Premissas Gerais'!$G$24/1000</f>
        <v>749.01964199999998</v>
      </c>
      <c r="AC44" s="363">
        <f>AC27*$D$10*'Premissas Gerais'!$G$24/1000</f>
        <v>746.46180600000002</v>
      </c>
      <c r="AD44" s="363">
        <f>AD27*$D$10*'Premissas Gerais'!$G$24/1000</f>
        <v>743.90396999999996</v>
      </c>
      <c r="AE44" s="363">
        <f>AE27*$D$10*'Premissas Gerais'!$G$24/1000</f>
        <v>741.34613400000001</v>
      </c>
      <c r="AF44" s="363">
        <f>AF27*$D$10*'Premissas Gerais'!$G$24/1000</f>
        <v>738.78829799999994</v>
      </c>
      <c r="AG44" s="363">
        <f>AG27*$D$10*'Premissas Gerais'!$G$24/1000</f>
        <v>736.23046199999999</v>
      </c>
    </row>
    <row r="45" spans="2:33" ht="15" thickBot="1" x14ac:dyDescent="0.4">
      <c r="B45" t="s">
        <v>4</v>
      </c>
      <c r="C45" s="80"/>
      <c r="D45" s="363">
        <f>D28*$D$11*'Premissas Gerais'!$G$24/1000</f>
        <v>1856.851842</v>
      </c>
      <c r="E45" s="363">
        <f>E28*$D$11*'Premissas Gerais'!$G$24/1000</f>
        <v>1874.0468100000001</v>
      </c>
      <c r="F45" s="363">
        <f>F28*$D$11*'Premissas Gerais'!$G$24/1000</f>
        <v>1891.2417780000001</v>
      </c>
      <c r="G45" s="363">
        <f>G28*$D$11*'Premissas Gerais'!$G$24/1000</f>
        <v>1908.4367460000001</v>
      </c>
      <c r="H45" s="363">
        <f>H28*$D$11*'Premissas Gerais'!$G$24/1000</f>
        <v>1925.6317139999999</v>
      </c>
      <c r="I45" s="363">
        <f>I28*$D$11*'Premissas Gerais'!$G$24/1000</f>
        <v>1942.6219799999999</v>
      </c>
      <c r="J45" s="363">
        <f>J28*$D$11*'Premissas Gerais'!$G$24/1000</f>
        <v>1957.5652259999999</v>
      </c>
      <c r="K45" s="363">
        <f>K28*$D$11*'Premissas Gerais'!$G$24/1000</f>
        <v>1972.508472</v>
      </c>
      <c r="L45" s="363">
        <f>L28*$D$11*'Premissas Gerais'!$G$24/1000</f>
        <v>1987.451718</v>
      </c>
      <c r="M45" s="363">
        <f>M28*$D$11*'Premissas Gerais'!$G$24/1000</f>
        <v>2002.3949639999998</v>
      </c>
      <c r="N45" s="363">
        <f>N28*$D$11*'Premissas Gerais'!$G$24/1000</f>
        <v>2017.1335080000001</v>
      </c>
      <c r="O45" s="363">
        <f>O28*$D$11*'Premissas Gerais'!$G$24/1000</f>
        <v>2029.0062240000002</v>
      </c>
      <c r="P45" s="363">
        <f>P28*$D$11*'Premissas Gerais'!$G$24/1000</f>
        <v>2040.8789400000001</v>
      </c>
      <c r="Q45" s="363">
        <f>Q28*$D$11*'Premissas Gerais'!$G$24/1000</f>
        <v>2052.7516559999999</v>
      </c>
      <c r="R45" s="363">
        <f>R28*$D$11*'Premissas Gerais'!$G$24/1000</f>
        <v>2064.6243720000002</v>
      </c>
      <c r="S45" s="363">
        <f>S28*$D$11*'Premissas Gerais'!$G$24/1000</f>
        <v>2076.9064920000001</v>
      </c>
      <c r="T45" s="363">
        <f>T28*$D$11*'Premissas Gerais'!$G$24/1000</f>
        <v>2085.503976</v>
      </c>
      <c r="U45" s="363">
        <f>U28*$D$11*'Premissas Gerais'!$G$24/1000</f>
        <v>2094.1014599999999</v>
      </c>
      <c r="V45" s="363">
        <f>V28*$D$11*'Premissas Gerais'!$G$24/1000</f>
        <v>2102.6989440000002</v>
      </c>
      <c r="W45" s="363">
        <f>W28*$D$11*'Premissas Gerais'!$G$24/1000</f>
        <v>2111.2964280000001</v>
      </c>
      <c r="X45" s="363">
        <f>X28*$D$11*'Premissas Gerais'!$G$24/1000</f>
        <v>2119.4845080000005</v>
      </c>
      <c r="Y45" s="363">
        <f>Y28*$D$11*'Premissas Gerais'!$G$24/1000</f>
        <v>2128.0819919999999</v>
      </c>
      <c r="Z45" s="363">
        <f>Z28*$D$11*'Premissas Gerais'!$G$24/1000</f>
        <v>2136.6794760000002</v>
      </c>
      <c r="AA45" s="363">
        <f>AA28*$D$11*'Premissas Gerais'!$G$24/1000</f>
        <v>2145.2769600000001</v>
      </c>
      <c r="AB45" s="363">
        <f>AB28*$D$11*'Premissas Gerais'!$G$24/1000</f>
        <v>2153.874444</v>
      </c>
      <c r="AC45" s="363">
        <f>AC28*$D$11*'Premissas Gerais'!$G$24/1000</f>
        <v>2162.4719280000004</v>
      </c>
      <c r="AD45" s="363">
        <f>AD28*$D$11*'Premissas Gerais'!$G$24/1000</f>
        <v>2171.0694119999998</v>
      </c>
      <c r="AE45" s="363">
        <f>AE28*$D$11*'Premissas Gerais'!$G$24/1000</f>
        <v>2179.6668960000002</v>
      </c>
      <c r="AF45" s="363">
        <f>AF28*$D$11*'Premissas Gerais'!$G$24/1000</f>
        <v>2188.2643800000001</v>
      </c>
      <c r="AG45" s="363">
        <f>AG28*$D$11*'Premissas Gerais'!$G$24/1000</f>
        <v>2196.861864</v>
      </c>
    </row>
    <row r="46" spans="2:33" ht="15" thickBot="1" x14ac:dyDescent="0.4">
      <c r="B46" t="s">
        <v>5</v>
      </c>
      <c r="C46" s="80"/>
      <c r="D46" s="363">
        <f>D29*$D$12*'Premissas Gerais'!$G$24/1000</f>
        <v>4322.6420539999999</v>
      </c>
      <c r="E46" s="363">
        <f>E29*$D$12*'Premissas Gerais'!$G$24/1000</f>
        <v>4341.1857390000005</v>
      </c>
      <c r="F46" s="363">
        <f>F29*$D$12*'Premissas Gerais'!$G$24/1000</f>
        <v>4359.7294239999992</v>
      </c>
      <c r="G46" s="363">
        <f>G29*$D$12*'Premissas Gerais'!$G$24/1000</f>
        <v>4378.2731089999988</v>
      </c>
      <c r="H46" s="363">
        <f>H29*$D$12*'Premissas Gerais'!$G$24/1000</f>
        <v>4396.8167939999994</v>
      </c>
      <c r="I46" s="363">
        <f>I29*$D$12*'Premissas Gerais'!$G$24/1000</f>
        <v>4415.1423180000002</v>
      </c>
      <c r="J46" s="363">
        <f>J29*$D$12*'Premissas Gerais'!$G$24/1000</f>
        <v>4425.8322069999995</v>
      </c>
      <c r="K46" s="363">
        <f>K29*$D$12*'Premissas Gerais'!$G$24/1000</f>
        <v>4436.5220959999997</v>
      </c>
      <c r="L46" s="363">
        <f>L29*$D$12*'Premissas Gerais'!$G$24/1000</f>
        <v>4447.211984999999</v>
      </c>
      <c r="M46" s="363">
        <f>M29*$D$12*'Premissas Gerais'!$G$24/1000</f>
        <v>4457.9018740000001</v>
      </c>
      <c r="N46" s="363">
        <f>N29*$D$12*'Premissas Gerais'!$G$24/1000</f>
        <v>4469.028084999999</v>
      </c>
      <c r="O46" s="363">
        <f>O29*$D$12*'Premissas Gerais'!$G$24/1000</f>
        <v>4473.1731439999994</v>
      </c>
      <c r="P46" s="363">
        <f>P29*$D$12*'Premissas Gerais'!$G$24/1000</f>
        <v>4477.3182029999998</v>
      </c>
      <c r="Q46" s="363">
        <f>Q29*$D$12*'Premissas Gerais'!$G$24/1000</f>
        <v>4481.4632620000002</v>
      </c>
      <c r="R46" s="363">
        <f>R29*$D$12*'Premissas Gerais'!$G$24/1000</f>
        <v>4485.6083209999997</v>
      </c>
      <c r="S46" s="363">
        <f>S29*$D$12*'Premissas Gerais'!$G$24/1000</f>
        <v>4490.1897019999997</v>
      </c>
      <c r="T46" s="363">
        <f>T29*$D$12*'Premissas Gerais'!$G$24/1000</f>
        <v>4487.5717699999996</v>
      </c>
      <c r="U46" s="363">
        <f>U29*$D$12*'Premissas Gerais'!$G$24/1000</f>
        <v>4484.9538379999995</v>
      </c>
      <c r="V46" s="363">
        <f>V29*$D$12*'Premissas Gerais'!$G$24/1000</f>
        <v>4482.3359060000003</v>
      </c>
      <c r="W46" s="363">
        <f>W29*$D$12*'Premissas Gerais'!$G$24/1000</f>
        <v>4479.7179739999992</v>
      </c>
      <c r="X46" s="363">
        <f>X29*$D$12*'Premissas Gerais'!$G$24/1000</f>
        <v>4477.1000419999991</v>
      </c>
      <c r="Y46" s="363">
        <f>Y29*$D$12*'Premissas Gerais'!$G$24/1000</f>
        <v>4474.482109999999</v>
      </c>
      <c r="Z46" s="363">
        <f>Z29*$D$12*'Premissas Gerais'!$G$24/1000</f>
        <v>4471.8641780000007</v>
      </c>
      <c r="AA46" s="363">
        <f>AA29*$D$12*'Premissas Gerais'!$G$24/1000</f>
        <v>4469.2462459999997</v>
      </c>
      <c r="AB46" s="363">
        <f>AB29*$D$12*'Premissas Gerais'!$G$24/1000</f>
        <v>4466.6283139999996</v>
      </c>
      <c r="AC46" s="363">
        <f>AC29*$D$12*'Premissas Gerais'!$G$24/1000</f>
        <v>4464.0103820000004</v>
      </c>
      <c r="AD46" s="363">
        <f>AD29*$D$12*'Premissas Gerais'!$G$24/1000</f>
        <v>4461.3924500000003</v>
      </c>
      <c r="AE46" s="363">
        <f>AE29*$D$12*'Premissas Gerais'!$G$24/1000</f>
        <v>4458.7745179999993</v>
      </c>
      <c r="AF46" s="363">
        <f>AF29*$D$12*'Premissas Gerais'!$G$24/1000</f>
        <v>4456.1565859999992</v>
      </c>
      <c r="AG46" s="363">
        <f>AG29*$D$12*'Premissas Gerais'!$G$24/1000</f>
        <v>4453.538654</v>
      </c>
    </row>
    <row r="47" spans="2:33" ht="15" thickBot="1" x14ac:dyDescent="0.4">
      <c r="B47" t="s">
        <v>6</v>
      </c>
      <c r="C47" s="80"/>
      <c r="D47" s="363">
        <f>D30*$D$13*'Premissas Gerais'!$G$24/1000</f>
        <v>46422.782800000001</v>
      </c>
      <c r="E47" s="363">
        <f>E30*$D$13*'Premissas Gerais'!$G$24/1000</f>
        <v>46672.312660000003</v>
      </c>
      <c r="F47" s="363">
        <f>F30*$D$13*'Premissas Gerais'!$G$24/1000</f>
        <v>46921.842520000006</v>
      </c>
      <c r="G47" s="363">
        <f>G30*$D$13*'Premissas Gerais'!$G$24/1000</f>
        <v>47171.372380000001</v>
      </c>
      <c r="H47" s="363">
        <f>H30*$D$13*'Premissas Gerais'!$G$24/1000</f>
        <v>47420.902240000003</v>
      </c>
      <c r="I47" s="363">
        <f>I30*$D$13*'Premissas Gerais'!$G$24/1000</f>
        <v>47670.162920000002</v>
      </c>
      <c r="J47" s="363">
        <f>J30*$D$13*'Premissas Gerais'!$G$24/1000</f>
        <v>47920.231140000004</v>
      </c>
      <c r="K47" s="363">
        <f>K30*$D$13*'Premissas Gerais'!$G$24/1000</f>
        <v>48170.299359999997</v>
      </c>
      <c r="L47" s="363">
        <f>L30*$D$13*'Premissas Gerais'!$G$24/1000</f>
        <v>48420.367579999998</v>
      </c>
      <c r="M47" s="363">
        <f>M30*$D$13*'Premissas Gerais'!$G$24/1000</f>
        <v>48670.435800000007</v>
      </c>
      <c r="N47" s="363">
        <f>N30*$D$13*'Premissas Gerais'!$G$24/1000</f>
        <v>48919.965660000002</v>
      </c>
      <c r="O47" s="363">
        <f>O30*$D$13*'Premissas Gerais'!$G$24/1000</f>
        <v>49088.203160000005</v>
      </c>
      <c r="P47" s="363">
        <f>P30*$D$13*'Premissas Gerais'!$G$24/1000</f>
        <v>49256.440660000007</v>
      </c>
      <c r="Q47" s="363">
        <f>Q30*$D$13*'Premissas Gerais'!$G$24/1000</f>
        <v>49424.678160000003</v>
      </c>
      <c r="R47" s="363">
        <f>R30*$D$13*'Premissas Gerais'!$G$24/1000</f>
        <v>49592.915660000006</v>
      </c>
      <c r="S47" s="363">
        <f>S30*$D$13*'Premissas Gerais'!$G$24/1000</f>
        <v>49760.883979999999</v>
      </c>
      <c r="T47" s="363">
        <f>T30*$D$13*'Premissas Gerais'!$G$24/1000</f>
        <v>49862.364839999995</v>
      </c>
      <c r="U47" s="363">
        <f>U30*$D$13*'Premissas Gerais'!$G$24/1000</f>
        <v>49963.845699999998</v>
      </c>
      <c r="V47" s="363">
        <f>V30*$D$13*'Premissas Gerais'!$G$24/1000</f>
        <v>50065.326559999994</v>
      </c>
      <c r="W47" s="363">
        <f>W30*$D$13*'Premissas Gerais'!$G$24/1000</f>
        <v>50166.807420000005</v>
      </c>
      <c r="X47" s="363">
        <f>X30*$D$13*'Premissas Gerais'!$G$24/1000</f>
        <v>50268.019100000005</v>
      </c>
      <c r="Y47" s="363">
        <f>Y30*$D$13*'Premissas Gerais'!$G$24/1000</f>
        <v>50369.499959999994</v>
      </c>
      <c r="Z47" s="363">
        <f>Z30*$D$13*'Premissas Gerais'!$G$24/1000</f>
        <v>50470.98081999999</v>
      </c>
      <c r="AA47" s="363">
        <f>AA30*$D$13*'Premissas Gerais'!$G$24/1000</f>
        <v>50572.461679999993</v>
      </c>
      <c r="AB47" s="363">
        <f>AB30*$D$13*'Premissas Gerais'!$G$24/1000</f>
        <v>50673.942539999996</v>
      </c>
      <c r="AC47" s="363">
        <f>AC30*$D$13*'Premissas Gerais'!$G$24/1000</f>
        <v>50775.4234</v>
      </c>
      <c r="AD47" s="363">
        <f>AD30*$D$13*'Premissas Gerais'!$G$24/1000</f>
        <v>50876.904259999996</v>
      </c>
      <c r="AE47" s="363">
        <f>AE30*$D$13*'Premissas Gerais'!$G$24/1000</f>
        <v>50978.385119999999</v>
      </c>
      <c r="AF47" s="363">
        <f>AF30*$D$13*'Premissas Gerais'!$G$24/1000</f>
        <v>51079.865979999995</v>
      </c>
      <c r="AG47" s="363">
        <f>AG30*$D$13*'Premissas Gerais'!$G$24/1000</f>
        <v>51181.346839999998</v>
      </c>
    </row>
    <row r="48" spans="2:33" ht="15" thickBot="1" x14ac:dyDescent="0.4">
      <c r="B48" t="s">
        <v>7</v>
      </c>
      <c r="C48" s="80"/>
      <c r="D48" s="363">
        <f>D31*$D$14*'Premissas Gerais'!$G$24/1000</f>
        <v>4169.4930319999994</v>
      </c>
      <c r="E48" s="363">
        <f>E31*$D$14*'Premissas Gerais'!$G$24/1000</f>
        <v>4158.3668209999996</v>
      </c>
      <c r="F48" s="363">
        <f>F31*$D$14*'Premissas Gerais'!$G$24/1000</f>
        <v>4147.2406099999998</v>
      </c>
      <c r="G48" s="363">
        <f>G31*$D$14*'Premissas Gerais'!$G$24/1000</f>
        <v>4136.114399</v>
      </c>
      <c r="H48" s="363">
        <f>H31*$D$14*'Premissas Gerais'!$G$24/1000</f>
        <v>4124.9881879999994</v>
      </c>
      <c r="I48" s="363">
        <f>I31*$D$14*'Premissas Gerais'!$G$24/1000</f>
        <v>4113.425655</v>
      </c>
      <c r="J48" s="363">
        <f>J31*$D$14*'Premissas Gerais'!$G$24/1000</f>
        <v>4094.0093259999994</v>
      </c>
      <c r="K48" s="363">
        <f>K31*$D$14*'Premissas Gerais'!$G$24/1000</f>
        <v>4074.5929969999993</v>
      </c>
      <c r="L48" s="363">
        <f>L31*$D$14*'Premissas Gerais'!$G$24/1000</f>
        <v>4055.1766679999996</v>
      </c>
      <c r="M48" s="363">
        <f>M31*$D$14*'Premissas Gerais'!$G$24/1000</f>
        <v>4035.7603389999999</v>
      </c>
      <c r="N48" s="363">
        <f>N31*$D$14*'Premissas Gerais'!$G$24/1000</f>
        <v>4016.1258489999996</v>
      </c>
      <c r="O48" s="363">
        <f>O31*$D$14*'Premissas Gerais'!$G$24/1000</f>
        <v>3989.5102069999994</v>
      </c>
      <c r="P48" s="363">
        <f>P31*$D$14*'Premissas Gerais'!$G$24/1000</f>
        <v>3962.8945650000001</v>
      </c>
      <c r="Q48" s="363">
        <f>Q31*$D$14*'Premissas Gerais'!$G$24/1000</f>
        <v>3936.2789229999998</v>
      </c>
      <c r="R48" s="363">
        <f>R31*$D$14*'Premissas Gerais'!$G$24/1000</f>
        <v>3909.6632810000001</v>
      </c>
      <c r="S48" s="363">
        <f>S31*$D$14*'Premissas Gerais'!$G$24/1000</f>
        <v>3882.6113169999999</v>
      </c>
      <c r="T48" s="363">
        <f>T31*$D$14*'Premissas Gerais'!$G$24/1000</f>
        <v>3853.814065</v>
      </c>
      <c r="U48" s="363">
        <f>U31*$D$14*'Premissas Gerais'!$G$24/1000</f>
        <v>3825.0168129999997</v>
      </c>
      <c r="V48" s="363">
        <f>V31*$D$14*'Premissas Gerais'!$G$24/1000</f>
        <v>3796.2195609999999</v>
      </c>
      <c r="W48" s="363">
        <f>W31*$D$14*'Premissas Gerais'!$G$24/1000</f>
        <v>3767.4223089999996</v>
      </c>
      <c r="X48" s="363">
        <f>X31*$D$14*'Premissas Gerais'!$G$24/1000</f>
        <v>3739.0613789999998</v>
      </c>
      <c r="Y48" s="363">
        <f>Y31*$D$14*'Premissas Gerais'!$G$24/1000</f>
        <v>3710.2641269999999</v>
      </c>
      <c r="Z48" s="363">
        <f>Z31*$D$14*'Premissas Gerais'!$G$24/1000</f>
        <v>3681.4668750000001</v>
      </c>
      <c r="AA48" s="363">
        <f>AA31*$D$14*'Premissas Gerais'!$G$24/1000</f>
        <v>3652.6696229999998</v>
      </c>
      <c r="AB48" s="363">
        <f>AB31*$D$14*'Premissas Gerais'!$G$24/1000</f>
        <v>3623.8723709999995</v>
      </c>
      <c r="AC48" s="363">
        <f>AC31*$D$14*'Premissas Gerais'!$G$24/1000</f>
        <v>3595.0751190000001</v>
      </c>
      <c r="AD48" s="363">
        <f>AD31*$D$14*'Premissas Gerais'!$G$24/1000</f>
        <v>3566.2778669999998</v>
      </c>
      <c r="AE48" s="363">
        <f>AE31*$D$14*'Premissas Gerais'!$G$24/1000</f>
        <v>3537.4806149999999</v>
      </c>
      <c r="AF48" s="363">
        <f>AF31*$D$14*'Premissas Gerais'!$G$24/1000</f>
        <v>3508.6833629999996</v>
      </c>
      <c r="AG48" s="363">
        <f>AG31*$D$14*'Premissas Gerais'!$G$24/1000</f>
        <v>3479.8861110000003</v>
      </c>
    </row>
    <row r="49" spans="2:33" ht="15" thickBot="1" x14ac:dyDescent="0.4">
      <c r="B49" t="s">
        <v>8</v>
      </c>
      <c r="C49" s="80"/>
      <c r="D49" s="363">
        <f>D32*$D$15*'Premissas Gerais'!$G$24/1000</f>
        <v>3371.2419330000002</v>
      </c>
      <c r="E49" s="363">
        <f>E32*$D$15*'Premissas Gerais'!$G$24/1000</f>
        <v>3400.4755069999997</v>
      </c>
      <c r="F49" s="363">
        <f>F32*$D$15*'Premissas Gerais'!$G$24/1000</f>
        <v>3429.7090809999995</v>
      </c>
      <c r="G49" s="363">
        <f>G32*$D$15*'Premissas Gerais'!$G$24/1000</f>
        <v>3458.9426549999998</v>
      </c>
      <c r="H49" s="363">
        <f>H32*$D$15*'Premissas Gerais'!$G$24/1000</f>
        <v>3488.1762289999997</v>
      </c>
      <c r="I49" s="363">
        <f>I32*$D$15*'Premissas Gerais'!$G$24/1000</f>
        <v>3516.9734809999995</v>
      </c>
      <c r="J49" s="363">
        <f>J32*$D$15*'Premissas Gerais'!$G$24/1000</f>
        <v>3540.0985469999996</v>
      </c>
      <c r="K49" s="363">
        <f>K32*$D$15*'Premissas Gerais'!$G$24/1000</f>
        <v>3563.2236129999992</v>
      </c>
      <c r="L49" s="363">
        <f>L32*$D$15*'Premissas Gerais'!$G$24/1000</f>
        <v>3586.3486789999997</v>
      </c>
      <c r="M49" s="363">
        <f>M32*$D$15*'Premissas Gerais'!$G$24/1000</f>
        <v>3609.4737450000002</v>
      </c>
      <c r="N49" s="363">
        <f>N32*$D$15*'Premissas Gerais'!$G$24/1000</f>
        <v>3632.8169720000001</v>
      </c>
      <c r="O49" s="363">
        <f>O32*$D$15*'Premissas Gerais'!$G$24/1000</f>
        <v>3651.3606569999997</v>
      </c>
      <c r="P49" s="363">
        <f>P32*$D$15*'Premissas Gerais'!$G$24/1000</f>
        <v>3669.9043419999998</v>
      </c>
      <c r="Q49" s="363">
        <f>Q32*$D$15*'Premissas Gerais'!$G$24/1000</f>
        <v>3688.4480270000004</v>
      </c>
      <c r="R49" s="363">
        <f>R32*$D$15*'Premissas Gerais'!$G$24/1000</f>
        <v>3706.991712</v>
      </c>
      <c r="S49" s="363">
        <f>S32*$D$15*'Premissas Gerais'!$G$24/1000</f>
        <v>3725.7535580000003</v>
      </c>
      <c r="T49" s="363">
        <f>T32*$D$15*'Premissas Gerais'!$G$24/1000</f>
        <v>3737.7524129999997</v>
      </c>
      <c r="U49" s="363">
        <f>U32*$D$15*'Premissas Gerais'!$G$24/1000</f>
        <v>3749.751268</v>
      </c>
      <c r="V49" s="363">
        <f>V32*$D$15*'Premissas Gerais'!$G$24/1000</f>
        <v>3761.7501229999998</v>
      </c>
      <c r="W49" s="363">
        <f>W32*$D$15*'Premissas Gerais'!$G$24/1000</f>
        <v>3773.7489779999996</v>
      </c>
      <c r="X49" s="363">
        <f>X32*$D$15*'Premissas Gerais'!$G$24/1000</f>
        <v>3785.9659940000001</v>
      </c>
      <c r="Y49" s="363">
        <f>Y32*$D$15*'Premissas Gerais'!$G$24/1000</f>
        <v>3797.9648489999995</v>
      </c>
      <c r="Z49" s="363">
        <f>Z32*$D$15*'Premissas Gerais'!$G$24/1000</f>
        <v>3809.9637039999998</v>
      </c>
      <c r="AA49" s="363">
        <f>AA32*$D$15*'Premissas Gerais'!$G$24/1000</f>
        <v>3821.9625589999996</v>
      </c>
      <c r="AB49" s="363">
        <f>AB32*$D$15*'Premissas Gerais'!$G$24/1000</f>
        <v>3833.9614139999999</v>
      </c>
      <c r="AC49" s="363">
        <f>AC32*$D$15*'Premissas Gerais'!$G$24/1000</f>
        <v>3845.9602689999992</v>
      </c>
      <c r="AD49" s="363">
        <f>AD32*$D$15*'Premissas Gerais'!$G$24/1000</f>
        <v>3857.959124</v>
      </c>
      <c r="AE49" s="363">
        <f>AE32*$D$15*'Premissas Gerais'!$G$24/1000</f>
        <v>3869.9579789999998</v>
      </c>
      <c r="AF49" s="363">
        <f>AF32*$D$15*'Premissas Gerais'!$G$24/1000</f>
        <v>3881.9568339999996</v>
      </c>
      <c r="AG49" s="363">
        <f>AG32*$D$15*'Premissas Gerais'!$G$24/1000</f>
        <v>3893.9556889999999</v>
      </c>
    </row>
    <row r="50" spans="2:33" ht="15" thickBot="1" x14ac:dyDescent="0.4">
      <c r="B50" t="s">
        <v>9</v>
      </c>
      <c r="C50" s="80"/>
      <c r="D50" s="363">
        <f>D33*$D$16*'Premissas Gerais'!$G$24/1000</f>
        <v>2749.0467609999996</v>
      </c>
      <c r="E50" s="363">
        <f>E33*$D$16*'Premissas Gerais'!$G$24/1000</f>
        <v>2773.2626319999999</v>
      </c>
      <c r="F50" s="363">
        <f>F33*$D$16*'Premissas Gerais'!$G$24/1000</f>
        <v>2797.4785029999998</v>
      </c>
      <c r="G50" s="363">
        <f>G33*$D$16*'Premissas Gerais'!$G$24/1000</f>
        <v>2821.6943739999997</v>
      </c>
      <c r="H50" s="363">
        <f>H33*$D$16*'Premissas Gerais'!$G$24/1000</f>
        <v>2845.910245</v>
      </c>
      <c r="I50" s="363">
        <f>I33*$D$16*'Premissas Gerais'!$G$24/1000</f>
        <v>2870.5624379999999</v>
      </c>
      <c r="J50" s="363">
        <f>J33*$D$16*'Premissas Gerais'!$G$24/1000</f>
        <v>2891.0695720000003</v>
      </c>
      <c r="K50" s="363">
        <f>K33*$D$16*'Premissas Gerais'!$G$24/1000</f>
        <v>2911.5767060000003</v>
      </c>
      <c r="L50" s="363">
        <f>L33*$D$16*'Premissas Gerais'!$G$24/1000</f>
        <v>2932.0838399999993</v>
      </c>
      <c r="M50" s="363">
        <f>M33*$D$16*'Premissas Gerais'!$G$24/1000</f>
        <v>2952.5909739999993</v>
      </c>
      <c r="N50" s="363">
        <f>N33*$D$16*'Premissas Gerais'!$G$24/1000</f>
        <v>2972.8799470000004</v>
      </c>
      <c r="O50" s="363">
        <f>O33*$D$16*'Premissas Gerais'!$G$24/1000</f>
        <v>2987.2785730000001</v>
      </c>
      <c r="P50" s="363">
        <f>P33*$D$16*'Premissas Gerais'!$G$24/1000</f>
        <v>3001.6771989999997</v>
      </c>
      <c r="Q50" s="363">
        <f>Q33*$D$16*'Premissas Gerais'!$G$24/1000</f>
        <v>3016.0758249999999</v>
      </c>
      <c r="R50" s="363">
        <f>R33*$D$16*'Premissas Gerais'!$G$24/1000</f>
        <v>3030.474451</v>
      </c>
      <c r="S50" s="363">
        <f>S33*$D$16*'Premissas Gerais'!$G$24/1000</f>
        <v>3045.3093989999998</v>
      </c>
      <c r="T50" s="363">
        <f>T33*$D$16*'Premissas Gerais'!$G$24/1000</f>
        <v>3055.7811269999997</v>
      </c>
      <c r="U50" s="363">
        <f>U33*$D$16*'Premissas Gerais'!$G$24/1000</f>
        <v>3066.2528549999997</v>
      </c>
      <c r="V50" s="363">
        <f>V33*$D$16*'Premissas Gerais'!$G$24/1000</f>
        <v>3076.7245829999997</v>
      </c>
      <c r="W50" s="363">
        <f>W33*$D$16*'Premissas Gerais'!$G$24/1000</f>
        <v>3087.1963109999997</v>
      </c>
      <c r="X50" s="363">
        <f>X33*$D$16*'Premissas Gerais'!$G$24/1000</f>
        <v>3098.1043610000002</v>
      </c>
      <c r="Y50" s="363">
        <f>Y33*$D$16*'Premissas Gerais'!$G$24/1000</f>
        <v>3108.5760890000001</v>
      </c>
      <c r="Z50" s="363">
        <f>Z33*$D$16*'Premissas Gerais'!$G$24/1000</f>
        <v>3119.0478169999997</v>
      </c>
      <c r="AA50" s="363">
        <f>AA33*$D$16*'Premissas Gerais'!$G$24/1000</f>
        <v>3129.5195450000001</v>
      </c>
      <c r="AB50" s="363">
        <f>AB33*$D$16*'Premissas Gerais'!$G$24/1000</f>
        <v>3139.9912729999996</v>
      </c>
      <c r="AC50" s="363">
        <f>AC33*$D$16*'Premissas Gerais'!$G$24/1000</f>
        <v>3150.4630009999996</v>
      </c>
      <c r="AD50" s="363">
        <f>AD33*$D$16*'Premissas Gerais'!$G$24/1000</f>
        <v>3160.9347289999996</v>
      </c>
      <c r="AE50" s="363">
        <f>AE33*$D$16*'Premissas Gerais'!$G$24/1000</f>
        <v>3171.4064569999996</v>
      </c>
      <c r="AF50" s="363">
        <f>AF33*$D$16*'Premissas Gerais'!$G$24/1000</f>
        <v>3181.8781849999996</v>
      </c>
      <c r="AG50" s="363">
        <f>AG33*$D$16*'Premissas Gerais'!$G$24/1000</f>
        <v>3192.3499129999996</v>
      </c>
    </row>
    <row r="51" spans="2:33" x14ac:dyDescent="0.35">
      <c r="C51" s="92"/>
      <c r="D51" s="1010"/>
      <c r="E51" s="1010"/>
      <c r="F51" s="1010"/>
      <c r="G51" s="1010"/>
      <c r="H51" s="1010"/>
      <c r="I51" s="1010"/>
      <c r="J51" s="1010"/>
      <c r="K51" s="1010"/>
      <c r="L51" s="1010"/>
      <c r="M51" s="1010"/>
      <c r="N51" s="1010"/>
      <c r="O51" s="1010"/>
      <c r="P51" s="1010"/>
      <c r="Q51" s="1010"/>
      <c r="R51" s="1010"/>
      <c r="S51" s="1010"/>
      <c r="T51" s="1010"/>
      <c r="U51" s="1010"/>
      <c r="V51" s="1010"/>
      <c r="W51" s="1010"/>
      <c r="X51" s="1010"/>
      <c r="Y51" s="1010"/>
      <c r="Z51" s="1010"/>
      <c r="AA51" s="1010"/>
      <c r="AB51" s="1010"/>
      <c r="AC51" s="1010"/>
      <c r="AD51" s="1010"/>
      <c r="AE51" s="1010"/>
      <c r="AF51" s="1010"/>
      <c r="AG51" s="1010"/>
    </row>
    <row r="52" spans="2:33" x14ac:dyDescent="0.35">
      <c r="B52" s="81" t="s">
        <v>200</v>
      </c>
      <c r="C52" s="85"/>
      <c r="D52" s="1011">
        <f t="shared" ref="D52:AG52" si="4">SUM(D42:D50)</f>
        <v>70821.699330000003</v>
      </c>
      <c r="E52" s="1011">
        <f t="shared" si="4"/>
        <v>71150.655130999992</v>
      </c>
      <c r="F52" s="1011">
        <f t="shared" si="4"/>
        <v>71479.610932000011</v>
      </c>
      <c r="G52" s="1011">
        <f t="shared" si="4"/>
        <v>71808.566733</v>
      </c>
      <c r="H52" s="1011">
        <f t="shared" si="4"/>
        <v>72137.522534000018</v>
      </c>
      <c r="I52" s="1011">
        <f t="shared" si="4"/>
        <v>72466.212597999998</v>
      </c>
      <c r="J52" s="1011">
        <f t="shared" si="4"/>
        <v>72752.049519000022</v>
      </c>
      <c r="K52" s="1011">
        <f t="shared" si="4"/>
        <v>73037.886440000002</v>
      </c>
      <c r="L52" s="1011">
        <f t="shared" si="4"/>
        <v>73323.723361000011</v>
      </c>
      <c r="M52" s="1011">
        <f t="shared" si="4"/>
        <v>73609.560282000006</v>
      </c>
      <c r="N52" s="1011">
        <f t="shared" si="4"/>
        <v>73894.872302000003</v>
      </c>
      <c r="O52" s="1011">
        <f t="shared" si="4"/>
        <v>74060.079649000007</v>
      </c>
      <c r="P52" s="1011">
        <f t="shared" si="4"/>
        <v>74225.286995999995</v>
      </c>
      <c r="Q52" s="1011">
        <f t="shared" si="4"/>
        <v>74390.494342999998</v>
      </c>
      <c r="R52" s="1011">
        <f t="shared" si="4"/>
        <v>74555.701690000016</v>
      </c>
      <c r="S52" s="1011">
        <f t="shared" si="4"/>
        <v>74721.693727999998</v>
      </c>
      <c r="T52" s="1011">
        <f t="shared" si="4"/>
        <v>74788.096990999984</v>
      </c>
      <c r="U52" s="1011">
        <f t="shared" si="4"/>
        <v>74854.500253999984</v>
      </c>
      <c r="V52" s="1011">
        <f t="shared" si="4"/>
        <v>74920.903516999999</v>
      </c>
      <c r="W52" s="1011">
        <f t="shared" si="4"/>
        <v>74987.306780000014</v>
      </c>
      <c r="X52" s="1011">
        <f t="shared" si="4"/>
        <v>75053.914119000008</v>
      </c>
      <c r="Y52" s="1011">
        <f t="shared" si="4"/>
        <v>75120.317381999979</v>
      </c>
      <c r="Z52" s="1011">
        <f t="shared" si="4"/>
        <v>75186.720644999979</v>
      </c>
      <c r="AA52" s="1011">
        <f t="shared" si="4"/>
        <v>75253.123907999994</v>
      </c>
      <c r="AB52" s="1011">
        <f t="shared" si="4"/>
        <v>75319.527170999994</v>
      </c>
      <c r="AC52" s="1011">
        <f t="shared" si="4"/>
        <v>75385.930433999994</v>
      </c>
      <c r="AD52" s="1011">
        <f t="shared" si="4"/>
        <v>75452.333696999995</v>
      </c>
      <c r="AE52" s="1011">
        <f t="shared" si="4"/>
        <v>75518.736959999995</v>
      </c>
      <c r="AF52" s="1011">
        <f t="shared" si="4"/>
        <v>75585.14022299998</v>
      </c>
      <c r="AG52" s="1011">
        <f t="shared" si="4"/>
        <v>75651.543485999995</v>
      </c>
    </row>
    <row r="53" spans="2:33" x14ac:dyDescent="0.35">
      <c r="B53" s="1811" t="s">
        <v>201</v>
      </c>
      <c r="C53" s="268"/>
      <c r="D53" s="1808">
        <f>D52/'Premissas Gerais'!$G$24</f>
        <v>226.26741000000001</v>
      </c>
      <c r="E53" s="1808">
        <f>E52/'Premissas Gerais'!$G$24</f>
        <v>227.31838699999997</v>
      </c>
      <c r="F53" s="1808">
        <f>F52/'Premissas Gerais'!$G$24</f>
        <v>228.36936400000005</v>
      </c>
      <c r="G53" s="1808">
        <f>G52/'Premissas Gerais'!$G$24</f>
        <v>229.42034100000001</v>
      </c>
      <c r="H53" s="1808">
        <f>H52/'Premissas Gerais'!$G$24</f>
        <v>230.47131800000005</v>
      </c>
      <c r="I53" s="1808">
        <f>I52/'Premissas Gerais'!$G$24</f>
        <v>231.521446</v>
      </c>
      <c r="J53" s="1808">
        <f>J52/'Premissas Gerais'!$G$24</f>
        <v>232.43466300000006</v>
      </c>
      <c r="K53" s="1808">
        <f>K52/'Premissas Gerais'!$G$24</f>
        <v>233.34788</v>
      </c>
      <c r="L53" s="1808">
        <f>L52/'Premissas Gerais'!$G$24</f>
        <v>234.26109700000003</v>
      </c>
      <c r="M53" s="1808">
        <f>M52/'Premissas Gerais'!$G$24</f>
        <v>235.17431400000001</v>
      </c>
      <c r="N53" s="1808">
        <f>N52/'Premissas Gerais'!$G$24</f>
        <v>236.08585400000001</v>
      </c>
      <c r="O53" s="1808">
        <f>O52/'Premissas Gerais'!$G$24</f>
        <v>236.61367300000003</v>
      </c>
      <c r="P53" s="1808">
        <f>P52/'Premissas Gerais'!$G$24</f>
        <v>237.14149199999997</v>
      </c>
      <c r="Q53" s="1808">
        <f>Q52/'Premissas Gerais'!$G$24</f>
        <v>237.66931099999999</v>
      </c>
      <c r="R53" s="1808">
        <f>R52/'Premissas Gerais'!$G$24</f>
        <v>238.19713000000004</v>
      </c>
      <c r="S53" s="1808">
        <f>S52/'Premissas Gerais'!$G$24</f>
        <v>238.72745599999999</v>
      </c>
      <c r="T53" s="1808">
        <f>T52/'Premissas Gerais'!$G$24</f>
        <v>238.93960699999994</v>
      </c>
      <c r="U53" s="1808">
        <f>U52/'Premissas Gerais'!$G$24</f>
        <v>239.15175799999994</v>
      </c>
      <c r="V53" s="1808">
        <f>V52/'Premissas Gerais'!$G$24</f>
        <v>239.36390900000001</v>
      </c>
      <c r="W53" s="1808">
        <f>W52/'Premissas Gerais'!$G$24</f>
        <v>239.57606000000004</v>
      </c>
      <c r="X53" s="1808">
        <f>X52/'Premissas Gerais'!$G$24</f>
        <v>239.78886300000002</v>
      </c>
      <c r="Y53" s="1808">
        <f>Y52/'Premissas Gerais'!$G$24</f>
        <v>240.00101399999994</v>
      </c>
      <c r="Z53" s="1808">
        <f>Z52/'Premissas Gerais'!$G$24</f>
        <v>240.21316499999995</v>
      </c>
      <c r="AA53" s="1808">
        <f>AA52/'Premissas Gerais'!$G$24</f>
        <v>240.42531599999998</v>
      </c>
      <c r="AB53" s="1808">
        <f>AB52/'Premissas Gerais'!$G$24</f>
        <v>240.63746699999999</v>
      </c>
      <c r="AC53" s="1808">
        <f>AC52/'Premissas Gerais'!$G$24</f>
        <v>240.84961799999999</v>
      </c>
      <c r="AD53" s="1808">
        <f>AD52/'Premissas Gerais'!$G$24</f>
        <v>241.06176899999997</v>
      </c>
      <c r="AE53" s="1808">
        <f>AE52/'Premissas Gerais'!$G$24</f>
        <v>241.27391999999998</v>
      </c>
      <c r="AF53" s="1808">
        <f>AF52/'Premissas Gerais'!$G$24</f>
        <v>241.48607099999992</v>
      </c>
      <c r="AG53" s="1808">
        <f>AG52/'Premissas Gerais'!$G$24</f>
        <v>241.69822199999999</v>
      </c>
    </row>
    <row r="54" spans="2:33" x14ac:dyDescent="0.35">
      <c r="B54" s="79"/>
      <c r="C54" s="79"/>
      <c r="D54" s="1407"/>
      <c r="E54" s="1407"/>
      <c r="F54" s="1407"/>
      <c r="G54" s="1407"/>
      <c r="H54" s="1407"/>
      <c r="I54" s="1407"/>
      <c r="J54" s="1407"/>
      <c r="K54" s="1407"/>
      <c r="L54" s="1407"/>
      <c r="M54" s="1407"/>
      <c r="N54" s="1407"/>
      <c r="O54" s="1407"/>
      <c r="P54" s="1407"/>
      <c r="Q54" s="1407"/>
      <c r="R54" s="1407"/>
      <c r="S54" s="1407"/>
      <c r="T54" s="1407"/>
      <c r="U54" s="1407"/>
      <c r="V54" s="1407"/>
      <c r="W54" s="1407"/>
      <c r="X54" s="1407"/>
      <c r="Y54" s="1407"/>
      <c r="Z54" s="1407"/>
      <c r="AA54" s="1407"/>
      <c r="AB54" s="1407"/>
      <c r="AC54" s="1407"/>
      <c r="AD54" s="1407"/>
      <c r="AE54" s="1407"/>
      <c r="AF54" s="1407"/>
      <c r="AG54" s="1407"/>
    </row>
    <row r="55" spans="2:33" x14ac:dyDescent="0.35">
      <c r="B55" s="364" t="s">
        <v>202</v>
      </c>
      <c r="C55" s="94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</row>
    <row r="56" spans="2:33" ht="15" thickBot="1" x14ac:dyDescent="0.4"/>
    <row r="57" spans="2:33" ht="15" thickBot="1" x14ac:dyDescent="0.4">
      <c r="B57" t="s">
        <v>1</v>
      </c>
      <c r="D57" s="358">
        <v>1</v>
      </c>
      <c r="E57" s="358">
        <v>1</v>
      </c>
      <c r="F57" s="358">
        <v>1</v>
      </c>
      <c r="G57" s="358">
        <v>1</v>
      </c>
      <c r="H57" s="358">
        <v>1</v>
      </c>
      <c r="I57" s="358">
        <v>1</v>
      </c>
      <c r="J57" s="358">
        <v>1</v>
      </c>
      <c r="K57" s="358">
        <v>1</v>
      </c>
      <c r="L57" s="358">
        <v>1</v>
      </c>
      <c r="M57" s="358">
        <v>1</v>
      </c>
      <c r="N57" s="358">
        <v>1</v>
      </c>
      <c r="O57" s="358">
        <v>1</v>
      </c>
      <c r="P57" s="358">
        <v>1</v>
      </c>
      <c r="Q57" s="358">
        <v>1</v>
      </c>
      <c r="R57" s="358">
        <v>1</v>
      </c>
      <c r="S57" s="358">
        <v>1</v>
      </c>
      <c r="T57" s="358">
        <v>1</v>
      </c>
      <c r="U57" s="358">
        <v>1</v>
      </c>
      <c r="V57" s="358">
        <v>1</v>
      </c>
      <c r="W57" s="358">
        <v>1</v>
      </c>
      <c r="X57" s="358">
        <v>1</v>
      </c>
      <c r="Y57" s="358">
        <v>1</v>
      </c>
      <c r="Z57" s="358">
        <v>1</v>
      </c>
      <c r="AA57" s="358">
        <v>1</v>
      </c>
      <c r="AB57" s="358">
        <v>1</v>
      </c>
      <c r="AC57" s="358">
        <v>1</v>
      </c>
      <c r="AD57" s="358">
        <v>1</v>
      </c>
      <c r="AE57" s="358">
        <v>1</v>
      </c>
      <c r="AF57" s="358">
        <v>1</v>
      </c>
      <c r="AG57" s="358">
        <v>1</v>
      </c>
    </row>
    <row r="58" spans="2:33" ht="15" thickBot="1" x14ac:dyDescent="0.4">
      <c r="B58" t="s">
        <v>2</v>
      </c>
      <c r="D58" s="358">
        <v>1</v>
      </c>
      <c r="E58" s="358">
        <v>1</v>
      </c>
      <c r="F58" s="358">
        <v>1</v>
      </c>
      <c r="G58" s="358">
        <v>1</v>
      </c>
      <c r="H58" s="358">
        <v>1</v>
      </c>
      <c r="I58" s="358">
        <v>1</v>
      </c>
      <c r="J58" s="358">
        <v>1</v>
      </c>
      <c r="K58" s="358">
        <v>1</v>
      </c>
      <c r="L58" s="358">
        <v>1</v>
      </c>
      <c r="M58" s="358">
        <v>1</v>
      </c>
      <c r="N58" s="358">
        <v>1</v>
      </c>
      <c r="O58" s="358">
        <v>1</v>
      </c>
      <c r="P58" s="358">
        <v>1</v>
      </c>
      <c r="Q58" s="358">
        <v>1</v>
      </c>
      <c r="R58" s="358">
        <v>1</v>
      </c>
      <c r="S58" s="358">
        <v>1</v>
      </c>
      <c r="T58" s="358">
        <v>1</v>
      </c>
      <c r="U58" s="358">
        <v>1</v>
      </c>
      <c r="V58" s="358">
        <v>1</v>
      </c>
      <c r="W58" s="358">
        <v>1</v>
      </c>
      <c r="X58" s="358">
        <v>1</v>
      </c>
      <c r="Y58" s="358">
        <v>1</v>
      </c>
      <c r="Z58" s="358">
        <v>1</v>
      </c>
      <c r="AA58" s="358">
        <v>1</v>
      </c>
      <c r="AB58" s="358">
        <v>1</v>
      </c>
      <c r="AC58" s="358">
        <v>1</v>
      </c>
      <c r="AD58" s="358">
        <v>1</v>
      </c>
      <c r="AE58" s="358">
        <v>1</v>
      </c>
      <c r="AF58" s="358">
        <v>1</v>
      </c>
      <c r="AG58" s="358">
        <v>1</v>
      </c>
    </row>
    <row r="59" spans="2:33" ht="15" thickBot="1" x14ac:dyDescent="0.4">
      <c r="B59" t="s">
        <v>3</v>
      </c>
      <c r="D59" s="358">
        <v>1</v>
      </c>
      <c r="E59" s="358">
        <v>1</v>
      </c>
      <c r="F59" s="358">
        <v>1</v>
      </c>
      <c r="G59" s="358">
        <v>1</v>
      </c>
      <c r="H59" s="358">
        <v>1</v>
      </c>
      <c r="I59" s="358">
        <v>1</v>
      </c>
      <c r="J59" s="358">
        <v>1</v>
      </c>
      <c r="K59" s="358">
        <v>1</v>
      </c>
      <c r="L59" s="358">
        <v>1</v>
      </c>
      <c r="M59" s="358">
        <v>1</v>
      </c>
      <c r="N59" s="358">
        <v>1</v>
      </c>
      <c r="O59" s="358">
        <v>1</v>
      </c>
      <c r="P59" s="358">
        <v>1</v>
      </c>
      <c r="Q59" s="358">
        <v>1</v>
      </c>
      <c r="R59" s="358">
        <v>1</v>
      </c>
      <c r="S59" s="358">
        <v>1</v>
      </c>
      <c r="T59" s="358">
        <v>1</v>
      </c>
      <c r="U59" s="358">
        <v>1</v>
      </c>
      <c r="V59" s="358">
        <v>1</v>
      </c>
      <c r="W59" s="358">
        <v>1</v>
      </c>
      <c r="X59" s="358">
        <v>1</v>
      </c>
      <c r="Y59" s="358">
        <v>1</v>
      </c>
      <c r="Z59" s="358">
        <v>1</v>
      </c>
      <c r="AA59" s="358">
        <v>1</v>
      </c>
      <c r="AB59" s="358">
        <v>1</v>
      </c>
      <c r="AC59" s="358">
        <v>1</v>
      </c>
      <c r="AD59" s="358">
        <v>1</v>
      </c>
      <c r="AE59" s="358">
        <v>1</v>
      </c>
      <c r="AF59" s="358">
        <v>1</v>
      </c>
      <c r="AG59" s="358">
        <v>1</v>
      </c>
    </row>
    <row r="60" spans="2:33" ht="15" thickBot="1" x14ac:dyDescent="0.4">
      <c r="B60" t="s">
        <v>4</v>
      </c>
      <c r="D60" s="358">
        <v>1</v>
      </c>
      <c r="E60" s="358">
        <v>1</v>
      </c>
      <c r="F60" s="358">
        <v>1</v>
      </c>
      <c r="G60" s="358">
        <v>1</v>
      </c>
      <c r="H60" s="358">
        <v>1</v>
      </c>
      <c r="I60" s="358">
        <v>1</v>
      </c>
      <c r="J60" s="358">
        <v>1</v>
      </c>
      <c r="K60" s="358">
        <v>1</v>
      </c>
      <c r="L60" s="358">
        <v>1</v>
      </c>
      <c r="M60" s="358">
        <v>1</v>
      </c>
      <c r="N60" s="358">
        <v>1</v>
      </c>
      <c r="O60" s="358">
        <v>1</v>
      </c>
      <c r="P60" s="358">
        <v>1</v>
      </c>
      <c r="Q60" s="358">
        <v>1</v>
      </c>
      <c r="R60" s="358">
        <v>1</v>
      </c>
      <c r="S60" s="358">
        <v>1</v>
      </c>
      <c r="T60" s="358">
        <v>1</v>
      </c>
      <c r="U60" s="358">
        <v>1</v>
      </c>
      <c r="V60" s="358">
        <v>1</v>
      </c>
      <c r="W60" s="358">
        <v>1</v>
      </c>
      <c r="X60" s="358">
        <v>1</v>
      </c>
      <c r="Y60" s="358">
        <v>1</v>
      </c>
      <c r="Z60" s="358">
        <v>1</v>
      </c>
      <c r="AA60" s="358">
        <v>1</v>
      </c>
      <c r="AB60" s="358">
        <v>1</v>
      </c>
      <c r="AC60" s="358">
        <v>1</v>
      </c>
      <c r="AD60" s="358">
        <v>1</v>
      </c>
      <c r="AE60" s="358">
        <v>1</v>
      </c>
      <c r="AF60" s="358">
        <v>1</v>
      </c>
      <c r="AG60" s="358">
        <v>1</v>
      </c>
    </row>
    <row r="61" spans="2:33" ht="15" thickBot="1" x14ac:dyDescent="0.4">
      <c r="B61" t="s">
        <v>5</v>
      </c>
      <c r="D61" s="358">
        <v>1</v>
      </c>
      <c r="E61" s="358">
        <v>1</v>
      </c>
      <c r="F61" s="358">
        <v>1</v>
      </c>
      <c r="G61" s="358">
        <v>1</v>
      </c>
      <c r="H61" s="358">
        <v>1</v>
      </c>
      <c r="I61" s="358">
        <v>1</v>
      </c>
      <c r="J61" s="358">
        <v>1</v>
      </c>
      <c r="K61" s="358">
        <v>1</v>
      </c>
      <c r="L61" s="358">
        <v>1</v>
      </c>
      <c r="M61" s="358">
        <v>1</v>
      </c>
      <c r="N61" s="358">
        <v>1</v>
      </c>
      <c r="O61" s="358">
        <v>1</v>
      </c>
      <c r="P61" s="358">
        <v>1</v>
      </c>
      <c r="Q61" s="358">
        <v>1</v>
      </c>
      <c r="R61" s="358">
        <v>1</v>
      </c>
      <c r="S61" s="358">
        <v>1</v>
      </c>
      <c r="T61" s="358">
        <v>1</v>
      </c>
      <c r="U61" s="358">
        <v>1</v>
      </c>
      <c r="V61" s="358">
        <v>1</v>
      </c>
      <c r="W61" s="358">
        <v>1</v>
      </c>
      <c r="X61" s="358">
        <v>1</v>
      </c>
      <c r="Y61" s="358">
        <v>1</v>
      </c>
      <c r="Z61" s="358">
        <v>1</v>
      </c>
      <c r="AA61" s="358">
        <v>1</v>
      </c>
      <c r="AB61" s="358">
        <v>1</v>
      </c>
      <c r="AC61" s="358">
        <v>1</v>
      </c>
      <c r="AD61" s="358">
        <v>1</v>
      </c>
      <c r="AE61" s="358">
        <v>1</v>
      </c>
      <c r="AF61" s="358">
        <v>1</v>
      </c>
      <c r="AG61" s="358">
        <v>1</v>
      </c>
    </row>
    <row r="62" spans="2:33" ht="15" thickBot="1" x14ac:dyDescent="0.4">
      <c r="B62" t="s">
        <v>6</v>
      </c>
      <c r="D62" s="358">
        <v>1</v>
      </c>
      <c r="E62" s="358">
        <v>1</v>
      </c>
      <c r="F62" s="358">
        <v>1</v>
      </c>
      <c r="G62" s="358">
        <v>1</v>
      </c>
      <c r="H62" s="358">
        <v>1</v>
      </c>
      <c r="I62" s="358">
        <v>1</v>
      </c>
      <c r="J62" s="358">
        <v>1</v>
      </c>
      <c r="K62" s="358">
        <v>1</v>
      </c>
      <c r="L62" s="358">
        <v>1</v>
      </c>
      <c r="M62" s="358">
        <v>1</v>
      </c>
      <c r="N62" s="358">
        <v>1</v>
      </c>
      <c r="O62" s="358">
        <v>1</v>
      </c>
      <c r="P62" s="358">
        <v>1</v>
      </c>
      <c r="Q62" s="358">
        <v>1</v>
      </c>
      <c r="R62" s="358">
        <v>1</v>
      </c>
      <c r="S62" s="358">
        <v>1</v>
      </c>
      <c r="T62" s="358">
        <v>1</v>
      </c>
      <c r="U62" s="358">
        <v>1</v>
      </c>
      <c r="V62" s="358">
        <v>1</v>
      </c>
      <c r="W62" s="358">
        <v>1</v>
      </c>
      <c r="X62" s="358">
        <v>1</v>
      </c>
      <c r="Y62" s="358">
        <v>1</v>
      </c>
      <c r="Z62" s="358">
        <v>1</v>
      </c>
      <c r="AA62" s="358">
        <v>1</v>
      </c>
      <c r="AB62" s="358">
        <v>1</v>
      </c>
      <c r="AC62" s="358">
        <v>1</v>
      </c>
      <c r="AD62" s="358">
        <v>1</v>
      </c>
      <c r="AE62" s="358">
        <v>1</v>
      </c>
      <c r="AF62" s="358">
        <v>1</v>
      </c>
      <c r="AG62" s="358">
        <v>1</v>
      </c>
    </row>
    <row r="63" spans="2:33" ht="15" thickBot="1" x14ac:dyDescent="0.4">
      <c r="B63" t="s">
        <v>7</v>
      </c>
      <c r="D63" s="358">
        <v>1</v>
      </c>
      <c r="E63" s="358">
        <v>1</v>
      </c>
      <c r="F63" s="358">
        <v>1</v>
      </c>
      <c r="G63" s="358">
        <v>1</v>
      </c>
      <c r="H63" s="358">
        <v>1</v>
      </c>
      <c r="I63" s="358">
        <v>1</v>
      </c>
      <c r="J63" s="358">
        <v>1</v>
      </c>
      <c r="K63" s="358">
        <v>1</v>
      </c>
      <c r="L63" s="358">
        <v>1</v>
      </c>
      <c r="M63" s="358">
        <v>1</v>
      </c>
      <c r="N63" s="358">
        <v>1</v>
      </c>
      <c r="O63" s="358">
        <v>1</v>
      </c>
      <c r="P63" s="358">
        <v>1</v>
      </c>
      <c r="Q63" s="358">
        <v>1</v>
      </c>
      <c r="R63" s="358">
        <v>1</v>
      </c>
      <c r="S63" s="358">
        <v>1</v>
      </c>
      <c r="T63" s="358">
        <v>1</v>
      </c>
      <c r="U63" s="358">
        <v>1</v>
      </c>
      <c r="V63" s="358">
        <v>1</v>
      </c>
      <c r="W63" s="358">
        <v>1</v>
      </c>
      <c r="X63" s="358">
        <v>1</v>
      </c>
      <c r="Y63" s="358">
        <v>1</v>
      </c>
      <c r="Z63" s="358">
        <v>1</v>
      </c>
      <c r="AA63" s="358">
        <v>1</v>
      </c>
      <c r="AB63" s="358">
        <v>1</v>
      </c>
      <c r="AC63" s="358">
        <v>1</v>
      </c>
      <c r="AD63" s="358">
        <v>1</v>
      </c>
      <c r="AE63" s="358">
        <v>1</v>
      </c>
      <c r="AF63" s="358">
        <v>1</v>
      </c>
      <c r="AG63" s="358">
        <v>1</v>
      </c>
    </row>
    <row r="64" spans="2:33" ht="15" thickBot="1" x14ac:dyDescent="0.4">
      <c r="B64" t="s">
        <v>8</v>
      </c>
      <c r="D64" s="358">
        <v>1</v>
      </c>
      <c r="E64" s="358">
        <v>1</v>
      </c>
      <c r="F64" s="358">
        <v>1</v>
      </c>
      <c r="G64" s="358">
        <v>1</v>
      </c>
      <c r="H64" s="358">
        <v>1</v>
      </c>
      <c r="I64" s="358">
        <v>1</v>
      </c>
      <c r="J64" s="358">
        <v>1</v>
      </c>
      <c r="K64" s="358">
        <v>1</v>
      </c>
      <c r="L64" s="358">
        <v>1</v>
      </c>
      <c r="M64" s="358">
        <v>1</v>
      </c>
      <c r="N64" s="358">
        <v>1</v>
      </c>
      <c r="O64" s="358">
        <v>1</v>
      </c>
      <c r="P64" s="358">
        <v>1</v>
      </c>
      <c r="Q64" s="358">
        <v>1</v>
      </c>
      <c r="R64" s="358">
        <v>1</v>
      </c>
      <c r="S64" s="358">
        <v>1</v>
      </c>
      <c r="T64" s="358">
        <v>1</v>
      </c>
      <c r="U64" s="358">
        <v>1</v>
      </c>
      <c r="V64" s="358">
        <v>1</v>
      </c>
      <c r="W64" s="358">
        <v>1</v>
      </c>
      <c r="X64" s="358">
        <v>1</v>
      </c>
      <c r="Y64" s="358">
        <v>1</v>
      </c>
      <c r="Z64" s="358">
        <v>1</v>
      </c>
      <c r="AA64" s="358">
        <v>1</v>
      </c>
      <c r="AB64" s="358">
        <v>1</v>
      </c>
      <c r="AC64" s="358">
        <v>1</v>
      </c>
      <c r="AD64" s="358">
        <v>1</v>
      </c>
      <c r="AE64" s="358">
        <v>1</v>
      </c>
      <c r="AF64" s="358">
        <v>1</v>
      </c>
      <c r="AG64" s="358">
        <v>1</v>
      </c>
    </row>
    <row r="65" spans="2:33" ht="15" thickBot="1" x14ac:dyDescent="0.4">
      <c r="B65" t="s">
        <v>9</v>
      </c>
      <c r="D65" s="358">
        <v>1</v>
      </c>
      <c r="E65" s="358">
        <v>1</v>
      </c>
      <c r="F65" s="358">
        <v>1</v>
      </c>
      <c r="G65" s="358">
        <v>1</v>
      </c>
      <c r="H65" s="358">
        <v>1</v>
      </c>
      <c r="I65" s="358">
        <v>1</v>
      </c>
      <c r="J65" s="358">
        <v>1</v>
      </c>
      <c r="K65" s="358">
        <v>1</v>
      </c>
      <c r="L65" s="358">
        <v>1</v>
      </c>
      <c r="M65" s="358">
        <v>1</v>
      </c>
      <c r="N65" s="358">
        <v>1</v>
      </c>
      <c r="O65" s="358">
        <v>1</v>
      </c>
      <c r="P65" s="358">
        <v>1</v>
      </c>
      <c r="Q65" s="358">
        <v>1</v>
      </c>
      <c r="R65" s="358">
        <v>1</v>
      </c>
      <c r="S65" s="358">
        <v>1</v>
      </c>
      <c r="T65" s="358">
        <v>1</v>
      </c>
      <c r="U65" s="358">
        <v>1</v>
      </c>
      <c r="V65" s="358">
        <v>1</v>
      </c>
      <c r="W65" s="358">
        <v>1</v>
      </c>
      <c r="X65" s="358">
        <v>1</v>
      </c>
      <c r="Y65" s="358">
        <v>1</v>
      </c>
      <c r="Z65" s="358">
        <v>1</v>
      </c>
      <c r="AA65" s="358">
        <v>1</v>
      </c>
      <c r="AB65" s="358">
        <v>1</v>
      </c>
      <c r="AC65" s="358">
        <v>1</v>
      </c>
      <c r="AD65" s="358">
        <v>1</v>
      </c>
      <c r="AE65" s="358">
        <v>1</v>
      </c>
      <c r="AF65" s="358">
        <v>1</v>
      </c>
      <c r="AG65" s="358">
        <v>1</v>
      </c>
    </row>
    <row r="67" spans="2:33" x14ac:dyDescent="0.35"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  <c r="AA67" s="48"/>
      <c r="AB67" s="48"/>
      <c r="AC67" s="48"/>
      <c r="AD67" s="48"/>
      <c r="AE67" s="48"/>
      <c r="AF67" s="48"/>
      <c r="AG67" s="48"/>
    </row>
    <row r="68" spans="2:33" ht="12.75" customHeight="1" x14ac:dyDescent="0.35">
      <c r="B68" s="99" t="s">
        <v>203</v>
      </c>
    </row>
    <row r="69" spans="2:33" x14ac:dyDescent="0.35">
      <c r="B69" s="87" t="s">
        <v>68</v>
      </c>
      <c r="C69" s="87"/>
      <c r="D69" s="89">
        <v>1</v>
      </c>
      <c r="E69" s="89">
        <f>D69+1</f>
        <v>2</v>
      </c>
      <c r="F69" s="89">
        <f t="shared" ref="F69" si="5">E69+1</f>
        <v>3</v>
      </c>
      <c r="G69" s="89">
        <f t="shared" ref="G69" si="6">F69+1</f>
        <v>4</v>
      </c>
      <c r="H69" s="89">
        <f t="shared" ref="H69" si="7">G69+1</f>
        <v>5</v>
      </c>
      <c r="I69" s="89">
        <f t="shared" ref="I69" si="8">H69+1</f>
        <v>6</v>
      </c>
      <c r="J69" s="89">
        <f t="shared" ref="J69" si="9">I69+1</f>
        <v>7</v>
      </c>
      <c r="K69" s="89">
        <f t="shared" ref="K69" si="10">J69+1</f>
        <v>8</v>
      </c>
      <c r="L69" s="89">
        <f t="shared" ref="L69" si="11">K69+1</f>
        <v>9</v>
      </c>
      <c r="M69" s="89">
        <f t="shared" ref="M69" si="12">L69+1</f>
        <v>10</v>
      </c>
      <c r="N69" s="89">
        <f t="shared" ref="N69" si="13">M69+1</f>
        <v>11</v>
      </c>
      <c r="O69" s="89">
        <f t="shared" ref="O69" si="14">N69+1</f>
        <v>12</v>
      </c>
      <c r="P69" s="89">
        <f t="shared" ref="P69" si="15">O69+1</f>
        <v>13</v>
      </c>
      <c r="Q69" s="89">
        <f t="shared" ref="Q69" si="16">P69+1</f>
        <v>14</v>
      </c>
      <c r="R69" s="89">
        <f t="shared" ref="R69" si="17">Q69+1</f>
        <v>15</v>
      </c>
      <c r="S69" s="89">
        <f t="shared" ref="S69" si="18">R69+1</f>
        <v>16</v>
      </c>
      <c r="T69" s="89">
        <f t="shared" ref="T69" si="19">S69+1</f>
        <v>17</v>
      </c>
      <c r="U69" s="89">
        <f t="shared" ref="U69" si="20">T69+1</f>
        <v>18</v>
      </c>
      <c r="V69" s="89">
        <f t="shared" ref="V69" si="21">U69+1</f>
        <v>19</v>
      </c>
      <c r="W69" s="89">
        <f t="shared" ref="W69" si="22">V69+1</f>
        <v>20</v>
      </c>
      <c r="X69" s="89">
        <f t="shared" ref="X69" si="23">W69+1</f>
        <v>21</v>
      </c>
      <c r="Y69" s="89">
        <f t="shared" ref="Y69" si="24">X69+1</f>
        <v>22</v>
      </c>
      <c r="Z69" s="89">
        <f t="shared" ref="Z69" si="25">Y69+1</f>
        <v>23</v>
      </c>
      <c r="AA69" s="89">
        <f t="shared" ref="AA69" si="26">Z69+1</f>
        <v>24</v>
      </c>
      <c r="AB69" s="89">
        <f t="shared" ref="AB69" si="27">AA69+1</f>
        <v>25</v>
      </c>
      <c r="AC69" s="89">
        <f t="shared" ref="AC69" si="28">AB69+1</f>
        <v>26</v>
      </c>
      <c r="AD69" s="89">
        <f t="shared" ref="AD69" si="29">AC69+1</f>
        <v>27</v>
      </c>
      <c r="AE69" s="89">
        <f t="shared" ref="AE69" si="30">AD69+1</f>
        <v>28</v>
      </c>
      <c r="AF69" s="89">
        <f t="shared" ref="AF69" si="31">AE69+1</f>
        <v>29</v>
      </c>
      <c r="AG69" s="89">
        <f t="shared" ref="AG69" si="32">AF69+1</f>
        <v>30</v>
      </c>
    </row>
    <row r="70" spans="2:33" ht="4.5" customHeight="1" thickBot="1" x14ac:dyDescent="0.4">
      <c r="B70" s="82"/>
      <c r="C70" s="82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  <c r="S70" s="84"/>
      <c r="T70" s="84"/>
      <c r="U70" s="84"/>
      <c r="V70" s="84"/>
      <c r="W70" s="84"/>
      <c r="X70" s="84"/>
      <c r="Y70" s="84"/>
      <c r="Z70" s="84"/>
      <c r="AA70" s="84"/>
      <c r="AB70" s="84"/>
      <c r="AC70" s="84"/>
      <c r="AD70" s="84"/>
      <c r="AE70" s="84"/>
      <c r="AF70" s="84"/>
      <c r="AG70" s="84"/>
    </row>
    <row r="71" spans="2:33" ht="15" thickBot="1" x14ac:dyDescent="0.4">
      <c r="B71" t="s">
        <v>1</v>
      </c>
      <c r="C71" s="80"/>
      <c r="D71" s="363">
        <f t="shared" ref="D71:AG71" si="33">D42*D57</f>
        <v>563.15022599999998</v>
      </c>
      <c r="E71" s="363">
        <f t="shared" si="33"/>
        <v>559.95293100000004</v>
      </c>
      <c r="F71" s="363">
        <f t="shared" si="33"/>
        <v>556.7556360000001</v>
      </c>
      <c r="G71" s="363">
        <f t="shared" si="33"/>
        <v>553.55834100000004</v>
      </c>
      <c r="H71" s="363">
        <f t="shared" si="33"/>
        <v>550.36104599999999</v>
      </c>
      <c r="I71" s="363">
        <f t="shared" si="33"/>
        <v>547.16375100000005</v>
      </c>
      <c r="J71" s="363">
        <f t="shared" si="33"/>
        <v>543.11384400000009</v>
      </c>
      <c r="K71" s="363">
        <f t="shared" si="33"/>
        <v>539.06393700000001</v>
      </c>
      <c r="L71" s="363">
        <f t="shared" si="33"/>
        <v>535.01403000000005</v>
      </c>
      <c r="M71" s="363">
        <f t="shared" si="33"/>
        <v>530.96412299999997</v>
      </c>
      <c r="N71" s="363">
        <f t="shared" si="33"/>
        <v>527.34052199999996</v>
      </c>
      <c r="O71" s="363">
        <f t="shared" si="33"/>
        <v>522.65115600000001</v>
      </c>
      <c r="P71" s="363">
        <f t="shared" si="33"/>
        <v>517.96179000000006</v>
      </c>
      <c r="Q71" s="363">
        <f t="shared" si="33"/>
        <v>513.272424</v>
      </c>
      <c r="R71" s="363">
        <f t="shared" si="33"/>
        <v>508.58305800000005</v>
      </c>
      <c r="S71" s="363">
        <f t="shared" si="33"/>
        <v>504.10684500000002</v>
      </c>
      <c r="T71" s="363">
        <f t="shared" si="33"/>
        <v>499.20432599999998</v>
      </c>
      <c r="U71" s="363">
        <f t="shared" si="33"/>
        <v>494.30180700000005</v>
      </c>
      <c r="V71" s="363">
        <f t="shared" si="33"/>
        <v>489.39928800000001</v>
      </c>
      <c r="W71" s="363">
        <f t="shared" si="33"/>
        <v>484.49676900000003</v>
      </c>
      <c r="X71" s="363">
        <f t="shared" si="33"/>
        <v>479.16794400000003</v>
      </c>
      <c r="Y71" s="363">
        <f t="shared" si="33"/>
        <v>474.26542500000005</v>
      </c>
      <c r="Z71" s="363">
        <f t="shared" si="33"/>
        <v>469.36290600000001</v>
      </c>
      <c r="AA71" s="363">
        <f t="shared" si="33"/>
        <v>464.46038700000003</v>
      </c>
      <c r="AB71" s="363">
        <f t="shared" si="33"/>
        <v>459.55786800000004</v>
      </c>
      <c r="AC71" s="363">
        <f t="shared" si="33"/>
        <v>454.65534900000006</v>
      </c>
      <c r="AD71" s="363">
        <f t="shared" si="33"/>
        <v>449.75283000000002</v>
      </c>
      <c r="AE71" s="363">
        <f t="shared" si="33"/>
        <v>444.85031100000003</v>
      </c>
      <c r="AF71" s="363">
        <f t="shared" si="33"/>
        <v>439.94779199999999</v>
      </c>
      <c r="AG71" s="363">
        <f t="shared" si="33"/>
        <v>435.04527300000001</v>
      </c>
    </row>
    <row r="72" spans="2:33" ht="15" thickBot="1" x14ac:dyDescent="0.4">
      <c r="B72" t="s">
        <v>2</v>
      </c>
      <c r="C72" s="80"/>
      <c r="D72" s="363">
        <f t="shared" ref="D72:AG72" si="34">D43*D58</f>
        <v>6589.334844</v>
      </c>
      <c r="E72" s="363">
        <f t="shared" si="34"/>
        <v>6593.0435809999999</v>
      </c>
      <c r="F72" s="363">
        <f t="shared" si="34"/>
        <v>6596.7523179999998</v>
      </c>
      <c r="G72" s="363">
        <f t="shared" si="34"/>
        <v>6600.4610549999989</v>
      </c>
      <c r="H72" s="363">
        <f t="shared" si="34"/>
        <v>6604.1697919999997</v>
      </c>
      <c r="I72" s="363">
        <f t="shared" si="34"/>
        <v>6608.3148509999992</v>
      </c>
      <c r="J72" s="363">
        <f t="shared" si="34"/>
        <v>6598.4976059999999</v>
      </c>
      <c r="K72" s="363">
        <f t="shared" si="34"/>
        <v>6588.6803609999997</v>
      </c>
      <c r="L72" s="363">
        <f t="shared" si="34"/>
        <v>6578.8631160000004</v>
      </c>
      <c r="M72" s="363">
        <f t="shared" si="34"/>
        <v>6569.0458709999994</v>
      </c>
      <c r="N72" s="363">
        <f t="shared" si="34"/>
        <v>6559.2286259999992</v>
      </c>
      <c r="O72" s="363">
        <f t="shared" si="34"/>
        <v>6540.2486189999991</v>
      </c>
      <c r="P72" s="363">
        <f t="shared" si="34"/>
        <v>6521.2686119999998</v>
      </c>
      <c r="Q72" s="363">
        <f t="shared" si="34"/>
        <v>6502.2886049999997</v>
      </c>
      <c r="R72" s="363">
        <f t="shared" si="34"/>
        <v>6483.3085980000005</v>
      </c>
      <c r="S72" s="363">
        <f t="shared" si="34"/>
        <v>6463.892268999999</v>
      </c>
      <c r="T72" s="363">
        <f t="shared" si="34"/>
        <v>6436.622143999999</v>
      </c>
      <c r="U72" s="363">
        <f t="shared" si="34"/>
        <v>6409.352018999999</v>
      </c>
      <c r="V72" s="363">
        <f t="shared" si="34"/>
        <v>6382.081893999999</v>
      </c>
      <c r="W72" s="363">
        <f t="shared" si="34"/>
        <v>6354.811768999999</v>
      </c>
      <c r="X72" s="363">
        <f t="shared" si="34"/>
        <v>6327.7598049999988</v>
      </c>
      <c r="Y72" s="363">
        <f t="shared" si="34"/>
        <v>6300.4896799999988</v>
      </c>
      <c r="Z72" s="363">
        <f t="shared" si="34"/>
        <v>6273.2195549999988</v>
      </c>
      <c r="AA72" s="363">
        <f t="shared" si="34"/>
        <v>6245.9494299999988</v>
      </c>
      <c r="AB72" s="363">
        <f t="shared" si="34"/>
        <v>6218.6793049999987</v>
      </c>
      <c r="AC72" s="363">
        <f t="shared" si="34"/>
        <v>6191.4091799999987</v>
      </c>
      <c r="AD72" s="363">
        <f t="shared" si="34"/>
        <v>6164.1390549999987</v>
      </c>
      <c r="AE72" s="363">
        <f t="shared" si="34"/>
        <v>6136.8689299999987</v>
      </c>
      <c r="AF72" s="363">
        <f t="shared" si="34"/>
        <v>6109.5988049999987</v>
      </c>
      <c r="AG72" s="363">
        <f t="shared" si="34"/>
        <v>6082.3286799999987</v>
      </c>
    </row>
    <row r="73" spans="2:33" ht="15" thickBot="1" x14ac:dyDescent="0.4">
      <c r="B73" t="s">
        <v>3</v>
      </c>
      <c r="C73" s="80"/>
      <c r="D73" s="363">
        <f t="shared" ref="D73:AG73" si="35">D44*D59</f>
        <v>777.15583800000013</v>
      </c>
      <c r="E73" s="363">
        <f t="shared" si="35"/>
        <v>778.00845000000004</v>
      </c>
      <c r="F73" s="363">
        <f t="shared" si="35"/>
        <v>778.86106200000006</v>
      </c>
      <c r="G73" s="363">
        <f t="shared" si="35"/>
        <v>779.71367399999997</v>
      </c>
      <c r="H73" s="363">
        <f t="shared" si="35"/>
        <v>780.5662860000001</v>
      </c>
      <c r="I73" s="363">
        <f t="shared" si="35"/>
        <v>781.84520400000019</v>
      </c>
      <c r="J73" s="363">
        <f t="shared" si="35"/>
        <v>781.63205100000005</v>
      </c>
      <c r="K73" s="363">
        <f t="shared" si="35"/>
        <v>781.41889800000001</v>
      </c>
      <c r="L73" s="363">
        <f t="shared" si="35"/>
        <v>781.20574500000009</v>
      </c>
      <c r="M73" s="363">
        <f t="shared" si="35"/>
        <v>780.99259200000006</v>
      </c>
      <c r="N73" s="363">
        <f t="shared" si="35"/>
        <v>780.35313300000007</v>
      </c>
      <c r="O73" s="363">
        <f t="shared" si="35"/>
        <v>778.64790900000014</v>
      </c>
      <c r="P73" s="363">
        <f t="shared" si="35"/>
        <v>776.9426850000001</v>
      </c>
      <c r="Q73" s="363">
        <f t="shared" si="35"/>
        <v>775.23746100000005</v>
      </c>
      <c r="R73" s="363">
        <f t="shared" si="35"/>
        <v>773.53223700000012</v>
      </c>
      <c r="S73" s="363">
        <f t="shared" si="35"/>
        <v>772.04016600000011</v>
      </c>
      <c r="T73" s="363">
        <f t="shared" si="35"/>
        <v>769.48233000000005</v>
      </c>
      <c r="U73" s="363">
        <f t="shared" si="35"/>
        <v>766.9244940000001</v>
      </c>
      <c r="V73" s="363">
        <f t="shared" si="35"/>
        <v>764.36665800000003</v>
      </c>
      <c r="W73" s="363">
        <f t="shared" si="35"/>
        <v>761.80882200000008</v>
      </c>
      <c r="X73" s="363">
        <f t="shared" si="35"/>
        <v>759.25098600000001</v>
      </c>
      <c r="Y73" s="363">
        <f t="shared" si="35"/>
        <v>756.69315000000006</v>
      </c>
      <c r="Z73" s="363">
        <f t="shared" si="35"/>
        <v>754.13531399999999</v>
      </c>
      <c r="AA73" s="363">
        <f t="shared" si="35"/>
        <v>751.57747800000004</v>
      </c>
      <c r="AB73" s="363">
        <f t="shared" si="35"/>
        <v>749.01964199999998</v>
      </c>
      <c r="AC73" s="363">
        <f t="shared" si="35"/>
        <v>746.46180600000002</v>
      </c>
      <c r="AD73" s="363">
        <f t="shared" si="35"/>
        <v>743.90396999999996</v>
      </c>
      <c r="AE73" s="363">
        <f t="shared" si="35"/>
        <v>741.34613400000001</v>
      </c>
      <c r="AF73" s="363">
        <f t="shared" si="35"/>
        <v>738.78829799999994</v>
      </c>
      <c r="AG73" s="363">
        <f t="shared" si="35"/>
        <v>736.23046199999999</v>
      </c>
    </row>
    <row r="74" spans="2:33" ht="15" thickBot="1" x14ac:dyDescent="0.4">
      <c r="B74" t="s">
        <v>4</v>
      </c>
      <c r="C74" s="80"/>
      <c r="D74" s="363">
        <f t="shared" ref="D74:AG74" si="36">D45*D60</f>
        <v>1856.851842</v>
      </c>
      <c r="E74" s="363">
        <f t="shared" si="36"/>
        <v>1874.0468100000001</v>
      </c>
      <c r="F74" s="363">
        <f t="shared" si="36"/>
        <v>1891.2417780000001</v>
      </c>
      <c r="G74" s="363">
        <f t="shared" si="36"/>
        <v>1908.4367460000001</v>
      </c>
      <c r="H74" s="363">
        <f t="shared" si="36"/>
        <v>1925.6317139999999</v>
      </c>
      <c r="I74" s="363">
        <f t="shared" si="36"/>
        <v>1942.6219799999999</v>
      </c>
      <c r="J74" s="363">
        <f t="shared" si="36"/>
        <v>1957.5652259999999</v>
      </c>
      <c r="K74" s="363">
        <f t="shared" si="36"/>
        <v>1972.508472</v>
      </c>
      <c r="L74" s="363">
        <f t="shared" si="36"/>
        <v>1987.451718</v>
      </c>
      <c r="M74" s="363">
        <f t="shared" si="36"/>
        <v>2002.3949639999998</v>
      </c>
      <c r="N74" s="363">
        <f t="shared" si="36"/>
        <v>2017.1335080000001</v>
      </c>
      <c r="O74" s="363">
        <f t="shared" si="36"/>
        <v>2029.0062240000002</v>
      </c>
      <c r="P74" s="363">
        <f t="shared" si="36"/>
        <v>2040.8789400000001</v>
      </c>
      <c r="Q74" s="363">
        <f t="shared" si="36"/>
        <v>2052.7516559999999</v>
      </c>
      <c r="R74" s="363">
        <f t="shared" si="36"/>
        <v>2064.6243720000002</v>
      </c>
      <c r="S74" s="363">
        <f t="shared" si="36"/>
        <v>2076.9064920000001</v>
      </c>
      <c r="T74" s="363">
        <f t="shared" si="36"/>
        <v>2085.503976</v>
      </c>
      <c r="U74" s="363">
        <f t="shared" si="36"/>
        <v>2094.1014599999999</v>
      </c>
      <c r="V74" s="363">
        <f t="shared" si="36"/>
        <v>2102.6989440000002</v>
      </c>
      <c r="W74" s="363">
        <f t="shared" si="36"/>
        <v>2111.2964280000001</v>
      </c>
      <c r="X74" s="363">
        <f t="shared" si="36"/>
        <v>2119.4845080000005</v>
      </c>
      <c r="Y74" s="363">
        <f t="shared" si="36"/>
        <v>2128.0819919999999</v>
      </c>
      <c r="Z74" s="363">
        <f t="shared" si="36"/>
        <v>2136.6794760000002</v>
      </c>
      <c r="AA74" s="363">
        <f t="shared" si="36"/>
        <v>2145.2769600000001</v>
      </c>
      <c r="AB74" s="363">
        <f t="shared" si="36"/>
        <v>2153.874444</v>
      </c>
      <c r="AC74" s="363">
        <f t="shared" si="36"/>
        <v>2162.4719280000004</v>
      </c>
      <c r="AD74" s="363">
        <f t="shared" si="36"/>
        <v>2171.0694119999998</v>
      </c>
      <c r="AE74" s="363">
        <f t="shared" si="36"/>
        <v>2179.6668960000002</v>
      </c>
      <c r="AF74" s="363">
        <f t="shared" si="36"/>
        <v>2188.2643800000001</v>
      </c>
      <c r="AG74" s="363">
        <f t="shared" si="36"/>
        <v>2196.861864</v>
      </c>
    </row>
    <row r="75" spans="2:33" ht="15" thickBot="1" x14ac:dyDescent="0.4">
      <c r="B75" t="s">
        <v>5</v>
      </c>
      <c r="C75" s="80"/>
      <c r="D75" s="363">
        <f t="shared" ref="D75:AG75" si="37">D46*D61</f>
        <v>4322.6420539999999</v>
      </c>
      <c r="E75" s="363">
        <f t="shared" si="37"/>
        <v>4341.1857390000005</v>
      </c>
      <c r="F75" s="363">
        <f t="shared" si="37"/>
        <v>4359.7294239999992</v>
      </c>
      <c r="G75" s="363">
        <f t="shared" si="37"/>
        <v>4378.2731089999988</v>
      </c>
      <c r="H75" s="363">
        <f t="shared" si="37"/>
        <v>4396.8167939999994</v>
      </c>
      <c r="I75" s="363">
        <f t="shared" si="37"/>
        <v>4415.1423180000002</v>
      </c>
      <c r="J75" s="363">
        <f t="shared" si="37"/>
        <v>4425.8322069999995</v>
      </c>
      <c r="K75" s="363">
        <f t="shared" si="37"/>
        <v>4436.5220959999997</v>
      </c>
      <c r="L75" s="363">
        <f t="shared" si="37"/>
        <v>4447.211984999999</v>
      </c>
      <c r="M75" s="363">
        <f t="shared" si="37"/>
        <v>4457.9018740000001</v>
      </c>
      <c r="N75" s="363">
        <f t="shared" si="37"/>
        <v>4469.028084999999</v>
      </c>
      <c r="O75" s="363">
        <f t="shared" si="37"/>
        <v>4473.1731439999994</v>
      </c>
      <c r="P75" s="363">
        <f t="shared" si="37"/>
        <v>4477.3182029999998</v>
      </c>
      <c r="Q75" s="363">
        <f t="shared" si="37"/>
        <v>4481.4632620000002</v>
      </c>
      <c r="R75" s="363">
        <f t="shared" si="37"/>
        <v>4485.6083209999997</v>
      </c>
      <c r="S75" s="363">
        <f t="shared" si="37"/>
        <v>4490.1897019999997</v>
      </c>
      <c r="T75" s="363">
        <f t="shared" si="37"/>
        <v>4487.5717699999996</v>
      </c>
      <c r="U75" s="363">
        <f t="shared" si="37"/>
        <v>4484.9538379999995</v>
      </c>
      <c r="V75" s="363">
        <f t="shared" si="37"/>
        <v>4482.3359060000003</v>
      </c>
      <c r="W75" s="363">
        <f t="shared" si="37"/>
        <v>4479.7179739999992</v>
      </c>
      <c r="X75" s="363">
        <f t="shared" si="37"/>
        <v>4477.1000419999991</v>
      </c>
      <c r="Y75" s="363">
        <f t="shared" si="37"/>
        <v>4474.482109999999</v>
      </c>
      <c r="Z75" s="363">
        <f t="shared" si="37"/>
        <v>4471.8641780000007</v>
      </c>
      <c r="AA75" s="363">
        <f t="shared" si="37"/>
        <v>4469.2462459999997</v>
      </c>
      <c r="AB75" s="363">
        <f t="shared" si="37"/>
        <v>4466.6283139999996</v>
      </c>
      <c r="AC75" s="363">
        <f t="shared" si="37"/>
        <v>4464.0103820000004</v>
      </c>
      <c r="AD75" s="363">
        <f t="shared" si="37"/>
        <v>4461.3924500000003</v>
      </c>
      <c r="AE75" s="363">
        <f t="shared" si="37"/>
        <v>4458.7745179999993</v>
      </c>
      <c r="AF75" s="363">
        <f t="shared" si="37"/>
        <v>4456.1565859999992</v>
      </c>
      <c r="AG75" s="363">
        <f t="shared" si="37"/>
        <v>4453.538654</v>
      </c>
    </row>
    <row r="76" spans="2:33" ht="15" thickBot="1" x14ac:dyDescent="0.4">
      <c r="B76" t="s">
        <v>6</v>
      </c>
      <c r="C76" s="80"/>
      <c r="D76" s="363">
        <f t="shared" ref="D76:AG76" si="38">D47*D62</f>
        <v>46422.782800000001</v>
      </c>
      <c r="E76" s="363">
        <f t="shared" si="38"/>
        <v>46672.312660000003</v>
      </c>
      <c r="F76" s="363">
        <f t="shared" si="38"/>
        <v>46921.842520000006</v>
      </c>
      <c r="G76" s="363">
        <f t="shared" si="38"/>
        <v>47171.372380000001</v>
      </c>
      <c r="H76" s="363">
        <f t="shared" si="38"/>
        <v>47420.902240000003</v>
      </c>
      <c r="I76" s="363">
        <f t="shared" si="38"/>
        <v>47670.162920000002</v>
      </c>
      <c r="J76" s="363">
        <f t="shared" si="38"/>
        <v>47920.231140000004</v>
      </c>
      <c r="K76" s="363">
        <f t="shared" si="38"/>
        <v>48170.299359999997</v>
      </c>
      <c r="L76" s="363">
        <f t="shared" si="38"/>
        <v>48420.367579999998</v>
      </c>
      <c r="M76" s="363">
        <f t="shared" si="38"/>
        <v>48670.435800000007</v>
      </c>
      <c r="N76" s="363">
        <f t="shared" si="38"/>
        <v>48919.965660000002</v>
      </c>
      <c r="O76" s="363">
        <f t="shared" si="38"/>
        <v>49088.203160000005</v>
      </c>
      <c r="P76" s="363">
        <f t="shared" si="38"/>
        <v>49256.440660000007</v>
      </c>
      <c r="Q76" s="363">
        <f t="shared" si="38"/>
        <v>49424.678160000003</v>
      </c>
      <c r="R76" s="363">
        <f t="shared" si="38"/>
        <v>49592.915660000006</v>
      </c>
      <c r="S76" s="363">
        <f t="shared" si="38"/>
        <v>49760.883979999999</v>
      </c>
      <c r="T76" s="363">
        <f t="shared" si="38"/>
        <v>49862.364839999995</v>
      </c>
      <c r="U76" s="363">
        <f t="shared" si="38"/>
        <v>49963.845699999998</v>
      </c>
      <c r="V76" s="363">
        <f t="shared" si="38"/>
        <v>50065.326559999994</v>
      </c>
      <c r="W76" s="363">
        <f t="shared" si="38"/>
        <v>50166.807420000005</v>
      </c>
      <c r="X76" s="363">
        <f t="shared" si="38"/>
        <v>50268.019100000005</v>
      </c>
      <c r="Y76" s="363">
        <f t="shared" si="38"/>
        <v>50369.499959999994</v>
      </c>
      <c r="Z76" s="363">
        <f t="shared" si="38"/>
        <v>50470.98081999999</v>
      </c>
      <c r="AA76" s="363">
        <f t="shared" si="38"/>
        <v>50572.461679999993</v>
      </c>
      <c r="AB76" s="363">
        <f t="shared" si="38"/>
        <v>50673.942539999996</v>
      </c>
      <c r="AC76" s="363">
        <f t="shared" si="38"/>
        <v>50775.4234</v>
      </c>
      <c r="AD76" s="363">
        <f t="shared" si="38"/>
        <v>50876.904259999996</v>
      </c>
      <c r="AE76" s="363">
        <f t="shared" si="38"/>
        <v>50978.385119999999</v>
      </c>
      <c r="AF76" s="363">
        <f t="shared" si="38"/>
        <v>51079.865979999995</v>
      </c>
      <c r="AG76" s="363">
        <f t="shared" si="38"/>
        <v>51181.346839999998</v>
      </c>
    </row>
    <row r="77" spans="2:33" ht="15" thickBot="1" x14ac:dyDescent="0.4">
      <c r="B77" t="s">
        <v>7</v>
      </c>
      <c r="C77" s="80"/>
      <c r="D77" s="363">
        <f t="shared" ref="D77:AG77" si="39">D48*D63</f>
        <v>4169.4930319999994</v>
      </c>
      <c r="E77" s="363">
        <f t="shared" si="39"/>
        <v>4158.3668209999996</v>
      </c>
      <c r="F77" s="363">
        <f t="shared" si="39"/>
        <v>4147.2406099999998</v>
      </c>
      <c r="G77" s="363">
        <f t="shared" si="39"/>
        <v>4136.114399</v>
      </c>
      <c r="H77" s="363">
        <f t="shared" si="39"/>
        <v>4124.9881879999994</v>
      </c>
      <c r="I77" s="363">
        <f t="shared" si="39"/>
        <v>4113.425655</v>
      </c>
      <c r="J77" s="363">
        <f t="shared" si="39"/>
        <v>4094.0093259999994</v>
      </c>
      <c r="K77" s="363">
        <f t="shared" si="39"/>
        <v>4074.5929969999993</v>
      </c>
      <c r="L77" s="363">
        <f t="shared" si="39"/>
        <v>4055.1766679999996</v>
      </c>
      <c r="M77" s="363">
        <f t="shared" si="39"/>
        <v>4035.7603389999999</v>
      </c>
      <c r="N77" s="363">
        <f t="shared" si="39"/>
        <v>4016.1258489999996</v>
      </c>
      <c r="O77" s="363">
        <f t="shared" si="39"/>
        <v>3989.5102069999994</v>
      </c>
      <c r="P77" s="363">
        <f t="shared" si="39"/>
        <v>3962.8945650000001</v>
      </c>
      <c r="Q77" s="363">
        <f t="shared" si="39"/>
        <v>3936.2789229999998</v>
      </c>
      <c r="R77" s="363">
        <f t="shared" si="39"/>
        <v>3909.6632810000001</v>
      </c>
      <c r="S77" s="363">
        <f t="shared" si="39"/>
        <v>3882.6113169999999</v>
      </c>
      <c r="T77" s="363">
        <f t="shared" si="39"/>
        <v>3853.814065</v>
      </c>
      <c r="U77" s="363">
        <f t="shared" si="39"/>
        <v>3825.0168129999997</v>
      </c>
      <c r="V77" s="363">
        <f t="shared" si="39"/>
        <v>3796.2195609999999</v>
      </c>
      <c r="W77" s="363">
        <f t="shared" si="39"/>
        <v>3767.4223089999996</v>
      </c>
      <c r="X77" s="363">
        <f t="shared" si="39"/>
        <v>3739.0613789999998</v>
      </c>
      <c r="Y77" s="363">
        <f t="shared" si="39"/>
        <v>3710.2641269999999</v>
      </c>
      <c r="Z77" s="363">
        <f t="shared" si="39"/>
        <v>3681.4668750000001</v>
      </c>
      <c r="AA77" s="363">
        <f t="shared" si="39"/>
        <v>3652.6696229999998</v>
      </c>
      <c r="AB77" s="363">
        <f t="shared" si="39"/>
        <v>3623.8723709999995</v>
      </c>
      <c r="AC77" s="363">
        <f t="shared" si="39"/>
        <v>3595.0751190000001</v>
      </c>
      <c r="AD77" s="363">
        <f t="shared" si="39"/>
        <v>3566.2778669999998</v>
      </c>
      <c r="AE77" s="363">
        <f t="shared" si="39"/>
        <v>3537.4806149999999</v>
      </c>
      <c r="AF77" s="363">
        <f t="shared" si="39"/>
        <v>3508.6833629999996</v>
      </c>
      <c r="AG77" s="363">
        <f t="shared" si="39"/>
        <v>3479.8861110000003</v>
      </c>
    </row>
    <row r="78" spans="2:33" ht="15" thickBot="1" x14ac:dyDescent="0.4">
      <c r="B78" t="s">
        <v>8</v>
      </c>
      <c r="C78" s="80"/>
      <c r="D78" s="363">
        <f t="shared" ref="D78:AG78" si="40">D49*D64</f>
        <v>3371.2419330000002</v>
      </c>
      <c r="E78" s="363">
        <f t="shared" si="40"/>
        <v>3400.4755069999997</v>
      </c>
      <c r="F78" s="363">
        <f t="shared" si="40"/>
        <v>3429.7090809999995</v>
      </c>
      <c r="G78" s="363">
        <f t="shared" si="40"/>
        <v>3458.9426549999998</v>
      </c>
      <c r="H78" s="363">
        <f t="shared" si="40"/>
        <v>3488.1762289999997</v>
      </c>
      <c r="I78" s="363">
        <f t="shared" si="40"/>
        <v>3516.9734809999995</v>
      </c>
      <c r="J78" s="363">
        <f t="shared" si="40"/>
        <v>3540.0985469999996</v>
      </c>
      <c r="K78" s="363">
        <f t="shared" si="40"/>
        <v>3563.2236129999992</v>
      </c>
      <c r="L78" s="363">
        <f t="shared" si="40"/>
        <v>3586.3486789999997</v>
      </c>
      <c r="M78" s="363">
        <f t="shared" si="40"/>
        <v>3609.4737450000002</v>
      </c>
      <c r="N78" s="363">
        <f t="shared" si="40"/>
        <v>3632.8169720000001</v>
      </c>
      <c r="O78" s="363">
        <f t="shared" si="40"/>
        <v>3651.3606569999997</v>
      </c>
      <c r="P78" s="363">
        <f t="shared" si="40"/>
        <v>3669.9043419999998</v>
      </c>
      <c r="Q78" s="363">
        <f t="shared" si="40"/>
        <v>3688.4480270000004</v>
      </c>
      <c r="R78" s="363">
        <f t="shared" si="40"/>
        <v>3706.991712</v>
      </c>
      <c r="S78" s="363">
        <f t="shared" si="40"/>
        <v>3725.7535580000003</v>
      </c>
      <c r="T78" s="363">
        <f t="shared" si="40"/>
        <v>3737.7524129999997</v>
      </c>
      <c r="U78" s="363">
        <f t="shared" si="40"/>
        <v>3749.751268</v>
      </c>
      <c r="V78" s="363">
        <f t="shared" si="40"/>
        <v>3761.7501229999998</v>
      </c>
      <c r="W78" s="363">
        <f t="shared" si="40"/>
        <v>3773.7489779999996</v>
      </c>
      <c r="X78" s="363">
        <f t="shared" si="40"/>
        <v>3785.9659940000001</v>
      </c>
      <c r="Y78" s="363">
        <f t="shared" si="40"/>
        <v>3797.9648489999995</v>
      </c>
      <c r="Z78" s="363">
        <f t="shared" si="40"/>
        <v>3809.9637039999998</v>
      </c>
      <c r="AA78" s="363">
        <f t="shared" si="40"/>
        <v>3821.9625589999996</v>
      </c>
      <c r="AB78" s="363">
        <f t="shared" si="40"/>
        <v>3833.9614139999999</v>
      </c>
      <c r="AC78" s="363">
        <f t="shared" si="40"/>
        <v>3845.9602689999992</v>
      </c>
      <c r="AD78" s="363">
        <f t="shared" si="40"/>
        <v>3857.959124</v>
      </c>
      <c r="AE78" s="363">
        <f t="shared" si="40"/>
        <v>3869.9579789999998</v>
      </c>
      <c r="AF78" s="363">
        <f t="shared" si="40"/>
        <v>3881.9568339999996</v>
      </c>
      <c r="AG78" s="363">
        <f t="shared" si="40"/>
        <v>3893.9556889999999</v>
      </c>
    </row>
    <row r="79" spans="2:33" ht="15" thickBot="1" x14ac:dyDescent="0.4">
      <c r="B79" t="s">
        <v>9</v>
      </c>
      <c r="C79" s="80"/>
      <c r="D79" s="363">
        <f t="shared" ref="D79:AG79" si="41">D50*D65</f>
        <v>2749.0467609999996</v>
      </c>
      <c r="E79" s="363">
        <f t="shared" si="41"/>
        <v>2773.2626319999999</v>
      </c>
      <c r="F79" s="363">
        <f t="shared" si="41"/>
        <v>2797.4785029999998</v>
      </c>
      <c r="G79" s="363">
        <f t="shared" si="41"/>
        <v>2821.6943739999997</v>
      </c>
      <c r="H79" s="363">
        <f t="shared" si="41"/>
        <v>2845.910245</v>
      </c>
      <c r="I79" s="363">
        <f t="shared" si="41"/>
        <v>2870.5624379999999</v>
      </c>
      <c r="J79" s="363">
        <f t="shared" si="41"/>
        <v>2891.0695720000003</v>
      </c>
      <c r="K79" s="363">
        <f t="shared" si="41"/>
        <v>2911.5767060000003</v>
      </c>
      <c r="L79" s="363">
        <f t="shared" si="41"/>
        <v>2932.0838399999993</v>
      </c>
      <c r="M79" s="363">
        <f t="shared" si="41"/>
        <v>2952.5909739999993</v>
      </c>
      <c r="N79" s="363">
        <f t="shared" si="41"/>
        <v>2972.8799470000004</v>
      </c>
      <c r="O79" s="363">
        <f t="shared" si="41"/>
        <v>2987.2785730000001</v>
      </c>
      <c r="P79" s="363">
        <f t="shared" si="41"/>
        <v>3001.6771989999997</v>
      </c>
      <c r="Q79" s="363">
        <f t="shared" si="41"/>
        <v>3016.0758249999999</v>
      </c>
      <c r="R79" s="363">
        <f t="shared" si="41"/>
        <v>3030.474451</v>
      </c>
      <c r="S79" s="363">
        <f t="shared" si="41"/>
        <v>3045.3093989999998</v>
      </c>
      <c r="T79" s="363">
        <f t="shared" si="41"/>
        <v>3055.7811269999997</v>
      </c>
      <c r="U79" s="363">
        <f t="shared" si="41"/>
        <v>3066.2528549999997</v>
      </c>
      <c r="V79" s="363">
        <f t="shared" si="41"/>
        <v>3076.7245829999997</v>
      </c>
      <c r="W79" s="363">
        <f t="shared" si="41"/>
        <v>3087.1963109999997</v>
      </c>
      <c r="X79" s="363">
        <f t="shared" si="41"/>
        <v>3098.1043610000002</v>
      </c>
      <c r="Y79" s="363">
        <f t="shared" si="41"/>
        <v>3108.5760890000001</v>
      </c>
      <c r="Z79" s="363">
        <f t="shared" si="41"/>
        <v>3119.0478169999997</v>
      </c>
      <c r="AA79" s="363">
        <f t="shared" si="41"/>
        <v>3129.5195450000001</v>
      </c>
      <c r="AB79" s="363">
        <f t="shared" si="41"/>
        <v>3139.9912729999996</v>
      </c>
      <c r="AC79" s="363">
        <f t="shared" si="41"/>
        <v>3150.4630009999996</v>
      </c>
      <c r="AD79" s="363">
        <f t="shared" si="41"/>
        <v>3160.9347289999996</v>
      </c>
      <c r="AE79" s="363">
        <f t="shared" si="41"/>
        <v>3171.4064569999996</v>
      </c>
      <c r="AF79" s="363">
        <f t="shared" si="41"/>
        <v>3181.8781849999996</v>
      </c>
      <c r="AG79" s="363">
        <f t="shared" si="41"/>
        <v>3192.3499129999996</v>
      </c>
    </row>
    <row r="80" spans="2:33" x14ac:dyDescent="0.35">
      <c r="C80" s="92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3"/>
      <c r="AF80" s="93"/>
      <c r="AG80" s="93"/>
    </row>
    <row r="81" spans="2:33" x14ac:dyDescent="0.35">
      <c r="B81" s="81" t="s">
        <v>200</v>
      </c>
      <c r="C81" s="85"/>
      <c r="D81" s="362">
        <f t="shared" ref="D81:AG81" si="42">SUM(D71:D79)</f>
        <v>70821.699330000003</v>
      </c>
      <c r="E81" s="362">
        <f t="shared" si="42"/>
        <v>71150.655130999992</v>
      </c>
      <c r="F81" s="362">
        <f t="shared" si="42"/>
        <v>71479.610932000011</v>
      </c>
      <c r="G81" s="362">
        <f t="shared" si="42"/>
        <v>71808.566733</v>
      </c>
      <c r="H81" s="362">
        <f t="shared" si="42"/>
        <v>72137.522534000018</v>
      </c>
      <c r="I81" s="362">
        <f t="shared" si="42"/>
        <v>72466.212597999998</v>
      </c>
      <c r="J81" s="362">
        <f t="shared" si="42"/>
        <v>72752.049519000022</v>
      </c>
      <c r="K81" s="362">
        <f t="shared" si="42"/>
        <v>73037.886440000002</v>
      </c>
      <c r="L81" s="362">
        <f t="shared" si="42"/>
        <v>73323.723361000011</v>
      </c>
      <c r="M81" s="362">
        <f t="shared" si="42"/>
        <v>73609.560282000006</v>
      </c>
      <c r="N81" s="362">
        <f t="shared" si="42"/>
        <v>73894.872302000003</v>
      </c>
      <c r="O81" s="362">
        <f t="shared" si="42"/>
        <v>74060.079649000007</v>
      </c>
      <c r="P81" s="362">
        <f t="shared" si="42"/>
        <v>74225.286995999995</v>
      </c>
      <c r="Q81" s="362">
        <f t="shared" si="42"/>
        <v>74390.494342999998</v>
      </c>
      <c r="R81" s="362">
        <f t="shared" si="42"/>
        <v>74555.701690000016</v>
      </c>
      <c r="S81" s="362">
        <f t="shared" si="42"/>
        <v>74721.693727999998</v>
      </c>
      <c r="T81" s="362">
        <f t="shared" si="42"/>
        <v>74788.096990999984</v>
      </c>
      <c r="U81" s="362">
        <f t="shared" si="42"/>
        <v>74854.500253999984</v>
      </c>
      <c r="V81" s="362">
        <f t="shared" si="42"/>
        <v>74920.903516999999</v>
      </c>
      <c r="W81" s="362">
        <f t="shared" si="42"/>
        <v>74987.306780000014</v>
      </c>
      <c r="X81" s="362">
        <f t="shared" si="42"/>
        <v>75053.914119000008</v>
      </c>
      <c r="Y81" s="362">
        <f t="shared" si="42"/>
        <v>75120.317381999979</v>
      </c>
      <c r="Z81" s="362">
        <f t="shared" si="42"/>
        <v>75186.720644999979</v>
      </c>
      <c r="AA81" s="362">
        <f t="shared" si="42"/>
        <v>75253.123907999994</v>
      </c>
      <c r="AB81" s="362">
        <f t="shared" si="42"/>
        <v>75319.527170999994</v>
      </c>
      <c r="AC81" s="362">
        <f t="shared" si="42"/>
        <v>75385.930433999994</v>
      </c>
      <c r="AD81" s="362">
        <f t="shared" si="42"/>
        <v>75452.333696999995</v>
      </c>
      <c r="AE81" s="362">
        <f t="shared" si="42"/>
        <v>75518.736959999995</v>
      </c>
      <c r="AF81" s="362">
        <f t="shared" si="42"/>
        <v>75585.14022299998</v>
      </c>
      <c r="AG81" s="362">
        <f t="shared" si="42"/>
        <v>75651.543485999995</v>
      </c>
    </row>
    <row r="83" spans="2:33" x14ac:dyDescent="0.35">
      <c r="B83" s="374" t="s">
        <v>204</v>
      </c>
      <c r="C83" s="375"/>
      <c r="D83" s="376"/>
      <c r="E83" s="376"/>
      <c r="F83" s="376"/>
      <c r="G83" s="376"/>
      <c r="H83" s="376"/>
      <c r="I83" s="376"/>
      <c r="J83" s="376"/>
      <c r="K83" s="376"/>
      <c r="L83" s="376"/>
      <c r="M83" s="376"/>
      <c r="N83" s="376"/>
      <c r="O83" s="376"/>
      <c r="P83" s="376"/>
      <c r="Q83" s="376"/>
      <c r="R83" s="376"/>
      <c r="S83" s="376"/>
      <c r="T83" s="376"/>
      <c r="U83" s="376"/>
      <c r="V83" s="376"/>
      <c r="W83" s="376"/>
      <c r="X83" s="376"/>
      <c r="Y83" s="376"/>
      <c r="Z83" s="376"/>
      <c r="AA83" s="376"/>
      <c r="AB83" s="376"/>
      <c r="AC83" s="376"/>
      <c r="AD83" s="376"/>
      <c r="AE83" s="376"/>
      <c r="AF83" s="376"/>
      <c r="AG83" s="376"/>
    </row>
    <row r="84" spans="2:33" ht="15" thickBot="1" x14ac:dyDescent="0.4"/>
    <row r="85" spans="2:33" ht="15" thickBot="1" x14ac:dyDescent="0.4">
      <c r="B85" t="s">
        <v>1</v>
      </c>
      <c r="D85" s="358"/>
      <c r="E85" s="358"/>
      <c r="F85" s="358">
        <v>7.3999999999999996E-2</v>
      </c>
      <c r="G85" s="358">
        <v>7.3999999999999996E-2</v>
      </c>
      <c r="H85" s="358">
        <v>7.3999999999999996E-2</v>
      </c>
      <c r="I85" s="358">
        <v>9.7000000000000003E-2</v>
      </c>
      <c r="J85" s="358">
        <v>9.7000000000000003E-2</v>
      </c>
      <c r="K85" s="358">
        <v>9.7000000000000003E-2</v>
      </c>
      <c r="L85" s="358">
        <v>9.7000000000000003E-2</v>
      </c>
      <c r="M85" s="358">
        <v>0.113</v>
      </c>
      <c r="N85" s="358">
        <v>0.113</v>
      </c>
      <c r="O85" s="358">
        <v>0.113</v>
      </c>
      <c r="P85" s="358">
        <v>0.113</v>
      </c>
      <c r="Q85" s="358">
        <v>0.129</v>
      </c>
      <c r="R85" s="358">
        <v>0.129</v>
      </c>
      <c r="S85" s="358">
        <v>0.129</v>
      </c>
      <c r="T85" s="358">
        <v>0.129</v>
      </c>
      <c r="U85" s="358">
        <v>0.129</v>
      </c>
      <c r="V85" s="358">
        <v>0.129</v>
      </c>
      <c r="W85" s="358">
        <v>0.129</v>
      </c>
      <c r="X85" s="358">
        <v>0.129</v>
      </c>
      <c r="Y85" s="358">
        <v>0.129</v>
      </c>
      <c r="Z85" s="358">
        <v>0.129</v>
      </c>
      <c r="AA85" s="358">
        <v>0.129</v>
      </c>
      <c r="AB85" s="358">
        <v>0.129</v>
      </c>
      <c r="AC85" s="358">
        <v>0.129</v>
      </c>
      <c r="AD85" s="358">
        <v>0.129</v>
      </c>
      <c r="AE85" s="358">
        <v>0.129</v>
      </c>
      <c r="AF85" s="358">
        <v>0.129</v>
      </c>
      <c r="AG85" s="358">
        <v>0.129</v>
      </c>
    </row>
    <row r="86" spans="2:33" ht="15" thickBot="1" x14ac:dyDescent="0.4">
      <c r="B86" t="s">
        <v>2</v>
      </c>
      <c r="D86" s="358">
        <v>4.5999999999999999E-2</v>
      </c>
      <c r="E86" s="358">
        <v>7.3999999999999996E-2</v>
      </c>
      <c r="F86" s="358">
        <v>7.3999999999999996E-2</v>
      </c>
      <c r="G86" s="358">
        <v>7.3999999999999996E-2</v>
      </c>
      <c r="H86" s="358">
        <v>7.3999999999999996E-2</v>
      </c>
      <c r="I86" s="358">
        <v>9.7000000000000003E-2</v>
      </c>
      <c r="J86" s="358">
        <v>9.7000000000000003E-2</v>
      </c>
      <c r="K86" s="358">
        <v>9.7000000000000003E-2</v>
      </c>
      <c r="L86" s="358">
        <v>9.7000000000000003E-2</v>
      </c>
      <c r="M86" s="358">
        <v>0.113</v>
      </c>
      <c r="N86" s="358">
        <v>0.113</v>
      </c>
      <c r="O86" s="358">
        <v>0.113</v>
      </c>
      <c r="P86" s="358">
        <v>0.113</v>
      </c>
      <c r="Q86" s="358">
        <v>0.129</v>
      </c>
      <c r="R86" s="358">
        <v>0.129</v>
      </c>
      <c r="S86" s="358">
        <v>0.129</v>
      </c>
      <c r="T86" s="358">
        <v>0.129</v>
      </c>
      <c r="U86" s="358">
        <v>0.129</v>
      </c>
      <c r="V86" s="358">
        <v>0.129</v>
      </c>
      <c r="W86" s="358">
        <v>0.129</v>
      </c>
      <c r="X86" s="358">
        <v>0.129</v>
      </c>
      <c r="Y86" s="358">
        <v>0.129</v>
      </c>
      <c r="Z86" s="358">
        <v>0.129</v>
      </c>
      <c r="AA86" s="358">
        <v>0.129</v>
      </c>
      <c r="AB86" s="358">
        <v>0.129</v>
      </c>
      <c r="AC86" s="358">
        <v>0.129</v>
      </c>
      <c r="AD86" s="358">
        <v>0.129</v>
      </c>
      <c r="AE86" s="358">
        <v>0.129</v>
      </c>
      <c r="AF86" s="358">
        <v>0.129</v>
      </c>
      <c r="AG86" s="358">
        <v>0.129</v>
      </c>
    </row>
    <row r="87" spans="2:33" ht="15" thickBot="1" x14ac:dyDescent="0.4">
      <c r="B87" t="s">
        <v>3</v>
      </c>
      <c r="D87" s="358"/>
      <c r="E87" s="358"/>
      <c r="F87" s="358">
        <v>7.3999999999999996E-2</v>
      </c>
      <c r="G87" s="358">
        <v>7.3999999999999996E-2</v>
      </c>
      <c r="H87" s="358">
        <v>7.3999999999999996E-2</v>
      </c>
      <c r="I87" s="358">
        <v>9.7000000000000003E-2</v>
      </c>
      <c r="J87" s="358">
        <v>9.7000000000000003E-2</v>
      </c>
      <c r="K87" s="358">
        <v>9.7000000000000003E-2</v>
      </c>
      <c r="L87" s="358">
        <v>9.7000000000000003E-2</v>
      </c>
      <c r="M87" s="358">
        <v>0.113</v>
      </c>
      <c r="N87" s="358">
        <v>0.113</v>
      </c>
      <c r="O87" s="358">
        <v>0.113</v>
      </c>
      <c r="P87" s="358">
        <v>0.113</v>
      </c>
      <c r="Q87" s="358">
        <v>0.129</v>
      </c>
      <c r="R87" s="358">
        <v>0.129</v>
      </c>
      <c r="S87" s="358">
        <v>0.129</v>
      </c>
      <c r="T87" s="358">
        <v>0.129</v>
      </c>
      <c r="U87" s="358">
        <v>0.129</v>
      </c>
      <c r="V87" s="358">
        <v>0.129</v>
      </c>
      <c r="W87" s="358">
        <v>0.129</v>
      </c>
      <c r="X87" s="358">
        <v>0.129</v>
      </c>
      <c r="Y87" s="358">
        <v>0.129</v>
      </c>
      <c r="Z87" s="358">
        <v>0.129</v>
      </c>
      <c r="AA87" s="358">
        <v>0.129</v>
      </c>
      <c r="AB87" s="358">
        <v>0.129</v>
      </c>
      <c r="AC87" s="358">
        <v>0.129</v>
      </c>
      <c r="AD87" s="358">
        <v>0.129</v>
      </c>
      <c r="AE87" s="358">
        <v>0.129</v>
      </c>
      <c r="AF87" s="358">
        <v>0.129</v>
      </c>
      <c r="AG87" s="358">
        <v>0.129</v>
      </c>
    </row>
    <row r="88" spans="2:33" ht="15" thickBot="1" x14ac:dyDescent="0.4">
      <c r="B88" t="s">
        <v>4</v>
      </c>
      <c r="D88" s="358"/>
      <c r="E88" s="358"/>
      <c r="F88" s="358">
        <v>7.3999999999999996E-2</v>
      </c>
      <c r="G88" s="358">
        <v>7.3999999999999996E-2</v>
      </c>
      <c r="H88" s="358">
        <v>7.3999999999999996E-2</v>
      </c>
      <c r="I88" s="358">
        <v>9.7000000000000003E-2</v>
      </c>
      <c r="J88" s="358">
        <v>9.7000000000000003E-2</v>
      </c>
      <c r="K88" s="358">
        <v>9.7000000000000003E-2</v>
      </c>
      <c r="L88" s="358">
        <v>9.7000000000000003E-2</v>
      </c>
      <c r="M88" s="358">
        <v>0.113</v>
      </c>
      <c r="N88" s="358">
        <v>0.113</v>
      </c>
      <c r="O88" s="358">
        <v>0.113</v>
      </c>
      <c r="P88" s="358">
        <v>0.113</v>
      </c>
      <c r="Q88" s="358">
        <v>0.129</v>
      </c>
      <c r="R88" s="358">
        <v>0.129</v>
      </c>
      <c r="S88" s="358">
        <v>0.129</v>
      </c>
      <c r="T88" s="358">
        <v>0.129</v>
      </c>
      <c r="U88" s="358">
        <v>0.129</v>
      </c>
      <c r="V88" s="358">
        <v>0.129</v>
      </c>
      <c r="W88" s="358">
        <v>0.129</v>
      </c>
      <c r="X88" s="358">
        <v>0.129</v>
      </c>
      <c r="Y88" s="358">
        <v>0.129</v>
      </c>
      <c r="Z88" s="358">
        <v>0.129</v>
      </c>
      <c r="AA88" s="358">
        <v>0.129</v>
      </c>
      <c r="AB88" s="358">
        <v>0.129</v>
      </c>
      <c r="AC88" s="358">
        <v>0.129</v>
      </c>
      <c r="AD88" s="358">
        <v>0.129</v>
      </c>
      <c r="AE88" s="358">
        <v>0.129</v>
      </c>
      <c r="AF88" s="358">
        <v>0.129</v>
      </c>
      <c r="AG88" s="358">
        <v>0.129</v>
      </c>
    </row>
    <row r="89" spans="2:33" ht="15" thickBot="1" x14ac:dyDescent="0.4">
      <c r="B89" t="s">
        <v>5</v>
      </c>
      <c r="D89" s="358"/>
      <c r="E89" s="358"/>
      <c r="F89" s="358">
        <v>7.3999999999999996E-2</v>
      </c>
      <c r="G89" s="358">
        <v>7.3999999999999996E-2</v>
      </c>
      <c r="H89" s="358">
        <v>7.3999999999999996E-2</v>
      </c>
      <c r="I89" s="358">
        <v>9.7000000000000003E-2</v>
      </c>
      <c r="J89" s="358">
        <v>9.7000000000000003E-2</v>
      </c>
      <c r="K89" s="358">
        <v>9.7000000000000003E-2</v>
      </c>
      <c r="L89" s="358">
        <v>9.7000000000000003E-2</v>
      </c>
      <c r="M89" s="358">
        <v>0.113</v>
      </c>
      <c r="N89" s="358">
        <v>0.113</v>
      </c>
      <c r="O89" s="358">
        <v>0.113</v>
      </c>
      <c r="P89" s="358">
        <v>0.113</v>
      </c>
      <c r="Q89" s="358">
        <v>0.129</v>
      </c>
      <c r="R89" s="358">
        <v>0.129</v>
      </c>
      <c r="S89" s="358">
        <v>0.129</v>
      </c>
      <c r="T89" s="358">
        <v>0.129</v>
      </c>
      <c r="U89" s="358">
        <v>0.129</v>
      </c>
      <c r="V89" s="358">
        <v>0.129</v>
      </c>
      <c r="W89" s="358">
        <v>0.129</v>
      </c>
      <c r="X89" s="358">
        <v>0.129</v>
      </c>
      <c r="Y89" s="358">
        <v>0.129</v>
      </c>
      <c r="Z89" s="358">
        <v>0.129</v>
      </c>
      <c r="AA89" s="358">
        <v>0.129</v>
      </c>
      <c r="AB89" s="358">
        <v>0.129</v>
      </c>
      <c r="AC89" s="358">
        <v>0.129</v>
      </c>
      <c r="AD89" s="358">
        <v>0.129</v>
      </c>
      <c r="AE89" s="358">
        <v>0.129</v>
      </c>
      <c r="AF89" s="358">
        <v>0.129</v>
      </c>
      <c r="AG89" s="358">
        <v>0.129</v>
      </c>
    </row>
    <row r="90" spans="2:33" ht="15" thickBot="1" x14ac:dyDescent="0.4">
      <c r="B90" t="s">
        <v>6</v>
      </c>
      <c r="D90" s="358"/>
      <c r="E90" s="358"/>
      <c r="F90" s="358">
        <v>7.3999999999999996E-2</v>
      </c>
      <c r="G90" s="358">
        <v>7.3999999999999996E-2</v>
      </c>
      <c r="H90" s="358">
        <v>7.3999999999999996E-2</v>
      </c>
      <c r="I90" s="358">
        <v>9.7000000000000003E-2</v>
      </c>
      <c r="J90" s="358">
        <v>9.7000000000000003E-2</v>
      </c>
      <c r="K90" s="358">
        <v>9.7000000000000003E-2</v>
      </c>
      <c r="L90" s="358">
        <v>9.7000000000000003E-2</v>
      </c>
      <c r="M90" s="358">
        <v>0.113</v>
      </c>
      <c r="N90" s="358">
        <v>0.113</v>
      </c>
      <c r="O90" s="358">
        <v>0.113</v>
      </c>
      <c r="P90" s="358">
        <v>0.113</v>
      </c>
      <c r="Q90" s="358">
        <v>0.129</v>
      </c>
      <c r="R90" s="358">
        <v>0.129</v>
      </c>
      <c r="S90" s="358">
        <v>0.129</v>
      </c>
      <c r="T90" s="358">
        <v>0.129</v>
      </c>
      <c r="U90" s="358">
        <v>0.129</v>
      </c>
      <c r="V90" s="358">
        <v>0.129</v>
      </c>
      <c r="W90" s="358">
        <v>0.129</v>
      </c>
      <c r="X90" s="358">
        <v>0.129</v>
      </c>
      <c r="Y90" s="358">
        <v>0.129</v>
      </c>
      <c r="Z90" s="358">
        <v>0.129</v>
      </c>
      <c r="AA90" s="358">
        <v>0.129</v>
      </c>
      <c r="AB90" s="358">
        <v>0.129</v>
      </c>
      <c r="AC90" s="358">
        <v>0.129</v>
      </c>
      <c r="AD90" s="358">
        <v>0.129</v>
      </c>
      <c r="AE90" s="358">
        <v>0.129</v>
      </c>
      <c r="AF90" s="358">
        <v>0.129</v>
      </c>
      <c r="AG90" s="358">
        <v>0.129</v>
      </c>
    </row>
    <row r="91" spans="2:33" ht="15" thickBot="1" x14ac:dyDescent="0.4">
      <c r="B91" t="s">
        <v>7</v>
      </c>
      <c r="D91" s="358"/>
      <c r="E91" s="358"/>
      <c r="F91" s="358">
        <v>7.3999999999999996E-2</v>
      </c>
      <c r="G91" s="358">
        <v>7.3999999999999996E-2</v>
      </c>
      <c r="H91" s="358">
        <v>7.3999999999999996E-2</v>
      </c>
      <c r="I91" s="358">
        <v>9.7000000000000003E-2</v>
      </c>
      <c r="J91" s="358">
        <v>9.7000000000000003E-2</v>
      </c>
      <c r="K91" s="358">
        <v>9.7000000000000003E-2</v>
      </c>
      <c r="L91" s="358">
        <v>9.7000000000000003E-2</v>
      </c>
      <c r="M91" s="358">
        <v>0.113</v>
      </c>
      <c r="N91" s="358">
        <v>0.113</v>
      </c>
      <c r="O91" s="358">
        <v>0.113</v>
      </c>
      <c r="P91" s="358">
        <v>0.113</v>
      </c>
      <c r="Q91" s="358">
        <v>0.129</v>
      </c>
      <c r="R91" s="358">
        <v>0.129</v>
      </c>
      <c r="S91" s="358">
        <v>0.129</v>
      </c>
      <c r="T91" s="358">
        <v>0.129</v>
      </c>
      <c r="U91" s="358">
        <v>0.129</v>
      </c>
      <c r="V91" s="358">
        <v>0.129</v>
      </c>
      <c r="W91" s="358">
        <v>0.129</v>
      </c>
      <c r="X91" s="358">
        <v>0.129</v>
      </c>
      <c r="Y91" s="358">
        <v>0.129</v>
      </c>
      <c r="Z91" s="358">
        <v>0.129</v>
      </c>
      <c r="AA91" s="358">
        <v>0.129</v>
      </c>
      <c r="AB91" s="358">
        <v>0.129</v>
      </c>
      <c r="AC91" s="358">
        <v>0.129</v>
      </c>
      <c r="AD91" s="358">
        <v>0.129</v>
      </c>
      <c r="AE91" s="358">
        <v>0.129</v>
      </c>
      <c r="AF91" s="358">
        <v>0.129</v>
      </c>
      <c r="AG91" s="358">
        <v>0.129</v>
      </c>
    </row>
    <row r="92" spans="2:33" ht="15" thickBot="1" x14ac:dyDescent="0.4">
      <c r="B92" t="s">
        <v>8</v>
      </c>
      <c r="D92" s="358">
        <v>4.5999999999999999E-2</v>
      </c>
      <c r="E92" s="358">
        <v>7.3999999999999996E-2</v>
      </c>
      <c r="F92" s="358">
        <v>7.3999999999999996E-2</v>
      </c>
      <c r="G92" s="358">
        <v>7.3999999999999996E-2</v>
      </c>
      <c r="H92" s="358">
        <v>7.3999999999999996E-2</v>
      </c>
      <c r="I92" s="358">
        <v>9.7000000000000003E-2</v>
      </c>
      <c r="J92" s="358">
        <v>9.7000000000000003E-2</v>
      </c>
      <c r="K92" s="358">
        <v>9.7000000000000003E-2</v>
      </c>
      <c r="L92" s="358">
        <v>9.7000000000000003E-2</v>
      </c>
      <c r="M92" s="358">
        <v>0.113</v>
      </c>
      <c r="N92" s="358">
        <v>0.113</v>
      </c>
      <c r="O92" s="358">
        <v>0.113</v>
      </c>
      <c r="P92" s="358">
        <v>0.113</v>
      </c>
      <c r="Q92" s="358">
        <v>0.129</v>
      </c>
      <c r="R92" s="358">
        <v>0.129</v>
      </c>
      <c r="S92" s="358">
        <v>0.129</v>
      </c>
      <c r="T92" s="358">
        <v>0.129</v>
      </c>
      <c r="U92" s="358">
        <v>0.129</v>
      </c>
      <c r="V92" s="358">
        <v>0.129</v>
      </c>
      <c r="W92" s="358">
        <v>0.129</v>
      </c>
      <c r="X92" s="358">
        <v>0.129</v>
      </c>
      <c r="Y92" s="358">
        <v>0.129</v>
      </c>
      <c r="Z92" s="358">
        <v>0.129</v>
      </c>
      <c r="AA92" s="358">
        <v>0.129</v>
      </c>
      <c r="AB92" s="358">
        <v>0.129</v>
      </c>
      <c r="AC92" s="358">
        <v>0.129</v>
      </c>
      <c r="AD92" s="358">
        <v>0.129</v>
      </c>
      <c r="AE92" s="358">
        <v>0.129</v>
      </c>
      <c r="AF92" s="358">
        <v>0.129</v>
      </c>
      <c r="AG92" s="358">
        <v>0.129</v>
      </c>
    </row>
    <row r="93" spans="2:33" ht="15" thickBot="1" x14ac:dyDescent="0.4">
      <c r="B93" t="s">
        <v>9</v>
      </c>
      <c r="D93" s="358"/>
      <c r="E93" s="358"/>
      <c r="F93" s="358">
        <v>7.3999999999999996E-2</v>
      </c>
      <c r="G93" s="358">
        <v>7.3999999999999996E-2</v>
      </c>
      <c r="H93" s="358">
        <v>7.3999999999999996E-2</v>
      </c>
      <c r="I93" s="358">
        <v>9.7000000000000003E-2</v>
      </c>
      <c r="J93" s="358">
        <v>9.7000000000000003E-2</v>
      </c>
      <c r="K93" s="358">
        <v>9.7000000000000003E-2</v>
      </c>
      <c r="L93" s="358">
        <v>9.7000000000000003E-2</v>
      </c>
      <c r="M93" s="358">
        <v>0.113</v>
      </c>
      <c r="N93" s="358">
        <v>0.113</v>
      </c>
      <c r="O93" s="358">
        <v>0.113</v>
      </c>
      <c r="P93" s="358">
        <v>0.113</v>
      </c>
      <c r="Q93" s="358">
        <v>0.129</v>
      </c>
      <c r="R93" s="358">
        <v>0.129</v>
      </c>
      <c r="S93" s="358">
        <v>0.129</v>
      </c>
      <c r="T93" s="358">
        <v>0.129</v>
      </c>
      <c r="U93" s="358">
        <v>0.129</v>
      </c>
      <c r="V93" s="358">
        <v>0.129</v>
      </c>
      <c r="W93" s="358">
        <v>0.129</v>
      </c>
      <c r="X93" s="358">
        <v>0.129</v>
      </c>
      <c r="Y93" s="358">
        <v>0.129</v>
      </c>
      <c r="Z93" s="358">
        <v>0.129</v>
      </c>
      <c r="AA93" s="358">
        <v>0.129</v>
      </c>
      <c r="AB93" s="358">
        <v>0.129</v>
      </c>
      <c r="AC93" s="358">
        <v>0.129</v>
      </c>
      <c r="AD93" s="358">
        <v>0.129</v>
      </c>
      <c r="AE93" s="358">
        <v>0.129</v>
      </c>
      <c r="AF93" s="358">
        <v>0.129</v>
      </c>
      <c r="AG93" s="358">
        <v>0.129</v>
      </c>
    </row>
    <row r="94" spans="2:33" x14ac:dyDescent="0.35"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53"/>
      <c r="AG94" s="53"/>
    </row>
    <row r="96" spans="2:33" ht="15.5" x14ac:dyDescent="0.35">
      <c r="B96" s="99" t="s">
        <v>205</v>
      </c>
    </row>
    <row r="97" spans="2:33" x14ac:dyDescent="0.35">
      <c r="B97" s="372" t="s">
        <v>68</v>
      </c>
      <c r="C97" s="372"/>
      <c r="D97" s="373">
        <v>1</v>
      </c>
      <c r="E97" s="373">
        <f>D97+1</f>
        <v>2</v>
      </c>
      <c r="F97" s="373">
        <f t="shared" ref="F97" si="43">E97+1</f>
        <v>3</v>
      </c>
      <c r="G97" s="373">
        <f t="shared" ref="G97" si="44">F97+1</f>
        <v>4</v>
      </c>
      <c r="H97" s="373">
        <f t="shared" ref="H97" si="45">G97+1</f>
        <v>5</v>
      </c>
      <c r="I97" s="373">
        <f t="shared" ref="I97" si="46">H97+1</f>
        <v>6</v>
      </c>
      <c r="J97" s="373">
        <f t="shared" ref="J97" si="47">I97+1</f>
        <v>7</v>
      </c>
      <c r="K97" s="373">
        <f t="shared" ref="K97" si="48">J97+1</f>
        <v>8</v>
      </c>
      <c r="L97" s="373">
        <f t="shared" ref="L97" si="49">K97+1</f>
        <v>9</v>
      </c>
      <c r="M97" s="373">
        <f t="shared" ref="M97" si="50">L97+1</f>
        <v>10</v>
      </c>
      <c r="N97" s="373">
        <f t="shared" ref="N97" si="51">M97+1</f>
        <v>11</v>
      </c>
      <c r="O97" s="373">
        <f t="shared" ref="O97" si="52">N97+1</f>
        <v>12</v>
      </c>
      <c r="P97" s="373">
        <f t="shared" ref="P97" si="53">O97+1</f>
        <v>13</v>
      </c>
      <c r="Q97" s="373">
        <f t="shared" ref="Q97" si="54">P97+1</f>
        <v>14</v>
      </c>
      <c r="R97" s="373">
        <f t="shared" ref="R97" si="55">Q97+1</f>
        <v>15</v>
      </c>
      <c r="S97" s="373">
        <f t="shared" ref="S97" si="56">R97+1</f>
        <v>16</v>
      </c>
      <c r="T97" s="373">
        <f t="shared" ref="T97" si="57">S97+1</f>
        <v>17</v>
      </c>
      <c r="U97" s="373">
        <f t="shared" ref="U97" si="58">T97+1</f>
        <v>18</v>
      </c>
      <c r="V97" s="373">
        <f t="shared" ref="V97" si="59">U97+1</f>
        <v>19</v>
      </c>
      <c r="W97" s="373">
        <f t="shared" ref="W97" si="60">V97+1</f>
        <v>20</v>
      </c>
      <c r="X97" s="373">
        <f t="shared" ref="X97" si="61">W97+1</f>
        <v>21</v>
      </c>
      <c r="Y97" s="373">
        <f t="shared" ref="Y97" si="62">X97+1</f>
        <v>22</v>
      </c>
      <c r="Z97" s="373">
        <f t="shared" ref="Z97" si="63">Y97+1</f>
        <v>23</v>
      </c>
      <c r="AA97" s="373">
        <f t="shared" ref="AA97" si="64">Z97+1</f>
        <v>24</v>
      </c>
      <c r="AB97" s="373">
        <f t="shared" ref="AB97" si="65">AA97+1</f>
        <v>25</v>
      </c>
      <c r="AC97" s="373">
        <f t="shared" ref="AC97" si="66">AB97+1</f>
        <v>26</v>
      </c>
      <c r="AD97" s="373">
        <f t="shared" ref="AD97" si="67">AC97+1</f>
        <v>27</v>
      </c>
      <c r="AE97" s="373">
        <f t="shared" ref="AE97" si="68">AD97+1</f>
        <v>28</v>
      </c>
      <c r="AF97" s="373">
        <f t="shared" ref="AF97" si="69">AE97+1</f>
        <v>29</v>
      </c>
      <c r="AG97" s="373">
        <f t="shared" ref="AG97" si="70">AF97+1</f>
        <v>30</v>
      </c>
    </row>
    <row r="98" spans="2:33" ht="4.5" customHeight="1" thickBot="1" x14ac:dyDescent="0.4">
      <c r="B98" s="82"/>
      <c r="C98" s="82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  <c r="S98" s="84"/>
      <c r="T98" s="84"/>
      <c r="U98" s="84"/>
      <c r="V98" s="84"/>
      <c r="W98" s="84"/>
      <c r="X98" s="84"/>
      <c r="Y98" s="84"/>
      <c r="Z98" s="84"/>
      <c r="AA98" s="84"/>
      <c r="AB98" s="84"/>
      <c r="AC98" s="84"/>
      <c r="AD98" s="84"/>
      <c r="AE98" s="84"/>
      <c r="AF98" s="84"/>
      <c r="AG98" s="84"/>
    </row>
    <row r="99" spans="2:33" ht="15" thickBot="1" x14ac:dyDescent="0.4">
      <c r="B99" t="s">
        <v>1</v>
      </c>
      <c r="C99" s="80"/>
      <c r="D99" s="1523">
        <v>0</v>
      </c>
      <c r="E99" s="1523">
        <v>0</v>
      </c>
      <c r="F99" s="1523">
        <f t="shared" ref="F99:AG99" si="71">F71*F85</f>
        <v>41.199917064000005</v>
      </c>
      <c r="G99" s="1523">
        <f t="shared" si="71"/>
        <v>40.963317234000002</v>
      </c>
      <c r="H99" s="1523">
        <f t="shared" si="71"/>
        <v>40.726717403999999</v>
      </c>
      <c r="I99" s="1523">
        <f t="shared" si="71"/>
        <v>53.074883847000009</v>
      </c>
      <c r="J99" s="1523">
        <f t="shared" si="71"/>
        <v>52.682042868000011</v>
      </c>
      <c r="K99" s="1523">
        <f t="shared" si="71"/>
        <v>52.289201889000005</v>
      </c>
      <c r="L99" s="1523">
        <f t="shared" si="71"/>
        <v>51.896360910000006</v>
      </c>
      <c r="M99" s="1523">
        <f t="shared" si="71"/>
        <v>59.998945898999999</v>
      </c>
      <c r="N99" s="1523">
        <f t="shared" si="71"/>
        <v>59.589478985999996</v>
      </c>
      <c r="O99" s="1523">
        <f t="shared" si="71"/>
        <v>59.059580628000006</v>
      </c>
      <c r="P99" s="1523">
        <f t="shared" si="71"/>
        <v>58.529682270000009</v>
      </c>
      <c r="Q99" s="1523">
        <f t="shared" si="71"/>
        <v>66.212142696000001</v>
      </c>
      <c r="R99" s="1523">
        <f t="shared" si="71"/>
        <v>65.607214482000003</v>
      </c>
      <c r="S99" s="1523">
        <f t="shared" si="71"/>
        <v>65.029783004999999</v>
      </c>
      <c r="T99" s="1523">
        <f t="shared" si="71"/>
        <v>64.397358053999994</v>
      </c>
      <c r="U99" s="1523">
        <f t="shared" si="71"/>
        <v>63.764933103000011</v>
      </c>
      <c r="V99" s="1523">
        <f t="shared" si="71"/>
        <v>63.132508152000007</v>
      </c>
      <c r="W99" s="1523">
        <f t="shared" si="71"/>
        <v>62.500083201000002</v>
      </c>
      <c r="X99" s="1523">
        <f t="shared" si="71"/>
        <v>61.812664776000005</v>
      </c>
      <c r="Y99" s="1523">
        <f t="shared" si="71"/>
        <v>61.180239825000008</v>
      </c>
      <c r="Z99" s="1523">
        <f t="shared" si="71"/>
        <v>60.547814874000004</v>
      </c>
      <c r="AA99" s="1523">
        <f t="shared" si="71"/>
        <v>59.915389923000006</v>
      </c>
      <c r="AB99" s="1523">
        <f t="shared" si="71"/>
        <v>59.282964972000009</v>
      </c>
      <c r="AC99" s="1523">
        <f t="shared" si="71"/>
        <v>58.650540021000012</v>
      </c>
      <c r="AD99" s="1523">
        <f t="shared" si="71"/>
        <v>58.01811507</v>
      </c>
      <c r="AE99" s="1523">
        <f t="shared" si="71"/>
        <v>57.385690119000003</v>
      </c>
      <c r="AF99" s="1523">
        <f t="shared" si="71"/>
        <v>56.753265167999999</v>
      </c>
      <c r="AG99" s="1523">
        <f t="shared" si="71"/>
        <v>56.120840217000001</v>
      </c>
    </row>
    <row r="100" spans="2:33" ht="15" thickBot="1" x14ac:dyDescent="0.4">
      <c r="B100" t="s">
        <v>2</v>
      </c>
      <c r="C100" s="80"/>
      <c r="D100" s="1523">
        <f>D72*D86</f>
        <v>303.10940282399997</v>
      </c>
      <c r="E100" s="1523">
        <f>E72*E86</f>
        <v>487.88522499399994</v>
      </c>
      <c r="F100" s="1523">
        <f t="shared" ref="F100:AG100" si="72">F72*F86</f>
        <v>488.15967153199995</v>
      </c>
      <c r="G100" s="1523">
        <f t="shared" si="72"/>
        <v>488.4341180699999</v>
      </c>
      <c r="H100" s="1523">
        <f t="shared" si="72"/>
        <v>488.70856460799996</v>
      </c>
      <c r="I100" s="1523">
        <f t="shared" si="72"/>
        <v>641.00654054699999</v>
      </c>
      <c r="J100" s="1523">
        <f t="shared" si="72"/>
        <v>640.05426778200001</v>
      </c>
      <c r="K100" s="1523">
        <f t="shared" si="72"/>
        <v>639.10199501700004</v>
      </c>
      <c r="L100" s="1523">
        <f t="shared" si="72"/>
        <v>638.14972225200006</v>
      </c>
      <c r="M100" s="1523">
        <f t="shared" si="72"/>
        <v>742.30218342299997</v>
      </c>
      <c r="N100" s="1523">
        <f t="shared" si="72"/>
        <v>741.19283473799987</v>
      </c>
      <c r="O100" s="1523">
        <f t="shared" si="72"/>
        <v>739.04809394699987</v>
      </c>
      <c r="P100" s="1523">
        <f t="shared" si="72"/>
        <v>736.90335315599998</v>
      </c>
      <c r="Q100" s="1523">
        <f t="shared" si="72"/>
        <v>838.79523004500004</v>
      </c>
      <c r="R100" s="1523">
        <f t="shared" si="72"/>
        <v>836.3468091420001</v>
      </c>
      <c r="S100" s="1523">
        <f t="shared" si="72"/>
        <v>833.84210270099993</v>
      </c>
      <c r="T100" s="1523">
        <f t="shared" si="72"/>
        <v>830.32425657599993</v>
      </c>
      <c r="U100" s="1523">
        <f t="shared" si="72"/>
        <v>826.80641045099992</v>
      </c>
      <c r="V100" s="1523">
        <f t="shared" si="72"/>
        <v>823.28856432599991</v>
      </c>
      <c r="W100" s="1523">
        <f t="shared" si="72"/>
        <v>819.77071820099991</v>
      </c>
      <c r="X100" s="1523">
        <f t="shared" si="72"/>
        <v>816.28101484499985</v>
      </c>
      <c r="Y100" s="1523">
        <f t="shared" si="72"/>
        <v>812.76316871999984</v>
      </c>
      <c r="Z100" s="1523">
        <f t="shared" si="72"/>
        <v>809.24532259499983</v>
      </c>
      <c r="AA100" s="1523">
        <f t="shared" si="72"/>
        <v>805.72747646999983</v>
      </c>
      <c r="AB100" s="1523">
        <f t="shared" si="72"/>
        <v>802.20963034499982</v>
      </c>
      <c r="AC100" s="1523">
        <f t="shared" si="72"/>
        <v>798.69178421999982</v>
      </c>
      <c r="AD100" s="1523">
        <f t="shared" si="72"/>
        <v>795.17393809499981</v>
      </c>
      <c r="AE100" s="1523">
        <f t="shared" si="72"/>
        <v>791.65609196999981</v>
      </c>
      <c r="AF100" s="1523">
        <f t="shared" si="72"/>
        <v>788.1382458449998</v>
      </c>
      <c r="AG100" s="1523">
        <f t="shared" si="72"/>
        <v>784.62039971999991</v>
      </c>
    </row>
    <row r="101" spans="2:33" ht="15" thickBot="1" x14ac:dyDescent="0.4">
      <c r="B101" t="s">
        <v>3</v>
      </c>
      <c r="C101" s="80"/>
      <c r="D101" s="1523">
        <v>0</v>
      </c>
      <c r="E101" s="1523">
        <v>0</v>
      </c>
      <c r="F101" s="1523">
        <f t="shared" ref="F101:AG101" si="73">F73*F87</f>
        <v>57.635718588000003</v>
      </c>
      <c r="G101" s="1523">
        <f t="shared" si="73"/>
        <v>57.698811875999994</v>
      </c>
      <c r="H101" s="1523">
        <f t="shared" si="73"/>
        <v>57.761905164000005</v>
      </c>
      <c r="I101" s="1523">
        <f t="shared" si="73"/>
        <v>75.838984788000019</v>
      </c>
      <c r="J101" s="1523">
        <f t="shared" si="73"/>
        <v>75.818308947000006</v>
      </c>
      <c r="K101" s="1523">
        <f t="shared" si="73"/>
        <v>75.797633106000006</v>
      </c>
      <c r="L101" s="1523">
        <f t="shared" si="73"/>
        <v>75.776957265000007</v>
      </c>
      <c r="M101" s="1523">
        <f t="shared" si="73"/>
        <v>88.252162896000016</v>
      </c>
      <c r="N101" s="1523">
        <f t="shared" si="73"/>
        <v>88.179904029000014</v>
      </c>
      <c r="O101" s="1523">
        <f t="shared" si="73"/>
        <v>87.987213717000017</v>
      </c>
      <c r="P101" s="1523">
        <f t="shared" si="73"/>
        <v>87.794523405000007</v>
      </c>
      <c r="Q101" s="1523">
        <f t="shared" si="73"/>
        <v>100.00563246900001</v>
      </c>
      <c r="R101" s="1523">
        <f t="shared" si="73"/>
        <v>99.785658573000021</v>
      </c>
      <c r="S101" s="1523">
        <f t="shared" si="73"/>
        <v>99.593181414000014</v>
      </c>
      <c r="T101" s="1523">
        <f t="shared" si="73"/>
        <v>99.263220570000016</v>
      </c>
      <c r="U101" s="1523">
        <f t="shared" si="73"/>
        <v>98.933259726000017</v>
      </c>
      <c r="V101" s="1523">
        <f t="shared" si="73"/>
        <v>98.603298882000004</v>
      </c>
      <c r="W101" s="1523">
        <f t="shared" si="73"/>
        <v>98.273338038000006</v>
      </c>
      <c r="X101" s="1523">
        <f t="shared" si="73"/>
        <v>97.943377194000007</v>
      </c>
      <c r="Y101" s="1523">
        <f t="shared" si="73"/>
        <v>97.613416350000008</v>
      </c>
      <c r="Z101" s="1523">
        <f t="shared" si="73"/>
        <v>97.283455505999996</v>
      </c>
      <c r="AA101" s="1523">
        <f t="shared" si="73"/>
        <v>96.953494662000011</v>
      </c>
      <c r="AB101" s="1523">
        <f t="shared" si="73"/>
        <v>96.623533817999999</v>
      </c>
      <c r="AC101" s="1523">
        <f t="shared" si="73"/>
        <v>96.293572974</v>
      </c>
      <c r="AD101" s="1523">
        <f t="shared" si="73"/>
        <v>95.963612130000001</v>
      </c>
      <c r="AE101" s="1523">
        <f t="shared" si="73"/>
        <v>95.633651286000003</v>
      </c>
      <c r="AF101" s="1523">
        <f t="shared" si="73"/>
        <v>95.30369044199999</v>
      </c>
      <c r="AG101" s="1523">
        <f t="shared" si="73"/>
        <v>94.973729598000006</v>
      </c>
    </row>
    <row r="102" spans="2:33" ht="15" thickBot="1" x14ac:dyDescent="0.4">
      <c r="B102" t="s">
        <v>4</v>
      </c>
      <c r="C102" s="80"/>
      <c r="D102" s="1523">
        <v>0</v>
      </c>
      <c r="E102" s="1523">
        <v>0</v>
      </c>
      <c r="F102" s="1523">
        <f t="shared" ref="F102:AG102" si="74">F74*F88</f>
        <v>139.95189157199999</v>
      </c>
      <c r="G102" s="1523">
        <f t="shared" si="74"/>
        <v>141.22431920400001</v>
      </c>
      <c r="H102" s="1523">
        <f t="shared" si="74"/>
        <v>142.49674683599997</v>
      </c>
      <c r="I102" s="1523">
        <f t="shared" si="74"/>
        <v>188.43433206</v>
      </c>
      <c r="J102" s="1523">
        <f t="shared" si="74"/>
        <v>189.883826922</v>
      </c>
      <c r="K102" s="1523">
        <f t="shared" si="74"/>
        <v>191.33332178399999</v>
      </c>
      <c r="L102" s="1523">
        <f t="shared" si="74"/>
        <v>192.78281664600001</v>
      </c>
      <c r="M102" s="1523">
        <f t="shared" si="74"/>
        <v>226.27063093199999</v>
      </c>
      <c r="N102" s="1523">
        <f t="shared" si="74"/>
        <v>227.93608640400001</v>
      </c>
      <c r="O102" s="1523">
        <f t="shared" si="74"/>
        <v>229.27770331200003</v>
      </c>
      <c r="P102" s="1523">
        <f t="shared" si="74"/>
        <v>230.61932022000002</v>
      </c>
      <c r="Q102" s="1523">
        <f t="shared" si="74"/>
        <v>264.80496362399998</v>
      </c>
      <c r="R102" s="1523">
        <f t="shared" si="74"/>
        <v>266.33654398800002</v>
      </c>
      <c r="S102" s="1523">
        <f t="shared" si="74"/>
        <v>267.92093746800003</v>
      </c>
      <c r="T102" s="1523">
        <f t="shared" si="74"/>
        <v>269.03001290399999</v>
      </c>
      <c r="U102" s="1523">
        <f t="shared" si="74"/>
        <v>270.13908834</v>
      </c>
      <c r="V102" s="1523">
        <f t="shared" si="74"/>
        <v>271.24816377600001</v>
      </c>
      <c r="W102" s="1523">
        <f t="shared" si="74"/>
        <v>272.35723921200002</v>
      </c>
      <c r="X102" s="1523">
        <f t="shared" si="74"/>
        <v>273.41350153200005</v>
      </c>
      <c r="Y102" s="1523">
        <f t="shared" si="74"/>
        <v>274.52257696800001</v>
      </c>
      <c r="Z102" s="1523">
        <f t="shared" si="74"/>
        <v>275.63165240400002</v>
      </c>
      <c r="AA102" s="1523">
        <f t="shared" si="74"/>
        <v>276.74072784000003</v>
      </c>
      <c r="AB102" s="1523">
        <f t="shared" si="74"/>
        <v>277.84980327599999</v>
      </c>
      <c r="AC102" s="1523">
        <f t="shared" si="74"/>
        <v>278.95887871200006</v>
      </c>
      <c r="AD102" s="1523">
        <f t="shared" si="74"/>
        <v>280.06795414800001</v>
      </c>
      <c r="AE102" s="1523">
        <f t="shared" si="74"/>
        <v>281.17702958400002</v>
      </c>
      <c r="AF102" s="1523">
        <f t="shared" si="74"/>
        <v>282.28610502000004</v>
      </c>
      <c r="AG102" s="1523">
        <f t="shared" si="74"/>
        <v>283.39518045599999</v>
      </c>
    </row>
    <row r="103" spans="2:33" ht="15" thickBot="1" x14ac:dyDescent="0.4">
      <c r="B103" t="s">
        <v>5</v>
      </c>
      <c r="C103" s="80"/>
      <c r="D103" s="1523">
        <f>D75*D89</f>
        <v>0</v>
      </c>
      <c r="E103" s="1523">
        <f>E75*E89</f>
        <v>0</v>
      </c>
      <c r="F103" s="1523">
        <f t="shared" ref="F103:AG103" si="75">F75*F89</f>
        <v>322.61997737599995</v>
      </c>
      <c r="G103" s="1523">
        <f t="shared" si="75"/>
        <v>323.99221006599987</v>
      </c>
      <c r="H103" s="1523">
        <f t="shared" si="75"/>
        <v>325.36444275599996</v>
      </c>
      <c r="I103" s="1523">
        <f t="shared" si="75"/>
        <v>428.26880484600002</v>
      </c>
      <c r="J103" s="1523">
        <f t="shared" si="75"/>
        <v>429.30572407899996</v>
      </c>
      <c r="K103" s="1523">
        <f t="shared" si="75"/>
        <v>430.34264331200001</v>
      </c>
      <c r="L103" s="1523">
        <f t="shared" si="75"/>
        <v>431.37956254499994</v>
      </c>
      <c r="M103" s="1523">
        <f t="shared" si="75"/>
        <v>503.74291176200001</v>
      </c>
      <c r="N103" s="1523">
        <f t="shared" si="75"/>
        <v>505.00017360499993</v>
      </c>
      <c r="O103" s="1523">
        <f t="shared" si="75"/>
        <v>505.46856527199992</v>
      </c>
      <c r="P103" s="1523">
        <f t="shared" si="75"/>
        <v>505.93695693899997</v>
      </c>
      <c r="Q103" s="1523">
        <f t="shared" si="75"/>
        <v>578.10876079800005</v>
      </c>
      <c r="R103" s="1523">
        <f t="shared" si="75"/>
        <v>578.64347340899997</v>
      </c>
      <c r="S103" s="1523">
        <f t="shared" si="75"/>
        <v>579.234471558</v>
      </c>
      <c r="T103" s="1523">
        <f t="shared" si="75"/>
        <v>578.89675833000001</v>
      </c>
      <c r="U103" s="1523">
        <f t="shared" si="75"/>
        <v>578.55904510199991</v>
      </c>
      <c r="V103" s="1523">
        <f t="shared" si="75"/>
        <v>578.22133187400004</v>
      </c>
      <c r="W103" s="1523">
        <f t="shared" si="75"/>
        <v>577.88361864599995</v>
      </c>
      <c r="X103" s="1523">
        <f t="shared" si="75"/>
        <v>577.54590541799985</v>
      </c>
      <c r="Y103" s="1523">
        <f t="shared" si="75"/>
        <v>577.20819218999986</v>
      </c>
      <c r="Z103" s="1523">
        <f t="shared" si="75"/>
        <v>576.87047896200011</v>
      </c>
      <c r="AA103" s="1523">
        <f t="shared" si="75"/>
        <v>576.53276573400001</v>
      </c>
      <c r="AB103" s="1523">
        <f t="shared" si="75"/>
        <v>576.19505250599991</v>
      </c>
      <c r="AC103" s="1523">
        <f t="shared" si="75"/>
        <v>575.85733927800004</v>
      </c>
      <c r="AD103" s="1523">
        <f t="shared" si="75"/>
        <v>575.51962605000006</v>
      </c>
      <c r="AE103" s="1523">
        <f t="shared" si="75"/>
        <v>575.18191282199996</v>
      </c>
      <c r="AF103" s="1523">
        <f t="shared" si="75"/>
        <v>574.84419959399986</v>
      </c>
      <c r="AG103" s="1523">
        <f t="shared" si="75"/>
        <v>574.50648636599999</v>
      </c>
    </row>
    <row r="104" spans="2:33" ht="15" thickBot="1" x14ac:dyDescent="0.4">
      <c r="B104" t="s">
        <v>6</v>
      </c>
      <c r="C104" s="80"/>
      <c r="D104" s="1523">
        <v>0</v>
      </c>
      <c r="E104" s="1523">
        <f>E76*E90</f>
        <v>0</v>
      </c>
      <c r="F104" s="1523">
        <f t="shared" ref="F104:AG104" si="76">F76*F90</f>
        <v>3472.2163464800001</v>
      </c>
      <c r="G104" s="1523">
        <f t="shared" si="76"/>
        <v>3490.6815561200001</v>
      </c>
      <c r="H104" s="1523">
        <f t="shared" si="76"/>
        <v>3509.1467657600001</v>
      </c>
      <c r="I104" s="1523">
        <f t="shared" si="76"/>
        <v>4624.0058032400002</v>
      </c>
      <c r="J104" s="1523">
        <f t="shared" si="76"/>
        <v>4648.2624205800003</v>
      </c>
      <c r="K104" s="1523">
        <f t="shared" si="76"/>
        <v>4672.5190379200003</v>
      </c>
      <c r="L104" s="1523">
        <f t="shared" si="76"/>
        <v>4696.7756552600003</v>
      </c>
      <c r="M104" s="1523">
        <f t="shared" si="76"/>
        <v>5499.7592454000005</v>
      </c>
      <c r="N104" s="1523">
        <f t="shared" si="76"/>
        <v>5527.9561195800006</v>
      </c>
      <c r="O104" s="1523">
        <f t="shared" si="76"/>
        <v>5546.9669570800006</v>
      </c>
      <c r="P104" s="1523">
        <f t="shared" si="76"/>
        <v>5565.9777945800006</v>
      </c>
      <c r="Q104" s="1523">
        <f t="shared" si="76"/>
        <v>6375.7834826400003</v>
      </c>
      <c r="R104" s="1523">
        <f t="shared" si="76"/>
        <v>6397.4861201400008</v>
      </c>
      <c r="S104" s="1523">
        <f t="shared" si="76"/>
        <v>6419.1540334199999</v>
      </c>
      <c r="T104" s="1523">
        <f t="shared" si="76"/>
        <v>6432.2450643599996</v>
      </c>
      <c r="U104" s="1523">
        <f t="shared" si="76"/>
        <v>6445.3360953000001</v>
      </c>
      <c r="V104" s="1523">
        <f t="shared" si="76"/>
        <v>6458.4271262399998</v>
      </c>
      <c r="W104" s="1523">
        <f t="shared" si="76"/>
        <v>6471.5181571800003</v>
      </c>
      <c r="X104" s="1523">
        <f t="shared" si="76"/>
        <v>6484.5744639000004</v>
      </c>
      <c r="Y104" s="1523">
        <f t="shared" si="76"/>
        <v>6497.6654948399992</v>
      </c>
      <c r="Z104" s="1523">
        <f t="shared" si="76"/>
        <v>6510.7565257799988</v>
      </c>
      <c r="AA104" s="1523">
        <f t="shared" si="76"/>
        <v>6523.8475567199994</v>
      </c>
      <c r="AB104" s="1523">
        <f t="shared" si="76"/>
        <v>6536.9385876599999</v>
      </c>
      <c r="AC104" s="1523">
        <f t="shared" si="76"/>
        <v>6550.0296186000005</v>
      </c>
      <c r="AD104" s="1523">
        <f t="shared" si="76"/>
        <v>6563.1206495399992</v>
      </c>
      <c r="AE104" s="1523">
        <f t="shared" si="76"/>
        <v>6576.2116804799998</v>
      </c>
      <c r="AF104" s="1523">
        <f t="shared" si="76"/>
        <v>6589.3027114199995</v>
      </c>
      <c r="AG104" s="1523">
        <f t="shared" si="76"/>
        <v>6602.39374236</v>
      </c>
    </row>
    <row r="105" spans="2:33" ht="15" thickBot="1" x14ac:dyDescent="0.4">
      <c r="B105" t="s">
        <v>7</v>
      </c>
      <c r="C105" s="80"/>
      <c r="D105" s="1523">
        <f>D77*D91</f>
        <v>0</v>
      </c>
      <c r="E105" s="1523">
        <f>E77*E91</f>
        <v>0</v>
      </c>
      <c r="F105" s="1523">
        <f t="shared" ref="F105:AG105" si="77">F77*F91</f>
        <v>306.89580513999999</v>
      </c>
      <c r="G105" s="1523">
        <f t="shared" si="77"/>
        <v>306.07246552599997</v>
      </c>
      <c r="H105" s="1523">
        <f t="shared" si="77"/>
        <v>305.24912591199995</v>
      </c>
      <c r="I105" s="1523">
        <f t="shared" si="77"/>
        <v>399.00228853499999</v>
      </c>
      <c r="J105" s="1523">
        <f t="shared" si="77"/>
        <v>397.11890462199995</v>
      </c>
      <c r="K105" s="1523">
        <f t="shared" si="77"/>
        <v>395.23552070899996</v>
      </c>
      <c r="L105" s="1523">
        <f t="shared" si="77"/>
        <v>393.35213679599997</v>
      </c>
      <c r="M105" s="1523">
        <f t="shared" si="77"/>
        <v>456.04091830700003</v>
      </c>
      <c r="N105" s="1523">
        <f t="shared" si="77"/>
        <v>453.82222093699994</v>
      </c>
      <c r="O105" s="1523">
        <f t="shared" si="77"/>
        <v>450.81465339099992</v>
      </c>
      <c r="P105" s="1523">
        <f t="shared" si="77"/>
        <v>447.80708584500002</v>
      </c>
      <c r="Q105" s="1523">
        <f t="shared" si="77"/>
        <v>507.77998106699999</v>
      </c>
      <c r="R105" s="1523">
        <f t="shared" si="77"/>
        <v>504.34656324900004</v>
      </c>
      <c r="S105" s="1523">
        <f t="shared" si="77"/>
        <v>500.85685989299998</v>
      </c>
      <c r="T105" s="1523">
        <f t="shared" si="77"/>
        <v>497.14201438500004</v>
      </c>
      <c r="U105" s="1523">
        <f t="shared" si="77"/>
        <v>493.42716887699999</v>
      </c>
      <c r="V105" s="1523">
        <f t="shared" si="77"/>
        <v>489.71232336899999</v>
      </c>
      <c r="W105" s="1523">
        <f t="shared" si="77"/>
        <v>485.99747786099994</v>
      </c>
      <c r="X105" s="1523">
        <f t="shared" si="77"/>
        <v>482.33891789099999</v>
      </c>
      <c r="Y105" s="1523">
        <f t="shared" si="77"/>
        <v>478.624072383</v>
      </c>
      <c r="Z105" s="1523">
        <f t="shared" si="77"/>
        <v>474.909226875</v>
      </c>
      <c r="AA105" s="1523">
        <f t="shared" si="77"/>
        <v>471.19438136700001</v>
      </c>
      <c r="AB105" s="1523">
        <f t="shared" si="77"/>
        <v>467.47953585899995</v>
      </c>
      <c r="AC105" s="1523">
        <f t="shared" si="77"/>
        <v>463.76469035100001</v>
      </c>
      <c r="AD105" s="1523">
        <f t="shared" si="77"/>
        <v>460.04984484299996</v>
      </c>
      <c r="AE105" s="1523">
        <f t="shared" si="77"/>
        <v>456.33499933500002</v>
      </c>
      <c r="AF105" s="1523">
        <f t="shared" si="77"/>
        <v>452.62015382699997</v>
      </c>
      <c r="AG105" s="1523">
        <f t="shared" si="77"/>
        <v>448.90530831900003</v>
      </c>
    </row>
    <row r="106" spans="2:33" ht="15" thickBot="1" x14ac:dyDescent="0.4">
      <c r="B106" t="s">
        <v>8</v>
      </c>
      <c r="C106" s="80"/>
      <c r="D106" s="1523">
        <f>D78*D92</f>
        <v>155.077128918</v>
      </c>
      <c r="E106" s="1523">
        <f>E78*E92</f>
        <v>251.63518751799995</v>
      </c>
      <c r="F106" s="1523">
        <f t="shared" ref="F106:AG106" si="78">F78*F92</f>
        <v>253.79847199399995</v>
      </c>
      <c r="G106" s="1523">
        <f t="shared" si="78"/>
        <v>255.96175646999998</v>
      </c>
      <c r="H106" s="1523">
        <f t="shared" si="78"/>
        <v>258.12504094599996</v>
      </c>
      <c r="I106" s="1523">
        <f t="shared" si="78"/>
        <v>341.14642765699995</v>
      </c>
      <c r="J106" s="1523">
        <f t="shared" si="78"/>
        <v>343.38955905899996</v>
      </c>
      <c r="K106" s="1523">
        <f t="shared" si="78"/>
        <v>345.63269046099992</v>
      </c>
      <c r="L106" s="1523">
        <f t="shared" si="78"/>
        <v>347.875821863</v>
      </c>
      <c r="M106" s="1523">
        <f t="shared" si="78"/>
        <v>407.87053318500006</v>
      </c>
      <c r="N106" s="1523">
        <f t="shared" si="78"/>
        <v>410.508317836</v>
      </c>
      <c r="O106" s="1523">
        <f t="shared" si="78"/>
        <v>412.60375424099999</v>
      </c>
      <c r="P106" s="1523">
        <f t="shared" si="78"/>
        <v>414.69919064599998</v>
      </c>
      <c r="Q106" s="1523">
        <f t="shared" si="78"/>
        <v>475.80979548300007</v>
      </c>
      <c r="R106" s="1523">
        <f t="shared" si="78"/>
        <v>478.20193084800002</v>
      </c>
      <c r="S106" s="1523">
        <f t="shared" si="78"/>
        <v>480.62220898200007</v>
      </c>
      <c r="T106" s="1523">
        <f t="shared" si="78"/>
        <v>482.170061277</v>
      </c>
      <c r="U106" s="1523">
        <f t="shared" si="78"/>
        <v>483.71791357199999</v>
      </c>
      <c r="V106" s="1523">
        <f t="shared" si="78"/>
        <v>485.26576586699997</v>
      </c>
      <c r="W106" s="1523">
        <f t="shared" si="78"/>
        <v>486.81361816199995</v>
      </c>
      <c r="X106" s="1523">
        <f t="shared" si="78"/>
        <v>488.38961322600005</v>
      </c>
      <c r="Y106" s="1523">
        <f t="shared" si="78"/>
        <v>489.93746552099992</v>
      </c>
      <c r="Z106" s="1523">
        <f t="shared" si="78"/>
        <v>491.48531781599996</v>
      </c>
      <c r="AA106" s="1523">
        <f t="shared" si="78"/>
        <v>493.03317011099995</v>
      </c>
      <c r="AB106" s="1523">
        <f t="shared" si="78"/>
        <v>494.58102240599999</v>
      </c>
      <c r="AC106" s="1523">
        <f t="shared" si="78"/>
        <v>496.12887470099992</v>
      </c>
      <c r="AD106" s="1523">
        <f t="shared" si="78"/>
        <v>497.67672699600001</v>
      </c>
      <c r="AE106" s="1523">
        <f t="shared" si="78"/>
        <v>499.224579291</v>
      </c>
      <c r="AF106" s="1523">
        <f t="shared" si="78"/>
        <v>500.77243158599998</v>
      </c>
      <c r="AG106" s="1523">
        <f t="shared" si="78"/>
        <v>502.32028388100002</v>
      </c>
    </row>
    <row r="107" spans="2:33" ht="15" thickBot="1" x14ac:dyDescent="0.4">
      <c r="B107" t="s">
        <v>9</v>
      </c>
      <c r="C107" s="80"/>
      <c r="D107" s="1523">
        <v>0</v>
      </c>
      <c r="E107" s="1523">
        <v>0</v>
      </c>
      <c r="F107" s="1523">
        <f t="shared" ref="F107:AG107" si="79">F79*F93</f>
        <v>207.01340922199998</v>
      </c>
      <c r="G107" s="1523">
        <f t="shared" si="79"/>
        <v>208.80538367599996</v>
      </c>
      <c r="H107" s="1523">
        <f t="shared" si="79"/>
        <v>210.59735813</v>
      </c>
      <c r="I107" s="1523">
        <f t="shared" si="79"/>
        <v>278.44455648600001</v>
      </c>
      <c r="J107" s="1523">
        <f t="shared" si="79"/>
        <v>280.43374848400003</v>
      </c>
      <c r="K107" s="1523">
        <f t="shared" si="79"/>
        <v>282.42294048200006</v>
      </c>
      <c r="L107" s="1523">
        <f t="shared" si="79"/>
        <v>284.41213247999997</v>
      </c>
      <c r="M107" s="1523">
        <f t="shared" si="79"/>
        <v>333.64278006199993</v>
      </c>
      <c r="N107" s="1523">
        <f t="shared" si="79"/>
        <v>335.93543401100004</v>
      </c>
      <c r="O107" s="1523">
        <f t="shared" si="79"/>
        <v>337.56247874900004</v>
      </c>
      <c r="P107" s="1523">
        <f t="shared" si="79"/>
        <v>339.18952348699997</v>
      </c>
      <c r="Q107" s="1523">
        <f t="shared" si="79"/>
        <v>389.07378142499999</v>
      </c>
      <c r="R107" s="1523">
        <f t="shared" si="79"/>
        <v>390.93120417900002</v>
      </c>
      <c r="S107" s="1523">
        <f t="shared" si="79"/>
        <v>392.84491247099999</v>
      </c>
      <c r="T107" s="1523">
        <f t="shared" si="79"/>
        <v>394.19576538299998</v>
      </c>
      <c r="U107" s="1523">
        <f t="shared" si="79"/>
        <v>395.54661829499997</v>
      </c>
      <c r="V107" s="1523">
        <f t="shared" si="79"/>
        <v>396.89747120699997</v>
      </c>
      <c r="W107" s="1523">
        <f t="shared" si="79"/>
        <v>398.24832411899996</v>
      </c>
      <c r="X107" s="1523">
        <f t="shared" si="79"/>
        <v>399.65546256900001</v>
      </c>
      <c r="Y107" s="1523">
        <f t="shared" si="79"/>
        <v>401.006315481</v>
      </c>
      <c r="Z107" s="1523">
        <f t="shared" si="79"/>
        <v>402.35716839299999</v>
      </c>
      <c r="AA107" s="1523">
        <f t="shared" si="79"/>
        <v>403.70802130500005</v>
      </c>
      <c r="AB107" s="1523">
        <f t="shared" si="79"/>
        <v>405.05887421699998</v>
      </c>
      <c r="AC107" s="1523">
        <f t="shared" si="79"/>
        <v>406.40972712899998</v>
      </c>
      <c r="AD107" s="1523">
        <f t="shared" si="79"/>
        <v>407.76058004099997</v>
      </c>
      <c r="AE107" s="1523">
        <f t="shared" si="79"/>
        <v>409.11143295299996</v>
      </c>
      <c r="AF107" s="1523">
        <f t="shared" si="79"/>
        <v>410.46228586499996</v>
      </c>
      <c r="AG107" s="1523">
        <f t="shared" si="79"/>
        <v>411.81313877699995</v>
      </c>
    </row>
    <row r="108" spans="2:33" ht="3.75" customHeight="1" x14ac:dyDescent="0.35">
      <c r="C108" s="92"/>
      <c r="D108" s="365"/>
      <c r="E108" s="365"/>
      <c r="F108" s="365"/>
      <c r="G108" s="365"/>
      <c r="H108" s="365"/>
      <c r="I108" s="365"/>
      <c r="J108" s="365"/>
      <c r="K108" s="365"/>
      <c r="L108" s="365"/>
      <c r="M108" s="365"/>
      <c r="N108" s="365"/>
      <c r="O108" s="365"/>
      <c r="P108" s="365"/>
      <c r="Q108" s="365"/>
      <c r="R108" s="365"/>
      <c r="S108" s="365"/>
      <c r="T108" s="365"/>
      <c r="U108" s="365"/>
      <c r="V108" s="365"/>
      <c r="W108" s="365"/>
      <c r="X108" s="365"/>
      <c r="Y108" s="365"/>
      <c r="Z108" s="365"/>
      <c r="AA108" s="365"/>
      <c r="AB108" s="365"/>
      <c r="AC108" s="365"/>
      <c r="AD108" s="365"/>
      <c r="AE108" s="365"/>
      <c r="AF108" s="365"/>
      <c r="AG108" s="365"/>
    </row>
    <row r="109" spans="2:33" x14ac:dyDescent="0.35">
      <c r="B109" s="81" t="s">
        <v>200</v>
      </c>
      <c r="C109" s="85"/>
      <c r="D109" s="362">
        <f t="shared" ref="D109:AG109" si="80">SUM(D99:D107)</f>
        <v>458.18653174199994</v>
      </c>
      <c r="E109" s="362">
        <f t="shared" si="80"/>
        <v>739.52041251199989</v>
      </c>
      <c r="F109" s="362">
        <f t="shared" si="80"/>
        <v>5289.4912089680001</v>
      </c>
      <c r="G109" s="362">
        <f t="shared" si="80"/>
        <v>5313.8339382420008</v>
      </c>
      <c r="H109" s="362">
        <f t="shared" si="80"/>
        <v>5338.1766675160006</v>
      </c>
      <c r="I109" s="362">
        <f t="shared" si="80"/>
        <v>7029.2226220059993</v>
      </c>
      <c r="J109" s="362">
        <f t="shared" si="80"/>
        <v>7056.9488033429998</v>
      </c>
      <c r="K109" s="362">
        <f t="shared" si="80"/>
        <v>7084.6749846799994</v>
      </c>
      <c r="L109" s="362">
        <f t="shared" si="80"/>
        <v>7112.4011660170008</v>
      </c>
      <c r="M109" s="362">
        <f t="shared" si="80"/>
        <v>8317.8803118659998</v>
      </c>
      <c r="N109" s="362">
        <f t="shared" si="80"/>
        <v>8350.1205701260005</v>
      </c>
      <c r="O109" s="362">
        <f t="shared" si="80"/>
        <v>8368.7890003370012</v>
      </c>
      <c r="P109" s="362">
        <f t="shared" si="80"/>
        <v>8387.457430548</v>
      </c>
      <c r="Q109" s="362">
        <f t="shared" si="80"/>
        <v>9596.3737702470025</v>
      </c>
      <c r="R109" s="362">
        <f t="shared" si="80"/>
        <v>9617.685518010001</v>
      </c>
      <c r="S109" s="362">
        <f t="shared" si="80"/>
        <v>9639.0984909119998</v>
      </c>
      <c r="T109" s="362">
        <f t="shared" si="80"/>
        <v>9647.6645118390006</v>
      </c>
      <c r="U109" s="362">
        <f t="shared" si="80"/>
        <v>9656.2305327660015</v>
      </c>
      <c r="V109" s="362">
        <f t="shared" si="80"/>
        <v>9664.7965536929987</v>
      </c>
      <c r="W109" s="362">
        <f t="shared" si="80"/>
        <v>9673.3625746199996</v>
      </c>
      <c r="X109" s="362">
        <f t="shared" si="80"/>
        <v>9681.9549213509999</v>
      </c>
      <c r="Y109" s="362">
        <f t="shared" si="80"/>
        <v>9690.5209422779972</v>
      </c>
      <c r="Z109" s="362">
        <f t="shared" si="80"/>
        <v>9699.086963204998</v>
      </c>
      <c r="AA109" s="362">
        <f t="shared" si="80"/>
        <v>9707.6529841320007</v>
      </c>
      <c r="AB109" s="362">
        <f t="shared" si="80"/>
        <v>9716.2190050589998</v>
      </c>
      <c r="AC109" s="362">
        <f t="shared" si="80"/>
        <v>9724.7850259859988</v>
      </c>
      <c r="AD109" s="362">
        <f t="shared" si="80"/>
        <v>9733.3510469129997</v>
      </c>
      <c r="AE109" s="362">
        <f t="shared" si="80"/>
        <v>9741.9170678399987</v>
      </c>
      <c r="AF109" s="362">
        <f t="shared" si="80"/>
        <v>9750.4830887669978</v>
      </c>
      <c r="AG109" s="362">
        <f t="shared" si="80"/>
        <v>9759.0491096939986</v>
      </c>
    </row>
    <row r="110" spans="2:33" x14ac:dyDescent="0.35">
      <c r="B110" s="1811" t="s">
        <v>201</v>
      </c>
      <c r="C110" s="268"/>
      <c r="D110" s="1808">
        <f>D109/'Premissas Gerais'!$G$24</f>
        <v>1.4638547339999999</v>
      </c>
      <c r="E110" s="1808">
        <f>E109/'Premissas Gerais'!$G$24</f>
        <v>2.3626850239999997</v>
      </c>
      <c r="F110" s="1808">
        <f>F109/'Premissas Gerais'!$G$24</f>
        <v>16.899332936</v>
      </c>
      <c r="G110" s="1808">
        <f>G109/'Premissas Gerais'!$G$24</f>
        <v>16.977105234000003</v>
      </c>
      <c r="H110" s="1808">
        <f>H109/'Premissas Gerais'!$G$24</f>
        <v>17.054877532000003</v>
      </c>
      <c r="I110" s="1808">
        <f>I109/'Premissas Gerais'!$G$24</f>
        <v>22.457580261999997</v>
      </c>
      <c r="J110" s="1808">
        <f>J109/'Premissas Gerais'!$G$24</f>
        <v>22.546162311</v>
      </c>
      <c r="K110" s="1808">
        <f>K109/'Premissas Gerais'!$G$24</f>
        <v>22.634744359999999</v>
      </c>
      <c r="L110" s="1808">
        <f>L109/'Premissas Gerais'!$G$24</f>
        <v>22.723326409000002</v>
      </c>
      <c r="M110" s="1808">
        <f>M109/'Premissas Gerais'!$G$24</f>
        <v>26.574697481999998</v>
      </c>
      <c r="N110" s="1808">
        <f>N109/'Premissas Gerais'!$G$24</f>
        <v>26.677701502000001</v>
      </c>
      <c r="O110" s="1808">
        <f>O109/'Premissas Gerais'!$G$24</f>
        <v>26.737345049000005</v>
      </c>
      <c r="P110" s="1808">
        <f>P109/'Premissas Gerais'!$G$24</f>
        <v>26.796988595999998</v>
      </c>
      <c r="Q110" s="1808">
        <f>Q109/'Premissas Gerais'!$G$24</f>
        <v>30.659341119000008</v>
      </c>
      <c r="R110" s="1808">
        <f>R109/'Premissas Gerais'!$G$24</f>
        <v>30.727429770000004</v>
      </c>
      <c r="S110" s="1808">
        <f>S109/'Premissas Gerais'!$G$24</f>
        <v>30.795841824</v>
      </c>
      <c r="T110" s="1808">
        <f>T109/'Premissas Gerais'!$G$24</f>
        <v>30.823209303000002</v>
      </c>
      <c r="U110" s="1808">
        <f>U109/'Premissas Gerais'!$G$24</f>
        <v>30.850576782000005</v>
      </c>
      <c r="V110" s="1808">
        <f>V109/'Premissas Gerais'!$G$24</f>
        <v>30.877944260999996</v>
      </c>
      <c r="W110" s="1808">
        <f>W109/'Premissas Gerais'!$G$24</f>
        <v>30.905311739999998</v>
      </c>
      <c r="X110" s="1808">
        <f>X109/'Premissas Gerais'!$G$24</f>
        <v>30.932763327</v>
      </c>
      <c r="Y110" s="1808">
        <f>Y109/'Premissas Gerais'!$G$24</f>
        <v>30.960130805999992</v>
      </c>
      <c r="Z110" s="1808">
        <f>Z109/'Premissas Gerais'!$G$24</f>
        <v>30.987498284999994</v>
      </c>
      <c r="AA110" s="1808">
        <f>AA109/'Premissas Gerais'!$G$24</f>
        <v>31.014865764000003</v>
      </c>
      <c r="AB110" s="1808">
        <f>AB109/'Premissas Gerais'!$G$24</f>
        <v>31.042233242999998</v>
      </c>
      <c r="AC110" s="1808">
        <f>AC109/'Premissas Gerais'!$G$24</f>
        <v>31.069600721999997</v>
      </c>
      <c r="AD110" s="1808">
        <f>AD109/'Premissas Gerais'!$G$24</f>
        <v>31.096968200999999</v>
      </c>
      <c r="AE110" s="1808">
        <f>AE109/'Premissas Gerais'!$G$24</f>
        <v>31.124335679999994</v>
      </c>
      <c r="AF110" s="1808">
        <f>AF109/'Premissas Gerais'!$G$24</f>
        <v>31.151703158999993</v>
      </c>
      <c r="AG110" s="1808">
        <f>AG109/'Premissas Gerais'!$G$24</f>
        <v>31.179070637999995</v>
      </c>
    </row>
    <row r="111" spans="2:33" x14ac:dyDescent="0.35">
      <c r="B111" s="1809"/>
      <c r="C111" s="79"/>
      <c r="D111" s="1812"/>
      <c r="E111" s="1812"/>
      <c r="F111" s="1812"/>
      <c r="G111" s="1812"/>
      <c r="H111" s="1812"/>
      <c r="I111" s="1812"/>
      <c r="J111" s="1812"/>
      <c r="K111" s="1812"/>
      <c r="L111" s="1812"/>
      <c r="M111" s="1812"/>
      <c r="N111" s="1812"/>
      <c r="O111" s="1812"/>
      <c r="P111" s="1812"/>
      <c r="Q111" s="1812"/>
      <c r="R111" s="1812"/>
      <c r="S111" s="1812"/>
      <c r="T111" s="1812"/>
      <c r="U111" s="1812"/>
      <c r="V111" s="1812"/>
      <c r="W111" s="1812"/>
      <c r="X111" s="1812"/>
      <c r="Y111" s="1812"/>
      <c r="Z111" s="1812"/>
      <c r="AA111" s="1812"/>
      <c r="AB111" s="1812"/>
      <c r="AC111" s="1812"/>
      <c r="AD111" s="1812"/>
      <c r="AE111" s="1812"/>
      <c r="AF111" s="1812"/>
      <c r="AG111" s="1812"/>
    </row>
    <row r="112" spans="2:33" x14ac:dyDescent="0.35">
      <c r="B112" s="77" t="s">
        <v>206</v>
      </c>
      <c r="D112" s="1388"/>
      <c r="E112" s="1388"/>
      <c r="F112" s="1388"/>
      <c r="G112" s="1388"/>
      <c r="H112" s="1388"/>
      <c r="I112" s="1388"/>
      <c r="J112" s="1388"/>
      <c r="K112" s="1388"/>
      <c r="L112" s="1388"/>
      <c r="M112" s="1388"/>
      <c r="N112" s="1388"/>
      <c r="O112" s="1388"/>
      <c r="P112" s="1388"/>
      <c r="Q112" s="1388"/>
      <c r="R112" s="1388"/>
      <c r="S112" s="1388"/>
      <c r="T112" s="1388"/>
      <c r="U112" s="1388"/>
      <c r="V112" s="1388"/>
      <c r="W112" s="1388"/>
      <c r="X112" s="1388"/>
      <c r="Y112" s="1388"/>
      <c r="Z112" s="1388"/>
      <c r="AA112" s="1388"/>
      <c r="AB112" s="1388"/>
      <c r="AC112" s="1388"/>
      <c r="AD112" s="1388"/>
      <c r="AE112" s="1388"/>
      <c r="AF112" s="1388"/>
      <c r="AG112" s="1388"/>
    </row>
    <row r="113" spans="2:33" ht="3.75" customHeight="1" x14ac:dyDescent="0.35">
      <c r="B113" s="77"/>
      <c r="C113" s="77"/>
    </row>
    <row r="114" spans="2:33" x14ac:dyDescent="0.35">
      <c r="B114" s="100" t="s">
        <v>68</v>
      </c>
      <c r="C114" s="100"/>
      <c r="D114" s="101">
        <v>1</v>
      </c>
      <c r="E114" s="101">
        <f>D114+1</f>
        <v>2</v>
      </c>
      <c r="F114" s="101">
        <f t="shared" ref="F114" si="81">E114+1</f>
        <v>3</v>
      </c>
      <c r="G114" s="101">
        <f t="shared" ref="G114" si="82">F114+1</f>
        <v>4</v>
      </c>
      <c r="H114" s="101">
        <f t="shared" ref="H114" si="83">G114+1</f>
        <v>5</v>
      </c>
      <c r="I114" s="101">
        <f t="shared" ref="I114" si="84">H114+1</f>
        <v>6</v>
      </c>
      <c r="J114" s="101">
        <f t="shared" ref="J114" si="85">I114+1</f>
        <v>7</v>
      </c>
      <c r="K114" s="101">
        <f t="shared" ref="K114" si="86">J114+1</f>
        <v>8</v>
      </c>
      <c r="L114" s="101">
        <f t="shared" ref="L114" si="87">K114+1</f>
        <v>9</v>
      </c>
      <c r="M114" s="101">
        <f t="shared" ref="M114" si="88">L114+1</f>
        <v>10</v>
      </c>
      <c r="N114" s="101">
        <f t="shared" ref="N114" si="89">M114+1</f>
        <v>11</v>
      </c>
      <c r="O114" s="101">
        <f t="shared" ref="O114" si="90">N114+1</f>
        <v>12</v>
      </c>
      <c r="P114" s="101">
        <f t="shared" ref="P114" si="91">O114+1</f>
        <v>13</v>
      </c>
      <c r="Q114" s="101">
        <f t="shared" ref="Q114" si="92">P114+1</f>
        <v>14</v>
      </c>
      <c r="R114" s="101">
        <f t="shared" ref="R114" si="93">Q114+1</f>
        <v>15</v>
      </c>
      <c r="S114" s="101">
        <f t="shared" ref="S114" si="94">R114+1</f>
        <v>16</v>
      </c>
      <c r="T114" s="101">
        <f t="shared" ref="T114" si="95">S114+1</f>
        <v>17</v>
      </c>
      <c r="U114" s="101">
        <f t="shared" ref="U114" si="96">T114+1</f>
        <v>18</v>
      </c>
      <c r="V114" s="101">
        <f t="shared" ref="V114" si="97">U114+1</f>
        <v>19</v>
      </c>
      <c r="W114" s="101">
        <f t="shared" ref="W114" si="98">V114+1</f>
        <v>20</v>
      </c>
      <c r="X114" s="101">
        <f t="shared" ref="X114" si="99">W114+1</f>
        <v>21</v>
      </c>
      <c r="Y114" s="101">
        <f t="shared" ref="Y114" si="100">X114+1</f>
        <v>22</v>
      </c>
      <c r="Z114" s="101">
        <f t="shared" ref="Z114" si="101">Y114+1</f>
        <v>23</v>
      </c>
      <c r="AA114" s="101">
        <f t="shared" ref="AA114" si="102">Z114+1</f>
        <v>24</v>
      </c>
      <c r="AB114" s="101">
        <f t="shared" ref="AB114" si="103">AA114+1</f>
        <v>25</v>
      </c>
      <c r="AC114" s="101">
        <f t="shared" ref="AC114" si="104">AB114+1</f>
        <v>26</v>
      </c>
      <c r="AD114" s="101">
        <f t="shared" ref="AD114" si="105">AC114+1</f>
        <v>27</v>
      </c>
      <c r="AE114" s="101">
        <f t="shared" ref="AE114" si="106">AD114+1</f>
        <v>28</v>
      </c>
      <c r="AF114" s="101">
        <f t="shared" ref="AF114" si="107">AE114+1</f>
        <v>29</v>
      </c>
      <c r="AG114" s="101">
        <f t="shared" ref="AG114" si="108">AF114+1</f>
        <v>30</v>
      </c>
    </row>
    <row r="115" spans="2:33" ht="3.75" customHeight="1" thickBot="1" x14ac:dyDescent="0.4">
      <c r="B115" s="82"/>
      <c r="C115" s="82"/>
      <c r="D115" s="84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  <c r="S115" s="84"/>
      <c r="T115" s="84"/>
      <c r="U115" s="84"/>
      <c r="V115" s="84"/>
      <c r="W115" s="84"/>
      <c r="X115" s="84"/>
      <c r="Y115" s="84"/>
      <c r="Z115" s="84"/>
      <c r="AA115" s="84"/>
      <c r="AB115" s="84"/>
      <c r="AC115" s="84"/>
      <c r="AD115" s="84"/>
      <c r="AE115" s="84"/>
      <c r="AF115" s="84"/>
      <c r="AG115" s="84"/>
    </row>
    <row r="116" spans="2:33" ht="15" thickBot="1" x14ac:dyDescent="0.4">
      <c r="B116" t="s">
        <v>1</v>
      </c>
      <c r="C116" s="80"/>
      <c r="D116" s="363">
        <f t="shared" ref="D116:AG116" si="109">D71-D99</f>
        <v>563.15022599999998</v>
      </c>
      <c r="E116" s="363">
        <f t="shared" si="109"/>
        <v>559.95293100000004</v>
      </c>
      <c r="F116" s="363">
        <f t="shared" si="109"/>
        <v>515.55571893600006</v>
      </c>
      <c r="G116" s="363">
        <f t="shared" si="109"/>
        <v>512.59502376600005</v>
      </c>
      <c r="H116" s="363">
        <f t="shared" si="109"/>
        <v>509.63432859599999</v>
      </c>
      <c r="I116" s="363">
        <f t="shared" si="109"/>
        <v>494.08886715300002</v>
      </c>
      <c r="J116" s="363">
        <f t="shared" si="109"/>
        <v>490.43180113200009</v>
      </c>
      <c r="K116" s="363">
        <f t="shared" si="109"/>
        <v>486.77473511099998</v>
      </c>
      <c r="L116" s="363">
        <f t="shared" si="109"/>
        <v>483.11766909000005</v>
      </c>
      <c r="M116" s="363">
        <f t="shared" si="109"/>
        <v>470.96517710099999</v>
      </c>
      <c r="N116" s="363">
        <f t="shared" si="109"/>
        <v>467.75104301399995</v>
      </c>
      <c r="O116" s="363">
        <f t="shared" si="109"/>
        <v>463.59157537200002</v>
      </c>
      <c r="P116" s="363">
        <f t="shared" si="109"/>
        <v>459.43210773000004</v>
      </c>
      <c r="Q116" s="363">
        <f t="shared" si="109"/>
        <v>447.060281304</v>
      </c>
      <c r="R116" s="363">
        <f t="shared" si="109"/>
        <v>442.97584351800003</v>
      </c>
      <c r="S116" s="363">
        <f t="shared" si="109"/>
        <v>439.07706199500001</v>
      </c>
      <c r="T116" s="363">
        <f t="shared" si="109"/>
        <v>434.80696794599999</v>
      </c>
      <c r="U116" s="363">
        <f t="shared" si="109"/>
        <v>430.53687389700002</v>
      </c>
      <c r="V116" s="363">
        <f t="shared" si="109"/>
        <v>426.266779848</v>
      </c>
      <c r="W116" s="363">
        <f t="shared" si="109"/>
        <v>421.99668579900003</v>
      </c>
      <c r="X116" s="363">
        <f t="shared" si="109"/>
        <v>417.35527922400001</v>
      </c>
      <c r="Y116" s="363">
        <f t="shared" si="109"/>
        <v>413.08518517500005</v>
      </c>
      <c r="Z116" s="363">
        <f t="shared" si="109"/>
        <v>408.81509112600003</v>
      </c>
      <c r="AA116" s="363">
        <f t="shared" si="109"/>
        <v>404.544997077</v>
      </c>
      <c r="AB116" s="363">
        <f t="shared" si="109"/>
        <v>400.27490302800004</v>
      </c>
      <c r="AC116" s="363">
        <f t="shared" si="109"/>
        <v>396.00480897900002</v>
      </c>
      <c r="AD116" s="363">
        <f t="shared" si="109"/>
        <v>391.73471493</v>
      </c>
      <c r="AE116" s="363">
        <f t="shared" si="109"/>
        <v>387.46462088100003</v>
      </c>
      <c r="AF116" s="363">
        <f t="shared" si="109"/>
        <v>383.19452683200001</v>
      </c>
      <c r="AG116" s="363">
        <f t="shared" si="109"/>
        <v>378.92443278299999</v>
      </c>
    </row>
    <row r="117" spans="2:33" ht="15" thickBot="1" x14ac:dyDescent="0.4">
      <c r="B117" t="s">
        <v>2</v>
      </c>
      <c r="C117" s="80"/>
      <c r="D117" s="363">
        <f t="shared" ref="D117:AG117" si="110">D72-D100</f>
        <v>6286.2254411760005</v>
      </c>
      <c r="E117" s="363">
        <f t="shared" si="110"/>
        <v>6105.1583560059998</v>
      </c>
      <c r="F117" s="363">
        <f t="shared" si="110"/>
        <v>6108.5926464679997</v>
      </c>
      <c r="G117" s="363">
        <f t="shared" si="110"/>
        <v>6112.0269369299986</v>
      </c>
      <c r="H117" s="363">
        <f t="shared" si="110"/>
        <v>6115.4612273919993</v>
      </c>
      <c r="I117" s="363">
        <f t="shared" si="110"/>
        <v>5967.3083104529996</v>
      </c>
      <c r="J117" s="363">
        <f t="shared" si="110"/>
        <v>5958.4433382179996</v>
      </c>
      <c r="K117" s="363">
        <f t="shared" si="110"/>
        <v>5949.5783659829995</v>
      </c>
      <c r="L117" s="363">
        <f t="shared" si="110"/>
        <v>5940.7133937480003</v>
      </c>
      <c r="M117" s="363">
        <f t="shared" si="110"/>
        <v>5826.743687576999</v>
      </c>
      <c r="N117" s="363">
        <f t="shared" si="110"/>
        <v>5818.0357912619993</v>
      </c>
      <c r="O117" s="363">
        <f t="shared" si="110"/>
        <v>5801.2005250529992</v>
      </c>
      <c r="P117" s="363">
        <f t="shared" si="110"/>
        <v>5784.365258844</v>
      </c>
      <c r="Q117" s="363">
        <f t="shared" si="110"/>
        <v>5663.493374955</v>
      </c>
      <c r="R117" s="363">
        <f t="shared" si="110"/>
        <v>5646.9617888580005</v>
      </c>
      <c r="S117" s="363">
        <f t="shared" si="110"/>
        <v>5630.0501662989991</v>
      </c>
      <c r="T117" s="363">
        <f t="shared" si="110"/>
        <v>5606.2978874239989</v>
      </c>
      <c r="U117" s="363">
        <f t="shared" si="110"/>
        <v>5582.5456085489986</v>
      </c>
      <c r="V117" s="363">
        <f t="shared" si="110"/>
        <v>5558.7933296739993</v>
      </c>
      <c r="W117" s="363">
        <f t="shared" si="110"/>
        <v>5535.0410507989991</v>
      </c>
      <c r="X117" s="363">
        <f t="shared" si="110"/>
        <v>5511.4787901549989</v>
      </c>
      <c r="Y117" s="363">
        <f t="shared" si="110"/>
        <v>5487.7265112799987</v>
      </c>
      <c r="Z117" s="363">
        <f t="shared" si="110"/>
        <v>5463.9742324049985</v>
      </c>
      <c r="AA117" s="363">
        <f t="shared" si="110"/>
        <v>5440.2219535299992</v>
      </c>
      <c r="AB117" s="363">
        <f t="shared" si="110"/>
        <v>5416.4696746549989</v>
      </c>
      <c r="AC117" s="363">
        <f t="shared" si="110"/>
        <v>5392.7173957799987</v>
      </c>
      <c r="AD117" s="363">
        <f t="shared" si="110"/>
        <v>5368.9651169049994</v>
      </c>
      <c r="AE117" s="363">
        <f t="shared" si="110"/>
        <v>5345.2128380299991</v>
      </c>
      <c r="AF117" s="363">
        <f t="shared" si="110"/>
        <v>5321.4605591549989</v>
      </c>
      <c r="AG117" s="363">
        <f t="shared" si="110"/>
        <v>5297.7082802799987</v>
      </c>
    </row>
    <row r="118" spans="2:33" ht="15" thickBot="1" x14ac:dyDescent="0.4">
      <c r="B118" t="s">
        <v>3</v>
      </c>
      <c r="C118" s="80"/>
      <c r="D118" s="363">
        <f t="shared" ref="D118:AG118" si="111">D73-D101</f>
        <v>777.15583800000013</v>
      </c>
      <c r="E118" s="363">
        <f t="shared" si="111"/>
        <v>778.00845000000004</v>
      </c>
      <c r="F118" s="363">
        <f t="shared" si="111"/>
        <v>721.22534341200003</v>
      </c>
      <c r="G118" s="363">
        <f t="shared" si="111"/>
        <v>722.01486212399993</v>
      </c>
      <c r="H118" s="363">
        <f t="shared" si="111"/>
        <v>722.80438083600006</v>
      </c>
      <c r="I118" s="363">
        <f t="shared" si="111"/>
        <v>706.00621921200013</v>
      </c>
      <c r="J118" s="363">
        <f t="shared" si="111"/>
        <v>705.81374205300006</v>
      </c>
      <c r="K118" s="363">
        <f t="shared" si="111"/>
        <v>705.62126489399998</v>
      </c>
      <c r="L118" s="363">
        <f t="shared" si="111"/>
        <v>705.42878773500013</v>
      </c>
      <c r="M118" s="363">
        <f t="shared" si="111"/>
        <v>692.74042910399999</v>
      </c>
      <c r="N118" s="363">
        <f t="shared" si="111"/>
        <v>692.17322897100007</v>
      </c>
      <c r="O118" s="363">
        <f t="shared" si="111"/>
        <v>690.66069528300011</v>
      </c>
      <c r="P118" s="363">
        <f t="shared" si="111"/>
        <v>689.14816159500015</v>
      </c>
      <c r="Q118" s="363">
        <f t="shared" si="111"/>
        <v>675.23182853100002</v>
      </c>
      <c r="R118" s="363">
        <f t="shared" si="111"/>
        <v>673.74657842700014</v>
      </c>
      <c r="S118" s="363">
        <f t="shared" si="111"/>
        <v>672.4469845860001</v>
      </c>
      <c r="T118" s="363">
        <f t="shared" si="111"/>
        <v>670.21910943</v>
      </c>
      <c r="U118" s="363">
        <f t="shared" si="111"/>
        <v>667.99123427400013</v>
      </c>
      <c r="V118" s="363">
        <f t="shared" si="111"/>
        <v>665.76335911800004</v>
      </c>
      <c r="W118" s="363">
        <f t="shared" si="111"/>
        <v>663.53548396200006</v>
      </c>
      <c r="X118" s="363">
        <f t="shared" si="111"/>
        <v>661.30760880599996</v>
      </c>
      <c r="Y118" s="363">
        <f t="shared" si="111"/>
        <v>659.07973365000009</v>
      </c>
      <c r="Z118" s="363">
        <f t="shared" si="111"/>
        <v>656.851858494</v>
      </c>
      <c r="AA118" s="363">
        <f t="shared" si="111"/>
        <v>654.62398333800002</v>
      </c>
      <c r="AB118" s="363">
        <f t="shared" si="111"/>
        <v>652.39610818200003</v>
      </c>
      <c r="AC118" s="363">
        <f t="shared" si="111"/>
        <v>650.16823302600005</v>
      </c>
      <c r="AD118" s="363">
        <f t="shared" si="111"/>
        <v>647.94035786999996</v>
      </c>
      <c r="AE118" s="363">
        <f t="shared" si="111"/>
        <v>645.71248271399998</v>
      </c>
      <c r="AF118" s="363">
        <f t="shared" si="111"/>
        <v>643.48460755799999</v>
      </c>
      <c r="AG118" s="363">
        <f t="shared" si="111"/>
        <v>641.25673240200001</v>
      </c>
    </row>
    <row r="119" spans="2:33" ht="15" thickBot="1" x14ac:dyDescent="0.4">
      <c r="B119" t="s">
        <v>4</v>
      </c>
      <c r="C119" s="80"/>
      <c r="D119" s="363">
        <f t="shared" ref="D119:AG119" si="112">D74-D102</f>
        <v>1856.851842</v>
      </c>
      <c r="E119" s="363">
        <f t="shared" si="112"/>
        <v>1874.0468100000001</v>
      </c>
      <c r="F119" s="363">
        <f t="shared" si="112"/>
        <v>1751.289886428</v>
      </c>
      <c r="G119" s="363">
        <f t="shared" si="112"/>
        <v>1767.212426796</v>
      </c>
      <c r="H119" s="363">
        <f t="shared" si="112"/>
        <v>1783.1349671639998</v>
      </c>
      <c r="I119" s="363">
        <f t="shared" si="112"/>
        <v>1754.1876479399998</v>
      </c>
      <c r="J119" s="363">
        <f t="shared" si="112"/>
        <v>1767.6813990779999</v>
      </c>
      <c r="K119" s="363">
        <f t="shared" si="112"/>
        <v>1781.175150216</v>
      </c>
      <c r="L119" s="363">
        <f t="shared" si="112"/>
        <v>1794.6689013539999</v>
      </c>
      <c r="M119" s="363">
        <f t="shared" si="112"/>
        <v>1776.1243330679999</v>
      </c>
      <c r="N119" s="363">
        <f t="shared" si="112"/>
        <v>1789.1974215960001</v>
      </c>
      <c r="O119" s="363">
        <f t="shared" si="112"/>
        <v>1799.7285206880001</v>
      </c>
      <c r="P119" s="363">
        <f t="shared" si="112"/>
        <v>1810.2596197800001</v>
      </c>
      <c r="Q119" s="363">
        <f t="shared" si="112"/>
        <v>1787.9466923759999</v>
      </c>
      <c r="R119" s="363">
        <f t="shared" si="112"/>
        <v>1798.2878280120003</v>
      </c>
      <c r="S119" s="363">
        <f t="shared" si="112"/>
        <v>1808.9855545320002</v>
      </c>
      <c r="T119" s="363">
        <f t="shared" si="112"/>
        <v>1816.473963096</v>
      </c>
      <c r="U119" s="363">
        <f t="shared" si="112"/>
        <v>1823.9623716599999</v>
      </c>
      <c r="V119" s="363">
        <f t="shared" si="112"/>
        <v>1831.4507802240003</v>
      </c>
      <c r="W119" s="363">
        <f t="shared" si="112"/>
        <v>1838.9391887880001</v>
      </c>
      <c r="X119" s="363">
        <f t="shared" si="112"/>
        <v>1846.0710064680004</v>
      </c>
      <c r="Y119" s="363">
        <f t="shared" si="112"/>
        <v>1853.5594150319998</v>
      </c>
      <c r="Z119" s="363">
        <f t="shared" si="112"/>
        <v>1861.0478235960002</v>
      </c>
      <c r="AA119" s="363">
        <f t="shared" si="112"/>
        <v>1868.5362321600001</v>
      </c>
      <c r="AB119" s="363">
        <f t="shared" si="112"/>
        <v>1876.0246407240002</v>
      </c>
      <c r="AC119" s="363">
        <f t="shared" si="112"/>
        <v>1883.5130492880003</v>
      </c>
      <c r="AD119" s="363">
        <f t="shared" si="112"/>
        <v>1891.0014578519999</v>
      </c>
      <c r="AE119" s="363">
        <f t="shared" si="112"/>
        <v>1898.489866416</v>
      </c>
      <c r="AF119" s="363">
        <f t="shared" si="112"/>
        <v>1905.9782749800002</v>
      </c>
      <c r="AG119" s="363">
        <f t="shared" si="112"/>
        <v>1913.466683544</v>
      </c>
    </row>
    <row r="120" spans="2:33" ht="15" thickBot="1" x14ac:dyDescent="0.4">
      <c r="B120" t="s">
        <v>5</v>
      </c>
      <c r="C120" s="80"/>
      <c r="D120" s="363">
        <f t="shared" ref="D120:AG120" si="113">D75-D103</f>
        <v>4322.6420539999999</v>
      </c>
      <c r="E120" s="363">
        <f t="shared" si="113"/>
        <v>4341.1857390000005</v>
      </c>
      <c r="F120" s="363">
        <f t="shared" si="113"/>
        <v>4037.1094466239992</v>
      </c>
      <c r="G120" s="363">
        <f t="shared" si="113"/>
        <v>4054.2808989339992</v>
      </c>
      <c r="H120" s="363">
        <f t="shared" si="113"/>
        <v>4071.4523512439996</v>
      </c>
      <c r="I120" s="363">
        <f t="shared" si="113"/>
        <v>3986.8735131540002</v>
      </c>
      <c r="J120" s="363">
        <f t="shared" si="113"/>
        <v>3996.5264829209996</v>
      </c>
      <c r="K120" s="363">
        <f t="shared" si="113"/>
        <v>4006.1794526879999</v>
      </c>
      <c r="L120" s="363">
        <f t="shared" si="113"/>
        <v>4015.8324224549992</v>
      </c>
      <c r="M120" s="363">
        <f t="shared" si="113"/>
        <v>3954.1589622380002</v>
      </c>
      <c r="N120" s="363">
        <f t="shared" si="113"/>
        <v>3964.0279113949991</v>
      </c>
      <c r="O120" s="363">
        <f t="shared" si="113"/>
        <v>3967.7045787279994</v>
      </c>
      <c r="P120" s="363">
        <f t="shared" si="113"/>
        <v>3971.3812460609997</v>
      </c>
      <c r="Q120" s="363">
        <f t="shared" si="113"/>
        <v>3903.3545012020004</v>
      </c>
      <c r="R120" s="363">
        <f t="shared" si="113"/>
        <v>3906.9648475909999</v>
      </c>
      <c r="S120" s="363">
        <f t="shared" si="113"/>
        <v>3910.9552304419994</v>
      </c>
      <c r="T120" s="363">
        <f t="shared" si="113"/>
        <v>3908.6750116699995</v>
      </c>
      <c r="U120" s="363">
        <f t="shared" si="113"/>
        <v>3906.3947928979997</v>
      </c>
      <c r="V120" s="363">
        <f t="shared" si="113"/>
        <v>3904.1145741260002</v>
      </c>
      <c r="W120" s="363">
        <f t="shared" si="113"/>
        <v>3901.8343553539994</v>
      </c>
      <c r="X120" s="363">
        <f t="shared" si="113"/>
        <v>3899.554136581999</v>
      </c>
      <c r="Y120" s="363">
        <f t="shared" si="113"/>
        <v>3897.2739178099991</v>
      </c>
      <c r="Z120" s="363">
        <f t="shared" si="113"/>
        <v>3894.9936990380006</v>
      </c>
      <c r="AA120" s="363">
        <f t="shared" si="113"/>
        <v>3892.7134802659998</v>
      </c>
      <c r="AB120" s="363">
        <f t="shared" si="113"/>
        <v>3890.4332614939995</v>
      </c>
      <c r="AC120" s="363">
        <f t="shared" si="113"/>
        <v>3888.1530427220005</v>
      </c>
      <c r="AD120" s="363">
        <f t="shared" si="113"/>
        <v>3885.8728239500001</v>
      </c>
      <c r="AE120" s="363">
        <f t="shared" si="113"/>
        <v>3883.5926051779993</v>
      </c>
      <c r="AF120" s="363">
        <f t="shared" si="113"/>
        <v>3881.3123864059994</v>
      </c>
      <c r="AG120" s="363">
        <f t="shared" si="113"/>
        <v>3879.032167634</v>
      </c>
    </row>
    <row r="121" spans="2:33" ht="15" thickBot="1" x14ac:dyDescent="0.4">
      <c r="B121" t="s">
        <v>6</v>
      </c>
      <c r="C121" s="80"/>
      <c r="D121" s="363">
        <f t="shared" ref="D121:AG121" si="114">D76-D104</f>
        <v>46422.782800000001</v>
      </c>
      <c r="E121" s="363">
        <f t="shared" si="114"/>
        <v>46672.312660000003</v>
      </c>
      <c r="F121" s="363">
        <f t="shared" si="114"/>
        <v>43449.626173520002</v>
      </c>
      <c r="G121" s="363">
        <f t="shared" si="114"/>
        <v>43680.690823880002</v>
      </c>
      <c r="H121" s="363">
        <f t="shared" si="114"/>
        <v>43911.755474240003</v>
      </c>
      <c r="I121" s="363">
        <f t="shared" si="114"/>
        <v>43046.157116760005</v>
      </c>
      <c r="J121" s="363">
        <f t="shared" si="114"/>
        <v>43271.968719420001</v>
      </c>
      <c r="K121" s="363">
        <f t="shared" si="114"/>
        <v>43497.780322079998</v>
      </c>
      <c r="L121" s="363">
        <f t="shared" si="114"/>
        <v>43723.591924740002</v>
      </c>
      <c r="M121" s="363">
        <f t="shared" si="114"/>
        <v>43170.67655460001</v>
      </c>
      <c r="N121" s="363">
        <f t="shared" si="114"/>
        <v>43392.009540420004</v>
      </c>
      <c r="O121" s="363">
        <f t="shared" si="114"/>
        <v>43541.236202920001</v>
      </c>
      <c r="P121" s="363">
        <f t="shared" si="114"/>
        <v>43690.462865420006</v>
      </c>
      <c r="Q121" s="363">
        <f t="shared" si="114"/>
        <v>43048.894677360004</v>
      </c>
      <c r="R121" s="363">
        <f t="shared" si="114"/>
        <v>43195.429539860008</v>
      </c>
      <c r="S121" s="363">
        <f t="shared" si="114"/>
        <v>43341.729946580002</v>
      </c>
      <c r="T121" s="363">
        <f t="shared" si="114"/>
        <v>43430.119775639992</v>
      </c>
      <c r="U121" s="363">
        <f t="shared" si="114"/>
        <v>43518.509604699997</v>
      </c>
      <c r="V121" s="363">
        <f t="shared" si="114"/>
        <v>43606.899433759994</v>
      </c>
      <c r="W121" s="363">
        <f t="shared" si="114"/>
        <v>43695.289262820006</v>
      </c>
      <c r="X121" s="363">
        <f t="shared" si="114"/>
        <v>43783.444636100001</v>
      </c>
      <c r="Y121" s="363">
        <f t="shared" si="114"/>
        <v>43871.834465159991</v>
      </c>
      <c r="Z121" s="363">
        <f t="shared" si="114"/>
        <v>43960.224294219988</v>
      </c>
      <c r="AA121" s="363">
        <f t="shared" si="114"/>
        <v>44048.614123279993</v>
      </c>
      <c r="AB121" s="363">
        <f t="shared" si="114"/>
        <v>44137.003952339997</v>
      </c>
      <c r="AC121" s="363">
        <f t="shared" si="114"/>
        <v>44225.393781400002</v>
      </c>
      <c r="AD121" s="363">
        <f t="shared" si="114"/>
        <v>44313.783610459999</v>
      </c>
      <c r="AE121" s="363">
        <f t="shared" si="114"/>
        <v>44402.173439519996</v>
      </c>
      <c r="AF121" s="363">
        <f t="shared" si="114"/>
        <v>44490.563268579994</v>
      </c>
      <c r="AG121" s="363">
        <f t="shared" si="114"/>
        <v>44578.953097639998</v>
      </c>
    </row>
    <row r="122" spans="2:33" ht="15" thickBot="1" x14ac:dyDescent="0.4">
      <c r="B122" t="s">
        <v>7</v>
      </c>
      <c r="C122" s="80"/>
      <c r="D122" s="363">
        <f t="shared" ref="D122:AG122" si="115">D77-D105</f>
        <v>4169.4930319999994</v>
      </c>
      <c r="E122" s="363">
        <f t="shared" si="115"/>
        <v>4158.3668209999996</v>
      </c>
      <c r="F122" s="363">
        <f t="shared" si="115"/>
        <v>3840.3448048599998</v>
      </c>
      <c r="G122" s="363">
        <f t="shared" si="115"/>
        <v>3830.041933474</v>
      </c>
      <c r="H122" s="363">
        <f t="shared" si="115"/>
        <v>3819.7390620879996</v>
      </c>
      <c r="I122" s="363">
        <f t="shared" si="115"/>
        <v>3714.4233664650001</v>
      </c>
      <c r="J122" s="363">
        <f t="shared" si="115"/>
        <v>3696.8904213779997</v>
      </c>
      <c r="K122" s="363">
        <f t="shared" si="115"/>
        <v>3679.3574762909993</v>
      </c>
      <c r="L122" s="363">
        <f t="shared" si="115"/>
        <v>3661.8245312039999</v>
      </c>
      <c r="M122" s="363">
        <f t="shared" si="115"/>
        <v>3579.7194206929998</v>
      </c>
      <c r="N122" s="363">
        <f t="shared" si="115"/>
        <v>3562.3036280629995</v>
      </c>
      <c r="O122" s="363">
        <f t="shared" si="115"/>
        <v>3538.6955536089995</v>
      </c>
      <c r="P122" s="363">
        <f t="shared" si="115"/>
        <v>3515.087479155</v>
      </c>
      <c r="Q122" s="363">
        <f t="shared" si="115"/>
        <v>3428.498941933</v>
      </c>
      <c r="R122" s="363">
        <f t="shared" si="115"/>
        <v>3405.3167177509999</v>
      </c>
      <c r="S122" s="363">
        <f t="shared" si="115"/>
        <v>3381.7544571069998</v>
      </c>
      <c r="T122" s="363">
        <f t="shared" si="115"/>
        <v>3356.672050615</v>
      </c>
      <c r="U122" s="363">
        <f t="shared" si="115"/>
        <v>3331.5896441229997</v>
      </c>
      <c r="V122" s="363">
        <f t="shared" si="115"/>
        <v>3306.507237631</v>
      </c>
      <c r="W122" s="363">
        <f t="shared" si="115"/>
        <v>3281.4248311389997</v>
      </c>
      <c r="X122" s="363">
        <f t="shared" si="115"/>
        <v>3256.7224611089996</v>
      </c>
      <c r="Y122" s="363">
        <f t="shared" si="115"/>
        <v>3231.6400546169998</v>
      </c>
      <c r="Z122" s="363">
        <f t="shared" si="115"/>
        <v>3206.557648125</v>
      </c>
      <c r="AA122" s="363">
        <f t="shared" si="115"/>
        <v>3181.4752416329998</v>
      </c>
      <c r="AB122" s="363">
        <f t="shared" si="115"/>
        <v>3156.3928351409995</v>
      </c>
      <c r="AC122" s="363">
        <f t="shared" si="115"/>
        <v>3131.3104286490002</v>
      </c>
      <c r="AD122" s="363">
        <f t="shared" si="115"/>
        <v>3106.2280221569999</v>
      </c>
      <c r="AE122" s="363">
        <f t="shared" si="115"/>
        <v>3081.1456156650002</v>
      </c>
      <c r="AF122" s="363">
        <f t="shared" si="115"/>
        <v>3056.0632091729994</v>
      </c>
      <c r="AG122" s="363">
        <f t="shared" si="115"/>
        <v>3030.9808026810001</v>
      </c>
    </row>
    <row r="123" spans="2:33" ht="15" thickBot="1" x14ac:dyDescent="0.4">
      <c r="B123" t="s">
        <v>8</v>
      </c>
      <c r="C123" s="80"/>
      <c r="D123" s="363">
        <f t="shared" ref="D123:AG123" si="116">D78-D106</f>
        <v>3216.164804082</v>
      </c>
      <c r="E123" s="363">
        <f t="shared" si="116"/>
        <v>3148.8403194819998</v>
      </c>
      <c r="F123" s="363">
        <f t="shared" si="116"/>
        <v>3175.9106090059995</v>
      </c>
      <c r="G123" s="363">
        <f t="shared" si="116"/>
        <v>3202.9808985299996</v>
      </c>
      <c r="H123" s="363">
        <f t="shared" si="116"/>
        <v>3230.0511880539998</v>
      </c>
      <c r="I123" s="363">
        <f t="shared" si="116"/>
        <v>3175.8270533429995</v>
      </c>
      <c r="J123" s="363">
        <f t="shared" si="116"/>
        <v>3196.7089879409996</v>
      </c>
      <c r="K123" s="363">
        <f t="shared" si="116"/>
        <v>3217.5909225389992</v>
      </c>
      <c r="L123" s="363">
        <f t="shared" si="116"/>
        <v>3238.4728571369997</v>
      </c>
      <c r="M123" s="363">
        <f t="shared" si="116"/>
        <v>3201.6032118150001</v>
      </c>
      <c r="N123" s="363">
        <f t="shared" si="116"/>
        <v>3222.308654164</v>
      </c>
      <c r="O123" s="363">
        <f t="shared" si="116"/>
        <v>3238.7569027589998</v>
      </c>
      <c r="P123" s="363">
        <f t="shared" si="116"/>
        <v>3255.205151354</v>
      </c>
      <c r="Q123" s="363">
        <f t="shared" si="116"/>
        <v>3212.6382315170003</v>
      </c>
      <c r="R123" s="363">
        <f t="shared" si="116"/>
        <v>3228.7897811520002</v>
      </c>
      <c r="S123" s="363">
        <f t="shared" si="116"/>
        <v>3245.131349018</v>
      </c>
      <c r="T123" s="363">
        <f t="shared" si="116"/>
        <v>3255.5823517229996</v>
      </c>
      <c r="U123" s="363">
        <f t="shared" si="116"/>
        <v>3266.0333544280002</v>
      </c>
      <c r="V123" s="363">
        <f t="shared" si="116"/>
        <v>3276.4843571329998</v>
      </c>
      <c r="W123" s="363">
        <f t="shared" si="116"/>
        <v>3286.9353598379998</v>
      </c>
      <c r="X123" s="363">
        <f t="shared" si="116"/>
        <v>3297.576380774</v>
      </c>
      <c r="Y123" s="363">
        <f t="shared" si="116"/>
        <v>3308.0273834789996</v>
      </c>
      <c r="Z123" s="363">
        <f t="shared" si="116"/>
        <v>3318.4783861839996</v>
      </c>
      <c r="AA123" s="363">
        <f t="shared" si="116"/>
        <v>3328.9293888889997</v>
      </c>
      <c r="AB123" s="363">
        <f t="shared" si="116"/>
        <v>3339.3803915939998</v>
      </c>
      <c r="AC123" s="363">
        <f t="shared" si="116"/>
        <v>3349.8313942989994</v>
      </c>
      <c r="AD123" s="363">
        <f t="shared" si="116"/>
        <v>3360.2823970039999</v>
      </c>
      <c r="AE123" s="363">
        <f t="shared" si="116"/>
        <v>3370.733399709</v>
      </c>
      <c r="AF123" s="363">
        <f t="shared" si="116"/>
        <v>3381.1844024139996</v>
      </c>
      <c r="AG123" s="363">
        <f t="shared" si="116"/>
        <v>3391.6354051190001</v>
      </c>
    </row>
    <row r="124" spans="2:33" ht="15" thickBot="1" x14ac:dyDescent="0.4">
      <c r="B124" t="s">
        <v>9</v>
      </c>
      <c r="C124" s="80"/>
      <c r="D124" s="363">
        <f t="shared" ref="D124:AG124" si="117">D79-D107</f>
        <v>2749.0467609999996</v>
      </c>
      <c r="E124" s="363">
        <f t="shared" si="117"/>
        <v>2773.2626319999999</v>
      </c>
      <c r="F124" s="363">
        <f t="shared" si="117"/>
        <v>2590.4650937779998</v>
      </c>
      <c r="G124" s="363">
        <f t="shared" si="117"/>
        <v>2612.8889903239997</v>
      </c>
      <c r="H124" s="363">
        <f t="shared" si="117"/>
        <v>2635.3128868700001</v>
      </c>
      <c r="I124" s="363">
        <f t="shared" si="117"/>
        <v>2592.1178815140001</v>
      </c>
      <c r="J124" s="363">
        <f t="shared" si="117"/>
        <v>2610.6358235160005</v>
      </c>
      <c r="K124" s="363">
        <f t="shared" si="117"/>
        <v>2629.153765518</v>
      </c>
      <c r="L124" s="363">
        <f t="shared" si="117"/>
        <v>2647.6717075199995</v>
      </c>
      <c r="M124" s="363">
        <f t="shared" si="117"/>
        <v>2618.9481939379993</v>
      </c>
      <c r="N124" s="363">
        <f t="shared" si="117"/>
        <v>2636.9445129890005</v>
      </c>
      <c r="O124" s="363">
        <f t="shared" si="117"/>
        <v>2649.716094251</v>
      </c>
      <c r="P124" s="363">
        <f t="shared" si="117"/>
        <v>2662.4876755129999</v>
      </c>
      <c r="Q124" s="363">
        <f t="shared" si="117"/>
        <v>2627.0020435749998</v>
      </c>
      <c r="R124" s="363">
        <f t="shared" si="117"/>
        <v>2639.5432468210001</v>
      </c>
      <c r="S124" s="363">
        <f t="shared" si="117"/>
        <v>2652.4644865289997</v>
      </c>
      <c r="T124" s="363">
        <f t="shared" si="117"/>
        <v>2661.5853616169998</v>
      </c>
      <c r="U124" s="363">
        <f t="shared" si="117"/>
        <v>2670.7062367049998</v>
      </c>
      <c r="V124" s="363">
        <f t="shared" si="117"/>
        <v>2679.8271117929999</v>
      </c>
      <c r="W124" s="363">
        <f t="shared" si="117"/>
        <v>2688.9479868809999</v>
      </c>
      <c r="X124" s="363">
        <f t="shared" si="117"/>
        <v>2698.4488984310001</v>
      </c>
      <c r="Y124" s="363">
        <f t="shared" si="117"/>
        <v>2707.5697735190001</v>
      </c>
      <c r="Z124" s="363">
        <f t="shared" si="117"/>
        <v>2716.6906486069997</v>
      </c>
      <c r="AA124" s="363">
        <f t="shared" si="117"/>
        <v>2725.8115236950002</v>
      </c>
      <c r="AB124" s="363">
        <f t="shared" si="117"/>
        <v>2734.9323987829998</v>
      </c>
      <c r="AC124" s="363">
        <f t="shared" si="117"/>
        <v>2744.0532738709999</v>
      </c>
      <c r="AD124" s="363">
        <f t="shared" si="117"/>
        <v>2753.1741489589995</v>
      </c>
      <c r="AE124" s="363">
        <f t="shared" si="117"/>
        <v>2762.2950240469995</v>
      </c>
      <c r="AF124" s="363">
        <f t="shared" si="117"/>
        <v>2771.4158991349996</v>
      </c>
      <c r="AG124" s="363">
        <f t="shared" si="117"/>
        <v>2780.5367742229996</v>
      </c>
    </row>
    <row r="125" spans="2:33" ht="3.75" customHeight="1" x14ac:dyDescent="0.35">
      <c r="C125" s="92"/>
      <c r="D125" s="365"/>
      <c r="E125" s="365"/>
      <c r="F125" s="365"/>
      <c r="G125" s="365"/>
      <c r="H125" s="365"/>
      <c r="I125" s="365"/>
      <c r="J125" s="365"/>
      <c r="K125" s="365"/>
      <c r="L125" s="365"/>
      <c r="M125" s="365"/>
      <c r="N125" s="365"/>
      <c r="O125" s="365"/>
      <c r="P125" s="365"/>
      <c r="Q125" s="365"/>
      <c r="R125" s="365"/>
      <c r="S125" s="365"/>
      <c r="T125" s="365"/>
      <c r="U125" s="365"/>
      <c r="V125" s="365"/>
      <c r="W125" s="365"/>
      <c r="X125" s="365"/>
      <c r="Y125" s="365"/>
      <c r="Z125" s="365"/>
      <c r="AA125" s="365"/>
      <c r="AB125" s="365"/>
      <c r="AC125" s="365"/>
      <c r="AD125" s="365"/>
      <c r="AE125" s="365"/>
      <c r="AF125" s="365"/>
      <c r="AG125" s="365"/>
    </row>
    <row r="126" spans="2:33" x14ac:dyDescent="0.35">
      <c r="B126" s="81" t="s">
        <v>200</v>
      </c>
      <c r="C126" s="85"/>
      <c r="D126" s="362">
        <f t="shared" ref="D126:AG126" si="118">SUM(D116:D124)</f>
        <v>70363.512798258002</v>
      </c>
      <c r="E126" s="362">
        <f t="shared" si="118"/>
        <v>70411.134718488</v>
      </c>
      <c r="F126" s="362">
        <f t="shared" si="118"/>
        <v>66190.119723031996</v>
      </c>
      <c r="G126" s="362">
        <f t="shared" si="118"/>
        <v>66494.732794757991</v>
      </c>
      <c r="H126" s="362">
        <f t="shared" si="118"/>
        <v>66799.345866484</v>
      </c>
      <c r="I126" s="362">
        <f t="shared" si="118"/>
        <v>65436.989975994002</v>
      </c>
      <c r="J126" s="362">
        <f t="shared" si="118"/>
        <v>65695.100715656998</v>
      </c>
      <c r="K126" s="362">
        <f t="shared" si="118"/>
        <v>65953.211455319994</v>
      </c>
      <c r="L126" s="362">
        <f t="shared" si="118"/>
        <v>66211.322194983004</v>
      </c>
      <c r="M126" s="362">
        <f t="shared" si="118"/>
        <v>65291.679970134013</v>
      </c>
      <c r="N126" s="362">
        <f t="shared" si="118"/>
        <v>65544.751731873999</v>
      </c>
      <c r="O126" s="362">
        <f t="shared" si="118"/>
        <v>65691.290648662994</v>
      </c>
      <c r="P126" s="362">
        <f t="shared" si="118"/>
        <v>65837.829565452004</v>
      </c>
      <c r="Q126" s="362">
        <f t="shared" si="118"/>
        <v>64794.120572753003</v>
      </c>
      <c r="R126" s="362">
        <f t="shared" si="118"/>
        <v>64938.016171990006</v>
      </c>
      <c r="S126" s="362">
        <f t="shared" si="118"/>
        <v>65082.595237088011</v>
      </c>
      <c r="T126" s="362">
        <f t="shared" si="118"/>
        <v>65140.432479160991</v>
      </c>
      <c r="U126" s="362">
        <f t="shared" si="118"/>
        <v>65198.269721233999</v>
      </c>
      <c r="V126" s="362">
        <f t="shared" si="118"/>
        <v>65256.106963306986</v>
      </c>
      <c r="W126" s="362">
        <f t="shared" si="118"/>
        <v>65313.944205380001</v>
      </c>
      <c r="X126" s="362">
        <f t="shared" si="118"/>
        <v>65371.959197648997</v>
      </c>
      <c r="Y126" s="362">
        <f t="shared" si="118"/>
        <v>65429.796439721977</v>
      </c>
      <c r="Z126" s="362">
        <f t="shared" si="118"/>
        <v>65487.633681794985</v>
      </c>
      <c r="AA126" s="362">
        <f t="shared" si="118"/>
        <v>65545.470923867993</v>
      </c>
      <c r="AB126" s="362">
        <f t="shared" si="118"/>
        <v>65603.308165940995</v>
      </c>
      <c r="AC126" s="362">
        <f t="shared" si="118"/>
        <v>65661.145408013996</v>
      </c>
      <c r="AD126" s="362">
        <f t="shared" si="118"/>
        <v>65718.982650086997</v>
      </c>
      <c r="AE126" s="362">
        <f t="shared" si="118"/>
        <v>65776.819892159998</v>
      </c>
      <c r="AF126" s="362">
        <f t="shared" si="118"/>
        <v>65834.657134232999</v>
      </c>
      <c r="AG126" s="362">
        <f t="shared" si="118"/>
        <v>65892.494376305985</v>
      </c>
    </row>
    <row r="127" spans="2:33" ht="9.75" customHeight="1" x14ac:dyDescent="0.35">
      <c r="B127" s="79"/>
      <c r="C127" s="79"/>
      <c r="E127" s="80"/>
      <c r="F127" s="80"/>
    </row>
    <row r="128" spans="2:33" x14ac:dyDescent="0.35">
      <c r="B128" s="77" t="s">
        <v>207</v>
      </c>
    </row>
    <row r="129" spans="2:33" ht="4.5" customHeight="1" x14ac:dyDescent="0.35">
      <c r="B129" s="77"/>
      <c r="C129" s="77"/>
    </row>
    <row r="130" spans="2:33" x14ac:dyDescent="0.35">
      <c r="B130" s="100" t="s">
        <v>68</v>
      </c>
      <c r="C130" s="100"/>
      <c r="D130" s="101">
        <v>1</v>
      </c>
      <c r="E130" s="101">
        <f>D130+1</f>
        <v>2</v>
      </c>
      <c r="F130" s="101">
        <f t="shared" ref="F130" si="119">E130+1</f>
        <v>3</v>
      </c>
      <c r="G130" s="101">
        <f t="shared" ref="G130" si="120">F130+1</f>
        <v>4</v>
      </c>
      <c r="H130" s="101">
        <f t="shared" ref="H130" si="121">G130+1</f>
        <v>5</v>
      </c>
      <c r="I130" s="101">
        <f t="shared" ref="I130" si="122">H130+1</f>
        <v>6</v>
      </c>
      <c r="J130" s="101">
        <f t="shared" ref="J130" si="123">I130+1</f>
        <v>7</v>
      </c>
      <c r="K130" s="101">
        <f t="shared" ref="K130" si="124">J130+1</f>
        <v>8</v>
      </c>
      <c r="L130" s="101">
        <f t="shared" ref="L130" si="125">K130+1</f>
        <v>9</v>
      </c>
      <c r="M130" s="101">
        <f t="shared" ref="M130" si="126">L130+1</f>
        <v>10</v>
      </c>
      <c r="N130" s="101">
        <f t="shared" ref="N130" si="127">M130+1</f>
        <v>11</v>
      </c>
      <c r="O130" s="101">
        <f t="shared" ref="O130" si="128">N130+1</f>
        <v>12</v>
      </c>
      <c r="P130" s="101">
        <f t="shared" ref="P130" si="129">O130+1</f>
        <v>13</v>
      </c>
      <c r="Q130" s="101">
        <f t="shared" ref="Q130" si="130">P130+1</f>
        <v>14</v>
      </c>
      <c r="R130" s="101">
        <f t="shared" ref="R130" si="131">Q130+1</f>
        <v>15</v>
      </c>
      <c r="S130" s="101">
        <f t="shared" ref="S130" si="132">R130+1</f>
        <v>16</v>
      </c>
      <c r="T130" s="101">
        <f t="shared" ref="T130" si="133">S130+1</f>
        <v>17</v>
      </c>
      <c r="U130" s="101">
        <f t="shared" ref="U130" si="134">T130+1</f>
        <v>18</v>
      </c>
      <c r="V130" s="101">
        <f t="shared" ref="V130" si="135">U130+1</f>
        <v>19</v>
      </c>
      <c r="W130" s="101">
        <f t="shared" ref="W130" si="136">V130+1</f>
        <v>20</v>
      </c>
      <c r="X130" s="101">
        <f t="shared" ref="X130" si="137">W130+1</f>
        <v>21</v>
      </c>
      <c r="Y130" s="101">
        <f t="shared" ref="Y130" si="138">X130+1</f>
        <v>22</v>
      </c>
      <c r="Z130" s="101">
        <f t="shared" ref="Z130" si="139">Y130+1</f>
        <v>23</v>
      </c>
      <c r="AA130" s="101">
        <f t="shared" ref="AA130" si="140">Z130+1</f>
        <v>24</v>
      </c>
      <c r="AB130" s="101">
        <f t="shared" ref="AB130" si="141">AA130+1</f>
        <v>25</v>
      </c>
      <c r="AC130" s="101">
        <f t="shared" ref="AC130" si="142">AB130+1</f>
        <v>26</v>
      </c>
      <c r="AD130" s="101">
        <f t="shared" ref="AD130" si="143">AC130+1</f>
        <v>27</v>
      </c>
      <c r="AE130" s="101">
        <f t="shared" ref="AE130" si="144">AD130+1</f>
        <v>28</v>
      </c>
      <c r="AF130" s="101">
        <f t="shared" ref="AF130" si="145">AE130+1</f>
        <v>29</v>
      </c>
      <c r="AG130" s="101">
        <f t="shared" ref="AG130" si="146">AF130+1</f>
        <v>30</v>
      </c>
    </row>
    <row r="131" spans="2:33" ht="4.5" customHeight="1" thickBot="1" x14ac:dyDescent="0.4">
      <c r="B131" s="82"/>
      <c r="C131" s="82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</row>
    <row r="132" spans="2:33" ht="15" thickBot="1" x14ac:dyDescent="0.4">
      <c r="B132" t="s">
        <v>1</v>
      </c>
      <c r="C132" s="80"/>
      <c r="D132" s="363">
        <f>D25*$E$8*'Premissas Gerais'!$G$24/1000</f>
        <v>132.34030311000001</v>
      </c>
      <c r="E132" s="363">
        <f>E25*$E$8*'Premissas Gerais'!$G$24/1000</f>
        <v>131.58893878500001</v>
      </c>
      <c r="F132" s="363">
        <f>F25*$E$8*'Premissas Gerais'!$G$24/1000</f>
        <v>130.83757446000001</v>
      </c>
      <c r="G132" s="363">
        <f>G25*$E$8*'Premissas Gerais'!$G$24/1000</f>
        <v>130.08621013500002</v>
      </c>
      <c r="H132" s="363">
        <f>H25*$E$8*'Premissas Gerais'!$G$24/1000</f>
        <v>129.33484580999999</v>
      </c>
      <c r="I132" s="363">
        <f>I25*$E$8*'Premissas Gerais'!$G$24/1000</f>
        <v>128.58348148500002</v>
      </c>
      <c r="J132" s="363">
        <f>J25*$E$8*'Premissas Gerais'!$G$24/1000</f>
        <v>127.63175333999999</v>
      </c>
      <c r="K132" s="363">
        <f>K25*$E$8*'Premissas Gerais'!$G$24/1000</f>
        <v>126.68002519500001</v>
      </c>
      <c r="L132" s="363">
        <f>L25*$E$8*'Premissas Gerais'!$G$24/1000</f>
        <v>125.72829705000001</v>
      </c>
      <c r="M132" s="363">
        <f>M25*$E$8*'Premissas Gerais'!$G$24/1000</f>
        <v>124.776568905</v>
      </c>
      <c r="N132" s="363">
        <f>N25*$E$8*'Premissas Gerais'!$G$24/1000</f>
        <v>123.92502267</v>
      </c>
      <c r="O132" s="363">
        <f>O25*$E$8*'Premissas Gerais'!$G$24/1000</f>
        <v>122.82302165999999</v>
      </c>
      <c r="P132" s="363">
        <f>P25*$E$8*'Premissas Gerais'!$G$24/1000</f>
        <v>121.72102065</v>
      </c>
      <c r="Q132" s="363">
        <f>Q25*$E$8*'Premissas Gerais'!$G$24/1000</f>
        <v>120.61901964</v>
      </c>
      <c r="R132" s="363">
        <f>R25*$E$8*'Premissas Gerais'!$G$24/1000</f>
        <v>119.51701863000001</v>
      </c>
      <c r="S132" s="363">
        <f>S25*$E$8*'Premissas Gerais'!$G$24/1000</f>
        <v>118.465108575</v>
      </c>
      <c r="T132" s="363">
        <f>T25*$E$8*'Premissas Gerais'!$G$24/1000</f>
        <v>117.31301661000001</v>
      </c>
      <c r="U132" s="363">
        <f>U25*$E$8*'Premissas Gerais'!$G$24/1000</f>
        <v>116.16092464500001</v>
      </c>
      <c r="V132" s="363">
        <f>V25*$E$8*'Premissas Gerais'!$G$24/1000</f>
        <v>115.00883268</v>
      </c>
      <c r="W132" s="363">
        <f>W25*$E$8*'Premissas Gerais'!$G$24/1000</f>
        <v>113.856740715</v>
      </c>
      <c r="X132" s="363">
        <f>X25*$E$8*'Premissas Gerais'!$G$24/1000</f>
        <v>112.60446684000001</v>
      </c>
      <c r="Y132" s="363">
        <f>Y25*$E$8*'Premissas Gerais'!$G$24/1000</f>
        <v>111.452374875</v>
      </c>
      <c r="Z132" s="363">
        <f>Z25*$E$8*'Premissas Gerais'!$G$24/1000</f>
        <v>110.30028291000001</v>
      </c>
      <c r="AA132" s="363">
        <f>AA25*$E$8*'Premissas Gerais'!$G$24/1000</f>
        <v>109.14819094500001</v>
      </c>
      <c r="AB132" s="363">
        <f>AB25*$E$8*'Premissas Gerais'!$G$24/1000</f>
        <v>107.99609898</v>
      </c>
      <c r="AC132" s="363">
        <f>AC25*$E$8*'Premissas Gerais'!$G$24/1000</f>
        <v>106.84400701500002</v>
      </c>
      <c r="AD132" s="363">
        <f>AD25*$E$8*'Premissas Gerais'!$G$24/1000</f>
        <v>105.69191505000001</v>
      </c>
      <c r="AE132" s="363">
        <f>AE25*$E$8*'Premissas Gerais'!$G$24/1000</f>
        <v>104.53982308499999</v>
      </c>
      <c r="AF132" s="363">
        <f>AF25*$E$8*'Premissas Gerais'!$G$24/1000</f>
        <v>103.38773112000001</v>
      </c>
      <c r="AG132" s="363">
        <f>AG25*$E$8*'Premissas Gerais'!$G$24/1000</f>
        <v>102.235639155</v>
      </c>
    </row>
    <row r="133" spans="2:33" ht="15" thickBot="1" x14ac:dyDescent="0.4">
      <c r="B133" t="s">
        <v>2</v>
      </c>
      <c r="C133" s="80"/>
      <c r="D133" s="363">
        <f>D26*$E$9*'Premissas Gerais'!$G$24/1000</f>
        <v>1548.4936883399996</v>
      </c>
      <c r="E133" s="363">
        <f>E26*$E$9*'Premissas Gerais'!$G$24/1000</f>
        <v>1549.3652415349998</v>
      </c>
      <c r="F133" s="363">
        <f>F26*$E$9*'Premissas Gerais'!$G$24/1000</f>
        <v>1550.2367947299997</v>
      </c>
      <c r="G133" s="363">
        <f>G26*$E$9*'Premissas Gerais'!$G$24/1000</f>
        <v>1551.1083479249996</v>
      </c>
      <c r="H133" s="363">
        <f>H26*$E$9*'Premissas Gerais'!$G$24/1000</f>
        <v>1551.9799011199998</v>
      </c>
      <c r="I133" s="363">
        <f>I26*$E$9*'Premissas Gerais'!$G$24/1000</f>
        <v>1552.9539899849997</v>
      </c>
      <c r="J133" s="363">
        <f>J26*$E$9*'Premissas Gerais'!$G$24/1000</f>
        <v>1550.6469374099997</v>
      </c>
      <c r="K133" s="363">
        <f>K26*$E$9*'Premissas Gerais'!$G$24/1000</f>
        <v>1548.3398848349998</v>
      </c>
      <c r="L133" s="363">
        <f>L26*$E$9*'Premissas Gerais'!$G$24/1000</f>
        <v>1546.0328322599996</v>
      </c>
      <c r="M133" s="363">
        <f>M26*$E$9*'Premissas Gerais'!$G$24/1000</f>
        <v>1543.7257796849997</v>
      </c>
      <c r="N133" s="363">
        <f>N26*$E$9*'Premissas Gerais'!$G$24/1000</f>
        <v>1541.4187271099997</v>
      </c>
      <c r="O133" s="363">
        <f>O26*$E$9*'Premissas Gerais'!$G$24/1000</f>
        <v>1536.9584254649999</v>
      </c>
      <c r="P133" s="363">
        <f>P26*$E$9*'Premissas Gerais'!$G$24/1000</f>
        <v>1532.4981238199996</v>
      </c>
      <c r="Q133" s="363">
        <f>Q26*$E$9*'Premissas Gerais'!$G$24/1000</f>
        <v>1528.0378221749995</v>
      </c>
      <c r="R133" s="363">
        <f>R26*$E$9*'Premissas Gerais'!$G$24/1000</f>
        <v>1523.5775205299999</v>
      </c>
      <c r="S133" s="363">
        <f>S26*$E$9*'Premissas Gerais'!$G$24/1000</f>
        <v>1519.0146832149996</v>
      </c>
      <c r="T133" s="363">
        <f>T26*$E$9*'Premissas Gerais'!$G$24/1000</f>
        <v>1512.6062038399996</v>
      </c>
      <c r="U133" s="363">
        <f>U26*$E$9*'Premissas Gerais'!$G$24/1000</f>
        <v>1506.1977244649997</v>
      </c>
      <c r="V133" s="363">
        <f>V26*$E$9*'Premissas Gerais'!$G$24/1000</f>
        <v>1499.7892450899997</v>
      </c>
      <c r="W133" s="363">
        <f>W26*$E$9*'Premissas Gerais'!$G$24/1000</f>
        <v>1493.3807657149998</v>
      </c>
      <c r="X133" s="363">
        <f>X26*$E$9*'Premissas Gerais'!$G$24/1000</f>
        <v>1487.0235541749998</v>
      </c>
      <c r="Y133" s="363">
        <f>Y26*$E$9*'Premissas Gerais'!$G$24/1000</f>
        <v>1480.6150747999995</v>
      </c>
      <c r="Z133" s="363">
        <f>Z26*$E$9*'Premissas Gerais'!$G$24/1000</f>
        <v>1474.2065954249997</v>
      </c>
      <c r="AA133" s="363">
        <f>AA26*$E$9*'Premissas Gerais'!$G$24/1000</f>
        <v>1467.7981160499999</v>
      </c>
      <c r="AB133" s="363">
        <f>AB26*$E$9*'Premissas Gerais'!$G$24/1000</f>
        <v>1461.3896366749998</v>
      </c>
      <c r="AC133" s="363">
        <f>AC26*$E$9*'Premissas Gerais'!$G$24/1000</f>
        <v>1454.9811572999997</v>
      </c>
      <c r="AD133" s="363">
        <f>AD26*$E$9*'Premissas Gerais'!$G$24/1000</f>
        <v>1448.5726779249997</v>
      </c>
      <c r="AE133" s="363">
        <f>AE26*$E$9*'Premissas Gerais'!$G$24/1000</f>
        <v>1442.1641985499998</v>
      </c>
      <c r="AF133" s="363">
        <f>AF26*$E$9*'Premissas Gerais'!$G$24/1000</f>
        <v>1435.7557191749997</v>
      </c>
      <c r="AG133" s="363">
        <f>AG26*$E$9*'Premissas Gerais'!$G$24/1000</f>
        <v>1429.3472397999997</v>
      </c>
    </row>
    <row r="134" spans="2:33" ht="15" thickBot="1" x14ac:dyDescent="0.4">
      <c r="B134" t="s">
        <v>3</v>
      </c>
      <c r="C134" s="80"/>
      <c r="D134" s="363">
        <f>D27*$E$10*'Premissas Gerais'!$G$24/1000</f>
        <v>182.63162192999999</v>
      </c>
      <c r="E134" s="363">
        <f>E27*$E$10*'Premissas Gerais'!$G$24/1000</f>
        <v>182.83198575</v>
      </c>
      <c r="F134" s="363">
        <f>F27*$E$10*'Premissas Gerais'!$G$24/1000</f>
        <v>183.03234957000001</v>
      </c>
      <c r="G134" s="363">
        <f>G27*$E$10*'Premissas Gerais'!$G$24/1000</f>
        <v>183.23271339000001</v>
      </c>
      <c r="H134" s="363">
        <f>H27*$E$10*'Premissas Gerais'!$G$24/1000</f>
        <v>183.43307721000002</v>
      </c>
      <c r="I134" s="363">
        <f>I27*$E$10*'Premissas Gerais'!$G$24/1000</f>
        <v>183.73362294</v>
      </c>
      <c r="J134" s="363">
        <f>J27*$E$10*'Premissas Gerais'!$G$24/1000</f>
        <v>183.683531985</v>
      </c>
      <c r="K134" s="363">
        <f>K27*$E$10*'Premissas Gerais'!$G$24/1000</f>
        <v>183.63344103</v>
      </c>
      <c r="L134" s="363">
        <f>L27*$E$10*'Premissas Gerais'!$G$24/1000</f>
        <v>183.583350075</v>
      </c>
      <c r="M134" s="363">
        <f>M27*$E$10*'Premissas Gerais'!$G$24/1000</f>
        <v>183.53325912</v>
      </c>
      <c r="N134" s="363">
        <f>N27*$E$10*'Premissas Gerais'!$G$24/1000</f>
        <v>183.38298625499999</v>
      </c>
      <c r="O134" s="363">
        <f>O27*$E$10*'Premissas Gerais'!$G$24/1000</f>
        <v>182.98225861500003</v>
      </c>
      <c r="P134" s="363">
        <f>P27*$E$10*'Premissas Gerais'!$G$24/1000</f>
        <v>182.58153097499999</v>
      </c>
      <c r="Q134" s="363">
        <f>Q27*$E$10*'Premissas Gerais'!$G$24/1000</f>
        <v>182.18080333500004</v>
      </c>
      <c r="R134" s="363">
        <f>R27*$E$10*'Premissas Gerais'!$G$24/1000</f>
        <v>181.78007569499999</v>
      </c>
      <c r="S134" s="363">
        <f>S27*$E$10*'Premissas Gerais'!$G$24/1000</f>
        <v>181.42943901000004</v>
      </c>
      <c r="T134" s="363">
        <f>T27*$E$10*'Premissas Gerais'!$G$24/1000</f>
        <v>180.82834755000002</v>
      </c>
      <c r="U134" s="363">
        <f>U27*$E$10*'Premissas Gerais'!$G$24/1000</f>
        <v>180.22725609</v>
      </c>
      <c r="V134" s="363">
        <f>V27*$E$10*'Premissas Gerais'!$G$24/1000</f>
        <v>179.62616463000001</v>
      </c>
      <c r="W134" s="363">
        <f>W27*$E$10*'Premissas Gerais'!$G$24/1000</f>
        <v>179.02507317000001</v>
      </c>
      <c r="X134" s="363">
        <f>X27*$E$10*'Premissas Gerais'!$G$24/1000</f>
        <v>178.42398170999999</v>
      </c>
      <c r="Y134" s="363">
        <f>Y27*$E$10*'Premissas Gerais'!$G$24/1000</f>
        <v>177.82289025000003</v>
      </c>
      <c r="Z134" s="363">
        <f>Z27*$E$10*'Premissas Gerais'!$G$24/1000</f>
        <v>177.22179879000001</v>
      </c>
      <c r="AA134" s="363">
        <f>AA27*$E$10*'Premissas Gerais'!$G$24/1000</f>
        <v>176.62070733000002</v>
      </c>
      <c r="AB134" s="363">
        <f>AB27*$E$10*'Premissas Gerais'!$G$24/1000</f>
        <v>176.01961587000002</v>
      </c>
      <c r="AC134" s="363">
        <f>AC27*$E$10*'Premissas Gerais'!$G$24/1000</f>
        <v>175.41852441</v>
      </c>
      <c r="AD134" s="363">
        <f>AD27*$E$10*'Premissas Gerais'!$G$24/1000</f>
        <v>174.81743295000001</v>
      </c>
      <c r="AE134" s="363">
        <f>AE27*$E$10*'Premissas Gerais'!$G$24/1000</f>
        <v>174.21634149000002</v>
      </c>
      <c r="AF134" s="363">
        <f>AF27*$E$10*'Premissas Gerais'!$G$24/1000</f>
        <v>173.61525003000003</v>
      </c>
      <c r="AG134" s="363">
        <f>AG27*$E$10*'Premissas Gerais'!$G$24/1000</f>
        <v>173.01415857000001</v>
      </c>
    </row>
    <row r="135" spans="2:33" ht="15" thickBot="1" x14ac:dyDescent="0.4">
      <c r="B135" t="s">
        <v>4</v>
      </c>
      <c r="C135" s="80"/>
      <c r="D135" s="363">
        <f>D28*$E$11*'Premissas Gerais'!$G$24/1000</f>
        <v>436.36018286999996</v>
      </c>
      <c r="E135" s="363">
        <f>E28*$E$11*'Premissas Gerais'!$G$24/1000</f>
        <v>440.40100035</v>
      </c>
      <c r="F135" s="363">
        <f>F28*$E$11*'Premissas Gerais'!$G$24/1000</f>
        <v>444.44181782999999</v>
      </c>
      <c r="G135" s="363">
        <f>G28*$E$11*'Premissas Gerais'!$G$24/1000</f>
        <v>448.48263530999998</v>
      </c>
      <c r="H135" s="363">
        <f>H28*$E$11*'Premissas Gerais'!$G$24/1000</f>
        <v>452.52345278999996</v>
      </c>
      <c r="I135" s="363">
        <f>I28*$E$11*'Premissas Gerais'!$G$24/1000</f>
        <v>456.51616530000001</v>
      </c>
      <c r="J135" s="363">
        <f>J28*$E$11*'Premissas Gerais'!$G$24/1000</f>
        <v>460.02782811000003</v>
      </c>
      <c r="K135" s="363">
        <f>K28*$E$11*'Premissas Gerais'!$G$24/1000</f>
        <v>463.53949091999993</v>
      </c>
      <c r="L135" s="363">
        <f>L28*$E$11*'Premissas Gerais'!$G$24/1000</f>
        <v>467.05115372999995</v>
      </c>
      <c r="M135" s="363">
        <f>M28*$E$11*'Premissas Gerais'!$G$24/1000</f>
        <v>470.56281653999997</v>
      </c>
      <c r="N135" s="363">
        <f>N28*$E$11*'Premissas Gerais'!$G$24/1000</f>
        <v>474.02637437999999</v>
      </c>
      <c r="O135" s="363">
        <f>O28*$E$11*'Premissas Gerais'!$G$24/1000</f>
        <v>476.81646264</v>
      </c>
      <c r="P135" s="363">
        <f>P28*$E$11*'Premissas Gerais'!$G$24/1000</f>
        <v>479.60655089999995</v>
      </c>
      <c r="Q135" s="363">
        <f>Q28*$E$11*'Premissas Gerais'!$G$24/1000</f>
        <v>482.39663915999995</v>
      </c>
      <c r="R135" s="363">
        <f>R28*$E$11*'Premissas Gerais'!$G$24/1000</f>
        <v>485.18672742000001</v>
      </c>
      <c r="S135" s="363">
        <f>S28*$E$11*'Premissas Gerais'!$G$24/1000</f>
        <v>488.07302561999995</v>
      </c>
      <c r="T135" s="363">
        <f>T28*$E$11*'Premissas Gerais'!$G$24/1000</f>
        <v>490.09343435999995</v>
      </c>
      <c r="U135" s="363">
        <f>U28*$E$11*'Premissas Gerais'!$G$24/1000</f>
        <v>492.11384309999994</v>
      </c>
      <c r="V135" s="363">
        <f>V28*$E$11*'Premissas Gerais'!$G$24/1000</f>
        <v>494.13425183999993</v>
      </c>
      <c r="W135" s="363">
        <f>W28*$E$11*'Premissas Gerais'!$G$24/1000</f>
        <v>496.15466057999998</v>
      </c>
      <c r="X135" s="363">
        <f>X28*$E$11*'Premissas Gerais'!$G$24/1000</f>
        <v>498.07885937999993</v>
      </c>
      <c r="Y135" s="363">
        <f>Y28*$E$11*'Premissas Gerais'!$G$24/1000</f>
        <v>500.09926812000003</v>
      </c>
      <c r="Z135" s="363">
        <f>Z28*$E$11*'Premissas Gerais'!$G$24/1000</f>
        <v>502.11967686000003</v>
      </c>
      <c r="AA135" s="363">
        <f>AA28*$E$11*'Premissas Gerais'!$G$24/1000</f>
        <v>504.14008559999996</v>
      </c>
      <c r="AB135" s="363">
        <f>AB28*$E$11*'Premissas Gerais'!$G$24/1000</f>
        <v>506.16049433999996</v>
      </c>
      <c r="AC135" s="363">
        <f>AC28*$E$11*'Premissas Gerais'!$G$24/1000</f>
        <v>508.18090307999995</v>
      </c>
      <c r="AD135" s="363">
        <f>AD28*$E$11*'Premissas Gerais'!$G$24/1000</f>
        <v>510.20131182</v>
      </c>
      <c r="AE135" s="363">
        <f>AE28*$E$11*'Premissas Gerais'!$G$24/1000</f>
        <v>512.22172055999999</v>
      </c>
      <c r="AF135" s="363">
        <f>AF28*$E$11*'Premissas Gerais'!$G$24/1000</f>
        <v>514.24212929999999</v>
      </c>
      <c r="AG135" s="363">
        <f>AG28*$E$11*'Premissas Gerais'!$G$24/1000</f>
        <v>516.26253803999998</v>
      </c>
    </row>
    <row r="136" spans="2:33" ht="15" thickBot="1" x14ac:dyDescent="0.4">
      <c r="B136" t="s">
        <v>5</v>
      </c>
      <c r="C136" s="80"/>
      <c r="D136" s="363">
        <f>D29*$E$12*'Premissas Gerais'!$G$24/1000</f>
        <v>1015.8208826899997</v>
      </c>
      <c r="E136" s="363">
        <f>E29*$E$12*'Premissas Gerais'!$G$24/1000</f>
        <v>1020.1786486649997</v>
      </c>
      <c r="F136" s="363">
        <f>F29*$E$12*'Premissas Gerais'!$G$24/1000</f>
        <v>1024.5364146399997</v>
      </c>
      <c r="G136" s="363">
        <f>G29*$E$12*'Premissas Gerais'!$G$24/1000</f>
        <v>1028.8941806149999</v>
      </c>
      <c r="H136" s="363">
        <f>H29*$E$12*'Premissas Gerais'!$G$24/1000</f>
        <v>1033.2519465899998</v>
      </c>
      <c r="I136" s="363">
        <f>I29*$E$12*'Premissas Gerais'!$G$24/1000</f>
        <v>1037.5584447299998</v>
      </c>
      <c r="J136" s="363">
        <f>J29*$E$12*'Premissas Gerais'!$G$24/1000</f>
        <v>1040.0705686449999</v>
      </c>
      <c r="K136" s="363">
        <f>K29*$E$12*'Premissas Gerais'!$G$24/1000</f>
        <v>1042.5826925599997</v>
      </c>
      <c r="L136" s="363">
        <f>L29*$E$12*'Premissas Gerais'!$G$24/1000</f>
        <v>1045.0948164749998</v>
      </c>
      <c r="M136" s="363">
        <f>M29*$E$12*'Premissas Gerais'!$G$24/1000</f>
        <v>1047.6069403899999</v>
      </c>
      <c r="N136" s="363">
        <f>N29*$E$12*'Premissas Gerais'!$G$24/1000</f>
        <v>1050.2215999749997</v>
      </c>
      <c r="O136" s="363">
        <f>O29*$E$12*'Premissas Gerais'!$G$24/1000</f>
        <v>1051.1956888399998</v>
      </c>
      <c r="P136" s="363">
        <f>P29*$E$12*'Premissas Gerais'!$G$24/1000</f>
        <v>1052.1697777049999</v>
      </c>
      <c r="Q136" s="363">
        <f>Q29*$E$12*'Premissas Gerais'!$G$24/1000</f>
        <v>1053.1438665699998</v>
      </c>
      <c r="R136" s="363">
        <f>R29*$E$12*'Premissas Gerais'!$G$24/1000</f>
        <v>1054.1179554349999</v>
      </c>
      <c r="S136" s="363">
        <f>S29*$E$12*'Premissas Gerais'!$G$24/1000</f>
        <v>1055.1945799699999</v>
      </c>
      <c r="T136" s="363">
        <f>T29*$E$12*'Premissas Gerais'!$G$24/1000</f>
        <v>1054.5793659499998</v>
      </c>
      <c r="U136" s="363">
        <f>U29*$E$12*'Premissas Gerais'!$G$24/1000</f>
        <v>1053.9641519299996</v>
      </c>
      <c r="V136" s="363">
        <f>V29*$E$12*'Premissas Gerais'!$G$24/1000</f>
        <v>1053.3489379099999</v>
      </c>
      <c r="W136" s="363">
        <f>W29*$E$12*'Premissas Gerais'!$G$24/1000</f>
        <v>1052.7337238899997</v>
      </c>
      <c r="X136" s="363">
        <f>X29*$E$12*'Premissas Gerais'!$G$24/1000</f>
        <v>1052.1185098699998</v>
      </c>
      <c r="Y136" s="363">
        <f>Y29*$E$12*'Premissas Gerais'!$G$24/1000</f>
        <v>1051.5032958499999</v>
      </c>
      <c r="Z136" s="363">
        <f>Z29*$E$12*'Premissas Gerais'!$G$24/1000</f>
        <v>1050.8880818299999</v>
      </c>
      <c r="AA136" s="363">
        <f>AA29*$E$12*'Premissas Gerais'!$G$24/1000</f>
        <v>1050.2728678099998</v>
      </c>
      <c r="AB136" s="363">
        <f>AB29*$E$12*'Premissas Gerais'!$G$24/1000</f>
        <v>1049.6576537899998</v>
      </c>
      <c r="AC136" s="363">
        <f>AC29*$E$12*'Premissas Gerais'!$G$24/1000</f>
        <v>1049.0424397699999</v>
      </c>
      <c r="AD136" s="363">
        <f>AD29*$E$12*'Premissas Gerais'!$G$24/1000</f>
        <v>1048.4272257499997</v>
      </c>
      <c r="AE136" s="363">
        <f>AE29*$E$12*'Premissas Gerais'!$G$24/1000</f>
        <v>1047.8120117299998</v>
      </c>
      <c r="AF136" s="363">
        <f>AF29*$E$12*'Premissas Gerais'!$G$24/1000</f>
        <v>1047.1967977099998</v>
      </c>
      <c r="AG136" s="363">
        <f>AG29*$E$12*'Premissas Gerais'!$G$24/1000</f>
        <v>1046.5815836899997</v>
      </c>
    </row>
    <row r="137" spans="2:33" ht="15" thickBot="1" x14ac:dyDescent="0.4">
      <c r="B137" t="s">
        <v>6</v>
      </c>
      <c r="C137" s="80"/>
      <c r="D137" s="363">
        <f>D30*$E$13*'Premissas Gerais'!$G$24/1000</f>
        <v>10909.353957999998</v>
      </c>
      <c r="E137" s="363">
        <f>E30*$E$13*'Premissas Gerais'!$G$24/1000</f>
        <v>10967.993475099998</v>
      </c>
      <c r="F137" s="363">
        <f>F30*$E$13*'Premissas Gerais'!$G$24/1000</f>
        <v>11026.632992199999</v>
      </c>
      <c r="G137" s="363">
        <f>G30*$E$13*'Premissas Gerais'!$G$24/1000</f>
        <v>11085.272509299999</v>
      </c>
      <c r="H137" s="363">
        <f>H30*$E$13*'Premissas Gerais'!$G$24/1000</f>
        <v>11143.912026399999</v>
      </c>
      <c r="I137" s="363">
        <f>I30*$E$13*'Premissas Gerais'!$G$24/1000</f>
        <v>11202.488286199999</v>
      </c>
      <c r="J137" s="363">
        <f>J30*$E$13*'Premissas Gerais'!$G$24/1000</f>
        <v>11261.254317899999</v>
      </c>
      <c r="K137" s="363">
        <f>K30*$E$13*'Premissas Gerais'!$G$24/1000</f>
        <v>11320.020349599998</v>
      </c>
      <c r="L137" s="363">
        <f>L30*$E$13*'Premissas Gerais'!$G$24/1000</f>
        <v>11378.786381299999</v>
      </c>
      <c r="M137" s="363">
        <f>M30*$E$13*'Premissas Gerais'!$G$24/1000</f>
        <v>11437.552412999999</v>
      </c>
      <c r="N137" s="363">
        <f>N30*$E$13*'Premissas Gerais'!$G$24/1000</f>
        <v>11496.191930099998</v>
      </c>
      <c r="O137" s="363">
        <f>O30*$E$13*'Premissas Gerais'!$G$24/1000</f>
        <v>11535.727742599998</v>
      </c>
      <c r="P137" s="363">
        <f>P30*$E$13*'Premissas Gerais'!$G$24/1000</f>
        <v>11575.263555099998</v>
      </c>
      <c r="Q137" s="363">
        <f>Q30*$E$13*'Premissas Gerais'!$G$24/1000</f>
        <v>11614.799367599997</v>
      </c>
      <c r="R137" s="363">
        <f>R30*$E$13*'Premissas Gerais'!$G$24/1000</f>
        <v>11654.335180099997</v>
      </c>
      <c r="S137" s="363">
        <f>S30*$E$13*'Premissas Gerais'!$G$24/1000</f>
        <v>11693.807735299997</v>
      </c>
      <c r="T137" s="363">
        <f>T30*$E$13*'Premissas Gerais'!$G$24/1000</f>
        <v>11717.655737399999</v>
      </c>
      <c r="U137" s="363">
        <f>U30*$E$13*'Premissas Gerais'!$G$24/1000</f>
        <v>11741.503739499998</v>
      </c>
      <c r="V137" s="363">
        <f>V30*$E$13*'Premissas Gerais'!$G$24/1000</f>
        <v>11765.3517416</v>
      </c>
      <c r="W137" s="363">
        <f>W30*$E$13*'Premissas Gerais'!$G$24/1000</f>
        <v>11789.199743699999</v>
      </c>
      <c r="X137" s="363">
        <f>X30*$E$13*'Premissas Gerais'!$G$24/1000</f>
        <v>11812.984488499997</v>
      </c>
      <c r="Y137" s="363">
        <f>Y30*$E$13*'Premissas Gerais'!$G$24/1000</f>
        <v>11836.8324906</v>
      </c>
      <c r="Z137" s="363">
        <f>Z30*$E$13*'Premissas Gerais'!$G$24/1000</f>
        <v>11860.680492699999</v>
      </c>
      <c r="AA137" s="363">
        <f>AA30*$E$13*'Premissas Gerais'!$G$24/1000</f>
        <v>11884.528494799997</v>
      </c>
      <c r="AB137" s="363">
        <f>AB30*$E$13*'Premissas Gerais'!$G$24/1000</f>
        <v>11908.3764969</v>
      </c>
      <c r="AC137" s="363">
        <f>AC30*$E$13*'Premissas Gerais'!$G$24/1000</f>
        <v>11932.224498999998</v>
      </c>
      <c r="AD137" s="363">
        <f>AD30*$E$13*'Premissas Gerais'!$G$24/1000</f>
        <v>11956.072501099998</v>
      </c>
      <c r="AE137" s="363">
        <f>AE30*$E$13*'Premissas Gerais'!$G$24/1000</f>
        <v>11979.920503200001</v>
      </c>
      <c r="AF137" s="363">
        <f>AF30*$E$13*'Premissas Gerais'!$G$24/1000</f>
        <v>12003.768505299999</v>
      </c>
      <c r="AG137" s="363">
        <f>AG30*$E$13*'Premissas Gerais'!$G$24/1000</f>
        <v>12027.616507399998</v>
      </c>
    </row>
    <row r="138" spans="2:33" ht="15" thickBot="1" x14ac:dyDescent="0.4">
      <c r="B138" t="s">
        <v>7</v>
      </c>
      <c r="C138" s="80"/>
      <c r="D138" s="363">
        <f>D31*$E$14*'Premissas Gerais'!$G$24/1000</f>
        <v>979.83086251999976</v>
      </c>
      <c r="E138" s="363">
        <f>E31*$E$14*'Premissas Gerais'!$G$24/1000</f>
        <v>977.21620293499984</v>
      </c>
      <c r="F138" s="363">
        <f>F31*$E$14*'Premissas Gerais'!$G$24/1000</f>
        <v>974.60154334999982</v>
      </c>
      <c r="G138" s="363">
        <f>G31*$E$14*'Premissas Gerais'!$G$24/1000</f>
        <v>971.98688376499979</v>
      </c>
      <c r="H138" s="363">
        <f>H31*$E$14*'Premissas Gerais'!$G$24/1000</f>
        <v>969.37222417999976</v>
      </c>
      <c r="I138" s="363">
        <f>I31*$E$14*'Premissas Gerais'!$G$24/1000</f>
        <v>966.65502892499978</v>
      </c>
      <c r="J138" s="363">
        <f>J31*$E$14*'Premissas Gerais'!$G$24/1000</f>
        <v>962.09219160999987</v>
      </c>
      <c r="K138" s="363">
        <f>K31*$E$14*'Premissas Gerais'!$G$24/1000</f>
        <v>957.52935429499973</v>
      </c>
      <c r="L138" s="363">
        <f>L31*$E$14*'Premissas Gerais'!$G$24/1000</f>
        <v>952.96651697999982</v>
      </c>
      <c r="M138" s="363">
        <f>M31*$E$14*'Premissas Gerais'!$G$24/1000</f>
        <v>948.4036796649998</v>
      </c>
      <c r="N138" s="363">
        <f>N31*$E$14*'Premissas Gerais'!$G$24/1000</f>
        <v>943.78957451499991</v>
      </c>
      <c r="O138" s="363">
        <f>O31*$E$14*'Premissas Gerais'!$G$24/1000</f>
        <v>937.53489864499988</v>
      </c>
      <c r="P138" s="363">
        <f>P31*$E$14*'Premissas Gerais'!$G$24/1000</f>
        <v>931.28022277499974</v>
      </c>
      <c r="Q138" s="363">
        <f>Q31*$E$14*'Premissas Gerais'!$G$24/1000</f>
        <v>925.02554690499983</v>
      </c>
      <c r="R138" s="363">
        <f>R31*$E$14*'Premissas Gerais'!$G$24/1000</f>
        <v>918.7708710349998</v>
      </c>
      <c r="S138" s="363">
        <f>S31*$E$14*'Premissas Gerais'!$G$24/1000</f>
        <v>912.41365949499982</v>
      </c>
      <c r="T138" s="363">
        <f>T31*$E$14*'Premissas Gerais'!$G$24/1000</f>
        <v>905.6463052749998</v>
      </c>
      <c r="U138" s="363">
        <f>U31*$E$14*'Premissas Gerais'!$G$24/1000</f>
        <v>898.87895105499979</v>
      </c>
      <c r="V138" s="363">
        <f>V31*$E$14*'Premissas Gerais'!$G$24/1000</f>
        <v>892.11159683499989</v>
      </c>
      <c r="W138" s="363">
        <f>W31*$E$14*'Premissas Gerais'!$G$24/1000</f>
        <v>885.34424261499987</v>
      </c>
      <c r="X138" s="363">
        <f>X31*$E$14*'Premissas Gerais'!$G$24/1000</f>
        <v>878.67942406499992</v>
      </c>
      <c r="Y138" s="363">
        <f>Y31*$E$14*'Premissas Gerais'!$G$24/1000</f>
        <v>871.91206984499979</v>
      </c>
      <c r="Z138" s="363">
        <f>Z31*$E$14*'Premissas Gerais'!$G$24/1000</f>
        <v>865.14471562499989</v>
      </c>
      <c r="AA138" s="363">
        <f>AA31*$E$14*'Premissas Gerais'!$G$24/1000</f>
        <v>858.37736140499987</v>
      </c>
      <c r="AB138" s="363">
        <f>AB31*$E$14*'Premissas Gerais'!$G$24/1000</f>
        <v>851.61000718499986</v>
      </c>
      <c r="AC138" s="363">
        <f>AC31*$E$14*'Premissas Gerais'!$G$24/1000</f>
        <v>844.84265296499973</v>
      </c>
      <c r="AD138" s="363">
        <f>AD31*$E$14*'Premissas Gerais'!$G$24/1000</f>
        <v>838.07529874499994</v>
      </c>
      <c r="AE138" s="363">
        <f>AE31*$E$14*'Premissas Gerais'!$G$24/1000</f>
        <v>831.30794452499981</v>
      </c>
      <c r="AF138" s="363">
        <f>AF31*$E$14*'Premissas Gerais'!$G$24/1000</f>
        <v>824.5405903049998</v>
      </c>
      <c r="AG138" s="363">
        <f>AG31*$E$14*'Premissas Gerais'!$G$24/1000</f>
        <v>817.77323608499978</v>
      </c>
    </row>
    <row r="139" spans="2:33" ht="15" thickBot="1" x14ac:dyDescent="0.4">
      <c r="B139" t="s">
        <v>8</v>
      </c>
      <c r="C139" s="80"/>
      <c r="D139" s="363">
        <f>D32*$E$15*'Premissas Gerais'!$G$24/1000</f>
        <v>792.24185425499991</v>
      </c>
      <c r="E139" s="363">
        <f>E32*$E$15*'Premissas Gerais'!$G$24/1000</f>
        <v>799.11174414499988</v>
      </c>
      <c r="F139" s="363">
        <f>F32*$E$15*'Premissas Gerais'!$G$24/1000</f>
        <v>805.98163403499973</v>
      </c>
      <c r="G139" s="363">
        <f>G32*$E$15*'Premissas Gerais'!$G$24/1000</f>
        <v>812.85152392499992</v>
      </c>
      <c r="H139" s="363">
        <f>H32*$E$15*'Premissas Gerais'!$G$24/1000</f>
        <v>819.72141381499989</v>
      </c>
      <c r="I139" s="363">
        <f>I32*$E$15*'Premissas Gerais'!$G$24/1000</f>
        <v>826.48876803499979</v>
      </c>
      <c r="J139" s="363">
        <f>J32*$E$15*'Premissas Gerais'!$G$24/1000</f>
        <v>831.92315854499975</v>
      </c>
      <c r="K139" s="363">
        <f>K32*$E$15*'Premissas Gerais'!$G$24/1000</f>
        <v>837.35754905499982</v>
      </c>
      <c r="L139" s="363">
        <f>L32*$E$15*'Premissas Gerais'!$G$24/1000</f>
        <v>842.79193956499989</v>
      </c>
      <c r="M139" s="363">
        <f>M32*$E$15*'Premissas Gerais'!$G$24/1000</f>
        <v>848.22633007499996</v>
      </c>
      <c r="N139" s="363">
        <f>N32*$E$15*'Premissas Gerais'!$G$24/1000</f>
        <v>853.71198841999967</v>
      </c>
      <c r="O139" s="363">
        <f>O32*$E$15*'Premissas Gerais'!$G$24/1000</f>
        <v>858.06975439499979</v>
      </c>
      <c r="P139" s="363">
        <f>P32*$E$15*'Premissas Gerais'!$G$24/1000</f>
        <v>862.4275203699998</v>
      </c>
      <c r="Q139" s="363">
        <f>Q32*$E$15*'Premissas Gerais'!$G$24/1000</f>
        <v>866.7852863449998</v>
      </c>
      <c r="R139" s="363">
        <f>R32*$E$15*'Premissas Gerais'!$G$24/1000</f>
        <v>871.14305231999981</v>
      </c>
      <c r="S139" s="363">
        <f>S32*$E$15*'Premissas Gerais'!$G$24/1000</f>
        <v>875.55208612999979</v>
      </c>
      <c r="T139" s="363">
        <f>T32*$E$15*'Premissas Gerais'!$G$24/1000</f>
        <v>878.37181705499984</v>
      </c>
      <c r="U139" s="363">
        <f>U32*$E$15*'Premissas Gerais'!$G$24/1000</f>
        <v>881.19154797999977</v>
      </c>
      <c r="V139" s="363">
        <f>V32*$E$15*'Premissas Gerais'!$G$24/1000</f>
        <v>884.01127890499981</v>
      </c>
      <c r="W139" s="363">
        <f>W32*$E$15*'Premissas Gerais'!$G$24/1000</f>
        <v>886.83100982999986</v>
      </c>
      <c r="X139" s="363">
        <f>X32*$E$15*'Premissas Gerais'!$G$24/1000</f>
        <v>889.70200858999988</v>
      </c>
      <c r="Y139" s="363">
        <f>Y32*$E$15*'Premissas Gerais'!$G$24/1000</f>
        <v>892.52173951499981</v>
      </c>
      <c r="Z139" s="363">
        <f>Z32*$E$15*'Premissas Gerais'!$G$24/1000</f>
        <v>895.34147043999985</v>
      </c>
      <c r="AA139" s="363">
        <f>AA32*$E$15*'Premissas Gerais'!$G$24/1000</f>
        <v>898.1612013649999</v>
      </c>
      <c r="AB139" s="363">
        <f>AB32*$E$15*'Premissas Gerais'!$G$24/1000</f>
        <v>900.98093228999983</v>
      </c>
      <c r="AC139" s="363">
        <f>AC32*$E$15*'Premissas Gerais'!$G$24/1000</f>
        <v>903.80066321499987</v>
      </c>
      <c r="AD139" s="363">
        <f>AD32*$E$15*'Premissas Gerais'!$G$24/1000</f>
        <v>906.62039413999992</v>
      </c>
      <c r="AE139" s="363">
        <f>AE32*$E$15*'Premissas Gerais'!$G$24/1000</f>
        <v>909.44012506499985</v>
      </c>
      <c r="AF139" s="363">
        <f>AF32*$E$15*'Premissas Gerais'!$G$24/1000</f>
        <v>912.25985598999989</v>
      </c>
      <c r="AG139" s="363">
        <f>AG32*$E$15*'Premissas Gerais'!$G$24/1000</f>
        <v>915.07958691499982</v>
      </c>
    </row>
    <row r="140" spans="2:33" ht="15" thickBot="1" x14ac:dyDescent="0.4">
      <c r="B140" t="s">
        <v>9</v>
      </c>
      <c r="C140" s="80"/>
      <c r="D140" s="363">
        <f>D33*$E$16*'Premissas Gerais'!$G$24/1000</f>
        <v>646.02598883499991</v>
      </c>
      <c r="E140" s="363">
        <f>E33*$E$16*'Premissas Gerais'!$G$24/1000</f>
        <v>651.71671851999986</v>
      </c>
      <c r="F140" s="363">
        <f>F33*$E$16*'Premissas Gerais'!$G$24/1000</f>
        <v>657.40744820499981</v>
      </c>
      <c r="G140" s="363">
        <f>G33*$E$16*'Premissas Gerais'!$G$24/1000</f>
        <v>663.09817788999999</v>
      </c>
      <c r="H140" s="363">
        <f>H33*$E$16*'Premissas Gerais'!$G$24/1000</f>
        <v>668.78890757499983</v>
      </c>
      <c r="I140" s="363">
        <f>I33*$E$16*'Premissas Gerais'!$G$24/1000</f>
        <v>674.58217292999984</v>
      </c>
      <c r="J140" s="363">
        <f>J33*$E$16*'Premissas Gerais'!$G$24/1000</f>
        <v>679.40134941999986</v>
      </c>
      <c r="K140" s="363">
        <f>K33*$E$16*'Premissas Gerais'!$G$24/1000</f>
        <v>684.22052590999988</v>
      </c>
      <c r="L140" s="363">
        <f>L33*$E$16*'Premissas Gerais'!$G$24/1000</f>
        <v>689.0397023999999</v>
      </c>
      <c r="M140" s="363">
        <f>M33*$E$16*'Premissas Gerais'!$G$24/1000</f>
        <v>693.85887888999991</v>
      </c>
      <c r="N140" s="363">
        <f>N33*$E$16*'Premissas Gerais'!$G$24/1000</f>
        <v>698.62678754499996</v>
      </c>
      <c r="O140" s="363">
        <f>O33*$E$16*'Premissas Gerais'!$G$24/1000</f>
        <v>702.01046465499985</v>
      </c>
      <c r="P140" s="363">
        <f>P33*$E$16*'Premissas Gerais'!$G$24/1000</f>
        <v>705.39414176499986</v>
      </c>
      <c r="Q140" s="363">
        <f>Q33*$E$16*'Premissas Gerais'!$G$24/1000</f>
        <v>708.77781887499975</v>
      </c>
      <c r="R140" s="363">
        <f>R33*$E$16*'Premissas Gerais'!$G$24/1000</f>
        <v>712.16149598499987</v>
      </c>
      <c r="S140" s="363">
        <f>S33*$E$16*'Premissas Gerais'!$G$24/1000</f>
        <v>715.64770876499983</v>
      </c>
      <c r="T140" s="363">
        <f>T33*$E$16*'Premissas Gerais'!$G$24/1000</f>
        <v>718.10856484499993</v>
      </c>
      <c r="U140" s="363">
        <f>U33*$E$16*'Premissas Gerais'!$G$24/1000</f>
        <v>720.5694209249998</v>
      </c>
      <c r="V140" s="363">
        <f>V33*$E$16*'Premissas Gerais'!$G$24/1000</f>
        <v>723.03027700499979</v>
      </c>
      <c r="W140" s="363">
        <f>W33*$E$16*'Premissas Gerais'!$G$24/1000</f>
        <v>725.49113308499989</v>
      </c>
      <c r="X140" s="363">
        <f>X33*$E$16*'Premissas Gerais'!$G$24/1000</f>
        <v>728.05452483499994</v>
      </c>
      <c r="Y140" s="363">
        <f>Y33*$E$16*'Premissas Gerais'!$G$24/1000</f>
        <v>730.51538091499992</v>
      </c>
      <c r="Z140" s="363">
        <f>Z33*$E$16*'Premissas Gerais'!$G$24/1000</f>
        <v>732.97623699499979</v>
      </c>
      <c r="AA140" s="363">
        <f>AA33*$E$16*'Premissas Gerais'!$G$24/1000</f>
        <v>735.43709307499989</v>
      </c>
      <c r="AB140" s="363">
        <f>AB33*$E$16*'Premissas Gerais'!$G$24/1000</f>
        <v>737.89794915499988</v>
      </c>
      <c r="AC140" s="363">
        <f>AC33*$E$16*'Premissas Gerais'!$G$24/1000</f>
        <v>740.35880523499975</v>
      </c>
      <c r="AD140" s="363">
        <f>AD33*$E$16*'Premissas Gerais'!$G$24/1000</f>
        <v>742.81966131499985</v>
      </c>
      <c r="AE140" s="363">
        <f>AE33*$E$16*'Premissas Gerais'!$G$24/1000</f>
        <v>745.28051739499983</v>
      </c>
      <c r="AF140" s="363">
        <f>AF33*$E$16*'Premissas Gerais'!$G$24/1000</f>
        <v>747.74137347499993</v>
      </c>
      <c r="AG140" s="363">
        <f>AG33*$E$16*'Premissas Gerais'!$G$24/1000</f>
        <v>750.2022295549998</v>
      </c>
    </row>
    <row r="141" spans="2:33" ht="3" customHeight="1" x14ac:dyDescent="0.35">
      <c r="C141" s="92"/>
      <c r="D141" s="365"/>
      <c r="E141" s="365"/>
      <c r="F141" s="365"/>
      <c r="G141" s="365"/>
      <c r="H141" s="365"/>
      <c r="I141" s="365"/>
      <c r="J141" s="365"/>
      <c r="K141" s="365"/>
      <c r="L141" s="365"/>
      <c r="M141" s="365"/>
      <c r="N141" s="365"/>
      <c r="O141" s="365"/>
      <c r="P141" s="365"/>
      <c r="Q141" s="365"/>
      <c r="R141" s="365"/>
      <c r="S141" s="365"/>
      <c r="T141" s="365"/>
      <c r="U141" s="365"/>
      <c r="V141" s="365"/>
      <c r="W141" s="365"/>
      <c r="X141" s="365"/>
      <c r="Y141" s="365"/>
      <c r="Z141" s="365"/>
      <c r="AA141" s="365"/>
      <c r="AB141" s="365"/>
      <c r="AC141" s="365"/>
      <c r="AD141" s="365"/>
      <c r="AE141" s="365"/>
      <c r="AF141" s="365"/>
      <c r="AG141" s="365"/>
    </row>
    <row r="142" spans="2:33" x14ac:dyDescent="0.35">
      <c r="B142" s="81" t="s">
        <v>200</v>
      </c>
      <c r="C142" s="85"/>
      <c r="D142" s="362">
        <f t="shared" ref="D142:AG142" si="147">SUM(D132:D140)</f>
        <v>16643.099342549998</v>
      </c>
      <c r="E142" s="362">
        <f t="shared" si="147"/>
        <v>16720.403955785001</v>
      </c>
      <c r="F142" s="362">
        <f t="shared" si="147"/>
        <v>16797.708569019997</v>
      </c>
      <c r="G142" s="362">
        <f t="shared" si="147"/>
        <v>16875.013182254996</v>
      </c>
      <c r="H142" s="362">
        <f t="shared" si="147"/>
        <v>16952.317795489998</v>
      </c>
      <c r="I142" s="362">
        <f t="shared" si="147"/>
        <v>17029.559960529998</v>
      </c>
      <c r="J142" s="362">
        <f t="shared" si="147"/>
        <v>17096.731636964996</v>
      </c>
      <c r="K142" s="362">
        <f t="shared" si="147"/>
        <v>17163.903313399998</v>
      </c>
      <c r="L142" s="362">
        <f t="shared" si="147"/>
        <v>17231.074989834997</v>
      </c>
      <c r="M142" s="362">
        <f t="shared" si="147"/>
        <v>17298.246666269999</v>
      </c>
      <c r="N142" s="362">
        <f t="shared" si="147"/>
        <v>17365.294990969996</v>
      </c>
      <c r="O142" s="362">
        <f t="shared" si="147"/>
        <v>17404.118717514997</v>
      </c>
      <c r="P142" s="362">
        <f t="shared" si="147"/>
        <v>17442.942444059994</v>
      </c>
      <c r="Q142" s="362">
        <f t="shared" si="147"/>
        <v>17481.766170604991</v>
      </c>
      <c r="R142" s="362">
        <f t="shared" si="147"/>
        <v>17520.589897149999</v>
      </c>
      <c r="S142" s="362">
        <f t="shared" si="147"/>
        <v>17559.598026079995</v>
      </c>
      <c r="T142" s="362">
        <f t="shared" si="147"/>
        <v>17575.202792884997</v>
      </c>
      <c r="U142" s="362">
        <f t="shared" si="147"/>
        <v>17590.807559689994</v>
      </c>
      <c r="V142" s="362">
        <f t="shared" si="147"/>
        <v>17606.412326494999</v>
      </c>
      <c r="W142" s="362">
        <f t="shared" si="147"/>
        <v>17622.017093299997</v>
      </c>
      <c r="X142" s="362">
        <f t="shared" si="147"/>
        <v>17637.669817964994</v>
      </c>
      <c r="Y142" s="362">
        <f t="shared" si="147"/>
        <v>17653.274584769999</v>
      </c>
      <c r="Z142" s="362">
        <f t="shared" si="147"/>
        <v>17668.879351574997</v>
      </c>
      <c r="AA142" s="362">
        <f t="shared" si="147"/>
        <v>17684.484118379998</v>
      </c>
      <c r="AB142" s="362">
        <f t="shared" si="147"/>
        <v>17700.088885184996</v>
      </c>
      <c r="AC142" s="362">
        <f t="shared" si="147"/>
        <v>17715.693651989997</v>
      </c>
      <c r="AD142" s="362">
        <f t="shared" si="147"/>
        <v>17731.298418794999</v>
      </c>
      <c r="AE142" s="362">
        <f t="shared" si="147"/>
        <v>17746.9031856</v>
      </c>
      <c r="AF142" s="362">
        <f t="shared" si="147"/>
        <v>17762.507952404998</v>
      </c>
      <c r="AG142" s="362">
        <f t="shared" si="147"/>
        <v>17778.112719209999</v>
      </c>
    </row>
    <row r="143" spans="2:33" x14ac:dyDescent="0.35">
      <c r="B143" s="1811" t="s">
        <v>201</v>
      </c>
      <c r="C143" s="268"/>
      <c r="D143" s="1808">
        <f>D142/'Premissas Gerais'!$G$24</f>
        <v>53.172841349999992</v>
      </c>
      <c r="E143" s="1808">
        <f>E142/'Premissas Gerais'!$G$24</f>
        <v>53.419820945000005</v>
      </c>
      <c r="F143" s="1808">
        <f>F142/'Premissas Gerais'!$G$24</f>
        <v>53.66680053999999</v>
      </c>
      <c r="G143" s="1808">
        <f>G142/'Premissas Gerais'!$G$24</f>
        <v>53.913780134999989</v>
      </c>
      <c r="H143" s="1808">
        <f>H142/'Premissas Gerais'!$G$24</f>
        <v>54.160759729999995</v>
      </c>
      <c r="I143" s="1808">
        <f>I142/'Premissas Gerais'!$G$24</f>
        <v>54.407539809999996</v>
      </c>
      <c r="J143" s="1808">
        <f>J142/'Premissas Gerais'!$G$24</f>
        <v>54.622145804999988</v>
      </c>
      <c r="K143" s="1808">
        <f>K142/'Premissas Gerais'!$G$24</f>
        <v>54.836751799999995</v>
      </c>
      <c r="L143" s="1808">
        <f>L142/'Premissas Gerais'!$G$24</f>
        <v>55.051357794999987</v>
      </c>
      <c r="M143" s="1808">
        <f>M142/'Premissas Gerais'!$G$24</f>
        <v>55.265963789999994</v>
      </c>
      <c r="N143" s="1808">
        <f>N142/'Premissas Gerais'!$G$24</f>
        <v>55.480175689999989</v>
      </c>
      <c r="O143" s="1808">
        <f>O142/'Premissas Gerais'!$G$24</f>
        <v>55.604213154999989</v>
      </c>
      <c r="P143" s="1808">
        <f>P142/'Premissas Gerais'!$G$24</f>
        <v>55.728250619999983</v>
      </c>
      <c r="Q143" s="1808">
        <f>Q142/'Premissas Gerais'!$G$24</f>
        <v>55.852288084999969</v>
      </c>
      <c r="R143" s="1808">
        <f>R142/'Premissas Gerais'!$G$24</f>
        <v>55.976325549999999</v>
      </c>
      <c r="S143" s="1808">
        <f>S142/'Premissas Gerais'!$G$24</f>
        <v>56.100952159999984</v>
      </c>
      <c r="T143" s="1808">
        <f>T142/'Premissas Gerais'!$G$24</f>
        <v>56.150807644999986</v>
      </c>
      <c r="U143" s="1808">
        <f>U142/'Premissas Gerais'!$G$24</f>
        <v>56.200663129999981</v>
      </c>
      <c r="V143" s="1808">
        <f>V142/'Premissas Gerais'!$G$24</f>
        <v>56.250518614999997</v>
      </c>
      <c r="W143" s="1808">
        <f>W142/'Premissas Gerais'!$G$24</f>
        <v>56.300374099999992</v>
      </c>
      <c r="X143" s="1808">
        <f>X142/'Premissas Gerais'!$G$24</f>
        <v>56.350382804999981</v>
      </c>
      <c r="Y143" s="1808">
        <f>Y142/'Premissas Gerais'!$G$24</f>
        <v>56.400238289999997</v>
      </c>
      <c r="Z143" s="1808">
        <f>Z142/'Premissas Gerais'!$G$24</f>
        <v>56.450093774999992</v>
      </c>
      <c r="AA143" s="1808">
        <f>AA142/'Premissas Gerais'!$G$24</f>
        <v>56.499949259999994</v>
      </c>
      <c r="AB143" s="1808">
        <f>AB142/'Premissas Gerais'!$G$24</f>
        <v>56.549804744999989</v>
      </c>
      <c r="AC143" s="1808">
        <f>AC142/'Premissas Gerais'!$G$24</f>
        <v>56.599660229999991</v>
      </c>
      <c r="AD143" s="1808">
        <f>AD142/'Premissas Gerais'!$G$24</f>
        <v>56.649515714999993</v>
      </c>
      <c r="AE143" s="1808">
        <f>AE142/'Premissas Gerais'!$G$24</f>
        <v>56.699371200000002</v>
      </c>
      <c r="AF143" s="1808">
        <f>AF142/'Premissas Gerais'!$G$24</f>
        <v>56.749226684999996</v>
      </c>
      <c r="AG143" s="1808">
        <f>AG142/'Premissas Gerais'!$G$24</f>
        <v>56.799082169999998</v>
      </c>
    </row>
    <row r="146" spans="1:101" s="1816" customFormat="1" ht="15.5" x14ac:dyDescent="0.35">
      <c r="A146"/>
      <c r="B146" s="99" t="s">
        <v>208</v>
      </c>
      <c r="C146" s="99"/>
      <c r="D146" s="99"/>
      <c r="E146" s="99"/>
      <c r="F146" s="99"/>
      <c r="G146" s="99"/>
      <c r="H146" s="99"/>
      <c r="I146" s="99"/>
      <c r="J146" s="99"/>
      <c r="K146" s="99"/>
      <c r="L146" s="99"/>
      <c r="M146" s="99"/>
      <c r="N146" s="99"/>
      <c r="O146" s="99"/>
      <c r="P146" s="99"/>
      <c r="Q146" s="99"/>
      <c r="R146" s="99"/>
      <c r="S146" s="99"/>
      <c r="T146" s="99"/>
      <c r="U146" s="99"/>
      <c r="V146" s="99"/>
      <c r="W146" s="99"/>
      <c r="X146" s="99"/>
      <c r="Y146" s="99"/>
      <c r="Z146" s="99"/>
      <c r="AA146" s="99"/>
      <c r="AB146" s="99"/>
      <c r="AC146" s="99"/>
      <c r="AD146" s="99"/>
      <c r="AE146" s="99"/>
      <c r="AF146" s="99"/>
      <c r="AG146" s="99"/>
    </row>
    <row r="147" spans="1:101" s="1817" customFormat="1" ht="16" thickBot="1" x14ac:dyDescent="0.4">
      <c r="A147"/>
      <c r="B147" s="101"/>
      <c r="C147" s="101"/>
      <c r="D147" s="101" t="s">
        <v>209</v>
      </c>
      <c r="E147" s="101" t="s">
        <v>210</v>
      </c>
      <c r="F147" s="101" t="s">
        <v>211</v>
      </c>
      <c r="G147" s="101" t="s">
        <v>212</v>
      </c>
      <c r="H147" s="101" t="s">
        <v>213</v>
      </c>
      <c r="I147" s="101" t="s">
        <v>214</v>
      </c>
      <c r="J147" s="101" t="s">
        <v>215</v>
      </c>
      <c r="K147" s="101" t="s">
        <v>216</v>
      </c>
      <c r="L147" s="101" t="s">
        <v>217</v>
      </c>
      <c r="M147" s="101" t="s">
        <v>218</v>
      </c>
      <c r="N147" s="101" t="s">
        <v>219</v>
      </c>
      <c r="O147" s="101" t="s">
        <v>220</v>
      </c>
      <c r="P147" s="101" t="s">
        <v>221</v>
      </c>
      <c r="Q147" s="101" t="s">
        <v>222</v>
      </c>
      <c r="R147" s="101" t="s">
        <v>223</v>
      </c>
      <c r="S147" s="101" t="s">
        <v>224</v>
      </c>
      <c r="T147" s="101" t="s">
        <v>225</v>
      </c>
      <c r="U147" s="101" t="s">
        <v>226</v>
      </c>
      <c r="V147" s="101" t="s">
        <v>227</v>
      </c>
      <c r="W147" s="101" t="s">
        <v>228</v>
      </c>
      <c r="X147" s="101" t="s">
        <v>229</v>
      </c>
      <c r="Y147" s="101" t="s">
        <v>230</v>
      </c>
      <c r="Z147" s="101" t="s">
        <v>231</v>
      </c>
      <c r="AA147" s="101" t="s">
        <v>232</v>
      </c>
      <c r="AB147" s="101" t="s">
        <v>233</v>
      </c>
      <c r="AC147" s="101" t="s">
        <v>234</v>
      </c>
      <c r="AD147" s="101" t="s">
        <v>235</v>
      </c>
      <c r="AE147" s="101" t="s">
        <v>236</v>
      </c>
      <c r="AF147" s="101" t="s">
        <v>237</v>
      </c>
      <c r="AG147" s="101" t="s">
        <v>238</v>
      </c>
      <c r="AH147" s="1818"/>
      <c r="AI147" s="1818"/>
      <c r="AJ147" s="1818"/>
      <c r="AK147" s="1818"/>
      <c r="AL147" s="1818"/>
      <c r="AM147" s="1818"/>
      <c r="AN147" s="1819"/>
    </row>
    <row r="148" spans="1:101" s="1820" customFormat="1" ht="16" thickBot="1" x14ac:dyDescent="0.4">
      <c r="A148"/>
      <c r="B148" s="1829" t="s">
        <v>239</v>
      </c>
      <c r="C148" s="1830"/>
      <c r="D148" s="358">
        <v>3.5999999999999997E-2</v>
      </c>
      <c r="E148" s="358">
        <v>7.1999999999999995E-2</v>
      </c>
      <c r="F148" s="358">
        <v>7.1999999999999995E-2</v>
      </c>
      <c r="G148" s="358">
        <v>7.1999999999999995E-2</v>
      </c>
      <c r="H148" s="358">
        <v>7.1999999999999995E-2</v>
      </c>
      <c r="I148" s="358">
        <v>0.108</v>
      </c>
      <c r="J148" s="358">
        <v>0.108</v>
      </c>
      <c r="K148" s="358">
        <v>0.108</v>
      </c>
      <c r="L148" s="358">
        <v>0.108</v>
      </c>
      <c r="M148" s="358">
        <v>0.14399999999999999</v>
      </c>
      <c r="N148" s="358">
        <v>0.14399999999999999</v>
      </c>
      <c r="O148" s="358">
        <v>0.14399999999999999</v>
      </c>
      <c r="P148" s="358">
        <v>0.14399999999999999</v>
      </c>
      <c r="Q148" s="358">
        <v>0.18099999999999999</v>
      </c>
      <c r="R148" s="358">
        <v>0.18099999999999999</v>
      </c>
      <c r="S148" s="358">
        <v>0.18099999999999999</v>
      </c>
      <c r="T148" s="358">
        <v>0.18099999999999999</v>
      </c>
      <c r="U148" s="358">
        <v>0.18099999999999999</v>
      </c>
      <c r="V148" s="358">
        <v>0.18099999999999999</v>
      </c>
      <c r="W148" s="358">
        <v>0.18099999999999999</v>
      </c>
      <c r="X148" s="358">
        <v>0.18099999999999999</v>
      </c>
      <c r="Y148" s="358">
        <v>0.18099999999999999</v>
      </c>
      <c r="Z148" s="358">
        <v>0.18099999999999999</v>
      </c>
      <c r="AA148" s="358">
        <v>0.18099999999999999</v>
      </c>
      <c r="AB148" s="358">
        <v>0.18099999999999999</v>
      </c>
      <c r="AC148" s="358">
        <v>0.18099999999999999</v>
      </c>
      <c r="AD148" s="358">
        <v>0.18099999999999999</v>
      </c>
      <c r="AE148" s="358">
        <v>0.18099999999999999</v>
      </c>
      <c r="AF148" s="358">
        <v>0.18099999999999999</v>
      </c>
      <c r="AG148" s="358">
        <v>0.18099999999999999</v>
      </c>
      <c r="AH148" s="1821"/>
      <c r="AI148" s="1821"/>
      <c r="AJ148" s="1821"/>
      <c r="AK148" s="1821"/>
      <c r="AL148" s="1821"/>
      <c r="AM148" s="1821"/>
      <c r="AN148" s="1818"/>
      <c r="AO148" s="115"/>
      <c r="AP148" s="115"/>
      <c r="AQ148" s="115"/>
      <c r="AR148" s="115"/>
      <c r="AS148" s="115"/>
      <c r="AT148" s="115"/>
      <c r="AU148" s="115"/>
      <c r="AV148" s="115"/>
      <c r="AW148" s="115"/>
      <c r="AX148" s="115"/>
      <c r="AY148" s="115"/>
      <c r="AZ148" s="115"/>
      <c r="BA148" s="115"/>
      <c r="BB148" s="115"/>
      <c r="BC148" s="115"/>
      <c r="BD148" s="115"/>
      <c r="BE148" s="115"/>
      <c r="BF148" s="115"/>
      <c r="BG148" s="115"/>
      <c r="BH148" s="115"/>
      <c r="BI148" s="115"/>
      <c r="BJ148" s="115"/>
      <c r="BK148" s="115"/>
      <c r="BL148" s="115"/>
      <c r="BM148" s="115"/>
      <c r="BN148" s="115"/>
      <c r="BO148" s="115"/>
      <c r="BP148" s="115"/>
      <c r="BQ148" s="115"/>
      <c r="BR148" s="115"/>
      <c r="BS148" s="1822"/>
      <c r="BT148" s="115"/>
      <c r="BU148" s="115"/>
      <c r="BV148" s="115"/>
      <c r="BW148" s="115"/>
      <c r="BX148" s="115"/>
      <c r="BY148" s="115"/>
      <c r="BZ148" s="115"/>
      <c r="CA148" s="115"/>
      <c r="CB148" s="115"/>
      <c r="CC148" s="115"/>
      <c r="CD148" s="115"/>
      <c r="CE148" s="115"/>
      <c r="CF148" s="115"/>
      <c r="CG148" s="115"/>
      <c r="CH148" s="115"/>
      <c r="CI148" s="115"/>
      <c r="CJ148" s="115"/>
      <c r="CK148" s="115"/>
      <c r="CL148" s="115"/>
      <c r="CM148" s="115"/>
      <c r="CN148" s="115"/>
      <c r="CO148" s="115"/>
      <c r="CP148" s="115"/>
      <c r="CQ148" s="115"/>
      <c r="CR148" s="115"/>
      <c r="CS148" s="115"/>
      <c r="CT148" s="115"/>
      <c r="CU148" s="115"/>
      <c r="CV148" s="115"/>
      <c r="CW148" s="115"/>
    </row>
    <row r="149" spans="1:101" s="1822" customFormat="1" x14ac:dyDescent="0.35">
      <c r="A149"/>
      <c r="B149" t="s">
        <v>1</v>
      </c>
      <c r="C149" s="80"/>
      <c r="D149" s="1831">
        <f>D148*D42</f>
        <v>20.273408135999997</v>
      </c>
      <c r="E149" s="1831">
        <f t="shared" ref="E149:AG149" si="148">E148*E42</f>
        <v>40.316611031999997</v>
      </c>
      <c r="F149" s="1831">
        <f t="shared" si="148"/>
        <v>40.086405792000001</v>
      </c>
      <c r="G149" s="1831">
        <f t="shared" si="148"/>
        <v>39.856200551999997</v>
      </c>
      <c r="H149" s="1831">
        <f t="shared" si="148"/>
        <v>39.625995311999993</v>
      </c>
      <c r="I149" s="1831">
        <f t="shared" si="148"/>
        <v>59.093685108000003</v>
      </c>
      <c r="J149" s="1831">
        <f t="shared" si="148"/>
        <v>58.656295152000006</v>
      </c>
      <c r="K149" s="1831">
        <f t="shared" si="148"/>
        <v>58.218905196000001</v>
      </c>
      <c r="L149" s="1831">
        <f t="shared" si="148"/>
        <v>57.781515240000004</v>
      </c>
      <c r="M149" s="1831">
        <f t="shared" si="148"/>
        <v>76.458833711999986</v>
      </c>
      <c r="N149" s="1831">
        <f t="shared" si="148"/>
        <v>75.937035167999994</v>
      </c>
      <c r="O149" s="1831">
        <f t="shared" si="148"/>
        <v>75.26176646399999</v>
      </c>
      <c r="P149" s="1831">
        <f t="shared" si="148"/>
        <v>74.58649776</v>
      </c>
      <c r="Q149" s="1831">
        <f t="shared" si="148"/>
        <v>92.902308743999995</v>
      </c>
      <c r="R149" s="1831">
        <f t="shared" si="148"/>
        <v>92.053533498000007</v>
      </c>
      <c r="S149" s="1831">
        <f t="shared" si="148"/>
        <v>91.243338945000005</v>
      </c>
      <c r="T149" s="1831">
        <f t="shared" si="148"/>
        <v>90.355983005999988</v>
      </c>
      <c r="U149" s="1831">
        <f t="shared" si="148"/>
        <v>89.468627067</v>
      </c>
      <c r="V149" s="1831">
        <f t="shared" si="148"/>
        <v>88.581271127999997</v>
      </c>
      <c r="W149" s="1831">
        <f t="shared" si="148"/>
        <v>87.693915189000009</v>
      </c>
      <c r="X149" s="1831">
        <f t="shared" si="148"/>
        <v>86.729397864000006</v>
      </c>
      <c r="Y149" s="1831">
        <f t="shared" si="148"/>
        <v>85.842041925000004</v>
      </c>
      <c r="Z149" s="1831">
        <f t="shared" si="148"/>
        <v>84.954685986000001</v>
      </c>
      <c r="AA149" s="1831">
        <f t="shared" si="148"/>
        <v>84.067330046999999</v>
      </c>
      <c r="AB149" s="1831">
        <f t="shared" si="148"/>
        <v>83.17997410800001</v>
      </c>
      <c r="AC149" s="1831">
        <f t="shared" si="148"/>
        <v>82.292618169000008</v>
      </c>
      <c r="AD149" s="1831">
        <f t="shared" si="148"/>
        <v>81.405262230000005</v>
      </c>
      <c r="AE149" s="1831">
        <f t="shared" si="148"/>
        <v>80.517906291000003</v>
      </c>
      <c r="AF149" s="1831">
        <f t="shared" si="148"/>
        <v>79.630550352</v>
      </c>
      <c r="AG149" s="1831">
        <f t="shared" si="148"/>
        <v>78.743194412999998</v>
      </c>
      <c r="AH149" s="1823"/>
      <c r="AI149" s="1823"/>
      <c r="AJ149" s="1823"/>
      <c r="AK149" s="1823"/>
      <c r="AL149" s="1823"/>
      <c r="AM149" s="1823"/>
      <c r="AN149" s="1824"/>
      <c r="AO149" s="1824"/>
      <c r="AP149" s="1824"/>
      <c r="AQ149" s="1824"/>
      <c r="AR149" s="1824"/>
      <c r="AS149" s="1824"/>
      <c r="AT149" s="1824"/>
      <c r="AU149" s="1824"/>
      <c r="AV149" s="1824"/>
      <c r="AW149" s="1824"/>
      <c r="AX149" s="1824"/>
      <c r="AY149" s="1824"/>
      <c r="AZ149" s="1824"/>
      <c r="BA149" s="1824"/>
      <c r="BB149" s="1824"/>
      <c r="BC149" s="1824"/>
      <c r="BD149" s="1824"/>
      <c r="BE149" s="1824"/>
      <c r="BF149" s="1824"/>
      <c r="BG149" s="1824"/>
      <c r="BH149" s="1824"/>
      <c r="BI149" s="1824"/>
      <c r="BJ149" s="1824"/>
      <c r="BK149" s="1824"/>
      <c r="BL149" s="1824"/>
      <c r="BM149" s="1824"/>
      <c r="BN149" s="1824"/>
      <c r="BO149" s="1824"/>
      <c r="BP149" s="1824"/>
      <c r="BQ149" s="1824"/>
      <c r="BR149" s="1824"/>
      <c r="BS149" s="1824"/>
      <c r="BT149" s="1824"/>
      <c r="BU149" s="1824"/>
      <c r="BV149" s="1824"/>
      <c r="BW149" s="1824"/>
      <c r="BX149" s="1824"/>
      <c r="BY149" s="1824"/>
      <c r="BZ149" s="1824"/>
      <c r="CA149" s="1824"/>
      <c r="CB149" s="1824"/>
      <c r="CC149" s="1824"/>
      <c r="CD149" s="1824"/>
      <c r="CE149" s="1824"/>
      <c r="CF149" s="1824"/>
      <c r="CG149" s="1824"/>
      <c r="CH149" s="1824"/>
      <c r="CI149" s="1824"/>
      <c r="CJ149" s="1824"/>
      <c r="CK149" s="1824"/>
      <c r="CL149" s="1824"/>
      <c r="CM149" s="1824"/>
      <c r="CN149" s="1824"/>
      <c r="CO149" s="1824"/>
      <c r="CP149" s="1824"/>
      <c r="CQ149" s="1824"/>
      <c r="CR149" s="1824"/>
      <c r="CS149" s="1824"/>
      <c r="CT149" s="1824"/>
      <c r="CU149" s="1824"/>
      <c r="CV149" s="1824"/>
      <c r="CW149" s="1824"/>
    </row>
    <row r="150" spans="1:101" s="1822" customFormat="1" x14ac:dyDescent="0.35">
      <c r="A150"/>
      <c r="B150" t="s">
        <v>2</v>
      </c>
      <c r="C150" s="80"/>
      <c r="D150" s="1831">
        <f>D148*D43</f>
        <v>237.21605438399999</v>
      </c>
      <c r="E150" s="1831">
        <f t="shared" ref="E150:AG150" si="149">E148*E43</f>
        <v>474.69913783199996</v>
      </c>
      <c r="F150" s="1831">
        <f t="shared" si="149"/>
        <v>474.96616689599995</v>
      </c>
      <c r="G150" s="1831">
        <f t="shared" si="149"/>
        <v>475.23319595999988</v>
      </c>
      <c r="H150" s="1831">
        <f t="shared" si="149"/>
        <v>475.50022502399992</v>
      </c>
      <c r="I150" s="1831">
        <f t="shared" si="149"/>
        <v>713.69800390799992</v>
      </c>
      <c r="J150" s="1831">
        <f t="shared" si="149"/>
        <v>712.63774144799993</v>
      </c>
      <c r="K150" s="1831">
        <f t="shared" si="149"/>
        <v>711.57747898799994</v>
      </c>
      <c r="L150" s="1831">
        <f t="shared" si="149"/>
        <v>710.51721652800006</v>
      </c>
      <c r="M150" s="1831">
        <f t="shared" si="149"/>
        <v>945.94260542399979</v>
      </c>
      <c r="N150" s="1831">
        <f t="shared" si="149"/>
        <v>944.52892214399981</v>
      </c>
      <c r="O150" s="1831">
        <f t="shared" si="149"/>
        <v>941.7958011359998</v>
      </c>
      <c r="P150" s="1831">
        <f t="shared" si="149"/>
        <v>939.0626801279999</v>
      </c>
      <c r="Q150" s="1831">
        <f t="shared" si="149"/>
        <v>1176.9142375049998</v>
      </c>
      <c r="R150" s="1831">
        <f t="shared" si="149"/>
        <v>1173.4788562380002</v>
      </c>
      <c r="S150" s="1831">
        <f t="shared" si="149"/>
        <v>1169.9645006889998</v>
      </c>
      <c r="T150" s="1831">
        <f t="shared" si="149"/>
        <v>1165.0286080639999</v>
      </c>
      <c r="U150" s="1831">
        <f t="shared" si="149"/>
        <v>1160.0927154389997</v>
      </c>
      <c r="V150" s="1831">
        <f t="shared" si="149"/>
        <v>1155.1568228139997</v>
      </c>
      <c r="W150" s="1831">
        <f t="shared" si="149"/>
        <v>1150.2209301889998</v>
      </c>
      <c r="X150" s="1831">
        <f t="shared" si="149"/>
        <v>1145.3245247049997</v>
      </c>
      <c r="Y150" s="1831">
        <f t="shared" si="149"/>
        <v>1140.3886320799998</v>
      </c>
      <c r="Z150" s="1831">
        <f t="shared" si="149"/>
        <v>1135.4527394549998</v>
      </c>
      <c r="AA150" s="1831">
        <f t="shared" si="149"/>
        <v>1130.5168468299998</v>
      </c>
      <c r="AB150" s="1831">
        <f t="shared" si="149"/>
        <v>1125.5809542049997</v>
      </c>
      <c r="AC150" s="1831">
        <f t="shared" si="149"/>
        <v>1120.6450615799997</v>
      </c>
      <c r="AD150" s="1831">
        <f t="shared" si="149"/>
        <v>1115.7091689549998</v>
      </c>
      <c r="AE150" s="1831">
        <f t="shared" si="149"/>
        <v>1110.7732763299998</v>
      </c>
      <c r="AF150" s="1831">
        <f t="shared" si="149"/>
        <v>1105.8373837049996</v>
      </c>
      <c r="AG150" s="1831">
        <f t="shared" si="149"/>
        <v>1100.9014910799997</v>
      </c>
      <c r="AH150" s="1823"/>
      <c r="AI150" s="1823"/>
      <c r="AJ150" s="1823"/>
      <c r="AK150" s="1823"/>
      <c r="AL150" s="1823"/>
      <c r="AM150" s="1823"/>
      <c r="AN150" s="1824"/>
      <c r="AO150" s="1824"/>
      <c r="AP150" s="1824"/>
      <c r="AQ150" s="1824"/>
      <c r="AR150" s="1824"/>
      <c r="AS150" s="1824"/>
      <c r="AT150" s="1824"/>
      <c r="AU150" s="1824"/>
      <c r="AV150" s="1824"/>
      <c r="AW150" s="1824"/>
      <c r="AX150" s="1824"/>
      <c r="AY150" s="1824"/>
      <c r="AZ150" s="1824"/>
      <c r="BA150" s="1824"/>
      <c r="BB150" s="1824"/>
      <c r="BC150" s="1824"/>
      <c r="BD150" s="1824"/>
      <c r="BE150" s="1824"/>
      <c r="BF150" s="1824"/>
      <c r="BG150" s="1824"/>
      <c r="BH150" s="1824"/>
      <c r="BI150" s="1824"/>
      <c r="BJ150" s="1824"/>
      <c r="BK150" s="1824"/>
      <c r="BL150" s="1824"/>
      <c r="BM150" s="1824"/>
      <c r="BN150" s="1824"/>
      <c r="BO150" s="1824"/>
      <c r="BP150" s="1824"/>
      <c r="BQ150" s="1824"/>
      <c r="BR150" s="1824"/>
      <c r="BS150" s="1824"/>
      <c r="BT150" s="1824"/>
      <c r="BU150" s="1824"/>
      <c r="BV150" s="1824"/>
      <c r="BW150" s="1824"/>
      <c r="BX150" s="1824"/>
      <c r="BY150" s="1824"/>
      <c r="BZ150" s="1824"/>
      <c r="CA150" s="1824"/>
      <c r="CB150" s="1824"/>
      <c r="CC150" s="1824"/>
      <c r="CD150" s="1824"/>
      <c r="CE150" s="1824"/>
      <c r="CF150" s="1824"/>
      <c r="CG150" s="1824"/>
      <c r="CH150" s="1824"/>
      <c r="CI150" s="1824"/>
      <c r="CJ150" s="1824"/>
      <c r="CK150" s="1824"/>
      <c r="CL150" s="1824"/>
      <c r="CM150" s="1824"/>
      <c r="CN150" s="1824"/>
      <c r="CO150" s="1824"/>
      <c r="CP150" s="1824"/>
      <c r="CQ150" s="1824"/>
      <c r="CR150" s="1824"/>
      <c r="CS150" s="1824"/>
      <c r="CT150" s="1824"/>
      <c r="CU150" s="1824"/>
      <c r="CV150" s="1824"/>
      <c r="CW150" s="1824"/>
    </row>
    <row r="151" spans="1:101" s="1822" customFormat="1" x14ac:dyDescent="0.35">
      <c r="A151"/>
      <c r="B151" t="s">
        <v>3</v>
      </c>
      <c r="C151" s="80"/>
      <c r="D151" s="1831">
        <f>D148*D44</f>
        <v>27.977610168000002</v>
      </c>
      <c r="E151" s="1831">
        <f t="shared" ref="E151:AG151" si="150">E148*E44</f>
        <v>56.016608399999996</v>
      </c>
      <c r="F151" s="1831">
        <f t="shared" si="150"/>
        <v>56.077996464000002</v>
      </c>
      <c r="G151" s="1831">
        <f t="shared" si="150"/>
        <v>56.139384527999994</v>
      </c>
      <c r="H151" s="1831">
        <f t="shared" si="150"/>
        <v>56.200772592</v>
      </c>
      <c r="I151" s="1831">
        <f t="shared" si="150"/>
        <v>84.439282032000023</v>
      </c>
      <c r="J151" s="1831">
        <f t="shared" si="150"/>
        <v>84.416261508000005</v>
      </c>
      <c r="K151" s="1831">
        <f t="shared" si="150"/>
        <v>84.393240984000002</v>
      </c>
      <c r="L151" s="1831">
        <f t="shared" si="150"/>
        <v>84.370220460000013</v>
      </c>
      <c r="M151" s="1831">
        <f t="shared" si="150"/>
        <v>112.462933248</v>
      </c>
      <c r="N151" s="1831">
        <f t="shared" si="150"/>
        <v>112.370851152</v>
      </c>
      <c r="O151" s="1831">
        <f t="shared" si="150"/>
        <v>112.12529889600002</v>
      </c>
      <c r="P151" s="1831">
        <f t="shared" si="150"/>
        <v>111.87974664000001</v>
      </c>
      <c r="Q151" s="1831">
        <f t="shared" si="150"/>
        <v>140.317980441</v>
      </c>
      <c r="R151" s="1831">
        <f t="shared" si="150"/>
        <v>140.00933489700003</v>
      </c>
      <c r="S151" s="1831">
        <f t="shared" si="150"/>
        <v>139.73927004600003</v>
      </c>
      <c r="T151" s="1831">
        <f t="shared" si="150"/>
        <v>139.27630173</v>
      </c>
      <c r="U151" s="1831">
        <f t="shared" si="150"/>
        <v>138.813333414</v>
      </c>
      <c r="V151" s="1831">
        <f t="shared" si="150"/>
        <v>138.350365098</v>
      </c>
      <c r="W151" s="1831">
        <f t="shared" si="150"/>
        <v>137.887396782</v>
      </c>
      <c r="X151" s="1831">
        <f t="shared" si="150"/>
        <v>137.42442846599999</v>
      </c>
      <c r="Y151" s="1831">
        <f t="shared" si="150"/>
        <v>136.96146014999999</v>
      </c>
      <c r="Z151" s="1831">
        <f t="shared" si="150"/>
        <v>136.49849183399999</v>
      </c>
      <c r="AA151" s="1831">
        <f t="shared" si="150"/>
        <v>136.03552351799999</v>
      </c>
      <c r="AB151" s="1831">
        <f t="shared" si="150"/>
        <v>135.57255520199999</v>
      </c>
      <c r="AC151" s="1831">
        <f t="shared" si="150"/>
        <v>135.10958688599999</v>
      </c>
      <c r="AD151" s="1831">
        <f t="shared" si="150"/>
        <v>134.64661856999999</v>
      </c>
      <c r="AE151" s="1831">
        <f t="shared" si="150"/>
        <v>134.18365025399999</v>
      </c>
      <c r="AF151" s="1831">
        <f t="shared" si="150"/>
        <v>133.72068193799998</v>
      </c>
      <c r="AG151" s="1831">
        <f t="shared" si="150"/>
        <v>133.25771362199998</v>
      </c>
      <c r="AH151" s="1823"/>
      <c r="AI151" s="1823"/>
      <c r="AJ151" s="1823"/>
      <c r="AK151" s="1823"/>
      <c r="AL151" s="1823"/>
      <c r="AM151" s="1823"/>
      <c r="AN151" s="1824"/>
      <c r="AO151" s="1824"/>
      <c r="AP151" s="1824"/>
      <c r="AQ151" s="1824"/>
      <c r="AR151" s="1824"/>
      <c r="AS151" s="1824"/>
      <c r="AT151" s="1824"/>
      <c r="AU151" s="1824"/>
      <c r="AV151" s="1824"/>
      <c r="AW151" s="1824"/>
      <c r="AX151" s="1824"/>
      <c r="AY151" s="1824"/>
      <c r="AZ151" s="1824"/>
      <c r="BA151" s="1824"/>
      <c r="BB151" s="1824"/>
      <c r="BC151" s="1824"/>
      <c r="BD151" s="1824"/>
      <c r="BE151" s="1824"/>
      <c r="BF151" s="1824"/>
      <c r="BG151" s="1824"/>
      <c r="BH151" s="1824"/>
      <c r="BI151" s="1824"/>
      <c r="BJ151" s="1824"/>
      <c r="BK151" s="1824"/>
      <c r="BL151" s="1824"/>
      <c r="BM151" s="1824"/>
      <c r="BN151" s="1824"/>
      <c r="BO151" s="1824"/>
      <c r="BP151" s="1824"/>
      <c r="BQ151" s="1824"/>
      <c r="BR151" s="1824"/>
      <c r="BS151" s="1824"/>
      <c r="BT151" s="1824"/>
      <c r="BU151" s="1824"/>
      <c r="BV151" s="1824"/>
      <c r="BW151" s="1824"/>
      <c r="BX151" s="1824"/>
      <c r="BY151" s="1824"/>
      <c r="BZ151" s="1824"/>
      <c r="CA151" s="1824"/>
      <c r="CB151" s="1824"/>
      <c r="CC151" s="1824"/>
      <c r="CD151" s="1824"/>
      <c r="CE151" s="1824"/>
      <c r="CF151" s="1824"/>
      <c r="CG151" s="1824"/>
      <c r="CH151" s="1824"/>
      <c r="CI151" s="1824"/>
      <c r="CJ151" s="1824"/>
      <c r="CK151" s="1824"/>
      <c r="CL151" s="1824"/>
      <c r="CM151" s="1824"/>
      <c r="CN151" s="1824"/>
      <c r="CO151" s="1824"/>
      <c r="CP151" s="1824"/>
      <c r="CQ151" s="1824"/>
      <c r="CR151" s="1824"/>
      <c r="CS151" s="1824"/>
      <c r="CT151" s="1824"/>
      <c r="CU151" s="1824"/>
      <c r="CV151" s="1824"/>
      <c r="CW151" s="1824"/>
    </row>
    <row r="152" spans="1:101" s="1822" customFormat="1" x14ac:dyDescent="0.35">
      <c r="A152"/>
      <c r="B152" t="s">
        <v>240</v>
      </c>
      <c r="C152" s="80"/>
      <c r="D152" s="1831">
        <f>D148*D45</f>
        <v>66.846666311999996</v>
      </c>
      <c r="E152" s="1831">
        <f t="shared" ref="E152:AG152" si="151">E148*E45</f>
        <v>134.93137031999998</v>
      </c>
      <c r="F152" s="1831">
        <f t="shared" si="151"/>
        <v>136.16940801600001</v>
      </c>
      <c r="G152" s="1831">
        <f t="shared" si="151"/>
        <v>137.407445712</v>
      </c>
      <c r="H152" s="1831">
        <f t="shared" si="151"/>
        <v>138.64548340799999</v>
      </c>
      <c r="I152" s="1831">
        <f t="shared" si="151"/>
        <v>209.80317384</v>
      </c>
      <c r="J152" s="1831">
        <f t="shared" si="151"/>
        <v>211.41704440799998</v>
      </c>
      <c r="K152" s="1831">
        <f t="shared" si="151"/>
        <v>213.03091497599999</v>
      </c>
      <c r="L152" s="1831">
        <f t="shared" si="151"/>
        <v>214.644785544</v>
      </c>
      <c r="M152" s="1831">
        <f t="shared" si="151"/>
        <v>288.34487481599996</v>
      </c>
      <c r="N152" s="1831">
        <f t="shared" si="151"/>
        <v>290.46722515199997</v>
      </c>
      <c r="O152" s="1831">
        <f t="shared" si="151"/>
        <v>292.17689625600002</v>
      </c>
      <c r="P152" s="1831">
        <f t="shared" si="151"/>
        <v>293.88656735999996</v>
      </c>
      <c r="Q152" s="1831">
        <f t="shared" si="151"/>
        <v>371.548049736</v>
      </c>
      <c r="R152" s="1831">
        <f t="shared" si="151"/>
        <v>373.69701133200005</v>
      </c>
      <c r="S152" s="1831">
        <f t="shared" si="151"/>
        <v>375.92007505200002</v>
      </c>
      <c r="T152" s="1831">
        <f t="shared" si="151"/>
        <v>377.47621965599996</v>
      </c>
      <c r="U152" s="1831">
        <f t="shared" si="151"/>
        <v>379.03236425999995</v>
      </c>
      <c r="V152" s="1831">
        <f t="shared" si="151"/>
        <v>380.588508864</v>
      </c>
      <c r="W152" s="1831">
        <f t="shared" si="151"/>
        <v>382.144653468</v>
      </c>
      <c r="X152" s="1831">
        <f t="shared" si="151"/>
        <v>383.62669594800008</v>
      </c>
      <c r="Y152" s="1831">
        <f t="shared" si="151"/>
        <v>385.18284055199996</v>
      </c>
      <c r="Z152" s="1831">
        <f t="shared" si="151"/>
        <v>386.73898515600001</v>
      </c>
      <c r="AA152" s="1831">
        <f t="shared" si="151"/>
        <v>388.29512976000001</v>
      </c>
      <c r="AB152" s="1831">
        <f t="shared" si="151"/>
        <v>389.85127436400001</v>
      </c>
      <c r="AC152" s="1831">
        <f t="shared" si="151"/>
        <v>391.40741896800006</v>
      </c>
      <c r="AD152" s="1831">
        <f t="shared" si="151"/>
        <v>392.96356357199994</v>
      </c>
      <c r="AE152" s="1831">
        <f t="shared" si="151"/>
        <v>394.51970817599999</v>
      </c>
      <c r="AF152" s="1831">
        <f t="shared" si="151"/>
        <v>396.07585277999999</v>
      </c>
      <c r="AG152" s="1831">
        <f t="shared" si="151"/>
        <v>397.63199738399999</v>
      </c>
      <c r="AH152" s="1823"/>
      <c r="AI152" s="1823"/>
      <c r="AJ152" s="1823"/>
      <c r="AK152" s="1823"/>
      <c r="AL152" s="1823"/>
      <c r="AM152" s="1823"/>
      <c r="AN152" s="1824"/>
      <c r="AO152" s="1824"/>
      <c r="AP152" s="1824"/>
      <c r="AQ152" s="1824"/>
      <c r="AR152" s="1824"/>
      <c r="AS152" s="1824"/>
      <c r="AT152" s="1824"/>
      <c r="AU152" s="1824"/>
      <c r="AV152" s="1824"/>
      <c r="AW152" s="1824"/>
      <c r="AX152" s="1824"/>
      <c r="AY152" s="1824"/>
      <c r="AZ152" s="1824"/>
      <c r="BA152" s="1824"/>
      <c r="BB152" s="1824"/>
      <c r="BC152" s="1824"/>
      <c r="BD152" s="1824"/>
      <c r="BE152" s="1824"/>
      <c r="BF152" s="1824"/>
      <c r="BG152" s="1824"/>
      <c r="BH152" s="1824"/>
      <c r="BI152" s="1824"/>
      <c r="BJ152" s="1824"/>
      <c r="BK152" s="1824"/>
      <c r="BL152" s="1824"/>
      <c r="BM152" s="1824"/>
      <c r="BN152" s="1824"/>
      <c r="BO152" s="1824"/>
      <c r="BP152" s="1824"/>
      <c r="BQ152" s="1824"/>
      <c r="BR152" s="1824"/>
      <c r="BS152" s="1824"/>
      <c r="BT152" s="1824"/>
      <c r="BU152" s="1824"/>
      <c r="BV152" s="1824"/>
      <c r="BW152" s="1824"/>
      <c r="BX152" s="1824"/>
      <c r="BY152" s="1824"/>
      <c r="BZ152" s="1824"/>
      <c r="CA152" s="1824"/>
      <c r="CB152" s="1824"/>
      <c r="CC152" s="1824"/>
      <c r="CD152" s="1824"/>
      <c r="CE152" s="1824"/>
      <c r="CF152" s="1824"/>
      <c r="CG152" s="1824"/>
      <c r="CH152" s="1824"/>
      <c r="CI152" s="1824"/>
      <c r="CJ152" s="1824"/>
      <c r="CK152" s="1824"/>
      <c r="CL152" s="1824"/>
      <c r="CM152" s="1824"/>
      <c r="CN152" s="1824"/>
      <c r="CO152" s="1824"/>
      <c r="CP152" s="1824"/>
      <c r="CQ152" s="1824"/>
      <c r="CR152" s="1824"/>
      <c r="CS152" s="1824"/>
      <c r="CT152" s="1824"/>
      <c r="CU152" s="1824"/>
      <c r="CV152" s="1824"/>
      <c r="CW152" s="1824"/>
    </row>
    <row r="153" spans="1:101" s="1822" customFormat="1" x14ac:dyDescent="0.35">
      <c r="A153"/>
      <c r="B153" t="s">
        <v>5</v>
      </c>
      <c r="C153" s="80"/>
      <c r="D153" s="1831">
        <f>D148*D46</f>
        <v>155.61511394399997</v>
      </c>
      <c r="E153" s="1831">
        <f t="shared" ref="E153:AG153" si="152">E148*E46</f>
        <v>312.56537320799998</v>
      </c>
      <c r="F153" s="1831">
        <f t="shared" si="152"/>
        <v>313.90051852799991</v>
      </c>
      <c r="G153" s="1831">
        <f t="shared" si="152"/>
        <v>315.23566384799989</v>
      </c>
      <c r="H153" s="1831">
        <f t="shared" si="152"/>
        <v>316.57080916799993</v>
      </c>
      <c r="I153" s="1831">
        <f t="shared" si="152"/>
        <v>476.83537034400001</v>
      </c>
      <c r="J153" s="1831">
        <f t="shared" si="152"/>
        <v>477.98987835599996</v>
      </c>
      <c r="K153" s="1831">
        <f t="shared" si="152"/>
        <v>479.14438636799997</v>
      </c>
      <c r="L153" s="1831">
        <f t="shared" si="152"/>
        <v>480.29889437999987</v>
      </c>
      <c r="M153" s="1831">
        <f t="shared" si="152"/>
        <v>641.93786985600002</v>
      </c>
      <c r="N153" s="1831">
        <f t="shared" si="152"/>
        <v>643.54004423999982</v>
      </c>
      <c r="O153" s="1831">
        <f t="shared" si="152"/>
        <v>644.13693273599984</v>
      </c>
      <c r="P153" s="1831">
        <f t="shared" si="152"/>
        <v>644.73382123199997</v>
      </c>
      <c r="Q153" s="1831">
        <f t="shared" si="152"/>
        <v>811.14485042199999</v>
      </c>
      <c r="R153" s="1831">
        <f t="shared" si="152"/>
        <v>811.8951061009999</v>
      </c>
      <c r="S153" s="1831">
        <f t="shared" si="152"/>
        <v>812.72433606199991</v>
      </c>
      <c r="T153" s="1831">
        <f t="shared" si="152"/>
        <v>812.25049036999985</v>
      </c>
      <c r="U153" s="1831">
        <f t="shared" si="152"/>
        <v>811.77664467799991</v>
      </c>
      <c r="V153" s="1831">
        <f t="shared" si="152"/>
        <v>811.30279898599997</v>
      </c>
      <c r="W153" s="1831">
        <f t="shared" si="152"/>
        <v>810.8289532939998</v>
      </c>
      <c r="X153" s="1831">
        <f t="shared" si="152"/>
        <v>810.35510760199986</v>
      </c>
      <c r="Y153" s="1831">
        <f t="shared" si="152"/>
        <v>809.88126190999981</v>
      </c>
      <c r="Z153" s="1831">
        <f t="shared" si="152"/>
        <v>809.40741621800009</v>
      </c>
      <c r="AA153" s="1831">
        <f t="shared" si="152"/>
        <v>808.93357052599993</v>
      </c>
      <c r="AB153" s="1831">
        <f t="shared" si="152"/>
        <v>808.45972483399987</v>
      </c>
      <c r="AC153" s="1831">
        <f t="shared" si="152"/>
        <v>807.98587914200004</v>
      </c>
      <c r="AD153" s="1831">
        <f t="shared" si="152"/>
        <v>807.51203344999999</v>
      </c>
      <c r="AE153" s="1831">
        <f t="shared" si="152"/>
        <v>807.03818775799982</v>
      </c>
      <c r="AF153" s="1831">
        <f t="shared" si="152"/>
        <v>806.56434206599977</v>
      </c>
      <c r="AG153" s="1831">
        <f t="shared" si="152"/>
        <v>806.09049637399994</v>
      </c>
      <c r="AH153" s="1823"/>
      <c r="AI153" s="1823"/>
      <c r="AJ153" s="1823"/>
      <c r="AK153" s="1823"/>
      <c r="AL153" s="1823"/>
      <c r="AM153" s="1823"/>
      <c r="AN153" s="1824"/>
      <c r="AO153" s="1824"/>
      <c r="AP153" s="1824"/>
      <c r="AQ153" s="1824"/>
      <c r="AR153" s="1824"/>
      <c r="AS153" s="1824"/>
      <c r="AT153" s="1824"/>
      <c r="AU153" s="1824"/>
      <c r="AV153" s="1824"/>
      <c r="AW153" s="1824"/>
      <c r="AX153" s="1824"/>
      <c r="AY153" s="1824"/>
      <c r="AZ153" s="1824"/>
      <c r="BA153" s="1824"/>
      <c r="BB153" s="1824"/>
      <c r="BC153" s="1824"/>
      <c r="BD153" s="1824"/>
      <c r="BE153" s="1824"/>
      <c r="BF153" s="1824"/>
      <c r="BG153" s="1824"/>
      <c r="BH153" s="1824"/>
      <c r="BI153" s="1824"/>
      <c r="BJ153" s="1824"/>
      <c r="BK153" s="1824"/>
      <c r="BL153" s="1824"/>
      <c r="BM153" s="1824"/>
      <c r="BN153" s="1824"/>
      <c r="BO153" s="1824"/>
      <c r="BP153" s="1824"/>
      <c r="BQ153" s="1824"/>
      <c r="BR153" s="1824"/>
      <c r="BS153" s="1824"/>
      <c r="BT153" s="1824"/>
      <c r="BU153" s="1824"/>
      <c r="BV153" s="1824"/>
      <c r="BW153" s="1824"/>
      <c r="BX153" s="1824"/>
      <c r="BY153" s="1824"/>
      <c r="BZ153" s="1824"/>
      <c r="CA153" s="1824"/>
      <c r="CB153" s="1824"/>
      <c r="CC153" s="1824"/>
      <c r="CD153" s="1824"/>
      <c r="CE153" s="1824"/>
      <c r="CF153" s="1824"/>
      <c r="CG153" s="1824"/>
      <c r="CH153" s="1824"/>
      <c r="CI153" s="1824"/>
      <c r="CJ153" s="1824"/>
      <c r="CK153" s="1824"/>
      <c r="CL153" s="1824"/>
      <c r="CM153" s="1824"/>
      <c r="CN153" s="1824"/>
      <c r="CO153" s="1824"/>
      <c r="CP153" s="1824"/>
      <c r="CQ153" s="1824"/>
      <c r="CR153" s="1824"/>
      <c r="CS153" s="1824"/>
      <c r="CT153" s="1824"/>
      <c r="CU153" s="1824"/>
      <c r="CV153" s="1824"/>
      <c r="CW153" s="1824"/>
    </row>
    <row r="154" spans="1:101" s="1822" customFormat="1" x14ac:dyDescent="0.35">
      <c r="A154"/>
      <c r="B154" t="s">
        <v>6</v>
      </c>
      <c r="C154" s="80"/>
      <c r="D154" s="1831">
        <f>D148*D47</f>
        <v>1671.2201808</v>
      </c>
      <c r="E154" s="1831">
        <f t="shared" ref="E154:AG154" si="153">E148*E47</f>
        <v>3360.4065115200001</v>
      </c>
      <c r="F154" s="1831">
        <f t="shared" si="153"/>
        <v>3378.3726614400002</v>
      </c>
      <c r="G154" s="1831">
        <f t="shared" si="153"/>
        <v>3396.3388113599999</v>
      </c>
      <c r="H154" s="1831">
        <f t="shared" si="153"/>
        <v>3414.30496128</v>
      </c>
      <c r="I154" s="1831">
        <f t="shared" si="153"/>
        <v>5148.3775953599998</v>
      </c>
      <c r="J154" s="1831">
        <f t="shared" si="153"/>
        <v>5175.3849631200001</v>
      </c>
      <c r="K154" s="1831">
        <f t="shared" si="153"/>
        <v>5202.3923308799995</v>
      </c>
      <c r="L154" s="1831">
        <f t="shared" si="153"/>
        <v>5229.3996986399998</v>
      </c>
      <c r="M154" s="1831">
        <f t="shared" si="153"/>
        <v>7008.5427552000001</v>
      </c>
      <c r="N154" s="1831">
        <f t="shared" si="153"/>
        <v>7044.4750550399995</v>
      </c>
      <c r="O154" s="1831">
        <f t="shared" si="153"/>
        <v>7068.7012550400004</v>
      </c>
      <c r="P154" s="1831">
        <f t="shared" si="153"/>
        <v>7092.9274550400005</v>
      </c>
      <c r="Q154" s="1831">
        <f t="shared" si="153"/>
        <v>8945.8667469600005</v>
      </c>
      <c r="R154" s="1831">
        <f t="shared" si="153"/>
        <v>8976.3177344600008</v>
      </c>
      <c r="S154" s="1831">
        <f t="shared" si="153"/>
        <v>9006.720000379999</v>
      </c>
      <c r="T154" s="1831">
        <f t="shared" si="153"/>
        <v>9025.0880360399988</v>
      </c>
      <c r="U154" s="1831">
        <f t="shared" si="153"/>
        <v>9043.4560716999986</v>
      </c>
      <c r="V154" s="1831">
        <f t="shared" si="153"/>
        <v>9061.8241073599984</v>
      </c>
      <c r="W154" s="1831">
        <f t="shared" si="153"/>
        <v>9080.19214302</v>
      </c>
      <c r="X154" s="1831">
        <f t="shared" si="153"/>
        <v>9098.5114571000013</v>
      </c>
      <c r="Y154" s="1831">
        <f t="shared" si="153"/>
        <v>9116.8794927599993</v>
      </c>
      <c r="Z154" s="1831">
        <f t="shared" si="153"/>
        <v>9135.2475284199973</v>
      </c>
      <c r="AA154" s="1831">
        <f t="shared" si="153"/>
        <v>9153.6155640799989</v>
      </c>
      <c r="AB154" s="1831">
        <f t="shared" si="153"/>
        <v>9171.9835997399987</v>
      </c>
      <c r="AC154" s="1831">
        <f t="shared" si="153"/>
        <v>9190.3516354000003</v>
      </c>
      <c r="AD154" s="1831">
        <f t="shared" si="153"/>
        <v>9208.7196710599983</v>
      </c>
      <c r="AE154" s="1831">
        <f t="shared" si="153"/>
        <v>9227.0877067199999</v>
      </c>
      <c r="AF154" s="1831">
        <f t="shared" si="153"/>
        <v>9245.4557423799979</v>
      </c>
      <c r="AG154" s="1831">
        <f t="shared" si="153"/>
        <v>9263.8237780399995</v>
      </c>
      <c r="AH154" s="1823"/>
      <c r="AI154" s="1823"/>
      <c r="AJ154" s="1823"/>
      <c r="AK154" s="1823"/>
      <c r="AL154" s="1823"/>
      <c r="AM154" s="1823"/>
      <c r="AN154" s="1824"/>
      <c r="AO154" s="1824"/>
      <c r="AP154" s="1824"/>
      <c r="AQ154" s="1824"/>
      <c r="AR154" s="1824"/>
      <c r="AS154" s="1824"/>
      <c r="AT154" s="1824"/>
      <c r="AU154" s="1824"/>
      <c r="AV154" s="1824"/>
      <c r="AW154" s="1824"/>
      <c r="AX154" s="1824"/>
      <c r="AY154" s="1824"/>
      <c r="AZ154" s="1824"/>
      <c r="BA154" s="1824"/>
      <c r="BB154" s="1824"/>
      <c r="BC154" s="1824"/>
      <c r="BD154" s="1824"/>
      <c r="BE154" s="1824"/>
      <c r="BF154" s="1824"/>
      <c r="BG154" s="1824"/>
      <c r="BH154" s="1824"/>
      <c r="BI154" s="1824"/>
      <c r="BJ154" s="1824"/>
      <c r="BK154" s="1824"/>
      <c r="BL154" s="1824"/>
      <c r="BM154" s="1824"/>
      <c r="BN154" s="1824"/>
      <c r="BO154" s="1824"/>
      <c r="BP154" s="1824"/>
      <c r="BQ154" s="1824"/>
      <c r="BR154" s="1824"/>
      <c r="BS154" s="1824"/>
      <c r="BT154" s="1824"/>
      <c r="BU154" s="1824"/>
      <c r="BV154" s="1824"/>
      <c r="BW154" s="1824"/>
      <c r="BX154" s="1824"/>
      <c r="BY154" s="1824"/>
      <c r="BZ154" s="1824"/>
      <c r="CA154" s="1824"/>
      <c r="CB154" s="1824"/>
      <c r="CC154" s="1824"/>
      <c r="CD154" s="1824"/>
      <c r="CE154" s="1824"/>
      <c r="CF154" s="1824"/>
      <c r="CG154" s="1824"/>
      <c r="CH154" s="1824"/>
      <c r="CI154" s="1824"/>
      <c r="CJ154" s="1824"/>
      <c r="CK154" s="1824"/>
      <c r="CL154" s="1824"/>
      <c r="CM154" s="1824"/>
      <c r="CN154" s="1824"/>
      <c r="CO154" s="1824"/>
      <c r="CP154" s="1824"/>
      <c r="CQ154" s="1824"/>
      <c r="CR154" s="1824"/>
      <c r="CS154" s="1824"/>
      <c r="CT154" s="1824"/>
      <c r="CU154" s="1824"/>
      <c r="CV154" s="1824"/>
      <c r="CW154" s="1824"/>
    </row>
    <row r="155" spans="1:101" s="1822" customFormat="1" x14ac:dyDescent="0.35">
      <c r="A155"/>
      <c r="B155" t="s">
        <v>7</v>
      </c>
      <c r="C155" s="80"/>
      <c r="D155" s="1831">
        <f>D148*D48</f>
        <v>150.10174915199997</v>
      </c>
      <c r="E155" s="1831">
        <f t="shared" ref="E155:AG155" si="154">E148*E48</f>
        <v>299.40241111199992</v>
      </c>
      <c r="F155" s="1831">
        <f t="shared" si="154"/>
        <v>298.60132391999997</v>
      </c>
      <c r="G155" s="1831">
        <f t="shared" si="154"/>
        <v>297.80023672799996</v>
      </c>
      <c r="H155" s="1831">
        <f t="shared" si="154"/>
        <v>296.99914953599995</v>
      </c>
      <c r="I155" s="1831">
        <f t="shared" si="154"/>
        <v>444.24997073999998</v>
      </c>
      <c r="J155" s="1831">
        <f t="shared" si="154"/>
        <v>442.15300720799991</v>
      </c>
      <c r="K155" s="1831">
        <f t="shared" si="154"/>
        <v>440.05604367599994</v>
      </c>
      <c r="L155" s="1831">
        <f t="shared" si="154"/>
        <v>437.95908014399993</v>
      </c>
      <c r="M155" s="1831">
        <f t="shared" si="154"/>
        <v>581.14948881599992</v>
      </c>
      <c r="N155" s="1831">
        <f t="shared" si="154"/>
        <v>578.32212225599994</v>
      </c>
      <c r="O155" s="1831">
        <f t="shared" si="154"/>
        <v>574.48946980799985</v>
      </c>
      <c r="P155" s="1831">
        <f t="shared" si="154"/>
        <v>570.65681735999999</v>
      </c>
      <c r="Q155" s="1831">
        <f t="shared" si="154"/>
        <v>712.46648506299994</v>
      </c>
      <c r="R155" s="1831">
        <f t="shared" si="154"/>
        <v>707.64905386099997</v>
      </c>
      <c r="S155" s="1831">
        <f t="shared" si="154"/>
        <v>702.7526483769999</v>
      </c>
      <c r="T155" s="1831">
        <f t="shared" si="154"/>
        <v>697.54034576499998</v>
      </c>
      <c r="U155" s="1831">
        <f t="shared" si="154"/>
        <v>692.32804315299995</v>
      </c>
      <c r="V155" s="1831">
        <f t="shared" si="154"/>
        <v>687.11574054099992</v>
      </c>
      <c r="W155" s="1831">
        <f t="shared" si="154"/>
        <v>681.90343792899989</v>
      </c>
      <c r="X155" s="1831">
        <f t="shared" si="154"/>
        <v>676.77010959899997</v>
      </c>
      <c r="Y155" s="1831">
        <f t="shared" si="154"/>
        <v>671.55780698699994</v>
      </c>
      <c r="Z155" s="1831">
        <f t="shared" si="154"/>
        <v>666.34550437500002</v>
      </c>
      <c r="AA155" s="1831">
        <f t="shared" si="154"/>
        <v>661.13320176299999</v>
      </c>
      <c r="AB155" s="1831">
        <f t="shared" si="154"/>
        <v>655.92089915099984</v>
      </c>
      <c r="AC155" s="1831">
        <f t="shared" si="154"/>
        <v>650.70859653900004</v>
      </c>
      <c r="AD155" s="1831">
        <f t="shared" si="154"/>
        <v>645.4962939269999</v>
      </c>
      <c r="AE155" s="1831">
        <f t="shared" si="154"/>
        <v>640.28399131499998</v>
      </c>
      <c r="AF155" s="1831">
        <f t="shared" si="154"/>
        <v>635.07168870299995</v>
      </c>
      <c r="AG155" s="1831">
        <f t="shared" si="154"/>
        <v>629.85938609100003</v>
      </c>
      <c r="AH155" s="1823"/>
      <c r="AI155" s="1823"/>
      <c r="AJ155" s="1823"/>
      <c r="AK155" s="1823"/>
      <c r="AL155" s="1823"/>
      <c r="AM155" s="1823"/>
      <c r="AN155" s="1824"/>
      <c r="AO155" s="1824"/>
      <c r="AP155" s="1824"/>
      <c r="AQ155" s="1824"/>
      <c r="AR155" s="1824"/>
      <c r="AS155" s="1824"/>
      <c r="AT155" s="1824"/>
      <c r="AU155" s="1824"/>
      <c r="AV155" s="1824"/>
      <c r="AW155" s="1824"/>
      <c r="AX155" s="1824"/>
      <c r="AY155" s="1824"/>
      <c r="AZ155" s="1824"/>
      <c r="BA155" s="1824"/>
      <c r="BB155" s="1824"/>
      <c r="BC155" s="1824"/>
      <c r="BD155" s="1824"/>
      <c r="BE155" s="1824"/>
      <c r="BF155" s="1824"/>
      <c r="BG155" s="1824"/>
      <c r="BH155" s="1824"/>
      <c r="BI155" s="1824"/>
      <c r="BJ155" s="1824"/>
      <c r="BK155" s="1824"/>
      <c r="BL155" s="1824"/>
      <c r="BM155" s="1824"/>
      <c r="BN155" s="1824"/>
      <c r="BO155" s="1824"/>
      <c r="BP155" s="1824"/>
      <c r="BQ155" s="1824"/>
      <c r="BR155" s="1824"/>
      <c r="BS155" s="1824"/>
      <c r="BT155" s="1824"/>
      <c r="BU155" s="1824"/>
      <c r="BV155" s="1824"/>
      <c r="BW155" s="1824"/>
      <c r="BX155" s="1824"/>
      <c r="BY155" s="1824"/>
      <c r="BZ155" s="1824"/>
      <c r="CA155" s="1824"/>
      <c r="CB155" s="1824"/>
      <c r="CC155" s="1824"/>
      <c r="CD155" s="1824"/>
      <c r="CE155" s="1824"/>
      <c r="CF155" s="1824"/>
      <c r="CG155" s="1824"/>
      <c r="CH155" s="1824"/>
      <c r="CI155" s="1824"/>
      <c r="CJ155" s="1824"/>
      <c r="CK155" s="1824"/>
      <c r="CL155" s="1824"/>
      <c r="CM155" s="1824"/>
      <c r="CN155" s="1824"/>
      <c r="CO155" s="1824"/>
      <c r="CP155" s="1824"/>
      <c r="CQ155" s="1824"/>
      <c r="CR155" s="1824"/>
      <c r="CS155" s="1824"/>
      <c r="CT155" s="1824"/>
      <c r="CU155" s="1824"/>
      <c r="CV155" s="1824"/>
      <c r="CW155" s="1824"/>
    </row>
    <row r="156" spans="1:101" s="1822" customFormat="1" x14ac:dyDescent="0.35">
      <c r="A156"/>
      <c r="B156" t="s">
        <v>8</v>
      </c>
      <c r="C156" s="80"/>
      <c r="D156" s="1831">
        <f>D148*D49</f>
        <v>121.364709588</v>
      </c>
      <c r="E156" s="1831">
        <f t="shared" ref="E156:AG156" si="155">E148*E49</f>
        <v>244.83423650399996</v>
      </c>
      <c r="F156" s="1831">
        <f t="shared" si="155"/>
        <v>246.93905383199996</v>
      </c>
      <c r="G156" s="1831">
        <f t="shared" si="155"/>
        <v>249.04387115999998</v>
      </c>
      <c r="H156" s="1831">
        <f t="shared" si="155"/>
        <v>251.14868848799995</v>
      </c>
      <c r="I156" s="1831">
        <f t="shared" si="155"/>
        <v>379.83313594799995</v>
      </c>
      <c r="J156" s="1831">
        <f t="shared" si="155"/>
        <v>382.33064307599994</v>
      </c>
      <c r="K156" s="1831">
        <f t="shared" si="155"/>
        <v>384.82815020399988</v>
      </c>
      <c r="L156" s="1831">
        <f t="shared" si="155"/>
        <v>387.32565733199999</v>
      </c>
      <c r="M156" s="1831">
        <f t="shared" si="155"/>
        <v>519.76421928000002</v>
      </c>
      <c r="N156" s="1831">
        <f t="shared" si="155"/>
        <v>523.12564396799996</v>
      </c>
      <c r="O156" s="1831">
        <f t="shared" si="155"/>
        <v>525.79593460799992</v>
      </c>
      <c r="P156" s="1831">
        <f t="shared" si="155"/>
        <v>528.46622524799989</v>
      </c>
      <c r="Q156" s="1831">
        <f t="shared" si="155"/>
        <v>667.60909288700009</v>
      </c>
      <c r="R156" s="1831">
        <f t="shared" si="155"/>
        <v>670.96549987200001</v>
      </c>
      <c r="S156" s="1831">
        <f t="shared" si="155"/>
        <v>674.36139399800004</v>
      </c>
      <c r="T156" s="1831">
        <f t="shared" si="155"/>
        <v>676.53318675299988</v>
      </c>
      <c r="U156" s="1831">
        <f t="shared" si="155"/>
        <v>678.70497950799995</v>
      </c>
      <c r="V156" s="1831">
        <f t="shared" si="155"/>
        <v>680.87677226299991</v>
      </c>
      <c r="W156" s="1831">
        <f t="shared" si="155"/>
        <v>683.04856501799986</v>
      </c>
      <c r="X156" s="1831">
        <f t="shared" si="155"/>
        <v>685.25984491400004</v>
      </c>
      <c r="Y156" s="1831">
        <f t="shared" si="155"/>
        <v>687.43163766899988</v>
      </c>
      <c r="Z156" s="1831">
        <f t="shared" si="155"/>
        <v>689.60343042399995</v>
      </c>
      <c r="AA156" s="1831">
        <f t="shared" si="155"/>
        <v>691.77522317899991</v>
      </c>
      <c r="AB156" s="1831">
        <f t="shared" si="155"/>
        <v>693.94701593399998</v>
      </c>
      <c r="AC156" s="1831">
        <f t="shared" si="155"/>
        <v>696.11880868899982</v>
      </c>
      <c r="AD156" s="1831">
        <f t="shared" si="155"/>
        <v>698.290601444</v>
      </c>
      <c r="AE156" s="1831">
        <f t="shared" si="155"/>
        <v>700.46239419899996</v>
      </c>
      <c r="AF156" s="1831">
        <f t="shared" si="155"/>
        <v>702.63418695399992</v>
      </c>
      <c r="AG156" s="1831">
        <f t="shared" si="155"/>
        <v>704.80597970899998</v>
      </c>
      <c r="AH156" s="1823"/>
      <c r="AI156" s="1823"/>
      <c r="AJ156" s="1823"/>
      <c r="AK156" s="1823"/>
      <c r="AL156" s="1823"/>
      <c r="AM156" s="1823"/>
      <c r="AN156" s="1824"/>
      <c r="AO156" s="1824"/>
      <c r="AP156" s="1824"/>
      <c r="AQ156" s="1824"/>
      <c r="AR156" s="1824"/>
      <c r="AS156" s="1824"/>
      <c r="AT156" s="1824"/>
      <c r="AU156" s="1824"/>
      <c r="AV156" s="1824"/>
      <c r="AW156" s="1824"/>
      <c r="AX156" s="1824"/>
      <c r="AY156" s="1824"/>
      <c r="AZ156" s="1824"/>
      <c r="BA156" s="1824"/>
      <c r="BB156" s="1824"/>
      <c r="BC156" s="1824"/>
      <c r="BD156" s="1824"/>
      <c r="BE156" s="1824"/>
      <c r="BF156" s="1824"/>
      <c r="BG156" s="1824"/>
      <c r="BH156" s="1824"/>
      <c r="BI156" s="1824"/>
      <c r="BJ156" s="1824"/>
      <c r="BK156" s="1824"/>
      <c r="BL156" s="1824"/>
      <c r="BM156" s="1824"/>
      <c r="BN156" s="1824"/>
      <c r="BO156" s="1824"/>
      <c r="BP156" s="1824"/>
      <c r="BQ156" s="1824"/>
      <c r="BR156" s="1824"/>
      <c r="BS156" s="1824"/>
      <c r="BT156" s="1824"/>
      <c r="BU156" s="1824"/>
      <c r="BV156" s="1824"/>
      <c r="BW156" s="1824"/>
      <c r="BX156" s="1824"/>
      <c r="BY156" s="1824"/>
      <c r="BZ156" s="1824"/>
      <c r="CA156" s="1824"/>
      <c r="CB156" s="1824"/>
      <c r="CC156" s="1824"/>
      <c r="CD156" s="1824"/>
      <c r="CE156" s="1824"/>
      <c r="CF156" s="1824"/>
      <c r="CG156" s="1824"/>
      <c r="CH156" s="1824"/>
      <c r="CI156" s="1824"/>
      <c r="CJ156" s="1824"/>
      <c r="CK156" s="1824"/>
      <c r="CL156" s="1824"/>
      <c r="CM156" s="1824"/>
      <c r="CN156" s="1824"/>
      <c r="CO156" s="1824"/>
      <c r="CP156" s="1824"/>
      <c r="CQ156" s="1824"/>
      <c r="CR156" s="1824"/>
      <c r="CS156" s="1824"/>
      <c r="CT156" s="1824"/>
      <c r="CU156" s="1824"/>
      <c r="CV156" s="1824"/>
      <c r="CW156" s="1824"/>
    </row>
    <row r="157" spans="1:101" s="1822" customFormat="1" x14ac:dyDescent="0.35">
      <c r="A157"/>
      <c r="B157" t="s">
        <v>9</v>
      </c>
      <c r="C157" s="80"/>
      <c r="D157" s="1831">
        <f>D148*D50</f>
        <v>98.965683395999974</v>
      </c>
      <c r="E157" s="1831">
        <f t="shared" ref="E157:AG157" si="156">E148*E50</f>
        <v>199.67490950399997</v>
      </c>
      <c r="F157" s="1831">
        <f t="shared" si="156"/>
        <v>201.41845221599996</v>
      </c>
      <c r="G157" s="1831">
        <f t="shared" si="156"/>
        <v>203.16199492799996</v>
      </c>
      <c r="H157" s="1831">
        <f t="shared" si="156"/>
        <v>204.90553763999998</v>
      </c>
      <c r="I157" s="1831">
        <f t="shared" si="156"/>
        <v>310.02074330400001</v>
      </c>
      <c r="J157" s="1831">
        <f t="shared" si="156"/>
        <v>312.235513776</v>
      </c>
      <c r="K157" s="1831">
        <f t="shared" si="156"/>
        <v>314.450284248</v>
      </c>
      <c r="L157" s="1831">
        <f t="shared" si="156"/>
        <v>316.66505471999994</v>
      </c>
      <c r="M157" s="1831">
        <f t="shared" si="156"/>
        <v>425.17310025599988</v>
      </c>
      <c r="N157" s="1831">
        <f t="shared" si="156"/>
        <v>428.09471236800005</v>
      </c>
      <c r="O157" s="1831">
        <f t="shared" si="156"/>
        <v>430.16811451199999</v>
      </c>
      <c r="P157" s="1831">
        <f t="shared" si="156"/>
        <v>432.24151665599993</v>
      </c>
      <c r="Q157" s="1831">
        <f t="shared" si="156"/>
        <v>545.90972432499996</v>
      </c>
      <c r="R157" s="1831">
        <f t="shared" si="156"/>
        <v>548.51587563099997</v>
      </c>
      <c r="S157" s="1831">
        <f t="shared" si="156"/>
        <v>551.20100121899998</v>
      </c>
      <c r="T157" s="1831">
        <f t="shared" si="156"/>
        <v>553.09638398699997</v>
      </c>
      <c r="U157" s="1831">
        <f t="shared" si="156"/>
        <v>554.99176675499996</v>
      </c>
      <c r="V157" s="1831">
        <f t="shared" si="156"/>
        <v>556.88714952299995</v>
      </c>
      <c r="W157" s="1831">
        <f t="shared" si="156"/>
        <v>558.78253229099994</v>
      </c>
      <c r="X157" s="1831">
        <f t="shared" si="156"/>
        <v>560.75688934100003</v>
      </c>
      <c r="Y157" s="1831">
        <f t="shared" si="156"/>
        <v>562.65227210900002</v>
      </c>
      <c r="Z157" s="1831">
        <f t="shared" si="156"/>
        <v>564.5476548769999</v>
      </c>
      <c r="AA157" s="1831">
        <f t="shared" si="156"/>
        <v>566.443037645</v>
      </c>
      <c r="AB157" s="1831">
        <f t="shared" si="156"/>
        <v>568.33842041299988</v>
      </c>
      <c r="AC157" s="1831">
        <f t="shared" si="156"/>
        <v>570.23380318099987</v>
      </c>
      <c r="AD157" s="1831">
        <f t="shared" si="156"/>
        <v>572.12918594899986</v>
      </c>
      <c r="AE157" s="1831">
        <f t="shared" si="156"/>
        <v>574.02456871699985</v>
      </c>
      <c r="AF157" s="1831">
        <f t="shared" si="156"/>
        <v>575.91995148499996</v>
      </c>
      <c r="AG157" s="1831">
        <f t="shared" si="156"/>
        <v>577.81533425299995</v>
      </c>
      <c r="AH157" s="1823"/>
      <c r="AI157" s="1823"/>
      <c r="AJ157" s="1823"/>
      <c r="AK157" s="1823"/>
      <c r="AL157" s="1823"/>
      <c r="AM157" s="1823"/>
      <c r="AN157" s="1824"/>
      <c r="AO157" s="1824"/>
      <c r="AP157" s="1824"/>
      <c r="AQ157" s="1824"/>
      <c r="AR157" s="1824"/>
      <c r="AS157" s="1824"/>
      <c r="AT157" s="1824"/>
      <c r="AU157" s="1824"/>
      <c r="AV157" s="1824"/>
      <c r="AW157" s="1824"/>
      <c r="AX157" s="1824"/>
      <c r="AY157" s="1824"/>
      <c r="AZ157" s="1824"/>
      <c r="BA157" s="1824"/>
      <c r="BB157" s="1824"/>
      <c r="BC157" s="1824"/>
      <c r="BD157" s="1824"/>
      <c r="BE157" s="1824"/>
      <c r="BF157" s="1824"/>
      <c r="BG157" s="1824"/>
      <c r="BH157" s="1824"/>
      <c r="BI157" s="1824"/>
      <c r="BJ157" s="1824"/>
      <c r="BK157" s="1824"/>
      <c r="BL157" s="1824"/>
      <c r="BM157" s="1824"/>
      <c r="BN157" s="1824"/>
      <c r="BO157" s="1824"/>
      <c r="BP157" s="1824"/>
      <c r="BQ157" s="1824"/>
      <c r="BR157" s="1824"/>
      <c r="BS157" s="1824"/>
      <c r="BT157" s="1824"/>
      <c r="BU157" s="1824"/>
      <c r="BV157" s="1824"/>
      <c r="BW157" s="1824"/>
      <c r="BX157" s="1824"/>
      <c r="BY157" s="1824"/>
      <c r="BZ157" s="1824"/>
      <c r="CA157" s="1824"/>
      <c r="CB157" s="1824"/>
      <c r="CC157" s="1824"/>
      <c r="CD157" s="1824"/>
      <c r="CE157" s="1824"/>
      <c r="CF157" s="1824"/>
      <c r="CG157" s="1824"/>
      <c r="CH157" s="1824"/>
      <c r="CI157" s="1824"/>
      <c r="CJ157" s="1824"/>
      <c r="CK157" s="1824"/>
      <c r="CL157" s="1824"/>
      <c r="CM157" s="1824"/>
      <c r="CN157" s="1824"/>
      <c r="CO157" s="1824"/>
      <c r="CP157" s="1824"/>
      <c r="CQ157" s="1824"/>
      <c r="CR157" s="1824"/>
      <c r="CS157" s="1824"/>
      <c r="CT157" s="1824"/>
      <c r="CU157" s="1824"/>
      <c r="CV157" s="1824"/>
      <c r="CW157" s="1824"/>
    </row>
    <row r="158" spans="1:101" s="1822" customFormat="1" x14ac:dyDescent="0.35">
      <c r="A158"/>
      <c r="B158" s="81" t="s">
        <v>200</v>
      </c>
      <c r="C158" s="85"/>
      <c r="D158" s="362">
        <f>SUM(D149:D157)</f>
        <v>2549.58117588</v>
      </c>
      <c r="E158" s="362">
        <f t="shared" ref="E158:AG158" si="157">SUM(E149:E157)</f>
        <v>5122.8471694319996</v>
      </c>
      <c r="F158" s="362">
        <f t="shared" si="157"/>
        <v>5146.531987104001</v>
      </c>
      <c r="G158" s="362">
        <f t="shared" si="157"/>
        <v>5170.2168047759997</v>
      </c>
      <c r="H158" s="362">
        <f t="shared" si="157"/>
        <v>5193.9016224480001</v>
      </c>
      <c r="I158" s="362">
        <f t="shared" si="157"/>
        <v>7826.350960583999</v>
      </c>
      <c r="J158" s="362">
        <f t="shared" si="157"/>
        <v>7857.2213480519995</v>
      </c>
      <c r="K158" s="362">
        <f t="shared" si="157"/>
        <v>7888.091735519999</v>
      </c>
      <c r="L158" s="362">
        <f t="shared" si="157"/>
        <v>7918.9621229879986</v>
      </c>
      <c r="M158" s="362">
        <f t="shared" si="157"/>
        <v>10599.776680607998</v>
      </c>
      <c r="N158" s="362">
        <f t="shared" si="157"/>
        <v>10640.861611487999</v>
      </c>
      <c r="O158" s="362">
        <f t="shared" si="157"/>
        <v>10664.651469456001</v>
      </c>
      <c r="P158" s="362">
        <f t="shared" si="157"/>
        <v>10688.441327424001</v>
      </c>
      <c r="Q158" s="362">
        <f t="shared" si="157"/>
        <v>13464.679476083</v>
      </c>
      <c r="R158" s="362">
        <f t="shared" si="157"/>
        <v>13494.582005889999</v>
      </c>
      <c r="S158" s="362">
        <f t="shared" si="157"/>
        <v>13524.626564767999</v>
      </c>
      <c r="T158" s="362">
        <f t="shared" si="157"/>
        <v>13536.645555370998</v>
      </c>
      <c r="U158" s="362">
        <f t="shared" si="157"/>
        <v>13548.664545973998</v>
      </c>
      <c r="V158" s="362">
        <f t="shared" si="157"/>
        <v>13560.683536576997</v>
      </c>
      <c r="W158" s="362">
        <f t="shared" si="157"/>
        <v>13572.702527179999</v>
      </c>
      <c r="X158" s="362">
        <f t="shared" si="157"/>
        <v>13584.758455539002</v>
      </c>
      <c r="Y158" s="362">
        <f t="shared" si="157"/>
        <v>13596.777446141999</v>
      </c>
      <c r="Z158" s="362">
        <f t="shared" si="157"/>
        <v>13608.796436744997</v>
      </c>
      <c r="AA158" s="362">
        <f t="shared" si="157"/>
        <v>13620.815427347998</v>
      </c>
      <c r="AB158" s="362">
        <f t="shared" si="157"/>
        <v>13632.834417950997</v>
      </c>
      <c r="AC158" s="362">
        <f t="shared" si="157"/>
        <v>13644.853408554</v>
      </c>
      <c r="AD158" s="362">
        <f t="shared" si="157"/>
        <v>13656.872399156997</v>
      </c>
      <c r="AE158" s="362">
        <f t="shared" si="157"/>
        <v>13668.891389759998</v>
      </c>
      <c r="AF158" s="362">
        <f t="shared" si="157"/>
        <v>13680.910380362997</v>
      </c>
      <c r="AG158" s="362">
        <f t="shared" si="157"/>
        <v>13692.929370966</v>
      </c>
      <c r="AH158" s="1825"/>
      <c r="AI158" s="1825"/>
      <c r="AJ158" s="1825"/>
      <c r="AK158" s="1825"/>
      <c r="AL158" s="1825"/>
      <c r="AM158" s="1825"/>
      <c r="AN158" s="1826"/>
      <c r="AO158" s="1827"/>
      <c r="AP158" s="1827"/>
      <c r="AQ158" s="1827"/>
      <c r="AR158" s="1827"/>
      <c r="AS158" s="1827"/>
      <c r="AT158" s="1827"/>
      <c r="AU158" s="1827"/>
      <c r="AV158" s="1827"/>
      <c r="AW158" s="1827"/>
      <c r="AX158" s="1827"/>
      <c r="AY158" s="1827"/>
      <c r="AZ158" s="1827"/>
      <c r="BA158" s="1827"/>
      <c r="BB158" s="1827"/>
      <c r="BC158" s="1827"/>
      <c r="BD158" s="1827"/>
      <c r="BE158" s="1827"/>
      <c r="BF158" s="1827"/>
      <c r="BG158" s="1827"/>
      <c r="BH158" s="1827"/>
      <c r="BI158" s="1827"/>
      <c r="BJ158" s="1827"/>
      <c r="BK158" s="1827"/>
      <c r="BL158" s="1827"/>
      <c r="BM158" s="1827"/>
      <c r="BN158" s="1827"/>
      <c r="BO158" s="1827"/>
      <c r="BP158" s="1827"/>
      <c r="BQ158" s="1827"/>
      <c r="BR158" s="1827"/>
      <c r="BT158" s="1827"/>
      <c r="BU158" s="1827"/>
      <c r="BV158" s="1827"/>
      <c r="BW158" s="1827"/>
      <c r="BX158" s="1827"/>
      <c r="BY158" s="1827"/>
      <c r="BZ158" s="1827"/>
      <c r="CA158" s="1827"/>
      <c r="CB158" s="1827"/>
      <c r="CC158" s="1827"/>
      <c r="CD158" s="1827"/>
      <c r="CE158" s="1827"/>
      <c r="CF158" s="1827"/>
      <c r="CG158" s="1827"/>
      <c r="CH158" s="1827"/>
      <c r="CI158" s="1827"/>
      <c r="CJ158" s="1827"/>
      <c r="CK158" s="1827"/>
      <c r="CL158" s="1827"/>
      <c r="CM158" s="1827"/>
      <c r="CN158" s="1827"/>
      <c r="CO158" s="1827"/>
      <c r="CP158" s="1827"/>
      <c r="CQ158" s="1827"/>
      <c r="CR158" s="1827"/>
      <c r="CS158" s="1827"/>
      <c r="CT158" s="1827"/>
      <c r="CU158" s="1827"/>
      <c r="CV158" s="1827"/>
      <c r="CW158" s="1827"/>
    </row>
    <row r="159" spans="1:101" s="1816" customFormat="1" x14ac:dyDescent="0.35">
      <c r="A159"/>
      <c r="B159" s="1811" t="s">
        <v>201</v>
      </c>
      <c r="C159" s="268"/>
      <c r="D159" s="1808">
        <f>D158/'Premissas Gerais'!$G$24</f>
        <v>8.1456267600000007</v>
      </c>
      <c r="E159" s="1808">
        <f>E158/'Premissas Gerais'!$G$24</f>
        <v>16.366923864</v>
      </c>
      <c r="F159" s="1808">
        <f>F158/'Premissas Gerais'!$G$24</f>
        <v>16.442594208000003</v>
      </c>
      <c r="G159" s="1808">
        <f>G158/'Premissas Gerais'!$G$24</f>
        <v>16.518264551999998</v>
      </c>
      <c r="H159" s="1808">
        <f>H158/'Premissas Gerais'!$G$24</f>
        <v>16.593934896</v>
      </c>
      <c r="I159" s="1808">
        <f>I158/'Premissas Gerais'!$G$24</f>
        <v>25.004316167999995</v>
      </c>
      <c r="J159" s="1808">
        <f>J158/'Premissas Gerais'!$G$24</f>
        <v>25.102943604</v>
      </c>
      <c r="K159" s="1808">
        <f>K158/'Premissas Gerais'!$G$24</f>
        <v>25.201571039999997</v>
      </c>
      <c r="L159" s="1808">
        <f>L158/'Premissas Gerais'!$G$24</f>
        <v>25.300198475999995</v>
      </c>
      <c r="M159" s="1808">
        <f>M158/'Premissas Gerais'!$G$24</f>
        <v>33.865101215999992</v>
      </c>
      <c r="N159" s="1808">
        <f>N158/'Premissas Gerais'!$G$24</f>
        <v>33.996362975999993</v>
      </c>
      <c r="O159" s="1808">
        <f>O158/'Premissas Gerais'!$G$24</f>
        <v>34.072368912000002</v>
      </c>
      <c r="P159" s="1808">
        <f>P158/'Premissas Gerais'!$G$24</f>
        <v>34.148374848000003</v>
      </c>
      <c r="Q159" s="1808">
        <f>Q158/'Premissas Gerais'!$G$24</f>
        <v>43.018145290999996</v>
      </c>
      <c r="R159" s="1808">
        <f>R158/'Premissas Gerais'!$G$24</f>
        <v>43.113680529999996</v>
      </c>
      <c r="S159" s="1808">
        <f>S158/'Premissas Gerais'!$G$24</f>
        <v>43.209669536</v>
      </c>
      <c r="T159" s="1808">
        <f>T158/'Premissas Gerais'!$G$24</f>
        <v>43.248068866999994</v>
      </c>
      <c r="U159" s="1808">
        <f>U158/'Premissas Gerais'!$G$24</f>
        <v>43.286468197999994</v>
      </c>
      <c r="V159" s="1808">
        <f>V158/'Premissas Gerais'!$G$24</f>
        <v>43.324867528999988</v>
      </c>
      <c r="W159" s="1808">
        <f>W158/'Premissas Gerais'!$G$24</f>
        <v>43.363266859999996</v>
      </c>
      <c r="X159" s="1808">
        <f>X158/'Premissas Gerais'!$G$24</f>
        <v>43.401784203000005</v>
      </c>
      <c r="Y159" s="1808">
        <f>Y158/'Premissas Gerais'!$G$24</f>
        <v>43.440183533999999</v>
      </c>
      <c r="Z159" s="1808">
        <f>Z158/'Premissas Gerais'!$G$24</f>
        <v>43.478582864999993</v>
      </c>
      <c r="AA159" s="1808">
        <f>AA158/'Premissas Gerais'!$G$24</f>
        <v>43.516982195999994</v>
      </c>
      <c r="AB159" s="1808">
        <f>AB158/'Premissas Gerais'!$G$24</f>
        <v>43.555381526999987</v>
      </c>
      <c r="AC159" s="1808">
        <f>AC158/'Premissas Gerais'!$G$24</f>
        <v>43.593780857999995</v>
      </c>
      <c r="AD159" s="1808">
        <f>AD158/'Premissas Gerais'!$G$24</f>
        <v>43.632180188999989</v>
      </c>
      <c r="AE159" s="1808">
        <f>AE158/'Premissas Gerais'!$G$24</f>
        <v>43.67057951999999</v>
      </c>
      <c r="AF159" s="1808">
        <f>AF158/'Premissas Gerais'!$G$24</f>
        <v>43.708978850999991</v>
      </c>
      <c r="AG159" s="1808">
        <f>AG158/'Premissas Gerais'!$G$24</f>
        <v>43.747378181999999</v>
      </c>
      <c r="AH159" s="1825"/>
      <c r="AI159" s="1825"/>
      <c r="AJ159" s="1825"/>
      <c r="AK159" s="1825"/>
      <c r="AL159" s="1825"/>
      <c r="AM159" s="1825"/>
      <c r="AN159" s="1828"/>
      <c r="AO159" s="1822"/>
      <c r="AP159" s="1825"/>
      <c r="AQ159" s="1825"/>
      <c r="AR159" s="1825"/>
      <c r="AS159" s="1825"/>
      <c r="AT159" s="1825"/>
      <c r="AU159" s="1825"/>
      <c r="AV159" s="1825"/>
      <c r="AW159" s="1825"/>
      <c r="AX159" s="1825"/>
      <c r="AY159" s="1825"/>
      <c r="AZ159" s="1825"/>
      <c r="BA159" s="1825"/>
      <c r="BB159" s="1825"/>
      <c r="BC159" s="1825"/>
      <c r="BD159" s="1825"/>
      <c r="BE159" s="1825"/>
      <c r="BF159" s="1825"/>
      <c r="BG159" s="1825"/>
      <c r="BH159" s="1825"/>
      <c r="BI159" s="1825"/>
      <c r="BJ159" s="1825"/>
      <c r="BK159" s="1825"/>
      <c r="BL159" s="1825"/>
      <c r="BM159" s="1825"/>
      <c r="BN159" s="1825"/>
      <c r="BO159" s="1825"/>
      <c r="BP159" s="1825"/>
      <c r="BQ159" s="1825"/>
      <c r="BR159" s="1825"/>
      <c r="BS159" s="1822"/>
      <c r="BT159" s="1822"/>
      <c r="BU159" s="1825"/>
      <c r="BV159" s="1825"/>
      <c r="BW159" s="1825"/>
      <c r="BX159" s="1825"/>
      <c r="BY159" s="1822"/>
      <c r="BZ159" s="1822"/>
      <c r="CA159" s="1822"/>
      <c r="CB159" s="1822"/>
      <c r="CC159" s="1822"/>
      <c r="CD159" s="1822"/>
      <c r="CE159" s="1822"/>
      <c r="CF159" s="1822"/>
      <c r="CG159" s="1822"/>
      <c r="CH159" s="1822"/>
      <c r="CI159" s="1822"/>
      <c r="CJ159" s="1822"/>
      <c r="CK159" s="1822"/>
      <c r="CL159" s="1822"/>
      <c r="CM159" s="1822"/>
      <c r="CN159" s="1822"/>
      <c r="CO159" s="1822"/>
      <c r="CP159" s="1822"/>
      <c r="CQ159" s="1822"/>
      <c r="CR159" s="1822"/>
      <c r="CS159" s="1822"/>
      <c r="CT159" s="1822"/>
      <c r="CU159" s="1822"/>
      <c r="CV159" s="1822"/>
      <c r="CW159" s="1822"/>
    </row>
    <row r="161" spans="1:101" s="1816" customFormat="1" ht="15.5" x14ac:dyDescent="0.35">
      <c r="A161"/>
      <c r="B161" s="99" t="s">
        <v>241</v>
      </c>
      <c r="C161" s="99"/>
      <c r="D161" s="99"/>
      <c r="E161" s="99"/>
      <c r="F161" s="99"/>
      <c r="G161" s="99"/>
      <c r="H161" s="99"/>
      <c r="I161" s="99"/>
      <c r="J161" s="99"/>
      <c r="K161" s="99"/>
      <c r="L161" s="99"/>
      <c r="M161" s="99"/>
      <c r="N161" s="99"/>
      <c r="O161" s="99"/>
      <c r="P161" s="99"/>
      <c r="Q161" s="99"/>
      <c r="R161" s="99"/>
      <c r="S161" s="99"/>
      <c r="T161" s="99"/>
      <c r="U161" s="99"/>
      <c r="V161" s="99"/>
      <c r="W161" s="99"/>
      <c r="X161" s="99"/>
      <c r="Y161" s="99"/>
      <c r="Z161" s="99"/>
      <c r="AA161" s="99"/>
      <c r="AB161" s="99"/>
      <c r="AC161" s="99"/>
      <c r="AD161" s="99"/>
      <c r="AE161" s="99"/>
      <c r="AF161" s="99"/>
      <c r="AG161" s="99"/>
    </row>
    <row r="162" spans="1:101" s="1817" customFormat="1" ht="16" thickBot="1" x14ac:dyDescent="0.4">
      <c r="A162"/>
      <c r="B162" s="101"/>
      <c r="C162" s="101"/>
      <c r="D162" s="101" t="s">
        <v>209</v>
      </c>
      <c r="E162" s="101" t="s">
        <v>210</v>
      </c>
      <c r="F162" s="101" t="s">
        <v>211</v>
      </c>
      <c r="G162" s="101" t="s">
        <v>212</v>
      </c>
      <c r="H162" s="101" t="s">
        <v>213</v>
      </c>
      <c r="I162" s="101" t="s">
        <v>214</v>
      </c>
      <c r="J162" s="101" t="s">
        <v>215</v>
      </c>
      <c r="K162" s="101" t="s">
        <v>216</v>
      </c>
      <c r="L162" s="101" t="s">
        <v>217</v>
      </c>
      <c r="M162" s="101" t="s">
        <v>218</v>
      </c>
      <c r="N162" s="101" t="s">
        <v>219</v>
      </c>
      <c r="O162" s="101" t="s">
        <v>220</v>
      </c>
      <c r="P162" s="101" t="s">
        <v>221</v>
      </c>
      <c r="Q162" s="101" t="s">
        <v>222</v>
      </c>
      <c r="R162" s="101" t="s">
        <v>223</v>
      </c>
      <c r="S162" s="101" t="s">
        <v>224</v>
      </c>
      <c r="T162" s="101" t="s">
        <v>225</v>
      </c>
      <c r="U162" s="101" t="s">
        <v>226</v>
      </c>
      <c r="V162" s="101" t="s">
        <v>227</v>
      </c>
      <c r="W162" s="101" t="s">
        <v>228</v>
      </c>
      <c r="X162" s="101" t="s">
        <v>229</v>
      </c>
      <c r="Y162" s="101" t="s">
        <v>230</v>
      </c>
      <c r="Z162" s="101" t="s">
        <v>231</v>
      </c>
      <c r="AA162" s="101" t="s">
        <v>232</v>
      </c>
      <c r="AB162" s="101" t="s">
        <v>233</v>
      </c>
      <c r="AC162" s="101" t="s">
        <v>234</v>
      </c>
      <c r="AD162" s="101" t="s">
        <v>235</v>
      </c>
      <c r="AE162" s="101" t="s">
        <v>236</v>
      </c>
      <c r="AF162" s="101" t="s">
        <v>237</v>
      </c>
      <c r="AG162" s="101" t="s">
        <v>238</v>
      </c>
      <c r="AH162" s="1818"/>
      <c r="AI162" s="1818"/>
      <c r="AJ162" s="1818"/>
      <c r="AK162" s="1818"/>
      <c r="AL162" s="1818"/>
      <c r="AM162" s="1818"/>
      <c r="AN162" s="1819"/>
    </row>
    <row r="163" spans="1:101" s="1820" customFormat="1" ht="16" thickBot="1" x14ac:dyDescent="0.4">
      <c r="A163"/>
      <c r="B163" s="1829" t="s">
        <v>239</v>
      </c>
      <c r="C163" s="1830"/>
      <c r="D163" s="358"/>
      <c r="E163" s="358"/>
      <c r="F163" s="358"/>
      <c r="G163" s="358"/>
      <c r="H163" s="358"/>
      <c r="I163" s="358"/>
      <c r="J163" s="358"/>
      <c r="K163" s="358">
        <v>0.1</v>
      </c>
      <c r="L163" s="358">
        <v>0.11799999999999999</v>
      </c>
      <c r="M163" s="358">
        <v>0.13600000000000001</v>
      </c>
      <c r="N163" s="358">
        <v>0.154</v>
      </c>
      <c r="O163" s="358">
        <v>0.17199999999999999</v>
      </c>
      <c r="P163" s="358">
        <v>0.19</v>
      </c>
      <c r="Q163" s="358">
        <v>0.20799999999999999</v>
      </c>
      <c r="R163" s="358">
        <v>0.22600000000000001</v>
      </c>
      <c r="S163" s="358">
        <v>0.24399999999999999</v>
      </c>
      <c r="T163" s="358">
        <v>0.26200000000000001</v>
      </c>
      <c r="U163" s="358">
        <v>0.28000000000000003</v>
      </c>
      <c r="V163" s="358">
        <v>0.29799999999999999</v>
      </c>
      <c r="W163" s="358">
        <v>0.316</v>
      </c>
      <c r="X163" s="358">
        <v>0.33400000000000002</v>
      </c>
      <c r="Y163" s="358">
        <v>0.35199999999999998</v>
      </c>
      <c r="Z163" s="358">
        <v>0.37</v>
      </c>
      <c r="AA163" s="358">
        <v>0.38800000000000001</v>
      </c>
      <c r="AB163" s="358">
        <v>0.40600000000000003</v>
      </c>
      <c r="AC163" s="358">
        <v>0.42399999999999999</v>
      </c>
      <c r="AD163" s="358">
        <v>0.442</v>
      </c>
      <c r="AE163" s="358">
        <v>0.46</v>
      </c>
      <c r="AF163" s="358">
        <v>0.47799999999999998</v>
      </c>
      <c r="AG163" s="358">
        <v>0.5</v>
      </c>
      <c r="AH163" s="1821"/>
      <c r="AI163" s="1821"/>
      <c r="AJ163" s="1821"/>
      <c r="AK163" s="1821"/>
      <c r="AL163" s="1821"/>
      <c r="AM163" s="1821"/>
      <c r="AN163" s="1818"/>
      <c r="AO163" s="115"/>
      <c r="AP163" s="115"/>
      <c r="AQ163" s="115"/>
      <c r="AR163" s="115"/>
      <c r="AS163" s="115"/>
      <c r="AT163" s="115"/>
      <c r="AU163" s="115"/>
      <c r="AV163" s="115"/>
      <c r="AW163" s="115"/>
      <c r="AX163" s="115"/>
      <c r="AY163" s="115"/>
      <c r="AZ163" s="115"/>
      <c r="BA163" s="115"/>
      <c r="BB163" s="115"/>
      <c r="BC163" s="115"/>
      <c r="BD163" s="115"/>
      <c r="BE163" s="115"/>
      <c r="BF163" s="115"/>
      <c r="BG163" s="115"/>
      <c r="BH163" s="115"/>
      <c r="BI163" s="115"/>
      <c r="BJ163" s="115"/>
      <c r="BK163" s="115"/>
      <c r="BL163" s="115"/>
      <c r="BM163" s="115"/>
      <c r="BN163" s="115"/>
      <c r="BO163" s="115"/>
      <c r="BP163" s="115"/>
      <c r="BQ163" s="115"/>
      <c r="BR163" s="115"/>
      <c r="BS163" s="1822"/>
      <c r="BT163" s="115"/>
      <c r="BU163" s="115"/>
      <c r="BV163" s="115"/>
      <c r="BW163" s="115"/>
      <c r="BX163" s="115"/>
      <c r="BY163" s="115"/>
      <c r="BZ163" s="115"/>
      <c r="CA163" s="115"/>
      <c r="CB163" s="115"/>
      <c r="CC163" s="115"/>
      <c r="CD163" s="115"/>
      <c r="CE163" s="115"/>
      <c r="CF163" s="115"/>
      <c r="CG163" s="115"/>
      <c r="CH163" s="115"/>
      <c r="CI163" s="115"/>
      <c r="CJ163" s="115"/>
      <c r="CK163" s="115"/>
      <c r="CL163" s="115"/>
      <c r="CM163" s="115"/>
      <c r="CN163" s="115"/>
      <c r="CO163" s="115"/>
      <c r="CP163" s="115"/>
      <c r="CQ163" s="115"/>
      <c r="CR163" s="115"/>
      <c r="CS163" s="115"/>
      <c r="CT163" s="115"/>
      <c r="CU163" s="115"/>
      <c r="CV163" s="115"/>
      <c r="CW163" s="115"/>
    </row>
    <row r="164" spans="1:101" s="1822" customFormat="1" x14ac:dyDescent="0.35">
      <c r="A164"/>
      <c r="B164" t="s">
        <v>1</v>
      </c>
      <c r="C164" s="80"/>
      <c r="D164" s="1831">
        <f>D163*D149</f>
        <v>0</v>
      </c>
      <c r="E164" s="1831">
        <f t="shared" ref="E164:AG164" si="158">E163*E149</f>
        <v>0</v>
      </c>
      <c r="F164" s="1831">
        <f t="shared" si="158"/>
        <v>0</v>
      </c>
      <c r="G164" s="1831">
        <f t="shared" si="158"/>
        <v>0</v>
      </c>
      <c r="H164" s="1831">
        <f t="shared" si="158"/>
        <v>0</v>
      </c>
      <c r="I164" s="1831">
        <f t="shared" si="158"/>
        <v>0</v>
      </c>
      <c r="J164" s="1831">
        <f t="shared" si="158"/>
        <v>0</v>
      </c>
      <c r="K164" s="1831">
        <f t="shared" si="158"/>
        <v>5.8218905196000001</v>
      </c>
      <c r="L164" s="1831">
        <f t="shared" si="158"/>
        <v>6.8182187983200002</v>
      </c>
      <c r="M164" s="1831">
        <f t="shared" si="158"/>
        <v>10.398401384831999</v>
      </c>
      <c r="N164" s="1831">
        <f t="shared" si="158"/>
        <v>11.694303415872</v>
      </c>
      <c r="O164" s="1831">
        <f t="shared" si="158"/>
        <v>12.945023831807998</v>
      </c>
      <c r="P164" s="1831">
        <f t="shared" si="158"/>
        <v>14.171434574400001</v>
      </c>
      <c r="Q164" s="1831">
        <f t="shared" si="158"/>
        <v>19.323680218751999</v>
      </c>
      <c r="R164" s="1831">
        <f t="shared" si="158"/>
        <v>20.804098570548003</v>
      </c>
      <c r="S164" s="1831">
        <f t="shared" si="158"/>
        <v>22.263374702580002</v>
      </c>
      <c r="T164" s="1831">
        <f t="shared" si="158"/>
        <v>23.673267547571999</v>
      </c>
      <c r="U164" s="1831">
        <f t="shared" si="158"/>
        <v>25.051215578760001</v>
      </c>
      <c r="V164" s="1831">
        <f t="shared" si="158"/>
        <v>26.397218796143999</v>
      </c>
      <c r="W164" s="1831">
        <f t="shared" si="158"/>
        <v>27.711277199724002</v>
      </c>
      <c r="X164" s="1831">
        <f t="shared" si="158"/>
        <v>28.967618886576005</v>
      </c>
      <c r="Y164" s="1831">
        <f t="shared" si="158"/>
        <v>30.2163987576</v>
      </c>
      <c r="Z164" s="1831">
        <f t="shared" si="158"/>
        <v>31.433233814819999</v>
      </c>
      <c r="AA164" s="1831">
        <f t="shared" si="158"/>
        <v>32.618124058235999</v>
      </c>
      <c r="AB164" s="1831">
        <f t="shared" si="158"/>
        <v>33.77106948784801</v>
      </c>
      <c r="AC164" s="1831">
        <f t="shared" si="158"/>
        <v>34.892070103656003</v>
      </c>
      <c r="AD164" s="1831">
        <f t="shared" si="158"/>
        <v>35.981125905660001</v>
      </c>
      <c r="AE164" s="1831">
        <f t="shared" si="158"/>
        <v>37.038236893860002</v>
      </c>
      <c r="AF164" s="1831">
        <f t="shared" si="158"/>
        <v>38.063403068256001</v>
      </c>
      <c r="AG164" s="1831">
        <f t="shared" si="158"/>
        <v>39.371597206499999</v>
      </c>
      <c r="AH164" s="1823"/>
      <c r="AI164" s="1823"/>
      <c r="AJ164" s="1823"/>
      <c r="AK164" s="1823"/>
      <c r="AL164" s="1823"/>
      <c r="AM164" s="1823"/>
      <c r="AN164" s="1824"/>
      <c r="AO164" s="1824"/>
      <c r="AP164" s="1824"/>
      <c r="AQ164" s="1824"/>
      <c r="AR164" s="1824"/>
      <c r="AS164" s="1824"/>
      <c r="AT164" s="1824"/>
      <c r="AU164" s="1824"/>
      <c r="AV164" s="1824"/>
      <c r="AW164" s="1824"/>
      <c r="AX164" s="1824"/>
      <c r="AY164" s="1824"/>
      <c r="AZ164" s="1824"/>
      <c r="BA164" s="1824"/>
      <c r="BB164" s="1824"/>
      <c r="BC164" s="1824"/>
      <c r="BD164" s="1824"/>
      <c r="BE164" s="1824"/>
      <c r="BF164" s="1824"/>
      <c r="BG164" s="1824"/>
      <c r="BH164" s="1824"/>
      <c r="BI164" s="1824"/>
      <c r="BJ164" s="1824"/>
      <c r="BK164" s="1824"/>
      <c r="BL164" s="1824"/>
      <c r="BM164" s="1824"/>
      <c r="BN164" s="1824"/>
      <c r="BO164" s="1824"/>
      <c r="BP164" s="1824"/>
      <c r="BQ164" s="1824"/>
      <c r="BR164" s="1824"/>
      <c r="BS164" s="1824"/>
      <c r="BT164" s="1824"/>
      <c r="BU164" s="1824"/>
      <c r="BV164" s="1824"/>
      <c r="BW164" s="1824"/>
      <c r="BX164" s="1824"/>
      <c r="BY164" s="1824"/>
      <c r="BZ164" s="1824"/>
      <c r="CA164" s="1824"/>
      <c r="CB164" s="1824"/>
      <c r="CC164" s="1824"/>
      <c r="CD164" s="1824"/>
      <c r="CE164" s="1824"/>
      <c r="CF164" s="1824"/>
      <c r="CG164" s="1824"/>
      <c r="CH164" s="1824"/>
      <c r="CI164" s="1824"/>
      <c r="CJ164" s="1824"/>
      <c r="CK164" s="1824"/>
      <c r="CL164" s="1824"/>
      <c r="CM164" s="1824"/>
      <c r="CN164" s="1824"/>
      <c r="CO164" s="1824"/>
      <c r="CP164" s="1824"/>
      <c r="CQ164" s="1824"/>
      <c r="CR164" s="1824"/>
      <c r="CS164" s="1824"/>
      <c r="CT164" s="1824"/>
      <c r="CU164" s="1824"/>
      <c r="CV164" s="1824"/>
      <c r="CW164" s="1824"/>
    </row>
    <row r="165" spans="1:101" s="1822" customFormat="1" x14ac:dyDescent="0.35">
      <c r="A165"/>
      <c r="B165" t="s">
        <v>2</v>
      </c>
      <c r="C165" s="80"/>
      <c r="D165" s="1831">
        <f>D163*D150</f>
        <v>0</v>
      </c>
      <c r="E165" s="1831">
        <f t="shared" ref="E165:AG165" si="159">E163*E150</f>
        <v>0</v>
      </c>
      <c r="F165" s="1831">
        <f t="shared" si="159"/>
        <v>0</v>
      </c>
      <c r="G165" s="1831">
        <f t="shared" si="159"/>
        <v>0</v>
      </c>
      <c r="H165" s="1831">
        <f t="shared" si="159"/>
        <v>0</v>
      </c>
      <c r="I165" s="1831">
        <f t="shared" si="159"/>
        <v>0</v>
      </c>
      <c r="J165" s="1831">
        <f t="shared" si="159"/>
        <v>0</v>
      </c>
      <c r="K165" s="1831">
        <f t="shared" si="159"/>
        <v>71.157747898799997</v>
      </c>
      <c r="L165" s="1831">
        <f t="shared" si="159"/>
        <v>83.84103155030401</v>
      </c>
      <c r="M165" s="1831">
        <f t="shared" si="159"/>
        <v>128.64819433766399</v>
      </c>
      <c r="N165" s="1831">
        <f t="shared" si="159"/>
        <v>145.45745401017598</v>
      </c>
      <c r="O165" s="1831">
        <f t="shared" si="159"/>
        <v>161.98887779539194</v>
      </c>
      <c r="P165" s="1831">
        <f t="shared" si="159"/>
        <v>178.42190922431999</v>
      </c>
      <c r="Q165" s="1831">
        <f t="shared" si="159"/>
        <v>244.79816140103995</v>
      </c>
      <c r="R165" s="1831">
        <f t="shared" si="159"/>
        <v>265.20622150978807</v>
      </c>
      <c r="S165" s="1831">
        <f t="shared" si="159"/>
        <v>285.47133816811595</v>
      </c>
      <c r="T165" s="1831">
        <f t="shared" si="159"/>
        <v>305.23749531276798</v>
      </c>
      <c r="U165" s="1831">
        <f t="shared" si="159"/>
        <v>324.82596032291997</v>
      </c>
      <c r="V165" s="1831">
        <f t="shared" si="159"/>
        <v>344.23673319857193</v>
      </c>
      <c r="W165" s="1831">
        <f t="shared" si="159"/>
        <v>363.46981393972391</v>
      </c>
      <c r="X165" s="1831">
        <f t="shared" si="159"/>
        <v>382.53839125146993</v>
      </c>
      <c r="Y165" s="1831">
        <f t="shared" si="159"/>
        <v>401.4167984921599</v>
      </c>
      <c r="Z165" s="1831">
        <f t="shared" si="159"/>
        <v>420.11751359834994</v>
      </c>
      <c r="AA165" s="1831">
        <f t="shared" si="159"/>
        <v>438.64053657003996</v>
      </c>
      <c r="AB165" s="1831">
        <f t="shared" si="159"/>
        <v>456.98586740722988</v>
      </c>
      <c r="AC165" s="1831">
        <f t="shared" si="159"/>
        <v>475.15350610991987</v>
      </c>
      <c r="AD165" s="1831">
        <f t="shared" si="159"/>
        <v>493.1434526781099</v>
      </c>
      <c r="AE165" s="1831">
        <f t="shared" si="159"/>
        <v>510.95570711179994</v>
      </c>
      <c r="AF165" s="1831">
        <f t="shared" si="159"/>
        <v>528.59026941098978</v>
      </c>
      <c r="AG165" s="1831">
        <f t="shared" si="159"/>
        <v>550.45074553999984</v>
      </c>
      <c r="AH165" s="1823"/>
      <c r="AI165" s="1823"/>
      <c r="AJ165" s="1823"/>
      <c r="AK165" s="1823"/>
      <c r="AL165" s="1823"/>
      <c r="AM165" s="1823"/>
      <c r="AN165" s="1824"/>
      <c r="AO165" s="1824"/>
      <c r="AP165" s="1824"/>
      <c r="AQ165" s="1824"/>
      <c r="AR165" s="1824"/>
      <c r="AS165" s="1824"/>
      <c r="AT165" s="1824"/>
      <c r="AU165" s="1824"/>
      <c r="AV165" s="1824"/>
      <c r="AW165" s="1824"/>
      <c r="AX165" s="1824"/>
      <c r="AY165" s="1824"/>
      <c r="AZ165" s="1824"/>
      <c r="BA165" s="1824"/>
      <c r="BB165" s="1824"/>
      <c r="BC165" s="1824"/>
      <c r="BD165" s="1824"/>
      <c r="BE165" s="1824"/>
      <c r="BF165" s="1824"/>
      <c r="BG165" s="1824"/>
      <c r="BH165" s="1824"/>
      <c r="BI165" s="1824"/>
      <c r="BJ165" s="1824"/>
      <c r="BK165" s="1824"/>
      <c r="BL165" s="1824"/>
      <c r="BM165" s="1824"/>
      <c r="BN165" s="1824"/>
      <c r="BO165" s="1824"/>
      <c r="BP165" s="1824"/>
      <c r="BQ165" s="1824"/>
      <c r="BR165" s="1824"/>
      <c r="BS165" s="1824"/>
      <c r="BT165" s="1824"/>
      <c r="BU165" s="1824"/>
      <c r="BV165" s="1824"/>
      <c r="BW165" s="1824"/>
      <c r="BX165" s="1824"/>
      <c r="BY165" s="1824"/>
      <c r="BZ165" s="1824"/>
      <c r="CA165" s="1824"/>
      <c r="CB165" s="1824"/>
      <c r="CC165" s="1824"/>
      <c r="CD165" s="1824"/>
      <c r="CE165" s="1824"/>
      <c r="CF165" s="1824"/>
      <c r="CG165" s="1824"/>
      <c r="CH165" s="1824"/>
      <c r="CI165" s="1824"/>
      <c r="CJ165" s="1824"/>
      <c r="CK165" s="1824"/>
      <c r="CL165" s="1824"/>
      <c r="CM165" s="1824"/>
      <c r="CN165" s="1824"/>
      <c r="CO165" s="1824"/>
      <c r="CP165" s="1824"/>
      <c r="CQ165" s="1824"/>
      <c r="CR165" s="1824"/>
      <c r="CS165" s="1824"/>
      <c r="CT165" s="1824"/>
      <c r="CU165" s="1824"/>
      <c r="CV165" s="1824"/>
      <c r="CW165" s="1824"/>
    </row>
    <row r="166" spans="1:101" s="1822" customFormat="1" x14ac:dyDescent="0.35">
      <c r="A166"/>
      <c r="B166" t="s">
        <v>3</v>
      </c>
      <c r="C166" s="80"/>
      <c r="D166" s="1831">
        <f>D163*D151</f>
        <v>0</v>
      </c>
      <c r="E166" s="1831">
        <f t="shared" ref="E166:AG166" si="160">E163*E151</f>
        <v>0</v>
      </c>
      <c r="F166" s="1831">
        <f t="shared" si="160"/>
        <v>0</v>
      </c>
      <c r="G166" s="1831">
        <f t="shared" si="160"/>
        <v>0</v>
      </c>
      <c r="H166" s="1831">
        <f t="shared" si="160"/>
        <v>0</v>
      </c>
      <c r="I166" s="1831">
        <f t="shared" si="160"/>
        <v>0</v>
      </c>
      <c r="J166" s="1831">
        <f t="shared" si="160"/>
        <v>0</v>
      </c>
      <c r="K166" s="1831">
        <f t="shared" si="160"/>
        <v>8.4393240984000002</v>
      </c>
      <c r="L166" s="1831">
        <f t="shared" si="160"/>
        <v>9.9556860142800012</v>
      </c>
      <c r="M166" s="1831">
        <f t="shared" si="160"/>
        <v>15.294958921728002</v>
      </c>
      <c r="N166" s="1831">
        <f t="shared" si="160"/>
        <v>17.305111077408</v>
      </c>
      <c r="O166" s="1831">
        <f t="shared" si="160"/>
        <v>19.285551410112003</v>
      </c>
      <c r="P166" s="1831">
        <f t="shared" si="160"/>
        <v>21.257151861600001</v>
      </c>
      <c r="Q166" s="1831">
        <f t="shared" si="160"/>
        <v>29.186139931728</v>
      </c>
      <c r="R166" s="1831">
        <f t="shared" si="160"/>
        <v>31.642109686722009</v>
      </c>
      <c r="S166" s="1831">
        <f t="shared" si="160"/>
        <v>34.096381891224006</v>
      </c>
      <c r="T166" s="1831">
        <f t="shared" si="160"/>
        <v>36.490391053259998</v>
      </c>
      <c r="U166" s="1831">
        <f t="shared" si="160"/>
        <v>38.867733355920002</v>
      </c>
      <c r="V166" s="1831">
        <f t="shared" si="160"/>
        <v>41.228408799203997</v>
      </c>
      <c r="W166" s="1831">
        <f t="shared" si="160"/>
        <v>43.572417383111997</v>
      </c>
      <c r="X166" s="1831">
        <f t="shared" si="160"/>
        <v>45.899759107644002</v>
      </c>
      <c r="Y166" s="1831">
        <f t="shared" si="160"/>
        <v>48.210433972799997</v>
      </c>
      <c r="Z166" s="1831">
        <f t="shared" si="160"/>
        <v>50.504441978579997</v>
      </c>
      <c r="AA166" s="1831">
        <f t="shared" si="160"/>
        <v>52.781783124983995</v>
      </c>
      <c r="AB166" s="1831">
        <f t="shared" si="160"/>
        <v>55.042457412011998</v>
      </c>
      <c r="AC166" s="1831">
        <f t="shared" si="160"/>
        <v>57.286464839663992</v>
      </c>
      <c r="AD166" s="1831">
        <f t="shared" si="160"/>
        <v>59.513805407939998</v>
      </c>
      <c r="AE166" s="1831">
        <f t="shared" si="160"/>
        <v>61.724479116839994</v>
      </c>
      <c r="AF166" s="1831">
        <f t="shared" si="160"/>
        <v>63.918485966363988</v>
      </c>
      <c r="AG166" s="1831">
        <f t="shared" si="160"/>
        <v>66.628856810999991</v>
      </c>
      <c r="AH166" s="1823"/>
      <c r="AI166" s="1823"/>
      <c r="AJ166" s="1823"/>
      <c r="AK166" s="1823"/>
      <c r="AL166" s="1823"/>
      <c r="AM166" s="1823"/>
      <c r="AN166" s="1824"/>
      <c r="AO166" s="1824"/>
      <c r="AP166" s="1824"/>
      <c r="AQ166" s="1824"/>
      <c r="AR166" s="1824"/>
      <c r="AS166" s="1824"/>
      <c r="AT166" s="1824"/>
      <c r="AU166" s="1824"/>
      <c r="AV166" s="1824"/>
      <c r="AW166" s="1824"/>
      <c r="AX166" s="1824"/>
      <c r="AY166" s="1824"/>
      <c r="AZ166" s="1824"/>
      <c r="BA166" s="1824"/>
      <c r="BB166" s="1824"/>
      <c r="BC166" s="1824"/>
      <c r="BD166" s="1824"/>
      <c r="BE166" s="1824"/>
      <c r="BF166" s="1824"/>
      <c r="BG166" s="1824"/>
      <c r="BH166" s="1824"/>
      <c r="BI166" s="1824"/>
      <c r="BJ166" s="1824"/>
      <c r="BK166" s="1824"/>
      <c r="BL166" s="1824"/>
      <c r="BM166" s="1824"/>
      <c r="BN166" s="1824"/>
      <c r="BO166" s="1824"/>
      <c r="BP166" s="1824"/>
      <c r="BQ166" s="1824"/>
      <c r="BR166" s="1824"/>
      <c r="BS166" s="1824"/>
      <c r="BT166" s="1824"/>
      <c r="BU166" s="1824"/>
      <c r="BV166" s="1824"/>
      <c r="BW166" s="1824"/>
      <c r="BX166" s="1824"/>
      <c r="BY166" s="1824"/>
      <c r="BZ166" s="1824"/>
      <c r="CA166" s="1824"/>
      <c r="CB166" s="1824"/>
      <c r="CC166" s="1824"/>
      <c r="CD166" s="1824"/>
      <c r="CE166" s="1824"/>
      <c r="CF166" s="1824"/>
      <c r="CG166" s="1824"/>
      <c r="CH166" s="1824"/>
      <c r="CI166" s="1824"/>
      <c r="CJ166" s="1824"/>
      <c r="CK166" s="1824"/>
      <c r="CL166" s="1824"/>
      <c r="CM166" s="1824"/>
      <c r="CN166" s="1824"/>
      <c r="CO166" s="1824"/>
      <c r="CP166" s="1824"/>
      <c r="CQ166" s="1824"/>
      <c r="CR166" s="1824"/>
      <c r="CS166" s="1824"/>
      <c r="CT166" s="1824"/>
      <c r="CU166" s="1824"/>
      <c r="CV166" s="1824"/>
      <c r="CW166" s="1824"/>
    </row>
    <row r="167" spans="1:101" s="1822" customFormat="1" x14ac:dyDescent="0.35">
      <c r="A167"/>
      <c r="B167" t="s">
        <v>240</v>
      </c>
      <c r="C167" s="80"/>
      <c r="D167" s="1831">
        <f>D163*D152</f>
        <v>0</v>
      </c>
      <c r="E167" s="1831">
        <f t="shared" ref="E167:AG167" si="161">E163*E152</f>
        <v>0</v>
      </c>
      <c r="F167" s="1831">
        <f t="shared" si="161"/>
        <v>0</v>
      </c>
      <c r="G167" s="1831">
        <f t="shared" si="161"/>
        <v>0</v>
      </c>
      <c r="H167" s="1831">
        <f t="shared" si="161"/>
        <v>0</v>
      </c>
      <c r="I167" s="1831">
        <f t="shared" si="161"/>
        <v>0</v>
      </c>
      <c r="J167" s="1831">
        <f t="shared" si="161"/>
        <v>0</v>
      </c>
      <c r="K167" s="1831">
        <f t="shared" si="161"/>
        <v>21.303091497600001</v>
      </c>
      <c r="L167" s="1831">
        <f t="shared" si="161"/>
        <v>25.328084694192</v>
      </c>
      <c r="M167" s="1831">
        <f t="shared" si="161"/>
        <v>39.214902974975999</v>
      </c>
      <c r="N167" s="1831">
        <f t="shared" si="161"/>
        <v>44.731952673407996</v>
      </c>
      <c r="O167" s="1831">
        <f t="shared" si="161"/>
        <v>50.254426156031997</v>
      </c>
      <c r="P167" s="1831">
        <f t="shared" si="161"/>
        <v>55.83844779839999</v>
      </c>
      <c r="Q167" s="1831">
        <f t="shared" si="161"/>
        <v>77.281994345087995</v>
      </c>
      <c r="R167" s="1831">
        <f t="shared" si="161"/>
        <v>84.455524561032007</v>
      </c>
      <c r="S167" s="1831">
        <f t="shared" si="161"/>
        <v>91.724498312687999</v>
      </c>
      <c r="T167" s="1831">
        <f t="shared" si="161"/>
        <v>98.898769549871986</v>
      </c>
      <c r="U167" s="1831">
        <f t="shared" si="161"/>
        <v>106.12906199279999</v>
      </c>
      <c r="V167" s="1831">
        <f t="shared" si="161"/>
        <v>113.415375641472</v>
      </c>
      <c r="W167" s="1831">
        <f t="shared" si="161"/>
        <v>120.75771049588801</v>
      </c>
      <c r="X167" s="1831">
        <f t="shared" si="161"/>
        <v>128.13131644663204</v>
      </c>
      <c r="Y167" s="1831">
        <f t="shared" si="161"/>
        <v>135.58435987430397</v>
      </c>
      <c r="Z167" s="1831">
        <f t="shared" si="161"/>
        <v>143.09342450772002</v>
      </c>
      <c r="AA167" s="1831">
        <f t="shared" si="161"/>
        <v>150.65851034688001</v>
      </c>
      <c r="AB167" s="1831">
        <f t="shared" si="161"/>
        <v>158.279617391784</v>
      </c>
      <c r="AC167" s="1831">
        <f t="shared" si="161"/>
        <v>165.95674564243203</v>
      </c>
      <c r="AD167" s="1831">
        <f t="shared" si="161"/>
        <v>173.68989509882397</v>
      </c>
      <c r="AE167" s="1831">
        <f t="shared" si="161"/>
        <v>181.47906576096</v>
      </c>
      <c r="AF167" s="1831">
        <f t="shared" si="161"/>
        <v>189.32425762884</v>
      </c>
      <c r="AG167" s="1831">
        <f t="shared" si="161"/>
        <v>198.81599869199999</v>
      </c>
      <c r="AH167" s="1823"/>
      <c r="AI167" s="1823"/>
      <c r="AJ167" s="1823"/>
      <c r="AK167" s="1823"/>
      <c r="AL167" s="1823"/>
      <c r="AM167" s="1823"/>
      <c r="AN167" s="1824"/>
      <c r="AO167" s="1824"/>
      <c r="AP167" s="1824"/>
      <c r="AQ167" s="1824"/>
      <c r="AR167" s="1824"/>
      <c r="AS167" s="1824"/>
      <c r="AT167" s="1824"/>
      <c r="AU167" s="1824"/>
      <c r="AV167" s="1824"/>
      <c r="AW167" s="1824"/>
      <c r="AX167" s="1824"/>
      <c r="AY167" s="1824"/>
      <c r="AZ167" s="1824"/>
      <c r="BA167" s="1824"/>
      <c r="BB167" s="1824"/>
      <c r="BC167" s="1824"/>
      <c r="BD167" s="1824"/>
      <c r="BE167" s="1824"/>
      <c r="BF167" s="1824"/>
      <c r="BG167" s="1824"/>
      <c r="BH167" s="1824"/>
      <c r="BI167" s="1824"/>
      <c r="BJ167" s="1824"/>
      <c r="BK167" s="1824"/>
      <c r="BL167" s="1824"/>
      <c r="BM167" s="1824"/>
      <c r="BN167" s="1824"/>
      <c r="BO167" s="1824"/>
      <c r="BP167" s="1824"/>
      <c r="BQ167" s="1824"/>
      <c r="BR167" s="1824"/>
      <c r="BS167" s="1824"/>
      <c r="BT167" s="1824"/>
      <c r="BU167" s="1824"/>
      <c r="BV167" s="1824"/>
      <c r="BW167" s="1824"/>
      <c r="BX167" s="1824"/>
      <c r="BY167" s="1824"/>
      <c r="BZ167" s="1824"/>
      <c r="CA167" s="1824"/>
      <c r="CB167" s="1824"/>
      <c r="CC167" s="1824"/>
      <c r="CD167" s="1824"/>
      <c r="CE167" s="1824"/>
      <c r="CF167" s="1824"/>
      <c r="CG167" s="1824"/>
      <c r="CH167" s="1824"/>
      <c r="CI167" s="1824"/>
      <c r="CJ167" s="1824"/>
      <c r="CK167" s="1824"/>
      <c r="CL167" s="1824"/>
      <c r="CM167" s="1824"/>
      <c r="CN167" s="1824"/>
      <c r="CO167" s="1824"/>
      <c r="CP167" s="1824"/>
      <c r="CQ167" s="1824"/>
      <c r="CR167" s="1824"/>
      <c r="CS167" s="1824"/>
      <c r="CT167" s="1824"/>
      <c r="CU167" s="1824"/>
      <c r="CV167" s="1824"/>
      <c r="CW167" s="1824"/>
    </row>
    <row r="168" spans="1:101" s="1822" customFormat="1" x14ac:dyDescent="0.35">
      <c r="A168"/>
      <c r="B168" t="s">
        <v>5</v>
      </c>
      <c r="C168" s="80"/>
      <c r="D168" s="1831">
        <f>D163*D153</f>
        <v>0</v>
      </c>
      <c r="E168" s="1831">
        <f t="shared" ref="E168:AG168" si="162">E163*E153</f>
        <v>0</v>
      </c>
      <c r="F168" s="1831">
        <f t="shared" si="162"/>
        <v>0</v>
      </c>
      <c r="G168" s="1831">
        <f t="shared" si="162"/>
        <v>0</v>
      </c>
      <c r="H168" s="1831">
        <f t="shared" si="162"/>
        <v>0</v>
      </c>
      <c r="I168" s="1831">
        <f t="shared" si="162"/>
        <v>0</v>
      </c>
      <c r="J168" s="1831">
        <f t="shared" si="162"/>
        <v>0</v>
      </c>
      <c r="K168" s="1831">
        <f t="shared" si="162"/>
        <v>47.9144386368</v>
      </c>
      <c r="L168" s="1831">
        <f t="shared" si="162"/>
        <v>56.675269536839984</v>
      </c>
      <c r="M168" s="1831">
        <f t="shared" si="162"/>
        <v>87.303550300416006</v>
      </c>
      <c r="N168" s="1831">
        <f t="shared" si="162"/>
        <v>99.105166812959965</v>
      </c>
      <c r="O168" s="1831">
        <f t="shared" si="162"/>
        <v>110.79155243059196</v>
      </c>
      <c r="P168" s="1831">
        <f t="shared" si="162"/>
        <v>122.49942603408</v>
      </c>
      <c r="Q168" s="1831">
        <f t="shared" si="162"/>
        <v>168.718128887776</v>
      </c>
      <c r="R168" s="1831">
        <f t="shared" si="162"/>
        <v>183.48829397882599</v>
      </c>
      <c r="S168" s="1831">
        <f t="shared" si="162"/>
        <v>198.30473799912798</v>
      </c>
      <c r="T168" s="1831">
        <f t="shared" si="162"/>
        <v>212.80962847693996</v>
      </c>
      <c r="U168" s="1831">
        <f t="shared" si="162"/>
        <v>227.29746050983999</v>
      </c>
      <c r="V168" s="1831">
        <f t="shared" si="162"/>
        <v>241.76823409782799</v>
      </c>
      <c r="W168" s="1831">
        <f t="shared" si="162"/>
        <v>256.22194924090394</v>
      </c>
      <c r="X168" s="1831">
        <f t="shared" si="162"/>
        <v>270.65860593906797</v>
      </c>
      <c r="Y168" s="1831">
        <f t="shared" si="162"/>
        <v>285.0782041923199</v>
      </c>
      <c r="Z168" s="1831">
        <f t="shared" si="162"/>
        <v>299.48074400066002</v>
      </c>
      <c r="AA168" s="1831">
        <f t="shared" si="162"/>
        <v>313.866225364088</v>
      </c>
      <c r="AB168" s="1831">
        <f t="shared" si="162"/>
        <v>328.23464828260398</v>
      </c>
      <c r="AC168" s="1831">
        <f t="shared" si="162"/>
        <v>342.58601275620799</v>
      </c>
      <c r="AD168" s="1831">
        <f t="shared" si="162"/>
        <v>356.92031878490002</v>
      </c>
      <c r="AE168" s="1831">
        <f t="shared" si="162"/>
        <v>371.23756636867995</v>
      </c>
      <c r="AF168" s="1831">
        <f t="shared" si="162"/>
        <v>385.5377555075479</v>
      </c>
      <c r="AG168" s="1831">
        <f t="shared" si="162"/>
        <v>403.04524818699997</v>
      </c>
      <c r="AH168" s="1823"/>
      <c r="AI168" s="1823"/>
      <c r="AJ168" s="1823"/>
      <c r="AK168" s="1823"/>
      <c r="AL168" s="1823"/>
      <c r="AM168" s="1823"/>
      <c r="AN168" s="1824"/>
      <c r="AO168" s="1824"/>
      <c r="AP168" s="1824"/>
      <c r="AQ168" s="1824"/>
      <c r="AR168" s="1824"/>
      <c r="AS168" s="1824"/>
      <c r="AT168" s="1824"/>
      <c r="AU168" s="1824"/>
      <c r="AV168" s="1824"/>
      <c r="AW168" s="1824"/>
      <c r="AX168" s="1824"/>
      <c r="AY168" s="1824"/>
      <c r="AZ168" s="1824"/>
      <c r="BA168" s="1824"/>
      <c r="BB168" s="1824"/>
      <c r="BC168" s="1824"/>
      <c r="BD168" s="1824"/>
      <c r="BE168" s="1824"/>
      <c r="BF168" s="1824"/>
      <c r="BG168" s="1824"/>
      <c r="BH168" s="1824"/>
      <c r="BI168" s="1824"/>
      <c r="BJ168" s="1824"/>
      <c r="BK168" s="1824"/>
      <c r="BL168" s="1824"/>
      <c r="BM168" s="1824"/>
      <c r="BN168" s="1824"/>
      <c r="BO168" s="1824"/>
      <c r="BP168" s="1824"/>
      <c r="BQ168" s="1824"/>
      <c r="BR168" s="1824"/>
      <c r="BS168" s="1824"/>
      <c r="BT168" s="1824"/>
      <c r="BU168" s="1824"/>
      <c r="BV168" s="1824"/>
      <c r="BW168" s="1824"/>
      <c r="BX168" s="1824"/>
      <c r="BY168" s="1824"/>
      <c r="BZ168" s="1824"/>
      <c r="CA168" s="1824"/>
      <c r="CB168" s="1824"/>
      <c r="CC168" s="1824"/>
      <c r="CD168" s="1824"/>
      <c r="CE168" s="1824"/>
      <c r="CF168" s="1824"/>
      <c r="CG168" s="1824"/>
      <c r="CH168" s="1824"/>
      <c r="CI168" s="1824"/>
      <c r="CJ168" s="1824"/>
      <c r="CK168" s="1824"/>
      <c r="CL168" s="1824"/>
      <c r="CM168" s="1824"/>
      <c r="CN168" s="1824"/>
      <c r="CO168" s="1824"/>
      <c r="CP168" s="1824"/>
      <c r="CQ168" s="1824"/>
      <c r="CR168" s="1824"/>
      <c r="CS168" s="1824"/>
      <c r="CT168" s="1824"/>
      <c r="CU168" s="1824"/>
      <c r="CV168" s="1824"/>
      <c r="CW168" s="1824"/>
    </row>
    <row r="169" spans="1:101" s="1822" customFormat="1" x14ac:dyDescent="0.35">
      <c r="A169"/>
      <c r="B169" t="s">
        <v>6</v>
      </c>
      <c r="C169" s="80"/>
      <c r="D169" s="1831">
        <f>D163*D154</f>
        <v>0</v>
      </c>
      <c r="E169" s="1831">
        <f t="shared" ref="E169:AG169" si="163">E163*E154</f>
        <v>0</v>
      </c>
      <c r="F169" s="1831">
        <f t="shared" si="163"/>
        <v>0</v>
      </c>
      <c r="G169" s="1831">
        <f t="shared" si="163"/>
        <v>0</v>
      </c>
      <c r="H169" s="1831">
        <f t="shared" si="163"/>
        <v>0</v>
      </c>
      <c r="I169" s="1831">
        <f t="shared" si="163"/>
        <v>0</v>
      </c>
      <c r="J169" s="1831">
        <f t="shared" si="163"/>
        <v>0</v>
      </c>
      <c r="K169" s="1831">
        <f t="shared" si="163"/>
        <v>520.23923308799999</v>
      </c>
      <c r="L169" s="1831">
        <f t="shared" si="163"/>
        <v>617.06916443951991</v>
      </c>
      <c r="M169" s="1831">
        <f t="shared" si="163"/>
        <v>953.16181470720005</v>
      </c>
      <c r="N169" s="1831">
        <f t="shared" si="163"/>
        <v>1084.8491584761598</v>
      </c>
      <c r="O169" s="1831">
        <f t="shared" si="163"/>
        <v>1215.8166158668801</v>
      </c>
      <c r="P169" s="1831">
        <f t="shared" si="163"/>
        <v>1347.6562164576001</v>
      </c>
      <c r="Q169" s="1831">
        <f t="shared" si="163"/>
        <v>1860.7402833676799</v>
      </c>
      <c r="R169" s="1831">
        <f t="shared" si="163"/>
        <v>2028.6478079879603</v>
      </c>
      <c r="S169" s="1831">
        <f t="shared" si="163"/>
        <v>2197.6396800927196</v>
      </c>
      <c r="T169" s="1831">
        <f t="shared" si="163"/>
        <v>2364.5730654424797</v>
      </c>
      <c r="U169" s="1831">
        <f t="shared" si="163"/>
        <v>2532.1677000759996</v>
      </c>
      <c r="V169" s="1831">
        <f t="shared" si="163"/>
        <v>2700.4235839932794</v>
      </c>
      <c r="W169" s="1831">
        <f t="shared" si="163"/>
        <v>2869.34071719432</v>
      </c>
      <c r="X169" s="1831">
        <f t="shared" si="163"/>
        <v>3038.9028266714008</v>
      </c>
      <c r="Y169" s="1831">
        <f t="shared" si="163"/>
        <v>3209.1415814515194</v>
      </c>
      <c r="Z169" s="1831">
        <f t="shared" si="163"/>
        <v>3380.0415855153988</v>
      </c>
      <c r="AA169" s="1831">
        <f t="shared" si="163"/>
        <v>3551.6028388630398</v>
      </c>
      <c r="AB169" s="1831">
        <f t="shared" si="163"/>
        <v>3723.8253414944397</v>
      </c>
      <c r="AC169" s="1831">
        <f t="shared" si="163"/>
        <v>3896.7090934096</v>
      </c>
      <c r="AD169" s="1831">
        <f t="shared" si="163"/>
        <v>4070.2540946085192</v>
      </c>
      <c r="AE169" s="1831">
        <f t="shared" si="163"/>
        <v>4244.4603450912</v>
      </c>
      <c r="AF169" s="1831">
        <f t="shared" si="163"/>
        <v>4419.3278448576384</v>
      </c>
      <c r="AG169" s="1831">
        <f t="shared" si="163"/>
        <v>4631.9118890199998</v>
      </c>
      <c r="AH169" s="1823"/>
      <c r="AI169" s="1823"/>
      <c r="AJ169" s="1823"/>
      <c r="AK169" s="1823"/>
      <c r="AL169" s="1823"/>
      <c r="AM169" s="1823"/>
      <c r="AN169" s="1824"/>
      <c r="AO169" s="1824"/>
      <c r="AP169" s="1824"/>
      <c r="AQ169" s="1824"/>
      <c r="AR169" s="1824"/>
      <c r="AS169" s="1824"/>
      <c r="AT169" s="1824"/>
      <c r="AU169" s="1824"/>
      <c r="AV169" s="1824"/>
      <c r="AW169" s="1824"/>
      <c r="AX169" s="1824"/>
      <c r="AY169" s="1824"/>
      <c r="AZ169" s="1824"/>
      <c r="BA169" s="1824"/>
      <c r="BB169" s="1824"/>
      <c r="BC169" s="1824"/>
      <c r="BD169" s="1824"/>
      <c r="BE169" s="1824"/>
      <c r="BF169" s="1824"/>
      <c r="BG169" s="1824"/>
      <c r="BH169" s="1824"/>
      <c r="BI169" s="1824"/>
      <c r="BJ169" s="1824"/>
      <c r="BK169" s="1824"/>
      <c r="BL169" s="1824"/>
      <c r="BM169" s="1824"/>
      <c r="BN169" s="1824"/>
      <c r="BO169" s="1824"/>
      <c r="BP169" s="1824"/>
      <c r="BQ169" s="1824"/>
      <c r="BR169" s="1824"/>
      <c r="BS169" s="1824"/>
      <c r="BT169" s="1824"/>
      <c r="BU169" s="1824"/>
      <c r="BV169" s="1824"/>
      <c r="BW169" s="1824"/>
      <c r="BX169" s="1824"/>
      <c r="BY169" s="1824"/>
      <c r="BZ169" s="1824"/>
      <c r="CA169" s="1824"/>
      <c r="CB169" s="1824"/>
      <c r="CC169" s="1824"/>
      <c r="CD169" s="1824"/>
      <c r="CE169" s="1824"/>
      <c r="CF169" s="1824"/>
      <c r="CG169" s="1824"/>
      <c r="CH169" s="1824"/>
      <c r="CI169" s="1824"/>
      <c r="CJ169" s="1824"/>
      <c r="CK169" s="1824"/>
      <c r="CL169" s="1824"/>
      <c r="CM169" s="1824"/>
      <c r="CN169" s="1824"/>
      <c r="CO169" s="1824"/>
      <c r="CP169" s="1824"/>
      <c r="CQ169" s="1824"/>
      <c r="CR169" s="1824"/>
      <c r="CS169" s="1824"/>
      <c r="CT169" s="1824"/>
      <c r="CU169" s="1824"/>
      <c r="CV169" s="1824"/>
      <c r="CW169" s="1824"/>
    </row>
    <row r="170" spans="1:101" s="1822" customFormat="1" x14ac:dyDescent="0.35">
      <c r="A170"/>
      <c r="B170" t="s">
        <v>7</v>
      </c>
      <c r="C170" s="80"/>
      <c r="D170" s="1831"/>
      <c r="E170" s="1831"/>
      <c r="F170" s="1831"/>
      <c r="G170" s="1831"/>
      <c r="H170" s="1831"/>
      <c r="I170" s="1831"/>
      <c r="J170" s="1831"/>
      <c r="K170" s="1831"/>
      <c r="L170" s="1831"/>
      <c r="M170" s="1831"/>
      <c r="N170" s="1831"/>
      <c r="O170" s="1831"/>
      <c r="P170" s="1831"/>
      <c r="Q170" s="1831"/>
      <c r="R170" s="1831"/>
      <c r="S170" s="1831"/>
      <c r="T170" s="1831"/>
      <c r="U170" s="1831"/>
      <c r="V170" s="1831"/>
      <c r="W170" s="1831"/>
      <c r="X170" s="1831"/>
      <c r="Y170" s="1831"/>
      <c r="Z170" s="1831"/>
      <c r="AA170" s="1831"/>
      <c r="AB170" s="1831"/>
      <c r="AC170" s="1831"/>
      <c r="AD170" s="1831"/>
      <c r="AE170" s="1831"/>
      <c r="AF170" s="1831"/>
      <c r="AG170" s="1831"/>
      <c r="AH170" s="1823"/>
      <c r="AI170" s="1823"/>
      <c r="AJ170" s="1823"/>
      <c r="AK170" s="1823"/>
      <c r="AL170" s="1823"/>
      <c r="AM170" s="1823"/>
      <c r="AN170" s="1824"/>
      <c r="AO170" s="1824"/>
      <c r="AP170" s="1824"/>
      <c r="AQ170" s="1824"/>
      <c r="AR170" s="1824"/>
      <c r="AS170" s="1824"/>
      <c r="AT170" s="1824"/>
      <c r="AU170" s="1824"/>
      <c r="AV170" s="1824"/>
      <c r="AW170" s="1824"/>
      <c r="AX170" s="1824"/>
      <c r="AY170" s="1824"/>
      <c r="AZ170" s="1824"/>
      <c r="BA170" s="1824"/>
      <c r="BB170" s="1824"/>
      <c r="BC170" s="1824"/>
      <c r="BD170" s="1824"/>
      <c r="BE170" s="1824"/>
      <c r="BF170" s="1824"/>
      <c r="BG170" s="1824"/>
      <c r="BH170" s="1824"/>
      <c r="BI170" s="1824"/>
      <c r="BJ170" s="1824"/>
      <c r="BK170" s="1824"/>
      <c r="BL170" s="1824"/>
      <c r="BM170" s="1824"/>
      <c r="BN170" s="1824"/>
      <c r="BO170" s="1824"/>
      <c r="BP170" s="1824"/>
      <c r="BQ170" s="1824"/>
      <c r="BR170" s="1824"/>
      <c r="BS170" s="1824"/>
      <c r="BT170" s="1824"/>
      <c r="BU170" s="1824"/>
      <c r="BV170" s="1824"/>
      <c r="BW170" s="1824"/>
      <c r="BX170" s="1824"/>
      <c r="BY170" s="1824"/>
      <c r="BZ170" s="1824"/>
      <c r="CA170" s="1824"/>
      <c r="CB170" s="1824"/>
      <c r="CC170" s="1824"/>
      <c r="CD170" s="1824"/>
      <c r="CE170" s="1824"/>
      <c r="CF170" s="1824"/>
      <c r="CG170" s="1824"/>
      <c r="CH170" s="1824"/>
      <c r="CI170" s="1824"/>
      <c r="CJ170" s="1824"/>
      <c r="CK170" s="1824"/>
      <c r="CL170" s="1824"/>
      <c r="CM170" s="1824"/>
      <c r="CN170" s="1824"/>
      <c r="CO170" s="1824"/>
      <c r="CP170" s="1824"/>
      <c r="CQ170" s="1824"/>
      <c r="CR170" s="1824"/>
      <c r="CS170" s="1824"/>
      <c r="CT170" s="1824"/>
      <c r="CU170" s="1824"/>
      <c r="CV170" s="1824"/>
      <c r="CW170" s="1824"/>
    </row>
    <row r="171" spans="1:101" s="1822" customFormat="1" x14ac:dyDescent="0.35">
      <c r="A171"/>
      <c r="B171" t="s">
        <v>8</v>
      </c>
      <c r="C171" s="80"/>
      <c r="D171" s="1831">
        <f>D163*D156</f>
        <v>0</v>
      </c>
      <c r="E171" s="1831">
        <f t="shared" ref="E171:AG171" si="164">E163*E156</f>
        <v>0</v>
      </c>
      <c r="F171" s="1831">
        <f t="shared" si="164"/>
        <v>0</v>
      </c>
      <c r="G171" s="1831">
        <f t="shared" si="164"/>
        <v>0</v>
      </c>
      <c r="H171" s="1831">
        <f t="shared" si="164"/>
        <v>0</v>
      </c>
      <c r="I171" s="1831">
        <f t="shared" si="164"/>
        <v>0</v>
      </c>
      <c r="J171" s="1831">
        <f t="shared" si="164"/>
        <v>0</v>
      </c>
      <c r="K171" s="1831">
        <f t="shared" si="164"/>
        <v>38.48281502039999</v>
      </c>
      <c r="L171" s="1831">
        <f t="shared" si="164"/>
        <v>45.704427565175997</v>
      </c>
      <c r="M171" s="1831">
        <f t="shared" si="164"/>
        <v>70.687933822080012</v>
      </c>
      <c r="N171" s="1831">
        <f t="shared" si="164"/>
        <v>80.561349171071996</v>
      </c>
      <c r="O171" s="1831">
        <f t="shared" si="164"/>
        <v>90.43690075257598</v>
      </c>
      <c r="P171" s="1831">
        <f t="shared" si="164"/>
        <v>100.40858279711998</v>
      </c>
      <c r="Q171" s="1831">
        <f t="shared" si="164"/>
        <v>138.86269132049603</v>
      </c>
      <c r="R171" s="1831">
        <f t="shared" si="164"/>
        <v>151.63820297107202</v>
      </c>
      <c r="S171" s="1831">
        <f t="shared" si="164"/>
        <v>164.54418013551199</v>
      </c>
      <c r="T171" s="1831">
        <f t="shared" si="164"/>
        <v>177.25169492928597</v>
      </c>
      <c r="U171" s="1831">
        <f t="shared" si="164"/>
        <v>190.03739426224001</v>
      </c>
      <c r="V171" s="1831">
        <f t="shared" si="164"/>
        <v>202.90127813437397</v>
      </c>
      <c r="W171" s="1831">
        <f t="shared" si="164"/>
        <v>215.84334654568795</v>
      </c>
      <c r="X171" s="1831">
        <f t="shared" si="164"/>
        <v>228.87678820127601</v>
      </c>
      <c r="Y171" s="1831">
        <f t="shared" si="164"/>
        <v>241.97593645948794</v>
      </c>
      <c r="Z171" s="1831">
        <f t="shared" si="164"/>
        <v>255.15326925687998</v>
      </c>
      <c r="AA171" s="1831">
        <f t="shared" si="164"/>
        <v>268.40878659345196</v>
      </c>
      <c r="AB171" s="1831">
        <f t="shared" si="164"/>
        <v>281.74248846920403</v>
      </c>
      <c r="AC171" s="1831">
        <f t="shared" si="164"/>
        <v>295.1543748841359</v>
      </c>
      <c r="AD171" s="1831">
        <f t="shared" si="164"/>
        <v>308.64444583824803</v>
      </c>
      <c r="AE171" s="1831">
        <f t="shared" si="164"/>
        <v>322.21270133154002</v>
      </c>
      <c r="AF171" s="1831">
        <f t="shared" si="164"/>
        <v>335.85914136401192</v>
      </c>
      <c r="AG171" s="1831">
        <f t="shared" si="164"/>
        <v>352.40298985449999</v>
      </c>
      <c r="AH171" s="1823"/>
      <c r="AI171" s="1823"/>
      <c r="AJ171" s="1823"/>
      <c r="AK171" s="1823"/>
      <c r="AL171" s="1823"/>
      <c r="AM171" s="1823"/>
      <c r="AN171" s="1824"/>
      <c r="AO171" s="1824"/>
      <c r="AP171" s="1824"/>
      <c r="AQ171" s="1824"/>
      <c r="AR171" s="1824"/>
      <c r="AS171" s="1824"/>
      <c r="AT171" s="1824"/>
      <c r="AU171" s="1824"/>
      <c r="AV171" s="1824"/>
      <c r="AW171" s="1824"/>
      <c r="AX171" s="1824"/>
      <c r="AY171" s="1824"/>
      <c r="AZ171" s="1824"/>
      <c r="BA171" s="1824"/>
      <c r="BB171" s="1824"/>
      <c r="BC171" s="1824"/>
      <c r="BD171" s="1824"/>
      <c r="BE171" s="1824"/>
      <c r="BF171" s="1824"/>
      <c r="BG171" s="1824"/>
      <c r="BH171" s="1824"/>
      <c r="BI171" s="1824"/>
      <c r="BJ171" s="1824"/>
      <c r="BK171" s="1824"/>
      <c r="BL171" s="1824"/>
      <c r="BM171" s="1824"/>
      <c r="BN171" s="1824"/>
      <c r="BO171" s="1824"/>
      <c r="BP171" s="1824"/>
      <c r="BQ171" s="1824"/>
      <c r="BR171" s="1824"/>
      <c r="BS171" s="1824"/>
      <c r="BT171" s="1824"/>
      <c r="BU171" s="1824"/>
      <c r="BV171" s="1824"/>
      <c r="BW171" s="1824"/>
      <c r="BX171" s="1824"/>
      <c r="BY171" s="1824"/>
      <c r="BZ171" s="1824"/>
      <c r="CA171" s="1824"/>
      <c r="CB171" s="1824"/>
      <c r="CC171" s="1824"/>
      <c r="CD171" s="1824"/>
      <c r="CE171" s="1824"/>
      <c r="CF171" s="1824"/>
      <c r="CG171" s="1824"/>
      <c r="CH171" s="1824"/>
      <c r="CI171" s="1824"/>
      <c r="CJ171" s="1824"/>
      <c r="CK171" s="1824"/>
      <c r="CL171" s="1824"/>
      <c r="CM171" s="1824"/>
      <c r="CN171" s="1824"/>
      <c r="CO171" s="1824"/>
      <c r="CP171" s="1824"/>
      <c r="CQ171" s="1824"/>
      <c r="CR171" s="1824"/>
      <c r="CS171" s="1824"/>
      <c r="CT171" s="1824"/>
      <c r="CU171" s="1824"/>
      <c r="CV171" s="1824"/>
      <c r="CW171" s="1824"/>
    </row>
    <row r="172" spans="1:101" s="1822" customFormat="1" x14ac:dyDescent="0.35">
      <c r="A172"/>
      <c r="B172" t="s">
        <v>9</v>
      </c>
      <c r="C172" s="80"/>
      <c r="D172" s="1831">
        <f>D163*D157</f>
        <v>0</v>
      </c>
      <c r="E172" s="1831">
        <f t="shared" ref="E172:AG172" si="165">E163*E157</f>
        <v>0</v>
      </c>
      <c r="F172" s="1831">
        <f t="shared" si="165"/>
        <v>0</v>
      </c>
      <c r="G172" s="1831">
        <f t="shared" si="165"/>
        <v>0</v>
      </c>
      <c r="H172" s="1831">
        <f t="shared" si="165"/>
        <v>0</v>
      </c>
      <c r="I172" s="1831">
        <f t="shared" si="165"/>
        <v>0</v>
      </c>
      <c r="J172" s="1831">
        <f t="shared" si="165"/>
        <v>0</v>
      </c>
      <c r="K172" s="1831">
        <f t="shared" si="165"/>
        <v>31.4450284248</v>
      </c>
      <c r="L172" s="1831">
        <f t="shared" si="165"/>
        <v>37.366476456959994</v>
      </c>
      <c r="M172" s="1831">
        <f t="shared" si="165"/>
        <v>57.823541634815989</v>
      </c>
      <c r="N172" s="1831">
        <f t="shared" si="165"/>
        <v>65.926585704672007</v>
      </c>
      <c r="O172" s="1831">
        <f t="shared" si="165"/>
        <v>73.988915696063998</v>
      </c>
      <c r="P172" s="1831">
        <f t="shared" si="165"/>
        <v>82.125888164639989</v>
      </c>
      <c r="Q172" s="1831">
        <f t="shared" si="165"/>
        <v>113.54922265959999</v>
      </c>
      <c r="R172" s="1831">
        <f t="shared" si="165"/>
        <v>123.96458789260599</v>
      </c>
      <c r="S172" s="1831">
        <f t="shared" si="165"/>
        <v>134.493044297436</v>
      </c>
      <c r="T172" s="1831">
        <f t="shared" si="165"/>
        <v>144.91125260459401</v>
      </c>
      <c r="U172" s="1831">
        <f t="shared" si="165"/>
        <v>155.39769469140001</v>
      </c>
      <c r="V172" s="1831">
        <f t="shared" si="165"/>
        <v>165.95237055785398</v>
      </c>
      <c r="W172" s="1831">
        <f t="shared" si="165"/>
        <v>176.57528020395597</v>
      </c>
      <c r="X172" s="1831">
        <f t="shared" si="165"/>
        <v>187.29280103989402</v>
      </c>
      <c r="Y172" s="1831">
        <f t="shared" si="165"/>
        <v>198.053599782368</v>
      </c>
      <c r="Z172" s="1831">
        <f t="shared" si="165"/>
        <v>208.88263230448996</v>
      </c>
      <c r="AA172" s="1831">
        <f t="shared" si="165"/>
        <v>219.77989860626002</v>
      </c>
      <c r="AB172" s="1831">
        <f t="shared" si="165"/>
        <v>230.74539868767798</v>
      </c>
      <c r="AC172" s="1831">
        <f t="shared" si="165"/>
        <v>241.77913254874395</v>
      </c>
      <c r="AD172" s="1831">
        <f t="shared" si="165"/>
        <v>252.88110018945795</v>
      </c>
      <c r="AE172" s="1831">
        <f t="shared" si="165"/>
        <v>264.05130160981992</v>
      </c>
      <c r="AF172" s="1831">
        <f t="shared" si="165"/>
        <v>275.28973680982995</v>
      </c>
      <c r="AG172" s="1831">
        <f t="shared" si="165"/>
        <v>288.90766712649997</v>
      </c>
      <c r="AH172" s="1823"/>
      <c r="AI172" s="1823"/>
      <c r="AJ172" s="1823"/>
      <c r="AK172" s="1823"/>
      <c r="AL172" s="1823"/>
      <c r="AM172" s="1823"/>
      <c r="AN172" s="1824"/>
      <c r="AO172" s="1824"/>
      <c r="AP172" s="1824"/>
      <c r="AQ172" s="1824"/>
      <c r="AR172" s="1824"/>
      <c r="AS172" s="1824"/>
      <c r="AT172" s="1824"/>
      <c r="AU172" s="1824"/>
      <c r="AV172" s="1824"/>
      <c r="AW172" s="1824"/>
      <c r="AX172" s="1824"/>
      <c r="AY172" s="1824"/>
      <c r="AZ172" s="1824"/>
      <c r="BA172" s="1824"/>
      <c r="BB172" s="1824"/>
      <c r="BC172" s="1824"/>
      <c r="BD172" s="1824"/>
      <c r="BE172" s="1824"/>
      <c r="BF172" s="1824"/>
      <c r="BG172" s="1824"/>
      <c r="BH172" s="1824"/>
      <c r="BI172" s="1824"/>
      <c r="BJ172" s="1824"/>
      <c r="BK172" s="1824"/>
      <c r="BL172" s="1824"/>
      <c r="BM172" s="1824"/>
      <c r="BN172" s="1824"/>
      <c r="BO172" s="1824"/>
      <c r="BP172" s="1824"/>
      <c r="BQ172" s="1824"/>
      <c r="BR172" s="1824"/>
      <c r="BS172" s="1824"/>
      <c r="BT172" s="1824"/>
      <c r="BU172" s="1824"/>
      <c r="BV172" s="1824"/>
      <c r="BW172" s="1824"/>
      <c r="BX172" s="1824"/>
      <c r="BY172" s="1824"/>
      <c r="BZ172" s="1824"/>
      <c r="CA172" s="1824"/>
      <c r="CB172" s="1824"/>
      <c r="CC172" s="1824"/>
      <c r="CD172" s="1824"/>
      <c r="CE172" s="1824"/>
      <c r="CF172" s="1824"/>
      <c r="CG172" s="1824"/>
      <c r="CH172" s="1824"/>
      <c r="CI172" s="1824"/>
      <c r="CJ172" s="1824"/>
      <c r="CK172" s="1824"/>
      <c r="CL172" s="1824"/>
      <c r="CM172" s="1824"/>
      <c r="CN172" s="1824"/>
      <c r="CO172" s="1824"/>
      <c r="CP172" s="1824"/>
      <c r="CQ172" s="1824"/>
      <c r="CR172" s="1824"/>
      <c r="CS172" s="1824"/>
      <c r="CT172" s="1824"/>
      <c r="CU172" s="1824"/>
      <c r="CV172" s="1824"/>
      <c r="CW172" s="1824"/>
    </row>
    <row r="173" spans="1:101" s="1822" customFormat="1" x14ac:dyDescent="0.35">
      <c r="A173"/>
      <c r="B173" s="81" t="s">
        <v>200</v>
      </c>
      <c r="C173" s="85"/>
      <c r="D173" s="362">
        <f>SUM(D164:D172)</f>
        <v>0</v>
      </c>
      <c r="E173" s="362">
        <f t="shared" ref="E173" si="166">SUM(E164:E172)</f>
        <v>0</v>
      </c>
      <c r="F173" s="362">
        <f t="shared" ref="F173" si="167">SUM(F164:F172)</f>
        <v>0</v>
      </c>
      <c r="G173" s="362">
        <f t="shared" ref="G173" si="168">SUM(G164:G172)</f>
        <v>0</v>
      </c>
      <c r="H173" s="362">
        <f t="shared" ref="H173" si="169">SUM(H164:H172)</f>
        <v>0</v>
      </c>
      <c r="I173" s="362">
        <f t="shared" ref="I173" si="170">SUM(I164:I172)</f>
        <v>0</v>
      </c>
      <c r="J173" s="362">
        <f t="shared" ref="J173" si="171">SUM(J164:J172)</f>
        <v>0</v>
      </c>
      <c r="K173" s="362">
        <f t="shared" ref="K173" si="172">SUM(K164:K172)</f>
        <v>744.80356918439998</v>
      </c>
      <c r="L173" s="362">
        <f t="shared" ref="L173" si="173">SUM(L164:L172)</f>
        <v>882.75835905559188</v>
      </c>
      <c r="M173" s="362">
        <f t="shared" ref="M173" si="174">SUM(M164:M172)</f>
        <v>1362.533298083712</v>
      </c>
      <c r="N173" s="362">
        <f t="shared" ref="N173" si="175">SUM(N164:N172)</f>
        <v>1549.6310813417278</v>
      </c>
      <c r="O173" s="362">
        <f t="shared" ref="O173" si="176">SUM(O164:O172)</f>
        <v>1735.507863939456</v>
      </c>
      <c r="P173" s="362">
        <f t="shared" ref="P173" si="177">SUM(P164:P172)</f>
        <v>1922.37905691216</v>
      </c>
      <c r="Q173" s="362">
        <f t="shared" ref="Q173" si="178">SUM(Q164:Q172)</f>
        <v>2652.46030213216</v>
      </c>
      <c r="R173" s="362">
        <f t="shared" ref="R173" si="179">SUM(R164:R172)</f>
        <v>2889.8468471585543</v>
      </c>
      <c r="S173" s="362">
        <f t="shared" ref="S173" si="180">SUM(S164:S172)</f>
        <v>3128.5372355994032</v>
      </c>
      <c r="T173" s="362">
        <f t="shared" ref="T173" si="181">SUM(T164:T172)</f>
        <v>3363.8455649167713</v>
      </c>
      <c r="U173" s="362">
        <f t="shared" ref="U173" si="182">SUM(U164:U172)</f>
        <v>3599.7742207898796</v>
      </c>
      <c r="V173" s="362">
        <f t="shared" ref="V173" si="183">SUM(V164:V172)</f>
        <v>3836.3232032187275</v>
      </c>
      <c r="W173" s="362">
        <f t="shared" ref="W173" si="184">SUM(W164:W172)</f>
        <v>4073.492512203316</v>
      </c>
      <c r="X173" s="362">
        <f t="shared" ref="X173" si="185">SUM(X164:X172)</f>
        <v>4311.2681075439605</v>
      </c>
      <c r="Y173" s="362">
        <f t="shared" ref="Y173" si="186">SUM(Y164:Y172)</f>
        <v>4549.6773129825597</v>
      </c>
      <c r="Z173" s="362">
        <f t="shared" ref="Z173" si="187">SUM(Z164:Z172)</f>
        <v>4788.7068449768985</v>
      </c>
      <c r="AA173" s="362">
        <f t="shared" ref="AA173" si="188">SUM(AA164:AA172)</f>
        <v>5028.3567035269789</v>
      </c>
      <c r="AB173" s="362">
        <f t="shared" ref="AB173" si="189">SUM(AB164:AB172)</f>
        <v>5268.6268886327998</v>
      </c>
      <c r="AC173" s="362">
        <f t="shared" ref="AC173" si="190">SUM(AC164:AC172)</f>
        <v>5509.5174002943595</v>
      </c>
      <c r="AD173" s="362">
        <f t="shared" ref="AD173" si="191">SUM(AD164:AD172)</f>
        <v>5751.0282385116598</v>
      </c>
      <c r="AE173" s="362">
        <f t="shared" ref="AE173" si="192">SUM(AE164:AE172)</f>
        <v>5993.1594032847006</v>
      </c>
      <c r="AF173" s="362">
        <f t="shared" ref="AF173" si="193">SUM(AF164:AF172)</f>
        <v>6235.9108946134775</v>
      </c>
      <c r="AG173" s="362">
        <f t="shared" ref="AG173" si="194">SUM(AG164:AG172)</f>
        <v>6531.5349924374996</v>
      </c>
      <c r="AH173" s="1825"/>
      <c r="AI173" s="1825"/>
      <c r="AJ173" s="1825"/>
      <c r="AK173" s="1825"/>
      <c r="AL173" s="1825"/>
      <c r="AM173" s="1825"/>
      <c r="AN173" s="1826"/>
      <c r="AO173" s="1827"/>
      <c r="AP173" s="1827"/>
      <c r="AQ173" s="1827"/>
      <c r="AR173" s="1827"/>
      <c r="AS173" s="1827"/>
      <c r="AT173" s="1827"/>
      <c r="AU173" s="1827"/>
      <c r="AV173" s="1827"/>
      <c r="AW173" s="1827"/>
      <c r="AX173" s="1827"/>
      <c r="AY173" s="1827"/>
      <c r="AZ173" s="1827"/>
      <c r="BA173" s="1827"/>
      <c r="BB173" s="1827"/>
      <c r="BC173" s="1827"/>
      <c r="BD173" s="1827"/>
      <c r="BE173" s="1827"/>
      <c r="BF173" s="1827"/>
      <c r="BG173" s="1827"/>
      <c r="BH173" s="1827"/>
      <c r="BI173" s="1827"/>
      <c r="BJ173" s="1827"/>
      <c r="BK173" s="1827"/>
      <c r="BL173" s="1827"/>
      <c r="BM173" s="1827"/>
      <c r="BN173" s="1827"/>
      <c r="BO173" s="1827"/>
      <c r="BP173" s="1827"/>
      <c r="BQ173" s="1827"/>
      <c r="BR173" s="1827"/>
      <c r="BT173" s="1827"/>
      <c r="BU173" s="1827"/>
      <c r="BV173" s="1827"/>
      <c r="BW173" s="1827"/>
      <c r="BX173" s="1827"/>
      <c r="BY173" s="1827"/>
      <c r="BZ173" s="1827"/>
      <c r="CA173" s="1827"/>
      <c r="CB173" s="1827"/>
      <c r="CC173" s="1827"/>
      <c r="CD173" s="1827"/>
      <c r="CE173" s="1827"/>
      <c r="CF173" s="1827"/>
      <c r="CG173" s="1827"/>
      <c r="CH173" s="1827"/>
      <c r="CI173" s="1827"/>
      <c r="CJ173" s="1827"/>
      <c r="CK173" s="1827"/>
      <c r="CL173" s="1827"/>
      <c r="CM173" s="1827"/>
      <c r="CN173" s="1827"/>
      <c r="CO173" s="1827"/>
      <c r="CP173" s="1827"/>
      <c r="CQ173" s="1827"/>
      <c r="CR173" s="1827"/>
      <c r="CS173" s="1827"/>
      <c r="CT173" s="1827"/>
      <c r="CU173" s="1827"/>
      <c r="CV173" s="1827"/>
      <c r="CW173" s="1827"/>
    </row>
    <row r="174" spans="1:101" s="1816" customFormat="1" x14ac:dyDescent="0.35">
      <c r="A174"/>
      <c r="B174" s="1811" t="s">
        <v>201</v>
      </c>
      <c r="C174" s="268"/>
      <c r="D174" s="1808">
        <f>D173/'Premissas Gerais'!$G$24</f>
        <v>0</v>
      </c>
      <c r="E174" s="1808">
        <f>E173/'Premissas Gerais'!$G$24</f>
        <v>0</v>
      </c>
      <c r="F174" s="1808">
        <f>F173/'Premissas Gerais'!$G$24</f>
        <v>0</v>
      </c>
      <c r="G174" s="1808">
        <f>G173/'Premissas Gerais'!$G$24</f>
        <v>0</v>
      </c>
      <c r="H174" s="1808">
        <f>H173/'Premissas Gerais'!$G$24</f>
        <v>0</v>
      </c>
      <c r="I174" s="1808">
        <f>I173/'Premissas Gerais'!$G$24</f>
        <v>0</v>
      </c>
      <c r="J174" s="1808">
        <f>J173/'Premissas Gerais'!$G$24</f>
        <v>0</v>
      </c>
      <c r="K174" s="1808">
        <f>K173/'Premissas Gerais'!$G$24</f>
        <v>2.3795641187999999</v>
      </c>
      <c r="L174" s="1808">
        <f>L173/'Premissas Gerais'!$G$24</f>
        <v>2.8203142461839996</v>
      </c>
      <c r="M174" s="1808">
        <f>M173/'Premissas Gerais'!$G$24</f>
        <v>4.3531415274240004</v>
      </c>
      <c r="N174" s="1808">
        <f>N173/'Premissas Gerais'!$G$24</f>
        <v>4.9508980234559994</v>
      </c>
      <c r="O174" s="1808">
        <f>O173/'Premissas Gerais'!$G$24</f>
        <v>5.5447535589120003</v>
      </c>
      <c r="P174" s="1808">
        <f>P173/'Premissas Gerais'!$G$24</f>
        <v>6.1417861243200003</v>
      </c>
      <c r="Q174" s="1808">
        <f>Q173/'Premissas Gerais'!$G$24</f>
        <v>8.4743140643199997</v>
      </c>
      <c r="R174" s="1808">
        <f>R173/'Premissas Gerais'!$G$24</f>
        <v>9.2327375308580013</v>
      </c>
      <c r="S174" s="1808">
        <f>S173/'Premissas Gerais'!$G$24</f>
        <v>9.9953266313079965</v>
      </c>
      <c r="T174" s="1808">
        <f>T173/'Premissas Gerais'!$G$24</f>
        <v>10.747110431043998</v>
      </c>
      <c r="U174" s="1808">
        <f>U173/'Premissas Gerais'!$G$24</f>
        <v>11.500876104759998</v>
      </c>
      <c r="V174" s="1808">
        <f>V173/'Premissas Gerais'!$G$24</f>
        <v>12.256623652455998</v>
      </c>
      <c r="W174" s="1808">
        <f>W173/'Premissas Gerais'!$G$24</f>
        <v>13.014353074132</v>
      </c>
      <c r="X174" s="1808">
        <f>X173/'Premissas Gerais'!$G$24</f>
        <v>13.774019512920001</v>
      </c>
      <c r="Y174" s="1808">
        <f>Y173/'Premissas Gerais'!$G$24</f>
        <v>14.535710265119999</v>
      </c>
      <c r="Z174" s="1808">
        <f>Z173/'Premissas Gerais'!$G$24</f>
        <v>15.299382891299995</v>
      </c>
      <c r="AA174" s="1808">
        <f>AA173/'Premissas Gerais'!$G$24</f>
        <v>16.065037391459995</v>
      </c>
      <c r="AB174" s="1808">
        <f>AB173/'Premissas Gerais'!$G$24</f>
        <v>16.832673765599999</v>
      </c>
      <c r="AC174" s="1808">
        <f>AC173/'Premissas Gerais'!$G$24</f>
        <v>17.60229201372</v>
      </c>
      <c r="AD174" s="1808">
        <f>AD173/'Premissas Gerais'!$G$24</f>
        <v>18.37389213582</v>
      </c>
      <c r="AE174" s="1808">
        <f>AE173/'Premissas Gerais'!$G$24</f>
        <v>19.147474131900001</v>
      </c>
      <c r="AF174" s="1808">
        <f>AF173/'Premissas Gerais'!$G$24</f>
        <v>19.923038001959991</v>
      </c>
      <c r="AG174" s="1808">
        <f>AG173/'Premissas Gerais'!$G$24</f>
        <v>20.8675239375</v>
      </c>
      <c r="AH174" s="1825"/>
      <c r="AI174" s="1825"/>
      <c r="AJ174" s="1825"/>
      <c r="AK174" s="1825"/>
      <c r="AL174" s="1825"/>
      <c r="AM174" s="1825"/>
      <c r="AN174" s="1828"/>
      <c r="AO174" s="1822"/>
      <c r="AP174" s="1825"/>
      <c r="AQ174" s="1825"/>
      <c r="AR174" s="1825"/>
      <c r="AS174" s="1825"/>
      <c r="AT174" s="1825"/>
      <c r="AU174" s="1825"/>
      <c r="AV174" s="1825"/>
      <c r="AW174" s="1825"/>
      <c r="AX174" s="1825"/>
      <c r="AY174" s="1825"/>
      <c r="AZ174" s="1825"/>
      <c r="BA174" s="1825"/>
      <c r="BB174" s="1825"/>
      <c r="BC174" s="1825"/>
      <c r="BD174" s="1825"/>
      <c r="BE174" s="1825"/>
      <c r="BF174" s="1825"/>
      <c r="BG174" s="1825"/>
      <c r="BH174" s="1825"/>
      <c r="BI174" s="1825"/>
      <c r="BJ174" s="1825"/>
      <c r="BK174" s="1825"/>
      <c r="BL174" s="1825"/>
      <c r="BM174" s="1825"/>
      <c r="BN174" s="1825"/>
      <c r="BO174" s="1825"/>
      <c r="BP174" s="1825"/>
      <c r="BQ174" s="1825"/>
      <c r="BR174" s="1825"/>
      <c r="BS174" s="1822"/>
      <c r="BT174" s="1822"/>
      <c r="BU174" s="1825"/>
      <c r="BV174" s="1825"/>
      <c r="BW174" s="1825"/>
      <c r="BX174" s="1825"/>
      <c r="BY174" s="1822"/>
      <c r="BZ174" s="1822"/>
      <c r="CA174" s="1822"/>
      <c r="CB174" s="1822"/>
      <c r="CC174" s="1822"/>
      <c r="CD174" s="1822"/>
      <c r="CE174" s="1822"/>
      <c r="CF174" s="1822"/>
      <c r="CG174" s="1822"/>
      <c r="CH174" s="1822"/>
      <c r="CI174" s="1822"/>
      <c r="CJ174" s="1822"/>
      <c r="CK174" s="1822"/>
      <c r="CL174" s="1822"/>
      <c r="CM174" s="1822"/>
      <c r="CN174" s="1822"/>
      <c r="CO174" s="1822"/>
      <c r="CP174" s="1822"/>
      <c r="CQ174" s="1822"/>
      <c r="CR174" s="1822"/>
      <c r="CS174" s="1822"/>
      <c r="CT174" s="1822"/>
      <c r="CU174" s="1822"/>
      <c r="CV174" s="1822"/>
      <c r="CW174" s="1822"/>
    </row>
    <row r="176" spans="1:101" x14ac:dyDescent="0.35">
      <c r="B176" s="748" t="s">
        <v>242</v>
      </c>
      <c r="C176" s="349"/>
      <c r="D176" s="349"/>
      <c r="E176" s="349"/>
      <c r="F176" s="349"/>
      <c r="G176" s="349"/>
      <c r="H176" s="349"/>
      <c r="I176" s="349"/>
      <c r="J176" s="349"/>
      <c r="K176" s="349"/>
      <c r="L176" s="349"/>
      <c r="M176" s="349"/>
      <c r="N176" s="349"/>
      <c r="O176" s="349"/>
      <c r="P176" s="349"/>
      <c r="Q176" s="349"/>
      <c r="R176" s="349"/>
      <c r="S176" s="349"/>
      <c r="T176" s="349"/>
      <c r="U176" s="349"/>
      <c r="V176" s="349"/>
      <c r="W176" s="349"/>
      <c r="X176" s="349"/>
      <c r="Y176" s="349"/>
      <c r="Z176" s="349"/>
      <c r="AA176" s="349"/>
      <c r="AB176" s="349"/>
      <c r="AC176" s="349"/>
      <c r="AD176" s="349"/>
      <c r="AE176" s="349"/>
      <c r="AF176" s="349"/>
      <c r="AG176" s="349"/>
    </row>
    <row r="177" spans="2:33" x14ac:dyDescent="0.35">
      <c r="B177" s="758" t="s">
        <v>68</v>
      </c>
      <c r="C177" s="758"/>
      <c r="D177" s="759">
        <v>1</v>
      </c>
      <c r="E177" s="759">
        <f>D177+1</f>
        <v>2</v>
      </c>
      <c r="F177" s="759">
        <f t="shared" ref="F177" si="195">E177+1</f>
        <v>3</v>
      </c>
      <c r="G177" s="759">
        <f t="shared" ref="G177" si="196">F177+1</f>
        <v>4</v>
      </c>
      <c r="H177" s="759">
        <f t="shared" ref="H177" si="197">G177+1</f>
        <v>5</v>
      </c>
      <c r="I177" s="759">
        <f t="shared" ref="I177" si="198">H177+1</f>
        <v>6</v>
      </c>
      <c r="J177" s="759">
        <f t="shared" ref="J177" si="199">I177+1</f>
        <v>7</v>
      </c>
      <c r="K177" s="759">
        <f t="shared" ref="K177" si="200">J177+1</f>
        <v>8</v>
      </c>
      <c r="L177" s="759">
        <f t="shared" ref="L177" si="201">K177+1</f>
        <v>9</v>
      </c>
      <c r="M177" s="759">
        <f t="shared" ref="M177" si="202">L177+1</f>
        <v>10</v>
      </c>
      <c r="N177" s="759">
        <f t="shared" ref="N177" si="203">M177+1</f>
        <v>11</v>
      </c>
      <c r="O177" s="759">
        <f t="shared" ref="O177" si="204">N177+1</f>
        <v>12</v>
      </c>
      <c r="P177" s="759">
        <f t="shared" ref="P177" si="205">O177+1</f>
        <v>13</v>
      </c>
      <c r="Q177" s="759">
        <f t="shared" ref="Q177" si="206">P177+1</f>
        <v>14</v>
      </c>
      <c r="R177" s="759">
        <f t="shared" ref="R177" si="207">Q177+1</f>
        <v>15</v>
      </c>
      <c r="S177" s="759">
        <f t="shared" ref="S177" si="208">R177+1</f>
        <v>16</v>
      </c>
      <c r="T177" s="759">
        <f t="shared" ref="T177" si="209">S177+1</f>
        <v>17</v>
      </c>
      <c r="U177" s="759">
        <f t="shared" ref="U177" si="210">T177+1</f>
        <v>18</v>
      </c>
      <c r="V177" s="759">
        <f t="shared" ref="V177" si="211">U177+1</f>
        <v>19</v>
      </c>
      <c r="W177" s="759">
        <f t="shared" ref="W177" si="212">V177+1</f>
        <v>20</v>
      </c>
      <c r="X177" s="759">
        <f t="shared" ref="X177" si="213">W177+1</f>
        <v>21</v>
      </c>
      <c r="Y177" s="759">
        <f t="shared" ref="Y177" si="214">X177+1</f>
        <v>22</v>
      </c>
      <c r="Z177" s="759">
        <f t="shared" ref="Z177" si="215">Y177+1</f>
        <v>23</v>
      </c>
      <c r="AA177" s="759">
        <f t="shared" ref="AA177" si="216">Z177+1</f>
        <v>24</v>
      </c>
      <c r="AB177" s="759">
        <f t="shared" ref="AB177" si="217">AA177+1</f>
        <v>25</v>
      </c>
      <c r="AC177" s="759">
        <f t="shared" ref="AC177" si="218">AB177+1</f>
        <v>26</v>
      </c>
      <c r="AD177" s="759">
        <f t="shared" ref="AD177" si="219">AC177+1</f>
        <v>27</v>
      </c>
      <c r="AE177" s="759">
        <f t="shared" ref="AE177" si="220">AD177+1</f>
        <v>28</v>
      </c>
      <c r="AF177" s="759">
        <f t="shared" ref="AF177" si="221">AE177+1</f>
        <v>29</v>
      </c>
      <c r="AG177" s="759">
        <f t="shared" ref="AG177" si="222">AF177+1</f>
        <v>30</v>
      </c>
    </row>
    <row r="178" spans="2:33" ht="6" customHeight="1" x14ac:dyDescent="0.35">
      <c r="B178" s="749"/>
      <c r="C178" s="749"/>
      <c r="D178" s="750"/>
      <c r="E178" s="750"/>
      <c r="F178" s="750"/>
      <c r="G178" s="750"/>
      <c r="H178" s="750"/>
      <c r="I178" s="750"/>
      <c r="J178" s="750"/>
      <c r="K178" s="750"/>
      <c r="L178" s="750"/>
      <c r="M178" s="750"/>
      <c r="N178" s="750"/>
      <c r="O178" s="750"/>
      <c r="P178" s="750"/>
      <c r="Q178" s="750"/>
      <c r="R178" s="750"/>
      <c r="S178" s="750"/>
      <c r="T178" s="750"/>
      <c r="U178" s="750"/>
      <c r="V178" s="750"/>
      <c r="W178" s="750"/>
      <c r="X178" s="750"/>
      <c r="Y178" s="750"/>
      <c r="Z178" s="750"/>
      <c r="AA178" s="750"/>
      <c r="AB178" s="750"/>
      <c r="AC178" s="750"/>
      <c r="AD178" s="750"/>
      <c r="AE178" s="750"/>
      <c r="AF178" s="750"/>
      <c r="AG178" s="750"/>
    </row>
    <row r="179" spans="2:33" x14ac:dyDescent="0.35">
      <c r="B179" s="349" t="s">
        <v>1</v>
      </c>
      <c r="C179" s="751"/>
      <c r="D179" s="757">
        <f>D116+D132-D164</f>
        <v>695.49052911000001</v>
      </c>
      <c r="E179" s="757">
        <f t="shared" ref="E179:AG187" si="223">E116+E132-E164</f>
        <v>691.54186978500002</v>
      </c>
      <c r="F179" s="757">
        <f t="shared" si="223"/>
        <v>646.3932933960001</v>
      </c>
      <c r="G179" s="757">
        <f t="shared" si="223"/>
        <v>642.68123390100004</v>
      </c>
      <c r="H179" s="757">
        <f t="shared" si="223"/>
        <v>638.96917440599998</v>
      </c>
      <c r="I179" s="757">
        <f t="shared" si="223"/>
        <v>622.67234863800002</v>
      </c>
      <c r="J179" s="757">
        <f t="shared" si="223"/>
        <v>618.06355447200008</v>
      </c>
      <c r="K179" s="757">
        <f t="shared" si="223"/>
        <v>607.63286978640008</v>
      </c>
      <c r="L179" s="757">
        <f t="shared" si="223"/>
        <v>602.02774734168008</v>
      </c>
      <c r="M179" s="757">
        <f t="shared" si="223"/>
        <v>585.34334462116794</v>
      </c>
      <c r="N179" s="757">
        <f t="shared" si="223"/>
        <v>579.98176226812791</v>
      </c>
      <c r="O179" s="757">
        <f t="shared" si="223"/>
        <v>573.46957320019203</v>
      </c>
      <c r="P179" s="757">
        <f t="shared" si="223"/>
        <v>566.9816938056</v>
      </c>
      <c r="Q179" s="757">
        <f t="shared" si="223"/>
        <v>548.35562072524806</v>
      </c>
      <c r="R179" s="757">
        <f t="shared" si="223"/>
        <v>541.68876357745205</v>
      </c>
      <c r="S179" s="757">
        <f t="shared" si="223"/>
        <v>535.27879586742006</v>
      </c>
      <c r="T179" s="757">
        <f t="shared" si="223"/>
        <v>528.44671700842798</v>
      </c>
      <c r="U179" s="757">
        <f t="shared" si="223"/>
        <v>521.64658296324001</v>
      </c>
      <c r="V179" s="757">
        <f t="shared" si="223"/>
        <v>514.87839373185602</v>
      </c>
      <c r="W179" s="757">
        <f t="shared" si="223"/>
        <v>508.14214931427603</v>
      </c>
      <c r="X179" s="757">
        <f t="shared" si="223"/>
        <v>500.99212717742398</v>
      </c>
      <c r="Y179" s="757">
        <f t="shared" si="223"/>
        <v>494.32116129240001</v>
      </c>
      <c r="Z179" s="757">
        <f t="shared" si="223"/>
        <v>487.68214022118002</v>
      </c>
      <c r="AA179" s="757">
        <f t="shared" si="223"/>
        <v>481.07506396376397</v>
      </c>
      <c r="AB179" s="757">
        <f t="shared" si="223"/>
        <v>474.49993252015202</v>
      </c>
      <c r="AC179" s="757">
        <f t="shared" si="223"/>
        <v>467.956745890344</v>
      </c>
      <c r="AD179" s="757">
        <f t="shared" si="223"/>
        <v>461.44550407434002</v>
      </c>
      <c r="AE179" s="757">
        <f t="shared" si="223"/>
        <v>454.96620707214004</v>
      </c>
      <c r="AF179" s="757">
        <f t="shared" si="223"/>
        <v>448.51885488374404</v>
      </c>
      <c r="AG179" s="757">
        <f t="shared" si="223"/>
        <v>441.7884747315</v>
      </c>
    </row>
    <row r="180" spans="2:33" x14ac:dyDescent="0.35">
      <c r="B180" s="349" t="s">
        <v>2</v>
      </c>
      <c r="C180" s="751"/>
      <c r="D180" s="757">
        <f t="shared" ref="D180:S187" si="224">D117+D133-D165</f>
        <v>7834.7191295160001</v>
      </c>
      <c r="E180" s="757">
        <f t="shared" si="224"/>
        <v>7654.5235975409996</v>
      </c>
      <c r="F180" s="757">
        <f t="shared" si="224"/>
        <v>7658.8294411979996</v>
      </c>
      <c r="G180" s="757">
        <f t="shared" si="224"/>
        <v>7663.1352848549977</v>
      </c>
      <c r="H180" s="757">
        <f t="shared" si="224"/>
        <v>7667.4411285119986</v>
      </c>
      <c r="I180" s="757">
        <f t="shared" si="224"/>
        <v>7520.2623004379993</v>
      </c>
      <c r="J180" s="757">
        <f t="shared" si="224"/>
        <v>7509.0902756279993</v>
      </c>
      <c r="K180" s="757">
        <f t="shared" si="224"/>
        <v>7426.7605029191991</v>
      </c>
      <c r="L180" s="757">
        <f t="shared" si="224"/>
        <v>7402.9051944576959</v>
      </c>
      <c r="M180" s="757">
        <f t="shared" si="224"/>
        <v>7241.8212729243351</v>
      </c>
      <c r="N180" s="757">
        <f t="shared" si="224"/>
        <v>7213.9970643618235</v>
      </c>
      <c r="O180" s="757">
        <f t="shared" si="224"/>
        <v>7176.1700727226071</v>
      </c>
      <c r="P180" s="757">
        <f t="shared" si="224"/>
        <v>7138.4414734396796</v>
      </c>
      <c r="Q180" s="757">
        <f t="shared" si="224"/>
        <v>6946.7330357289602</v>
      </c>
      <c r="R180" s="757">
        <f t="shared" si="224"/>
        <v>6905.3330878782126</v>
      </c>
      <c r="S180" s="757">
        <f t="shared" si="224"/>
        <v>6863.5935113458827</v>
      </c>
      <c r="T180" s="757">
        <f t="shared" si="223"/>
        <v>6813.6665959512302</v>
      </c>
      <c r="U180" s="757">
        <f t="shared" si="223"/>
        <v>6763.9173726910785</v>
      </c>
      <c r="V180" s="757">
        <f t="shared" si="223"/>
        <v>6714.3458415654277</v>
      </c>
      <c r="W180" s="757">
        <f t="shared" si="223"/>
        <v>6664.952002574275</v>
      </c>
      <c r="X180" s="757">
        <f t="shared" si="223"/>
        <v>6615.9639530785289</v>
      </c>
      <c r="Y180" s="757">
        <f t="shared" si="223"/>
        <v>6566.9247875878382</v>
      </c>
      <c r="Z180" s="757">
        <f t="shared" si="223"/>
        <v>6518.0633142316474</v>
      </c>
      <c r="AA180" s="757">
        <f t="shared" si="223"/>
        <v>6469.3795330099592</v>
      </c>
      <c r="AB180" s="757">
        <f t="shared" si="223"/>
        <v>6420.8734439227683</v>
      </c>
      <c r="AC180" s="757">
        <f t="shared" si="223"/>
        <v>6372.5450469700781</v>
      </c>
      <c r="AD180" s="757">
        <f t="shared" si="223"/>
        <v>6324.3943421518898</v>
      </c>
      <c r="AE180" s="757">
        <f t="shared" si="223"/>
        <v>6276.4213294681995</v>
      </c>
      <c r="AF180" s="757">
        <f t="shared" si="223"/>
        <v>6228.6260089190091</v>
      </c>
      <c r="AG180" s="757">
        <f t="shared" si="223"/>
        <v>6176.6047745399983</v>
      </c>
    </row>
    <row r="181" spans="2:33" x14ac:dyDescent="0.35">
      <c r="B181" s="349" t="s">
        <v>3</v>
      </c>
      <c r="C181" s="751"/>
      <c r="D181" s="757">
        <f t="shared" si="224"/>
        <v>959.78745993000007</v>
      </c>
      <c r="E181" s="757">
        <f t="shared" si="223"/>
        <v>960.8404357500001</v>
      </c>
      <c r="F181" s="757">
        <f t="shared" si="223"/>
        <v>904.25769298199998</v>
      </c>
      <c r="G181" s="757">
        <f t="shared" si="223"/>
        <v>905.24757551399989</v>
      </c>
      <c r="H181" s="757">
        <f t="shared" si="223"/>
        <v>906.23745804600003</v>
      </c>
      <c r="I181" s="757">
        <f t="shared" si="223"/>
        <v>889.73984215200016</v>
      </c>
      <c r="J181" s="757">
        <f t="shared" si="223"/>
        <v>889.49727403800011</v>
      </c>
      <c r="K181" s="757">
        <f t="shared" si="223"/>
        <v>880.81538182559996</v>
      </c>
      <c r="L181" s="757">
        <f t="shared" si="223"/>
        <v>879.05645179572014</v>
      </c>
      <c r="M181" s="757">
        <f t="shared" si="223"/>
        <v>860.97872930227197</v>
      </c>
      <c r="N181" s="757">
        <f t="shared" si="223"/>
        <v>858.25110414859205</v>
      </c>
      <c r="O181" s="757">
        <f t="shared" si="223"/>
        <v>854.35740248788807</v>
      </c>
      <c r="P181" s="757">
        <f t="shared" si="223"/>
        <v>850.47254070840006</v>
      </c>
      <c r="Q181" s="757">
        <f t="shared" si="223"/>
        <v>828.22649193427208</v>
      </c>
      <c r="R181" s="757">
        <f t="shared" si="223"/>
        <v>823.88454443527803</v>
      </c>
      <c r="S181" s="757">
        <f t="shared" si="223"/>
        <v>819.78004170477607</v>
      </c>
      <c r="T181" s="757">
        <f t="shared" si="223"/>
        <v>814.55706592674005</v>
      </c>
      <c r="U181" s="757">
        <f t="shared" si="223"/>
        <v>809.35075700808011</v>
      </c>
      <c r="V181" s="757">
        <f t="shared" si="223"/>
        <v>804.16111494879613</v>
      </c>
      <c r="W181" s="757">
        <f t="shared" si="223"/>
        <v>798.9881397488881</v>
      </c>
      <c r="X181" s="757">
        <f t="shared" si="223"/>
        <v>793.83183140835604</v>
      </c>
      <c r="Y181" s="757">
        <f t="shared" si="223"/>
        <v>788.69218992720005</v>
      </c>
      <c r="Z181" s="757">
        <f t="shared" si="223"/>
        <v>783.56921530542002</v>
      </c>
      <c r="AA181" s="757">
        <f t="shared" si="223"/>
        <v>778.46290754301594</v>
      </c>
      <c r="AB181" s="757">
        <f t="shared" si="223"/>
        <v>773.37326663998806</v>
      </c>
      <c r="AC181" s="757">
        <f t="shared" si="223"/>
        <v>768.30029259633613</v>
      </c>
      <c r="AD181" s="757">
        <f t="shared" si="223"/>
        <v>763.24398541205994</v>
      </c>
      <c r="AE181" s="757">
        <f t="shared" si="223"/>
        <v>758.20434508715994</v>
      </c>
      <c r="AF181" s="757">
        <f t="shared" si="223"/>
        <v>753.18137162163612</v>
      </c>
      <c r="AG181" s="757">
        <f t="shared" si="223"/>
        <v>747.64203416099997</v>
      </c>
    </row>
    <row r="182" spans="2:33" x14ac:dyDescent="0.35">
      <c r="B182" s="349" t="s">
        <v>4</v>
      </c>
      <c r="C182" s="751"/>
      <c r="D182" s="757">
        <f t="shared" si="224"/>
        <v>2293.2120248699998</v>
      </c>
      <c r="E182" s="757">
        <f t="shared" si="223"/>
        <v>2314.4478103500001</v>
      </c>
      <c r="F182" s="757">
        <f t="shared" si="223"/>
        <v>2195.7317042579998</v>
      </c>
      <c r="G182" s="757">
        <f t="shared" si="223"/>
        <v>2215.695062106</v>
      </c>
      <c r="H182" s="757">
        <f t="shared" si="223"/>
        <v>2235.6584199539998</v>
      </c>
      <c r="I182" s="757">
        <f t="shared" si="223"/>
        <v>2210.7038132399998</v>
      </c>
      <c r="J182" s="757">
        <f t="shared" si="223"/>
        <v>2227.7092271880001</v>
      </c>
      <c r="K182" s="757">
        <f t="shared" si="223"/>
        <v>2223.4115496384002</v>
      </c>
      <c r="L182" s="757">
        <f t="shared" si="223"/>
        <v>2236.3919703898077</v>
      </c>
      <c r="M182" s="757">
        <f t="shared" si="223"/>
        <v>2207.4722466330236</v>
      </c>
      <c r="N182" s="757">
        <f t="shared" si="223"/>
        <v>2218.4918433025919</v>
      </c>
      <c r="O182" s="757">
        <f t="shared" si="223"/>
        <v>2226.290557171968</v>
      </c>
      <c r="P182" s="757">
        <f t="shared" si="223"/>
        <v>2234.0277228815999</v>
      </c>
      <c r="Q182" s="757">
        <f t="shared" si="223"/>
        <v>2193.0613371909117</v>
      </c>
      <c r="R182" s="757">
        <f t="shared" si="223"/>
        <v>2199.019030870968</v>
      </c>
      <c r="S182" s="757">
        <f t="shared" si="223"/>
        <v>2205.3340818393121</v>
      </c>
      <c r="T182" s="757">
        <f t="shared" si="223"/>
        <v>2207.6686279061278</v>
      </c>
      <c r="U182" s="757">
        <f t="shared" si="223"/>
        <v>2209.9471527671999</v>
      </c>
      <c r="V182" s="757">
        <f t="shared" si="223"/>
        <v>2212.1696564225281</v>
      </c>
      <c r="W182" s="757">
        <f t="shared" si="223"/>
        <v>2214.3361388721119</v>
      </c>
      <c r="X182" s="757">
        <f t="shared" si="223"/>
        <v>2216.0185494013685</v>
      </c>
      <c r="Y182" s="757">
        <f t="shared" si="223"/>
        <v>2218.0743232776958</v>
      </c>
      <c r="Z182" s="757">
        <f t="shared" si="223"/>
        <v>2220.0740759482801</v>
      </c>
      <c r="AA182" s="757">
        <f t="shared" si="223"/>
        <v>2222.01780741312</v>
      </c>
      <c r="AB182" s="757">
        <f t="shared" si="223"/>
        <v>2223.9055176722159</v>
      </c>
      <c r="AC182" s="757">
        <f t="shared" si="223"/>
        <v>2225.7372067255683</v>
      </c>
      <c r="AD182" s="757">
        <f t="shared" si="223"/>
        <v>2227.5128745731758</v>
      </c>
      <c r="AE182" s="757">
        <f t="shared" si="223"/>
        <v>2229.2325212150399</v>
      </c>
      <c r="AF182" s="757">
        <f t="shared" si="223"/>
        <v>2230.8961466511605</v>
      </c>
      <c r="AG182" s="757">
        <f t="shared" si="223"/>
        <v>2230.9132228919998</v>
      </c>
    </row>
    <row r="183" spans="2:33" x14ac:dyDescent="0.35">
      <c r="B183" s="349" t="s">
        <v>5</v>
      </c>
      <c r="C183" s="751"/>
      <c r="D183" s="757">
        <f t="shared" si="224"/>
        <v>5338.4629366899999</v>
      </c>
      <c r="E183" s="757">
        <f t="shared" si="223"/>
        <v>5361.3643876650003</v>
      </c>
      <c r="F183" s="757">
        <f t="shared" si="223"/>
        <v>5061.645861263999</v>
      </c>
      <c r="G183" s="757">
        <f t="shared" si="223"/>
        <v>5083.1750795489988</v>
      </c>
      <c r="H183" s="757">
        <f t="shared" si="223"/>
        <v>5104.7042978339996</v>
      </c>
      <c r="I183" s="757">
        <f t="shared" si="223"/>
        <v>5024.4319578840004</v>
      </c>
      <c r="J183" s="757">
        <f t="shared" si="223"/>
        <v>5036.5970515659992</v>
      </c>
      <c r="K183" s="757">
        <f t="shared" si="223"/>
        <v>5000.8477066112</v>
      </c>
      <c r="L183" s="757">
        <f t="shared" si="223"/>
        <v>5004.251969393159</v>
      </c>
      <c r="M183" s="757">
        <f t="shared" si="223"/>
        <v>4914.4623523275841</v>
      </c>
      <c r="N183" s="757">
        <f t="shared" si="223"/>
        <v>4915.1443445570385</v>
      </c>
      <c r="O183" s="757">
        <f t="shared" si="223"/>
        <v>4908.1087151374077</v>
      </c>
      <c r="P183" s="757">
        <f t="shared" si="223"/>
        <v>4901.0515977319201</v>
      </c>
      <c r="Q183" s="757">
        <f t="shared" si="223"/>
        <v>4787.7802388842238</v>
      </c>
      <c r="R183" s="757">
        <f t="shared" si="223"/>
        <v>4777.5945090471741</v>
      </c>
      <c r="S183" s="757">
        <f t="shared" si="223"/>
        <v>4767.8450724128716</v>
      </c>
      <c r="T183" s="757">
        <f t="shared" si="223"/>
        <v>4750.4447491430592</v>
      </c>
      <c r="U183" s="757">
        <f t="shared" si="223"/>
        <v>4733.0614843181593</v>
      </c>
      <c r="V183" s="757">
        <f t="shared" si="223"/>
        <v>4715.6952779381718</v>
      </c>
      <c r="W183" s="757">
        <f t="shared" si="223"/>
        <v>4698.3461300030949</v>
      </c>
      <c r="X183" s="757">
        <f t="shared" si="223"/>
        <v>4681.0140405129305</v>
      </c>
      <c r="Y183" s="757">
        <f t="shared" si="223"/>
        <v>4663.6990094676785</v>
      </c>
      <c r="Z183" s="757">
        <f t="shared" si="223"/>
        <v>4646.4010368673407</v>
      </c>
      <c r="AA183" s="757">
        <f t="shared" si="223"/>
        <v>4629.1201227119118</v>
      </c>
      <c r="AB183" s="757">
        <f t="shared" si="223"/>
        <v>4611.8562670013953</v>
      </c>
      <c r="AC183" s="757">
        <f t="shared" si="223"/>
        <v>4594.6094697357921</v>
      </c>
      <c r="AD183" s="757">
        <f t="shared" si="223"/>
        <v>4577.3797309150996</v>
      </c>
      <c r="AE183" s="757">
        <f t="shared" si="223"/>
        <v>4560.1670505393195</v>
      </c>
      <c r="AF183" s="757">
        <f t="shared" si="223"/>
        <v>4542.9714286084509</v>
      </c>
      <c r="AG183" s="757">
        <f t="shared" si="223"/>
        <v>4522.5685031369994</v>
      </c>
    </row>
    <row r="184" spans="2:33" x14ac:dyDescent="0.35">
      <c r="B184" s="349" t="s">
        <v>6</v>
      </c>
      <c r="C184" s="751"/>
      <c r="D184" s="757">
        <f t="shared" si="224"/>
        <v>57332.136758000001</v>
      </c>
      <c r="E184" s="757">
        <f t="shared" si="223"/>
        <v>57640.3061351</v>
      </c>
      <c r="F184" s="757">
        <f t="shared" si="223"/>
        <v>54476.259165720003</v>
      </c>
      <c r="G184" s="757">
        <f t="shared" si="223"/>
        <v>54765.96333318</v>
      </c>
      <c r="H184" s="757">
        <f t="shared" si="223"/>
        <v>55055.667500640004</v>
      </c>
      <c r="I184" s="757">
        <f t="shared" si="223"/>
        <v>54248.645402960006</v>
      </c>
      <c r="J184" s="757">
        <f t="shared" si="223"/>
        <v>54533.22303732</v>
      </c>
      <c r="K184" s="757">
        <f t="shared" si="223"/>
        <v>54297.561438591991</v>
      </c>
      <c r="L184" s="757">
        <f t="shared" si="223"/>
        <v>54485.309141600483</v>
      </c>
      <c r="M184" s="757">
        <f t="shared" si="223"/>
        <v>53655.067152892807</v>
      </c>
      <c r="N184" s="757">
        <f t="shared" si="223"/>
        <v>53803.35231204384</v>
      </c>
      <c r="O184" s="757">
        <f t="shared" si="223"/>
        <v>53861.147329653119</v>
      </c>
      <c r="P184" s="757">
        <f t="shared" si="223"/>
        <v>53918.070204062402</v>
      </c>
      <c r="Q184" s="757">
        <f t="shared" si="223"/>
        <v>52802.953761592318</v>
      </c>
      <c r="R184" s="757">
        <f t="shared" si="223"/>
        <v>52821.116911972043</v>
      </c>
      <c r="S184" s="757">
        <f t="shared" si="223"/>
        <v>52837.898001787282</v>
      </c>
      <c r="T184" s="757">
        <f t="shared" si="223"/>
        <v>52783.202447597512</v>
      </c>
      <c r="U184" s="757">
        <f t="shared" si="223"/>
        <v>52727.84564412399</v>
      </c>
      <c r="V184" s="757">
        <f t="shared" si="223"/>
        <v>52671.827591366717</v>
      </c>
      <c r="W184" s="757">
        <f t="shared" si="223"/>
        <v>52615.148289325683</v>
      </c>
      <c r="X184" s="757">
        <f t="shared" si="223"/>
        <v>52557.526297928598</v>
      </c>
      <c r="Y184" s="757">
        <f t="shared" si="223"/>
        <v>52499.525374308469</v>
      </c>
      <c r="Z184" s="757">
        <f t="shared" si="223"/>
        <v>52440.863201404587</v>
      </c>
      <c r="AA184" s="757">
        <f t="shared" si="223"/>
        <v>52381.539779216953</v>
      </c>
      <c r="AB184" s="757">
        <f t="shared" si="223"/>
        <v>52321.555107745553</v>
      </c>
      <c r="AC184" s="757">
        <f t="shared" si="223"/>
        <v>52260.9091869904</v>
      </c>
      <c r="AD184" s="757">
        <f t="shared" si="223"/>
        <v>52199.602016951474</v>
      </c>
      <c r="AE184" s="757">
        <f t="shared" si="223"/>
        <v>52137.633597628796</v>
      </c>
      <c r="AF184" s="757">
        <f t="shared" si="223"/>
        <v>52075.003929022358</v>
      </c>
      <c r="AG184" s="757">
        <f t="shared" si="223"/>
        <v>51974.657716020003</v>
      </c>
    </row>
    <row r="185" spans="2:33" x14ac:dyDescent="0.35">
      <c r="B185" s="349" t="s">
        <v>7</v>
      </c>
      <c r="C185" s="751"/>
      <c r="D185" s="757">
        <f t="shared" si="224"/>
        <v>5149.3238945199992</v>
      </c>
      <c r="E185" s="757">
        <f t="shared" si="223"/>
        <v>5135.5830239349998</v>
      </c>
      <c r="F185" s="757">
        <f t="shared" si="223"/>
        <v>4814.94634821</v>
      </c>
      <c r="G185" s="757">
        <f t="shared" si="223"/>
        <v>4802.0288172390001</v>
      </c>
      <c r="H185" s="757">
        <f t="shared" si="223"/>
        <v>4789.1112862679993</v>
      </c>
      <c r="I185" s="757">
        <f t="shared" si="223"/>
        <v>4681.07839539</v>
      </c>
      <c r="J185" s="757">
        <f t="shared" si="223"/>
        <v>4658.9826129879993</v>
      </c>
      <c r="K185" s="757">
        <f t="shared" si="223"/>
        <v>4636.8868305859987</v>
      </c>
      <c r="L185" s="757">
        <f t="shared" si="223"/>
        <v>4614.7910481839999</v>
      </c>
      <c r="M185" s="757">
        <f t="shared" si="223"/>
        <v>4528.1231003579996</v>
      </c>
      <c r="N185" s="757">
        <f t="shared" si="223"/>
        <v>4506.0932025779994</v>
      </c>
      <c r="O185" s="757">
        <f t="shared" si="223"/>
        <v>4476.2304522539998</v>
      </c>
      <c r="P185" s="757">
        <f t="shared" si="223"/>
        <v>4446.3677019299994</v>
      </c>
      <c r="Q185" s="757">
        <f t="shared" si="223"/>
        <v>4353.5244888380003</v>
      </c>
      <c r="R185" s="757">
        <f t="shared" si="223"/>
        <v>4324.0875887860002</v>
      </c>
      <c r="S185" s="757">
        <f t="shared" si="223"/>
        <v>4294.1681166019998</v>
      </c>
      <c r="T185" s="757">
        <f t="shared" si="223"/>
        <v>4262.31835589</v>
      </c>
      <c r="U185" s="757">
        <f t="shared" si="223"/>
        <v>4230.4685951779993</v>
      </c>
      <c r="V185" s="757">
        <f t="shared" si="223"/>
        <v>4198.6188344659995</v>
      </c>
      <c r="W185" s="757">
        <f t="shared" si="223"/>
        <v>4166.7690737539997</v>
      </c>
      <c r="X185" s="757">
        <f t="shared" si="223"/>
        <v>4135.4018851739993</v>
      </c>
      <c r="Y185" s="757">
        <f t="shared" si="223"/>
        <v>4103.5521244619995</v>
      </c>
      <c r="Z185" s="757">
        <f t="shared" si="223"/>
        <v>4071.7023637499997</v>
      </c>
      <c r="AA185" s="757">
        <f t="shared" si="223"/>
        <v>4039.8526030379999</v>
      </c>
      <c r="AB185" s="757">
        <f t="shared" si="223"/>
        <v>4008.0028423259992</v>
      </c>
      <c r="AC185" s="757">
        <f t="shared" si="223"/>
        <v>3976.1530816139998</v>
      </c>
      <c r="AD185" s="757">
        <f t="shared" si="223"/>
        <v>3944.303320902</v>
      </c>
      <c r="AE185" s="757">
        <f t="shared" si="223"/>
        <v>3912.4535601899997</v>
      </c>
      <c r="AF185" s="757">
        <f t="shared" si="223"/>
        <v>3880.603799477999</v>
      </c>
      <c r="AG185" s="757">
        <f t="shared" si="223"/>
        <v>3848.7540387660001</v>
      </c>
    </row>
    <row r="186" spans="2:33" x14ac:dyDescent="0.35">
      <c r="B186" s="349" t="s">
        <v>8</v>
      </c>
      <c r="C186" s="751"/>
      <c r="D186" s="757">
        <f t="shared" si="224"/>
        <v>4008.406658337</v>
      </c>
      <c r="E186" s="757">
        <f t="shared" si="223"/>
        <v>3947.9520636269999</v>
      </c>
      <c r="F186" s="757">
        <f t="shared" si="223"/>
        <v>3981.8922430409993</v>
      </c>
      <c r="G186" s="757">
        <f t="shared" si="223"/>
        <v>4015.8324224549997</v>
      </c>
      <c r="H186" s="757">
        <f t="shared" si="223"/>
        <v>4049.7726018689996</v>
      </c>
      <c r="I186" s="757">
        <f t="shared" si="223"/>
        <v>4002.3158213779993</v>
      </c>
      <c r="J186" s="757">
        <f t="shared" si="223"/>
        <v>4028.6321464859993</v>
      </c>
      <c r="K186" s="757">
        <f t="shared" si="223"/>
        <v>4016.4656565735991</v>
      </c>
      <c r="L186" s="757">
        <f t="shared" si="223"/>
        <v>4035.5603691368233</v>
      </c>
      <c r="M186" s="757">
        <f t="shared" si="223"/>
        <v>3979.1416080679201</v>
      </c>
      <c r="N186" s="757">
        <f t="shared" si="223"/>
        <v>3995.4592934129278</v>
      </c>
      <c r="O186" s="757">
        <f t="shared" si="223"/>
        <v>4006.3897564014237</v>
      </c>
      <c r="P186" s="757">
        <f t="shared" si="223"/>
        <v>4017.2240889268801</v>
      </c>
      <c r="Q186" s="757">
        <f t="shared" si="223"/>
        <v>3940.560826541504</v>
      </c>
      <c r="R186" s="757">
        <f t="shared" si="223"/>
        <v>3948.2946305009282</v>
      </c>
      <c r="S186" s="757">
        <f t="shared" si="223"/>
        <v>3956.1392550124883</v>
      </c>
      <c r="T186" s="757">
        <f t="shared" si="223"/>
        <v>3956.7024738487135</v>
      </c>
      <c r="U186" s="757">
        <f t="shared" si="223"/>
        <v>3957.1875081457601</v>
      </c>
      <c r="V186" s="757">
        <f t="shared" si="223"/>
        <v>3957.5943579036252</v>
      </c>
      <c r="W186" s="757">
        <f t="shared" si="223"/>
        <v>3957.9230231223114</v>
      </c>
      <c r="X186" s="757">
        <f t="shared" si="223"/>
        <v>3958.4016011627236</v>
      </c>
      <c r="Y186" s="757">
        <f t="shared" si="223"/>
        <v>3958.5731865345119</v>
      </c>
      <c r="Z186" s="757">
        <f t="shared" si="223"/>
        <v>3958.66658736712</v>
      </c>
      <c r="AA186" s="757">
        <f t="shared" si="223"/>
        <v>3958.6818036605478</v>
      </c>
      <c r="AB186" s="757">
        <f t="shared" si="223"/>
        <v>3958.6188354147957</v>
      </c>
      <c r="AC186" s="757">
        <f t="shared" si="223"/>
        <v>3958.477682629863</v>
      </c>
      <c r="AD186" s="757">
        <f t="shared" si="223"/>
        <v>3958.2583453057518</v>
      </c>
      <c r="AE186" s="757">
        <f t="shared" si="223"/>
        <v>3957.96082344246</v>
      </c>
      <c r="AF186" s="757">
        <f t="shared" si="223"/>
        <v>3957.5851170399878</v>
      </c>
      <c r="AG186" s="757">
        <f t="shared" si="223"/>
        <v>3954.3120021794998</v>
      </c>
    </row>
    <row r="187" spans="2:33" x14ac:dyDescent="0.35">
      <c r="B187" s="349" t="s">
        <v>9</v>
      </c>
      <c r="C187" s="751"/>
      <c r="D187" s="757">
        <f t="shared" si="224"/>
        <v>3395.0727498349997</v>
      </c>
      <c r="E187" s="757">
        <f t="shared" si="223"/>
        <v>3424.9793505199996</v>
      </c>
      <c r="F187" s="757">
        <f t="shared" si="223"/>
        <v>3247.8725419829998</v>
      </c>
      <c r="G187" s="757">
        <f t="shared" si="223"/>
        <v>3275.9871682139997</v>
      </c>
      <c r="H187" s="757">
        <f t="shared" si="223"/>
        <v>3304.101794445</v>
      </c>
      <c r="I187" s="757">
        <f t="shared" si="223"/>
        <v>3266.7000544439998</v>
      </c>
      <c r="J187" s="757">
        <f t="shared" si="223"/>
        <v>3290.0371729360004</v>
      </c>
      <c r="K187" s="757">
        <f t="shared" si="223"/>
        <v>3281.9292630032</v>
      </c>
      <c r="L187" s="757">
        <f t="shared" si="223"/>
        <v>3299.3449334630395</v>
      </c>
      <c r="M187" s="757">
        <f t="shared" si="223"/>
        <v>3254.9835311931829</v>
      </c>
      <c r="N187" s="757">
        <f t="shared" si="223"/>
        <v>3269.6447148293282</v>
      </c>
      <c r="O187" s="757">
        <f t="shared" si="223"/>
        <v>3277.7376432099359</v>
      </c>
      <c r="P187" s="757">
        <f t="shared" si="223"/>
        <v>3285.7559291133598</v>
      </c>
      <c r="Q187" s="757">
        <f t="shared" si="223"/>
        <v>3222.2306397903994</v>
      </c>
      <c r="R187" s="757">
        <f t="shared" si="223"/>
        <v>3227.7401549133942</v>
      </c>
      <c r="S187" s="757">
        <f t="shared" si="223"/>
        <v>3233.6191509965633</v>
      </c>
      <c r="T187" s="757">
        <f t="shared" si="223"/>
        <v>3234.7826738574054</v>
      </c>
      <c r="U187" s="757">
        <f t="shared" si="223"/>
        <v>3235.8779629385999</v>
      </c>
      <c r="V187" s="757">
        <f t="shared" si="223"/>
        <v>3236.9050182401456</v>
      </c>
      <c r="W187" s="757">
        <f t="shared" si="223"/>
        <v>3237.8638397620439</v>
      </c>
      <c r="X187" s="757">
        <f t="shared" si="223"/>
        <v>3239.2106222261059</v>
      </c>
      <c r="Y187" s="757">
        <f t="shared" si="223"/>
        <v>3240.0315546516322</v>
      </c>
      <c r="Z187" s="757">
        <f t="shared" si="223"/>
        <v>3240.7842532975096</v>
      </c>
      <c r="AA187" s="757">
        <f t="shared" si="223"/>
        <v>3241.46871816374</v>
      </c>
      <c r="AB187" s="757">
        <f t="shared" si="223"/>
        <v>3242.0849492503216</v>
      </c>
      <c r="AC187" s="757">
        <f t="shared" si="223"/>
        <v>3242.6329465572558</v>
      </c>
      <c r="AD187" s="757">
        <f t="shared" si="223"/>
        <v>3243.1127100845415</v>
      </c>
      <c r="AE187" s="757">
        <f t="shared" si="223"/>
        <v>3243.5242398321793</v>
      </c>
      <c r="AF187" s="757">
        <f t="shared" si="223"/>
        <v>3243.8675358001692</v>
      </c>
      <c r="AG187" s="757">
        <f t="shared" si="223"/>
        <v>3241.8313366514994</v>
      </c>
    </row>
    <row r="188" spans="2:33" ht="5.25" customHeight="1" x14ac:dyDescent="0.35">
      <c r="B188" s="349"/>
      <c r="C188" s="752"/>
      <c r="D188" s="753"/>
      <c r="E188" s="753"/>
      <c r="F188" s="753"/>
      <c r="G188" s="753"/>
      <c r="H188" s="753"/>
      <c r="I188" s="753"/>
      <c r="J188" s="753"/>
      <c r="K188" s="753"/>
      <c r="L188" s="753"/>
      <c r="M188" s="753"/>
      <c r="N188" s="753"/>
      <c r="O188" s="753"/>
      <c r="P188" s="753"/>
      <c r="Q188" s="753"/>
      <c r="R188" s="753"/>
      <c r="S188" s="753"/>
      <c r="T188" s="753"/>
      <c r="U188" s="753"/>
      <c r="V188" s="753"/>
      <c r="W188" s="753"/>
      <c r="X188" s="753"/>
      <c r="Y188" s="753"/>
      <c r="Z188" s="753"/>
      <c r="AA188" s="753"/>
      <c r="AB188" s="753"/>
      <c r="AC188" s="753"/>
      <c r="AD188" s="753"/>
      <c r="AE188" s="753"/>
      <c r="AF188" s="753"/>
      <c r="AG188" s="753"/>
    </row>
    <row r="189" spans="2:33" x14ac:dyDescent="0.35">
      <c r="B189" s="754" t="s">
        <v>200</v>
      </c>
      <c r="C189" s="755"/>
      <c r="D189" s="756">
        <f t="shared" ref="D189:AG189" si="225">SUM(D179:D187)</f>
        <v>87006.612140808007</v>
      </c>
      <c r="E189" s="756">
        <f t="shared" si="225"/>
        <v>87131.538674273004</v>
      </c>
      <c r="F189" s="756">
        <f t="shared" si="225"/>
        <v>82987.828292052</v>
      </c>
      <c r="G189" s="756">
        <f t="shared" si="225"/>
        <v>83369.745977012994</v>
      </c>
      <c r="H189" s="756">
        <f t="shared" si="225"/>
        <v>83751.663661974002</v>
      </c>
      <c r="I189" s="756">
        <f t="shared" si="225"/>
        <v>82466.549936523996</v>
      </c>
      <c r="J189" s="756">
        <f t="shared" si="225"/>
        <v>82791.83235262199</v>
      </c>
      <c r="K189" s="756">
        <f t="shared" si="225"/>
        <v>82372.311199535572</v>
      </c>
      <c r="L189" s="756">
        <f t="shared" si="225"/>
        <v>82559.638825762391</v>
      </c>
      <c r="M189" s="756">
        <f t="shared" si="225"/>
        <v>81227.393338320297</v>
      </c>
      <c r="N189" s="756">
        <f t="shared" si="225"/>
        <v>81360.415641502274</v>
      </c>
      <c r="O189" s="756">
        <f t="shared" si="225"/>
        <v>81359.901502238543</v>
      </c>
      <c r="P189" s="756">
        <f t="shared" si="225"/>
        <v>81358.392952599854</v>
      </c>
      <c r="Q189" s="756">
        <f t="shared" si="225"/>
        <v>79623.426441225834</v>
      </c>
      <c r="R189" s="756">
        <f t="shared" si="225"/>
        <v>79568.759221981454</v>
      </c>
      <c r="S189" s="756">
        <f t="shared" si="225"/>
        <v>79513.656027568592</v>
      </c>
      <c r="T189" s="756">
        <f t="shared" si="225"/>
        <v>79351.789707129225</v>
      </c>
      <c r="U189" s="756">
        <f t="shared" si="225"/>
        <v>79189.303060134102</v>
      </c>
      <c r="V189" s="756">
        <f t="shared" si="225"/>
        <v>79026.196086583266</v>
      </c>
      <c r="W189" s="756">
        <f t="shared" si="225"/>
        <v>78862.46878647666</v>
      </c>
      <c r="X189" s="756">
        <f t="shared" si="225"/>
        <v>78698.360908070041</v>
      </c>
      <c r="Y189" s="756">
        <f t="shared" si="225"/>
        <v>78533.39371150943</v>
      </c>
      <c r="Z189" s="756">
        <f t="shared" si="225"/>
        <v>78367.806188393064</v>
      </c>
      <c r="AA189" s="756">
        <f t="shared" si="225"/>
        <v>78201.598338721029</v>
      </c>
      <c r="AB189" s="756">
        <f t="shared" si="225"/>
        <v>78034.770162493165</v>
      </c>
      <c r="AC189" s="756">
        <f t="shared" si="225"/>
        <v>77867.321659709633</v>
      </c>
      <c r="AD189" s="756">
        <f t="shared" si="225"/>
        <v>77699.252830370344</v>
      </c>
      <c r="AE189" s="756">
        <f t="shared" si="225"/>
        <v>77530.563674475314</v>
      </c>
      <c r="AF189" s="756">
        <f t="shared" si="225"/>
        <v>77361.254192024513</v>
      </c>
      <c r="AG189" s="756">
        <f t="shared" si="225"/>
        <v>77139.072103078506</v>
      </c>
    </row>
    <row r="190" spans="2:33" x14ac:dyDescent="0.35">
      <c r="B190" s="1813" t="s">
        <v>201</v>
      </c>
      <c r="C190" s="1814"/>
      <c r="D190" s="1815">
        <f>D189/'Premissas Gerais'!$G$24</f>
        <v>277.97639661600005</v>
      </c>
      <c r="E190" s="1815">
        <f>E189/'Premissas Gerais'!$G$24</f>
        <v>278.37552292100003</v>
      </c>
      <c r="F190" s="1815">
        <f>F189/'Premissas Gerais'!$G$24</f>
        <v>265.13683160400001</v>
      </c>
      <c r="G190" s="1815">
        <f>G189/'Premissas Gerais'!$G$24</f>
        <v>266.35701590099995</v>
      </c>
      <c r="H190" s="1815">
        <f>H189/'Premissas Gerais'!$G$24</f>
        <v>267.57720019800001</v>
      </c>
      <c r="I190" s="1815">
        <f>I189/'Premissas Gerais'!$G$24</f>
        <v>263.47140554800001</v>
      </c>
      <c r="J190" s="1815">
        <f>J189/'Premissas Gerais'!$G$24</f>
        <v>264.51064649399996</v>
      </c>
      <c r="K190" s="1815">
        <f>K189/'Premissas Gerais'!$G$24</f>
        <v>263.17032332119993</v>
      </c>
      <c r="L190" s="1815">
        <f>L189/'Premissas Gerais'!$G$24</f>
        <v>263.76881413981596</v>
      </c>
      <c r="M190" s="1815">
        <f>M189/'Premissas Gerais'!$G$24</f>
        <v>259.51243878057602</v>
      </c>
      <c r="N190" s="1815">
        <f>N189/'Premissas Gerais'!$G$24</f>
        <v>259.93743016454403</v>
      </c>
      <c r="O190" s="1815">
        <f>O189/'Premissas Gerais'!$G$24</f>
        <v>259.93578754708801</v>
      </c>
      <c r="P190" s="1815">
        <f>P189/'Premissas Gerais'!$G$24</f>
        <v>259.93096789968007</v>
      </c>
      <c r="Q190" s="1815">
        <f>Q189/'Premissas Gerais'!$G$24</f>
        <v>254.38794390167999</v>
      </c>
      <c r="R190" s="1815">
        <f>R189/'Premissas Gerais'!$G$24</f>
        <v>254.21328824914204</v>
      </c>
      <c r="S190" s="1815">
        <f>S189/'Premissas Gerais'!$G$24</f>
        <v>254.03723970469198</v>
      </c>
      <c r="T190" s="1815">
        <f>T189/'Premissas Gerais'!$G$24</f>
        <v>253.52009491095598</v>
      </c>
      <c r="U190" s="1815">
        <f>U189/'Premissas Gerais'!$G$24</f>
        <v>253.00096824323995</v>
      </c>
      <c r="V190" s="1815">
        <f>V189/'Premissas Gerais'!$G$24</f>
        <v>252.47985970154397</v>
      </c>
      <c r="W190" s="1815">
        <f>W189/'Premissas Gerais'!$G$24</f>
        <v>251.95676928586792</v>
      </c>
      <c r="X190" s="1815">
        <f>X189/'Premissas Gerais'!$G$24</f>
        <v>251.43246296507999</v>
      </c>
      <c r="Y190" s="1815">
        <f>Y189/'Premissas Gerais'!$G$24</f>
        <v>250.90541121887998</v>
      </c>
      <c r="Z190" s="1815">
        <f>Z189/'Premissas Gerais'!$G$24</f>
        <v>250.37637759869989</v>
      </c>
      <c r="AA190" s="1815">
        <f>AA189/'Premissas Gerais'!$G$24</f>
        <v>249.84536210454002</v>
      </c>
      <c r="AB190" s="1815">
        <f>AB189/'Premissas Gerais'!$G$24</f>
        <v>249.3123647363999</v>
      </c>
      <c r="AC190" s="1815">
        <f>AC189/'Premissas Gerais'!$G$24</f>
        <v>248.77738549427997</v>
      </c>
      <c r="AD190" s="1815">
        <f>AD189/'Premissas Gerais'!$G$24</f>
        <v>248.24042437818002</v>
      </c>
      <c r="AE190" s="1815">
        <f>AE189/'Premissas Gerais'!$G$24</f>
        <v>247.70148138810004</v>
      </c>
      <c r="AF190" s="1815">
        <f>AF189/'Premissas Gerais'!$G$24</f>
        <v>247.16055652403998</v>
      </c>
      <c r="AG190" s="1815">
        <f>AG189/'Premissas Gerais'!$G$24</f>
        <v>246.45070959450001</v>
      </c>
    </row>
    <row r="192" spans="2:33" ht="15.5" x14ac:dyDescent="0.35">
      <c r="B192" s="99" t="s">
        <v>243</v>
      </c>
      <c r="D192" s="1698"/>
      <c r="E192" s="1698"/>
      <c r="F192" s="1698"/>
      <c r="G192" s="1698"/>
      <c r="H192" s="1698"/>
      <c r="I192" s="1698"/>
      <c r="J192" s="1698"/>
      <c r="K192" s="1698"/>
      <c r="L192" s="1698"/>
      <c r="M192" s="1698"/>
      <c r="N192" s="1698"/>
      <c r="O192" s="1698"/>
      <c r="P192" s="1698"/>
      <c r="Q192" s="1698"/>
      <c r="R192" s="1698"/>
      <c r="S192" s="1698"/>
      <c r="T192" s="1698"/>
      <c r="U192" s="1698"/>
      <c r="V192" s="1698"/>
      <c r="W192" s="1698"/>
      <c r="X192" s="1698"/>
      <c r="Y192" s="1698"/>
      <c r="Z192" s="1698"/>
      <c r="AA192" s="1698"/>
      <c r="AB192" s="1698"/>
      <c r="AC192" s="1698"/>
      <c r="AD192" s="1698"/>
      <c r="AE192" s="1698"/>
      <c r="AF192" s="1698"/>
      <c r="AG192" s="1698"/>
    </row>
    <row r="193" spans="2:33" x14ac:dyDescent="0.35">
      <c r="B193" s="372" t="s">
        <v>68</v>
      </c>
      <c r="C193" s="372"/>
      <c r="D193" s="373">
        <v>1</v>
      </c>
      <c r="E193" s="373">
        <f>D193+1</f>
        <v>2</v>
      </c>
      <c r="F193" s="373">
        <f t="shared" ref="F193" si="226">E193+1</f>
        <v>3</v>
      </c>
      <c r="G193" s="373">
        <f t="shared" ref="G193" si="227">F193+1</f>
        <v>4</v>
      </c>
      <c r="H193" s="373">
        <f t="shared" ref="H193" si="228">G193+1</f>
        <v>5</v>
      </c>
      <c r="I193" s="373">
        <f t="shared" ref="I193" si="229">H193+1</f>
        <v>6</v>
      </c>
      <c r="J193" s="373">
        <f t="shared" ref="J193" si="230">I193+1</f>
        <v>7</v>
      </c>
      <c r="K193" s="373">
        <f t="shared" ref="K193" si="231">J193+1</f>
        <v>8</v>
      </c>
      <c r="L193" s="373">
        <f t="shared" ref="L193" si="232">K193+1</f>
        <v>9</v>
      </c>
      <c r="M193" s="373">
        <f t="shared" ref="M193" si="233">L193+1</f>
        <v>10</v>
      </c>
      <c r="N193" s="373">
        <f t="shared" ref="N193" si="234">M193+1</f>
        <v>11</v>
      </c>
      <c r="O193" s="373">
        <f t="shared" ref="O193" si="235">N193+1</f>
        <v>12</v>
      </c>
      <c r="P193" s="373">
        <f t="shared" ref="P193" si="236">O193+1</f>
        <v>13</v>
      </c>
      <c r="Q193" s="373">
        <f t="shared" ref="Q193" si="237">P193+1</f>
        <v>14</v>
      </c>
      <c r="R193" s="373">
        <f t="shared" ref="R193" si="238">Q193+1</f>
        <v>15</v>
      </c>
      <c r="S193" s="373">
        <f t="shared" ref="S193" si="239">R193+1</f>
        <v>16</v>
      </c>
      <c r="T193" s="373">
        <f t="shared" ref="T193" si="240">S193+1</f>
        <v>17</v>
      </c>
      <c r="U193" s="373">
        <f t="shared" ref="U193" si="241">T193+1</f>
        <v>18</v>
      </c>
      <c r="V193" s="373">
        <f t="shared" ref="V193" si="242">U193+1</f>
        <v>19</v>
      </c>
      <c r="W193" s="373">
        <f t="shared" ref="W193" si="243">V193+1</f>
        <v>20</v>
      </c>
      <c r="X193" s="373">
        <f t="shared" ref="X193" si="244">W193+1</f>
        <v>21</v>
      </c>
      <c r="Y193" s="373">
        <f t="shared" ref="Y193" si="245">X193+1</f>
        <v>22</v>
      </c>
      <c r="Z193" s="373">
        <f t="shared" ref="Z193" si="246">Y193+1</f>
        <v>23</v>
      </c>
      <c r="AA193" s="373">
        <f t="shared" ref="AA193" si="247">Z193+1</f>
        <v>24</v>
      </c>
      <c r="AB193" s="373">
        <f t="shared" ref="AB193" si="248">AA193+1</f>
        <v>25</v>
      </c>
      <c r="AC193" s="373">
        <f t="shared" ref="AC193" si="249">AB193+1</f>
        <v>26</v>
      </c>
      <c r="AD193" s="373">
        <f t="shared" ref="AD193" si="250">AC193+1</f>
        <v>27</v>
      </c>
      <c r="AE193" s="373">
        <f t="shared" ref="AE193" si="251">AD193+1</f>
        <v>28</v>
      </c>
      <c r="AF193" s="373">
        <f t="shared" ref="AF193" si="252">AE193+1</f>
        <v>29</v>
      </c>
      <c r="AG193" s="373">
        <f t="shared" ref="AG193" si="253">AF193+1</f>
        <v>30</v>
      </c>
    </row>
    <row r="194" spans="2:33" ht="15" thickBot="1" x14ac:dyDescent="0.4">
      <c r="B194" s="82"/>
      <c r="C194" s="82" t="s">
        <v>244</v>
      </c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  <c r="S194" s="84"/>
      <c r="T194" s="84"/>
      <c r="U194" s="84"/>
      <c r="V194" s="84"/>
      <c r="W194" s="84"/>
      <c r="X194" s="84"/>
      <c r="Y194" s="84"/>
      <c r="Z194" s="84"/>
      <c r="AA194" s="84"/>
      <c r="AB194" s="84"/>
      <c r="AC194" s="84"/>
      <c r="AD194" s="84"/>
      <c r="AE194" s="84"/>
      <c r="AF194" s="84"/>
      <c r="AG194" s="84"/>
    </row>
    <row r="195" spans="2:33" ht="15" thickBot="1" x14ac:dyDescent="0.4">
      <c r="B195" t="s">
        <v>1</v>
      </c>
      <c r="C195" s="1446" t="s">
        <v>245</v>
      </c>
      <c r="D195" s="1523">
        <f t="shared" ref="D195:AG195" si="254">IF($C$195="Não",D99,D99*0.2)</f>
        <v>0</v>
      </c>
      <c r="E195" s="1523">
        <f t="shared" si="254"/>
        <v>0</v>
      </c>
      <c r="F195" s="1523">
        <f t="shared" si="254"/>
        <v>41.199917064000005</v>
      </c>
      <c r="G195" s="1523">
        <f t="shared" si="254"/>
        <v>40.963317234000002</v>
      </c>
      <c r="H195" s="1523">
        <f t="shared" si="254"/>
        <v>40.726717403999999</v>
      </c>
      <c r="I195" s="1523">
        <f t="shared" si="254"/>
        <v>53.074883847000009</v>
      </c>
      <c r="J195" s="1523">
        <f t="shared" si="254"/>
        <v>52.682042868000011</v>
      </c>
      <c r="K195" s="1523">
        <f t="shared" si="254"/>
        <v>52.289201889000005</v>
      </c>
      <c r="L195" s="1523">
        <f t="shared" si="254"/>
        <v>51.896360910000006</v>
      </c>
      <c r="M195" s="1523">
        <f t="shared" si="254"/>
        <v>59.998945898999999</v>
      </c>
      <c r="N195" s="1523">
        <f t="shared" si="254"/>
        <v>59.589478985999996</v>
      </c>
      <c r="O195" s="1523">
        <f t="shared" si="254"/>
        <v>59.059580628000006</v>
      </c>
      <c r="P195" s="1523">
        <f t="shared" si="254"/>
        <v>58.529682270000009</v>
      </c>
      <c r="Q195" s="1523">
        <f t="shared" si="254"/>
        <v>66.212142696000001</v>
      </c>
      <c r="R195" s="1523">
        <f t="shared" si="254"/>
        <v>65.607214482000003</v>
      </c>
      <c r="S195" s="1523">
        <f t="shared" si="254"/>
        <v>65.029783004999999</v>
      </c>
      <c r="T195" s="1523">
        <f t="shared" si="254"/>
        <v>64.397358053999994</v>
      </c>
      <c r="U195" s="1523">
        <f t="shared" si="254"/>
        <v>63.764933103000011</v>
      </c>
      <c r="V195" s="1523">
        <f t="shared" si="254"/>
        <v>63.132508152000007</v>
      </c>
      <c r="W195" s="1523">
        <f t="shared" si="254"/>
        <v>62.500083201000002</v>
      </c>
      <c r="X195" s="1523">
        <f t="shared" si="254"/>
        <v>61.812664776000005</v>
      </c>
      <c r="Y195" s="1523">
        <f t="shared" si="254"/>
        <v>61.180239825000008</v>
      </c>
      <c r="Z195" s="1523">
        <f t="shared" si="254"/>
        <v>60.547814874000004</v>
      </c>
      <c r="AA195" s="1523">
        <f t="shared" si="254"/>
        <v>59.915389923000006</v>
      </c>
      <c r="AB195" s="1523">
        <f t="shared" si="254"/>
        <v>59.282964972000009</v>
      </c>
      <c r="AC195" s="1523">
        <f t="shared" si="254"/>
        <v>58.650540021000012</v>
      </c>
      <c r="AD195" s="1523">
        <f t="shared" si="254"/>
        <v>58.01811507</v>
      </c>
      <c r="AE195" s="1523">
        <f t="shared" si="254"/>
        <v>57.385690119000003</v>
      </c>
      <c r="AF195" s="1523">
        <f t="shared" si="254"/>
        <v>56.753265167999999</v>
      </c>
      <c r="AG195" s="1523">
        <f t="shared" si="254"/>
        <v>56.120840217000001</v>
      </c>
    </row>
    <row r="196" spans="2:33" ht="15" thickBot="1" x14ac:dyDescent="0.4">
      <c r="B196" t="s">
        <v>2</v>
      </c>
      <c r="C196" s="1446" t="s">
        <v>246</v>
      </c>
      <c r="D196" s="1523">
        <f t="shared" ref="D196:AG196" si="255">IF($C$196="Não",D100,D100*0.2)</f>
        <v>60.621880564799994</v>
      </c>
      <c r="E196" s="1523">
        <f t="shared" si="255"/>
        <v>97.577044998799991</v>
      </c>
      <c r="F196" s="1523">
        <f t="shared" si="255"/>
        <v>97.631934306399998</v>
      </c>
      <c r="G196" s="1523">
        <f t="shared" si="255"/>
        <v>97.686823613999991</v>
      </c>
      <c r="H196" s="1523">
        <f t="shared" si="255"/>
        <v>97.741712921599998</v>
      </c>
      <c r="I196" s="1523">
        <f t="shared" si="255"/>
        <v>128.2013081094</v>
      </c>
      <c r="J196" s="1523">
        <f t="shared" si="255"/>
        <v>128.01085355640001</v>
      </c>
      <c r="K196" s="1523">
        <f t="shared" si="255"/>
        <v>127.82039900340001</v>
      </c>
      <c r="L196" s="1523">
        <f t="shared" si="255"/>
        <v>127.62994445040002</v>
      </c>
      <c r="M196" s="1523">
        <f t="shared" si="255"/>
        <v>148.46043668460001</v>
      </c>
      <c r="N196" s="1523">
        <f t="shared" si="255"/>
        <v>148.23856694759999</v>
      </c>
      <c r="O196" s="1523">
        <f t="shared" si="255"/>
        <v>147.80961878939999</v>
      </c>
      <c r="P196" s="1523">
        <f t="shared" si="255"/>
        <v>147.38067063119999</v>
      </c>
      <c r="Q196" s="1523">
        <f t="shared" si="255"/>
        <v>167.75904600900003</v>
      </c>
      <c r="R196" s="1523">
        <f t="shared" si="255"/>
        <v>167.26936182840004</v>
      </c>
      <c r="S196" s="1523">
        <f t="shared" si="255"/>
        <v>166.7684205402</v>
      </c>
      <c r="T196" s="1523">
        <f t="shared" si="255"/>
        <v>166.0648513152</v>
      </c>
      <c r="U196" s="1523">
        <f t="shared" si="255"/>
        <v>165.36128209020001</v>
      </c>
      <c r="V196" s="1523">
        <f t="shared" si="255"/>
        <v>164.65771286519998</v>
      </c>
      <c r="W196" s="1523">
        <f t="shared" si="255"/>
        <v>163.95414364019999</v>
      </c>
      <c r="X196" s="1523">
        <f t="shared" si="255"/>
        <v>163.25620296899999</v>
      </c>
      <c r="Y196" s="1523">
        <f t="shared" si="255"/>
        <v>162.55263374399999</v>
      </c>
      <c r="Z196" s="1523">
        <f t="shared" si="255"/>
        <v>161.84906451899997</v>
      </c>
      <c r="AA196" s="1523">
        <f t="shared" si="255"/>
        <v>161.14549529399997</v>
      </c>
      <c r="AB196" s="1523">
        <f t="shared" si="255"/>
        <v>160.44192606899998</v>
      </c>
      <c r="AC196" s="1523">
        <f t="shared" si="255"/>
        <v>159.73835684399998</v>
      </c>
      <c r="AD196" s="1523">
        <f t="shared" si="255"/>
        <v>159.03478761899999</v>
      </c>
      <c r="AE196" s="1523">
        <f t="shared" si="255"/>
        <v>158.33121839399996</v>
      </c>
      <c r="AF196" s="1523">
        <f t="shared" si="255"/>
        <v>157.62764916899997</v>
      </c>
      <c r="AG196" s="1523">
        <f t="shared" si="255"/>
        <v>156.924079944</v>
      </c>
    </row>
    <row r="197" spans="2:33" ht="15" thickBot="1" x14ac:dyDescent="0.4">
      <c r="B197" t="s">
        <v>3</v>
      </c>
      <c r="C197" s="1446" t="s">
        <v>245</v>
      </c>
      <c r="D197" s="1523">
        <f t="shared" ref="D197:AG197" si="256">IF($C$197="Não",D101,D101*0.2)</f>
        <v>0</v>
      </c>
      <c r="E197" s="1523">
        <f t="shared" si="256"/>
        <v>0</v>
      </c>
      <c r="F197" s="1523">
        <f t="shared" si="256"/>
        <v>57.635718588000003</v>
      </c>
      <c r="G197" s="1523">
        <f t="shared" si="256"/>
        <v>57.698811875999994</v>
      </c>
      <c r="H197" s="1523">
        <f t="shared" si="256"/>
        <v>57.761905164000005</v>
      </c>
      <c r="I197" s="1523">
        <f t="shared" si="256"/>
        <v>75.838984788000019</v>
      </c>
      <c r="J197" s="1523">
        <f t="shared" si="256"/>
        <v>75.818308947000006</v>
      </c>
      <c r="K197" s="1523">
        <f t="shared" si="256"/>
        <v>75.797633106000006</v>
      </c>
      <c r="L197" s="1523">
        <f t="shared" si="256"/>
        <v>75.776957265000007</v>
      </c>
      <c r="M197" s="1523">
        <f t="shared" si="256"/>
        <v>88.252162896000016</v>
      </c>
      <c r="N197" s="1523">
        <f t="shared" si="256"/>
        <v>88.179904029000014</v>
      </c>
      <c r="O197" s="1523">
        <f t="shared" si="256"/>
        <v>87.987213717000017</v>
      </c>
      <c r="P197" s="1523">
        <f t="shared" si="256"/>
        <v>87.794523405000007</v>
      </c>
      <c r="Q197" s="1523">
        <f t="shared" si="256"/>
        <v>100.00563246900001</v>
      </c>
      <c r="R197" s="1523">
        <f t="shared" si="256"/>
        <v>99.785658573000021</v>
      </c>
      <c r="S197" s="1523">
        <f t="shared" si="256"/>
        <v>99.593181414000014</v>
      </c>
      <c r="T197" s="1523">
        <f t="shared" si="256"/>
        <v>99.263220570000016</v>
      </c>
      <c r="U197" s="1523">
        <f t="shared" si="256"/>
        <v>98.933259726000017</v>
      </c>
      <c r="V197" s="1523">
        <f t="shared" si="256"/>
        <v>98.603298882000004</v>
      </c>
      <c r="W197" s="1523">
        <f t="shared" si="256"/>
        <v>98.273338038000006</v>
      </c>
      <c r="X197" s="1523">
        <f t="shared" si="256"/>
        <v>97.943377194000007</v>
      </c>
      <c r="Y197" s="1523">
        <f t="shared" si="256"/>
        <v>97.613416350000008</v>
      </c>
      <c r="Z197" s="1523">
        <f t="shared" si="256"/>
        <v>97.283455505999996</v>
      </c>
      <c r="AA197" s="1523">
        <f t="shared" si="256"/>
        <v>96.953494662000011</v>
      </c>
      <c r="AB197" s="1523">
        <f t="shared" si="256"/>
        <v>96.623533817999999</v>
      </c>
      <c r="AC197" s="1523">
        <f t="shared" si="256"/>
        <v>96.293572974</v>
      </c>
      <c r="AD197" s="1523">
        <f t="shared" si="256"/>
        <v>95.963612130000001</v>
      </c>
      <c r="AE197" s="1523">
        <f t="shared" si="256"/>
        <v>95.633651286000003</v>
      </c>
      <c r="AF197" s="1523">
        <f t="shared" si="256"/>
        <v>95.30369044199999</v>
      </c>
      <c r="AG197" s="1523">
        <f t="shared" si="256"/>
        <v>94.973729598000006</v>
      </c>
    </row>
    <row r="198" spans="2:33" ht="15" thickBot="1" x14ac:dyDescent="0.4">
      <c r="B198" t="s">
        <v>4</v>
      </c>
      <c r="C198" s="1446" t="s">
        <v>245</v>
      </c>
      <c r="D198" s="1523">
        <f t="shared" ref="D198:AG198" si="257">IF($C$198="Não",D102,D102*0.2)</f>
        <v>0</v>
      </c>
      <c r="E198" s="1523">
        <f t="shared" si="257"/>
        <v>0</v>
      </c>
      <c r="F198" s="1523">
        <f t="shared" si="257"/>
        <v>139.95189157199999</v>
      </c>
      <c r="G198" s="1523">
        <f t="shared" si="257"/>
        <v>141.22431920400001</v>
      </c>
      <c r="H198" s="1523">
        <f t="shared" si="257"/>
        <v>142.49674683599997</v>
      </c>
      <c r="I198" s="1523">
        <f t="shared" si="257"/>
        <v>188.43433206</v>
      </c>
      <c r="J198" s="1523">
        <f t="shared" si="257"/>
        <v>189.883826922</v>
      </c>
      <c r="K198" s="1523">
        <f t="shared" si="257"/>
        <v>191.33332178399999</v>
      </c>
      <c r="L198" s="1523">
        <f t="shared" si="257"/>
        <v>192.78281664600001</v>
      </c>
      <c r="M198" s="1523">
        <f t="shared" si="257"/>
        <v>226.27063093199999</v>
      </c>
      <c r="N198" s="1523">
        <f t="shared" si="257"/>
        <v>227.93608640400001</v>
      </c>
      <c r="O198" s="1523">
        <f t="shared" si="257"/>
        <v>229.27770331200003</v>
      </c>
      <c r="P198" s="1523">
        <f t="shared" si="257"/>
        <v>230.61932022000002</v>
      </c>
      <c r="Q198" s="1523">
        <f t="shared" si="257"/>
        <v>264.80496362399998</v>
      </c>
      <c r="R198" s="1523">
        <f t="shared" si="257"/>
        <v>266.33654398800002</v>
      </c>
      <c r="S198" s="1523">
        <f t="shared" si="257"/>
        <v>267.92093746800003</v>
      </c>
      <c r="T198" s="1523">
        <f t="shared" si="257"/>
        <v>269.03001290399999</v>
      </c>
      <c r="U198" s="1523">
        <f t="shared" si="257"/>
        <v>270.13908834</v>
      </c>
      <c r="V198" s="1523">
        <f t="shared" si="257"/>
        <v>271.24816377600001</v>
      </c>
      <c r="W198" s="1523">
        <f t="shared" si="257"/>
        <v>272.35723921200002</v>
      </c>
      <c r="X198" s="1523">
        <f t="shared" si="257"/>
        <v>273.41350153200005</v>
      </c>
      <c r="Y198" s="1523">
        <f t="shared" si="257"/>
        <v>274.52257696800001</v>
      </c>
      <c r="Z198" s="1523">
        <f t="shared" si="257"/>
        <v>275.63165240400002</v>
      </c>
      <c r="AA198" s="1523">
        <f t="shared" si="257"/>
        <v>276.74072784000003</v>
      </c>
      <c r="AB198" s="1523">
        <f t="shared" si="257"/>
        <v>277.84980327599999</v>
      </c>
      <c r="AC198" s="1523">
        <f t="shared" si="257"/>
        <v>278.95887871200006</v>
      </c>
      <c r="AD198" s="1523">
        <f t="shared" si="257"/>
        <v>280.06795414800001</v>
      </c>
      <c r="AE198" s="1523">
        <f t="shared" si="257"/>
        <v>281.17702958400002</v>
      </c>
      <c r="AF198" s="1523">
        <f t="shared" si="257"/>
        <v>282.28610502000004</v>
      </c>
      <c r="AG198" s="1523">
        <f t="shared" si="257"/>
        <v>283.39518045599999</v>
      </c>
    </row>
    <row r="199" spans="2:33" ht="15" thickBot="1" x14ac:dyDescent="0.4">
      <c r="B199" t="s">
        <v>5</v>
      </c>
      <c r="C199" s="1446" t="s">
        <v>246</v>
      </c>
      <c r="D199" s="1523">
        <f t="shared" ref="D199:AG199" si="258">IF($C$199="Não",D103,D103*0.2)</f>
        <v>0</v>
      </c>
      <c r="E199" s="1523">
        <f t="shared" si="258"/>
        <v>0</v>
      </c>
      <c r="F199" s="1523">
        <f t="shared" si="258"/>
        <v>64.523995475199996</v>
      </c>
      <c r="G199" s="1523">
        <f t="shared" si="258"/>
        <v>64.798442013199974</v>
      </c>
      <c r="H199" s="1523">
        <f t="shared" si="258"/>
        <v>65.072888551199995</v>
      </c>
      <c r="I199" s="1523">
        <f t="shared" si="258"/>
        <v>85.653760969200007</v>
      </c>
      <c r="J199" s="1523">
        <f t="shared" si="258"/>
        <v>85.861144815800003</v>
      </c>
      <c r="K199" s="1523">
        <f t="shared" si="258"/>
        <v>86.068528662400013</v>
      </c>
      <c r="L199" s="1523">
        <f t="shared" si="258"/>
        <v>86.275912508999994</v>
      </c>
      <c r="M199" s="1523">
        <f t="shared" si="258"/>
        <v>100.74858235240001</v>
      </c>
      <c r="N199" s="1523">
        <f t="shared" si="258"/>
        <v>101.00003472099999</v>
      </c>
      <c r="O199" s="1523">
        <f t="shared" si="258"/>
        <v>101.09371305439998</v>
      </c>
      <c r="P199" s="1523">
        <f t="shared" si="258"/>
        <v>101.18739138780001</v>
      </c>
      <c r="Q199" s="1523">
        <f t="shared" si="258"/>
        <v>115.62175215960002</v>
      </c>
      <c r="R199" s="1523">
        <f t="shared" si="258"/>
        <v>115.72869468179999</v>
      </c>
      <c r="S199" s="1523">
        <f t="shared" si="258"/>
        <v>115.84689431160001</v>
      </c>
      <c r="T199" s="1523">
        <f t="shared" si="258"/>
        <v>115.77935166600001</v>
      </c>
      <c r="U199" s="1523">
        <f t="shared" si="258"/>
        <v>115.71180902039998</v>
      </c>
      <c r="V199" s="1523">
        <f t="shared" si="258"/>
        <v>115.64426637480001</v>
      </c>
      <c r="W199" s="1523">
        <f t="shared" si="258"/>
        <v>115.5767237292</v>
      </c>
      <c r="X199" s="1523">
        <f t="shared" si="258"/>
        <v>115.50918108359997</v>
      </c>
      <c r="Y199" s="1523">
        <f t="shared" si="258"/>
        <v>115.44163843799998</v>
      </c>
      <c r="Z199" s="1523">
        <f t="shared" si="258"/>
        <v>115.37409579240003</v>
      </c>
      <c r="AA199" s="1523">
        <f t="shared" si="258"/>
        <v>115.30655314680001</v>
      </c>
      <c r="AB199" s="1523">
        <f t="shared" si="258"/>
        <v>115.23901050119999</v>
      </c>
      <c r="AC199" s="1523">
        <f t="shared" si="258"/>
        <v>115.17146785560001</v>
      </c>
      <c r="AD199" s="1523">
        <f t="shared" si="258"/>
        <v>115.10392521000001</v>
      </c>
      <c r="AE199" s="1523">
        <f t="shared" si="258"/>
        <v>115.0363825644</v>
      </c>
      <c r="AF199" s="1523">
        <f t="shared" si="258"/>
        <v>114.96883991879997</v>
      </c>
      <c r="AG199" s="1523">
        <f t="shared" si="258"/>
        <v>114.9012972732</v>
      </c>
    </row>
    <row r="200" spans="2:33" ht="15" thickBot="1" x14ac:dyDescent="0.4">
      <c r="B200" t="s">
        <v>6</v>
      </c>
      <c r="C200" s="1446" t="s">
        <v>246</v>
      </c>
      <c r="D200" s="1523">
        <f t="shared" ref="D200:AG200" si="259">IF($C$200="Não",D104,D104*0.2)</f>
        <v>0</v>
      </c>
      <c r="E200" s="1523">
        <f t="shared" si="259"/>
        <v>0</v>
      </c>
      <c r="F200" s="1523">
        <f t="shared" si="259"/>
        <v>694.44326929600004</v>
      </c>
      <c r="G200" s="1523">
        <f t="shared" si="259"/>
        <v>698.13631122400011</v>
      </c>
      <c r="H200" s="1523">
        <f t="shared" si="259"/>
        <v>701.82935315200007</v>
      </c>
      <c r="I200" s="1523">
        <f t="shared" si="259"/>
        <v>924.80116064800006</v>
      </c>
      <c r="J200" s="1523">
        <f t="shared" si="259"/>
        <v>929.6524841160001</v>
      </c>
      <c r="K200" s="1523">
        <f t="shared" si="259"/>
        <v>934.50380758400013</v>
      </c>
      <c r="L200" s="1523">
        <f t="shared" si="259"/>
        <v>939.35513105200016</v>
      </c>
      <c r="M200" s="1523">
        <f t="shared" si="259"/>
        <v>1099.9518490800001</v>
      </c>
      <c r="N200" s="1523">
        <f t="shared" si="259"/>
        <v>1105.5912239160002</v>
      </c>
      <c r="O200" s="1523">
        <f t="shared" si="259"/>
        <v>1109.3933914160002</v>
      </c>
      <c r="P200" s="1523">
        <f t="shared" si="259"/>
        <v>1113.1955589160002</v>
      </c>
      <c r="Q200" s="1523">
        <f t="shared" si="259"/>
        <v>1275.1566965280001</v>
      </c>
      <c r="R200" s="1523">
        <f t="shared" si="259"/>
        <v>1279.4972240280003</v>
      </c>
      <c r="S200" s="1523">
        <f t="shared" si="259"/>
        <v>1283.830806684</v>
      </c>
      <c r="T200" s="1523">
        <f t="shared" si="259"/>
        <v>1286.4490128719999</v>
      </c>
      <c r="U200" s="1523">
        <f t="shared" si="259"/>
        <v>1289.0672190600001</v>
      </c>
      <c r="V200" s="1523">
        <f t="shared" si="259"/>
        <v>1291.685425248</v>
      </c>
      <c r="W200" s="1523">
        <f t="shared" si="259"/>
        <v>1294.3036314360002</v>
      </c>
      <c r="X200" s="1523">
        <f t="shared" si="259"/>
        <v>1296.9148927800002</v>
      </c>
      <c r="Y200" s="1523">
        <f t="shared" si="259"/>
        <v>1299.5330989679999</v>
      </c>
      <c r="Z200" s="1523">
        <f t="shared" si="259"/>
        <v>1302.1513051559998</v>
      </c>
      <c r="AA200" s="1523">
        <f t="shared" si="259"/>
        <v>1304.769511344</v>
      </c>
      <c r="AB200" s="1523">
        <f t="shared" si="259"/>
        <v>1307.3877175320001</v>
      </c>
      <c r="AC200" s="1523">
        <f t="shared" si="259"/>
        <v>1310.0059237200003</v>
      </c>
      <c r="AD200" s="1523">
        <f t="shared" si="259"/>
        <v>1312.624129908</v>
      </c>
      <c r="AE200" s="1523">
        <f t="shared" si="259"/>
        <v>1315.2423360960001</v>
      </c>
      <c r="AF200" s="1523">
        <f t="shared" si="259"/>
        <v>1317.8605422840001</v>
      </c>
      <c r="AG200" s="1523">
        <f t="shared" si="259"/>
        <v>1320.478748472</v>
      </c>
    </row>
    <row r="201" spans="2:33" ht="15" thickBot="1" x14ac:dyDescent="0.4">
      <c r="B201" t="s">
        <v>7</v>
      </c>
      <c r="C201" s="1446" t="s">
        <v>246</v>
      </c>
      <c r="D201" s="1523">
        <f t="shared" ref="D201:AG201" si="260">IF($C$201="Não",D105,D105*0.2)</f>
        <v>0</v>
      </c>
      <c r="E201" s="1523">
        <f t="shared" si="260"/>
        <v>0</v>
      </c>
      <c r="F201" s="1523">
        <f t="shared" si="260"/>
        <v>61.379161027999999</v>
      </c>
      <c r="G201" s="1523">
        <f t="shared" si="260"/>
        <v>61.214493105199999</v>
      </c>
      <c r="H201" s="1523">
        <f t="shared" si="260"/>
        <v>61.049825182399992</v>
      </c>
      <c r="I201" s="1523">
        <f t="shared" si="260"/>
        <v>79.800457707000007</v>
      </c>
      <c r="J201" s="1523">
        <f t="shared" si="260"/>
        <v>79.423780924399992</v>
      </c>
      <c r="K201" s="1523">
        <f t="shared" si="260"/>
        <v>79.047104141799991</v>
      </c>
      <c r="L201" s="1523">
        <f t="shared" si="260"/>
        <v>78.670427359200005</v>
      </c>
      <c r="M201" s="1523">
        <f t="shared" si="260"/>
        <v>91.208183661400014</v>
      </c>
      <c r="N201" s="1523">
        <f t="shared" si="260"/>
        <v>90.764444187399988</v>
      </c>
      <c r="O201" s="1523">
        <f t="shared" si="260"/>
        <v>90.162930678199984</v>
      </c>
      <c r="P201" s="1523">
        <f t="shared" si="260"/>
        <v>89.561417169000009</v>
      </c>
      <c r="Q201" s="1523">
        <f t="shared" si="260"/>
        <v>101.55599621340001</v>
      </c>
      <c r="R201" s="1523">
        <f t="shared" si="260"/>
        <v>100.86931264980001</v>
      </c>
      <c r="S201" s="1523">
        <f t="shared" si="260"/>
        <v>100.17137197860001</v>
      </c>
      <c r="T201" s="1523">
        <f t="shared" si="260"/>
        <v>99.428402877000011</v>
      </c>
      <c r="U201" s="1523">
        <f t="shared" si="260"/>
        <v>98.6854337754</v>
      </c>
      <c r="V201" s="1523">
        <f t="shared" si="260"/>
        <v>97.942464673800004</v>
      </c>
      <c r="W201" s="1523">
        <f t="shared" si="260"/>
        <v>97.199495572199993</v>
      </c>
      <c r="X201" s="1523">
        <f t="shared" si="260"/>
        <v>96.467783578199999</v>
      </c>
      <c r="Y201" s="1523">
        <f t="shared" si="260"/>
        <v>95.724814476600002</v>
      </c>
      <c r="Z201" s="1523">
        <f t="shared" si="260"/>
        <v>94.981845375000006</v>
      </c>
      <c r="AA201" s="1523">
        <f t="shared" si="260"/>
        <v>94.23887627340001</v>
      </c>
      <c r="AB201" s="1523">
        <f t="shared" si="260"/>
        <v>93.495907171799999</v>
      </c>
      <c r="AC201" s="1523">
        <f t="shared" si="260"/>
        <v>92.752938070200003</v>
      </c>
      <c r="AD201" s="1523">
        <f t="shared" si="260"/>
        <v>92.009968968599992</v>
      </c>
      <c r="AE201" s="1523">
        <f t="shared" si="260"/>
        <v>91.26699986700001</v>
      </c>
      <c r="AF201" s="1523">
        <f t="shared" si="260"/>
        <v>90.524030765399999</v>
      </c>
      <c r="AG201" s="1523">
        <f t="shared" si="260"/>
        <v>89.781061663800017</v>
      </c>
    </row>
    <row r="202" spans="2:33" ht="15" thickBot="1" x14ac:dyDescent="0.4">
      <c r="B202" t="s">
        <v>8</v>
      </c>
      <c r="C202" s="1446" t="s">
        <v>246</v>
      </c>
      <c r="D202" s="1523">
        <f t="shared" ref="D202:AG202" si="261">IF($C$202="Não",D106,D106*0.2)</f>
        <v>31.015425783600001</v>
      </c>
      <c r="E202" s="1523">
        <f t="shared" si="261"/>
        <v>50.327037503599996</v>
      </c>
      <c r="F202" s="1523">
        <f t="shared" si="261"/>
        <v>50.759694398799994</v>
      </c>
      <c r="G202" s="1523">
        <f t="shared" si="261"/>
        <v>51.192351293999998</v>
      </c>
      <c r="H202" s="1523">
        <f t="shared" si="261"/>
        <v>51.625008189199995</v>
      </c>
      <c r="I202" s="1523">
        <f t="shared" si="261"/>
        <v>68.229285531399995</v>
      </c>
      <c r="J202" s="1523">
        <f t="shared" si="261"/>
        <v>68.677911811800001</v>
      </c>
      <c r="K202" s="1523">
        <f t="shared" si="261"/>
        <v>69.126538092199993</v>
      </c>
      <c r="L202" s="1523">
        <f t="shared" si="261"/>
        <v>69.5751643726</v>
      </c>
      <c r="M202" s="1523">
        <f t="shared" si="261"/>
        <v>81.574106637000014</v>
      </c>
      <c r="N202" s="1523">
        <f t="shared" si="261"/>
        <v>82.101663567200006</v>
      </c>
      <c r="O202" s="1523">
        <f t="shared" si="261"/>
        <v>82.520750848200009</v>
      </c>
      <c r="P202" s="1523">
        <f t="shared" si="261"/>
        <v>82.939838129199998</v>
      </c>
      <c r="Q202" s="1523">
        <f t="shared" si="261"/>
        <v>95.161959096600015</v>
      </c>
      <c r="R202" s="1523">
        <f t="shared" si="261"/>
        <v>95.640386169600006</v>
      </c>
      <c r="S202" s="1523">
        <f t="shared" si="261"/>
        <v>96.124441796400021</v>
      </c>
      <c r="T202" s="1523">
        <f t="shared" si="261"/>
        <v>96.434012255400006</v>
      </c>
      <c r="U202" s="1523">
        <f t="shared" si="261"/>
        <v>96.743582714400006</v>
      </c>
      <c r="V202" s="1523">
        <f t="shared" si="261"/>
        <v>97.053153173400005</v>
      </c>
      <c r="W202" s="1523">
        <f t="shared" si="261"/>
        <v>97.362723632399991</v>
      </c>
      <c r="X202" s="1523">
        <f t="shared" si="261"/>
        <v>97.677922645200013</v>
      </c>
      <c r="Y202" s="1523">
        <f t="shared" si="261"/>
        <v>97.987493104199984</v>
      </c>
      <c r="Z202" s="1523">
        <f t="shared" si="261"/>
        <v>98.297063563199998</v>
      </c>
      <c r="AA202" s="1523">
        <f t="shared" si="261"/>
        <v>98.606634022199998</v>
      </c>
      <c r="AB202" s="1523">
        <f t="shared" si="261"/>
        <v>98.916204481199998</v>
      </c>
      <c r="AC202" s="1523">
        <f t="shared" si="261"/>
        <v>99.225774940199983</v>
      </c>
      <c r="AD202" s="1523">
        <f t="shared" si="261"/>
        <v>99.535345399200011</v>
      </c>
      <c r="AE202" s="1523">
        <f t="shared" si="261"/>
        <v>99.844915858200011</v>
      </c>
      <c r="AF202" s="1523">
        <f t="shared" si="261"/>
        <v>100.1544863172</v>
      </c>
      <c r="AG202" s="1523">
        <f t="shared" si="261"/>
        <v>100.46405677620001</v>
      </c>
    </row>
    <row r="203" spans="2:33" ht="15" thickBot="1" x14ac:dyDescent="0.4">
      <c r="B203" t="s">
        <v>9</v>
      </c>
      <c r="C203" s="1446" t="s">
        <v>245</v>
      </c>
      <c r="D203" s="1523">
        <f t="shared" ref="D203:AG203" si="262">IF($C$203="Não",D107,D107*0.2)</f>
        <v>0</v>
      </c>
      <c r="E203" s="1523">
        <f t="shared" si="262"/>
        <v>0</v>
      </c>
      <c r="F203" s="1523">
        <f t="shared" si="262"/>
        <v>207.01340922199998</v>
      </c>
      <c r="G203" s="1523">
        <f t="shared" si="262"/>
        <v>208.80538367599996</v>
      </c>
      <c r="H203" s="1523">
        <f t="shared" si="262"/>
        <v>210.59735813</v>
      </c>
      <c r="I203" s="1523">
        <f t="shared" si="262"/>
        <v>278.44455648600001</v>
      </c>
      <c r="J203" s="1523">
        <f t="shared" si="262"/>
        <v>280.43374848400003</v>
      </c>
      <c r="K203" s="1523">
        <f t="shared" si="262"/>
        <v>282.42294048200006</v>
      </c>
      <c r="L203" s="1523">
        <f t="shared" si="262"/>
        <v>284.41213247999997</v>
      </c>
      <c r="M203" s="1523">
        <f t="shared" si="262"/>
        <v>333.64278006199993</v>
      </c>
      <c r="N203" s="1523">
        <f t="shared" si="262"/>
        <v>335.93543401100004</v>
      </c>
      <c r="O203" s="1523">
        <f t="shared" si="262"/>
        <v>337.56247874900004</v>
      </c>
      <c r="P203" s="1523">
        <f t="shared" si="262"/>
        <v>339.18952348699997</v>
      </c>
      <c r="Q203" s="1523">
        <f t="shared" si="262"/>
        <v>389.07378142499999</v>
      </c>
      <c r="R203" s="1523">
        <f t="shared" si="262"/>
        <v>390.93120417900002</v>
      </c>
      <c r="S203" s="1523">
        <f t="shared" si="262"/>
        <v>392.84491247099999</v>
      </c>
      <c r="T203" s="1523">
        <f t="shared" si="262"/>
        <v>394.19576538299998</v>
      </c>
      <c r="U203" s="1523">
        <f t="shared" si="262"/>
        <v>395.54661829499997</v>
      </c>
      <c r="V203" s="1523">
        <f t="shared" si="262"/>
        <v>396.89747120699997</v>
      </c>
      <c r="W203" s="1523">
        <f t="shared" si="262"/>
        <v>398.24832411899996</v>
      </c>
      <c r="X203" s="1523">
        <f t="shared" si="262"/>
        <v>399.65546256900001</v>
      </c>
      <c r="Y203" s="1523">
        <f t="shared" si="262"/>
        <v>401.006315481</v>
      </c>
      <c r="Z203" s="1523">
        <f t="shared" si="262"/>
        <v>402.35716839299999</v>
      </c>
      <c r="AA203" s="1523">
        <f t="shared" si="262"/>
        <v>403.70802130500005</v>
      </c>
      <c r="AB203" s="1523">
        <f t="shared" si="262"/>
        <v>405.05887421699998</v>
      </c>
      <c r="AC203" s="1523">
        <f t="shared" si="262"/>
        <v>406.40972712899998</v>
      </c>
      <c r="AD203" s="1523">
        <f t="shared" si="262"/>
        <v>407.76058004099997</v>
      </c>
      <c r="AE203" s="1523">
        <f t="shared" si="262"/>
        <v>409.11143295299996</v>
      </c>
      <c r="AF203" s="1523">
        <f t="shared" si="262"/>
        <v>410.46228586499996</v>
      </c>
      <c r="AG203" s="1523">
        <f t="shared" si="262"/>
        <v>411.81313877699995</v>
      </c>
    </row>
    <row r="204" spans="2:33" x14ac:dyDescent="0.35">
      <c r="C204" s="92"/>
      <c r="D204" s="365"/>
      <c r="E204" s="365"/>
      <c r="F204" s="365"/>
      <c r="G204" s="365"/>
      <c r="H204" s="365"/>
      <c r="I204" s="365"/>
      <c r="J204" s="365"/>
      <c r="K204" s="365"/>
      <c r="L204" s="365"/>
      <c r="M204" s="365"/>
      <c r="N204" s="365"/>
      <c r="O204" s="365"/>
      <c r="P204" s="365"/>
      <c r="Q204" s="365"/>
      <c r="R204" s="365"/>
      <c r="S204" s="365"/>
      <c r="T204" s="365"/>
      <c r="U204" s="365"/>
      <c r="V204" s="365"/>
      <c r="W204" s="365"/>
      <c r="X204" s="365"/>
      <c r="Y204" s="365"/>
      <c r="Z204" s="365"/>
      <c r="AA204" s="365"/>
      <c r="AB204" s="365"/>
      <c r="AC204" s="365"/>
      <c r="AD204" s="365"/>
      <c r="AE204" s="365"/>
      <c r="AF204" s="365"/>
      <c r="AG204" s="365"/>
    </row>
    <row r="205" spans="2:33" x14ac:dyDescent="0.35">
      <c r="B205" s="81" t="s">
        <v>200</v>
      </c>
      <c r="C205" s="85"/>
      <c r="D205" s="362">
        <f t="shared" ref="D205:AG205" si="263">SUM(D195:D203)</f>
        <v>91.637306348399989</v>
      </c>
      <c r="E205" s="362">
        <f t="shared" si="263"/>
        <v>147.9040825024</v>
      </c>
      <c r="F205" s="362">
        <f t="shared" si="263"/>
        <v>1414.5389909504001</v>
      </c>
      <c r="G205" s="362">
        <f t="shared" si="263"/>
        <v>1421.7202532404001</v>
      </c>
      <c r="H205" s="362">
        <f t="shared" si="263"/>
        <v>1428.9015155303998</v>
      </c>
      <c r="I205" s="362">
        <f t="shared" si="263"/>
        <v>1882.4787301460001</v>
      </c>
      <c r="J205" s="362">
        <f t="shared" si="263"/>
        <v>1890.4441024454002</v>
      </c>
      <c r="K205" s="362">
        <f t="shared" si="263"/>
        <v>1898.4094747448</v>
      </c>
      <c r="L205" s="362">
        <f t="shared" si="263"/>
        <v>1906.3748470442001</v>
      </c>
      <c r="M205" s="362">
        <f t="shared" si="263"/>
        <v>2230.1076782044001</v>
      </c>
      <c r="N205" s="362">
        <f t="shared" si="263"/>
        <v>2239.3368367692001</v>
      </c>
      <c r="O205" s="362">
        <f t="shared" si="263"/>
        <v>2244.8673811922004</v>
      </c>
      <c r="P205" s="362">
        <f t="shared" si="263"/>
        <v>2250.3979256152002</v>
      </c>
      <c r="Q205" s="362">
        <f t="shared" si="263"/>
        <v>2575.3519702206004</v>
      </c>
      <c r="R205" s="362">
        <f t="shared" si="263"/>
        <v>2581.6656005796003</v>
      </c>
      <c r="S205" s="362">
        <f t="shared" si="263"/>
        <v>2588.1307496688</v>
      </c>
      <c r="T205" s="362">
        <f t="shared" si="263"/>
        <v>2591.0419878965995</v>
      </c>
      <c r="U205" s="362">
        <f t="shared" si="263"/>
        <v>2593.9532261243999</v>
      </c>
      <c r="V205" s="362">
        <f t="shared" si="263"/>
        <v>2596.8644643521998</v>
      </c>
      <c r="W205" s="362">
        <f t="shared" si="263"/>
        <v>2599.7757025799997</v>
      </c>
      <c r="X205" s="362">
        <f t="shared" si="263"/>
        <v>2602.6509891270002</v>
      </c>
      <c r="Y205" s="362">
        <f t="shared" si="263"/>
        <v>2605.5622273547997</v>
      </c>
      <c r="Z205" s="362">
        <f t="shared" si="263"/>
        <v>2608.4734655825996</v>
      </c>
      <c r="AA205" s="362">
        <f t="shared" si="263"/>
        <v>2611.3847038104</v>
      </c>
      <c r="AB205" s="362">
        <f t="shared" si="263"/>
        <v>2614.2959420381999</v>
      </c>
      <c r="AC205" s="362">
        <f t="shared" si="263"/>
        <v>2617.2071802660003</v>
      </c>
      <c r="AD205" s="362">
        <f t="shared" si="263"/>
        <v>2620.1184184938002</v>
      </c>
      <c r="AE205" s="362">
        <f t="shared" si="263"/>
        <v>2623.0296567216001</v>
      </c>
      <c r="AF205" s="362">
        <f t="shared" si="263"/>
        <v>2625.9408949494</v>
      </c>
      <c r="AG205" s="362">
        <f t="shared" si="263"/>
        <v>2628.8521331771999</v>
      </c>
    </row>
    <row r="207" spans="2:33" x14ac:dyDescent="0.35">
      <c r="B207" s="730" t="s">
        <v>247</v>
      </c>
      <c r="C207" s="726"/>
      <c r="D207" s="726"/>
      <c r="E207" s="726"/>
      <c r="F207" s="726"/>
      <c r="G207" s="726"/>
      <c r="H207" s="726"/>
      <c r="I207" s="726"/>
      <c r="J207" s="726"/>
      <c r="K207" s="726"/>
      <c r="L207" s="726"/>
      <c r="M207" s="726"/>
      <c r="N207" s="726"/>
      <c r="O207" s="726"/>
      <c r="P207" s="726"/>
      <c r="Q207" s="726"/>
      <c r="R207" s="726"/>
      <c r="S207" s="726"/>
      <c r="T207" s="726"/>
      <c r="U207" s="726"/>
      <c r="V207" s="726"/>
      <c r="W207" s="726"/>
      <c r="X207" s="726"/>
      <c r="Y207" s="726"/>
      <c r="Z207" s="726"/>
      <c r="AA207" s="726"/>
      <c r="AB207" s="726"/>
      <c r="AC207" s="726"/>
      <c r="AD207" s="726"/>
      <c r="AE207" s="726"/>
      <c r="AF207" s="726"/>
      <c r="AG207" s="726"/>
    </row>
    <row r="208" spans="2:33" x14ac:dyDescent="0.35">
      <c r="B208" s="734"/>
      <c r="C208" s="734"/>
      <c r="D208" s="735">
        <v>1</v>
      </c>
      <c r="E208" s="735">
        <f>D208+1</f>
        <v>2</v>
      </c>
      <c r="F208" s="735">
        <f t="shared" ref="F208" si="264">E208+1</f>
        <v>3</v>
      </c>
      <c r="G208" s="735">
        <f t="shared" ref="G208" si="265">F208+1</f>
        <v>4</v>
      </c>
      <c r="H208" s="735">
        <f t="shared" ref="H208" si="266">G208+1</f>
        <v>5</v>
      </c>
      <c r="I208" s="735">
        <f t="shared" ref="I208" si="267">H208+1</f>
        <v>6</v>
      </c>
      <c r="J208" s="735">
        <f t="shared" ref="J208" si="268">I208+1</f>
        <v>7</v>
      </c>
      <c r="K208" s="735">
        <f t="shared" ref="K208" si="269">J208+1</f>
        <v>8</v>
      </c>
      <c r="L208" s="735">
        <f t="shared" ref="L208" si="270">K208+1</f>
        <v>9</v>
      </c>
      <c r="M208" s="735">
        <f t="shared" ref="M208" si="271">L208+1</f>
        <v>10</v>
      </c>
      <c r="N208" s="735">
        <f t="shared" ref="N208" si="272">M208+1</f>
        <v>11</v>
      </c>
      <c r="O208" s="735">
        <f t="shared" ref="O208" si="273">N208+1</f>
        <v>12</v>
      </c>
      <c r="P208" s="735">
        <f t="shared" ref="P208" si="274">O208+1</f>
        <v>13</v>
      </c>
      <c r="Q208" s="735">
        <f t="shared" ref="Q208" si="275">P208+1</f>
        <v>14</v>
      </c>
      <c r="R208" s="735">
        <f t="shared" ref="R208" si="276">Q208+1</f>
        <v>15</v>
      </c>
      <c r="S208" s="735">
        <f t="shared" ref="S208" si="277">R208+1</f>
        <v>16</v>
      </c>
      <c r="T208" s="735">
        <f t="shared" ref="T208" si="278">S208+1</f>
        <v>17</v>
      </c>
      <c r="U208" s="735">
        <f t="shared" ref="U208" si="279">T208+1</f>
        <v>18</v>
      </c>
      <c r="V208" s="735">
        <f t="shared" ref="V208" si="280">U208+1</f>
        <v>19</v>
      </c>
      <c r="W208" s="735">
        <f t="shared" ref="W208" si="281">V208+1</f>
        <v>20</v>
      </c>
      <c r="X208" s="735">
        <f t="shared" ref="X208" si="282">W208+1</f>
        <v>21</v>
      </c>
      <c r="Y208" s="735">
        <f t="shared" ref="Y208" si="283">X208+1</f>
        <v>22</v>
      </c>
      <c r="Z208" s="735">
        <f t="shared" ref="Z208" si="284">Y208+1</f>
        <v>23</v>
      </c>
      <c r="AA208" s="735">
        <f t="shared" ref="AA208" si="285">Z208+1</f>
        <v>24</v>
      </c>
      <c r="AB208" s="735">
        <f t="shared" ref="AB208" si="286">AA208+1</f>
        <v>25</v>
      </c>
      <c r="AC208" s="735">
        <f t="shared" ref="AC208" si="287">AB208+1</f>
        <v>26</v>
      </c>
      <c r="AD208" s="735">
        <f t="shared" ref="AD208" si="288">AC208+1</f>
        <v>27</v>
      </c>
      <c r="AE208" s="735">
        <f t="shared" ref="AE208" si="289">AD208+1</f>
        <v>28</v>
      </c>
      <c r="AF208" s="735">
        <f t="shared" ref="AF208" si="290">AE208+1</f>
        <v>29</v>
      </c>
      <c r="AG208" s="735">
        <f t="shared" ref="AG208" si="291">AF208+1</f>
        <v>30</v>
      </c>
    </row>
    <row r="209" spans="1:33" x14ac:dyDescent="0.35">
      <c r="B209" s="1454" t="s">
        <v>248</v>
      </c>
      <c r="C209" s="1454"/>
      <c r="D209" s="1455">
        <f>D180-D100+D196</f>
        <v>7592.231607256801</v>
      </c>
      <c r="E209" s="1455">
        <f>E180-E100+E196</f>
        <v>7264.2154175457999</v>
      </c>
      <c r="F209" s="1455">
        <f t="shared" ref="F209:AG209" si="292">(F179+F186)-F99-F106+(F195+F202)</f>
        <v>4425.2467588418003</v>
      </c>
      <c r="G209" s="1455">
        <f t="shared" si="292"/>
        <v>4453.74425118</v>
      </c>
      <c r="H209" s="1455">
        <f t="shared" si="292"/>
        <v>4482.2417435181997</v>
      </c>
      <c r="I209" s="1455">
        <f t="shared" si="292"/>
        <v>4352.0710278903998</v>
      </c>
      <c r="J209" s="1455">
        <f t="shared" si="292"/>
        <v>4371.9840537107993</v>
      </c>
      <c r="K209" s="1455">
        <f t="shared" si="292"/>
        <v>4347.5923739912005</v>
      </c>
      <c r="L209" s="1455">
        <f t="shared" si="292"/>
        <v>4359.287458988103</v>
      </c>
      <c r="M209" s="1455">
        <f t="shared" si="292"/>
        <v>4238.1885261410889</v>
      </c>
      <c r="N209" s="1455">
        <f t="shared" si="292"/>
        <v>4247.0344014122547</v>
      </c>
      <c r="O209" s="1455">
        <f t="shared" si="292"/>
        <v>4249.7763262088156</v>
      </c>
      <c r="P209" s="1455">
        <f t="shared" si="292"/>
        <v>4252.4464302156794</v>
      </c>
      <c r="Q209" s="1455">
        <f t="shared" si="292"/>
        <v>4108.2686108803518</v>
      </c>
      <c r="R209" s="1455">
        <f t="shared" si="292"/>
        <v>4107.4218493999806</v>
      </c>
      <c r="S209" s="1455">
        <f t="shared" si="292"/>
        <v>4106.9202836943077</v>
      </c>
      <c r="T209" s="1455">
        <f t="shared" si="292"/>
        <v>4099.4131418355419</v>
      </c>
      <c r="U209" s="1455">
        <f t="shared" si="292"/>
        <v>4091.8597602514005</v>
      </c>
      <c r="V209" s="1455">
        <f t="shared" si="292"/>
        <v>4084.2601389418815</v>
      </c>
      <c r="W209" s="1455">
        <f t="shared" si="292"/>
        <v>4076.6142779069874</v>
      </c>
      <c r="X209" s="1455">
        <f t="shared" si="292"/>
        <v>4068.6820377593472</v>
      </c>
      <c r="Y209" s="1455">
        <f t="shared" si="292"/>
        <v>4060.9443754101121</v>
      </c>
      <c r="Z209" s="1455">
        <f t="shared" si="292"/>
        <v>4053.1604733354993</v>
      </c>
      <c r="AA209" s="1455">
        <f t="shared" si="292"/>
        <v>4045.3303315355124</v>
      </c>
      <c r="AB209" s="1455">
        <f t="shared" si="292"/>
        <v>4037.4539500101478</v>
      </c>
      <c r="AC209" s="1455">
        <f t="shared" si="292"/>
        <v>4029.5313287594072</v>
      </c>
      <c r="AD209" s="1455">
        <f t="shared" si="292"/>
        <v>4021.562467783292</v>
      </c>
      <c r="AE209" s="1455">
        <f t="shared" si="292"/>
        <v>4013.5473670818001</v>
      </c>
      <c r="AF209" s="1455">
        <f t="shared" si="292"/>
        <v>4005.4860266549313</v>
      </c>
      <c r="AG209" s="1455">
        <f t="shared" si="292"/>
        <v>3994.2442498061996</v>
      </c>
    </row>
    <row r="210" spans="1:33" x14ac:dyDescent="0.35">
      <c r="B210" s="1456" t="s">
        <v>249</v>
      </c>
      <c r="C210" s="1456"/>
      <c r="D210" s="1457">
        <f t="shared" ref="D210:AG210" si="293">(D179+D186)-D99-D106+(D195+D202)</f>
        <v>4579.8354843125999</v>
      </c>
      <c r="E210" s="1457">
        <f t="shared" si="293"/>
        <v>4438.1857833976001</v>
      </c>
      <c r="F210" s="1457">
        <f t="shared" si="293"/>
        <v>4425.2467588418003</v>
      </c>
      <c r="G210" s="1457">
        <f t="shared" si="293"/>
        <v>4453.74425118</v>
      </c>
      <c r="H210" s="1457">
        <f t="shared" si="293"/>
        <v>4482.2417435181997</v>
      </c>
      <c r="I210" s="1457">
        <f t="shared" si="293"/>
        <v>4352.0710278903998</v>
      </c>
      <c r="J210" s="1457">
        <f t="shared" si="293"/>
        <v>4371.9840537107993</v>
      </c>
      <c r="K210" s="1457">
        <f t="shared" si="293"/>
        <v>4347.5923739912005</v>
      </c>
      <c r="L210" s="1457">
        <f t="shared" si="293"/>
        <v>4359.287458988103</v>
      </c>
      <c r="M210" s="1457">
        <f t="shared" si="293"/>
        <v>4238.1885261410889</v>
      </c>
      <c r="N210" s="1457">
        <f t="shared" si="293"/>
        <v>4247.0344014122547</v>
      </c>
      <c r="O210" s="1457">
        <f t="shared" si="293"/>
        <v>4249.7763262088156</v>
      </c>
      <c r="P210" s="1457">
        <f t="shared" si="293"/>
        <v>4252.4464302156794</v>
      </c>
      <c r="Q210" s="1457">
        <f t="shared" si="293"/>
        <v>4108.2686108803518</v>
      </c>
      <c r="R210" s="1457">
        <f t="shared" si="293"/>
        <v>4107.4218493999806</v>
      </c>
      <c r="S210" s="1457">
        <f t="shared" si="293"/>
        <v>4106.9202836943077</v>
      </c>
      <c r="T210" s="1457">
        <f t="shared" si="293"/>
        <v>4099.4131418355419</v>
      </c>
      <c r="U210" s="1457">
        <f t="shared" si="293"/>
        <v>4091.8597602514005</v>
      </c>
      <c r="V210" s="1457">
        <f t="shared" si="293"/>
        <v>4084.2601389418815</v>
      </c>
      <c r="W210" s="1457">
        <f t="shared" si="293"/>
        <v>4076.6142779069874</v>
      </c>
      <c r="X210" s="1457">
        <f t="shared" si="293"/>
        <v>4068.6820377593472</v>
      </c>
      <c r="Y210" s="1457">
        <f t="shared" si="293"/>
        <v>4060.9443754101121</v>
      </c>
      <c r="Z210" s="1457">
        <f t="shared" si="293"/>
        <v>4053.1604733354993</v>
      </c>
      <c r="AA210" s="1457">
        <f t="shared" si="293"/>
        <v>4045.3303315355124</v>
      </c>
      <c r="AB210" s="1457">
        <f t="shared" si="293"/>
        <v>4037.4539500101478</v>
      </c>
      <c r="AC210" s="1457">
        <f t="shared" si="293"/>
        <v>4029.5313287594072</v>
      </c>
      <c r="AD210" s="1457">
        <f t="shared" si="293"/>
        <v>4021.562467783292</v>
      </c>
      <c r="AE210" s="1457">
        <f t="shared" si="293"/>
        <v>4013.5473670818001</v>
      </c>
      <c r="AF210" s="1457">
        <f t="shared" si="293"/>
        <v>4005.4860266549313</v>
      </c>
      <c r="AG210" s="1457">
        <f t="shared" si="293"/>
        <v>3994.2442498061996</v>
      </c>
    </row>
    <row r="211" spans="1:33" x14ac:dyDescent="0.35">
      <c r="B211" s="1456" t="s">
        <v>250</v>
      </c>
      <c r="C211" s="1456"/>
      <c r="D211" s="1457">
        <f t="shared" ref="D211:AG211" si="294">D181+D187+D182-D101-D107-D102+D197+D198+D203</f>
        <v>6648.0722346349994</v>
      </c>
      <c r="E211" s="1457">
        <f t="shared" si="294"/>
        <v>6700.2675966200004</v>
      </c>
      <c r="F211" s="1457">
        <f t="shared" si="294"/>
        <v>6347.8619392229994</v>
      </c>
      <c r="G211" s="1457">
        <f t="shared" si="294"/>
        <v>6396.9298058339991</v>
      </c>
      <c r="H211" s="1457">
        <f t="shared" si="294"/>
        <v>6445.9976724449989</v>
      </c>
      <c r="I211" s="1457">
        <f t="shared" si="294"/>
        <v>6367.1437098360002</v>
      </c>
      <c r="J211" s="1457">
        <f t="shared" si="294"/>
        <v>6407.2436741620004</v>
      </c>
      <c r="K211" s="1457">
        <f t="shared" si="294"/>
        <v>6386.1561944672003</v>
      </c>
      <c r="L211" s="1457">
        <f t="shared" si="294"/>
        <v>6414.7933556485677</v>
      </c>
      <c r="M211" s="1457">
        <f t="shared" si="294"/>
        <v>6323.4345071284788</v>
      </c>
      <c r="N211" s="1457">
        <f t="shared" si="294"/>
        <v>6346.3876622805128</v>
      </c>
      <c r="O211" s="1457">
        <f t="shared" si="294"/>
        <v>6358.3856028697919</v>
      </c>
      <c r="P211" s="1457">
        <f t="shared" si="294"/>
        <v>6370.2561927033603</v>
      </c>
      <c r="Q211" s="1457">
        <f t="shared" si="294"/>
        <v>6243.5184689155831</v>
      </c>
      <c r="R211" s="1457">
        <f t="shared" si="294"/>
        <v>6250.64373021964</v>
      </c>
      <c r="S211" s="1457">
        <f t="shared" si="294"/>
        <v>6258.7332745406511</v>
      </c>
      <c r="T211" s="1457">
        <f t="shared" si="294"/>
        <v>6257.0083676902741</v>
      </c>
      <c r="U211" s="1457">
        <f t="shared" si="294"/>
        <v>6255.1758727138804</v>
      </c>
      <c r="V211" s="1457">
        <f t="shared" si="294"/>
        <v>6253.23578961147</v>
      </c>
      <c r="W211" s="1457">
        <f t="shared" si="294"/>
        <v>6251.1881183830437</v>
      </c>
      <c r="X211" s="1457">
        <f t="shared" si="294"/>
        <v>6249.0610030358303</v>
      </c>
      <c r="Y211" s="1457">
        <f t="shared" si="294"/>
        <v>6246.7980678565291</v>
      </c>
      <c r="Z211" s="1457">
        <f t="shared" si="294"/>
        <v>6244.4275445512103</v>
      </c>
      <c r="AA211" s="1457">
        <f t="shared" si="294"/>
        <v>6241.9494331198757</v>
      </c>
      <c r="AB211" s="1457">
        <f t="shared" si="294"/>
        <v>6239.3637335625253</v>
      </c>
      <c r="AC211" s="1457">
        <f t="shared" si="294"/>
        <v>6236.6704458791601</v>
      </c>
      <c r="AD211" s="1457">
        <f t="shared" si="294"/>
        <v>6233.8695700697772</v>
      </c>
      <c r="AE211" s="1457">
        <f t="shared" si="294"/>
        <v>6230.9611061343794</v>
      </c>
      <c r="AF211" s="1457">
        <f t="shared" si="294"/>
        <v>6227.9450540729658</v>
      </c>
      <c r="AG211" s="1457">
        <f t="shared" si="294"/>
        <v>6220.3865937044993</v>
      </c>
    </row>
    <row r="212" spans="1:33" x14ac:dyDescent="0.35">
      <c r="B212" s="1456" t="s">
        <v>251</v>
      </c>
      <c r="C212" s="1456"/>
      <c r="D212" s="1457">
        <f>+D185-D105+D201</f>
        <v>5149.3238945199992</v>
      </c>
      <c r="E212" s="1457">
        <f t="shared" ref="E212:AG212" si="295">+E185-E105+E201</f>
        <v>5135.5830239349998</v>
      </c>
      <c r="F212" s="1457">
        <f t="shared" si="295"/>
        <v>4569.429704098</v>
      </c>
      <c r="G212" s="1457">
        <f t="shared" si="295"/>
        <v>4557.1708448181998</v>
      </c>
      <c r="H212" s="1457">
        <f t="shared" si="295"/>
        <v>4544.9119855383997</v>
      </c>
      <c r="I212" s="1457">
        <f t="shared" si="295"/>
        <v>4361.8765645619997</v>
      </c>
      <c r="J212" s="1457">
        <f t="shared" si="295"/>
        <v>4341.2874892903992</v>
      </c>
      <c r="K212" s="1457">
        <f t="shared" si="295"/>
        <v>4320.6984140187997</v>
      </c>
      <c r="L212" s="1457">
        <f t="shared" si="295"/>
        <v>4300.1093387472001</v>
      </c>
      <c r="M212" s="1457">
        <f t="shared" si="295"/>
        <v>4163.2903657123998</v>
      </c>
      <c r="N212" s="1457">
        <f t="shared" si="295"/>
        <v>4143.0354258283996</v>
      </c>
      <c r="O212" s="1457">
        <f t="shared" si="295"/>
        <v>4115.5787295412001</v>
      </c>
      <c r="P212" s="1457">
        <f t="shared" si="295"/>
        <v>4088.1220332539992</v>
      </c>
      <c r="Q212" s="1457">
        <f t="shared" si="295"/>
        <v>3947.3005039844002</v>
      </c>
      <c r="R212" s="1457">
        <f t="shared" si="295"/>
        <v>3920.6103381868002</v>
      </c>
      <c r="S212" s="1457">
        <f t="shared" si="295"/>
        <v>3893.4826286875996</v>
      </c>
      <c r="T212" s="1457">
        <f t="shared" si="295"/>
        <v>3864.6047443819998</v>
      </c>
      <c r="U212" s="1457">
        <f t="shared" si="295"/>
        <v>3835.7268600763991</v>
      </c>
      <c r="V212" s="1457">
        <f t="shared" si="295"/>
        <v>3806.8489757707994</v>
      </c>
      <c r="W212" s="1457">
        <f t="shared" si="295"/>
        <v>3777.9710914651996</v>
      </c>
      <c r="X212" s="1457">
        <f t="shared" si="295"/>
        <v>3749.5307508611991</v>
      </c>
      <c r="Y212" s="1457">
        <f t="shared" si="295"/>
        <v>3720.6528665555993</v>
      </c>
      <c r="Z212" s="1457">
        <f t="shared" si="295"/>
        <v>3691.7749822499995</v>
      </c>
      <c r="AA212" s="1457">
        <f t="shared" si="295"/>
        <v>3662.8970979443998</v>
      </c>
      <c r="AB212" s="1457">
        <f t="shared" si="295"/>
        <v>3634.0192136387991</v>
      </c>
      <c r="AC212" s="1457">
        <f t="shared" si="295"/>
        <v>3605.1413293331998</v>
      </c>
      <c r="AD212" s="1457">
        <f t="shared" si="295"/>
        <v>3576.2634450276</v>
      </c>
      <c r="AE212" s="1457">
        <f t="shared" si="295"/>
        <v>3547.3855607219994</v>
      </c>
      <c r="AF212" s="1457">
        <f t="shared" si="295"/>
        <v>3518.5076764163991</v>
      </c>
      <c r="AG212" s="1457">
        <f t="shared" si="295"/>
        <v>3489.6297921107998</v>
      </c>
    </row>
    <row r="213" spans="1:33" x14ac:dyDescent="0.35">
      <c r="B213" s="1456" t="s">
        <v>252</v>
      </c>
      <c r="C213" s="1456"/>
      <c r="D213" s="1457">
        <f>+D184+D183-D104-D103+D200+D199</f>
        <v>62670.599694689998</v>
      </c>
      <c r="E213" s="1457">
        <f t="shared" ref="E213:AG213" si="296">+E184+E183-E104-E103+E200+E199</f>
        <v>63001.670522765002</v>
      </c>
      <c r="F213" s="1457">
        <f t="shared" si="296"/>
        <v>56502.035967899203</v>
      </c>
      <c r="G213" s="1457">
        <f t="shared" si="296"/>
        <v>56797.399399780203</v>
      </c>
      <c r="H213" s="1457">
        <f t="shared" si="296"/>
        <v>57092.76283166121</v>
      </c>
      <c r="I213" s="1457">
        <f t="shared" si="296"/>
        <v>55231.257674375214</v>
      </c>
      <c r="J213" s="1457">
        <f t="shared" si="296"/>
        <v>55507.765573158795</v>
      </c>
      <c r="K213" s="1457">
        <f t="shared" si="296"/>
        <v>55216.119800217595</v>
      </c>
      <c r="L213" s="1457">
        <f t="shared" si="296"/>
        <v>55387.036936749639</v>
      </c>
      <c r="M213" s="1457">
        <f t="shared" si="296"/>
        <v>53766.727779490793</v>
      </c>
      <c r="N213" s="1457">
        <f t="shared" si="296"/>
        <v>53892.131622052882</v>
      </c>
      <c r="O213" s="1457">
        <f t="shared" si="296"/>
        <v>53927.307626908922</v>
      </c>
      <c r="P213" s="1457">
        <f t="shared" si="296"/>
        <v>53961.590000579126</v>
      </c>
      <c r="Q213" s="1457">
        <f t="shared" si="296"/>
        <v>52027.62020572614</v>
      </c>
      <c r="R213" s="1457">
        <f t="shared" si="296"/>
        <v>52017.80774618002</v>
      </c>
      <c r="S213" s="1457">
        <f t="shared" si="296"/>
        <v>52007.032270217751</v>
      </c>
      <c r="T213" s="1457">
        <f t="shared" si="296"/>
        <v>51924.733738588569</v>
      </c>
      <c r="U213" s="1457">
        <f t="shared" si="296"/>
        <v>51841.791016120551</v>
      </c>
      <c r="V213" s="1457">
        <f t="shared" si="296"/>
        <v>51758.204102813681</v>
      </c>
      <c r="W213" s="1457">
        <f t="shared" si="296"/>
        <v>51673.972998667981</v>
      </c>
      <c r="X213" s="1457">
        <f t="shared" si="296"/>
        <v>51588.844042987119</v>
      </c>
      <c r="Y213" s="1457">
        <f t="shared" si="296"/>
        <v>51503.325434152153</v>
      </c>
      <c r="Z213" s="1457">
        <f t="shared" si="296"/>
        <v>51417.162634478329</v>
      </c>
      <c r="AA213" s="1457">
        <f t="shared" si="296"/>
        <v>51330.35564396566</v>
      </c>
      <c r="AB213" s="1457">
        <f t="shared" si="296"/>
        <v>51242.904462614148</v>
      </c>
      <c r="AC213" s="1457">
        <f t="shared" si="296"/>
        <v>51154.809090423791</v>
      </c>
      <c r="AD213" s="1457">
        <f t="shared" si="296"/>
        <v>51066.069527394575</v>
      </c>
      <c r="AE213" s="1457">
        <f t="shared" si="296"/>
        <v>50976.685773526515</v>
      </c>
      <c r="AF213" s="1457">
        <f t="shared" si="296"/>
        <v>50886.657828819603</v>
      </c>
      <c r="AG213" s="1457">
        <f t="shared" si="296"/>
        <v>50755.706036176205</v>
      </c>
    </row>
    <row r="214" spans="1:33" x14ac:dyDescent="0.35">
      <c r="B214" s="1458" t="s">
        <v>253</v>
      </c>
      <c r="C214" s="1458"/>
      <c r="D214" s="1459">
        <v>0</v>
      </c>
      <c r="E214" s="1459">
        <v>0</v>
      </c>
      <c r="F214" s="1459">
        <f t="shared" ref="F214:AG214" si="297">F185+F183+F184-F103-F105-F104+F199+F201+F200</f>
        <v>61071.465671997212</v>
      </c>
      <c r="G214" s="1459">
        <f t="shared" si="297"/>
        <v>61354.570244598406</v>
      </c>
      <c r="H214" s="1459">
        <f t="shared" si="297"/>
        <v>61637.674817199608</v>
      </c>
      <c r="I214" s="1459">
        <f t="shared" si="297"/>
        <v>59593.134238937215</v>
      </c>
      <c r="J214" s="1459">
        <f t="shared" si="297"/>
        <v>59849.053062449188</v>
      </c>
      <c r="K214" s="1459">
        <f t="shared" si="297"/>
        <v>59536.818214236388</v>
      </c>
      <c r="L214" s="1459">
        <f t="shared" si="297"/>
        <v>59687.146275496838</v>
      </c>
      <c r="M214" s="1459">
        <f t="shared" si="297"/>
        <v>57930.018145203183</v>
      </c>
      <c r="N214" s="1459">
        <f t="shared" si="297"/>
        <v>58035.167047881281</v>
      </c>
      <c r="O214" s="1459">
        <f t="shared" si="297"/>
        <v>58042.886356450123</v>
      </c>
      <c r="P214" s="1459">
        <f t="shared" si="297"/>
        <v>58049.71203383313</v>
      </c>
      <c r="Q214" s="1459">
        <f t="shared" si="297"/>
        <v>55974.920709710539</v>
      </c>
      <c r="R214" s="1459">
        <f t="shared" si="297"/>
        <v>55938.418084366815</v>
      </c>
      <c r="S214" s="1459">
        <f t="shared" si="297"/>
        <v>55900.514898905356</v>
      </c>
      <c r="T214" s="1459">
        <f t="shared" si="297"/>
        <v>55789.338482970576</v>
      </c>
      <c r="U214" s="1459">
        <f t="shared" si="297"/>
        <v>55677.517876196944</v>
      </c>
      <c r="V214" s="1459">
        <f t="shared" si="297"/>
        <v>55565.053078584482</v>
      </c>
      <c r="W214" s="1459">
        <f t="shared" si="297"/>
        <v>55451.944090133176</v>
      </c>
      <c r="X214" s="1459">
        <f t="shared" si="297"/>
        <v>55338.374793848321</v>
      </c>
      <c r="Y214" s="1459">
        <f t="shared" si="297"/>
        <v>55223.978300707749</v>
      </c>
      <c r="Z214" s="1459">
        <f t="shared" si="297"/>
        <v>55108.937616728326</v>
      </c>
      <c r="AA214" s="1459">
        <f t="shared" si="297"/>
        <v>54993.252741910059</v>
      </c>
      <c r="AB214" s="1459">
        <f t="shared" si="297"/>
        <v>54876.923676252947</v>
      </c>
      <c r="AC214" s="1459">
        <f t="shared" si="297"/>
        <v>54759.950419756991</v>
      </c>
      <c r="AD214" s="1459">
        <f t="shared" si="297"/>
        <v>54642.332972422177</v>
      </c>
      <c r="AE214" s="1459">
        <f t="shared" si="297"/>
        <v>54524.071334248518</v>
      </c>
      <c r="AF214" s="1459">
        <f t="shared" si="297"/>
        <v>54405.165505236</v>
      </c>
      <c r="AG214" s="1459">
        <f t="shared" si="297"/>
        <v>54245.335828287003</v>
      </c>
    </row>
    <row r="215" spans="1:33" x14ac:dyDescent="0.35">
      <c r="B215" s="731" t="s">
        <v>200</v>
      </c>
      <c r="C215" s="732"/>
      <c r="D215" s="733">
        <f>SUM(D209:D214)</f>
        <v>86640.062915414397</v>
      </c>
      <c r="E215" s="733">
        <f>SUM(E209:E214)</f>
        <v>86539.92234426341</v>
      </c>
      <c r="F215" s="733">
        <f>SUM(F209:F214)</f>
        <v>137341.286800901</v>
      </c>
      <c r="G215" s="733">
        <f t="shared" ref="G215:AG215" si="298">SUM(G209:G214)</f>
        <v>138013.55879739081</v>
      </c>
      <c r="H215" s="733">
        <f t="shared" si="298"/>
        <v>138685.83079388062</v>
      </c>
      <c r="I215" s="733">
        <f t="shared" si="298"/>
        <v>134257.55424349121</v>
      </c>
      <c r="J215" s="733">
        <f t="shared" si="298"/>
        <v>134849.31790648197</v>
      </c>
      <c r="K215" s="733">
        <f t="shared" si="298"/>
        <v>134154.9773709224</v>
      </c>
      <c r="L215" s="733">
        <f t="shared" si="298"/>
        <v>134507.66082461845</v>
      </c>
      <c r="M215" s="733">
        <f t="shared" si="298"/>
        <v>130659.84784981703</v>
      </c>
      <c r="N215" s="733">
        <f t="shared" si="298"/>
        <v>130910.79056086758</v>
      </c>
      <c r="O215" s="733">
        <f t="shared" si="298"/>
        <v>130943.71096818766</v>
      </c>
      <c r="P215" s="733">
        <f t="shared" si="298"/>
        <v>130974.57312080097</v>
      </c>
      <c r="Q215" s="733">
        <f t="shared" si="298"/>
        <v>126409.89711009737</v>
      </c>
      <c r="R215" s="733">
        <f t="shared" si="298"/>
        <v>126342.32359775323</v>
      </c>
      <c r="S215" s="733">
        <f t="shared" si="298"/>
        <v>126273.60363973997</v>
      </c>
      <c r="T215" s="733">
        <f t="shared" si="298"/>
        <v>126034.5116173025</v>
      </c>
      <c r="U215" s="733">
        <f t="shared" si="298"/>
        <v>125793.93114561058</v>
      </c>
      <c r="V215" s="733">
        <f t="shared" si="298"/>
        <v>125551.86222466419</v>
      </c>
      <c r="W215" s="733">
        <f t="shared" si="298"/>
        <v>125308.30485446338</v>
      </c>
      <c r="X215" s="733">
        <f t="shared" si="298"/>
        <v>125063.17466625117</v>
      </c>
      <c r="Y215" s="733">
        <f t="shared" si="298"/>
        <v>124816.64342009225</v>
      </c>
      <c r="Z215" s="733">
        <f t="shared" si="298"/>
        <v>124568.62372467888</v>
      </c>
      <c r="AA215" s="733">
        <f t="shared" si="298"/>
        <v>124319.11558001101</v>
      </c>
      <c r="AB215" s="733">
        <f t="shared" si="298"/>
        <v>124068.11898608871</v>
      </c>
      <c r="AC215" s="733">
        <f t="shared" si="298"/>
        <v>123815.63394291195</v>
      </c>
      <c r="AD215" s="733">
        <f t="shared" si="298"/>
        <v>123561.6604504807</v>
      </c>
      <c r="AE215" s="733">
        <f t="shared" si="298"/>
        <v>123306.198508795</v>
      </c>
      <c r="AF215" s="733">
        <f t="shared" si="298"/>
        <v>123049.24811785483</v>
      </c>
      <c r="AG215" s="733">
        <f t="shared" si="298"/>
        <v>122699.5467498909</v>
      </c>
    </row>
    <row r="216" spans="1:33" x14ac:dyDescent="0.35">
      <c r="D216" s="1698"/>
    </row>
    <row r="217" spans="1:33" x14ac:dyDescent="0.35">
      <c r="B217" s="171" t="s">
        <v>254</v>
      </c>
      <c r="C217" s="78"/>
      <c r="D217" s="78"/>
      <c r="E217" s="78"/>
      <c r="F217" s="78"/>
      <c r="G217" s="78"/>
      <c r="H217" s="78"/>
      <c r="I217" s="78"/>
      <c r="J217" s="78"/>
      <c r="K217" s="78"/>
      <c r="L217" s="78"/>
      <c r="M217" s="78"/>
      <c r="N217" s="78"/>
      <c r="O217" s="78"/>
      <c r="P217" s="78"/>
      <c r="Q217" s="78"/>
      <c r="R217" s="78"/>
      <c r="S217" s="78"/>
      <c r="T217" s="78"/>
      <c r="U217" s="78"/>
      <c r="V217" s="78"/>
      <c r="W217" s="78"/>
      <c r="X217" s="78"/>
      <c r="Y217" s="78"/>
      <c r="Z217" s="78"/>
      <c r="AA217" s="78"/>
      <c r="AB217" s="78"/>
      <c r="AC217" s="78"/>
      <c r="AD217" s="78"/>
      <c r="AE217" s="78"/>
      <c r="AF217" s="78"/>
      <c r="AG217" s="78"/>
    </row>
    <row r="218" spans="1:33" x14ac:dyDescent="0.35">
      <c r="B218" s="737"/>
      <c r="C218" s="737"/>
      <c r="D218" s="738">
        <v>1</v>
      </c>
      <c r="E218" s="738">
        <f>D218+1</f>
        <v>2</v>
      </c>
      <c r="F218" s="738">
        <f t="shared" ref="F218:AG218" si="299">E218+1</f>
        <v>3</v>
      </c>
      <c r="G218" s="738">
        <f t="shared" si="299"/>
        <v>4</v>
      </c>
      <c r="H218" s="738">
        <f t="shared" si="299"/>
        <v>5</v>
      </c>
      <c r="I218" s="738">
        <f t="shared" si="299"/>
        <v>6</v>
      </c>
      <c r="J218" s="738">
        <f t="shared" si="299"/>
        <v>7</v>
      </c>
      <c r="K218" s="738">
        <f t="shared" si="299"/>
        <v>8</v>
      </c>
      <c r="L218" s="738">
        <f t="shared" si="299"/>
        <v>9</v>
      </c>
      <c r="M218" s="738">
        <f t="shared" si="299"/>
        <v>10</v>
      </c>
      <c r="N218" s="738">
        <f t="shared" si="299"/>
        <v>11</v>
      </c>
      <c r="O218" s="738">
        <f t="shared" si="299"/>
        <v>12</v>
      </c>
      <c r="P218" s="738">
        <f t="shared" si="299"/>
        <v>13</v>
      </c>
      <c r="Q218" s="738">
        <f t="shared" si="299"/>
        <v>14</v>
      </c>
      <c r="R218" s="738">
        <f t="shared" si="299"/>
        <v>15</v>
      </c>
      <c r="S218" s="738">
        <f t="shared" si="299"/>
        <v>16</v>
      </c>
      <c r="T218" s="738">
        <f t="shared" si="299"/>
        <v>17</v>
      </c>
      <c r="U218" s="738">
        <f t="shared" si="299"/>
        <v>18</v>
      </c>
      <c r="V218" s="738">
        <f t="shared" si="299"/>
        <v>19</v>
      </c>
      <c r="W218" s="738">
        <f t="shared" si="299"/>
        <v>20</v>
      </c>
      <c r="X218" s="738">
        <f t="shared" si="299"/>
        <v>21</v>
      </c>
      <c r="Y218" s="738">
        <f t="shared" si="299"/>
        <v>22</v>
      </c>
      <c r="Z218" s="738">
        <f t="shared" si="299"/>
        <v>23</v>
      </c>
      <c r="AA218" s="738">
        <f t="shared" si="299"/>
        <v>24</v>
      </c>
      <c r="AB218" s="738">
        <f t="shared" si="299"/>
        <v>25</v>
      </c>
      <c r="AC218" s="738">
        <f t="shared" si="299"/>
        <v>26</v>
      </c>
      <c r="AD218" s="738">
        <f t="shared" si="299"/>
        <v>27</v>
      </c>
      <c r="AE218" s="738">
        <f t="shared" si="299"/>
        <v>28</v>
      </c>
      <c r="AF218" s="738">
        <f t="shared" si="299"/>
        <v>29</v>
      </c>
      <c r="AG218" s="738">
        <f t="shared" si="299"/>
        <v>30</v>
      </c>
    </row>
    <row r="219" spans="1:33" s="77" customFormat="1" x14ac:dyDescent="0.35">
      <c r="A219"/>
      <c r="B219" s="171" t="s">
        <v>255</v>
      </c>
      <c r="C219" s="171"/>
      <c r="D219" s="1449">
        <f>D215</f>
        <v>86640.062915414397</v>
      </c>
      <c r="E219" s="1449">
        <f>E215</f>
        <v>86539.92234426341</v>
      </c>
      <c r="F219" s="1450">
        <v>0</v>
      </c>
      <c r="G219" s="1450">
        <v>0</v>
      </c>
      <c r="H219" s="1450">
        <v>0</v>
      </c>
      <c r="I219" s="1450">
        <v>0</v>
      </c>
      <c r="J219" s="1450">
        <v>0</v>
      </c>
      <c r="K219" s="1450">
        <v>0</v>
      </c>
      <c r="L219" s="1450">
        <v>0</v>
      </c>
      <c r="M219" s="1450">
        <v>0</v>
      </c>
      <c r="N219" s="1450">
        <v>0</v>
      </c>
      <c r="O219" s="1450">
        <v>0</v>
      </c>
      <c r="P219" s="1450">
        <v>0</v>
      </c>
      <c r="Q219" s="1450">
        <v>0</v>
      </c>
      <c r="R219" s="1450">
        <v>0</v>
      </c>
      <c r="S219" s="1450">
        <v>0</v>
      </c>
      <c r="T219" s="1450">
        <v>0</v>
      </c>
      <c r="U219" s="1450">
        <v>0</v>
      </c>
      <c r="V219" s="1450">
        <v>0</v>
      </c>
      <c r="W219" s="1450">
        <v>0</v>
      </c>
      <c r="X219" s="1450">
        <v>0</v>
      </c>
      <c r="Y219" s="1450">
        <v>0</v>
      </c>
      <c r="Z219" s="1450">
        <v>0</v>
      </c>
      <c r="AA219" s="1450">
        <v>0</v>
      </c>
      <c r="AB219" s="1450">
        <v>0</v>
      </c>
      <c r="AC219" s="1450">
        <v>0</v>
      </c>
      <c r="AD219" s="1450">
        <v>0</v>
      </c>
      <c r="AE219" s="1450">
        <v>0</v>
      </c>
      <c r="AF219" s="1450">
        <v>0</v>
      </c>
      <c r="AG219" s="1450">
        <v>0</v>
      </c>
    </row>
    <row r="220" spans="1:33" s="77" customFormat="1" x14ac:dyDescent="0.35">
      <c r="A220"/>
      <c r="B220" s="1451" t="s">
        <v>256</v>
      </c>
      <c r="C220" s="1451"/>
      <c r="D220" s="1453">
        <v>0</v>
      </c>
      <c r="E220" s="1453">
        <v>0</v>
      </c>
      <c r="F220" s="1452">
        <f>F221+F231</f>
        <v>79112.876074034386</v>
      </c>
      <c r="G220" s="1452">
        <f>G221+G231</f>
        <v>79477.632292011403</v>
      </c>
      <c r="H220" s="1452">
        <f>H221+H231</f>
        <v>79842.388509988392</v>
      </c>
      <c r="I220" s="1452">
        <f t="shared" ref="I220:AG220" si="300">I221+I231</f>
        <v>77319.806044663987</v>
      </c>
      <c r="J220" s="1452">
        <f t="shared" si="300"/>
        <v>77625.327651724379</v>
      </c>
      <c r="K220" s="1452">
        <f t="shared" si="300"/>
        <v>77186.045689600374</v>
      </c>
      <c r="L220" s="1452">
        <f t="shared" si="300"/>
        <v>77353.612506789577</v>
      </c>
      <c r="M220" s="1452">
        <f t="shared" si="300"/>
        <v>75139.620704658693</v>
      </c>
      <c r="N220" s="1452">
        <f t="shared" si="300"/>
        <v>75249.631908145486</v>
      </c>
      <c r="O220" s="1452">
        <f t="shared" si="300"/>
        <v>75235.979883093751</v>
      </c>
      <c r="P220" s="1452">
        <f t="shared" si="300"/>
        <v>75221.333447667042</v>
      </c>
      <c r="Q220" s="1452">
        <f t="shared" si="300"/>
        <v>72602.40464119942</v>
      </c>
      <c r="R220" s="1452">
        <f t="shared" si="300"/>
        <v>72532.739304551054</v>
      </c>
      <c r="S220" s="1452">
        <f t="shared" si="300"/>
        <v>72462.688286325385</v>
      </c>
      <c r="T220" s="1452">
        <f t="shared" si="300"/>
        <v>72295.16718318683</v>
      </c>
      <c r="U220" s="1452">
        <f t="shared" si="300"/>
        <v>72127.025753492504</v>
      </c>
      <c r="V220" s="1452">
        <f t="shared" si="300"/>
        <v>71958.263997242466</v>
      </c>
      <c r="W220" s="1452">
        <f t="shared" si="300"/>
        <v>71788.881914436672</v>
      </c>
      <c r="X220" s="1452">
        <f t="shared" si="300"/>
        <v>71619.056975846033</v>
      </c>
      <c r="Y220" s="1452">
        <f t="shared" si="300"/>
        <v>71448.434996586235</v>
      </c>
      <c r="Z220" s="1452">
        <f t="shared" si="300"/>
        <v>71277.19269077068</v>
      </c>
      <c r="AA220" s="1452">
        <f t="shared" si="300"/>
        <v>71105.330058399428</v>
      </c>
      <c r="AB220" s="1452">
        <f t="shared" si="300"/>
        <v>70932.847099472361</v>
      </c>
      <c r="AC220" s="1452">
        <f t="shared" si="300"/>
        <v>70759.74381398964</v>
      </c>
      <c r="AD220" s="1452">
        <f t="shared" si="300"/>
        <v>70586.020201951149</v>
      </c>
      <c r="AE220" s="1452">
        <f t="shared" si="300"/>
        <v>70411.676263356916</v>
      </c>
      <c r="AF220" s="1452">
        <f t="shared" si="300"/>
        <v>70236.711998206913</v>
      </c>
      <c r="AG220" s="1452">
        <f t="shared" si="300"/>
        <v>70008.875126561717</v>
      </c>
    </row>
    <row r="221" spans="1:33" x14ac:dyDescent="0.35">
      <c r="B221" s="1467" t="s">
        <v>257</v>
      </c>
      <c r="C221" s="1467"/>
      <c r="D221" s="1450">
        <v>0</v>
      </c>
      <c r="E221" s="1450">
        <v>0</v>
      </c>
      <c r="F221" s="1468">
        <f>SUM(F223:F230)</f>
        <v>77698.337083083985</v>
      </c>
      <c r="G221" s="1468">
        <f t="shared" ref="G221:AG221" si="301">SUM(G223:G230)</f>
        <v>78055.912038770999</v>
      </c>
      <c r="H221" s="1468">
        <f t="shared" si="301"/>
        <v>78413.486994457999</v>
      </c>
      <c r="I221" s="1468">
        <f t="shared" si="301"/>
        <v>75437.327314517985</v>
      </c>
      <c r="J221" s="1468">
        <f t="shared" si="301"/>
        <v>75734.88354927898</v>
      </c>
      <c r="K221" s="1468">
        <f t="shared" si="301"/>
        <v>75287.636214855578</v>
      </c>
      <c r="L221" s="1468">
        <f t="shared" si="301"/>
        <v>75447.237659745384</v>
      </c>
      <c r="M221" s="1468">
        <f t="shared" si="301"/>
        <v>72909.513026454297</v>
      </c>
      <c r="N221" s="1468">
        <f t="shared" si="301"/>
        <v>73010.295071376284</v>
      </c>
      <c r="O221" s="1468">
        <f t="shared" si="301"/>
        <v>72991.112501901545</v>
      </c>
      <c r="P221" s="1468">
        <f t="shared" si="301"/>
        <v>72970.935522051848</v>
      </c>
      <c r="Q221" s="1468">
        <f t="shared" si="301"/>
        <v>70027.052670978825</v>
      </c>
      <c r="R221" s="1468">
        <f t="shared" si="301"/>
        <v>69951.073703971459</v>
      </c>
      <c r="S221" s="1468">
        <f t="shared" si="301"/>
        <v>69874.55753665659</v>
      </c>
      <c r="T221" s="1468">
        <f t="shared" si="301"/>
        <v>69704.125195290224</v>
      </c>
      <c r="U221" s="1468">
        <f t="shared" si="301"/>
        <v>69533.072527368102</v>
      </c>
      <c r="V221" s="1468">
        <f t="shared" si="301"/>
        <v>69361.399532890267</v>
      </c>
      <c r="W221" s="1468">
        <f t="shared" si="301"/>
        <v>69189.106211856677</v>
      </c>
      <c r="X221" s="1468">
        <f t="shared" si="301"/>
        <v>69016.405986719037</v>
      </c>
      <c r="Y221" s="1468">
        <f t="shared" si="301"/>
        <v>68842.872769231442</v>
      </c>
      <c r="Z221" s="1468">
        <f t="shared" si="301"/>
        <v>68668.719225188077</v>
      </c>
      <c r="AA221" s="1468">
        <f t="shared" si="301"/>
        <v>68493.945354589028</v>
      </c>
      <c r="AB221" s="1468">
        <f t="shared" si="301"/>
        <v>68318.551157434165</v>
      </c>
      <c r="AC221" s="1468">
        <f t="shared" si="301"/>
        <v>68142.536633723634</v>
      </c>
      <c r="AD221" s="1468">
        <f t="shared" si="301"/>
        <v>67965.901783457346</v>
      </c>
      <c r="AE221" s="1468">
        <f t="shared" si="301"/>
        <v>67788.646606635317</v>
      </c>
      <c r="AF221" s="1468">
        <f t="shared" si="301"/>
        <v>67610.771103257517</v>
      </c>
      <c r="AG221" s="1468">
        <f t="shared" si="301"/>
        <v>67380.022993384511</v>
      </c>
    </row>
    <row r="222" spans="1:33" s="19" customFormat="1" x14ac:dyDescent="0.35">
      <c r="A222"/>
      <c r="B222" s="1877" t="s">
        <v>258</v>
      </c>
      <c r="C222" s="1877"/>
      <c r="D222" s="1460"/>
      <c r="E222" s="1460"/>
      <c r="F222" s="1460"/>
      <c r="G222" s="1460"/>
      <c r="H222" s="1460"/>
      <c r="I222" s="1460"/>
      <c r="J222" s="1460"/>
      <c r="K222" s="1461"/>
      <c r="L222" s="1461"/>
      <c r="M222" s="1461"/>
      <c r="N222" s="1461"/>
      <c r="O222" s="1461"/>
      <c r="P222" s="1461"/>
      <c r="Q222" s="1461"/>
      <c r="R222" s="1461"/>
      <c r="S222" s="1461"/>
      <c r="T222" s="1461"/>
      <c r="U222" s="1461"/>
      <c r="V222" s="1461"/>
      <c r="W222" s="1461"/>
      <c r="X222" s="1461"/>
      <c r="Y222" s="1461"/>
      <c r="Z222" s="1461"/>
      <c r="AA222" s="1461"/>
      <c r="AB222" s="1461"/>
      <c r="AC222" s="1461"/>
      <c r="AD222" s="1461"/>
      <c r="AE222" s="1461"/>
      <c r="AF222" s="1461"/>
      <c r="AG222" s="1461"/>
    </row>
    <row r="223" spans="1:33" s="19" customFormat="1" x14ac:dyDescent="0.35">
      <c r="A223"/>
      <c r="B223" s="1462">
        <v>0.1</v>
      </c>
      <c r="C223" s="1463" t="s">
        <v>259</v>
      </c>
      <c r="D223" s="1461">
        <v>0</v>
      </c>
      <c r="E223" s="1461">
        <v>0</v>
      </c>
      <c r="F223" s="1460">
        <f>(F189-F109)*$B$223</f>
        <v>7769.8337083084007</v>
      </c>
      <c r="G223" s="1460">
        <f>(G189-G109)*$B$223</f>
        <v>7805.5912038771003</v>
      </c>
      <c r="H223" s="1460">
        <f>(H189-H109)*$B$223</f>
        <v>7841.3486994457999</v>
      </c>
      <c r="I223" s="1460">
        <f>(I189-I109)*$B$223</f>
        <v>7543.7327314518006</v>
      </c>
      <c r="J223" s="1460">
        <f>(J189-J109)*$B$223</f>
        <v>7573.4883549279002</v>
      </c>
      <c r="K223" s="1461">
        <v>0</v>
      </c>
      <c r="L223" s="1461">
        <v>0</v>
      </c>
      <c r="M223" s="1461">
        <v>0</v>
      </c>
      <c r="N223" s="1461">
        <v>0</v>
      </c>
      <c r="O223" s="1461">
        <v>0</v>
      </c>
      <c r="P223" s="1461">
        <v>0</v>
      </c>
      <c r="Q223" s="1461">
        <v>0</v>
      </c>
      <c r="R223" s="1461">
        <v>0</v>
      </c>
      <c r="S223" s="1461">
        <v>0</v>
      </c>
      <c r="T223" s="1461">
        <v>0</v>
      </c>
      <c r="U223" s="1461">
        <v>0</v>
      </c>
      <c r="V223" s="1461">
        <v>0</v>
      </c>
      <c r="W223" s="1461">
        <v>0</v>
      </c>
      <c r="X223" s="1461">
        <v>0</v>
      </c>
      <c r="Y223" s="1461">
        <v>0</v>
      </c>
      <c r="Z223" s="1461">
        <v>0</v>
      </c>
      <c r="AA223" s="1461">
        <v>0</v>
      </c>
      <c r="AB223" s="1461">
        <v>0</v>
      </c>
      <c r="AC223" s="1461">
        <v>0</v>
      </c>
      <c r="AD223" s="1461">
        <v>0</v>
      </c>
      <c r="AE223" s="1461">
        <v>0</v>
      </c>
      <c r="AF223" s="1461">
        <v>0</v>
      </c>
      <c r="AG223" s="1461">
        <v>0</v>
      </c>
    </row>
    <row r="224" spans="1:33" s="19" customFormat="1" x14ac:dyDescent="0.35">
      <c r="A224"/>
      <c r="B224" s="1462">
        <v>0.7</v>
      </c>
      <c r="C224" s="1463" t="s">
        <v>260</v>
      </c>
      <c r="D224" s="1461">
        <v>0</v>
      </c>
      <c r="E224" s="1461">
        <v>0</v>
      </c>
      <c r="F224" s="1460">
        <f>(F189-F109)*$B$224</f>
        <v>54388.835958158794</v>
      </c>
      <c r="G224" s="1460">
        <f>(G189-G109)*$B$224</f>
        <v>54639.138427139696</v>
      </c>
      <c r="H224" s="1460">
        <f>(H189-H109)*$B$224</f>
        <v>54889.440896120599</v>
      </c>
      <c r="I224" s="1460">
        <f>(I189-I109)*$B$224</f>
        <v>52806.129120162594</v>
      </c>
      <c r="J224" s="1460">
        <f>(J189-J109)*$B$224</f>
        <v>53014.418484495291</v>
      </c>
      <c r="K224" s="1461">
        <v>0</v>
      </c>
      <c r="L224" s="1461">
        <v>0</v>
      </c>
      <c r="M224" s="1461">
        <v>0</v>
      </c>
      <c r="N224" s="1461">
        <v>0</v>
      </c>
      <c r="O224" s="1461">
        <v>0</v>
      </c>
      <c r="P224" s="1461">
        <v>0</v>
      </c>
      <c r="Q224" s="1461">
        <v>0</v>
      </c>
      <c r="R224" s="1461">
        <v>0</v>
      </c>
      <c r="S224" s="1461">
        <v>0</v>
      </c>
      <c r="T224" s="1461">
        <v>0</v>
      </c>
      <c r="U224" s="1461">
        <v>0</v>
      </c>
      <c r="V224" s="1461">
        <v>0</v>
      </c>
      <c r="W224" s="1461">
        <v>0</v>
      </c>
      <c r="X224" s="1461">
        <v>0</v>
      </c>
      <c r="Y224" s="1461">
        <v>0</v>
      </c>
      <c r="Z224" s="1461">
        <v>0</v>
      </c>
      <c r="AA224" s="1461">
        <v>0</v>
      </c>
      <c r="AB224" s="1461">
        <v>0</v>
      </c>
      <c r="AC224" s="1461">
        <v>0</v>
      </c>
      <c r="AD224" s="1461">
        <v>0</v>
      </c>
      <c r="AE224" s="1461">
        <v>0</v>
      </c>
      <c r="AF224" s="1461">
        <v>0</v>
      </c>
      <c r="AG224" s="1461">
        <v>0</v>
      </c>
    </row>
    <row r="225" spans="1:33" s="19" customFormat="1" x14ac:dyDescent="0.35">
      <c r="A225"/>
      <c r="B225" s="1462">
        <v>0.2</v>
      </c>
      <c r="C225" s="1463" t="s">
        <v>261</v>
      </c>
      <c r="D225" s="1461">
        <v>0</v>
      </c>
      <c r="E225" s="1461">
        <v>0</v>
      </c>
      <c r="F225" s="1460">
        <f>(F189-F109)*$B$225</f>
        <v>15539.667416616801</v>
      </c>
      <c r="G225" s="1460">
        <f>(G189-G109)*$B$225</f>
        <v>15611.182407754201</v>
      </c>
      <c r="H225" s="1460">
        <f>(H189-H109)*$B$225</f>
        <v>15682.6973988916</v>
      </c>
      <c r="I225" s="1460">
        <f>(I189-I109)*$B$225</f>
        <v>15087.465462903601</v>
      </c>
      <c r="J225" s="1460">
        <f>(J189-J109)*$B$225</f>
        <v>15146.9767098558</v>
      </c>
      <c r="K225" s="1461">
        <v>0</v>
      </c>
      <c r="L225" s="1461">
        <v>0</v>
      </c>
      <c r="M225" s="1461">
        <v>0</v>
      </c>
      <c r="N225" s="1461">
        <v>0</v>
      </c>
      <c r="O225" s="1461">
        <v>0</v>
      </c>
      <c r="P225" s="1461">
        <v>0</v>
      </c>
      <c r="Q225" s="1461">
        <v>0</v>
      </c>
      <c r="R225" s="1461">
        <v>0</v>
      </c>
      <c r="S225" s="1461">
        <v>0</v>
      </c>
      <c r="T225" s="1461">
        <v>0</v>
      </c>
      <c r="U225" s="1461">
        <v>0</v>
      </c>
      <c r="V225" s="1461">
        <v>0</v>
      </c>
      <c r="W225" s="1461">
        <v>0</v>
      </c>
      <c r="X225" s="1461">
        <v>0</v>
      </c>
      <c r="Y225" s="1461">
        <v>0</v>
      </c>
      <c r="Z225" s="1461">
        <v>0</v>
      </c>
      <c r="AA225" s="1461">
        <v>0</v>
      </c>
      <c r="AB225" s="1461">
        <v>0</v>
      </c>
      <c r="AC225" s="1461">
        <v>0</v>
      </c>
      <c r="AD225" s="1461">
        <v>0</v>
      </c>
      <c r="AE225" s="1461">
        <v>0</v>
      </c>
      <c r="AF225" s="1461">
        <v>0</v>
      </c>
      <c r="AG225" s="1461">
        <v>0</v>
      </c>
    </row>
    <row r="226" spans="1:33" s="19" customFormat="1" x14ac:dyDescent="0.35">
      <c r="A226"/>
      <c r="B226" s="1877" t="s">
        <v>262</v>
      </c>
      <c r="C226" s="1877"/>
      <c r="D226" s="1461"/>
      <c r="E226" s="1461"/>
      <c r="F226" s="1460"/>
      <c r="G226" s="1460"/>
      <c r="H226" s="1460"/>
      <c r="I226" s="1460"/>
      <c r="J226" s="1460"/>
      <c r="K226" s="1460"/>
      <c r="L226" s="1460"/>
      <c r="M226" s="1460"/>
      <c r="N226" s="1460"/>
      <c r="O226" s="1460"/>
      <c r="P226" s="1460"/>
      <c r="Q226" s="1460"/>
      <c r="R226" s="1460"/>
      <c r="S226" s="1460"/>
      <c r="T226" s="1460"/>
      <c r="U226" s="1460"/>
      <c r="V226" s="1460"/>
      <c r="W226" s="1460"/>
      <c r="X226" s="1460"/>
      <c r="Y226" s="1460"/>
      <c r="Z226" s="1460"/>
      <c r="AA226" s="1460"/>
      <c r="AB226" s="1460"/>
      <c r="AC226" s="1460"/>
      <c r="AD226" s="1460"/>
      <c r="AE226" s="1460"/>
      <c r="AF226" s="1460"/>
      <c r="AG226" s="1460"/>
    </row>
    <row r="227" spans="1:33" s="19" customFormat="1" x14ac:dyDescent="0.35">
      <c r="A227"/>
      <c r="B227" s="1462">
        <v>0.1</v>
      </c>
      <c r="C227" s="1463" t="s">
        <v>259</v>
      </c>
      <c r="D227" s="1461">
        <v>0</v>
      </c>
      <c r="E227" s="1461">
        <v>0</v>
      </c>
      <c r="F227" s="1461">
        <v>0</v>
      </c>
      <c r="G227" s="1461">
        <v>0</v>
      </c>
      <c r="H227" s="1461">
        <v>0</v>
      </c>
      <c r="I227" s="1461">
        <v>0</v>
      </c>
      <c r="J227" s="1461">
        <v>0</v>
      </c>
      <c r="K227" s="1460">
        <f t="shared" ref="K227:AG227" si="302">(K189-K109)*$B$227</f>
        <v>7528.7636214855584</v>
      </c>
      <c r="L227" s="1460">
        <f t="shared" si="302"/>
        <v>7544.7237659745388</v>
      </c>
      <c r="M227" s="1460">
        <f t="shared" si="302"/>
        <v>7290.9513026454297</v>
      </c>
      <c r="N227" s="1460">
        <f t="shared" si="302"/>
        <v>7301.0295071376277</v>
      </c>
      <c r="O227" s="1460">
        <f t="shared" si="302"/>
        <v>7299.1112501901553</v>
      </c>
      <c r="P227" s="1460">
        <f t="shared" si="302"/>
        <v>7297.093552205185</v>
      </c>
      <c r="Q227" s="1460">
        <f t="shared" si="302"/>
        <v>7002.7052670978828</v>
      </c>
      <c r="R227" s="1460">
        <f t="shared" si="302"/>
        <v>6995.107370397146</v>
      </c>
      <c r="S227" s="1460">
        <f t="shared" si="302"/>
        <v>6987.4557536656594</v>
      </c>
      <c r="T227" s="1460">
        <f t="shared" si="302"/>
        <v>6970.4125195290226</v>
      </c>
      <c r="U227" s="1460">
        <f t="shared" si="302"/>
        <v>6953.3072527368104</v>
      </c>
      <c r="V227" s="1460">
        <f t="shared" si="302"/>
        <v>6936.1399532890273</v>
      </c>
      <c r="W227" s="1460">
        <f t="shared" si="302"/>
        <v>6918.910621185667</v>
      </c>
      <c r="X227" s="1460">
        <f t="shared" si="302"/>
        <v>6901.6405986719037</v>
      </c>
      <c r="Y227" s="1460">
        <f t="shared" si="302"/>
        <v>6884.2872769231435</v>
      </c>
      <c r="Z227" s="1460">
        <f t="shared" si="302"/>
        <v>6866.871922518807</v>
      </c>
      <c r="AA227" s="1460">
        <f t="shared" si="302"/>
        <v>6849.3945354589032</v>
      </c>
      <c r="AB227" s="1460">
        <f t="shared" si="302"/>
        <v>6831.8551157434167</v>
      </c>
      <c r="AC227" s="1460">
        <f t="shared" si="302"/>
        <v>6814.2536633723639</v>
      </c>
      <c r="AD227" s="1460">
        <f t="shared" si="302"/>
        <v>6796.5901783457348</v>
      </c>
      <c r="AE227" s="1460">
        <f t="shared" si="302"/>
        <v>6778.864660663532</v>
      </c>
      <c r="AF227" s="1460">
        <f t="shared" si="302"/>
        <v>6761.0771103257521</v>
      </c>
      <c r="AG227" s="1460">
        <f t="shared" si="302"/>
        <v>6738.0022993384518</v>
      </c>
    </row>
    <row r="228" spans="1:33" s="19" customFormat="1" x14ac:dyDescent="0.35">
      <c r="A228"/>
      <c r="B228" s="1462">
        <v>0.3</v>
      </c>
      <c r="C228" s="1463" t="s">
        <v>260</v>
      </c>
      <c r="D228" s="1461">
        <v>0</v>
      </c>
      <c r="E228" s="1461">
        <v>0</v>
      </c>
      <c r="F228" s="1461">
        <v>0</v>
      </c>
      <c r="G228" s="1461">
        <v>0</v>
      </c>
      <c r="H228" s="1461">
        <v>0</v>
      </c>
      <c r="I228" s="1461">
        <v>0</v>
      </c>
      <c r="J228" s="1461">
        <v>0</v>
      </c>
      <c r="K228" s="1460">
        <f t="shared" ref="K228:AG228" si="303">(K189-K109)*$B$228</f>
        <v>22586.290864456674</v>
      </c>
      <c r="L228" s="1460">
        <f t="shared" si="303"/>
        <v>22634.171297923614</v>
      </c>
      <c r="M228" s="1460">
        <f t="shared" si="303"/>
        <v>21872.853907936289</v>
      </c>
      <c r="N228" s="1460">
        <f t="shared" si="303"/>
        <v>21903.088521412879</v>
      </c>
      <c r="O228" s="1460">
        <f t="shared" si="303"/>
        <v>21897.333750570462</v>
      </c>
      <c r="P228" s="1460">
        <f t="shared" si="303"/>
        <v>21891.280656615552</v>
      </c>
      <c r="Q228" s="1460">
        <f t="shared" si="303"/>
        <v>21008.115801293647</v>
      </c>
      <c r="R228" s="1460">
        <f t="shared" si="303"/>
        <v>20985.322111191435</v>
      </c>
      <c r="S228" s="1460">
        <f t="shared" si="303"/>
        <v>20962.367260996976</v>
      </c>
      <c r="T228" s="1460">
        <f t="shared" si="303"/>
        <v>20911.237558587065</v>
      </c>
      <c r="U228" s="1460">
        <f t="shared" si="303"/>
        <v>20859.921758210428</v>
      </c>
      <c r="V228" s="1460">
        <f t="shared" si="303"/>
        <v>20808.419859867081</v>
      </c>
      <c r="W228" s="1460">
        <f t="shared" si="303"/>
        <v>20756.731863556997</v>
      </c>
      <c r="X228" s="1460">
        <f t="shared" si="303"/>
        <v>20704.921796015711</v>
      </c>
      <c r="Y228" s="1460">
        <f t="shared" si="303"/>
        <v>20652.861830769427</v>
      </c>
      <c r="Z228" s="1460">
        <f t="shared" si="303"/>
        <v>20600.615767556417</v>
      </c>
      <c r="AA228" s="1460">
        <f t="shared" si="303"/>
        <v>20548.183606376708</v>
      </c>
      <c r="AB228" s="1460">
        <f t="shared" si="303"/>
        <v>20495.565347230247</v>
      </c>
      <c r="AC228" s="1460">
        <f t="shared" si="303"/>
        <v>20442.760990117091</v>
      </c>
      <c r="AD228" s="1460">
        <f t="shared" si="303"/>
        <v>20389.770535037202</v>
      </c>
      <c r="AE228" s="1460">
        <f t="shared" si="303"/>
        <v>20336.593981990594</v>
      </c>
      <c r="AF228" s="1460">
        <f t="shared" si="303"/>
        <v>20283.231330977254</v>
      </c>
      <c r="AG228" s="1460">
        <f t="shared" si="303"/>
        <v>20214.006898015352</v>
      </c>
    </row>
    <row r="229" spans="1:33" s="19" customFormat="1" x14ac:dyDescent="0.35">
      <c r="A229"/>
      <c r="B229" s="1462">
        <v>0.4</v>
      </c>
      <c r="C229" s="1463" t="s">
        <v>261</v>
      </c>
      <c r="D229" s="1461">
        <v>0</v>
      </c>
      <c r="E229" s="1461">
        <v>0</v>
      </c>
      <c r="F229" s="1461">
        <v>0</v>
      </c>
      <c r="G229" s="1461">
        <v>0</v>
      </c>
      <c r="H229" s="1461">
        <v>0</v>
      </c>
      <c r="I229" s="1461">
        <v>0</v>
      </c>
      <c r="J229" s="1461">
        <v>0</v>
      </c>
      <c r="K229" s="1460">
        <f t="shared" ref="K229:AG229" si="304">(K189-K109)*$B$229</f>
        <v>30115.054485942233</v>
      </c>
      <c r="L229" s="1460">
        <f t="shared" si="304"/>
        <v>30178.895063898155</v>
      </c>
      <c r="M229" s="1460">
        <f t="shared" si="304"/>
        <v>29163.805210581719</v>
      </c>
      <c r="N229" s="1460">
        <f t="shared" si="304"/>
        <v>29204.118028550511</v>
      </c>
      <c r="O229" s="1460">
        <f t="shared" si="304"/>
        <v>29196.445000760621</v>
      </c>
      <c r="P229" s="1460">
        <f t="shared" si="304"/>
        <v>29188.37420882074</v>
      </c>
      <c r="Q229" s="1460">
        <f t="shared" si="304"/>
        <v>28010.821068391531</v>
      </c>
      <c r="R229" s="1460">
        <f t="shared" si="304"/>
        <v>27980.429481588584</v>
      </c>
      <c r="S229" s="1460">
        <f t="shared" si="304"/>
        <v>27949.823014662637</v>
      </c>
      <c r="T229" s="1460">
        <f t="shared" si="304"/>
        <v>27881.65007811609</v>
      </c>
      <c r="U229" s="1460">
        <f t="shared" si="304"/>
        <v>27813.229010947241</v>
      </c>
      <c r="V229" s="1460">
        <f t="shared" si="304"/>
        <v>27744.559813156109</v>
      </c>
      <c r="W229" s="1460">
        <f t="shared" si="304"/>
        <v>27675.642484742668</v>
      </c>
      <c r="X229" s="1460">
        <f t="shared" si="304"/>
        <v>27606.562394687615</v>
      </c>
      <c r="Y229" s="1460">
        <f t="shared" si="304"/>
        <v>27537.149107692574</v>
      </c>
      <c r="Z229" s="1460">
        <f t="shared" si="304"/>
        <v>27467.487690075228</v>
      </c>
      <c r="AA229" s="1460">
        <f t="shared" si="304"/>
        <v>27397.578141835613</v>
      </c>
      <c r="AB229" s="1460">
        <f t="shared" si="304"/>
        <v>27327.420462973667</v>
      </c>
      <c r="AC229" s="1460">
        <f t="shared" si="304"/>
        <v>27257.014653489456</v>
      </c>
      <c r="AD229" s="1460">
        <f t="shared" si="304"/>
        <v>27186.360713382939</v>
      </c>
      <c r="AE229" s="1460">
        <f t="shared" si="304"/>
        <v>27115.458642654128</v>
      </c>
      <c r="AF229" s="1460">
        <f t="shared" si="304"/>
        <v>27044.308441303008</v>
      </c>
      <c r="AG229" s="1460">
        <f t="shared" si="304"/>
        <v>26952.009197353807</v>
      </c>
    </row>
    <row r="230" spans="1:33" s="19" customFormat="1" x14ac:dyDescent="0.35">
      <c r="A230"/>
      <c r="B230" s="1462">
        <v>0.2</v>
      </c>
      <c r="C230" s="1463" t="s">
        <v>263</v>
      </c>
      <c r="D230" s="1461">
        <v>0</v>
      </c>
      <c r="E230" s="1461">
        <v>0</v>
      </c>
      <c r="F230" s="1461">
        <v>0</v>
      </c>
      <c r="G230" s="1461">
        <v>0</v>
      </c>
      <c r="H230" s="1461">
        <v>0</v>
      </c>
      <c r="I230" s="1461">
        <v>0</v>
      </c>
      <c r="J230" s="1461">
        <v>0</v>
      </c>
      <c r="K230" s="1460">
        <f t="shared" ref="K230:AG230" si="305">(K189-K109)*$B$230</f>
        <v>15057.527242971117</v>
      </c>
      <c r="L230" s="1460">
        <f t="shared" si="305"/>
        <v>15089.447531949078</v>
      </c>
      <c r="M230" s="1460">
        <f t="shared" si="305"/>
        <v>14581.902605290859</v>
      </c>
      <c r="N230" s="1460">
        <f t="shared" si="305"/>
        <v>14602.059014275255</v>
      </c>
      <c r="O230" s="1460">
        <f t="shared" si="305"/>
        <v>14598.222500380311</v>
      </c>
      <c r="P230" s="1460">
        <f t="shared" si="305"/>
        <v>14594.18710441037</v>
      </c>
      <c r="Q230" s="1460">
        <f t="shared" si="305"/>
        <v>14005.410534195766</v>
      </c>
      <c r="R230" s="1460">
        <f t="shared" si="305"/>
        <v>13990.214740794292</v>
      </c>
      <c r="S230" s="1460">
        <f t="shared" si="305"/>
        <v>13974.911507331319</v>
      </c>
      <c r="T230" s="1460">
        <f t="shared" si="305"/>
        <v>13940.825039058045</v>
      </c>
      <c r="U230" s="1460">
        <f t="shared" si="305"/>
        <v>13906.614505473621</v>
      </c>
      <c r="V230" s="1460">
        <f t="shared" si="305"/>
        <v>13872.279906578055</v>
      </c>
      <c r="W230" s="1460">
        <f t="shared" si="305"/>
        <v>13837.821242371334</v>
      </c>
      <c r="X230" s="1460">
        <f t="shared" si="305"/>
        <v>13803.281197343807</v>
      </c>
      <c r="Y230" s="1460">
        <f t="shared" si="305"/>
        <v>13768.574553846287</v>
      </c>
      <c r="Z230" s="1460">
        <f t="shared" si="305"/>
        <v>13733.743845037614</v>
      </c>
      <c r="AA230" s="1460">
        <f t="shared" si="305"/>
        <v>13698.789070917806</v>
      </c>
      <c r="AB230" s="1460">
        <f t="shared" si="305"/>
        <v>13663.710231486833</v>
      </c>
      <c r="AC230" s="1460">
        <f t="shared" si="305"/>
        <v>13628.507326744728</v>
      </c>
      <c r="AD230" s="1460">
        <f t="shared" si="305"/>
        <v>13593.18035669147</v>
      </c>
      <c r="AE230" s="1460">
        <f t="shared" si="305"/>
        <v>13557.729321327064</v>
      </c>
      <c r="AF230" s="1460">
        <f t="shared" si="305"/>
        <v>13522.154220651504</v>
      </c>
      <c r="AG230" s="1460">
        <f t="shared" si="305"/>
        <v>13476.004598676904</v>
      </c>
    </row>
    <row r="231" spans="1:33" x14ac:dyDescent="0.35">
      <c r="B231" s="171" t="s">
        <v>264</v>
      </c>
      <c r="C231" s="171"/>
      <c r="D231" s="1450"/>
      <c r="E231" s="1450"/>
      <c r="F231" s="1449">
        <f>F232+F233</f>
        <v>1414.5389909504001</v>
      </c>
      <c r="G231" s="1449">
        <f>G232+G233</f>
        <v>1421.7202532404003</v>
      </c>
      <c r="H231" s="1449">
        <f>H232+H233</f>
        <v>1428.9015155304</v>
      </c>
      <c r="I231" s="1449">
        <f t="shared" ref="I231:AG231" si="306">I232+I233</f>
        <v>1882.4787301460003</v>
      </c>
      <c r="J231" s="1449">
        <f t="shared" si="306"/>
        <v>1890.4441024454002</v>
      </c>
      <c r="K231" s="1449">
        <f t="shared" si="306"/>
        <v>1898.4094747448</v>
      </c>
      <c r="L231" s="1449">
        <f t="shared" si="306"/>
        <v>1906.3748470442001</v>
      </c>
      <c r="M231" s="1449">
        <f t="shared" si="306"/>
        <v>2230.1076782044001</v>
      </c>
      <c r="N231" s="1449">
        <f t="shared" si="306"/>
        <v>2239.3368367692001</v>
      </c>
      <c r="O231" s="1449">
        <f t="shared" si="306"/>
        <v>2244.8673811922004</v>
      </c>
      <c r="P231" s="1449">
        <f t="shared" si="306"/>
        <v>2250.3979256152002</v>
      </c>
      <c r="Q231" s="1449">
        <f t="shared" si="306"/>
        <v>2575.3519702206004</v>
      </c>
      <c r="R231" s="1449">
        <f t="shared" si="306"/>
        <v>2581.6656005796003</v>
      </c>
      <c r="S231" s="1449">
        <f t="shared" si="306"/>
        <v>2588.1307496688005</v>
      </c>
      <c r="T231" s="1449">
        <f t="shared" si="306"/>
        <v>2591.0419878965995</v>
      </c>
      <c r="U231" s="1449">
        <f t="shared" si="306"/>
        <v>2593.9532261243999</v>
      </c>
      <c r="V231" s="1449">
        <f t="shared" si="306"/>
        <v>2596.8644643521998</v>
      </c>
      <c r="W231" s="1449">
        <f t="shared" si="306"/>
        <v>2599.7757025799997</v>
      </c>
      <c r="X231" s="1449">
        <f t="shared" si="306"/>
        <v>2602.6509891270002</v>
      </c>
      <c r="Y231" s="1449">
        <f t="shared" si="306"/>
        <v>2605.5622273547997</v>
      </c>
      <c r="Z231" s="1449">
        <f t="shared" si="306"/>
        <v>2608.4734655825996</v>
      </c>
      <c r="AA231" s="1449">
        <f t="shared" si="306"/>
        <v>2611.3847038104</v>
      </c>
      <c r="AB231" s="1449">
        <f t="shared" si="306"/>
        <v>2614.2959420381999</v>
      </c>
      <c r="AC231" s="1449">
        <f t="shared" si="306"/>
        <v>2617.2071802660003</v>
      </c>
      <c r="AD231" s="1449">
        <f t="shared" si="306"/>
        <v>2620.1184184938002</v>
      </c>
      <c r="AE231" s="1449">
        <f t="shared" si="306"/>
        <v>2623.0296567216005</v>
      </c>
      <c r="AF231" s="1449">
        <f t="shared" si="306"/>
        <v>2625.9408949494</v>
      </c>
      <c r="AG231" s="1449">
        <f t="shared" si="306"/>
        <v>2628.8521331771999</v>
      </c>
    </row>
    <row r="232" spans="1:33" x14ac:dyDescent="0.35">
      <c r="B232" s="1462">
        <v>0.8</v>
      </c>
      <c r="C232" s="1463" t="s">
        <v>259</v>
      </c>
      <c r="D232" s="1461">
        <v>0</v>
      </c>
      <c r="E232" s="1461">
        <v>0</v>
      </c>
      <c r="F232" s="1460">
        <f>F205*$B$232</f>
        <v>1131.6311927603201</v>
      </c>
      <c r="G232" s="1460">
        <f t="shared" ref="G232:AG232" si="307">G205*$B$232</f>
        <v>1137.3762025923202</v>
      </c>
      <c r="H232" s="1460">
        <f t="shared" si="307"/>
        <v>1143.12121242432</v>
      </c>
      <c r="I232" s="1460">
        <f t="shared" si="307"/>
        <v>1505.9829841168003</v>
      </c>
      <c r="J232" s="1460">
        <f t="shared" si="307"/>
        <v>1512.3552819563201</v>
      </c>
      <c r="K232" s="1460">
        <f t="shared" si="307"/>
        <v>1518.72757979584</v>
      </c>
      <c r="L232" s="1460">
        <f t="shared" si="307"/>
        <v>1525.0998776353601</v>
      </c>
      <c r="M232" s="1460">
        <f t="shared" si="307"/>
        <v>1784.0861425635203</v>
      </c>
      <c r="N232" s="1460">
        <f t="shared" si="307"/>
        <v>1791.4694694153602</v>
      </c>
      <c r="O232" s="1460">
        <f t="shared" si="307"/>
        <v>1795.8939049537603</v>
      </c>
      <c r="P232" s="1460">
        <f t="shared" si="307"/>
        <v>1800.3183404921601</v>
      </c>
      <c r="Q232" s="1460">
        <f t="shared" si="307"/>
        <v>2060.2815761764805</v>
      </c>
      <c r="R232" s="1460">
        <f t="shared" si="307"/>
        <v>2065.3324804636804</v>
      </c>
      <c r="S232" s="1460">
        <f t="shared" si="307"/>
        <v>2070.5045997350403</v>
      </c>
      <c r="T232" s="1460">
        <f t="shared" si="307"/>
        <v>2072.8335903172797</v>
      </c>
      <c r="U232" s="1460">
        <f t="shared" si="307"/>
        <v>2075.16258089952</v>
      </c>
      <c r="V232" s="1460">
        <f t="shared" si="307"/>
        <v>2077.4915714817598</v>
      </c>
      <c r="W232" s="1460">
        <f t="shared" si="307"/>
        <v>2079.8205620639997</v>
      </c>
      <c r="X232" s="1460">
        <f t="shared" si="307"/>
        <v>2082.1207913016001</v>
      </c>
      <c r="Y232" s="1460">
        <f t="shared" si="307"/>
        <v>2084.4497818838399</v>
      </c>
      <c r="Z232" s="1460">
        <f t="shared" si="307"/>
        <v>2086.7787724660798</v>
      </c>
      <c r="AA232" s="1460">
        <f t="shared" si="307"/>
        <v>2089.1077630483201</v>
      </c>
      <c r="AB232" s="1460">
        <f t="shared" si="307"/>
        <v>2091.4367536305599</v>
      </c>
      <c r="AC232" s="1460">
        <f t="shared" si="307"/>
        <v>2093.7657442128002</v>
      </c>
      <c r="AD232" s="1460">
        <f t="shared" si="307"/>
        <v>2096.09473479504</v>
      </c>
      <c r="AE232" s="1460">
        <f t="shared" si="307"/>
        <v>2098.4237253772803</v>
      </c>
      <c r="AF232" s="1460">
        <f t="shared" si="307"/>
        <v>2100.7527159595202</v>
      </c>
      <c r="AG232" s="1460">
        <f t="shared" si="307"/>
        <v>2103.08170654176</v>
      </c>
    </row>
    <row r="233" spans="1:33" x14ac:dyDescent="0.35">
      <c r="B233" s="1464">
        <v>0.2</v>
      </c>
      <c r="C233" s="1465" t="s">
        <v>260</v>
      </c>
      <c r="D233" s="1461">
        <v>0</v>
      </c>
      <c r="E233" s="1461">
        <v>0</v>
      </c>
      <c r="F233" s="1466">
        <f>F205*$B$233</f>
        <v>282.90779819008003</v>
      </c>
      <c r="G233" s="1466">
        <f t="shared" ref="G233:AG233" si="308">G205*$B$233</f>
        <v>284.34405064808004</v>
      </c>
      <c r="H233" s="1466">
        <f t="shared" si="308"/>
        <v>285.78030310608</v>
      </c>
      <c r="I233" s="1466">
        <f t="shared" si="308"/>
        <v>376.49574602920006</v>
      </c>
      <c r="J233" s="1466">
        <f t="shared" si="308"/>
        <v>378.08882048908004</v>
      </c>
      <c r="K233" s="1466">
        <f t="shared" si="308"/>
        <v>379.68189494896001</v>
      </c>
      <c r="L233" s="1466">
        <f t="shared" si="308"/>
        <v>381.27496940884004</v>
      </c>
      <c r="M233" s="1466">
        <f t="shared" si="308"/>
        <v>446.02153564088007</v>
      </c>
      <c r="N233" s="1466">
        <f t="shared" si="308"/>
        <v>447.86736735384005</v>
      </c>
      <c r="O233" s="1466">
        <f t="shared" si="308"/>
        <v>448.97347623844007</v>
      </c>
      <c r="P233" s="1466">
        <f t="shared" si="308"/>
        <v>450.07958512304003</v>
      </c>
      <c r="Q233" s="1466">
        <f t="shared" si="308"/>
        <v>515.07039404412012</v>
      </c>
      <c r="R233" s="1466">
        <f t="shared" si="308"/>
        <v>516.33312011592011</v>
      </c>
      <c r="S233" s="1466">
        <f t="shared" si="308"/>
        <v>517.62614993376008</v>
      </c>
      <c r="T233" s="1466">
        <f t="shared" si="308"/>
        <v>518.20839757931992</v>
      </c>
      <c r="U233" s="1466">
        <f t="shared" si="308"/>
        <v>518.79064522488</v>
      </c>
      <c r="V233" s="1466">
        <f t="shared" si="308"/>
        <v>519.37289287043996</v>
      </c>
      <c r="W233" s="1466">
        <f t="shared" si="308"/>
        <v>519.95514051599991</v>
      </c>
      <c r="X233" s="1466">
        <f t="shared" si="308"/>
        <v>520.53019782540002</v>
      </c>
      <c r="Y233" s="1466">
        <f t="shared" si="308"/>
        <v>521.11244547095998</v>
      </c>
      <c r="Z233" s="1466">
        <f t="shared" si="308"/>
        <v>521.69469311651994</v>
      </c>
      <c r="AA233" s="1466">
        <f t="shared" si="308"/>
        <v>522.27694076208002</v>
      </c>
      <c r="AB233" s="1466">
        <f t="shared" si="308"/>
        <v>522.85918840763998</v>
      </c>
      <c r="AC233" s="1466">
        <f t="shared" si="308"/>
        <v>523.44143605320005</v>
      </c>
      <c r="AD233" s="1466">
        <f t="shared" si="308"/>
        <v>524.02368369876001</v>
      </c>
      <c r="AE233" s="1466">
        <f t="shared" si="308"/>
        <v>524.60593134432008</v>
      </c>
      <c r="AF233" s="1466">
        <f t="shared" si="308"/>
        <v>525.18817898988004</v>
      </c>
      <c r="AG233" s="1466">
        <f t="shared" si="308"/>
        <v>525.77042663544</v>
      </c>
    </row>
    <row r="234" spans="1:33" x14ac:dyDescent="0.35">
      <c r="B234" s="727" t="s">
        <v>200</v>
      </c>
      <c r="C234" s="94"/>
      <c r="D234" s="736">
        <f t="shared" ref="D234:AG234" si="309">SUM(D219:D220)</f>
        <v>86640.062915414397</v>
      </c>
      <c r="E234" s="736">
        <f t="shared" si="309"/>
        <v>86539.92234426341</v>
      </c>
      <c r="F234" s="736">
        <f>SUM(F219:F220)</f>
        <v>79112.876074034386</v>
      </c>
      <c r="G234" s="736">
        <f t="shared" si="309"/>
        <v>79477.632292011403</v>
      </c>
      <c r="H234" s="736">
        <f t="shared" si="309"/>
        <v>79842.388509988392</v>
      </c>
      <c r="I234" s="736">
        <f t="shared" si="309"/>
        <v>77319.806044663987</v>
      </c>
      <c r="J234" s="736">
        <f t="shared" si="309"/>
        <v>77625.327651724379</v>
      </c>
      <c r="K234" s="736">
        <f t="shared" si="309"/>
        <v>77186.045689600374</v>
      </c>
      <c r="L234" s="736">
        <f t="shared" si="309"/>
        <v>77353.612506789577</v>
      </c>
      <c r="M234" s="736">
        <f t="shared" si="309"/>
        <v>75139.620704658693</v>
      </c>
      <c r="N234" s="736">
        <f t="shared" si="309"/>
        <v>75249.631908145486</v>
      </c>
      <c r="O234" s="736">
        <f t="shared" si="309"/>
        <v>75235.979883093751</v>
      </c>
      <c r="P234" s="736">
        <f t="shared" si="309"/>
        <v>75221.333447667042</v>
      </c>
      <c r="Q234" s="736">
        <f t="shared" si="309"/>
        <v>72602.40464119942</v>
      </c>
      <c r="R234" s="736">
        <f t="shared" si="309"/>
        <v>72532.739304551054</v>
      </c>
      <c r="S234" s="736">
        <f t="shared" si="309"/>
        <v>72462.688286325385</v>
      </c>
      <c r="T234" s="736">
        <f t="shared" si="309"/>
        <v>72295.16718318683</v>
      </c>
      <c r="U234" s="736">
        <f t="shared" si="309"/>
        <v>72127.025753492504</v>
      </c>
      <c r="V234" s="736">
        <f t="shared" si="309"/>
        <v>71958.263997242466</v>
      </c>
      <c r="W234" s="736">
        <f t="shared" si="309"/>
        <v>71788.881914436672</v>
      </c>
      <c r="X234" s="736">
        <f t="shared" si="309"/>
        <v>71619.056975846033</v>
      </c>
      <c r="Y234" s="736">
        <f t="shared" si="309"/>
        <v>71448.434996586235</v>
      </c>
      <c r="Z234" s="736">
        <f t="shared" si="309"/>
        <v>71277.19269077068</v>
      </c>
      <c r="AA234" s="736">
        <f t="shared" si="309"/>
        <v>71105.330058399428</v>
      </c>
      <c r="AB234" s="736">
        <f t="shared" si="309"/>
        <v>70932.847099472361</v>
      </c>
      <c r="AC234" s="736">
        <f t="shared" si="309"/>
        <v>70759.74381398964</v>
      </c>
      <c r="AD234" s="736">
        <f t="shared" si="309"/>
        <v>70586.020201951149</v>
      </c>
      <c r="AE234" s="736">
        <f t="shared" si="309"/>
        <v>70411.676263356916</v>
      </c>
      <c r="AF234" s="736">
        <f t="shared" si="309"/>
        <v>70236.711998206913</v>
      </c>
      <c r="AG234" s="736">
        <f t="shared" si="309"/>
        <v>70008.875126561717</v>
      </c>
    </row>
    <row r="235" spans="1:33" x14ac:dyDescent="0.35">
      <c r="H235" s="1388"/>
      <c r="I235" s="1388"/>
    </row>
    <row r="236" spans="1:33" x14ac:dyDescent="0.35">
      <c r="B236" s="317" t="s">
        <v>265</v>
      </c>
      <c r="C236" s="739"/>
      <c r="D236" s="739"/>
      <c r="E236" s="739"/>
      <c r="F236" s="739"/>
      <c r="G236" s="739"/>
      <c r="H236" s="739"/>
      <c r="I236" s="739"/>
      <c r="J236" s="739"/>
      <c r="K236" s="739"/>
      <c r="L236" s="739"/>
      <c r="M236" s="739"/>
      <c r="N236" s="739"/>
      <c r="O236" s="739"/>
      <c r="P236" s="739"/>
      <c r="Q236" s="739"/>
      <c r="R236" s="739"/>
      <c r="S236" s="739"/>
      <c r="T236" s="739"/>
      <c r="U236" s="739"/>
      <c r="V236" s="739"/>
      <c r="W236" s="739"/>
      <c r="X236" s="739"/>
      <c r="Y236" s="739"/>
      <c r="Z236" s="739"/>
      <c r="AA236" s="739"/>
      <c r="AB236" s="739"/>
      <c r="AC236" s="739"/>
      <c r="AD236" s="739"/>
      <c r="AE236" s="739"/>
      <c r="AF236" s="739"/>
      <c r="AG236" s="739"/>
    </row>
    <row r="237" spans="1:33" x14ac:dyDescent="0.35">
      <c r="B237" s="743"/>
      <c r="C237" s="743"/>
      <c r="D237" s="744">
        <v>1</v>
      </c>
      <c r="E237" s="744">
        <f>D237+1</f>
        <v>2</v>
      </c>
      <c r="F237" s="744">
        <f t="shared" ref="F237:AG237" si="310">E237+1</f>
        <v>3</v>
      </c>
      <c r="G237" s="744">
        <f t="shared" si="310"/>
        <v>4</v>
      </c>
      <c r="H237" s="744">
        <f t="shared" si="310"/>
        <v>5</v>
      </c>
      <c r="I237" s="744">
        <f t="shared" si="310"/>
        <v>6</v>
      </c>
      <c r="J237" s="744">
        <f t="shared" si="310"/>
        <v>7</v>
      </c>
      <c r="K237" s="744">
        <f t="shared" si="310"/>
        <v>8</v>
      </c>
      <c r="L237" s="744">
        <f t="shared" si="310"/>
        <v>9</v>
      </c>
      <c r="M237" s="744">
        <f t="shared" si="310"/>
        <v>10</v>
      </c>
      <c r="N237" s="744">
        <f t="shared" si="310"/>
        <v>11</v>
      </c>
      <c r="O237" s="744">
        <f t="shared" si="310"/>
        <v>12</v>
      </c>
      <c r="P237" s="744">
        <f t="shared" si="310"/>
        <v>13</v>
      </c>
      <c r="Q237" s="744">
        <f t="shared" si="310"/>
        <v>14</v>
      </c>
      <c r="R237" s="744">
        <f t="shared" si="310"/>
        <v>15</v>
      </c>
      <c r="S237" s="744">
        <f t="shared" si="310"/>
        <v>16</v>
      </c>
      <c r="T237" s="744">
        <f t="shared" si="310"/>
        <v>17</v>
      </c>
      <c r="U237" s="744">
        <f t="shared" si="310"/>
        <v>18</v>
      </c>
      <c r="V237" s="744">
        <f t="shared" si="310"/>
        <v>19</v>
      </c>
      <c r="W237" s="744">
        <f t="shared" si="310"/>
        <v>20</v>
      </c>
      <c r="X237" s="744">
        <f t="shared" si="310"/>
        <v>21</v>
      </c>
      <c r="Y237" s="744">
        <f t="shared" si="310"/>
        <v>22</v>
      </c>
      <c r="Z237" s="744">
        <f t="shared" si="310"/>
        <v>23</v>
      </c>
      <c r="AA237" s="744">
        <f t="shared" si="310"/>
        <v>24</v>
      </c>
      <c r="AB237" s="744">
        <f t="shared" si="310"/>
        <v>25</v>
      </c>
      <c r="AC237" s="744">
        <f t="shared" si="310"/>
        <v>26</v>
      </c>
      <c r="AD237" s="744">
        <f t="shared" si="310"/>
        <v>27</v>
      </c>
      <c r="AE237" s="744">
        <f t="shared" si="310"/>
        <v>28</v>
      </c>
      <c r="AF237" s="744">
        <f t="shared" si="310"/>
        <v>29</v>
      </c>
      <c r="AG237" s="744">
        <f t="shared" si="310"/>
        <v>30</v>
      </c>
    </row>
    <row r="238" spans="1:33" x14ac:dyDescent="0.35">
      <c r="B238" s="739" t="s">
        <v>266</v>
      </c>
      <c r="C238" s="739"/>
      <c r="D238" s="740">
        <f>SUM(D209,D211:D213)</f>
        <v>82060.227431101797</v>
      </c>
      <c r="E238" s="740">
        <f>SUM(E209,E211:E213)</f>
        <v>82101.7365608658</v>
      </c>
      <c r="F238" s="740">
        <v>0</v>
      </c>
      <c r="G238" s="740">
        <v>0</v>
      </c>
      <c r="H238" s="740">
        <v>0</v>
      </c>
      <c r="I238" s="740">
        <v>0</v>
      </c>
      <c r="J238" s="740">
        <v>0</v>
      </c>
      <c r="K238" s="740">
        <v>0</v>
      </c>
      <c r="L238" s="740">
        <v>0</v>
      </c>
      <c r="M238" s="740">
        <v>0</v>
      </c>
      <c r="N238" s="740">
        <v>0</v>
      </c>
      <c r="O238" s="740">
        <v>0</v>
      </c>
      <c r="P238" s="740">
        <v>0</v>
      </c>
      <c r="Q238" s="740">
        <v>0</v>
      </c>
      <c r="R238" s="740">
        <v>0</v>
      </c>
      <c r="S238" s="740">
        <v>0</v>
      </c>
      <c r="T238" s="740">
        <v>0</v>
      </c>
      <c r="U238" s="740">
        <v>0</v>
      </c>
      <c r="V238" s="740">
        <v>0</v>
      </c>
      <c r="W238" s="740">
        <v>0</v>
      </c>
      <c r="X238" s="740">
        <v>0</v>
      </c>
      <c r="Y238" s="740">
        <v>0</v>
      </c>
      <c r="Z238" s="740">
        <v>0</v>
      </c>
      <c r="AA238" s="740">
        <v>0</v>
      </c>
      <c r="AB238" s="740">
        <v>0</v>
      </c>
      <c r="AC238" s="740">
        <v>0</v>
      </c>
      <c r="AD238" s="740">
        <v>0</v>
      </c>
      <c r="AE238" s="740">
        <v>0</v>
      </c>
      <c r="AF238" s="740">
        <v>0</v>
      </c>
      <c r="AG238" s="740">
        <v>0</v>
      </c>
    </row>
    <row r="239" spans="1:33" x14ac:dyDescent="0.35">
      <c r="B239" s="739" t="s">
        <v>267</v>
      </c>
      <c r="C239" s="739"/>
      <c r="D239" s="740">
        <f>SUM(D210)</f>
        <v>4579.8354843125999</v>
      </c>
      <c r="E239" s="740">
        <f>SUM(E210)</f>
        <v>4438.1857833976001</v>
      </c>
      <c r="F239" s="740">
        <f>F224+F233+(F225*0.4*0.75)</f>
        <v>59333.643981333909</v>
      </c>
      <c r="G239" s="740">
        <f>G224+G233+(G225*0.4*0.75)</f>
        <v>59606.837200114031</v>
      </c>
      <c r="H239" s="740"/>
      <c r="I239" s="740"/>
      <c r="J239" s="740"/>
      <c r="K239" s="740"/>
      <c r="L239" s="740"/>
      <c r="M239" s="740"/>
      <c r="N239" s="740"/>
      <c r="O239" s="740"/>
      <c r="P239" s="740"/>
      <c r="Q239" s="740"/>
      <c r="R239" s="740"/>
      <c r="S239" s="740"/>
      <c r="T239" s="740"/>
      <c r="U239" s="740"/>
      <c r="V239" s="740"/>
      <c r="W239" s="740"/>
      <c r="X239" s="740"/>
      <c r="Y239" s="740"/>
      <c r="Z239" s="740"/>
      <c r="AA239" s="740"/>
      <c r="AB239" s="740"/>
      <c r="AC239" s="740"/>
      <c r="AD239" s="740"/>
      <c r="AE239" s="740"/>
      <c r="AF239" s="740"/>
      <c r="AG239" s="740"/>
    </row>
    <row r="240" spans="1:33" x14ac:dyDescent="0.35">
      <c r="B240" s="739" t="s">
        <v>268</v>
      </c>
      <c r="C240" s="739"/>
      <c r="D240" s="740">
        <v>0</v>
      </c>
      <c r="E240" s="740">
        <v>0</v>
      </c>
      <c r="F240" s="740">
        <v>0</v>
      </c>
      <c r="G240" s="740">
        <v>0</v>
      </c>
      <c r="H240" s="740">
        <f>H224+H233+(H225*0.4*0.75)</f>
        <v>59880.030418894166</v>
      </c>
      <c r="I240" s="740">
        <f>I224+I233+(I225*0.4*0.75)</f>
        <v>57708.864505062869</v>
      </c>
      <c r="J240" s="740">
        <f>J224+J233+(J225*0.4*0.75)</f>
        <v>57936.600317941113</v>
      </c>
      <c r="K240" s="740">
        <f>K228+K233+(K229*0.4*0.75)</f>
        <v>32000.489105188306</v>
      </c>
      <c r="L240" s="740">
        <f t="shared" ref="L240:AG240" si="311">L228+L233+(L229*0.4*0.75)</f>
        <v>32069.114786501901</v>
      </c>
      <c r="M240" s="740">
        <f t="shared" si="311"/>
        <v>31068.017006751688</v>
      </c>
      <c r="N240" s="740">
        <f t="shared" si="311"/>
        <v>31112.191297331872</v>
      </c>
      <c r="O240" s="740">
        <f t="shared" si="311"/>
        <v>31105.24072703709</v>
      </c>
      <c r="P240" s="740">
        <f t="shared" si="311"/>
        <v>31097.872504384814</v>
      </c>
      <c r="Q240" s="740">
        <f t="shared" si="311"/>
        <v>29926.432515855227</v>
      </c>
      <c r="R240" s="740">
        <f t="shared" si="311"/>
        <v>29895.784075783929</v>
      </c>
      <c r="S240" s="740">
        <f t="shared" si="311"/>
        <v>29864.940315329528</v>
      </c>
      <c r="T240" s="740">
        <f>T228+T233+(T229*0.4*0.75)</f>
        <v>29793.940979601211</v>
      </c>
      <c r="U240" s="740">
        <f>U228+U233+(U229*0.4*0.75)</f>
        <v>29722.681106719479</v>
      </c>
      <c r="V240" s="740">
        <f t="shared" si="311"/>
        <v>29651.160696684354</v>
      </c>
      <c r="W240" s="740">
        <f t="shared" si="311"/>
        <v>29579.379749495798</v>
      </c>
      <c r="X240" s="740">
        <f t="shared" si="311"/>
        <v>29507.420712247396</v>
      </c>
      <c r="Y240" s="740">
        <f t="shared" si="311"/>
        <v>29435.119008548161</v>
      </c>
      <c r="Z240" s="740">
        <f t="shared" si="311"/>
        <v>29362.556767695503</v>
      </c>
      <c r="AA240" s="740">
        <f t="shared" si="311"/>
        <v>29289.73398968947</v>
      </c>
      <c r="AB240" s="740">
        <f t="shared" si="311"/>
        <v>29216.650674529988</v>
      </c>
      <c r="AC240" s="740">
        <f t="shared" si="311"/>
        <v>29143.306822217128</v>
      </c>
      <c r="AD240" s="740">
        <f t="shared" si="311"/>
        <v>29069.702432750844</v>
      </c>
      <c r="AE240" s="740">
        <f t="shared" si="311"/>
        <v>28995.837506131153</v>
      </c>
      <c r="AF240" s="740">
        <f t="shared" si="311"/>
        <v>28921.712042358038</v>
      </c>
      <c r="AG240" s="740">
        <f t="shared" si="311"/>
        <v>28825.380083856937</v>
      </c>
    </row>
    <row r="241" spans="2:33" x14ac:dyDescent="0.35">
      <c r="B241" s="741" t="s">
        <v>200</v>
      </c>
      <c r="C241" s="375"/>
      <c r="D241" s="742">
        <f t="shared" ref="D241:AG241" si="312">SUM(D238:D240)</f>
        <v>86640.062915414397</v>
      </c>
      <c r="E241" s="742">
        <f t="shared" si="312"/>
        <v>86539.922344263396</v>
      </c>
      <c r="F241" s="742">
        <f t="shared" si="312"/>
        <v>59333.643981333909</v>
      </c>
      <c r="G241" s="742">
        <f>SUM(G238:G240)</f>
        <v>59606.837200114031</v>
      </c>
      <c r="H241" s="742">
        <f>SUM(H238:H240)</f>
        <v>59880.030418894166</v>
      </c>
      <c r="I241" s="742">
        <f>SUM(I238:I240)</f>
        <v>57708.864505062869</v>
      </c>
      <c r="J241" s="742">
        <f t="shared" si="312"/>
        <v>57936.600317941113</v>
      </c>
      <c r="K241" s="742">
        <f t="shared" si="312"/>
        <v>32000.489105188306</v>
      </c>
      <c r="L241" s="742">
        <f t="shared" si="312"/>
        <v>32069.114786501901</v>
      </c>
      <c r="M241" s="742">
        <f t="shared" si="312"/>
        <v>31068.017006751688</v>
      </c>
      <c r="N241" s="742">
        <f t="shared" si="312"/>
        <v>31112.191297331872</v>
      </c>
      <c r="O241" s="742">
        <f t="shared" si="312"/>
        <v>31105.24072703709</v>
      </c>
      <c r="P241" s="742">
        <f t="shared" si="312"/>
        <v>31097.872504384814</v>
      </c>
      <c r="Q241" s="742">
        <f t="shared" si="312"/>
        <v>29926.432515855227</v>
      </c>
      <c r="R241" s="742">
        <f t="shared" si="312"/>
        <v>29895.784075783929</v>
      </c>
      <c r="S241" s="742">
        <f t="shared" si="312"/>
        <v>29864.940315329528</v>
      </c>
      <c r="T241" s="742">
        <f t="shared" si="312"/>
        <v>29793.940979601211</v>
      </c>
      <c r="U241" s="742">
        <f t="shared" si="312"/>
        <v>29722.681106719479</v>
      </c>
      <c r="V241" s="742">
        <f t="shared" si="312"/>
        <v>29651.160696684354</v>
      </c>
      <c r="W241" s="742">
        <f t="shared" si="312"/>
        <v>29579.379749495798</v>
      </c>
      <c r="X241" s="742">
        <f t="shared" si="312"/>
        <v>29507.420712247396</v>
      </c>
      <c r="Y241" s="742">
        <f t="shared" si="312"/>
        <v>29435.119008548161</v>
      </c>
      <c r="Z241" s="742">
        <f t="shared" si="312"/>
        <v>29362.556767695503</v>
      </c>
      <c r="AA241" s="742">
        <f t="shared" si="312"/>
        <v>29289.73398968947</v>
      </c>
      <c r="AB241" s="742">
        <f t="shared" si="312"/>
        <v>29216.650674529988</v>
      </c>
      <c r="AC241" s="742">
        <f t="shared" si="312"/>
        <v>29143.306822217128</v>
      </c>
      <c r="AD241" s="742">
        <f t="shared" si="312"/>
        <v>29069.702432750844</v>
      </c>
      <c r="AE241" s="742">
        <f t="shared" si="312"/>
        <v>28995.837506131153</v>
      </c>
      <c r="AF241" s="742">
        <f t="shared" si="312"/>
        <v>28921.712042358038</v>
      </c>
      <c r="AG241" s="742">
        <f t="shared" si="312"/>
        <v>28825.380083856937</v>
      </c>
    </row>
    <row r="242" spans="2:33" x14ac:dyDescent="0.35">
      <c r="B242" s="162"/>
    </row>
    <row r="246" spans="2:33" x14ac:dyDescent="0.35">
      <c r="H246" s="1388"/>
    </row>
    <row r="252" spans="2:33" x14ac:dyDescent="0.35">
      <c r="H252" s="1388"/>
    </row>
  </sheetData>
  <sheetProtection algorithmName="SHA-512" hashValue="yT1KLLdp1c+hYyTaxMWxFc51YURCfNa2lATIooWx3d/jw0tgUrKCAtgOAFnI7qXBOSMDqEEaPI1jsXd1BZ+bvA==" saltValue="3tdw66cdPAbWRS6B1G5XTw==" spinCount="100000" sheet="1" objects="1" scenarios="1"/>
  <protectedRanges>
    <protectedRange sqref="D85:AG93 D148:AG148 D163:AG163" name="Intervalo2"/>
    <protectedRange sqref="D57:AG65" name="Intervalo1"/>
  </protectedRanges>
  <mergeCells count="2">
    <mergeCell ref="B222:C222"/>
    <mergeCell ref="B226:C226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&amp;C_x000D_&amp;1#&amp;"Aptos"&amp;10&amp;K000000 INFORMAÇÃO CONTROLADA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E973-F05C-4421-99BD-67A41A7E3A28}">
  <sheetPr>
    <tabColor theme="4" tint="-0.249977111117893"/>
  </sheetPr>
  <dimension ref="B1:C18"/>
  <sheetViews>
    <sheetView showGridLines="0" zoomScale="115" zoomScaleNormal="115" workbookViewId="0">
      <selection activeCell="C18" sqref="C18"/>
    </sheetView>
  </sheetViews>
  <sheetFormatPr defaultRowHeight="14.5" x14ac:dyDescent="0.35"/>
  <cols>
    <col min="2" max="2" width="12.08984375" bestFit="1" customWidth="1"/>
  </cols>
  <sheetData>
    <row r="1" spans="2:3" x14ac:dyDescent="0.35">
      <c r="C1" t="s">
        <v>1383</v>
      </c>
    </row>
    <row r="3" spans="2:3" x14ac:dyDescent="0.35">
      <c r="B3" t="s">
        <v>1384</v>
      </c>
    </row>
    <row r="4" spans="2:3" x14ac:dyDescent="0.35">
      <c r="B4" t="s">
        <v>1389</v>
      </c>
    </row>
    <row r="5" spans="2:3" x14ac:dyDescent="0.35">
      <c r="B5" t="s">
        <v>1385</v>
      </c>
      <c r="C5" t="s">
        <v>1394</v>
      </c>
    </row>
    <row r="6" spans="2:3" x14ac:dyDescent="0.35">
      <c r="B6" t="s">
        <v>1387</v>
      </c>
      <c r="C6" t="s">
        <v>1393</v>
      </c>
    </row>
    <row r="8" spans="2:3" x14ac:dyDescent="0.35">
      <c r="B8" t="s">
        <v>1390</v>
      </c>
    </row>
    <row r="9" spans="2:3" x14ac:dyDescent="0.35">
      <c r="B9" t="s">
        <v>1391</v>
      </c>
      <c r="C9" t="s">
        <v>1388</v>
      </c>
    </row>
    <row r="10" spans="2:3" x14ac:dyDescent="0.35">
      <c r="B10" t="s">
        <v>1392</v>
      </c>
      <c r="C10" t="s">
        <v>1386</v>
      </c>
    </row>
    <row r="12" spans="2:3" x14ac:dyDescent="0.35">
      <c r="B12" t="s">
        <v>1395</v>
      </c>
    </row>
    <row r="13" spans="2:3" x14ac:dyDescent="0.35">
      <c r="B13" t="s">
        <v>1396</v>
      </c>
      <c r="C13" t="s">
        <v>1397</v>
      </c>
    </row>
    <row r="14" spans="2:3" x14ac:dyDescent="0.35">
      <c r="B14" t="s">
        <v>1398</v>
      </c>
      <c r="C14" t="s">
        <v>1399</v>
      </c>
    </row>
    <row r="15" spans="2:3" x14ac:dyDescent="0.35">
      <c r="B15" t="s">
        <v>1400</v>
      </c>
      <c r="C15" t="s">
        <v>1401</v>
      </c>
    </row>
    <row r="17" spans="2:2" x14ac:dyDescent="0.35">
      <c r="B17" t="s">
        <v>1402</v>
      </c>
    </row>
    <row r="18" spans="2:2" x14ac:dyDescent="0.35">
      <c r="B18" t="s">
        <v>1403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2589E-E2F0-47AC-A081-E20AF2B92205}">
  <sheetPr codeName="Planilha4">
    <tabColor theme="4" tint="-0.249977111117893"/>
  </sheetPr>
  <dimension ref="B2:AI415"/>
  <sheetViews>
    <sheetView showGridLines="0" topLeftCell="A245" zoomScale="85" zoomScaleNormal="100" workbookViewId="0">
      <selection activeCell="O27" sqref="O27"/>
    </sheetView>
  </sheetViews>
  <sheetFormatPr defaultColWidth="8.81640625" defaultRowHeight="14.5" x14ac:dyDescent="0.35"/>
  <cols>
    <col min="1" max="1" width="3.36328125" customWidth="1"/>
    <col min="2" max="2" width="26.08984375" customWidth="1"/>
    <col min="3" max="3" width="20.08984375" customWidth="1"/>
    <col min="4" max="4" width="16.453125" customWidth="1"/>
    <col min="5" max="5" width="16.6328125" customWidth="1"/>
    <col min="6" max="18" width="12.453125" bestFit="1" customWidth="1"/>
    <col min="19" max="19" width="11.453125" bestFit="1" customWidth="1"/>
    <col min="20" max="20" width="14" customWidth="1"/>
    <col min="21" max="21" width="14.81640625" customWidth="1"/>
    <col min="22" max="35" width="12.453125" bestFit="1" customWidth="1"/>
  </cols>
  <sheetData>
    <row r="2" spans="2:35" ht="21" x14ac:dyDescent="0.5">
      <c r="B2" s="98" t="s">
        <v>269</v>
      </c>
      <c r="C2" s="98"/>
      <c r="D2" s="76"/>
      <c r="E2" s="76"/>
      <c r="F2" s="76"/>
      <c r="G2" s="76"/>
      <c r="H2" s="76"/>
      <c r="I2" s="76"/>
      <c r="J2" s="76"/>
      <c r="K2" s="76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</row>
    <row r="3" spans="2:35" ht="6" customHeight="1" x14ac:dyDescent="0.35"/>
    <row r="5" spans="2:35" ht="18.5" x14ac:dyDescent="0.45">
      <c r="B5" s="102" t="s">
        <v>270</v>
      </c>
      <c r="M5" s="77" t="s">
        <v>271</v>
      </c>
      <c r="P5" s="77" t="s">
        <v>272</v>
      </c>
      <c r="Q5" s="96"/>
    </row>
    <row r="6" spans="2:35" ht="43.5" x14ac:dyDescent="0.35">
      <c r="B6" s="760" t="s">
        <v>273</v>
      </c>
      <c r="C6" s="761" t="s">
        <v>1</v>
      </c>
      <c r="D6" s="761" t="s">
        <v>2</v>
      </c>
      <c r="E6" s="761" t="s">
        <v>3</v>
      </c>
      <c r="F6" s="761" t="s">
        <v>4</v>
      </c>
      <c r="G6" s="761" t="s">
        <v>5</v>
      </c>
      <c r="H6" s="761" t="s">
        <v>6</v>
      </c>
      <c r="I6" s="761" t="s">
        <v>7</v>
      </c>
      <c r="J6" s="761" t="s">
        <v>8</v>
      </c>
      <c r="K6" s="761" t="s">
        <v>9</v>
      </c>
      <c r="L6" s="97"/>
      <c r="M6" s="761" t="s">
        <v>274</v>
      </c>
      <c r="N6" s="761" t="s">
        <v>275</v>
      </c>
      <c r="P6" s="761" t="s">
        <v>274</v>
      </c>
      <c r="Q6" s="761" t="s">
        <v>275</v>
      </c>
    </row>
    <row r="7" spans="2:35" ht="6" customHeight="1" thickBot="1" x14ac:dyDescent="0.4">
      <c r="B7" s="82"/>
      <c r="C7" s="83"/>
      <c r="D7" s="83"/>
      <c r="E7" s="83"/>
      <c r="F7" s="83"/>
      <c r="G7" s="83"/>
      <c r="H7" s="83"/>
      <c r="I7" s="83"/>
      <c r="J7" s="83"/>
      <c r="K7" s="83"/>
    </row>
    <row r="8" spans="2:35" ht="15" thickBot="1" x14ac:dyDescent="0.4">
      <c r="B8" t="s">
        <v>276</v>
      </c>
      <c r="C8" s="764">
        <f>'Premissas Tarifa Social'!E52</f>
        <v>0.26440289965661962</v>
      </c>
      <c r="D8" s="764">
        <f>'Premissas Tarifa Social'!$E$53</f>
        <v>0.34830499777648549</v>
      </c>
      <c r="E8" s="764">
        <f>'Premissas Tarifa Social'!$E$54</f>
        <v>0.60567010309278346</v>
      </c>
      <c r="F8" s="764">
        <f>'Premissas Tarifa Social'!$E$55</f>
        <v>0.58895348837209305</v>
      </c>
      <c r="G8" s="764">
        <f>'Premissas Tarifa Social'!$E$56</f>
        <v>0.30619422572178479</v>
      </c>
      <c r="H8" s="764">
        <f>'Premissas Tarifa Social'!$E$57</f>
        <v>0.16525333366785003</v>
      </c>
      <c r="I8" s="764">
        <f>'Premissas Tarifa Social'!$E$58</f>
        <v>0.32011709722150888</v>
      </c>
      <c r="J8" s="764">
        <f>'Premissas Tarifa Social'!$E$59</f>
        <v>0.29927407204492534</v>
      </c>
      <c r="K8" s="764">
        <f>'Premissas Tarifa Social'!$E$60</f>
        <v>0.41043187347931875</v>
      </c>
      <c r="L8" s="1641"/>
      <c r="M8" s="771">
        <f>AVERAGE(E8,K8)</f>
        <v>0.50805098828605111</v>
      </c>
      <c r="N8" s="771">
        <f>AVERAGE(H8)</f>
        <v>0.16525333366785003</v>
      </c>
      <c r="P8" s="771"/>
      <c r="Q8" s="771"/>
    </row>
    <row r="9" spans="2:35" ht="15" thickBot="1" x14ac:dyDescent="0.4">
      <c r="B9" t="s">
        <v>277</v>
      </c>
      <c r="C9" s="764">
        <f>'Premissas Tarifa Social'!$C$52*P9</f>
        <v>4.1321145701493159E-2</v>
      </c>
      <c r="D9" s="764">
        <f>'Premissas Tarifa Social'!$C$53*Q9</f>
        <v>2.0695388556127688E-2</v>
      </c>
      <c r="E9" s="764">
        <f>'Premissas Tarifa Social'!$C$54*P9</f>
        <v>1.6337619651356366E-2</v>
      </c>
      <c r="F9" s="764">
        <f>'Premissas Tarifa Social'!$C$55*P9</f>
        <v>1.6858048963057707E-2</v>
      </c>
      <c r="G9" s="764">
        <f>'Premissas Tarifa Social'!$C$56*P9</f>
        <v>3.7544525336772112E-2</v>
      </c>
      <c r="H9" s="764">
        <f>'Premissas Tarifa Social'!$C$57*Q9</f>
        <v>2.7665528512324161E-2</v>
      </c>
      <c r="I9" s="764">
        <f>'Premissas Tarifa Social'!$C$58*P9</f>
        <v>3.2414838219793504E-2</v>
      </c>
      <c r="J9" s="764">
        <f>'Premissas Tarifa Social'!$C$59*P9</f>
        <v>3.3620964178995669E-2</v>
      </c>
      <c r="K9" s="764">
        <f>'Premissas Tarifa Social'!$C$60*P9</f>
        <v>2.6741668569012254E-2</v>
      </c>
      <c r="L9" s="1641"/>
      <c r="M9" s="771">
        <f>AVERAGE(E9,K9)</f>
        <v>2.153964411018431E-2</v>
      </c>
      <c r="N9" s="771">
        <f>AVERAGE(H9)</f>
        <v>2.7665528512324161E-2</v>
      </c>
      <c r="P9" s="771">
        <v>5.7867125764316338E-2</v>
      </c>
      <c r="Q9" s="771">
        <v>3.8099091815797924E-2</v>
      </c>
      <c r="R9" s="1659"/>
      <c r="S9" s="1659"/>
      <c r="T9" s="1659"/>
    </row>
    <row r="10" spans="2:35" ht="15" thickBot="1" x14ac:dyDescent="0.4">
      <c r="B10" t="s">
        <v>278</v>
      </c>
      <c r="C10" s="764">
        <f>'Premissas Tarifa Social'!$C$52*P10</f>
        <v>0.18062140227157047</v>
      </c>
      <c r="D10" s="764">
        <f>'Premissas Tarifa Social'!$C$53*Q10</f>
        <v>0.13704614664568726</v>
      </c>
      <c r="E10" s="764">
        <f>'Premissas Tarifa Social'!$C$54*P10</f>
        <v>7.1414374434949898E-2</v>
      </c>
      <c r="F10" s="764">
        <f>'Premissas Tarifa Social'!$C$55*P10</f>
        <v>7.3689255018895755E-2</v>
      </c>
      <c r="G10" s="764">
        <f>'Premissas Tarifa Social'!$C$56*P10</f>
        <v>0.16411318463764762</v>
      </c>
      <c r="H10" s="764">
        <f>'Premissas Tarifa Social'!$C$57*Q10</f>
        <v>0.18320284575704715</v>
      </c>
      <c r="I10" s="764">
        <f>'Premissas Tarifa Social'!$C$58*P10</f>
        <v>0.14169049367509753</v>
      </c>
      <c r="J10" s="764">
        <f>'Premissas Tarifa Social'!$C$59*P10</f>
        <v>0.14696266506262431</v>
      </c>
      <c r="K10" s="764">
        <f>'Premissas Tarifa Social'!$C$60*P10</f>
        <v>0.11689215277111825</v>
      </c>
      <c r="L10" s="1641"/>
      <c r="M10" s="771"/>
      <c r="N10" s="771"/>
      <c r="P10" s="771">
        <v>0.25294655372051922</v>
      </c>
      <c r="Q10" s="771">
        <v>0.25229454909216303</v>
      </c>
      <c r="R10" s="1659"/>
      <c r="S10" s="1659"/>
      <c r="T10" s="1659"/>
    </row>
    <row r="11" spans="2:35" ht="15" thickBot="1" x14ac:dyDescent="0.4">
      <c r="B11" t="s">
        <v>279</v>
      </c>
      <c r="C11" s="764">
        <f>'Premissas Tarifa Social'!$C$52*P11</f>
        <v>0.20769655308309518</v>
      </c>
      <c r="D11" s="764">
        <f>'Premissas Tarifa Social'!$C$53*Q11</f>
        <v>0.18868445786528909</v>
      </c>
      <c r="E11" s="764">
        <f>'Premissas Tarifa Social'!$C$54*P11</f>
        <v>8.211939019509662E-2</v>
      </c>
      <c r="F11" s="764">
        <f>'Premissas Tarifa Social'!$C$55*P11</f>
        <v>8.4735275411461058E-2</v>
      </c>
      <c r="G11" s="764">
        <f>'Premissas Tarifa Social'!$C$56*P11</f>
        <v>0.18871375338720878</v>
      </c>
      <c r="H11" s="764">
        <f>'Premissas Tarifa Social'!$C$57*Q11</f>
        <v>0.25223277324546672</v>
      </c>
      <c r="I11" s="764">
        <f>'Premissas Tarifa Social'!$C$58*P11</f>
        <v>0.1629299007252358</v>
      </c>
      <c r="J11" s="764">
        <f>'Premissas Tarifa Social'!$C$59*P11</f>
        <v>0.168992370679966</v>
      </c>
      <c r="K11" s="764">
        <f>'Premissas Tarifa Social'!$C$60*P11</f>
        <v>0.13441428816127163</v>
      </c>
      <c r="L11" s="1641"/>
      <c r="M11" s="771"/>
      <c r="N11" s="771"/>
      <c r="P11" s="771">
        <v>0.29086324577975503</v>
      </c>
      <c r="Q11" s="771">
        <v>0.34735788917068694</v>
      </c>
      <c r="R11" s="1659"/>
      <c r="S11" s="1659"/>
      <c r="T11" s="1659"/>
    </row>
    <row r="12" spans="2:35" ht="15" thickBot="1" x14ac:dyDescent="0.4">
      <c r="B12" t="s">
        <v>280</v>
      </c>
      <c r="C12" s="764">
        <f>'Premissas Tarifa Social'!$C$52*P12</f>
        <v>0.15333338110569261</v>
      </c>
      <c r="D12" s="764">
        <f>'Premissas Tarifa Social'!$C$53*Q12</f>
        <v>0.11492926764870715</v>
      </c>
      <c r="E12" s="764">
        <f>'Premissas Tarifa Social'!$C$54*P12</f>
        <v>6.0625193658915305E-2</v>
      </c>
      <c r="F12" s="764">
        <f>'Premissas Tarifa Social'!$C$55*P12</f>
        <v>6.2556388562516232E-2</v>
      </c>
      <c r="G12" s="764">
        <f>'Premissas Tarifa Social'!$C$56*P12</f>
        <v>0.13931920120229352</v>
      </c>
      <c r="H12" s="764">
        <f>'Premissas Tarifa Social'!$C$57*Q12</f>
        <v>0.15363707341916044</v>
      </c>
      <c r="I12" s="764">
        <f>'Premissas Tarifa Social'!$C$58*P12</f>
        <v>0.12028409807754592</v>
      </c>
      <c r="J12" s="764">
        <f>'Premissas Tarifa Social'!$C$59*P12</f>
        <v>0.124759757409449</v>
      </c>
      <c r="K12" s="764">
        <f>'Premissas Tarifa Social'!$C$60*P12</f>
        <v>9.9232254781026263E-2</v>
      </c>
      <c r="L12" s="1641"/>
      <c r="M12" s="771"/>
      <c r="N12" s="771"/>
      <c r="P12" s="771">
        <v>0.21473175289983143</v>
      </c>
      <c r="Q12" s="771">
        <v>0.2115785702015254</v>
      </c>
      <c r="R12" s="1659"/>
      <c r="S12" s="1659"/>
      <c r="T12" s="1659"/>
    </row>
    <row r="13" spans="2:35" ht="15" thickBot="1" x14ac:dyDescent="0.4">
      <c r="B13" t="s">
        <v>281</v>
      </c>
      <c r="C13" s="764">
        <f>'Premissas Tarifa Social'!$C$52*P13</f>
        <v>7.678890061999627E-2</v>
      </c>
      <c r="D13" s="764">
        <f>'Premissas Tarifa Social'!$C$53*Q13</f>
        <v>5.0416638373944854E-2</v>
      </c>
      <c r="E13" s="764">
        <f>'Premissas Tarifa Social'!$C$54*P13</f>
        <v>3.0360916438238263E-2</v>
      </c>
      <c r="F13" s="764">
        <f>'Premissas Tarifa Social'!$C$55*P13</f>
        <v>3.1328053094725583E-2</v>
      </c>
      <c r="G13" s="764">
        <f>'Premissas Tarifa Social'!$C$56*P13</f>
        <v>6.9770641059600319E-2</v>
      </c>
      <c r="H13" s="764">
        <f>'Premissas Tarifa Social'!$C$57*Q13</f>
        <v>6.7396799178091354E-2</v>
      </c>
      <c r="I13" s="764">
        <f>'Premissas Tarifa Social'!$C$58*P13</f>
        <v>6.0237918102620157E-2</v>
      </c>
      <c r="J13" s="764">
        <f>'Premissas Tarifa Social'!$C$59*P13</f>
        <v>6.2479314967204817E-2</v>
      </c>
      <c r="K13" s="764">
        <f>'Premissas Tarifa Social'!$C$60*P13</f>
        <v>4.9695217673612492E-2</v>
      </c>
      <c r="L13" s="1641"/>
      <c r="M13" s="771"/>
      <c r="N13" s="771"/>
      <c r="P13" s="771">
        <v>0.10753702236577488</v>
      </c>
      <c r="Q13" s="771">
        <v>9.2814306396971163E-2</v>
      </c>
      <c r="R13" s="1659"/>
      <c r="S13" s="1659"/>
      <c r="T13" s="1659"/>
    </row>
    <row r="14" spans="2:35" ht="15" thickBot="1" x14ac:dyDescent="0.4">
      <c r="B14" t="s">
        <v>282</v>
      </c>
      <c r="C14" s="764">
        <f>'Premissas Tarifa Social'!$C$52*P14</f>
        <v>4.8727003242551505E-2</v>
      </c>
      <c r="D14" s="764">
        <f>'Premissas Tarifa Social'!$C$53*Q14</f>
        <v>2.9839933137904315E-2</v>
      </c>
      <c r="E14" s="764">
        <f>'Premissas Tarifa Social'!$C$54*P14</f>
        <v>1.9265759267135904E-2</v>
      </c>
      <c r="F14" s="764">
        <f>'Premissas Tarifa Social'!$C$55*P14</f>
        <v>1.9879463469385888E-2</v>
      </c>
      <c r="G14" s="764">
        <f>'Premissas Tarifa Social'!$C$56*P14</f>
        <v>4.4273511219676674E-2</v>
      </c>
      <c r="H14" s="764">
        <f>'Premissas Tarifa Social'!$C$57*Q14</f>
        <v>3.9889926144348976E-2</v>
      </c>
      <c r="I14" s="764">
        <f>'Premissas Tarifa Social'!$C$58*P14</f>
        <v>3.8224446593347609E-2</v>
      </c>
      <c r="J14" s="764">
        <f>'Premissas Tarifa Social'!$C$59*P14</f>
        <v>3.9646742672685163E-2</v>
      </c>
      <c r="K14" s="764">
        <f>'Premissas Tarifa Social'!$C$60*P14</f>
        <v>3.1534492786980291E-2</v>
      </c>
      <c r="L14" s="1641"/>
      <c r="M14" s="771"/>
      <c r="N14" s="771"/>
      <c r="P14" s="771">
        <v>6.8238466695106345E-2</v>
      </c>
      <c r="Q14" s="771">
        <v>5.4933704159020054E-2</v>
      </c>
      <c r="R14" s="1659"/>
      <c r="S14" s="1659"/>
      <c r="T14" s="1659"/>
    </row>
    <row r="15" spans="2:35" ht="15" thickBot="1" x14ac:dyDescent="0.4">
      <c r="B15" t="s">
        <v>283</v>
      </c>
      <c r="C15" s="764">
        <f>'Premissas Tarifa Social'!$C$52*P15</f>
        <v>5.581047280231512E-3</v>
      </c>
      <c r="D15" s="764">
        <f>'Premissas Tarifa Social'!$C$53*Q15</f>
        <v>1.5871672704397377E-3</v>
      </c>
      <c r="E15" s="764">
        <f>'Premissas Tarifa Social'!$C$54*P15</f>
        <v>2.206643261524195E-3</v>
      </c>
      <c r="F15" s="764">
        <f>'Premissas Tarifa Social'!$C$55*P15</f>
        <v>2.2769351313480894E-3</v>
      </c>
      <c r="G15" s="764">
        <f>'Premissas Tarifa Social'!$C$56*P15</f>
        <v>5.0709574350162158E-3</v>
      </c>
      <c r="H15" s="764">
        <f>'Premissas Tarifa Social'!$C$57*Q15</f>
        <v>2.1217200757111198E-3</v>
      </c>
      <c r="I15" s="764">
        <f>'Premissas Tarifa Social'!$C$58*P15</f>
        <v>4.3781154083340377E-3</v>
      </c>
      <c r="J15" s="764">
        <f>'Premissas Tarifa Social'!$C$59*P15</f>
        <v>4.5410210076330089E-3</v>
      </c>
      <c r="K15" s="764">
        <f>'Premissas Tarifa Social'!$C$60*P15</f>
        <v>3.6118678246267804E-3</v>
      </c>
      <c r="L15" s="1641"/>
      <c r="M15" s="771"/>
      <c r="N15" s="771"/>
      <c r="P15" s="771">
        <v>7.8158327746968119E-3</v>
      </c>
      <c r="Q15" s="771">
        <v>2.9218891638354148E-3</v>
      </c>
      <c r="R15" s="1659"/>
      <c r="S15" s="1659"/>
      <c r="T15" s="1659"/>
    </row>
    <row r="16" spans="2:35" ht="15" thickBot="1" x14ac:dyDescent="0.4">
      <c r="B16" t="s">
        <v>12</v>
      </c>
      <c r="C16" s="769">
        <v>2.1527667038749802E-2</v>
      </c>
      <c r="D16" s="764">
        <v>9.1929502611855549E-2</v>
      </c>
      <c r="E16" s="769">
        <v>6.7000000000000004E-2</v>
      </c>
      <c r="F16" s="764">
        <f>$M$16</f>
        <v>8.3891389432485322E-2</v>
      </c>
      <c r="G16" s="769">
        <v>3.49E-2</v>
      </c>
      <c r="H16" s="769">
        <v>9.0399999999999994E-2</v>
      </c>
      <c r="I16" s="764">
        <f>$M$16</f>
        <v>8.3891389432485322E-2</v>
      </c>
      <c r="J16" s="764">
        <f>$M$16</f>
        <v>8.3891389432485322E-2</v>
      </c>
      <c r="K16" s="769">
        <v>0.10078277886497064</v>
      </c>
      <c r="L16" s="1641"/>
      <c r="M16" s="771">
        <f>AVERAGE(E16,K16)</f>
        <v>8.3891389432485322E-2</v>
      </c>
      <c r="N16" s="771">
        <f>AVERAGE(H16)</f>
        <v>9.0399999999999994E-2</v>
      </c>
      <c r="P16" s="771"/>
      <c r="Q16" s="771"/>
      <c r="R16" s="1659"/>
      <c r="S16" s="1659"/>
    </row>
    <row r="17" spans="2:19" ht="15" thickBot="1" x14ac:dyDescent="0.4">
      <c r="B17" t="s">
        <v>13</v>
      </c>
      <c r="C17" s="769">
        <v>0</v>
      </c>
      <c r="D17" s="764">
        <v>6.7902452873041114E-3</v>
      </c>
      <c r="E17" s="769">
        <v>3.0000000000000001E-3</v>
      </c>
      <c r="F17" s="764">
        <f>$M$17</f>
        <v>4.3131115459882578E-3</v>
      </c>
      <c r="G17" s="769">
        <v>0</v>
      </c>
      <c r="H17" s="769">
        <v>8.3000000000000001E-3</v>
      </c>
      <c r="I17" s="764">
        <f>$M$17</f>
        <v>4.3131115459882578E-3</v>
      </c>
      <c r="J17" s="764">
        <f>$M$17</f>
        <v>4.3131115459882578E-3</v>
      </c>
      <c r="K17" s="769">
        <v>5.6262230919765163E-3</v>
      </c>
      <c r="L17" s="1641"/>
      <c r="M17" s="771">
        <f>AVERAGE(E17,K17)</f>
        <v>4.3131115459882578E-3</v>
      </c>
      <c r="N17" s="771">
        <f>AVERAGE(H17)</f>
        <v>8.3000000000000001E-3</v>
      </c>
      <c r="P17" s="771"/>
      <c r="Q17" s="771"/>
    </row>
    <row r="18" spans="2:19" ht="15" thickBot="1" x14ac:dyDescent="0.4">
      <c r="B18" t="s">
        <v>14</v>
      </c>
      <c r="C18" s="769">
        <v>0</v>
      </c>
      <c r="D18" s="764">
        <v>9.7762548262548266E-3</v>
      </c>
      <c r="E18" s="769">
        <v>4.2000000000000003E-2</v>
      </c>
      <c r="F18" s="764">
        <f>$M$18</f>
        <v>3.151859099804305E-2</v>
      </c>
      <c r="G18" s="769">
        <v>1.01E-2</v>
      </c>
      <c r="H18" s="769">
        <v>9.9000000000000008E-3</v>
      </c>
      <c r="I18" s="764">
        <f>$M$18</f>
        <v>3.151859099804305E-2</v>
      </c>
      <c r="J18" s="764">
        <f>$M$18</f>
        <v>3.151859099804305E-2</v>
      </c>
      <c r="K18" s="769">
        <v>2.1037181996086105E-2</v>
      </c>
      <c r="L18" s="1641"/>
      <c r="M18" s="771">
        <f>AVERAGE(E18,K18)</f>
        <v>3.151859099804305E-2</v>
      </c>
      <c r="N18" s="771">
        <f>AVERAGE(H18)</f>
        <v>9.9000000000000008E-3</v>
      </c>
      <c r="P18" s="771"/>
      <c r="Q18" s="771"/>
    </row>
    <row r="19" spans="2:19" ht="3.75" customHeight="1" x14ac:dyDescent="0.35">
      <c r="B19" s="53"/>
      <c r="C19" s="53"/>
      <c r="D19" s="53"/>
      <c r="E19" s="53"/>
      <c r="F19" s="53"/>
      <c r="G19" s="53"/>
      <c r="H19" s="53"/>
      <c r="I19" s="53"/>
      <c r="J19" s="53"/>
      <c r="K19" s="53"/>
    </row>
    <row r="20" spans="2:19" x14ac:dyDescent="0.35">
      <c r="B20" s="103" t="s">
        <v>200</v>
      </c>
      <c r="C20" s="1730">
        <f>SUM(C8:C18)</f>
        <v>1.0000000000000002</v>
      </c>
      <c r="D20" s="1730">
        <f>SUM(D8:D18)</f>
        <v>1</v>
      </c>
      <c r="E20" s="1730">
        <f>SUM(E8:E18)</f>
        <v>1</v>
      </c>
      <c r="F20" s="1730">
        <f>SUM(F8:F18)</f>
        <v>1</v>
      </c>
      <c r="G20" s="1730">
        <f t="shared" ref="G20:K20" si="0">SUM(G8:G18)</f>
        <v>1</v>
      </c>
      <c r="H20" s="1730">
        <f t="shared" si="0"/>
        <v>0.99999999999999989</v>
      </c>
      <c r="I20" s="1730">
        <f t="shared" si="0"/>
        <v>1</v>
      </c>
      <c r="J20" s="1730">
        <f t="shared" si="0"/>
        <v>1</v>
      </c>
      <c r="K20" s="1730">
        <f t="shared" si="0"/>
        <v>1</v>
      </c>
      <c r="M20" s="765">
        <f>SUM(M8:M18)</f>
        <v>0.64931372437275203</v>
      </c>
      <c r="N20" s="765">
        <f>SUM(N8:N18)</f>
        <v>0.30151886218017415</v>
      </c>
      <c r="P20" s="765">
        <f>SUM(P8:P18)</f>
        <v>1</v>
      </c>
      <c r="Q20" s="765">
        <f>SUM(Q8:Q18)</f>
        <v>0.99999999999999989</v>
      </c>
    </row>
    <row r="21" spans="2:19" ht="6" customHeight="1" x14ac:dyDescent="0.35">
      <c r="B21" s="77"/>
      <c r="C21" s="762"/>
      <c r="D21" s="762"/>
      <c r="E21" s="762"/>
      <c r="F21" s="762"/>
      <c r="G21" s="762"/>
      <c r="H21" s="762"/>
      <c r="I21" s="762"/>
      <c r="J21" s="762"/>
      <c r="K21" s="762"/>
      <c r="L21" s="762"/>
      <c r="M21" s="762"/>
      <c r="N21" s="762"/>
      <c r="O21" s="762"/>
      <c r="P21" s="762"/>
      <c r="Q21" s="762"/>
      <c r="R21" s="762"/>
      <c r="S21" s="762"/>
    </row>
    <row r="22" spans="2:19" x14ac:dyDescent="0.35">
      <c r="B22" s="767" t="s">
        <v>284</v>
      </c>
      <c r="C22" s="766"/>
      <c r="D22" s="766"/>
      <c r="E22" s="766"/>
      <c r="F22" s="766"/>
      <c r="G22" s="766"/>
      <c r="H22" s="766"/>
      <c r="I22" s="766"/>
      <c r="J22" s="766"/>
      <c r="K22" s="766"/>
      <c r="L22" s="1642"/>
      <c r="M22" s="1642"/>
      <c r="N22" s="1642"/>
      <c r="O22" s="1642"/>
      <c r="P22" s="1002"/>
      <c r="Q22" s="1002"/>
      <c r="R22" s="1002"/>
    </row>
    <row r="23" spans="2:19" x14ac:dyDescent="0.35">
      <c r="B23" s="1603" t="s">
        <v>285</v>
      </c>
      <c r="C23" s="766"/>
      <c r="D23" s="766"/>
      <c r="E23" s="766"/>
      <c r="F23" s="766"/>
      <c r="G23" s="766"/>
      <c r="H23" s="766"/>
      <c r="I23" s="766"/>
      <c r="J23" s="1723"/>
      <c r="K23" s="766"/>
      <c r="L23" s="1642"/>
      <c r="M23" s="1642"/>
      <c r="N23" s="1642"/>
      <c r="O23" s="1642"/>
      <c r="P23" s="1002"/>
      <c r="Q23" s="1002"/>
      <c r="R23" s="1002"/>
    </row>
    <row r="24" spans="2:19" x14ac:dyDescent="0.35">
      <c r="B24" s="766" t="s">
        <v>286</v>
      </c>
      <c r="C24" s="766"/>
      <c r="D24" s="766"/>
      <c r="E24" s="766"/>
      <c r="F24" s="766"/>
      <c r="G24" s="766"/>
      <c r="H24" s="766"/>
      <c r="I24" s="766"/>
      <c r="J24" s="766"/>
      <c r="K24" s="766"/>
      <c r="L24" s="1002"/>
      <c r="M24" s="1002"/>
      <c r="N24" s="1002"/>
      <c r="O24" s="1002"/>
      <c r="P24" s="1002"/>
      <c r="Q24" s="1002"/>
      <c r="R24" s="1002"/>
    </row>
    <row r="25" spans="2:19" x14ac:dyDescent="0.35">
      <c r="B25" s="766" t="s">
        <v>287</v>
      </c>
      <c r="C25" s="766"/>
      <c r="D25" s="766"/>
      <c r="E25" s="766"/>
      <c r="F25" s="766"/>
      <c r="G25" s="766"/>
      <c r="H25" s="766"/>
      <c r="I25" s="766"/>
      <c r="J25" s="766"/>
      <c r="K25" s="766"/>
      <c r="L25" s="1002"/>
      <c r="M25" s="1002"/>
      <c r="N25" s="1002"/>
      <c r="O25" s="1002"/>
      <c r="P25" s="1002"/>
      <c r="Q25" s="1002"/>
      <c r="R25" s="1002"/>
    </row>
    <row r="26" spans="2:19" x14ac:dyDescent="0.35">
      <c r="B26" s="766" t="s">
        <v>288</v>
      </c>
      <c r="C26" s="766"/>
      <c r="D26" s="766"/>
      <c r="E26" s="766"/>
      <c r="F26" s="766"/>
      <c r="G26" s="766"/>
      <c r="H26" s="766"/>
      <c r="I26" s="766"/>
      <c r="J26" s="766"/>
      <c r="K26" s="766"/>
      <c r="L26" s="1002"/>
      <c r="M26" s="1002"/>
      <c r="N26" s="1002"/>
      <c r="O26" s="1002"/>
      <c r="P26" s="1002"/>
      <c r="Q26" s="1002"/>
      <c r="R26" s="1002"/>
    </row>
    <row r="27" spans="2:19" x14ac:dyDescent="0.35">
      <c r="B27" s="1603" t="s">
        <v>289</v>
      </c>
      <c r="C27" s="766"/>
      <c r="D27" s="766"/>
      <c r="E27" s="766"/>
      <c r="F27" s="766"/>
      <c r="G27" s="766"/>
      <c r="H27" s="766"/>
      <c r="I27" s="766"/>
      <c r="J27" s="766"/>
      <c r="K27" s="766"/>
      <c r="L27" s="1002"/>
      <c r="M27" s="1002"/>
      <c r="N27" s="1002"/>
      <c r="O27" s="1002"/>
      <c r="P27" s="1002"/>
      <c r="Q27" s="1002"/>
      <c r="R27" s="1002"/>
    </row>
    <row r="28" spans="2:19" x14ac:dyDescent="0.35">
      <c r="B28" s="766" t="s">
        <v>290</v>
      </c>
      <c r="C28" s="766"/>
      <c r="D28" s="766"/>
      <c r="E28" s="766"/>
      <c r="F28" s="766"/>
      <c r="G28" s="766"/>
      <c r="H28" s="766"/>
      <c r="I28" s="766"/>
      <c r="J28" s="766"/>
      <c r="K28" s="766"/>
      <c r="L28" s="1002"/>
      <c r="M28" s="1002"/>
      <c r="N28" s="1002"/>
      <c r="O28" s="1002"/>
      <c r="P28" s="1002"/>
      <c r="Q28" s="1002"/>
      <c r="R28" s="1002"/>
    </row>
    <row r="29" spans="2:19" x14ac:dyDescent="0.35">
      <c r="B29" s="763"/>
      <c r="C29" s="763"/>
      <c r="D29" s="763"/>
      <c r="E29" s="763"/>
    </row>
    <row r="30" spans="2:19" ht="18.5" x14ac:dyDescent="0.45">
      <c r="B30" s="102" t="s">
        <v>291</v>
      </c>
      <c r="M30" s="77" t="s">
        <v>271</v>
      </c>
      <c r="P30" s="77" t="s">
        <v>272</v>
      </c>
    </row>
    <row r="31" spans="2:19" ht="43.5" x14ac:dyDescent="0.35">
      <c r="B31" s="760" t="s">
        <v>273</v>
      </c>
      <c r="C31" s="761" t="s">
        <v>1</v>
      </c>
      <c r="D31" s="761" t="s">
        <v>2</v>
      </c>
      <c r="E31" s="761" t="s">
        <v>3</v>
      </c>
      <c r="F31" s="761" t="s">
        <v>4</v>
      </c>
      <c r="G31" s="761" t="s">
        <v>5</v>
      </c>
      <c r="H31" s="761" t="s">
        <v>6</v>
      </c>
      <c r="I31" s="761" t="s">
        <v>7</v>
      </c>
      <c r="J31" s="761" t="s">
        <v>8</v>
      </c>
      <c r="K31" s="761" t="s">
        <v>9</v>
      </c>
      <c r="M31" s="761" t="s">
        <v>274</v>
      </c>
      <c r="N31" s="761" t="s">
        <v>275</v>
      </c>
      <c r="P31" s="761" t="s">
        <v>274</v>
      </c>
      <c r="Q31" s="761" t="s">
        <v>275</v>
      </c>
    </row>
    <row r="32" spans="2:19" ht="6" customHeight="1" thickBot="1" x14ac:dyDescent="0.4">
      <c r="B32" s="82"/>
      <c r="C32" s="83"/>
      <c r="D32" s="83"/>
      <c r="E32" s="83"/>
      <c r="F32" s="83"/>
      <c r="G32" s="83"/>
      <c r="H32" s="83"/>
      <c r="I32" s="83"/>
      <c r="J32" s="83"/>
      <c r="K32" s="83"/>
    </row>
    <row r="33" spans="2:18" ht="15" thickBot="1" x14ac:dyDescent="0.4">
      <c r="B33" t="s">
        <v>276</v>
      </c>
      <c r="C33" s="764">
        <f>'Premissas Tarifa Social'!$F$52</f>
        <v>0.27414097145108141</v>
      </c>
      <c r="D33" s="764">
        <f>'Premissas Tarifa Social'!$F$53</f>
        <v>0.35466449354922208</v>
      </c>
      <c r="E33" s="764">
        <f>'Premissas Tarifa Social'!$F$54</f>
        <v>0.6456701030927835</v>
      </c>
      <c r="F33" s="764">
        <f>'Premissas Tarifa Social'!$F$55</f>
        <v>0.61154332101423647</v>
      </c>
      <c r="G33" s="764">
        <f>'Premissas Tarifa Social'!$F$56</f>
        <v>0.30379422572178483</v>
      </c>
      <c r="H33" s="764">
        <f>'Premissas Tarifa Social'!$F$57</f>
        <v>0.17075333366785003</v>
      </c>
      <c r="I33" s="764">
        <f>'Premissas Tarifa Social'!$F$58</f>
        <v>0.34270692986365225</v>
      </c>
      <c r="J33" s="764">
        <f>'Premissas Tarifa Social'!$F$59</f>
        <v>0.32186390468706871</v>
      </c>
      <c r="K33" s="764">
        <f>'Premissas Tarifa Social'!$F$60</f>
        <v>0.41561153876360546</v>
      </c>
      <c r="L33" s="1641"/>
      <c r="M33" s="771">
        <f>AVERAGE(E33,K33)</f>
        <v>0.53064082092819453</v>
      </c>
      <c r="N33" s="771">
        <f>AVERAGE(H33)</f>
        <v>0.17075333366785003</v>
      </c>
      <c r="P33" s="771"/>
      <c r="Q33" s="771"/>
    </row>
    <row r="34" spans="2:18" ht="15" thickBot="1" x14ac:dyDescent="0.4">
      <c r="B34" t="s">
        <v>277</v>
      </c>
      <c r="C34" s="764">
        <f>'Premissas Tarifa Social'!$D$52*P34</f>
        <v>0</v>
      </c>
      <c r="D34" s="764">
        <f>'Premissas Tarifa Social'!$D$53*Q34</f>
        <v>0</v>
      </c>
      <c r="E34" s="764">
        <f>'Premissas Tarifa Social'!$D$54*P34</f>
        <v>0</v>
      </c>
      <c r="F34" s="764">
        <f>'Premissas Tarifa Social'!$D$55*P34</f>
        <v>0</v>
      </c>
      <c r="G34" s="764">
        <f>'Premissas Tarifa Social'!$D$56*P34</f>
        <v>0</v>
      </c>
      <c r="H34" s="764">
        <f>'Premissas Tarifa Social'!$D$57*Q34</f>
        <v>0</v>
      </c>
      <c r="I34" s="764">
        <f>'Premissas Tarifa Social'!$D$58*P34</f>
        <v>0</v>
      </c>
      <c r="J34" s="764">
        <f>'Premissas Tarifa Social'!$D$59*P34</f>
        <v>0</v>
      </c>
      <c r="K34" s="764">
        <f>'Premissas Tarifa Social'!$D$60*P34</f>
        <v>0</v>
      </c>
      <c r="L34" s="1641"/>
      <c r="M34" s="771">
        <f>AVERAGE(E34,K34)</f>
        <v>0</v>
      </c>
      <c r="N34" s="771">
        <f>AVERAGE(H34)</f>
        <v>0</v>
      </c>
      <c r="P34" s="771">
        <v>0</v>
      </c>
      <c r="Q34" s="771">
        <v>0</v>
      </c>
    </row>
    <row r="35" spans="2:18" ht="15" thickBot="1" x14ac:dyDescent="0.4">
      <c r="B35" t="s">
        <v>278</v>
      </c>
      <c r="C35" s="764">
        <f>'Premissas Tarifa Social'!$D$52*P35</f>
        <v>5.9363362943242542E-2</v>
      </c>
      <c r="D35" s="764">
        <f>'Premissas Tarifa Social'!$D$53*Q35</f>
        <v>3.9798814216596569E-2</v>
      </c>
      <c r="E35" s="764">
        <f>'Premissas Tarifa Social'!$D$54*P35</f>
        <v>2.0705800452169604E-2</v>
      </c>
      <c r="F35" s="764">
        <f>'Premissas Tarifa Social'!$D$55*P35</f>
        <v>2.2363036915237108E-2</v>
      </c>
      <c r="G35" s="764">
        <f>'Premissas Tarifa Social'!$D$56*P35</f>
        <v>4.3772754655837305E-2</v>
      </c>
      <c r="H35" s="764">
        <f>'Premissas Tarifa Social'!$D$57*Q35</f>
        <v>5.2835519519292481E-2</v>
      </c>
      <c r="I35" s="764">
        <f>'Premissas Tarifa Social'!$D$58*P35</f>
        <v>4.4599584519890961E-2</v>
      </c>
      <c r="J35" s="764">
        <f>'Premissas Tarifa Social'!$D$59*P35</f>
        <v>4.6323595616679147E-2</v>
      </c>
      <c r="K35" s="764">
        <f>'Premissas Tarifa Social'!$D$60*P35</f>
        <v>3.7403820797605521E-2</v>
      </c>
      <c r="L35" s="1641"/>
      <c r="M35" s="771"/>
      <c r="N35" s="771"/>
      <c r="P35" s="771">
        <v>8.2714053367121787E-2</v>
      </c>
      <c r="Q35" s="771">
        <v>7.3818743425028532E-2</v>
      </c>
    </row>
    <row r="36" spans="2:18" ht="15" thickBot="1" x14ac:dyDescent="0.4">
      <c r="B36" t="s">
        <v>279</v>
      </c>
      <c r="C36" s="764">
        <f>'Premissas Tarifa Social'!$D$52*P36</f>
        <v>0.16815186180757721</v>
      </c>
      <c r="D36" s="764">
        <f>'Premissas Tarifa Social'!$D$53*Q36</f>
        <v>0.15225985750775475</v>
      </c>
      <c r="E36" s="764">
        <f>'Premissas Tarifa Social'!$D$54*P36</f>
        <v>5.8650971299880242E-2</v>
      </c>
      <c r="F36" s="764">
        <f>'Premissas Tarifa Social'!$D$55*P36</f>
        <v>6.3345236969880106E-2</v>
      </c>
      <c r="G36" s="764">
        <f>'Premissas Tarifa Social'!$D$56*P36</f>
        <v>0.12399011489397424</v>
      </c>
      <c r="H36" s="764">
        <f>'Premissas Tarifa Social'!$D$57*Q36</f>
        <v>0.2021348834559227</v>
      </c>
      <c r="I36" s="764">
        <f>'Premissas Tarifa Social'!$D$58*P36</f>
        <v>0.12633218202335264</v>
      </c>
      <c r="J36" s="764">
        <f>'Premissas Tarifa Social'!$D$59*P36</f>
        <v>0.13121559262087937</v>
      </c>
      <c r="K36" s="764">
        <f>'Premissas Tarifa Social'!$D$60*P36</f>
        <v>0.1059495586839946</v>
      </c>
      <c r="L36" s="1641"/>
      <c r="M36" s="771"/>
      <c r="N36" s="771"/>
      <c r="P36" s="771">
        <v>0.23429471279500794</v>
      </c>
      <c r="Q36" s="771">
        <v>0.28241121190513496</v>
      </c>
    </row>
    <row r="37" spans="2:18" ht="15" thickBot="1" x14ac:dyDescent="0.4">
      <c r="B37" t="s">
        <v>280</v>
      </c>
      <c r="C37" s="764">
        <f>'Premissas Tarifa Social'!$D$52*P37</f>
        <v>0.19380736461714307</v>
      </c>
      <c r="D37" s="764">
        <f>'Premissas Tarifa Social'!$D$53*Q37</f>
        <v>0.15366314238916814</v>
      </c>
      <c r="E37" s="764">
        <f>'Premissas Tarifa Social'!$D$54*P37</f>
        <v>6.7599549940595832E-2</v>
      </c>
      <c r="F37" s="764">
        <f>'Premissas Tarifa Social'!$D$55*P37</f>
        <v>7.3010035727286093E-2</v>
      </c>
      <c r="G37" s="764">
        <f>'Premissas Tarifa Social'!$D$56*P37</f>
        <v>0.14290770942326306</v>
      </c>
      <c r="H37" s="764">
        <f>'Premissas Tarifa Social'!$D$57*Q37</f>
        <v>0.20399783558659515</v>
      </c>
      <c r="I37" s="764">
        <f>'Premissas Tarifa Social'!$D$58*P37</f>
        <v>0.14560711371901028</v>
      </c>
      <c r="J37" s="764">
        <f>'Premissas Tarifa Social'!$D$59*P37</f>
        <v>0.15123560291964211</v>
      </c>
      <c r="K37" s="764">
        <f>'Premissas Tarifa Social'!$D$60*P37</f>
        <v>0.12211464404950793</v>
      </c>
      <c r="L37" s="1641"/>
      <c r="M37" s="771"/>
      <c r="N37" s="771"/>
      <c r="P37" s="771">
        <v>0.2700418558701011</v>
      </c>
      <c r="Q37" s="771">
        <v>0.2850140212765277</v>
      </c>
    </row>
    <row r="38" spans="2:18" ht="15" thickBot="1" x14ac:dyDescent="0.4">
      <c r="B38" t="s">
        <v>281</v>
      </c>
      <c r="C38" s="764">
        <f>'Premissas Tarifa Social'!$D$52*P38</f>
        <v>0.13915620207856746</v>
      </c>
      <c r="D38" s="764">
        <f>'Premissas Tarifa Social'!$D$53*Q38</f>
        <v>9.5182882696605658E-2</v>
      </c>
      <c r="E38" s="764">
        <f>'Premissas Tarifa Social'!$D$54*P38</f>
        <v>4.8537353833465656E-2</v>
      </c>
      <c r="F38" s="764">
        <f>'Premissas Tarifa Social'!$D$55*P38</f>
        <v>5.2422152819114158E-2</v>
      </c>
      <c r="G38" s="764">
        <f>'Premissas Tarifa Social'!$D$56*P38</f>
        <v>0.10260958932274625</v>
      </c>
      <c r="H38" s="764">
        <f>'Premissas Tarifa Social'!$D$57*Q38</f>
        <v>0.12636147974785308</v>
      </c>
      <c r="I38" s="764">
        <f>'Premissas Tarifa Social'!$D$58*P38</f>
        <v>0.10454779662675044</v>
      </c>
      <c r="J38" s="764">
        <f>'Premissas Tarifa Social'!$D$59*P38</f>
        <v>0.10858912489179036</v>
      </c>
      <c r="K38" s="764">
        <f>'Premissas Tarifa Social'!$D$60*P38</f>
        <v>8.7679898633751696E-2</v>
      </c>
      <c r="L38" s="1641"/>
      <c r="M38" s="771"/>
      <c r="N38" s="771"/>
      <c r="P38" s="771">
        <v>0.19389355579631695</v>
      </c>
      <c r="Q38" s="771">
        <v>0.17654497840051928</v>
      </c>
    </row>
    <row r="39" spans="2:18" ht="15" thickBot="1" x14ac:dyDescent="0.4">
      <c r="B39" t="s">
        <v>282</v>
      </c>
      <c r="C39" s="764">
        <f>'Premissas Tarifa Social'!$D$52*P39</f>
        <v>0.12670942126790255</v>
      </c>
      <c r="D39" s="764">
        <f>'Premissas Tarifa Social'!$D$53*Q39</f>
        <v>8.7604454762093026E-2</v>
      </c>
      <c r="E39" s="764">
        <f>'Premissas Tarifa Social'!$D$54*P39</f>
        <v>4.4195946154390459E-2</v>
      </c>
      <c r="F39" s="764">
        <f>'Premissas Tarifa Social'!$D$55*P39</f>
        <v>4.7733270570126794E-2</v>
      </c>
      <c r="G39" s="764">
        <f>'Premissas Tarifa Social'!$D$56*P39</f>
        <v>9.343170829196415E-2</v>
      </c>
      <c r="H39" s="764">
        <f>'Premissas Tarifa Social'!$D$57*Q39</f>
        <v>0.11630062278662941</v>
      </c>
      <c r="I39" s="764">
        <f>'Premissas Tarifa Social'!$D$58*P39</f>
        <v>9.5196553279965013E-2</v>
      </c>
      <c r="J39" s="764">
        <f>'Premissas Tarifa Social'!$D$59*P39</f>
        <v>9.8876406265085343E-2</v>
      </c>
      <c r="K39" s="764">
        <f>'Premissas Tarifa Social'!$D$60*P39</f>
        <v>7.9837398885307442E-2</v>
      </c>
      <c r="L39" s="1641"/>
      <c r="M39" s="771"/>
      <c r="N39" s="771"/>
      <c r="P39" s="771">
        <v>0.17655081035235459</v>
      </c>
      <c r="Q39" s="771">
        <v>0.16248852877319425</v>
      </c>
    </row>
    <row r="40" spans="2:18" ht="15" thickBot="1" x14ac:dyDescent="0.4">
      <c r="B40" t="s">
        <v>283</v>
      </c>
      <c r="C40" s="764">
        <f>'Premissas Tarifa Social'!$D$52*P40</f>
        <v>3.0505583281291309E-2</v>
      </c>
      <c r="D40" s="764">
        <f>'Premissas Tarifa Social'!$D$53*Q40</f>
        <v>1.0633244654247928E-2</v>
      </c>
      <c r="E40" s="764">
        <f>'Premissas Tarifa Social'!$D$54*P40</f>
        <v>1.0640275226714733E-2</v>
      </c>
      <c r="F40" s="764">
        <f>'Premissas Tarifa Social'!$D$55*P40</f>
        <v>1.1491894178781756E-2</v>
      </c>
      <c r="G40" s="764">
        <f>'Premissas Tarifa Social'!$D$56*P40</f>
        <v>2.249389769043026E-2</v>
      </c>
      <c r="H40" s="764">
        <f>'Premissas Tarifa Social'!$D$57*Q40</f>
        <v>1.4116325235857059E-2</v>
      </c>
      <c r="I40" s="764">
        <f>'Premissas Tarifa Social'!$D$58*P40</f>
        <v>2.2918788162040894E-2</v>
      </c>
      <c r="J40" s="764">
        <f>'Premissas Tarifa Social'!$D$59*P40</f>
        <v>2.3804721193517325E-2</v>
      </c>
      <c r="K40" s="764">
        <f>'Premissas Tarifa Social'!$D$60*P40</f>
        <v>1.9221036575552304E-2</v>
      </c>
      <c r="L40" s="1641"/>
      <c r="M40" s="771"/>
      <c r="N40" s="771"/>
      <c r="P40" s="771">
        <v>4.2505011819097646E-2</v>
      </c>
      <c r="Q40" s="771">
        <v>1.9722516219595254E-2</v>
      </c>
    </row>
    <row r="41" spans="2:18" ht="15" thickBot="1" x14ac:dyDescent="0.4">
      <c r="B41" t="s">
        <v>12</v>
      </c>
      <c r="C41" s="769">
        <v>8.1652325531945055E-3</v>
      </c>
      <c r="D41" s="764">
        <f>(N41/SUM($N$41:$N$43))*'Premissas Tarifa Social'!$H$29</f>
        <v>7.1013718643394452E-2</v>
      </c>
      <c r="E41" s="769">
        <v>5.8000000000000003E-2</v>
      </c>
      <c r="F41" s="764">
        <f>$M$41</f>
        <v>7.1349957734573116E-2</v>
      </c>
      <c r="G41" s="769">
        <v>1.8499999999999999E-2</v>
      </c>
      <c r="H41" s="769">
        <v>7.5899999999999995E-2</v>
      </c>
      <c r="I41" s="764">
        <f>$M$41</f>
        <v>7.1349957734573116E-2</v>
      </c>
      <c r="J41" s="764">
        <f>$M$41</f>
        <v>7.1349957734573116E-2</v>
      </c>
      <c r="K41" s="769">
        <v>8.4699915469146236E-2</v>
      </c>
      <c r="L41" s="1641"/>
      <c r="M41" s="771">
        <f>AVERAGE(E41,K41)</f>
        <v>7.1349957734573116E-2</v>
      </c>
      <c r="N41" s="771">
        <f>AVERAGE(H41)</f>
        <v>7.5899999999999995E-2</v>
      </c>
      <c r="P41" s="771"/>
      <c r="Q41" s="771"/>
    </row>
    <row r="42" spans="2:18" ht="15" thickBot="1" x14ac:dyDescent="0.4">
      <c r="B42" t="s">
        <v>13</v>
      </c>
      <c r="C42" s="769">
        <v>0</v>
      </c>
      <c r="D42" s="764">
        <f>(N42/SUM($N$41:$N$43))*'Premissas Tarifa Social'!$H$29</f>
        <v>1.2818022996238528E-2</v>
      </c>
      <c r="E42" s="769">
        <v>4.0000000000000001E-3</v>
      </c>
      <c r="F42" s="764">
        <f>$M$42</f>
        <v>4.6204564666103131E-3</v>
      </c>
      <c r="G42" s="769">
        <v>0</v>
      </c>
      <c r="H42" s="769">
        <v>1.37E-2</v>
      </c>
      <c r="I42" s="764">
        <f>$M$42</f>
        <v>4.6204564666103131E-3</v>
      </c>
      <c r="J42" s="764">
        <f>$M$42</f>
        <v>4.6204564666103131E-3</v>
      </c>
      <c r="K42" s="769">
        <v>5.2409129332206253E-3</v>
      </c>
      <c r="L42" s="1641"/>
      <c r="M42" s="771">
        <f>AVERAGE(E42,K42)</f>
        <v>4.6204564666103131E-3</v>
      </c>
      <c r="N42" s="771">
        <f>AVERAGE(H42)</f>
        <v>1.37E-2</v>
      </c>
      <c r="P42" s="771"/>
      <c r="Q42" s="771"/>
    </row>
    <row r="43" spans="2:18" ht="15" thickBot="1" x14ac:dyDescent="0.4">
      <c r="B43" t="s">
        <v>14</v>
      </c>
      <c r="C43" s="769">
        <v>0</v>
      </c>
      <c r="D43" s="764">
        <f>(N43/SUM($N$41:$N$43))*'Premissas Tarifa Social'!$H$29</f>
        <v>2.2361368584678888E-2</v>
      </c>
      <c r="E43" s="769">
        <v>4.2000000000000003E-2</v>
      </c>
      <c r="F43" s="764">
        <f>$M$43</f>
        <v>4.212063760415409E-2</v>
      </c>
      <c r="G43" s="769">
        <v>0.14849999999999999</v>
      </c>
      <c r="H43" s="769">
        <v>2.3900000000000001E-2</v>
      </c>
      <c r="I43" s="764">
        <f>$M$43</f>
        <v>4.212063760415409E-2</v>
      </c>
      <c r="J43" s="764">
        <f>$M$43</f>
        <v>4.212063760415409E-2</v>
      </c>
      <c r="K43" s="769">
        <v>4.2241275208308178E-2</v>
      </c>
      <c r="L43" s="1641"/>
      <c r="M43" s="771">
        <f>AVERAGE(E43,K43)</f>
        <v>4.212063760415409E-2</v>
      </c>
      <c r="N43" s="771">
        <f>AVERAGE(H43)</f>
        <v>2.3900000000000001E-2</v>
      </c>
      <c r="P43" s="771"/>
      <c r="Q43" s="771"/>
    </row>
    <row r="44" spans="2:18" ht="3.75" customHeight="1" x14ac:dyDescent="0.35">
      <c r="B44" s="53"/>
      <c r="C44" s="53"/>
      <c r="D44" s="53"/>
      <c r="E44" s="53"/>
      <c r="F44" s="53"/>
      <c r="G44" s="53"/>
      <c r="H44" s="53"/>
      <c r="I44" s="53"/>
      <c r="J44" s="53"/>
      <c r="K44" s="53"/>
    </row>
    <row r="45" spans="2:18" x14ac:dyDescent="0.35">
      <c r="B45" s="103" t="s">
        <v>200</v>
      </c>
      <c r="C45" s="765">
        <f>SUM(C33:C43)</f>
        <v>1</v>
      </c>
      <c r="D45" s="765">
        <f>SUM(D33:D43)</f>
        <v>1.0000000000000002</v>
      </c>
      <c r="E45" s="765">
        <f>SUM(E33:E43)</f>
        <v>1.0000000000000002</v>
      </c>
      <c r="F45" s="765">
        <f t="shared" ref="F45:K45" si="1">SUM(F33:F43)</f>
        <v>1</v>
      </c>
      <c r="G45" s="765">
        <f t="shared" si="1"/>
        <v>1</v>
      </c>
      <c r="H45" s="765">
        <f t="shared" si="1"/>
        <v>0.99999999999999989</v>
      </c>
      <c r="I45" s="765">
        <f t="shared" si="1"/>
        <v>0.99999999999999989</v>
      </c>
      <c r="J45" s="765">
        <f t="shared" si="1"/>
        <v>0.99999999999999989</v>
      </c>
      <c r="K45" s="765">
        <f t="shared" si="1"/>
        <v>0.99999999999999989</v>
      </c>
      <c r="M45" s="765">
        <f>SUM(M33:M43)</f>
        <v>0.64873187273353206</v>
      </c>
      <c r="N45" s="765">
        <f>SUM(N33:N43)</f>
        <v>0.28425333366784999</v>
      </c>
      <c r="P45" s="765">
        <f>SUM(P33:P43)</f>
        <v>0.99999999999999989</v>
      </c>
      <c r="Q45" s="765">
        <f>SUM(Q33:Q43)</f>
        <v>1</v>
      </c>
    </row>
    <row r="47" spans="2:18" x14ac:dyDescent="0.35">
      <c r="B47" s="767" t="s">
        <v>284</v>
      </c>
      <c r="C47" s="766"/>
      <c r="D47" s="766"/>
      <c r="E47" s="766"/>
      <c r="F47" s="766"/>
      <c r="G47" s="766"/>
      <c r="H47" s="766"/>
      <c r="I47" s="766"/>
      <c r="J47" s="766"/>
      <c r="K47" s="766"/>
      <c r="L47" s="1002"/>
      <c r="M47" s="1002"/>
      <c r="N47" s="1002"/>
      <c r="O47" s="1002"/>
      <c r="P47" s="1002"/>
      <c r="Q47" s="1002"/>
      <c r="R47" s="1002"/>
    </row>
    <row r="48" spans="2:18" x14ac:dyDescent="0.35">
      <c r="B48" s="1603" t="s">
        <v>285</v>
      </c>
      <c r="C48" s="766"/>
      <c r="D48" s="766"/>
      <c r="E48" s="766"/>
      <c r="F48" s="766"/>
      <c r="G48" s="766"/>
      <c r="H48" s="766"/>
      <c r="I48" s="766"/>
      <c r="J48" s="766"/>
      <c r="K48" s="766"/>
      <c r="L48" s="1002"/>
      <c r="M48" s="1002"/>
      <c r="N48" s="1002"/>
      <c r="O48" s="1002"/>
      <c r="P48" s="1002"/>
      <c r="Q48" s="1002"/>
      <c r="R48" s="1002"/>
    </row>
    <row r="49" spans="2:35" x14ac:dyDescent="0.35">
      <c r="B49" s="766" t="s">
        <v>286</v>
      </c>
      <c r="C49" s="766"/>
      <c r="D49" s="766"/>
      <c r="E49" s="766"/>
      <c r="F49" s="766"/>
      <c r="G49" s="766"/>
      <c r="H49" s="766"/>
      <c r="I49" s="766"/>
      <c r="J49" s="766"/>
      <c r="K49" s="766"/>
      <c r="L49" s="1002"/>
      <c r="M49" s="1002"/>
      <c r="N49" s="1002"/>
      <c r="O49" s="1002"/>
      <c r="P49" s="1002"/>
      <c r="Q49" s="1002"/>
      <c r="R49" s="1002"/>
    </row>
    <row r="50" spans="2:35" x14ac:dyDescent="0.35">
      <c r="B50" s="766" t="s">
        <v>287</v>
      </c>
      <c r="C50" s="766"/>
      <c r="D50" s="766"/>
      <c r="E50" s="766"/>
      <c r="F50" s="766"/>
      <c r="G50" s="766"/>
      <c r="H50" s="766"/>
      <c r="I50" s="766"/>
      <c r="J50" s="766"/>
      <c r="K50" s="766"/>
      <c r="L50" s="1002"/>
      <c r="M50" s="1002"/>
      <c r="N50" s="1002"/>
      <c r="O50" s="1002"/>
      <c r="P50" s="1002"/>
      <c r="Q50" s="1002"/>
      <c r="R50" s="1002"/>
    </row>
    <row r="51" spans="2:35" x14ac:dyDescent="0.35">
      <c r="B51" s="766" t="s">
        <v>288</v>
      </c>
      <c r="C51" s="766"/>
      <c r="D51" s="766"/>
      <c r="E51" s="766"/>
      <c r="F51" s="766"/>
      <c r="G51" s="766"/>
      <c r="H51" s="766"/>
      <c r="I51" s="766"/>
      <c r="J51" s="766"/>
      <c r="K51" s="766"/>
      <c r="L51" s="1002"/>
      <c r="M51" s="1002"/>
      <c r="N51" s="1002"/>
      <c r="O51" s="1002"/>
      <c r="P51" s="1002"/>
      <c r="Q51" s="1002"/>
      <c r="R51" s="1002"/>
    </row>
    <row r="52" spans="2:35" x14ac:dyDescent="0.35">
      <c r="B52" s="1603" t="s">
        <v>292</v>
      </c>
      <c r="C52" s="766"/>
      <c r="D52" s="766"/>
      <c r="E52" s="766"/>
      <c r="F52" s="766"/>
      <c r="G52" s="766"/>
      <c r="H52" s="766"/>
      <c r="I52" s="766"/>
      <c r="J52" s="766"/>
      <c r="K52" s="766"/>
      <c r="L52" s="1002"/>
      <c r="M52" s="1002"/>
      <c r="N52" s="1002"/>
      <c r="O52" s="1002"/>
      <c r="P52" s="1002"/>
      <c r="Q52" s="1002"/>
      <c r="R52" s="1002"/>
    </row>
    <row r="53" spans="2:35" x14ac:dyDescent="0.35">
      <c r="B53" s="766" t="s">
        <v>293</v>
      </c>
      <c r="C53" s="766"/>
      <c r="D53" s="766"/>
      <c r="E53" s="766"/>
      <c r="F53" s="766"/>
      <c r="G53" s="766"/>
      <c r="H53" s="766"/>
      <c r="I53" s="766"/>
      <c r="J53" s="766"/>
      <c r="K53" s="766"/>
      <c r="L53" s="1002"/>
      <c r="M53" s="1002"/>
      <c r="N53" s="1002"/>
      <c r="O53" s="1002"/>
      <c r="P53" s="1002"/>
      <c r="Q53" s="1002"/>
      <c r="R53" s="1002"/>
    </row>
    <row r="54" spans="2:35" x14ac:dyDescent="0.35">
      <c r="B54" s="1603" t="s">
        <v>289</v>
      </c>
      <c r="C54" s="766"/>
      <c r="D54" s="766"/>
      <c r="E54" s="766"/>
      <c r="F54" s="766"/>
      <c r="G54" s="766"/>
      <c r="H54" s="766"/>
      <c r="I54" s="766"/>
      <c r="J54" s="766"/>
      <c r="K54" s="766"/>
      <c r="L54" s="1002"/>
      <c r="M54" s="1002"/>
      <c r="N54" s="1002"/>
      <c r="O54" s="1002"/>
      <c r="P54" s="1002"/>
      <c r="Q54" s="1002"/>
      <c r="R54" s="1002"/>
    </row>
    <row r="55" spans="2:35" x14ac:dyDescent="0.35">
      <c r="B55" s="766" t="s">
        <v>290</v>
      </c>
      <c r="C55" s="766"/>
      <c r="D55" s="766"/>
      <c r="E55" s="766"/>
      <c r="F55" s="766"/>
      <c r="G55" s="766"/>
      <c r="H55" s="766"/>
      <c r="I55" s="766"/>
      <c r="J55" s="766"/>
      <c r="K55" s="766"/>
      <c r="L55" s="1002"/>
      <c r="M55" s="1002"/>
      <c r="N55" s="1002"/>
      <c r="O55" s="1002"/>
      <c r="P55" s="1002"/>
      <c r="Q55" s="1002"/>
      <c r="R55" s="1002"/>
    </row>
    <row r="57" spans="2:35" ht="6" customHeight="1" x14ac:dyDescent="0.35"/>
    <row r="58" spans="2:35" ht="18.5" x14ac:dyDescent="0.45">
      <c r="B58" s="102" t="s">
        <v>294</v>
      </c>
      <c r="C58" s="102"/>
    </row>
    <row r="59" spans="2:35" ht="6" customHeight="1" x14ac:dyDescent="0.35"/>
    <row r="60" spans="2:35" ht="72.5" x14ac:dyDescent="0.35">
      <c r="B60" s="156" t="s">
        <v>68</v>
      </c>
      <c r="C60" s="163" t="s">
        <v>295</v>
      </c>
      <c r="D60" s="163" t="s">
        <v>296</v>
      </c>
      <c r="E60" s="163" t="s">
        <v>297</v>
      </c>
      <c r="F60" s="158">
        <v>1</v>
      </c>
      <c r="G60" s="158">
        <f>F60+1</f>
        <v>2</v>
      </c>
      <c r="H60" s="158">
        <f t="shared" ref="H60:AI60" si="2">G60+1</f>
        <v>3</v>
      </c>
      <c r="I60" s="158">
        <f t="shared" si="2"/>
        <v>4</v>
      </c>
      <c r="J60" s="158">
        <f t="shared" si="2"/>
        <v>5</v>
      </c>
      <c r="K60" s="158">
        <f t="shared" si="2"/>
        <v>6</v>
      </c>
      <c r="L60" s="158">
        <f t="shared" si="2"/>
        <v>7</v>
      </c>
      <c r="M60" s="158">
        <f t="shared" si="2"/>
        <v>8</v>
      </c>
      <c r="N60" s="158">
        <f t="shared" si="2"/>
        <v>9</v>
      </c>
      <c r="O60" s="158">
        <f t="shared" si="2"/>
        <v>10</v>
      </c>
      <c r="P60" s="158">
        <f t="shared" si="2"/>
        <v>11</v>
      </c>
      <c r="Q60" s="158">
        <f t="shared" si="2"/>
        <v>12</v>
      </c>
      <c r="R60" s="158">
        <f t="shared" si="2"/>
        <v>13</v>
      </c>
      <c r="S60" s="158">
        <f t="shared" si="2"/>
        <v>14</v>
      </c>
      <c r="T60" s="158">
        <f t="shared" si="2"/>
        <v>15</v>
      </c>
      <c r="U60" s="158">
        <f t="shared" si="2"/>
        <v>16</v>
      </c>
      <c r="V60" s="158">
        <f t="shared" si="2"/>
        <v>17</v>
      </c>
      <c r="W60" s="158">
        <f t="shared" si="2"/>
        <v>18</v>
      </c>
      <c r="X60" s="158">
        <f t="shared" si="2"/>
        <v>19</v>
      </c>
      <c r="Y60" s="158">
        <f t="shared" si="2"/>
        <v>20</v>
      </c>
      <c r="Z60" s="158">
        <f t="shared" si="2"/>
        <v>21</v>
      </c>
      <c r="AA60" s="158">
        <f t="shared" si="2"/>
        <v>22</v>
      </c>
      <c r="AB60" s="158">
        <f t="shared" si="2"/>
        <v>23</v>
      </c>
      <c r="AC60" s="158">
        <f t="shared" si="2"/>
        <v>24</v>
      </c>
      <c r="AD60" s="158">
        <f t="shared" si="2"/>
        <v>25</v>
      </c>
      <c r="AE60" s="158">
        <f t="shared" si="2"/>
        <v>26</v>
      </c>
      <c r="AF60" s="158">
        <f t="shared" si="2"/>
        <v>27</v>
      </c>
      <c r="AG60" s="158">
        <f t="shared" si="2"/>
        <v>28</v>
      </c>
      <c r="AH60" s="158">
        <f t="shared" si="2"/>
        <v>29</v>
      </c>
      <c r="AI60" s="158">
        <f t="shared" si="2"/>
        <v>30</v>
      </c>
    </row>
    <row r="61" spans="2:35" s="162" customFormat="1" ht="13" x14ac:dyDescent="0.3">
      <c r="B61" s="159"/>
      <c r="C61" s="164" t="s">
        <v>298</v>
      </c>
      <c r="D61" s="165" t="s">
        <v>299</v>
      </c>
      <c r="E61" s="165" t="s">
        <v>300</v>
      </c>
      <c r="F61" s="161"/>
      <c r="G61" s="161"/>
      <c r="H61" s="161"/>
      <c r="I61" s="161"/>
      <c r="J61" s="161"/>
      <c r="K61" s="161"/>
      <c r="L61" s="161"/>
      <c r="M61" s="161"/>
      <c r="N61" s="161"/>
      <c r="O61" s="161"/>
      <c r="P61" s="161"/>
      <c r="Q61" s="161"/>
      <c r="R61" s="161"/>
      <c r="S61" s="161"/>
      <c r="T61" s="161"/>
      <c r="U61" s="161"/>
      <c r="V61" s="161"/>
      <c r="W61" s="161"/>
      <c r="X61" s="161"/>
      <c r="Y61" s="161"/>
      <c r="Z61" s="161"/>
      <c r="AA61" s="161"/>
      <c r="AB61" s="161"/>
      <c r="AC61" s="161"/>
      <c r="AD61" s="161"/>
      <c r="AE61" s="161"/>
      <c r="AF61" s="161"/>
      <c r="AG61" s="161"/>
      <c r="AH61" s="161"/>
      <c r="AI61" s="161"/>
    </row>
    <row r="62" spans="2:35" ht="15" thickBot="1" x14ac:dyDescent="0.4">
      <c r="B62" t="s">
        <v>1</v>
      </c>
      <c r="C62" s="772">
        <v>1045</v>
      </c>
      <c r="D62" s="773">
        <v>2631</v>
      </c>
      <c r="E62" s="366">
        <f>D62/C62</f>
        <v>2.5177033492822964</v>
      </c>
      <c r="F62" s="367">
        <f>'Premissas Geração de Resíduos'!D25/'Premissas Economias e Água'!$E$62</f>
        <v>1049.3690611934626</v>
      </c>
      <c r="G62" s="367">
        <f>'Premissas Geração de Resíduos'!E25/'Premissas Economias e Água'!$E$62</f>
        <v>1043.4112504751047</v>
      </c>
      <c r="H62" s="367">
        <f>'Premissas Geração de Resíduos'!F25/'Premissas Economias e Água'!$E$62</f>
        <v>1037.4534397567465</v>
      </c>
      <c r="I62" s="367">
        <f>'Premissas Geração de Resíduos'!G25/'Premissas Economias e Água'!$E$62</f>
        <v>1031.4956290383886</v>
      </c>
      <c r="J62" s="367">
        <f>'Premissas Geração de Resíduos'!H25/'Premissas Economias e Água'!$E$62</f>
        <v>1025.5378183200305</v>
      </c>
      <c r="K62" s="367">
        <f>'Premissas Geração de Resíduos'!I25/'Premissas Economias e Água'!$E$62</f>
        <v>1019.5800076016725</v>
      </c>
      <c r="L62" s="367">
        <f>'Premissas Geração de Resíduos'!J25/'Premissas Economias e Água'!$E$62</f>
        <v>1012.0334473584189</v>
      </c>
      <c r="M62" s="367">
        <f>'Premissas Geração de Resíduos'!K25/'Premissas Economias e Água'!$E$62</f>
        <v>1004.4868871151655</v>
      </c>
      <c r="N62" s="367">
        <f>'Premissas Geração de Resíduos'!L25/'Premissas Economias e Água'!$E$62</f>
        <v>996.94032687191191</v>
      </c>
      <c r="O62" s="367">
        <f>'Premissas Geração de Resíduos'!M25/'Premissas Economias e Água'!$E$62</f>
        <v>989.39376662865834</v>
      </c>
      <c r="P62" s="367">
        <f>'Premissas Geração de Resíduos'!N25/'Premissas Economias e Água'!$E$62</f>
        <v>982.64158114785266</v>
      </c>
      <c r="Q62" s="367">
        <f>'Premissas Geração de Resíduos'!O25/'Premissas Economias e Água'!$E$62</f>
        <v>973.90345876092749</v>
      </c>
      <c r="R62" s="367">
        <f>'Premissas Geração de Resíduos'!P25/'Premissas Economias e Água'!$E$62</f>
        <v>965.16533637400232</v>
      </c>
      <c r="S62" s="367">
        <f>'Premissas Geração de Resíduos'!Q25/'Premissas Economias e Água'!$E$62</f>
        <v>956.42721398707727</v>
      </c>
      <c r="T62" s="367">
        <f>'Premissas Geração de Resíduos'!R25/'Premissas Economias e Água'!$E$62</f>
        <v>947.6890916001521</v>
      </c>
      <c r="U62" s="367">
        <f>'Premissas Geração de Resíduos'!S25/'Premissas Economias e Água'!$E$62</f>
        <v>939.34815659445087</v>
      </c>
      <c r="V62" s="367">
        <f>'Premissas Geração de Resíduos'!T25/'Premissas Economias e Água'!$E$62</f>
        <v>930.21284682630187</v>
      </c>
      <c r="W62" s="367">
        <f>'Premissas Geração de Resíduos'!U25/'Premissas Economias e Água'!$E$62</f>
        <v>921.07753705815287</v>
      </c>
      <c r="X62" s="367">
        <f>'Premissas Geração de Resíduos'!V25/'Premissas Economias e Água'!$E$62</f>
        <v>911.94222729000387</v>
      </c>
      <c r="Y62" s="367">
        <f>'Premissas Geração de Resíduos'!W25/'Premissas Economias e Água'!$E$62</f>
        <v>902.80691752185487</v>
      </c>
      <c r="Z62" s="367">
        <f>'Premissas Geração de Resíduos'!X25/'Premissas Economias e Água'!$E$62</f>
        <v>892.8772329912581</v>
      </c>
      <c r="AA62" s="367">
        <f>'Premissas Geração de Resíduos'!Y25/'Premissas Economias e Água'!$E$62</f>
        <v>883.74192322310921</v>
      </c>
      <c r="AB62" s="367">
        <f>'Premissas Geração de Resíduos'!Z25/'Premissas Economias e Água'!$E$62</f>
        <v>874.60661345496021</v>
      </c>
      <c r="AC62" s="367">
        <f>'Premissas Geração de Resíduos'!AA25/'Premissas Economias e Água'!$E$62</f>
        <v>865.47130368681121</v>
      </c>
      <c r="AD62" s="367">
        <f>'Premissas Geração de Resíduos'!AB25/'Premissas Economias e Água'!$E$62</f>
        <v>856.33599391866221</v>
      </c>
      <c r="AE62" s="367">
        <f>'Premissas Geração de Resíduos'!AC25/'Premissas Economias e Água'!$E$62</f>
        <v>847.20068415051321</v>
      </c>
      <c r="AF62" s="367">
        <f>'Premissas Geração de Resíduos'!AD25/'Premissas Economias e Água'!$E$62</f>
        <v>838.06537438236421</v>
      </c>
      <c r="AG62" s="367">
        <f>'Premissas Geração de Resíduos'!AE25/'Premissas Economias e Água'!$E$62</f>
        <v>828.93006461421521</v>
      </c>
      <c r="AH62" s="367">
        <f>'Premissas Geração de Resíduos'!AF25/'Premissas Economias e Água'!$E$62</f>
        <v>819.79475484606621</v>
      </c>
      <c r="AI62" s="367">
        <f>'Premissas Geração de Resíduos'!AG25/'Premissas Economias e Água'!$E$62</f>
        <v>810.65944507791721</v>
      </c>
    </row>
    <row r="63" spans="2:35" ht="15" thickBot="1" x14ac:dyDescent="0.4">
      <c r="B63" t="s">
        <v>2</v>
      </c>
      <c r="C63" s="774">
        <v>12149</v>
      </c>
      <c r="D63" s="775">
        <v>28894</v>
      </c>
      <c r="E63" s="368">
        <f t="shared" ref="E63:E70" si="3">D63/C63</f>
        <v>2.3783027409663346</v>
      </c>
      <c r="F63" s="361">
        <f>'Premissas Geração de Resíduos'!D26/'Premissas Economias e Água'!$E$63</f>
        <v>12699.812971551188</v>
      </c>
      <c r="G63" s="361">
        <f>'Premissas Geração de Resíduos'!E26/'Premissas Economias e Água'!$E$63</f>
        <v>12706.960926143836</v>
      </c>
      <c r="H63" s="361">
        <f>'Premissas Geração de Resíduos'!F26/'Premissas Economias e Água'!$E$63</f>
        <v>12714.108880736485</v>
      </c>
      <c r="I63" s="361">
        <f>'Premissas Geração de Resíduos'!G26/'Premissas Economias e Água'!$E$63</f>
        <v>12721.256835329134</v>
      </c>
      <c r="J63" s="361">
        <f>'Premissas Geração de Resíduos'!H26/'Premissas Economias e Água'!$E$63</f>
        <v>12728.404789921784</v>
      </c>
      <c r="K63" s="361">
        <f>'Premissas Geração de Resíduos'!I26/'Premissas Economias e Água'!$E$63</f>
        <v>12736.393680348861</v>
      </c>
      <c r="L63" s="361">
        <f>'Premissas Geração de Resíduos'!J26/'Premissas Economias e Água'!$E$63</f>
        <v>12717.472624074202</v>
      </c>
      <c r="M63" s="361">
        <f>'Premissas Geração de Resíduos'!K26/'Premissas Economias e Água'!$E$63</f>
        <v>12698.551567799543</v>
      </c>
      <c r="N63" s="361">
        <f>'Premissas Geração de Resíduos'!L26/'Premissas Economias e Água'!$E$63</f>
        <v>12679.630511524883</v>
      </c>
      <c r="O63" s="361">
        <f>'Premissas Geração de Resíduos'!M26/'Premissas Economias e Água'!$E$63</f>
        <v>12660.709455250226</v>
      </c>
      <c r="P63" s="361">
        <f>'Premissas Geração de Resíduos'!N26/'Premissas Economias e Água'!$E$63</f>
        <v>12641.788398975566</v>
      </c>
      <c r="Q63" s="361">
        <f>'Premissas Geração de Resíduos'!O26/'Premissas Economias e Água'!$E$63</f>
        <v>12605.207690177891</v>
      </c>
      <c r="R63" s="361">
        <f>'Premissas Geração de Resíduos'!P26/'Premissas Economias e Água'!$E$63</f>
        <v>12568.626981380217</v>
      </c>
      <c r="S63" s="361">
        <f>'Premissas Geração de Resíduos'!Q26/'Premissas Economias e Água'!$E$63</f>
        <v>12532.046272582544</v>
      </c>
      <c r="T63" s="361">
        <f>'Premissas Geração de Resíduos'!R26/'Premissas Economias e Água'!$E$63</f>
        <v>12495.465563784868</v>
      </c>
      <c r="U63" s="361">
        <f>'Premissas Geração de Resíduos'!S26/'Premissas Economias e Água'!$E$63</f>
        <v>12458.043919152766</v>
      </c>
      <c r="V63" s="361">
        <f>'Premissas Geração de Resíduos'!T26/'Premissas Economias e Água'!$E$63</f>
        <v>12405.485429500935</v>
      </c>
      <c r="W63" s="361">
        <f>'Premissas Geração de Resíduos'!U26/'Premissas Economias e Água'!$E$63</f>
        <v>12352.926939849103</v>
      </c>
      <c r="X63" s="361">
        <f>'Premissas Geração de Resíduos'!V26/'Premissas Economias e Água'!$E$63</f>
        <v>12300.368450197273</v>
      </c>
      <c r="Y63" s="361">
        <f>'Premissas Geração de Resíduos'!W26/'Premissas Economias e Água'!$E$63</f>
        <v>12247.809960545443</v>
      </c>
      <c r="Z63" s="361">
        <f>'Premissas Geração de Resíduos'!X26/'Premissas Economias e Água'!$E$63</f>
        <v>12195.671938810827</v>
      </c>
      <c r="AA63" s="361">
        <f>'Premissas Geração de Resíduos'!Y26/'Premissas Economias e Água'!$E$63</f>
        <v>12143.113449158995</v>
      </c>
      <c r="AB63" s="361">
        <f>'Premissas Geração de Resíduos'!Z26/'Premissas Economias e Água'!$E$63</f>
        <v>12090.554959507164</v>
      </c>
      <c r="AC63" s="361">
        <f>'Premissas Geração de Resíduos'!AA26/'Premissas Economias e Água'!$E$63</f>
        <v>12037.996469855334</v>
      </c>
      <c r="AD63" s="361">
        <f>'Premissas Geração de Resíduos'!AB26/'Premissas Economias e Água'!$E$63</f>
        <v>11985.437980203502</v>
      </c>
      <c r="AE63" s="361">
        <f>'Premissas Geração de Resíduos'!AC26/'Premissas Economias e Água'!$E$63</f>
        <v>11932.879490551672</v>
      </c>
      <c r="AF63" s="361">
        <f>'Premissas Geração de Resíduos'!AD26/'Premissas Economias e Água'!$E$63</f>
        <v>11880.321000899841</v>
      </c>
      <c r="AG63" s="361">
        <f>'Premissas Geração de Resíduos'!AE26/'Premissas Economias e Água'!$E$63</f>
        <v>11827.762511248011</v>
      </c>
      <c r="AH63" s="361">
        <f>'Premissas Geração de Resíduos'!AF26/'Premissas Economias e Água'!$E$63</f>
        <v>11775.204021596179</v>
      </c>
      <c r="AI63" s="361">
        <f>'Premissas Geração de Resíduos'!AG26/'Premissas Economias e Água'!$E$63</f>
        <v>11722.645531944348</v>
      </c>
    </row>
    <row r="64" spans="2:35" ht="15" thickBot="1" x14ac:dyDescent="0.4">
      <c r="B64" t="s">
        <v>3</v>
      </c>
      <c r="C64" s="469">
        <v>1683</v>
      </c>
      <c r="D64" s="470">
        <v>3651</v>
      </c>
      <c r="E64" s="368">
        <f>D64/C64</f>
        <v>2.1693404634581106</v>
      </c>
      <c r="F64" s="361">
        <f>'Premissas Geração de Resíduos'!D27/'Premissas Economias e Água'!$E$64</f>
        <v>1680.695152013147</v>
      </c>
      <c r="G64" s="361">
        <f>'Premissas Geração de Resíduos'!E27/'Premissas Economias e Água'!$E$64</f>
        <v>1682.5390304026294</v>
      </c>
      <c r="H64" s="361">
        <f>'Premissas Geração de Resíduos'!F27/'Premissas Economias e Água'!$E$64</f>
        <v>1684.3829087921117</v>
      </c>
      <c r="I64" s="361">
        <f>'Premissas Geração de Resíduos'!G27/'Premissas Economias e Água'!$E$64</f>
        <v>1686.2267871815941</v>
      </c>
      <c r="J64" s="361">
        <f>'Premissas Geração de Resíduos'!H27/'Premissas Economias e Água'!$E$64</f>
        <v>1688.0706655710765</v>
      </c>
      <c r="K64" s="361">
        <f>'Premissas Geração de Resíduos'!I27/'Premissas Economias e Água'!$E$64</f>
        <v>1690.8364831552999</v>
      </c>
      <c r="L64" s="361">
        <f>'Premissas Geração de Resíduos'!J27/'Premissas Economias e Água'!$E$64</f>
        <v>1690.3755135579293</v>
      </c>
      <c r="M64" s="361">
        <f>'Premissas Geração de Resíduos'!K27/'Premissas Economias e Água'!$E$64</f>
        <v>1689.9145439605586</v>
      </c>
      <c r="N64" s="361">
        <f>'Premissas Geração de Resíduos'!L27/'Premissas Economias e Água'!$E$64</f>
        <v>1689.4535743631882</v>
      </c>
      <c r="O64" s="361">
        <f>'Premissas Geração de Resíduos'!M27/'Premissas Economias e Água'!$E$64</f>
        <v>1688.9926047658175</v>
      </c>
      <c r="P64" s="361">
        <f>'Premissas Geração de Resíduos'!N27/'Premissas Economias e Água'!$E$64</f>
        <v>1687.6096959737058</v>
      </c>
      <c r="Q64" s="361">
        <f>'Premissas Geração de Resíduos'!O27/'Premissas Economias e Água'!$E$64</f>
        <v>1683.9219391947411</v>
      </c>
      <c r="R64" s="361">
        <f>'Premissas Geração de Resíduos'!P27/'Premissas Economias e Água'!$E$64</f>
        <v>1680.2341824157763</v>
      </c>
      <c r="S64" s="361">
        <f>'Premissas Geração de Resíduos'!Q27/'Premissas Economias e Água'!$E$64</f>
        <v>1676.5464256368118</v>
      </c>
      <c r="T64" s="361">
        <f>'Premissas Geração de Resíduos'!R27/'Premissas Economias e Água'!$E$64</f>
        <v>1672.8586688578471</v>
      </c>
      <c r="U64" s="361">
        <f>'Premissas Geração de Resíduos'!S27/'Premissas Economias e Água'!$E$64</f>
        <v>1669.631881676253</v>
      </c>
      <c r="V64" s="361">
        <f>'Premissas Geração de Resíduos'!T27/'Premissas Economias e Água'!$E$64</f>
        <v>1664.1002465078061</v>
      </c>
      <c r="W64" s="361">
        <f>'Premissas Geração de Resíduos'!U27/'Premissas Economias e Água'!$E$64</f>
        <v>1658.568611339359</v>
      </c>
      <c r="X64" s="361">
        <f>'Premissas Geração de Resíduos'!V27/'Premissas Economias e Água'!$E$64</f>
        <v>1653.0369761709121</v>
      </c>
      <c r="Y64" s="361">
        <f>'Premissas Geração de Resíduos'!W27/'Premissas Economias e Água'!$E$64</f>
        <v>1647.505341002465</v>
      </c>
      <c r="Z64" s="361">
        <f>'Premissas Geração de Resíduos'!X27/'Premissas Economias e Água'!$E$64</f>
        <v>1641.9737058340181</v>
      </c>
      <c r="AA64" s="361">
        <f>'Premissas Geração de Resíduos'!Y27/'Premissas Economias e Água'!$E$64</f>
        <v>1636.442070665571</v>
      </c>
      <c r="AB64" s="361">
        <f>'Premissas Geração de Resíduos'!Z27/'Premissas Economias e Água'!$E$64</f>
        <v>1630.9104354971239</v>
      </c>
      <c r="AC64" s="361">
        <f>'Premissas Geração de Resíduos'!AA27/'Premissas Economias e Água'!$E$64</f>
        <v>1625.378800328677</v>
      </c>
      <c r="AD64" s="361">
        <f>'Premissas Geração de Resíduos'!AB27/'Premissas Economias e Água'!$E$64</f>
        <v>1619.8471651602299</v>
      </c>
      <c r="AE64" s="361">
        <f>'Premissas Geração de Resíduos'!AC27/'Premissas Economias e Água'!$E$64</f>
        <v>1614.315529991783</v>
      </c>
      <c r="AF64" s="361">
        <f>'Premissas Geração de Resíduos'!AD27/'Premissas Economias e Água'!$E$64</f>
        <v>1608.7838948233359</v>
      </c>
      <c r="AG64" s="361">
        <f>'Premissas Geração de Resíduos'!AE27/'Premissas Economias e Água'!$E$64</f>
        <v>1603.252259654889</v>
      </c>
      <c r="AH64" s="361">
        <f>'Premissas Geração de Resíduos'!AF27/'Premissas Economias e Água'!$E$64</f>
        <v>1597.7206244864419</v>
      </c>
      <c r="AI64" s="361">
        <f>'Premissas Geração de Resíduos'!AG27/'Premissas Economias e Água'!$E$64</f>
        <v>1592.188989317995</v>
      </c>
    </row>
    <row r="65" spans="2:35" ht="15" thickBot="1" x14ac:dyDescent="0.4">
      <c r="B65" t="s">
        <v>4</v>
      </c>
      <c r="C65" s="469">
        <v>3044</v>
      </c>
      <c r="D65" s="470">
        <v>8168</v>
      </c>
      <c r="E65" s="368">
        <f t="shared" si="3"/>
        <v>2.6833114323258869</v>
      </c>
      <c r="F65" s="361">
        <f>'Premissas Geração de Resíduos'!D28/'Premissas Economias e Água'!$E$65</f>
        <v>3380.524485798237</v>
      </c>
      <c r="G65" s="361">
        <f>'Premissas Geração de Resíduos'!E28/'Premissas Economias e Água'!$E$65</f>
        <v>3411.8290891283059</v>
      </c>
      <c r="H65" s="361">
        <f>'Premissas Geração de Resíduos'!F28/'Premissas Economias e Água'!$E$65</f>
        <v>3443.1336924583743</v>
      </c>
      <c r="I65" s="361">
        <f>'Premissas Geração de Resíduos'!G28/'Premissas Economias e Água'!$E$65</f>
        <v>3474.4382957884427</v>
      </c>
      <c r="J65" s="361">
        <f>'Premissas Geração de Resíduos'!H28/'Premissas Economias e Água'!$E$65</f>
        <v>3505.7428991185116</v>
      </c>
      <c r="K65" s="361">
        <f>'Premissas Geração de Resíduos'!I28/'Premissas Economias e Água'!$E$65</f>
        <v>3536.6748285994126</v>
      </c>
      <c r="L65" s="361">
        <f>'Premissas Geração de Resíduos'!J28/'Premissas Economias e Água'!$E$65</f>
        <v>3563.8800195886388</v>
      </c>
      <c r="M65" s="361">
        <f>'Premissas Geração de Resíduos'!K28/'Premissas Economias e Água'!$E$65</f>
        <v>3591.0852105778649</v>
      </c>
      <c r="N65" s="361">
        <f>'Premissas Geração de Resíduos'!L28/'Premissas Economias e Água'!$E$65</f>
        <v>3618.2904015670911</v>
      </c>
      <c r="O65" s="361">
        <f>'Premissas Geração de Resíduos'!M28/'Premissas Economias e Água'!$E$65</f>
        <v>3645.4955925563177</v>
      </c>
      <c r="P65" s="361">
        <f>'Premissas Geração de Resíduos'!N28/'Premissas Economias e Água'!$E$65</f>
        <v>3672.3281096963765</v>
      </c>
      <c r="Q65" s="361">
        <f>'Premissas Geração de Resíduos'!O28/'Premissas Economias e Água'!$E$65</f>
        <v>3693.9431929480902</v>
      </c>
      <c r="R65" s="361">
        <f>'Premissas Geração de Resíduos'!P28/'Premissas Economias e Água'!$E$65</f>
        <v>3715.5582761998044</v>
      </c>
      <c r="S65" s="361">
        <f>'Premissas Geração de Resíduos'!Q28/'Premissas Economias e Água'!$E$65</f>
        <v>3737.1733594515181</v>
      </c>
      <c r="T65" s="361">
        <f>'Premissas Geração de Resíduos'!R28/'Premissas Economias e Água'!$E$65</f>
        <v>3758.7884427032322</v>
      </c>
      <c r="U65" s="361">
        <f>'Premissas Geração de Resíduos'!S28/'Premissas Economias e Água'!$E$65</f>
        <v>3781.148873653281</v>
      </c>
      <c r="V65" s="361">
        <f>'Premissas Geração de Resíduos'!T28/'Premissas Economias e Água'!$E$65</f>
        <v>3796.8011753183155</v>
      </c>
      <c r="W65" s="361">
        <f>'Premissas Geração de Resíduos'!U28/'Premissas Economias e Água'!$E$65</f>
        <v>3812.4534769833499</v>
      </c>
      <c r="X65" s="361">
        <f>'Premissas Geração de Resíduos'!V28/'Premissas Economias e Água'!$E$65</f>
        <v>3828.1057786483843</v>
      </c>
      <c r="Y65" s="361">
        <f>'Premissas Geração de Resíduos'!W28/'Premissas Economias e Água'!$E$65</f>
        <v>3843.7580803134183</v>
      </c>
      <c r="Z65" s="361">
        <f>'Premissas Geração de Resíduos'!X28/'Premissas Economias e Água'!$E$65</f>
        <v>3858.6650342801177</v>
      </c>
      <c r="AA65" s="361">
        <f>'Premissas Geração de Resíduos'!Y28/'Premissas Economias e Água'!$E$65</f>
        <v>3874.3173359451521</v>
      </c>
      <c r="AB65" s="361">
        <f>'Premissas Geração de Resíduos'!Z28/'Premissas Economias e Água'!$E$65</f>
        <v>3889.9696376101861</v>
      </c>
      <c r="AC65" s="361">
        <f>'Premissas Geração de Resíduos'!AA28/'Premissas Economias e Água'!$E$65</f>
        <v>3905.6219392752205</v>
      </c>
      <c r="AD65" s="361">
        <f>'Premissas Geração de Resíduos'!AB28/'Premissas Economias e Água'!$E$65</f>
        <v>3921.2742409402549</v>
      </c>
      <c r="AE65" s="361">
        <f>'Premissas Geração de Resíduos'!AC28/'Premissas Economias e Água'!$E$65</f>
        <v>3936.9265426052889</v>
      </c>
      <c r="AF65" s="361">
        <f>'Premissas Geração de Resíduos'!AD28/'Premissas Economias e Água'!$E$65</f>
        <v>3952.5788442703233</v>
      </c>
      <c r="AG65" s="361">
        <f>'Premissas Geração de Resíduos'!AE28/'Premissas Economias e Água'!$E$65</f>
        <v>3968.2311459353577</v>
      </c>
      <c r="AH65" s="361">
        <f>'Premissas Geração de Resíduos'!AF28/'Premissas Economias e Água'!$E$65</f>
        <v>3983.8834476003922</v>
      </c>
      <c r="AI65" s="361">
        <f>'Premissas Geração de Resíduos'!AG28/'Premissas Economias e Água'!$E$65</f>
        <v>3999.5357492654261</v>
      </c>
    </row>
    <row r="66" spans="2:35" ht="15" thickBot="1" x14ac:dyDescent="0.4">
      <c r="B66" t="s">
        <v>5</v>
      </c>
      <c r="C66" s="774">
        <v>7130</v>
      </c>
      <c r="D66" s="775">
        <v>18904</v>
      </c>
      <c r="E66" s="368">
        <f t="shared" si="3"/>
        <v>2.6513323983169705</v>
      </c>
      <c r="F66" s="361">
        <f>'Premissas Geração de Resíduos'!D29/'Premissas Economias e Água'!$E$66</f>
        <v>7473.2236563690221</v>
      </c>
      <c r="G66" s="361">
        <f>'Premissas Geração de Resíduos'!E29/'Premissas Economias e Água'!$E$66</f>
        <v>7505.2830088870078</v>
      </c>
      <c r="H66" s="361">
        <f>'Premissas Geração de Resíduos'!F29/'Premissas Economias e Água'!$E$66</f>
        <v>7537.3423614049934</v>
      </c>
      <c r="I66" s="361">
        <f>'Premissas Geração de Resíduos'!G29/'Premissas Economias e Água'!$E$66</f>
        <v>7569.4017139229791</v>
      </c>
      <c r="J66" s="361">
        <f>'Premissas Geração de Resíduos'!H29/'Premissas Economias e Água'!$E$66</f>
        <v>7601.4610664409647</v>
      </c>
      <c r="K66" s="361">
        <f>'Premissas Geração de Resíduos'!I29/'Premissas Economias e Água'!$E$66</f>
        <v>7633.143250105798</v>
      </c>
      <c r="L66" s="361">
        <f>'Premissas Geração de Resíduos'!J29/'Premissas Economias e Água'!$E$66</f>
        <v>7651.6245239102836</v>
      </c>
      <c r="M66" s="361">
        <f>'Premissas Geração de Resíduos'!K29/'Premissas Economias e Água'!$E$66</f>
        <v>7670.1057977147693</v>
      </c>
      <c r="N66" s="361">
        <f>'Premissas Geração de Resíduos'!L29/'Premissas Economias e Água'!$E$66</f>
        <v>7688.587071519255</v>
      </c>
      <c r="O66" s="361">
        <f>'Premissas Geração de Resíduos'!M29/'Premissas Economias e Água'!$E$66</f>
        <v>7707.0683453237407</v>
      </c>
      <c r="P66" s="361">
        <f>'Premissas Geração de Resíduos'!N29/'Premissas Economias e Água'!$E$66</f>
        <v>7726.3039568345321</v>
      </c>
      <c r="Q66" s="361">
        <f>'Premissas Geração de Resíduos'!O29/'Premissas Economias e Água'!$E$66</f>
        <v>7733.4701650444349</v>
      </c>
      <c r="R66" s="361">
        <f>'Premissas Geração de Resíduos'!P29/'Premissas Economias e Água'!$E$66</f>
        <v>7740.6363732543377</v>
      </c>
      <c r="S66" s="361">
        <f>'Premissas Geração de Resíduos'!Q29/'Premissas Economias e Água'!$E$66</f>
        <v>7747.8025814642406</v>
      </c>
      <c r="T66" s="361">
        <f>'Premissas Geração de Resíduos'!R29/'Premissas Economias e Água'!$E$66</f>
        <v>7754.9687896741434</v>
      </c>
      <c r="U66" s="361">
        <f>'Premissas Geração de Resíduos'!S29/'Premissas Economias e Água'!$E$66</f>
        <v>7762.889335590351</v>
      </c>
      <c r="V66" s="361">
        <f>'Premissas Geração de Resíduos'!T29/'Premissas Economias e Água'!$E$66</f>
        <v>7758.3633093525177</v>
      </c>
      <c r="W66" s="361">
        <f>'Premissas Geração de Resíduos'!U29/'Premissas Economias e Água'!$E$66</f>
        <v>7753.8372831146844</v>
      </c>
      <c r="X66" s="361">
        <f>'Premissas Geração de Resíduos'!V29/'Premissas Economias e Água'!$E$66</f>
        <v>7749.3112568768511</v>
      </c>
      <c r="Y66" s="361">
        <f>'Premissas Geração de Resíduos'!W29/'Premissas Economias e Água'!$E$66</f>
        <v>7744.7852306390187</v>
      </c>
      <c r="Z66" s="361">
        <f>'Premissas Geração de Resíduos'!X29/'Premissas Economias e Água'!$E$66</f>
        <v>7740.2592044011853</v>
      </c>
      <c r="AA66" s="361">
        <f>'Premissas Geração de Resíduos'!Y29/'Premissas Economias e Água'!$E$66</f>
        <v>7735.733178163352</v>
      </c>
      <c r="AB66" s="361">
        <f>'Premissas Geração de Resíduos'!Z29/'Premissas Economias e Água'!$E$66</f>
        <v>7731.2071519255187</v>
      </c>
      <c r="AC66" s="361">
        <f>'Premissas Geração de Resíduos'!AA29/'Premissas Economias e Água'!$E$66</f>
        <v>7726.6811256876854</v>
      </c>
      <c r="AD66" s="361">
        <f>'Premissas Geração de Resíduos'!AB29/'Premissas Economias e Água'!$E$66</f>
        <v>7722.1550994498521</v>
      </c>
      <c r="AE66" s="361">
        <f>'Premissas Geração de Resíduos'!AC29/'Premissas Economias e Água'!$E$66</f>
        <v>7717.6290732120187</v>
      </c>
      <c r="AF66" s="361">
        <f>'Premissas Geração de Resíduos'!AD29/'Premissas Economias e Água'!$E$66</f>
        <v>7713.1030469741854</v>
      </c>
      <c r="AG66" s="361">
        <f>'Premissas Geração de Resíduos'!AE29/'Premissas Economias e Água'!$E$66</f>
        <v>7708.5770207363521</v>
      </c>
      <c r="AH66" s="361">
        <f>'Premissas Geração de Resíduos'!AF29/'Premissas Economias e Água'!$E$66</f>
        <v>7704.0509944985188</v>
      </c>
      <c r="AI66" s="361">
        <f>'Premissas Geração de Resíduos'!AG29/'Premissas Economias e Água'!$E$66</f>
        <v>7699.5249682606855</v>
      </c>
    </row>
    <row r="67" spans="2:35" ht="15" thickBot="1" x14ac:dyDescent="0.4">
      <c r="B67" t="s">
        <v>6</v>
      </c>
      <c r="C67" s="774">
        <v>76074</v>
      </c>
      <c r="D67" s="775">
        <v>159235</v>
      </c>
      <c r="E67" s="368">
        <f t="shared" si="3"/>
        <v>2.0931592922680546</v>
      </c>
      <c r="F67" s="361">
        <f>'Premissas Geração de Resíduos'!D30/'Premissas Economias e Água'!$E$67</f>
        <v>82392.200458441934</v>
      </c>
      <c r="G67" s="361">
        <f>'Premissas Geração de Resíduos'!E30/'Premissas Economias e Água'!$E$67</f>
        <v>82835.071673941042</v>
      </c>
      <c r="H67" s="361">
        <f>'Premissas Geração de Resíduos'!F30/'Premissas Economias e Água'!$E$67</f>
        <v>83277.942889440135</v>
      </c>
      <c r="I67" s="361">
        <f>'Premissas Geração de Resíduos'!G30/'Premissas Economias e Água'!$E$67</f>
        <v>83720.814104939243</v>
      </c>
      <c r="J67" s="361">
        <f>'Premissas Geração de Resíduos'!H30/'Premissas Economias e Água'!$E$67</f>
        <v>84163.685320438351</v>
      </c>
      <c r="K67" s="361">
        <f>'Premissas Geração de Resíduos'!I30/'Premissas Economias e Água'!$E$67</f>
        <v>84606.078789210922</v>
      </c>
      <c r="L67" s="361">
        <f>'Premissas Geração de Resíduos'!J30/'Premissas Economias e Água'!$E$67</f>
        <v>85049.905498163105</v>
      </c>
      <c r="M67" s="361">
        <f>'Premissas Geração de Resíduos'!K30/'Premissas Economias e Água'!$E$67</f>
        <v>85493.732207115274</v>
      </c>
      <c r="N67" s="361">
        <f>'Premissas Geração de Resíduos'!L30/'Premissas Economias e Água'!$E$67</f>
        <v>85937.558916067457</v>
      </c>
      <c r="O67" s="361">
        <f>'Premissas Geração de Resíduos'!M30/'Premissas Economias e Água'!$E$67</f>
        <v>86381.385625019626</v>
      </c>
      <c r="P67" s="361">
        <f>'Premissas Geração de Resíduos'!N30/'Premissas Economias e Água'!$E$67</f>
        <v>86824.256840518734</v>
      </c>
      <c r="Q67" s="361">
        <f>'Premissas Geração de Resíduos'!O30/'Premissas Economias e Água'!$E$67</f>
        <v>87122.848544603898</v>
      </c>
      <c r="R67" s="361">
        <f>'Premissas Geração de Resíduos'!P30/'Premissas Economias e Água'!$E$67</f>
        <v>87421.440248689047</v>
      </c>
      <c r="S67" s="361">
        <f>'Premissas Geração de Resíduos'!Q30/'Premissas Economias e Água'!$E$67</f>
        <v>87720.03195277421</v>
      </c>
      <c r="T67" s="361">
        <f>'Premissas Geração de Resíduos'!R30/'Premissas Economias e Água'!$E$67</f>
        <v>88018.623656859359</v>
      </c>
      <c r="U67" s="361">
        <f>'Premissas Geração de Resíduos'!S30/'Premissas Economias e Água'!$E$67</f>
        <v>88316.737614217986</v>
      </c>
      <c r="V67" s="361">
        <f>'Premissas Geração de Resíduos'!T30/'Premissas Economias e Água'!$E$67</f>
        <v>88496.848130122147</v>
      </c>
      <c r="W67" s="361">
        <f>'Premissas Geração de Resíduos'!U30/'Premissas Economias e Água'!$E$67</f>
        <v>88676.958646026324</v>
      </c>
      <c r="X67" s="361">
        <f>'Premissas Geração de Resíduos'!V30/'Premissas Economias e Água'!$E$67</f>
        <v>88857.069161930485</v>
      </c>
      <c r="Y67" s="361">
        <f>'Premissas Geração de Resíduos'!W30/'Premissas Economias e Água'!$E$67</f>
        <v>89037.179677834647</v>
      </c>
      <c r="Z67" s="361">
        <f>'Premissas Geração de Resíduos'!X30/'Premissas Economias e Água'!$E$67</f>
        <v>89216.812447012286</v>
      </c>
      <c r="AA67" s="361">
        <f>'Premissas Geração de Resíduos'!Y30/'Premissas Economias e Água'!$E$67</f>
        <v>89396.922962916447</v>
      </c>
      <c r="AB67" s="361">
        <f>'Premissas Geração de Resíduos'!Z30/'Premissas Economias e Água'!$E$67</f>
        <v>89577.033478820624</v>
      </c>
      <c r="AC67" s="361">
        <f>'Premissas Geração de Resíduos'!AA30/'Premissas Economias e Água'!$E$67</f>
        <v>89757.143994724785</v>
      </c>
      <c r="AD67" s="361">
        <f>'Premissas Geração de Resíduos'!AB30/'Premissas Economias e Água'!$E$67</f>
        <v>89937.254510628947</v>
      </c>
      <c r="AE67" s="361">
        <f>'Premissas Geração de Resíduos'!AC30/'Premissas Economias e Água'!$E$67</f>
        <v>90117.365026533123</v>
      </c>
      <c r="AF67" s="361">
        <f>'Premissas Geração de Resíduos'!AD30/'Premissas Economias e Água'!$E$67</f>
        <v>90297.475542437285</v>
      </c>
      <c r="AG67" s="361">
        <f>'Premissas Geração de Resíduos'!AE30/'Premissas Economias e Água'!$E$67</f>
        <v>90477.586058341447</v>
      </c>
      <c r="AH67" s="361">
        <f>'Premissas Geração de Resíduos'!AF30/'Premissas Economias e Água'!$E$67</f>
        <v>90657.696574245623</v>
      </c>
      <c r="AI67" s="361">
        <f>'Premissas Geração de Resíduos'!AG30/'Premissas Economias e Água'!$E$67</f>
        <v>90837.807090149785</v>
      </c>
    </row>
    <row r="68" spans="2:35" ht="15" thickBot="1" x14ac:dyDescent="0.4">
      <c r="B68" t="s">
        <v>7</v>
      </c>
      <c r="C68" s="469">
        <v>6974</v>
      </c>
      <c r="D68" s="470">
        <v>19680</v>
      </c>
      <c r="E68" s="368">
        <f t="shared" si="3"/>
        <v>2.8219099512474908</v>
      </c>
      <c r="F68" s="361">
        <f>'Premissas Geração de Resíduos'!D31/'Premissas Economias e Água'!$E$68</f>
        <v>6772.7178861788616</v>
      </c>
      <c r="G68" s="361">
        <f>'Premissas Geração de Resíduos'!E31/'Premissas Economias e Água'!$E$68</f>
        <v>6754.6450203252034</v>
      </c>
      <c r="H68" s="361">
        <f>'Premissas Geração de Resíduos'!F31/'Premissas Economias e Água'!$E$68</f>
        <v>6736.5721544715443</v>
      </c>
      <c r="I68" s="361">
        <f>'Premissas Geração de Resíduos'!G31/'Premissas Economias e Água'!$E$68</f>
        <v>6718.4992886178861</v>
      </c>
      <c r="J68" s="361">
        <f>'Premissas Geração de Resíduos'!H31/'Premissas Economias e Água'!$E$68</f>
        <v>6700.426422764227</v>
      </c>
      <c r="K68" s="361">
        <f>'Premissas Geração de Resíduos'!I31/'Premissas Economias e Água'!$E$68</f>
        <v>6681.6448170731701</v>
      </c>
      <c r="L68" s="361">
        <f>'Premissas Geração de Resíduos'!J31/'Premissas Economias e Água'!$E$68</f>
        <v>6650.1058943089429</v>
      </c>
      <c r="M68" s="361">
        <f>'Premissas Geração de Resíduos'!K31/'Premissas Economias e Água'!$E$68</f>
        <v>6618.5669715447157</v>
      </c>
      <c r="N68" s="361">
        <f>'Premissas Geração de Resíduos'!L31/'Premissas Economias e Água'!$E$68</f>
        <v>6587.0280487804876</v>
      </c>
      <c r="O68" s="361">
        <f>'Premissas Geração de Resíduos'!M31/'Premissas Economias e Água'!$E$68</f>
        <v>6555.4891260162603</v>
      </c>
      <c r="P68" s="361">
        <f>'Premissas Geração de Resíduos'!N31/'Premissas Economias e Água'!$E$68</f>
        <v>6523.5958333333328</v>
      </c>
      <c r="Q68" s="361">
        <f>'Premissas Geração de Resíduos'!O31/'Premissas Economias e Água'!$E$68</f>
        <v>6480.3627032520326</v>
      </c>
      <c r="R68" s="361">
        <f>'Premissas Geração de Resíduos'!P31/'Premissas Economias e Água'!$E$68</f>
        <v>6437.1295731707314</v>
      </c>
      <c r="S68" s="361">
        <f>'Premissas Geração de Resíduos'!Q31/'Premissas Economias e Água'!$E$68</f>
        <v>6393.8964430894302</v>
      </c>
      <c r="T68" s="361">
        <f>'Premissas Geração de Resíduos'!R31/'Premissas Economias e Água'!$E$68</f>
        <v>6350.66331300813</v>
      </c>
      <c r="U68" s="361">
        <f>'Premissas Geração de Resíduos'!S31/'Premissas Economias e Água'!$E$68</f>
        <v>6306.721443089431</v>
      </c>
      <c r="V68" s="361">
        <f>'Premissas Geração de Resíduos'!T31/'Premissas Economias e Água'!$E$68</f>
        <v>6259.9446138211379</v>
      </c>
      <c r="W68" s="361">
        <f>'Premissas Geração de Resíduos'!U31/'Premissas Economias e Água'!$E$68</f>
        <v>6213.1677845528457</v>
      </c>
      <c r="X68" s="361">
        <f>'Premissas Geração de Resíduos'!V31/'Premissas Economias e Água'!$E$68</f>
        <v>6166.3909552845525</v>
      </c>
      <c r="Y68" s="361">
        <f>'Premissas Geração de Resíduos'!W31/'Premissas Economias e Água'!$E$68</f>
        <v>6119.6141260162603</v>
      </c>
      <c r="Z68" s="361">
        <f>'Premissas Geração de Resíduos'!X31/'Premissas Economias e Água'!$E$68</f>
        <v>6073.546036585366</v>
      </c>
      <c r="AA68" s="361">
        <f>'Premissas Geração de Resíduos'!Y31/'Premissas Economias e Água'!$E$68</f>
        <v>6026.7692073170729</v>
      </c>
      <c r="AB68" s="361">
        <f>'Premissas Geração de Resíduos'!Z31/'Premissas Economias e Água'!$E$68</f>
        <v>5979.9923780487807</v>
      </c>
      <c r="AC68" s="361">
        <f>'Premissas Geração de Resíduos'!AA31/'Premissas Economias e Água'!$E$68</f>
        <v>5933.2155487804876</v>
      </c>
      <c r="AD68" s="361">
        <f>'Premissas Geração de Resíduos'!AB31/'Premissas Economias e Água'!$E$68</f>
        <v>5886.4387195121953</v>
      </c>
      <c r="AE68" s="361">
        <f>'Premissas Geração de Resíduos'!AC31/'Premissas Economias e Água'!$E$68</f>
        <v>5839.6618902439022</v>
      </c>
      <c r="AF68" s="361">
        <f>'Premissas Geração de Resíduos'!AD31/'Premissas Economias e Água'!$E$68</f>
        <v>5792.8850609756091</v>
      </c>
      <c r="AG68" s="361">
        <f>'Premissas Geração de Resíduos'!AE31/'Premissas Economias e Água'!$E$68</f>
        <v>5746.1082317073169</v>
      </c>
      <c r="AH68" s="361">
        <f>'Premissas Geração de Resíduos'!AF31/'Premissas Economias e Água'!$E$68</f>
        <v>5699.3314024390238</v>
      </c>
      <c r="AI68" s="361">
        <f>'Premissas Geração de Resíduos'!AG31/'Premissas Economias e Água'!$E$68</f>
        <v>5652.5545731707316</v>
      </c>
    </row>
    <row r="69" spans="2:35" ht="15" thickBot="1" x14ac:dyDescent="0.4">
      <c r="B69" t="s">
        <v>8</v>
      </c>
      <c r="C69" s="774">
        <v>4997</v>
      </c>
      <c r="D69" s="775">
        <v>14532</v>
      </c>
      <c r="E69" s="368">
        <f t="shared" si="3"/>
        <v>2.9081448869321593</v>
      </c>
      <c r="F69" s="361">
        <f>'Premissas Geração de Resíduos'!D32/'Premissas Economias e Água'!$E$69</f>
        <v>5313.6967382328658</v>
      </c>
      <c r="G69" s="361">
        <f>'Premissas Geração de Resíduos'!E32/'Premissas Economias e Água'!$E$69</f>
        <v>5359.7742224057256</v>
      </c>
      <c r="H69" s="361">
        <f>'Premissas Geração de Resíduos'!F32/'Premissas Economias e Água'!$E$69</f>
        <v>5405.8517065785854</v>
      </c>
      <c r="I69" s="361">
        <f>'Premissas Geração de Resíduos'!G32/'Premissas Economias e Água'!$E$69</f>
        <v>5451.9291907514453</v>
      </c>
      <c r="J69" s="361">
        <f>'Premissas Geração de Resíduos'!H32/'Premissas Economias e Água'!$E$69</f>
        <v>5498.0066749243051</v>
      </c>
      <c r="K69" s="361">
        <f>'Premissas Geração de Resíduos'!I32/'Premissas Economias e Água'!$E$69</f>
        <v>5543.3964354527934</v>
      </c>
      <c r="L69" s="361">
        <f>'Premissas Geração de Resíduos'!J32/'Premissas Economias e Água'!$E$69</f>
        <v>5579.8457886044589</v>
      </c>
      <c r="M69" s="361">
        <f>'Premissas Geração de Resíduos'!K32/'Premissas Economias e Água'!$E$69</f>
        <v>5616.2951417561244</v>
      </c>
      <c r="N69" s="361">
        <f>'Premissas Geração de Resíduos'!L32/'Premissas Economias e Água'!$E$69</f>
        <v>5652.7444949077899</v>
      </c>
      <c r="O69" s="361">
        <f>'Premissas Geração de Resíduos'!M32/'Premissas Economias e Água'!$E$69</f>
        <v>5689.1938480594545</v>
      </c>
      <c r="P69" s="361">
        <f>'Premissas Geração de Resíduos'!N32/'Premissas Economias e Água'!$E$69</f>
        <v>5725.9870630333062</v>
      </c>
      <c r="Q69" s="361">
        <f>'Premissas Geração de Resíduos'!O32/'Premissas Economias e Água'!$E$69</f>
        <v>5755.2153179190755</v>
      </c>
      <c r="R69" s="361">
        <f>'Premissas Geração de Resíduos'!P32/'Premissas Economias e Água'!$E$69</f>
        <v>5784.4435728048447</v>
      </c>
      <c r="S69" s="361">
        <f>'Premissas Geração de Resíduos'!Q32/'Premissas Economias e Água'!$E$69</f>
        <v>5813.671827690614</v>
      </c>
      <c r="T69" s="361">
        <f>'Premissas Geração de Resíduos'!R32/'Premissas Economias e Água'!$E$69</f>
        <v>5842.9000825763833</v>
      </c>
      <c r="U69" s="361">
        <f>'Premissas Geração de Resíduos'!S32/'Premissas Economias e Água'!$E$69</f>
        <v>5872.4721992843379</v>
      </c>
      <c r="V69" s="361">
        <f>'Premissas Geração de Resíduos'!T32/'Premissas Economias e Água'!$E$69</f>
        <v>5891.3845995045413</v>
      </c>
      <c r="W69" s="361">
        <f>'Premissas Geração de Resíduos'!U32/'Premissas Economias e Água'!$E$69</f>
        <v>5910.2969997247455</v>
      </c>
      <c r="X69" s="361">
        <f>'Premissas Geração de Resíduos'!V32/'Premissas Economias e Água'!$E$69</f>
        <v>5929.2093999449489</v>
      </c>
      <c r="Y69" s="361">
        <f>'Premissas Geração de Resíduos'!W32/'Premissas Economias e Água'!$E$69</f>
        <v>5948.1218001651523</v>
      </c>
      <c r="Z69" s="361">
        <f>'Premissas Geração de Resíduos'!X32/'Premissas Economias e Água'!$E$69</f>
        <v>5967.3780622075419</v>
      </c>
      <c r="AA69" s="361">
        <f>'Premissas Geração de Resíduos'!Y32/'Premissas Economias e Água'!$E$69</f>
        <v>5986.2904624277453</v>
      </c>
      <c r="AB69" s="361">
        <f>'Premissas Geração de Resíduos'!Z32/'Premissas Economias e Água'!$E$69</f>
        <v>6005.2028626479496</v>
      </c>
      <c r="AC69" s="361">
        <f>'Premissas Geração de Resíduos'!AA32/'Premissas Economias e Água'!$E$69</f>
        <v>6024.115262868153</v>
      </c>
      <c r="AD69" s="361">
        <f>'Premissas Geração de Resíduos'!AB32/'Premissas Economias e Água'!$E$69</f>
        <v>6043.0276630883563</v>
      </c>
      <c r="AE69" s="361">
        <f>'Premissas Geração de Resíduos'!AC32/'Premissas Economias e Água'!$E$69</f>
        <v>6061.9400633085606</v>
      </c>
      <c r="AF69" s="361">
        <f>'Premissas Geração de Resíduos'!AD32/'Premissas Economias e Água'!$E$69</f>
        <v>6080.852463528764</v>
      </c>
      <c r="AG69" s="361">
        <f>'Premissas Geração de Resíduos'!AE32/'Premissas Economias e Água'!$E$69</f>
        <v>6099.7648637489674</v>
      </c>
      <c r="AH69" s="361">
        <f>'Premissas Geração de Resíduos'!AF32/'Premissas Economias e Água'!$E$69</f>
        <v>6118.6772639691717</v>
      </c>
      <c r="AI69" s="361">
        <f>'Premissas Geração de Resíduos'!AG32/'Premissas Economias e Água'!$E$69</f>
        <v>6137.5896641893751</v>
      </c>
    </row>
    <row r="70" spans="2:35" ht="15" thickBot="1" x14ac:dyDescent="0.4">
      <c r="B70" t="s">
        <v>9</v>
      </c>
      <c r="C70" s="774">
        <v>4088</v>
      </c>
      <c r="D70" s="775">
        <v>11801</v>
      </c>
      <c r="E70" s="368">
        <f t="shared" si="3"/>
        <v>2.8867416829745598</v>
      </c>
      <c r="F70" s="361">
        <f>'Premissas Geração de Resíduos'!D33/'Premissas Economias e Água'!$E$70</f>
        <v>4365.1290568595878</v>
      </c>
      <c r="G70" s="361">
        <f>'Premissas Geração de Resíduos'!E33/'Premissas Economias e Água'!$E$70</f>
        <v>4403.5807134988563</v>
      </c>
      <c r="H70" s="361">
        <f>'Premissas Geração de Resíduos'!F33/'Premissas Economias e Água'!$E$70</f>
        <v>4442.032370138124</v>
      </c>
      <c r="I70" s="361">
        <f>'Premissas Geração de Resíduos'!G33/'Premissas Economias e Água'!$E$70</f>
        <v>4480.4840267773916</v>
      </c>
      <c r="J70" s="361">
        <f>'Premissas Geração de Resíduos'!H33/'Premissas Economias e Água'!$E$70</f>
        <v>4518.9356834166592</v>
      </c>
      <c r="K70" s="361">
        <f>'Premissas Geração de Resíduos'!I33/'Premissas Economias e Água'!$E$70</f>
        <v>4558.0801626980765</v>
      </c>
      <c r="L70" s="361">
        <f>'Premissas Geração de Resíduos'!J33/'Premissas Economias e Água'!$E$70</f>
        <v>4590.6428268790778</v>
      </c>
      <c r="M70" s="361">
        <f>'Premissas Geração de Resíduos'!K33/'Premissas Economias e Água'!$E$70</f>
        <v>4623.2054910600791</v>
      </c>
      <c r="N70" s="361">
        <f>'Premissas Geração de Resíduos'!L33/'Premissas Economias e Água'!$E$70</f>
        <v>4655.7681552410813</v>
      </c>
      <c r="O70" s="361">
        <f>'Premissas Geração de Resíduos'!M33/'Premissas Economias e Água'!$E$70</f>
        <v>4688.3308194220826</v>
      </c>
      <c r="P70" s="361">
        <f>'Premissas Geração de Resíduos'!N33/'Premissas Economias e Água'!$E$70</f>
        <v>4720.54707228201</v>
      </c>
      <c r="Q70" s="361">
        <f>'Premissas Geração de Resíduos'!O33/'Premissas Economias e Água'!$E$70</f>
        <v>4743.4102194729257</v>
      </c>
      <c r="R70" s="361">
        <f>'Premissas Geração de Resíduos'!P33/'Premissas Economias e Água'!$E$70</f>
        <v>4766.2733666638414</v>
      </c>
      <c r="S70" s="361">
        <f>'Premissas Geração de Resíduos'!Q33/'Premissas Economias e Água'!$E$70</f>
        <v>4789.1365138547581</v>
      </c>
      <c r="T70" s="361">
        <f>'Premissas Geração de Resíduos'!R33/'Premissas Economias e Água'!$E$70</f>
        <v>4811.9996610456737</v>
      </c>
      <c r="U70" s="361">
        <f>'Premissas Geração de Resíduos'!S33/'Premissas Economias e Água'!$E$70</f>
        <v>4835.5556308787391</v>
      </c>
      <c r="V70" s="361">
        <f>'Premissas Geração de Resíduos'!T33/'Premissas Economias e Água'!$E$70</f>
        <v>4852.1833742903145</v>
      </c>
      <c r="W70" s="361">
        <f>'Premissas Geração de Resíduos'!U33/'Premissas Economias e Água'!$E$70</f>
        <v>4868.8111177018891</v>
      </c>
      <c r="X70" s="361">
        <f>'Premissas Geração de Resíduos'!V33/'Premissas Economias e Água'!$E$70</f>
        <v>4885.4388611134646</v>
      </c>
      <c r="Y70" s="361">
        <f>'Premissas Geração de Resíduos'!W33/'Premissas Economias e Água'!$E$70</f>
        <v>4902.06660452504</v>
      </c>
      <c r="Z70" s="361">
        <f>'Premissas Geração de Resíduos'!X33/'Premissas Economias e Água'!$E$70</f>
        <v>4919.3871705787642</v>
      </c>
      <c r="AA70" s="361">
        <f>'Premissas Geração de Resíduos'!Y33/'Premissas Economias e Água'!$E$70</f>
        <v>4936.0149139903397</v>
      </c>
      <c r="AB70" s="361">
        <f>'Premissas Geração de Resíduos'!Z33/'Premissas Economias e Água'!$E$70</f>
        <v>4952.6426574019151</v>
      </c>
      <c r="AC70" s="361">
        <f>'Premissas Geração de Resíduos'!AA33/'Premissas Economias e Água'!$E$70</f>
        <v>4969.2704008134906</v>
      </c>
      <c r="AD70" s="361">
        <f>'Premissas Geração de Resíduos'!AB33/'Premissas Economias e Água'!$E$70</f>
        <v>4985.8981442250652</v>
      </c>
      <c r="AE70" s="361">
        <f>'Premissas Geração de Resíduos'!AC33/'Premissas Economias e Água'!$E$70</f>
        <v>5002.5258876366406</v>
      </c>
      <c r="AF70" s="361">
        <f>'Premissas Geração de Resíduos'!AD33/'Premissas Economias e Água'!$E$70</f>
        <v>5019.1536310482161</v>
      </c>
      <c r="AG70" s="361">
        <f>'Premissas Geração de Resíduos'!AE33/'Premissas Economias e Água'!$E$70</f>
        <v>5035.7813744597916</v>
      </c>
      <c r="AH70" s="361">
        <f>'Premissas Geração de Resíduos'!AF33/'Premissas Economias e Água'!$E$70</f>
        <v>5052.409117871367</v>
      </c>
      <c r="AI70" s="361">
        <f>'Premissas Geração de Resíduos'!AG33/'Premissas Economias e Água'!$E$70</f>
        <v>5069.0368612829416</v>
      </c>
    </row>
    <row r="71" spans="2:35" x14ac:dyDescent="0.35">
      <c r="B71" s="81" t="s">
        <v>200</v>
      </c>
      <c r="C71" s="166">
        <f>SUM(C62:C70)</f>
        <v>117184</v>
      </c>
      <c r="D71" s="166">
        <f>SUM(D62:D70)</f>
        <v>267496</v>
      </c>
      <c r="E71" s="369">
        <f>D71/C71</f>
        <v>2.2827007099945384</v>
      </c>
      <c r="F71" s="362">
        <f t="shared" ref="F71:AI71" si="4">SUM(F62:F70)</f>
        <v>125127.36946663831</v>
      </c>
      <c r="G71" s="362">
        <f t="shared" si="4"/>
        <v>125703.09493520772</v>
      </c>
      <c r="H71" s="362">
        <f t="shared" si="4"/>
        <v>126278.82040377711</v>
      </c>
      <c r="I71" s="362">
        <f t="shared" si="4"/>
        <v>126854.5458723465</v>
      </c>
      <c r="J71" s="362">
        <f t="shared" si="4"/>
        <v>127430.27134091592</v>
      </c>
      <c r="K71" s="362">
        <f t="shared" si="4"/>
        <v>128005.82845424602</v>
      </c>
      <c r="L71" s="362">
        <f t="shared" si="4"/>
        <v>128505.88613644506</v>
      </c>
      <c r="M71" s="362">
        <f t="shared" si="4"/>
        <v>129005.9438186441</v>
      </c>
      <c r="N71" s="362">
        <f t="shared" si="4"/>
        <v>129506.00150084314</v>
      </c>
      <c r="O71" s="362">
        <f t="shared" si="4"/>
        <v>130006.05918304219</v>
      </c>
      <c r="P71" s="362">
        <f t="shared" si="4"/>
        <v>130505.0585517954</v>
      </c>
      <c r="Q71" s="362">
        <f t="shared" si="4"/>
        <v>130792.28323137401</v>
      </c>
      <c r="R71" s="362">
        <f t="shared" si="4"/>
        <v>131079.50791095261</v>
      </c>
      <c r="S71" s="362">
        <f t="shared" si="4"/>
        <v>131366.7325905312</v>
      </c>
      <c r="T71" s="362">
        <f t="shared" si="4"/>
        <v>131653.95727010979</v>
      </c>
      <c r="U71" s="362">
        <f t="shared" si="4"/>
        <v>131942.54905413758</v>
      </c>
      <c r="V71" s="362">
        <f t="shared" si="4"/>
        <v>132055.323725244</v>
      </c>
      <c r="W71" s="362">
        <f t="shared" si="4"/>
        <v>132168.09839635046</v>
      </c>
      <c r="X71" s="362">
        <f t="shared" si="4"/>
        <v>132280.87306745688</v>
      </c>
      <c r="Y71" s="362">
        <f t="shared" si="4"/>
        <v>132393.6477385633</v>
      </c>
      <c r="Z71" s="362">
        <f t="shared" si="4"/>
        <v>132506.57083270137</v>
      </c>
      <c r="AA71" s="362">
        <f t="shared" si="4"/>
        <v>132619.3455038078</v>
      </c>
      <c r="AB71" s="362">
        <f t="shared" si="4"/>
        <v>132732.12017491422</v>
      </c>
      <c r="AC71" s="362">
        <f t="shared" si="4"/>
        <v>132844.89484602064</v>
      </c>
      <c r="AD71" s="362">
        <f t="shared" si="4"/>
        <v>132957.66951712707</v>
      </c>
      <c r="AE71" s="362">
        <f t="shared" si="4"/>
        <v>133070.44418823349</v>
      </c>
      <c r="AF71" s="362">
        <f t="shared" si="4"/>
        <v>133183.21885933992</v>
      </c>
      <c r="AG71" s="362">
        <f t="shared" si="4"/>
        <v>133295.99353044634</v>
      </c>
      <c r="AH71" s="362">
        <f t="shared" si="4"/>
        <v>133408.7682015528</v>
      </c>
      <c r="AI71" s="362">
        <f t="shared" si="4"/>
        <v>133521.54287265922</v>
      </c>
    </row>
    <row r="72" spans="2:35" x14ac:dyDescent="0.35">
      <c r="B72" s="768" t="s">
        <v>284</v>
      </c>
      <c r="C72" s="599"/>
      <c r="D72" s="961"/>
      <c r="E72" s="599"/>
      <c r="F72" s="599"/>
      <c r="G72" s="599"/>
    </row>
    <row r="73" spans="2:35" x14ac:dyDescent="0.35">
      <c r="B73" s="766" t="s">
        <v>289</v>
      </c>
      <c r="C73" s="599"/>
      <c r="D73" s="599"/>
      <c r="E73" s="599"/>
      <c r="F73" s="599"/>
      <c r="G73" s="599"/>
    </row>
    <row r="74" spans="2:35" x14ac:dyDescent="0.35">
      <c r="B74" s="600" t="s">
        <v>301</v>
      </c>
      <c r="C74" s="599"/>
      <c r="D74" s="599"/>
      <c r="E74" s="599"/>
      <c r="F74" s="599"/>
      <c r="G74" s="599"/>
    </row>
    <row r="75" spans="2:35" x14ac:dyDescent="0.35">
      <c r="B75" s="600" t="s">
        <v>302</v>
      </c>
      <c r="C75" s="599"/>
      <c r="D75" s="599"/>
      <c r="E75" s="599"/>
      <c r="F75" s="599"/>
      <c r="G75" s="599"/>
    </row>
    <row r="76" spans="2:35" x14ac:dyDescent="0.35">
      <c r="B76" s="600" t="s">
        <v>303</v>
      </c>
      <c r="C76" s="599"/>
      <c r="D76" s="599"/>
      <c r="E76" s="599"/>
      <c r="F76" s="599"/>
      <c r="G76" s="599"/>
    </row>
    <row r="77" spans="2:35" x14ac:dyDescent="0.35">
      <c r="B77" s="766" t="s">
        <v>304</v>
      </c>
      <c r="C77" s="599"/>
      <c r="D77" s="599"/>
      <c r="E77" s="599"/>
      <c r="F77" s="599"/>
      <c r="G77" s="599"/>
    </row>
    <row r="78" spans="2:35" x14ac:dyDescent="0.35">
      <c r="B78" s="766" t="s">
        <v>305</v>
      </c>
      <c r="C78" s="599"/>
      <c r="D78" s="599"/>
      <c r="E78" s="599"/>
      <c r="F78" s="599"/>
      <c r="G78" s="599"/>
    </row>
    <row r="79" spans="2:35" x14ac:dyDescent="0.35">
      <c r="B79" s="766" t="s">
        <v>306</v>
      </c>
      <c r="C79" s="599"/>
      <c r="D79" s="599"/>
      <c r="E79" s="599"/>
      <c r="F79" s="599"/>
      <c r="G79" s="599"/>
    </row>
    <row r="80" spans="2:35" x14ac:dyDescent="0.35">
      <c r="B80" s="766" t="s">
        <v>307</v>
      </c>
      <c r="C80" s="599"/>
      <c r="D80" s="599"/>
      <c r="E80" s="599"/>
      <c r="F80" s="599"/>
      <c r="G80" s="599"/>
    </row>
    <row r="81" spans="2:35" x14ac:dyDescent="0.35">
      <c r="B81" s="766" t="s">
        <v>308</v>
      </c>
      <c r="C81" s="599"/>
      <c r="D81" s="599"/>
      <c r="E81" s="599"/>
      <c r="F81" s="599"/>
      <c r="G81" s="599"/>
    </row>
    <row r="82" spans="2:35" x14ac:dyDescent="0.35">
      <c r="B82" s="766" t="s">
        <v>309</v>
      </c>
      <c r="C82" s="599"/>
      <c r="D82" s="599"/>
      <c r="E82" s="599"/>
      <c r="F82" s="599"/>
      <c r="G82" s="599"/>
    </row>
    <row r="84" spans="2:35" ht="18.5" x14ac:dyDescent="0.45">
      <c r="B84" s="102" t="s">
        <v>310</v>
      </c>
      <c r="C84" s="102"/>
    </row>
    <row r="85" spans="2:35" ht="3" customHeight="1" x14ac:dyDescent="0.35"/>
    <row r="86" spans="2:35" ht="43.5" x14ac:dyDescent="0.35">
      <c r="B86" s="156" t="s">
        <v>68</v>
      </c>
      <c r="C86" s="157" t="s">
        <v>311</v>
      </c>
      <c r="D86" s="157" t="s">
        <v>312</v>
      </c>
      <c r="E86" s="156"/>
      <c r="F86" s="158">
        <v>1</v>
      </c>
      <c r="G86" s="158">
        <f>F86+1</f>
        <v>2</v>
      </c>
      <c r="H86" s="158">
        <f t="shared" ref="H86" si="5">G86+1</f>
        <v>3</v>
      </c>
      <c r="I86" s="158">
        <f t="shared" ref="I86" si="6">H86+1</f>
        <v>4</v>
      </c>
      <c r="J86" s="158">
        <f t="shared" ref="J86" si="7">I86+1</f>
        <v>5</v>
      </c>
      <c r="K86" s="158">
        <f t="shared" ref="K86" si="8">J86+1</f>
        <v>6</v>
      </c>
      <c r="L86" s="158">
        <f t="shared" ref="L86" si="9">K86+1</f>
        <v>7</v>
      </c>
      <c r="M86" s="158">
        <f t="shared" ref="M86" si="10">L86+1</f>
        <v>8</v>
      </c>
      <c r="N86" s="158">
        <f t="shared" ref="N86" si="11">M86+1</f>
        <v>9</v>
      </c>
      <c r="O86" s="158">
        <f t="shared" ref="O86" si="12">N86+1</f>
        <v>10</v>
      </c>
      <c r="P86" s="158">
        <f t="shared" ref="P86" si="13">O86+1</f>
        <v>11</v>
      </c>
      <c r="Q86" s="158">
        <f t="shared" ref="Q86" si="14">P86+1</f>
        <v>12</v>
      </c>
      <c r="R86" s="158">
        <f t="shared" ref="R86" si="15">Q86+1</f>
        <v>13</v>
      </c>
      <c r="S86" s="158">
        <f t="shared" ref="S86" si="16">R86+1</f>
        <v>14</v>
      </c>
      <c r="T86" s="158">
        <f t="shared" ref="T86" si="17">S86+1</f>
        <v>15</v>
      </c>
      <c r="U86" s="158">
        <f t="shared" ref="U86" si="18">T86+1</f>
        <v>16</v>
      </c>
      <c r="V86" s="158">
        <f t="shared" ref="V86" si="19">U86+1</f>
        <v>17</v>
      </c>
      <c r="W86" s="158">
        <f t="shared" ref="W86" si="20">V86+1</f>
        <v>18</v>
      </c>
      <c r="X86" s="158">
        <f t="shared" ref="X86" si="21">W86+1</f>
        <v>19</v>
      </c>
      <c r="Y86" s="158">
        <f t="shared" ref="Y86" si="22">X86+1</f>
        <v>20</v>
      </c>
      <c r="Z86" s="158">
        <f t="shared" ref="Z86" si="23">Y86+1</f>
        <v>21</v>
      </c>
      <c r="AA86" s="158">
        <f t="shared" ref="AA86" si="24">Z86+1</f>
        <v>22</v>
      </c>
      <c r="AB86" s="158">
        <f t="shared" ref="AB86" si="25">AA86+1</f>
        <v>23</v>
      </c>
      <c r="AC86" s="158">
        <f t="shared" ref="AC86" si="26">AB86+1</f>
        <v>24</v>
      </c>
      <c r="AD86" s="158">
        <f t="shared" ref="AD86" si="27">AC86+1</f>
        <v>25</v>
      </c>
      <c r="AE86" s="158">
        <f t="shared" ref="AE86" si="28">AD86+1</f>
        <v>26</v>
      </c>
      <c r="AF86" s="158">
        <f t="shared" ref="AF86" si="29">AE86+1</f>
        <v>27</v>
      </c>
      <c r="AG86" s="158">
        <f t="shared" ref="AG86" si="30">AF86+1</f>
        <v>28</v>
      </c>
      <c r="AH86" s="158">
        <f t="shared" ref="AH86" si="31">AG86+1</f>
        <v>29</v>
      </c>
      <c r="AI86" s="158">
        <f t="shared" ref="AI86" si="32">AH86+1</f>
        <v>30</v>
      </c>
    </row>
    <row r="87" spans="2:35" s="162" customFormat="1" ht="13" x14ac:dyDescent="0.3">
      <c r="B87" s="159"/>
      <c r="C87" s="160" t="s">
        <v>313</v>
      </c>
      <c r="D87" s="160" t="s">
        <v>314</v>
      </c>
      <c r="E87" s="159"/>
      <c r="F87" s="161"/>
      <c r="G87" s="161"/>
      <c r="H87" s="161"/>
      <c r="I87" s="161"/>
      <c r="J87" s="161"/>
      <c r="K87" s="161"/>
      <c r="L87" s="161"/>
      <c r="M87" s="161"/>
      <c r="N87" s="161"/>
      <c r="O87" s="161"/>
      <c r="P87" s="161"/>
      <c r="Q87" s="161"/>
      <c r="R87" s="161"/>
      <c r="S87" s="161"/>
      <c r="T87" s="161"/>
      <c r="U87" s="161"/>
      <c r="V87" s="161"/>
      <c r="W87" s="161"/>
      <c r="X87" s="161"/>
      <c r="Y87" s="161"/>
      <c r="Z87" s="161"/>
      <c r="AA87" s="161"/>
      <c r="AB87" s="161"/>
      <c r="AC87" s="161"/>
      <c r="AD87" s="161"/>
      <c r="AE87" s="161"/>
      <c r="AF87" s="161"/>
      <c r="AG87" s="161"/>
      <c r="AH87" s="161"/>
      <c r="AI87" s="161"/>
    </row>
    <row r="88" spans="2:35" ht="15" thickBot="1" x14ac:dyDescent="0.4">
      <c r="B88" t="s">
        <v>1</v>
      </c>
      <c r="C88" s="1325">
        <v>11.249083080848347</v>
      </c>
      <c r="D88" s="370">
        <f>193680/C62</f>
        <v>185.3397129186603</v>
      </c>
      <c r="E88" s="92"/>
      <c r="F88" s="367">
        <f t="shared" ref="F88:AI88" si="33">F62*$D$88</f>
        <v>194489.76054732042</v>
      </c>
      <c r="G88" s="367">
        <f t="shared" si="33"/>
        <v>193385.54161915625</v>
      </c>
      <c r="H88" s="367">
        <f t="shared" si="33"/>
        <v>192281.32269099203</v>
      </c>
      <c r="I88" s="367">
        <f t="shared" si="33"/>
        <v>191177.10376282787</v>
      </c>
      <c r="J88" s="367">
        <f t="shared" si="33"/>
        <v>190072.88483466365</v>
      </c>
      <c r="K88" s="367">
        <f t="shared" si="33"/>
        <v>188968.66590649946</v>
      </c>
      <c r="L88" s="367">
        <f t="shared" si="33"/>
        <v>187569.98859749147</v>
      </c>
      <c r="M88" s="367">
        <f t="shared" si="33"/>
        <v>186171.3112884835</v>
      </c>
      <c r="N88" s="367">
        <f t="shared" si="33"/>
        <v>184772.6339794755</v>
      </c>
      <c r="O88" s="367">
        <f t="shared" si="33"/>
        <v>183373.95667046751</v>
      </c>
      <c r="P88" s="367">
        <f t="shared" si="33"/>
        <v>182122.50855188144</v>
      </c>
      <c r="Q88" s="367">
        <f t="shared" si="33"/>
        <v>180502.98745724061</v>
      </c>
      <c r="R88" s="367">
        <f t="shared" si="33"/>
        <v>178883.46636259978</v>
      </c>
      <c r="S88" s="367">
        <f t="shared" si="33"/>
        <v>177263.94526795897</v>
      </c>
      <c r="T88" s="367">
        <f t="shared" si="33"/>
        <v>175644.42417331814</v>
      </c>
      <c r="U88" s="367">
        <f t="shared" si="33"/>
        <v>174098.51767388827</v>
      </c>
      <c r="V88" s="367">
        <f t="shared" si="33"/>
        <v>172405.3819840365</v>
      </c>
      <c r="W88" s="367">
        <f t="shared" si="33"/>
        <v>170712.24629418473</v>
      </c>
      <c r="X88" s="367">
        <f t="shared" si="33"/>
        <v>169019.11060433296</v>
      </c>
      <c r="Y88" s="367">
        <f t="shared" si="33"/>
        <v>167325.97491448119</v>
      </c>
      <c r="Z88" s="367">
        <f t="shared" si="33"/>
        <v>165485.61003420755</v>
      </c>
      <c r="AA88" s="367">
        <f t="shared" si="33"/>
        <v>163792.47434435578</v>
      </c>
      <c r="AB88" s="367">
        <f t="shared" si="33"/>
        <v>162099.33865450401</v>
      </c>
      <c r="AC88" s="367">
        <f t="shared" si="33"/>
        <v>160406.20296465224</v>
      </c>
      <c r="AD88" s="367">
        <f t="shared" si="33"/>
        <v>158713.06727480047</v>
      </c>
      <c r="AE88" s="367">
        <f t="shared" si="33"/>
        <v>157019.9315849487</v>
      </c>
      <c r="AF88" s="367">
        <f t="shared" si="33"/>
        <v>155326.79589509693</v>
      </c>
      <c r="AG88" s="367">
        <f t="shared" si="33"/>
        <v>153633.66020524516</v>
      </c>
      <c r="AH88" s="367">
        <f t="shared" si="33"/>
        <v>151940.52451539342</v>
      </c>
      <c r="AI88" s="367">
        <f t="shared" si="33"/>
        <v>150247.38882554165</v>
      </c>
    </row>
    <row r="89" spans="2:35" ht="15" thickBot="1" x14ac:dyDescent="0.4">
      <c r="B89" t="s">
        <v>2</v>
      </c>
      <c r="C89" s="776">
        <v>10.266101898951954</v>
      </c>
      <c r="D89" s="368">
        <f>C89*12</f>
        <v>123.19322278742345</v>
      </c>
      <c r="E89" s="92"/>
      <c r="F89" s="361">
        <f t="shared" ref="F89:AI89" si="34">F63*$D$89</f>
        <v>1564530.8887629157</v>
      </c>
      <c r="G89" s="361">
        <f t="shared" si="34"/>
        <v>1565411.4683255223</v>
      </c>
      <c r="H89" s="361">
        <f t="shared" si="34"/>
        <v>1566292.0478881288</v>
      </c>
      <c r="I89" s="361">
        <f t="shared" si="34"/>
        <v>1567172.6274507353</v>
      </c>
      <c r="J89" s="361">
        <f t="shared" si="34"/>
        <v>1568053.2070133421</v>
      </c>
      <c r="K89" s="361">
        <f t="shared" si="34"/>
        <v>1569037.3841715495</v>
      </c>
      <c r="L89" s="361">
        <f t="shared" si="34"/>
        <v>1566706.4382705318</v>
      </c>
      <c r="M89" s="361">
        <f t="shared" si="34"/>
        <v>1564375.4923695144</v>
      </c>
      <c r="N89" s="361">
        <f t="shared" si="34"/>
        <v>1562044.546468497</v>
      </c>
      <c r="O89" s="361">
        <f t="shared" si="34"/>
        <v>1559713.6005674796</v>
      </c>
      <c r="P89" s="361">
        <f t="shared" si="34"/>
        <v>1557382.6546664622</v>
      </c>
      <c r="Q89" s="361">
        <f t="shared" si="34"/>
        <v>1552876.1592578283</v>
      </c>
      <c r="R89" s="361">
        <f t="shared" si="34"/>
        <v>1548369.6638491945</v>
      </c>
      <c r="S89" s="361">
        <f t="shared" si="34"/>
        <v>1543863.168440561</v>
      </c>
      <c r="T89" s="361">
        <f t="shared" si="34"/>
        <v>1539356.6730319271</v>
      </c>
      <c r="U89" s="361">
        <f t="shared" si="34"/>
        <v>1534746.5800276927</v>
      </c>
      <c r="V89" s="361">
        <f t="shared" si="34"/>
        <v>1528271.7303026442</v>
      </c>
      <c r="W89" s="361">
        <f t="shared" si="34"/>
        <v>1521796.8805775957</v>
      </c>
      <c r="X89" s="361">
        <f t="shared" si="34"/>
        <v>1515322.0308525471</v>
      </c>
      <c r="Y89" s="361">
        <f t="shared" si="34"/>
        <v>1508847.1811274989</v>
      </c>
      <c r="Z89" s="361">
        <f t="shared" si="34"/>
        <v>1502424.1302002508</v>
      </c>
      <c r="AA89" s="361">
        <f t="shared" si="34"/>
        <v>1495949.280475202</v>
      </c>
      <c r="AB89" s="361">
        <f t="shared" si="34"/>
        <v>1489474.4307501537</v>
      </c>
      <c r="AC89" s="361">
        <f t="shared" si="34"/>
        <v>1482999.5810251052</v>
      </c>
      <c r="AD89" s="361">
        <f t="shared" si="34"/>
        <v>1476524.7313000564</v>
      </c>
      <c r="AE89" s="361">
        <f t="shared" si="34"/>
        <v>1470049.8815750082</v>
      </c>
      <c r="AF89" s="361">
        <f t="shared" si="34"/>
        <v>1463575.0318499596</v>
      </c>
      <c r="AG89" s="361">
        <f t="shared" si="34"/>
        <v>1457100.1821249113</v>
      </c>
      <c r="AH89" s="361">
        <f t="shared" si="34"/>
        <v>1450625.3323998626</v>
      </c>
      <c r="AI89" s="361">
        <f t="shared" si="34"/>
        <v>1444150.4826748143</v>
      </c>
    </row>
    <row r="90" spans="2:35" ht="15" thickBot="1" x14ac:dyDescent="0.4">
      <c r="B90" t="s">
        <v>3</v>
      </c>
      <c r="C90" s="471">
        <v>10.016008537886872</v>
      </c>
      <c r="D90" s="368">
        <f t="shared" ref="D90:D96" si="35">C90*12</f>
        <v>120.19210245464247</v>
      </c>
      <c r="E90" s="92"/>
      <c r="F90" s="361">
        <f t="shared" ref="F90:AI90" si="36">F64*$D$90</f>
        <v>202006.28390578507</v>
      </c>
      <c r="G90" s="361">
        <f t="shared" si="36"/>
        <v>202227.90352608761</v>
      </c>
      <c r="H90" s="361">
        <f t="shared" si="36"/>
        <v>202449.52314639019</v>
      </c>
      <c r="I90" s="361">
        <f t="shared" si="36"/>
        <v>202671.14276669276</v>
      </c>
      <c r="J90" s="361">
        <f t="shared" si="36"/>
        <v>202892.76238699531</v>
      </c>
      <c r="K90" s="361">
        <f t="shared" si="36"/>
        <v>203225.19181744914</v>
      </c>
      <c r="L90" s="361">
        <f t="shared" si="36"/>
        <v>203169.7869123735</v>
      </c>
      <c r="M90" s="361">
        <f t="shared" si="36"/>
        <v>203114.38200729786</v>
      </c>
      <c r="N90" s="361">
        <f t="shared" si="36"/>
        <v>203058.97710222224</v>
      </c>
      <c r="O90" s="361">
        <f t="shared" si="36"/>
        <v>203003.5721971466</v>
      </c>
      <c r="P90" s="361">
        <f t="shared" si="36"/>
        <v>202837.35748191967</v>
      </c>
      <c r="Q90" s="361">
        <f t="shared" si="36"/>
        <v>202394.11824131454</v>
      </c>
      <c r="R90" s="361">
        <f t="shared" si="36"/>
        <v>201950.87900070942</v>
      </c>
      <c r="S90" s="361">
        <f t="shared" si="36"/>
        <v>201507.6397601043</v>
      </c>
      <c r="T90" s="361">
        <f t="shared" si="36"/>
        <v>201064.40051949918</v>
      </c>
      <c r="U90" s="361">
        <f t="shared" si="36"/>
        <v>200676.5661839697</v>
      </c>
      <c r="V90" s="361">
        <f t="shared" si="36"/>
        <v>200011.707323062</v>
      </c>
      <c r="W90" s="361">
        <f t="shared" si="36"/>
        <v>199346.8484621543</v>
      </c>
      <c r="X90" s="361">
        <f t="shared" si="36"/>
        <v>198681.98960124663</v>
      </c>
      <c r="Y90" s="361">
        <f t="shared" si="36"/>
        <v>198017.13074033894</v>
      </c>
      <c r="Z90" s="361">
        <f t="shared" si="36"/>
        <v>197352.27187943127</v>
      </c>
      <c r="AA90" s="361">
        <f t="shared" si="36"/>
        <v>196687.41301852357</v>
      </c>
      <c r="AB90" s="361">
        <f t="shared" si="36"/>
        <v>196022.55415761587</v>
      </c>
      <c r="AC90" s="361">
        <f t="shared" si="36"/>
        <v>195357.6952967082</v>
      </c>
      <c r="AD90" s="361">
        <f t="shared" si="36"/>
        <v>194692.83643580051</v>
      </c>
      <c r="AE90" s="361">
        <f t="shared" si="36"/>
        <v>194027.97757489284</v>
      </c>
      <c r="AF90" s="361">
        <f t="shared" si="36"/>
        <v>193363.11871398514</v>
      </c>
      <c r="AG90" s="361">
        <f t="shared" si="36"/>
        <v>192698.25985307747</v>
      </c>
      <c r="AH90" s="361">
        <f t="shared" si="36"/>
        <v>192033.40099216977</v>
      </c>
      <c r="AI90" s="361">
        <f t="shared" si="36"/>
        <v>191368.5421312621</v>
      </c>
    </row>
    <row r="91" spans="2:35" ht="15" thickBot="1" x14ac:dyDescent="0.4">
      <c r="B91" t="s">
        <v>4</v>
      </c>
      <c r="C91" s="471">
        <v>9.6999999999999993</v>
      </c>
      <c r="D91" s="368">
        <f t="shared" si="35"/>
        <v>116.39999999999999</v>
      </c>
      <c r="E91" s="92"/>
      <c r="F91" s="361">
        <f t="shared" ref="F91:AI91" si="37">F65*$D$91</f>
        <v>393493.05014691479</v>
      </c>
      <c r="G91" s="361">
        <f t="shared" si="37"/>
        <v>397136.90597453481</v>
      </c>
      <c r="H91" s="361">
        <f t="shared" si="37"/>
        <v>400780.76180215477</v>
      </c>
      <c r="I91" s="361">
        <f t="shared" si="37"/>
        <v>404424.61762977473</v>
      </c>
      <c r="J91" s="361">
        <f t="shared" si="37"/>
        <v>408068.47345739469</v>
      </c>
      <c r="K91" s="361">
        <f t="shared" si="37"/>
        <v>411668.95004897163</v>
      </c>
      <c r="L91" s="361">
        <f t="shared" si="37"/>
        <v>414835.63428011752</v>
      </c>
      <c r="M91" s="361">
        <f t="shared" si="37"/>
        <v>418002.31851126347</v>
      </c>
      <c r="N91" s="361">
        <f t="shared" si="37"/>
        <v>421169.00274240936</v>
      </c>
      <c r="O91" s="361">
        <f t="shared" si="37"/>
        <v>424335.68697355536</v>
      </c>
      <c r="P91" s="361">
        <f t="shared" si="37"/>
        <v>427458.99196865817</v>
      </c>
      <c r="Q91" s="361">
        <f t="shared" si="37"/>
        <v>429974.98765915766</v>
      </c>
      <c r="R91" s="361">
        <f t="shared" si="37"/>
        <v>432490.98334965721</v>
      </c>
      <c r="S91" s="361">
        <f t="shared" si="37"/>
        <v>435006.9790401567</v>
      </c>
      <c r="T91" s="361">
        <f t="shared" si="37"/>
        <v>437522.97473065619</v>
      </c>
      <c r="U91" s="361">
        <f t="shared" si="37"/>
        <v>440125.7288932419</v>
      </c>
      <c r="V91" s="361">
        <f t="shared" si="37"/>
        <v>441947.65680705191</v>
      </c>
      <c r="W91" s="361">
        <f t="shared" si="37"/>
        <v>443769.58472086192</v>
      </c>
      <c r="X91" s="361">
        <f t="shared" si="37"/>
        <v>445591.51263467188</v>
      </c>
      <c r="Y91" s="361">
        <f t="shared" si="37"/>
        <v>447413.44054848189</v>
      </c>
      <c r="Z91" s="361">
        <f t="shared" si="37"/>
        <v>449148.60999020567</v>
      </c>
      <c r="AA91" s="361">
        <f t="shared" si="37"/>
        <v>450970.53790401568</v>
      </c>
      <c r="AB91" s="361">
        <f t="shared" si="37"/>
        <v>452792.46581782564</v>
      </c>
      <c r="AC91" s="361">
        <f t="shared" si="37"/>
        <v>454614.39373163565</v>
      </c>
      <c r="AD91" s="361">
        <f t="shared" si="37"/>
        <v>456436.32164544566</v>
      </c>
      <c r="AE91" s="361">
        <f t="shared" si="37"/>
        <v>458258.24955925561</v>
      </c>
      <c r="AF91" s="361">
        <f t="shared" si="37"/>
        <v>460080.17747306562</v>
      </c>
      <c r="AG91" s="361">
        <f t="shared" si="37"/>
        <v>461902.10538687563</v>
      </c>
      <c r="AH91" s="361">
        <f t="shared" si="37"/>
        <v>463724.03330068564</v>
      </c>
      <c r="AI91" s="361">
        <f t="shared" si="37"/>
        <v>465545.96121449559</v>
      </c>
    </row>
    <row r="92" spans="2:35" ht="15" thickBot="1" x14ac:dyDescent="0.4">
      <c r="B92" t="s">
        <v>5</v>
      </c>
      <c r="C92" s="776">
        <v>14.16</v>
      </c>
      <c r="D92" s="368">
        <f t="shared" si="35"/>
        <v>169.92000000000002</v>
      </c>
      <c r="E92" s="92"/>
      <c r="F92" s="361">
        <f t="shared" ref="F92:AI92" si="38">F66*$D$92</f>
        <v>1269850.1636902243</v>
      </c>
      <c r="G92" s="361">
        <f t="shared" si="38"/>
        <v>1275297.6888700805</v>
      </c>
      <c r="H92" s="361">
        <f t="shared" si="38"/>
        <v>1280745.2140499365</v>
      </c>
      <c r="I92" s="361">
        <f t="shared" si="38"/>
        <v>1286192.7392297927</v>
      </c>
      <c r="J92" s="361">
        <f t="shared" si="38"/>
        <v>1291640.264409649</v>
      </c>
      <c r="K92" s="361">
        <f t="shared" si="38"/>
        <v>1297023.7010579773</v>
      </c>
      <c r="L92" s="361">
        <f t="shared" si="38"/>
        <v>1300164.0391028356</v>
      </c>
      <c r="M92" s="361">
        <f t="shared" si="38"/>
        <v>1303304.3771476937</v>
      </c>
      <c r="N92" s="361">
        <f t="shared" si="38"/>
        <v>1306444.715192552</v>
      </c>
      <c r="O92" s="361">
        <f t="shared" si="38"/>
        <v>1309585.05323741</v>
      </c>
      <c r="P92" s="361">
        <f t="shared" si="38"/>
        <v>1312853.5683453239</v>
      </c>
      <c r="Q92" s="361">
        <f t="shared" si="38"/>
        <v>1314071.2504443505</v>
      </c>
      <c r="R92" s="361">
        <f t="shared" si="38"/>
        <v>1315288.9325433772</v>
      </c>
      <c r="S92" s="361">
        <f t="shared" si="38"/>
        <v>1316506.6146424038</v>
      </c>
      <c r="T92" s="361">
        <f t="shared" si="38"/>
        <v>1317724.2967414306</v>
      </c>
      <c r="U92" s="361">
        <f t="shared" si="38"/>
        <v>1319070.1559035126</v>
      </c>
      <c r="V92" s="361">
        <f t="shared" si="38"/>
        <v>1318301.0935251799</v>
      </c>
      <c r="W92" s="361">
        <f t="shared" si="38"/>
        <v>1317532.0311468474</v>
      </c>
      <c r="X92" s="361">
        <f t="shared" si="38"/>
        <v>1316762.9687685147</v>
      </c>
      <c r="Y92" s="361">
        <f t="shared" si="38"/>
        <v>1315993.9063901822</v>
      </c>
      <c r="Z92" s="361">
        <f t="shared" si="38"/>
        <v>1315224.8440118495</v>
      </c>
      <c r="AA92" s="361">
        <f t="shared" si="38"/>
        <v>1314455.781633517</v>
      </c>
      <c r="AB92" s="361">
        <f t="shared" si="38"/>
        <v>1313686.7192551843</v>
      </c>
      <c r="AC92" s="361">
        <f t="shared" si="38"/>
        <v>1312917.6568768516</v>
      </c>
      <c r="AD92" s="361">
        <f t="shared" si="38"/>
        <v>1312148.5944985191</v>
      </c>
      <c r="AE92" s="361">
        <f t="shared" si="38"/>
        <v>1311379.5321201864</v>
      </c>
      <c r="AF92" s="361">
        <f t="shared" si="38"/>
        <v>1310610.4697418537</v>
      </c>
      <c r="AG92" s="361">
        <f t="shared" si="38"/>
        <v>1309841.4073635212</v>
      </c>
      <c r="AH92" s="361">
        <f t="shared" si="38"/>
        <v>1309072.3449851885</v>
      </c>
      <c r="AI92" s="361">
        <f t="shared" si="38"/>
        <v>1308303.2826068557</v>
      </c>
    </row>
    <row r="93" spans="2:35" ht="15" thickBot="1" x14ac:dyDescent="0.4">
      <c r="B93" t="s">
        <v>6</v>
      </c>
      <c r="C93" s="776">
        <v>9.9707688065595814</v>
      </c>
      <c r="D93" s="368">
        <f>C93*12</f>
        <v>119.64922567871497</v>
      </c>
      <c r="E93" s="92"/>
      <c r="F93" s="361">
        <f t="shared" ref="F93:AI93" si="39">F67*$D$93</f>
        <v>9858162.9868180417</v>
      </c>
      <c r="G93" s="361">
        <f t="shared" si="39"/>
        <v>9911152.1848279014</v>
      </c>
      <c r="H93" s="361">
        <f t="shared" si="39"/>
        <v>9964141.3828377593</v>
      </c>
      <c r="I93" s="361">
        <f t="shared" si="39"/>
        <v>10017130.580847619</v>
      </c>
      <c r="J93" s="361">
        <f t="shared" si="39"/>
        <v>10070119.778857479</v>
      </c>
      <c r="K93" s="361">
        <f t="shared" si="39"/>
        <v>10123051.814841438</v>
      </c>
      <c r="L93" s="361">
        <f t="shared" si="39"/>
        <v>10176155.336903099</v>
      </c>
      <c r="M93" s="361">
        <f t="shared" si="39"/>
        <v>10229258.858964758</v>
      </c>
      <c r="N93" s="361">
        <f t="shared" si="39"/>
        <v>10282362.381026419</v>
      </c>
      <c r="O93" s="361">
        <f t="shared" si="39"/>
        <v>10335465.903088078</v>
      </c>
      <c r="P93" s="361">
        <f t="shared" si="39"/>
        <v>10388455.101097938</v>
      </c>
      <c r="Q93" s="361">
        <f t="shared" si="39"/>
        <v>10424181.367285816</v>
      </c>
      <c r="R93" s="361">
        <f t="shared" si="39"/>
        <v>10459907.633473692</v>
      </c>
      <c r="S93" s="361">
        <f t="shared" si="39"/>
        <v>10495633.899661569</v>
      </c>
      <c r="T93" s="361">
        <f t="shared" si="39"/>
        <v>10531360.165849445</v>
      </c>
      <c r="U93" s="361">
        <f t="shared" si="39"/>
        <v>10567029.270011423</v>
      </c>
      <c r="V93" s="361">
        <f t="shared" si="39"/>
        <v>10588579.35377595</v>
      </c>
      <c r="W93" s="361">
        <f t="shared" si="39"/>
        <v>10610129.437540479</v>
      </c>
      <c r="X93" s="361">
        <f t="shared" si="39"/>
        <v>10631679.521305006</v>
      </c>
      <c r="Y93" s="361">
        <f t="shared" si="39"/>
        <v>10653229.605069531</v>
      </c>
      <c r="Z93" s="361">
        <f t="shared" si="39"/>
        <v>10674722.526808159</v>
      </c>
      <c r="AA93" s="361">
        <f t="shared" si="39"/>
        <v>10696272.610572686</v>
      </c>
      <c r="AB93" s="361">
        <f t="shared" si="39"/>
        <v>10717822.694337215</v>
      </c>
      <c r="AC93" s="361">
        <f t="shared" si="39"/>
        <v>10739372.778101742</v>
      </c>
      <c r="AD93" s="361">
        <f t="shared" si="39"/>
        <v>10760922.861866269</v>
      </c>
      <c r="AE93" s="361">
        <f t="shared" si="39"/>
        <v>10782472.945630798</v>
      </c>
      <c r="AF93" s="361">
        <f t="shared" si="39"/>
        <v>10804023.029395325</v>
      </c>
      <c r="AG93" s="361">
        <f t="shared" si="39"/>
        <v>10825573.11315985</v>
      </c>
      <c r="AH93" s="361">
        <f t="shared" si="39"/>
        <v>10847123.196924379</v>
      </c>
      <c r="AI93" s="361">
        <f t="shared" si="39"/>
        <v>10868673.280688906</v>
      </c>
    </row>
    <row r="94" spans="2:35" ht="15" thickBot="1" x14ac:dyDescent="0.4">
      <c r="B94" t="s">
        <v>7</v>
      </c>
      <c r="C94" s="471">
        <v>8.8000000000000007</v>
      </c>
      <c r="D94" s="368">
        <f t="shared" si="35"/>
        <v>105.60000000000001</v>
      </c>
      <c r="E94" s="92"/>
      <c r="F94" s="361">
        <f t="shared" ref="F94:AI94" si="40">F68*$D$94</f>
        <v>715199.00878048781</v>
      </c>
      <c r="G94" s="361">
        <f t="shared" si="40"/>
        <v>713290.51414634159</v>
      </c>
      <c r="H94" s="361">
        <f t="shared" si="40"/>
        <v>711382.01951219514</v>
      </c>
      <c r="I94" s="361">
        <f t="shared" si="40"/>
        <v>709473.5248780488</v>
      </c>
      <c r="J94" s="361">
        <f t="shared" si="40"/>
        <v>707565.03024390247</v>
      </c>
      <c r="K94" s="361">
        <f t="shared" si="40"/>
        <v>705581.69268292678</v>
      </c>
      <c r="L94" s="361">
        <f t="shared" si="40"/>
        <v>702251.18243902444</v>
      </c>
      <c r="M94" s="361">
        <f t="shared" si="40"/>
        <v>698920.672195122</v>
      </c>
      <c r="N94" s="361">
        <f t="shared" si="40"/>
        <v>695590.16195121955</v>
      </c>
      <c r="O94" s="361">
        <f t="shared" si="40"/>
        <v>692259.6517073171</v>
      </c>
      <c r="P94" s="361">
        <f t="shared" si="40"/>
        <v>688891.72</v>
      </c>
      <c r="Q94" s="361">
        <f t="shared" si="40"/>
        <v>684326.30146341468</v>
      </c>
      <c r="R94" s="361">
        <f t="shared" si="40"/>
        <v>679760.88292682928</v>
      </c>
      <c r="S94" s="361">
        <f t="shared" si="40"/>
        <v>675195.46439024387</v>
      </c>
      <c r="T94" s="361">
        <f t="shared" si="40"/>
        <v>670630.04585365858</v>
      </c>
      <c r="U94" s="361">
        <f t="shared" si="40"/>
        <v>665989.78439024393</v>
      </c>
      <c r="V94" s="361">
        <f t="shared" si="40"/>
        <v>661050.15121951222</v>
      </c>
      <c r="W94" s="361">
        <f t="shared" si="40"/>
        <v>656110.5180487805</v>
      </c>
      <c r="X94" s="361">
        <f t="shared" si="40"/>
        <v>651170.88487804879</v>
      </c>
      <c r="Y94" s="361">
        <f t="shared" si="40"/>
        <v>646231.25170731719</v>
      </c>
      <c r="Z94" s="361">
        <f t="shared" si="40"/>
        <v>641366.46146341471</v>
      </c>
      <c r="AA94" s="361">
        <f t="shared" si="40"/>
        <v>636426.828292683</v>
      </c>
      <c r="AB94" s="361">
        <f t="shared" si="40"/>
        <v>631487.19512195128</v>
      </c>
      <c r="AC94" s="361">
        <f t="shared" si="40"/>
        <v>626547.56195121957</v>
      </c>
      <c r="AD94" s="361">
        <f t="shared" si="40"/>
        <v>621607.92878048785</v>
      </c>
      <c r="AE94" s="361">
        <f t="shared" si="40"/>
        <v>616668.29560975614</v>
      </c>
      <c r="AF94" s="361">
        <f t="shared" si="40"/>
        <v>611728.66243902443</v>
      </c>
      <c r="AG94" s="361">
        <f t="shared" si="40"/>
        <v>606789.02926829271</v>
      </c>
      <c r="AH94" s="361">
        <f t="shared" si="40"/>
        <v>601849.396097561</v>
      </c>
      <c r="AI94" s="361">
        <f t="shared" si="40"/>
        <v>596909.76292682928</v>
      </c>
    </row>
    <row r="95" spans="2:35" ht="15" thickBot="1" x14ac:dyDescent="0.4">
      <c r="B95" t="s">
        <v>8</v>
      </c>
      <c r="C95" s="776">
        <v>9.3362116896273264</v>
      </c>
      <c r="D95" s="368">
        <f t="shared" si="35"/>
        <v>112.03454027552792</v>
      </c>
      <c r="E95" s="92"/>
      <c r="F95" s="361">
        <f t="shared" ref="F95:AI95" si="41">F69*$D$95</f>
        <v>595317.57123149128</v>
      </c>
      <c r="G95" s="361">
        <f t="shared" si="41"/>
        <v>600479.84098785056</v>
      </c>
      <c r="H95" s="361">
        <f t="shared" si="41"/>
        <v>605642.11074420984</v>
      </c>
      <c r="I95" s="361">
        <f t="shared" si="41"/>
        <v>610804.38050056912</v>
      </c>
      <c r="J95" s="361">
        <f t="shared" si="41"/>
        <v>615966.65025692841</v>
      </c>
      <c r="K95" s="361">
        <f t="shared" si="41"/>
        <v>621051.87121095392</v>
      </c>
      <c r="L95" s="361">
        <f t="shared" si="41"/>
        <v>625135.45773464104</v>
      </c>
      <c r="M95" s="361">
        <f t="shared" si="41"/>
        <v>629219.04425832827</v>
      </c>
      <c r="N95" s="361">
        <f t="shared" si="41"/>
        <v>633302.63078201551</v>
      </c>
      <c r="O95" s="361">
        <f t="shared" si="41"/>
        <v>637386.21730570262</v>
      </c>
      <c r="P95" s="361">
        <f t="shared" si="41"/>
        <v>641508.3282305568</v>
      </c>
      <c r="Q95" s="361">
        <f t="shared" si="41"/>
        <v>644782.90232973988</v>
      </c>
      <c r="R95" s="361">
        <f t="shared" si="41"/>
        <v>648057.47642892296</v>
      </c>
      <c r="S95" s="361">
        <f t="shared" si="41"/>
        <v>651332.05052810605</v>
      </c>
      <c r="T95" s="361">
        <f t="shared" si="41"/>
        <v>654606.62462728925</v>
      </c>
      <c r="U95" s="361">
        <f t="shared" si="41"/>
        <v>657919.72312763915</v>
      </c>
      <c r="V95" s="361">
        <f t="shared" si="41"/>
        <v>660038.56519181642</v>
      </c>
      <c r="W95" s="361">
        <f t="shared" si="41"/>
        <v>662157.40725599381</v>
      </c>
      <c r="X95" s="361">
        <f t="shared" si="41"/>
        <v>664276.24932017107</v>
      </c>
      <c r="Y95" s="361">
        <f t="shared" si="41"/>
        <v>666395.09138434834</v>
      </c>
      <c r="Z95" s="361">
        <f t="shared" si="41"/>
        <v>668552.45784969255</v>
      </c>
      <c r="AA95" s="361">
        <f t="shared" si="41"/>
        <v>670671.29991386982</v>
      </c>
      <c r="AB95" s="361">
        <f t="shared" si="41"/>
        <v>672790.14197804721</v>
      </c>
      <c r="AC95" s="361">
        <f t="shared" si="41"/>
        <v>674908.98404222447</v>
      </c>
      <c r="AD95" s="361">
        <f t="shared" si="41"/>
        <v>677027.82610640186</v>
      </c>
      <c r="AE95" s="361">
        <f t="shared" si="41"/>
        <v>679146.66817057924</v>
      </c>
      <c r="AF95" s="361">
        <f t="shared" si="41"/>
        <v>681265.51023475651</v>
      </c>
      <c r="AG95" s="361">
        <f t="shared" si="41"/>
        <v>683384.35229893378</v>
      </c>
      <c r="AH95" s="361">
        <f t="shared" si="41"/>
        <v>685503.19436311116</v>
      </c>
      <c r="AI95" s="361">
        <f t="shared" si="41"/>
        <v>687622.03642728843</v>
      </c>
    </row>
    <row r="96" spans="2:35" x14ac:dyDescent="0.35">
      <c r="B96" t="s">
        <v>9</v>
      </c>
      <c r="C96" s="1794">
        <v>10.050812628990478</v>
      </c>
      <c r="D96" s="1795">
        <f t="shared" si="35"/>
        <v>120.60975154788574</v>
      </c>
      <c r="E96" s="92"/>
      <c r="F96" s="1796">
        <f t="shared" ref="F96:AI96" si="42">F70*$D$96</f>
        <v>526477.13102229172</v>
      </c>
      <c r="G96" s="1796">
        <f t="shared" si="42"/>
        <v>531114.77577615844</v>
      </c>
      <c r="H96" s="1796">
        <f t="shared" si="42"/>
        <v>535752.42053002515</v>
      </c>
      <c r="I96" s="1796">
        <f t="shared" si="42"/>
        <v>540390.06528389186</v>
      </c>
      <c r="J96" s="1796">
        <f t="shared" si="42"/>
        <v>545027.71003775846</v>
      </c>
      <c r="K96" s="1796">
        <f t="shared" si="42"/>
        <v>549748.91595836158</v>
      </c>
      <c r="L96" s="1796">
        <f t="shared" si="42"/>
        <v>553676.29079496942</v>
      </c>
      <c r="M96" s="1796">
        <f t="shared" si="42"/>
        <v>557603.66563157726</v>
      </c>
      <c r="N96" s="1796">
        <f t="shared" si="42"/>
        <v>561531.04046818509</v>
      </c>
      <c r="O96" s="1796">
        <f t="shared" si="42"/>
        <v>565458.41530479293</v>
      </c>
      <c r="P96" s="1796">
        <f t="shared" si="42"/>
        <v>569344.00955803262</v>
      </c>
      <c r="Q96" s="1796">
        <f t="shared" si="42"/>
        <v>572101.52806033171</v>
      </c>
      <c r="R96" s="1796">
        <f t="shared" si="42"/>
        <v>574859.0465626308</v>
      </c>
      <c r="S96" s="1796">
        <f t="shared" si="42"/>
        <v>577616.56506493001</v>
      </c>
      <c r="T96" s="1796">
        <f t="shared" si="42"/>
        <v>580374.0835672291</v>
      </c>
      <c r="U96" s="1796">
        <f t="shared" si="42"/>
        <v>583215.16323626461</v>
      </c>
      <c r="V96" s="1796">
        <f t="shared" si="42"/>
        <v>585220.63123793667</v>
      </c>
      <c r="W96" s="1796">
        <f t="shared" si="42"/>
        <v>587226.09923960874</v>
      </c>
      <c r="X96" s="1796">
        <f t="shared" si="42"/>
        <v>589231.56724128081</v>
      </c>
      <c r="Y96" s="1796">
        <f t="shared" si="42"/>
        <v>591237.03524295287</v>
      </c>
      <c r="Z96" s="1796">
        <f t="shared" si="42"/>
        <v>593326.06441136135</v>
      </c>
      <c r="AA96" s="1796">
        <f t="shared" si="42"/>
        <v>595331.53241303342</v>
      </c>
      <c r="AB96" s="1796">
        <f t="shared" si="42"/>
        <v>597337.0004147056</v>
      </c>
      <c r="AC96" s="1796">
        <f t="shared" si="42"/>
        <v>599342.46841637767</v>
      </c>
      <c r="AD96" s="1796">
        <f t="shared" si="42"/>
        <v>601347.93641804962</v>
      </c>
      <c r="AE96" s="1796">
        <f t="shared" si="42"/>
        <v>603353.4044197218</v>
      </c>
      <c r="AF96" s="1796">
        <f t="shared" si="42"/>
        <v>605358.87242139387</v>
      </c>
      <c r="AG96" s="1796">
        <f t="shared" si="42"/>
        <v>607364.34042306605</v>
      </c>
      <c r="AH96" s="1796">
        <f t="shared" si="42"/>
        <v>609369.80842473812</v>
      </c>
      <c r="AI96" s="1796">
        <f t="shared" si="42"/>
        <v>611375.27642641007</v>
      </c>
    </row>
    <row r="97" spans="2:35" x14ac:dyDescent="0.35">
      <c r="B97" s="81" t="s">
        <v>200</v>
      </c>
      <c r="C97" s="81"/>
      <c r="D97" s="85"/>
      <c r="E97" s="85"/>
      <c r="F97" s="362">
        <f t="shared" ref="F97:AI97" si="43">SUM(F88:F96)</f>
        <v>15319526.844905471</v>
      </c>
      <c r="G97" s="362">
        <f t="shared" si="43"/>
        <v>15389496.824053632</v>
      </c>
      <c r="H97" s="362">
        <f t="shared" si="43"/>
        <v>15459466.803201793</v>
      </c>
      <c r="I97" s="362">
        <f t="shared" si="43"/>
        <v>15529436.782349955</v>
      </c>
      <c r="J97" s="362">
        <f t="shared" si="43"/>
        <v>15599406.761498114</v>
      </c>
      <c r="K97" s="362">
        <f t="shared" si="43"/>
        <v>15669358.187696127</v>
      </c>
      <c r="L97" s="362">
        <f t="shared" si="43"/>
        <v>15729664.155035082</v>
      </c>
      <c r="M97" s="362">
        <f t="shared" si="43"/>
        <v>15789970.122374037</v>
      </c>
      <c r="N97" s="362">
        <f t="shared" si="43"/>
        <v>15850276.089712994</v>
      </c>
      <c r="O97" s="362">
        <f t="shared" si="43"/>
        <v>15910582.057051951</v>
      </c>
      <c r="P97" s="362">
        <f t="shared" si="43"/>
        <v>15970854.239900773</v>
      </c>
      <c r="Q97" s="362">
        <f t="shared" si="43"/>
        <v>16005211.602199193</v>
      </c>
      <c r="R97" s="362">
        <f t="shared" si="43"/>
        <v>16039568.964497613</v>
      </c>
      <c r="S97" s="362">
        <f t="shared" si="43"/>
        <v>16073926.326796032</v>
      </c>
      <c r="T97" s="362">
        <f t="shared" si="43"/>
        <v>16108283.68909445</v>
      </c>
      <c r="U97" s="362">
        <f t="shared" si="43"/>
        <v>16142871.489447875</v>
      </c>
      <c r="V97" s="362">
        <f t="shared" si="43"/>
        <v>16155826.271367189</v>
      </c>
      <c r="W97" s="362">
        <f t="shared" si="43"/>
        <v>16168781.053286506</v>
      </c>
      <c r="X97" s="362">
        <f t="shared" si="43"/>
        <v>16181735.835205821</v>
      </c>
      <c r="Y97" s="362">
        <f t="shared" si="43"/>
        <v>16194690.617125131</v>
      </c>
      <c r="Z97" s="362">
        <f t="shared" si="43"/>
        <v>16207602.976648573</v>
      </c>
      <c r="AA97" s="362">
        <f t="shared" si="43"/>
        <v>16220557.758567888</v>
      </c>
      <c r="AB97" s="362">
        <f t="shared" si="43"/>
        <v>16233512.540487202</v>
      </c>
      <c r="AC97" s="362">
        <f t="shared" si="43"/>
        <v>16246467.322406515</v>
      </c>
      <c r="AD97" s="362">
        <f t="shared" si="43"/>
        <v>16259422.104325829</v>
      </c>
      <c r="AE97" s="362">
        <f t="shared" si="43"/>
        <v>16272376.886245146</v>
      </c>
      <c r="AF97" s="362">
        <f t="shared" si="43"/>
        <v>16285331.66816446</v>
      </c>
      <c r="AG97" s="362">
        <f t="shared" si="43"/>
        <v>16298286.450083774</v>
      </c>
      <c r="AH97" s="362">
        <f t="shared" si="43"/>
        <v>16311241.232003089</v>
      </c>
      <c r="AI97" s="362">
        <f t="shared" si="43"/>
        <v>16324196.013922404</v>
      </c>
    </row>
    <row r="98" spans="2:35" ht="15" thickBot="1" x14ac:dyDescent="0.4">
      <c r="D98" s="1324"/>
      <c r="E98" s="804"/>
    </row>
    <row r="99" spans="2:35" x14ac:dyDescent="0.35">
      <c r="B99" s="770" t="s">
        <v>284</v>
      </c>
      <c r="C99" s="599"/>
      <c r="D99" s="599"/>
      <c r="E99" s="599"/>
      <c r="F99" s="599"/>
      <c r="G99" s="599"/>
    </row>
    <row r="100" spans="2:35" x14ac:dyDescent="0.35">
      <c r="B100" s="766" t="s">
        <v>289</v>
      </c>
      <c r="C100" s="599"/>
      <c r="D100" s="599"/>
      <c r="E100" s="599"/>
      <c r="F100" s="599"/>
      <c r="G100" s="599"/>
    </row>
    <row r="101" spans="2:35" x14ac:dyDescent="0.35">
      <c r="B101" s="599" t="s">
        <v>315</v>
      </c>
      <c r="C101" s="599"/>
      <c r="D101" s="599"/>
      <c r="E101" s="599"/>
      <c r="F101" s="599"/>
      <c r="G101" s="599"/>
    </row>
    <row r="102" spans="2:35" x14ac:dyDescent="0.35">
      <c r="B102" s="600" t="s">
        <v>303</v>
      </c>
      <c r="C102" s="599"/>
      <c r="D102" s="599"/>
      <c r="E102" s="599"/>
      <c r="F102" s="599"/>
      <c r="G102" s="599"/>
    </row>
    <row r="103" spans="2:35" x14ac:dyDescent="0.35">
      <c r="B103" s="766" t="s">
        <v>316</v>
      </c>
      <c r="C103" s="599"/>
      <c r="D103" s="599"/>
      <c r="E103" s="599"/>
      <c r="F103" s="599"/>
      <c r="G103" s="599"/>
    </row>
    <row r="104" spans="2:35" x14ac:dyDescent="0.35">
      <c r="B104" s="766" t="s">
        <v>317</v>
      </c>
      <c r="C104" s="599"/>
      <c r="D104" s="599"/>
      <c r="E104" s="599"/>
      <c r="F104" s="599"/>
      <c r="G104" s="599"/>
    </row>
    <row r="105" spans="2:35" x14ac:dyDescent="0.35">
      <c r="B105" s="766" t="s">
        <v>318</v>
      </c>
      <c r="C105" s="599"/>
      <c r="D105" s="599"/>
      <c r="E105" s="599"/>
      <c r="F105" s="599"/>
      <c r="G105" s="599"/>
    </row>
    <row r="106" spans="2:35" x14ac:dyDescent="0.35">
      <c r="B106" s="766" t="s">
        <v>319</v>
      </c>
      <c r="C106" s="599"/>
      <c r="D106" s="599"/>
      <c r="E106" s="599"/>
      <c r="F106" s="599"/>
      <c r="G106" s="599"/>
    </row>
    <row r="107" spans="2:35" x14ac:dyDescent="0.35">
      <c r="B107" s="766" t="s">
        <v>320</v>
      </c>
      <c r="C107" s="599"/>
      <c r="D107" s="599"/>
      <c r="E107" s="599"/>
      <c r="F107" s="599"/>
      <c r="G107" s="599"/>
    </row>
    <row r="108" spans="2:35" x14ac:dyDescent="0.35">
      <c r="B108" s="600" t="s">
        <v>321</v>
      </c>
      <c r="C108" s="599"/>
      <c r="D108" s="599"/>
      <c r="E108" s="599"/>
      <c r="F108" s="599"/>
      <c r="G108" s="599"/>
    </row>
    <row r="111" spans="2:35" ht="18.5" x14ac:dyDescent="0.45">
      <c r="B111" s="102" t="s">
        <v>322</v>
      </c>
    </row>
    <row r="112" spans="2:35" x14ac:dyDescent="0.35">
      <c r="B112" t="s">
        <v>323</v>
      </c>
    </row>
    <row r="113" spans="2:8" ht="15" thickBot="1" x14ac:dyDescent="0.4">
      <c r="B113" s="48" t="s">
        <v>324</v>
      </c>
      <c r="C113" s="472">
        <v>3.2199999999999999E-2</v>
      </c>
    </row>
    <row r="114" spans="2:8" ht="15" thickBot="1" x14ac:dyDescent="0.4">
      <c r="B114" t="s">
        <v>325</v>
      </c>
      <c r="C114" s="473">
        <v>3.5000000000000003E-2</v>
      </c>
    </row>
    <row r="115" spans="2:8" x14ac:dyDescent="0.35">
      <c r="B115" t="s">
        <v>326</v>
      </c>
      <c r="C115" s="474">
        <v>4.5199999999999997E-2</v>
      </c>
    </row>
    <row r="116" spans="2:8" x14ac:dyDescent="0.35">
      <c r="B116" s="104" t="s">
        <v>327</v>
      </c>
      <c r="C116" s="371">
        <f>AVERAGE(C113:C115)</f>
        <v>3.7466666666666669E-2</v>
      </c>
    </row>
    <row r="117" spans="2:8" x14ac:dyDescent="0.35">
      <c r="B117" s="601" t="s">
        <v>284</v>
      </c>
      <c r="C117" s="602"/>
      <c r="D117" s="599"/>
      <c r="E117" s="599"/>
      <c r="F117" s="599"/>
      <c r="G117" s="599"/>
      <c r="H117" s="599"/>
    </row>
    <row r="118" spans="2:8" x14ac:dyDescent="0.35">
      <c r="B118" s="603" t="s">
        <v>328</v>
      </c>
      <c r="C118" s="599"/>
      <c r="D118" s="599"/>
      <c r="E118" s="599"/>
      <c r="F118" s="599"/>
      <c r="G118" s="599"/>
      <c r="H118" s="599"/>
    </row>
    <row r="119" spans="2:8" x14ac:dyDescent="0.35">
      <c r="B119" s="604" t="s">
        <v>329</v>
      </c>
      <c r="C119" s="599"/>
      <c r="D119" s="599"/>
      <c r="E119" s="599"/>
      <c r="F119" s="599"/>
      <c r="G119" s="599"/>
      <c r="H119" s="599"/>
    </row>
    <row r="120" spans="2:8" x14ac:dyDescent="0.35">
      <c r="B120" s="603" t="s">
        <v>330</v>
      </c>
      <c r="C120" s="599"/>
      <c r="D120" s="599"/>
      <c r="E120" s="599"/>
      <c r="F120" s="599"/>
      <c r="G120" s="599"/>
      <c r="H120" s="599"/>
    </row>
    <row r="127" spans="2:8" ht="18.5" x14ac:dyDescent="0.45">
      <c r="B127" s="102" t="s">
        <v>331</v>
      </c>
    </row>
    <row r="129" spans="2:35" ht="15.5" x14ac:dyDescent="0.35">
      <c r="B129" s="86" t="s">
        <v>1</v>
      </c>
    </row>
    <row r="130" spans="2:35" x14ac:dyDescent="0.35">
      <c r="B130" s="780" t="s">
        <v>273</v>
      </c>
      <c r="C130" s="780"/>
      <c r="D130" s="780"/>
      <c r="E130" s="780"/>
      <c r="F130" s="1727">
        <v>1</v>
      </c>
      <c r="G130" s="1727">
        <f>F130+1</f>
        <v>2</v>
      </c>
      <c r="H130" s="1727">
        <f t="shared" ref="H130" si="44">G130+1</f>
        <v>3</v>
      </c>
      <c r="I130" s="1727">
        <f t="shared" ref="I130" si="45">H130+1</f>
        <v>4</v>
      </c>
      <c r="J130" s="1727">
        <f t="shared" ref="J130" si="46">I130+1</f>
        <v>5</v>
      </c>
      <c r="K130" s="1727">
        <f t="shared" ref="K130" si="47">J130+1</f>
        <v>6</v>
      </c>
      <c r="L130" s="1727">
        <f t="shared" ref="L130" si="48">K130+1</f>
        <v>7</v>
      </c>
      <c r="M130" s="1727">
        <f t="shared" ref="M130" si="49">L130+1</f>
        <v>8</v>
      </c>
      <c r="N130" s="1727">
        <f t="shared" ref="N130" si="50">M130+1</f>
        <v>9</v>
      </c>
      <c r="O130" s="1727">
        <f t="shared" ref="O130" si="51">N130+1</f>
        <v>10</v>
      </c>
      <c r="P130" s="1727">
        <f t="shared" ref="P130" si="52">O130+1</f>
        <v>11</v>
      </c>
      <c r="Q130" s="1727">
        <f t="shared" ref="Q130" si="53">P130+1</f>
        <v>12</v>
      </c>
      <c r="R130" s="1727">
        <f t="shared" ref="R130" si="54">Q130+1</f>
        <v>13</v>
      </c>
      <c r="S130" s="1727">
        <f t="shared" ref="S130" si="55">R130+1</f>
        <v>14</v>
      </c>
      <c r="T130" s="1727">
        <f t="shared" ref="T130" si="56">S130+1</f>
        <v>15</v>
      </c>
      <c r="U130" s="1727">
        <f t="shared" ref="U130" si="57">T130+1</f>
        <v>16</v>
      </c>
      <c r="V130" s="1727">
        <f t="shared" ref="V130" si="58">U130+1</f>
        <v>17</v>
      </c>
      <c r="W130" s="1727">
        <f t="shared" ref="W130" si="59">V130+1</f>
        <v>18</v>
      </c>
      <c r="X130" s="1727">
        <f t="shared" ref="X130" si="60">W130+1</f>
        <v>19</v>
      </c>
      <c r="Y130" s="1727">
        <f t="shared" ref="Y130" si="61">X130+1</f>
        <v>20</v>
      </c>
      <c r="Z130" s="1727">
        <f t="shared" ref="Z130" si="62">Y130+1</f>
        <v>21</v>
      </c>
      <c r="AA130" s="1727">
        <f t="shared" ref="AA130" si="63">Z130+1</f>
        <v>22</v>
      </c>
      <c r="AB130" s="1727">
        <f t="shared" ref="AB130" si="64">AA130+1</f>
        <v>23</v>
      </c>
      <c r="AC130" s="1727">
        <f t="shared" ref="AC130" si="65">AB130+1</f>
        <v>24</v>
      </c>
      <c r="AD130" s="1727">
        <f t="shared" ref="AD130" si="66">AC130+1</f>
        <v>25</v>
      </c>
      <c r="AE130" s="1727">
        <f t="shared" ref="AE130" si="67">AD130+1</f>
        <v>26</v>
      </c>
      <c r="AF130" s="1727">
        <f t="shared" ref="AF130" si="68">AE130+1</f>
        <v>27</v>
      </c>
      <c r="AG130" s="1727">
        <f t="shared" ref="AG130" si="69">AF130+1</f>
        <v>28</v>
      </c>
      <c r="AH130" s="1727">
        <f t="shared" ref="AH130" si="70">AG130+1</f>
        <v>29</v>
      </c>
      <c r="AI130" s="1727">
        <f t="shared" ref="AI130" si="71">AH130+1</f>
        <v>30</v>
      </c>
    </row>
    <row r="131" spans="2:35" x14ac:dyDescent="0.35">
      <c r="B131" s="78" t="s">
        <v>276</v>
      </c>
      <c r="C131" s="78"/>
      <c r="D131" s="78"/>
      <c r="E131" s="78"/>
      <c r="F131" s="1728">
        <f t="shared" ref="F131:AI131" si="72">F62*$C$8</f>
        <v>277.45622258949624</v>
      </c>
      <c r="G131" s="1728">
        <f t="shared" si="72"/>
        <v>275.88096015995711</v>
      </c>
      <c r="H131" s="1728">
        <f t="shared" si="72"/>
        <v>274.30569773041793</v>
      </c>
      <c r="I131" s="1728">
        <f t="shared" si="72"/>
        <v>272.73043530087881</v>
      </c>
      <c r="J131" s="1728">
        <f t="shared" si="72"/>
        <v>271.15517287133963</v>
      </c>
      <c r="K131" s="1728">
        <f t="shared" si="72"/>
        <v>269.57991044180045</v>
      </c>
      <c r="L131" s="1728">
        <f t="shared" si="72"/>
        <v>267.58457803105085</v>
      </c>
      <c r="M131" s="1728">
        <f t="shared" si="72"/>
        <v>265.58924562030131</v>
      </c>
      <c r="N131" s="1728">
        <f t="shared" si="72"/>
        <v>263.59391320955166</v>
      </c>
      <c r="O131" s="1728">
        <f t="shared" si="72"/>
        <v>261.59858079880206</v>
      </c>
      <c r="P131" s="1728">
        <f t="shared" si="72"/>
        <v>259.81328337865773</v>
      </c>
      <c r="Q131" s="1728">
        <f t="shared" si="72"/>
        <v>257.50289848200032</v>
      </c>
      <c r="R131" s="1728">
        <f t="shared" si="72"/>
        <v>255.19251358534285</v>
      </c>
      <c r="S131" s="1728">
        <f t="shared" si="72"/>
        <v>252.88212868868544</v>
      </c>
      <c r="T131" s="1728">
        <f t="shared" si="72"/>
        <v>250.571743792028</v>
      </c>
      <c r="U131" s="1728">
        <f t="shared" si="72"/>
        <v>248.3663763906732</v>
      </c>
      <c r="V131" s="1728">
        <f t="shared" si="72"/>
        <v>245.95097399871318</v>
      </c>
      <c r="W131" s="1728">
        <f t="shared" si="72"/>
        <v>243.53557160675314</v>
      </c>
      <c r="X131" s="1728">
        <f t="shared" si="72"/>
        <v>241.12016921479309</v>
      </c>
      <c r="Y131" s="1728">
        <f t="shared" si="72"/>
        <v>238.70476682283305</v>
      </c>
      <c r="Z131" s="1728">
        <f t="shared" si="72"/>
        <v>236.0793294402678</v>
      </c>
      <c r="AA131" s="1728">
        <f t="shared" si="72"/>
        <v>233.66392704830778</v>
      </c>
      <c r="AB131" s="1728">
        <f t="shared" si="72"/>
        <v>231.24852465634774</v>
      </c>
      <c r="AC131" s="1728">
        <f t="shared" si="72"/>
        <v>228.8331222643877</v>
      </c>
      <c r="AD131" s="1728">
        <f t="shared" si="72"/>
        <v>226.41771987242768</v>
      </c>
      <c r="AE131" s="1728">
        <f t="shared" si="72"/>
        <v>224.00231748046764</v>
      </c>
      <c r="AF131" s="1728">
        <f t="shared" si="72"/>
        <v>221.5869150885076</v>
      </c>
      <c r="AG131" s="1728">
        <f t="shared" si="72"/>
        <v>219.17151269654755</v>
      </c>
      <c r="AH131" s="1728">
        <f t="shared" si="72"/>
        <v>216.75611030458751</v>
      </c>
      <c r="AI131" s="1728">
        <f t="shared" si="72"/>
        <v>214.34070791262749</v>
      </c>
    </row>
    <row r="132" spans="2:35" x14ac:dyDescent="0.35">
      <c r="B132" s="78" t="s">
        <v>277</v>
      </c>
      <c r="C132" s="78"/>
      <c r="D132" s="78"/>
      <c r="E132" s="78"/>
      <c r="F132" s="1728">
        <f t="shared" ref="F132:AI132" si="73">F62*$C$9</f>
        <v>43.361131872214159</v>
      </c>
      <c r="G132" s="1728">
        <f t="shared" si="73"/>
        <v>43.114948307458974</v>
      </c>
      <c r="H132" s="1728">
        <f t="shared" si="73"/>
        <v>42.868764742703782</v>
      </c>
      <c r="I132" s="1728">
        <f t="shared" si="73"/>
        <v>42.622581177948597</v>
      </c>
      <c r="J132" s="1728">
        <f t="shared" si="73"/>
        <v>42.376397613193397</v>
      </c>
      <c r="K132" s="1728">
        <f t="shared" si="73"/>
        <v>42.130214048438212</v>
      </c>
      <c r="L132" s="1728">
        <f t="shared" si="73"/>
        <v>41.818381533081634</v>
      </c>
      <c r="M132" s="1728">
        <f t="shared" si="73"/>
        <v>41.506549017725064</v>
      </c>
      <c r="N132" s="1728">
        <f t="shared" si="73"/>
        <v>41.194716502368486</v>
      </c>
      <c r="O132" s="1728">
        <f t="shared" si="73"/>
        <v>40.882883987011908</v>
      </c>
      <c r="P132" s="1728">
        <f t="shared" si="73"/>
        <v>40.60387594695603</v>
      </c>
      <c r="Q132" s="1728">
        <f t="shared" si="73"/>
        <v>40.242806718648417</v>
      </c>
      <c r="R132" s="1728">
        <f t="shared" si="73"/>
        <v>39.881737490340804</v>
      </c>
      <c r="S132" s="1728">
        <f t="shared" si="73"/>
        <v>39.520668262033197</v>
      </c>
      <c r="T132" s="1728">
        <f t="shared" si="73"/>
        <v>39.159599033725584</v>
      </c>
      <c r="U132" s="1728">
        <f t="shared" si="73"/>
        <v>38.814942043068314</v>
      </c>
      <c r="V132" s="1728">
        <f t="shared" si="73"/>
        <v>38.437460577110357</v>
      </c>
      <c r="W132" s="1728">
        <f t="shared" si="73"/>
        <v>38.059979111152401</v>
      </c>
      <c r="X132" s="1728">
        <f t="shared" si="73"/>
        <v>37.682497645194438</v>
      </c>
      <c r="Y132" s="1728">
        <f t="shared" si="73"/>
        <v>37.305016179236482</v>
      </c>
      <c r="Z132" s="1728">
        <f t="shared" si="73"/>
        <v>36.894710237977833</v>
      </c>
      <c r="AA132" s="1728">
        <f t="shared" si="73"/>
        <v>36.517228772019877</v>
      </c>
      <c r="AB132" s="1728">
        <f t="shared" si="73"/>
        <v>36.139747306061921</v>
      </c>
      <c r="AC132" s="1728">
        <f t="shared" si="73"/>
        <v>35.762265840103957</v>
      </c>
      <c r="AD132" s="1728">
        <f t="shared" si="73"/>
        <v>35.384784374146001</v>
      </c>
      <c r="AE132" s="1728">
        <f t="shared" si="73"/>
        <v>35.007302908188045</v>
      </c>
      <c r="AF132" s="1728">
        <f t="shared" si="73"/>
        <v>34.629821442230082</v>
      </c>
      <c r="AG132" s="1728">
        <f t="shared" si="73"/>
        <v>34.252339976272125</v>
      </c>
      <c r="AH132" s="1728">
        <f t="shared" si="73"/>
        <v>33.874858510314169</v>
      </c>
      <c r="AI132" s="1728">
        <f t="shared" si="73"/>
        <v>33.497377044356206</v>
      </c>
    </row>
    <row r="133" spans="2:35" x14ac:dyDescent="0.35">
      <c r="B133" s="78" t="s">
        <v>278</v>
      </c>
      <c r="C133" s="78"/>
      <c r="D133" s="78"/>
      <c r="E133" s="78"/>
      <c r="F133" s="1728">
        <f t="shared" ref="F133:AI133" si="74">F62*$C$10</f>
        <v>189.53851133316465</v>
      </c>
      <c r="G133" s="1728">
        <f>G62*$C$10</f>
        <v>188.46240320674627</v>
      </c>
      <c r="H133" s="1728">
        <f t="shared" si="74"/>
        <v>187.38629508032781</v>
      </c>
      <c r="I133" s="1728">
        <f t="shared" si="74"/>
        <v>186.31018695390944</v>
      </c>
      <c r="J133" s="1728">
        <f t="shared" si="74"/>
        <v>185.23407882749098</v>
      </c>
      <c r="K133" s="1728">
        <f t="shared" si="74"/>
        <v>184.15797070107257</v>
      </c>
      <c r="L133" s="1728">
        <f t="shared" si="74"/>
        <v>182.79490040760922</v>
      </c>
      <c r="M133" s="1728">
        <f t="shared" si="74"/>
        <v>181.4318301141459</v>
      </c>
      <c r="N133" s="1728">
        <f t="shared" si="74"/>
        <v>180.06875982068257</v>
      </c>
      <c r="O133" s="1728">
        <f t="shared" si="74"/>
        <v>178.70568952721922</v>
      </c>
      <c r="P133" s="1728">
        <f t="shared" si="74"/>
        <v>177.48610031727836</v>
      </c>
      <c r="Q133" s="1728">
        <f t="shared" si="74"/>
        <v>175.90780839853133</v>
      </c>
      <c r="R133" s="1728">
        <f t="shared" si="74"/>
        <v>174.3295164797843</v>
      </c>
      <c r="S133" s="1728">
        <f t="shared" si="74"/>
        <v>172.7512245610373</v>
      </c>
      <c r="T133" s="1728">
        <f t="shared" si="74"/>
        <v>171.17293264229028</v>
      </c>
      <c r="U133" s="1728">
        <f t="shared" si="74"/>
        <v>169.66638126530449</v>
      </c>
      <c r="V133" s="1728">
        <f t="shared" si="74"/>
        <v>168.01634880479625</v>
      </c>
      <c r="W133" s="1728">
        <f t="shared" si="74"/>
        <v>166.36631634428798</v>
      </c>
      <c r="X133" s="1728">
        <f t="shared" si="74"/>
        <v>164.71628388377974</v>
      </c>
      <c r="Y133" s="1728">
        <f t="shared" si="74"/>
        <v>163.0662514232715</v>
      </c>
      <c r="Z133" s="1728">
        <f t="shared" si="74"/>
        <v>161.27273787924079</v>
      </c>
      <c r="AA133" s="1728">
        <f t="shared" si="74"/>
        <v>159.62270541873255</v>
      </c>
      <c r="AB133" s="1728">
        <f t="shared" si="74"/>
        <v>157.97267295822431</v>
      </c>
      <c r="AC133" s="1728">
        <f t="shared" si="74"/>
        <v>156.32264049771607</v>
      </c>
      <c r="AD133" s="1728">
        <f t="shared" si="74"/>
        <v>154.67260803720782</v>
      </c>
      <c r="AE133" s="1728">
        <f t="shared" si="74"/>
        <v>153.02257557669958</v>
      </c>
      <c r="AF133" s="1728">
        <f t="shared" si="74"/>
        <v>151.37254311619131</v>
      </c>
      <c r="AG133" s="1728">
        <f t="shared" si="74"/>
        <v>149.72251065568307</v>
      </c>
      <c r="AH133" s="1728">
        <f t="shared" si="74"/>
        <v>148.07247819517482</v>
      </c>
      <c r="AI133" s="1728">
        <f t="shared" si="74"/>
        <v>146.42244573466658</v>
      </c>
    </row>
    <row r="134" spans="2:35" x14ac:dyDescent="0.35">
      <c r="B134" s="78" t="s">
        <v>279</v>
      </c>
      <c r="C134" s="78"/>
      <c r="D134" s="78"/>
      <c r="E134" s="78"/>
      <c r="F134" s="1728">
        <f t="shared" ref="F134:AI134" si="75">F62*$C$11</f>
        <v>217.95033692192575</v>
      </c>
      <c r="G134" s="1728">
        <f t="shared" si="75"/>
        <v>216.7129201718013</v>
      </c>
      <c r="H134" s="1728">
        <f t="shared" si="75"/>
        <v>215.47550342167679</v>
      </c>
      <c r="I134" s="1728">
        <f t="shared" si="75"/>
        <v>214.23808667155234</v>
      </c>
      <c r="J134" s="1728">
        <f t="shared" si="75"/>
        <v>213.00066992142783</v>
      </c>
      <c r="K134" s="1728">
        <f t="shared" si="75"/>
        <v>211.76325317130335</v>
      </c>
      <c r="L134" s="1728">
        <f t="shared" si="75"/>
        <v>210.19585862114567</v>
      </c>
      <c r="M134" s="1728">
        <f t="shared" si="75"/>
        <v>208.628464070988</v>
      </c>
      <c r="N134" s="1728">
        <f t="shared" si="75"/>
        <v>207.0610695208303</v>
      </c>
      <c r="O134" s="1728">
        <f t="shared" si="75"/>
        <v>205.49367497067263</v>
      </c>
      <c r="P134" s="1728">
        <f t="shared" si="75"/>
        <v>204.09126932053155</v>
      </c>
      <c r="Q134" s="1728">
        <f t="shared" si="75"/>
        <v>202.27639142034897</v>
      </c>
      <c r="R134" s="1728">
        <f t="shared" si="75"/>
        <v>200.46151352016639</v>
      </c>
      <c r="S134" s="1728">
        <f t="shared" si="75"/>
        <v>198.64663561998381</v>
      </c>
      <c r="T134" s="1728">
        <f t="shared" si="75"/>
        <v>196.83175771980123</v>
      </c>
      <c r="U134" s="1728">
        <f t="shared" si="75"/>
        <v>195.09937426962696</v>
      </c>
      <c r="V134" s="1728">
        <f t="shared" si="75"/>
        <v>193.2020019194361</v>
      </c>
      <c r="W134" s="1728">
        <f t="shared" si="75"/>
        <v>191.30462956924521</v>
      </c>
      <c r="X134" s="1728">
        <f t="shared" si="75"/>
        <v>189.40725721905434</v>
      </c>
      <c r="Y134" s="1728">
        <f t="shared" si="75"/>
        <v>187.50988486886345</v>
      </c>
      <c r="Z134" s="1728">
        <f t="shared" si="75"/>
        <v>185.44752361865596</v>
      </c>
      <c r="AA134" s="1728">
        <f t="shared" si="75"/>
        <v>183.55015126846513</v>
      </c>
      <c r="AB134" s="1728">
        <f t="shared" si="75"/>
        <v>181.65277891827424</v>
      </c>
      <c r="AC134" s="1728">
        <f t="shared" si="75"/>
        <v>179.75540656808337</v>
      </c>
      <c r="AD134" s="1728">
        <f t="shared" si="75"/>
        <v>177.85803421789248</v>
      </c>
      <c r="AE134" s="1728">
        <f t="shared" si="75"/>
        <v>175.96066186770162</v>
      </c>
      <c r="AF134" s="1728">
        <f t="shared" si="75"/>
        <v>174.06328951751075</v>
      </c>
      <c r="AG134" s="1728">
        <f t="shared" si="75"/>
        <v>172.16591716731986</v>
      </c>
      <c r="AH134" s="1728">
        <f t="shared" si="75"/>
        <v>170.268544817129</v>
      </c>
      <c r="AI134" s="1728">
        <f t="shared" si="75"/>
        <v>168.37117246693811</v>
      </c>
    </row>
    <row r="135" spans="2:35" x14ac:dyDescent="0.35">
      <c r="B135" s="78" t="s">
        <v>280</v>
      </c>
      <c r="C135" s="78"/>
      <c r="D135" s="78"/>
      <c r="E135" s="78"/>
      <c r="F135" s="1728">
        <f t="shared" ref="F135:AI135" si="76">F62*$C$12</f>
        <v>160.90330618050007</v>
      </c>
      <c r="G135" s="1728">
        <f t="shared" si="76"/>
        <v>159.98977491906652</v>
      </c>
      <c r="H135" s="1728">
        <f t="shared" si="76"/>
        <v>159.07624365763294</v>
      </c>
      <c r="I135" s="1728">
        <f t="shared" si="76"/>
        <v>158.16271239619937</v>
      </c>
      <c r="J135" s="1728">
        <f t="shared" si="76"/>
        <v>157.24918113476579</v>
      </c>
      <c r="K135" s="1728">
        <f t="shared" si="76"/>
        <v>156.33564987333222</v>
      </c>
      <c r="L135" s="1728">
        <f t="shared" si="76"/>
        <v>155.17851027551635</v>
      </c>
      <c r="M135" s="1728">
        <f t="shared" si="76"/>
        <v>154.0213706777005</v>
      </c>
      <c r="N135" s="1728">
        <f t="shared" si="76"/>
        <v>152.86423107988463</v>
      </c>
      <c r="O135" s="1728">
        <f t="shared" si="76"/>
        <v>151.70709148206876</v>
      </c>
      <c r="P135" s="1728">
        <f t="shared" si="76"/>
        <v>150.67175605244407</v>
      </c>
      <c r="Q135" s="1728">
        <f t="shared" si="76"/>
        <v>149.33191020234148</v>
      </c>
      <c r="R135" s="1728">
        <f t="shared" si="76"/>
        <v>147.99206435223891</v>
      </c>
      <c r="S135" s="1728">
        <f t="shared" si="76"/>
        <v>146.65221850213635</v>
      </c>
      <c r="T135" s="1728">
        <f t="shared" si="76"/>
        <v>145.31237265203376</v>
      </c>
      <c r="U135" s="1728">
        <f t="shared" si="76"/>
        <v>144.03342888602677</v>
      </c>
      <c r="V135" s="1728">
        <f t="shared" si="76"/>
        <v>142.6326809518286</v>
      </c>
      <c r="W135" s="1728">
        <f t="shared" si="76"/>
        <v>141.23193301763047</v>
      </c>
      <c r="X135" s="1728">
        <f t="shared" si="76"/>
        <v>139.83118508343233</v>
      </c>
      <c r="Y135" s="1728">
        <f t="shared" si="76"/>
        <v>138.43043714923417</v>
      </c>
      <c r="Z135" s="1728">
        <f t="shared" si="76"/>
        <v>136.90788504684488</v>
      </c>
      <c r="AA135" s="1728">
        <f t="shared" si="76"/>
        <v>135.50713711264675</v>
      </c>
      <c r="AB135" s="1728">
        <f t="shared" si="76"/>
        <v>134.10638917844861</v>
      </c>
      <c r="AC135" s="1728">
        <f t="shared" si="76"/>
        <v>132.70564124425044</v>
      </c>
      <c r="AD135" s="1728">
        <f t="shared" si="76"/>
        <v>131.30489331005231</v>
      </c>
      <c r="AE135" s="1728">
        <f t="shared" si="76"/>
        <v>129.90414537585417</v>
      </c>
      <c r="AF135" s="1728">
        <f t="shared" si="76"/>
        <v>128.50339744165601</v>
      </c>
      <c r="AG135" s="1728">
        <f t="shared" si="76"/>
        <v>127.10264950745787</v>
      </c>
      <c r="AH135" s="1728">
        <f t="shared" si="76"/>
        <v>125.70190157325972</v>
      </c>
      <c r="AI135" s="1728">
        <f t="shared" si="76"/>
        <v>124.30115363906157</v>
      </c>
    </row>
    <row r="136" spans="2:35" x14ac:dyDescent="0.35">
      <c r="B136" s="78" t="s">
        <v>281</v>
      </c>
      <c r="C136" s="78"/>
      <c r="D136" s="78"/>
      <c r="E136" s="78"/>
      <c r="F136" s="1728">
        <f t="shared" ref="F136:AI136" si="77">F62*$C$13</f>
        <v>80.579896553683582</v>
      </c>
      <c r="G136" s="1728">
        <f t="shared" si="77"/>
        <v>80.12240281851885</v>
      </c>
      <c r="H136" s="1728">
        <f t="shared" si="77"/>
        <v>79.664909083354104</v>
      </c>
      <c r="I136" s="1728">
        <f t="shared" si="77"/>
        <v>79.207415348189357</v>
      </c>
      <c r="J136" s="1728">
        <f t="shared" si="77"/>
        <v>78.749921613024611</v>
      </c>
      <c r="K136" s="1728">
        <f t="shared" si="77"/>
        <v>78.292427877859865</v>
      </c>
      <c r="L136" s="1728">
        <f t="shared" si="77"/>
        <v>77.712935813317856</v>
      </c>
      <c r="M136" s="1728">
        <f t="shared" si="77"/>
        <v>77.133443748775846</v>
      </c>
      <c r="N136" s="1728">
        <f t="shared" si="77"/>
        <v>76.553951684233837</v>
      </c>
      <c r="O136" s="1728">
        <f t="shared" si="77"/>
        <v>75.974459619691828</v>
      </c>
      <c r="P136" s="1728">
        <f t="shared" si="77"/>
        <v>75.455966719838457</v>
      </c>
      <c r="Q136" s="1728">
        <f t="shared" si="77"/>
        <v>74.78497590826349</v>
      </c>
      <c r="R136" s="1728">
        <f t="shared" si="77"/>
        <v>74.113985096688538</v>
      </c>
      <c r="S136" s="1728">
        <f t="shared" si="77"/>
        <v>73.442994285113585</v>
      </c>
      <c r="T136" s="1728">
        <f t="shared" si="77"/>
        <v>72.772003473538618</v>
      </c>
      <c r="U136" s="1728">
        <f t="shared" si="77"/>
        <v>72.131512244307984</v>
      </c>
      <c r="V136" s="1728">
        <f t="shared" si="77"/>
        <v>71.430021850388712</v>
      </c>
      <c r="W136" s="1728">
        <f t="shared" si="77"/>
        <v>70.728531456469426</v>
      </c>
      <c r="X136" s="1728">
        <f t="shared" si="77"/>
        <v>70.027041062550154</v>
      </c>
      <c r="Y136" s="1728">
        <f t="shared" si="77"/>
        <v>69.325550668630882</v>
      </c>
      <c r="Z136" s="1728">
        <f t="shared" si="77"/>
        <v>68.563061110022971</v>
      </c>
      <c r="AA136" s="1728">
        <f t="shared" si="77"/>
        <v>67.861570716103714</v>
      </c>
      <c r="AB136" s="1728">
        <f t="shared" si="77"/>
        <v>67.160080322184427</v>
      </c>
      <c r="AC136" s="1728">
        <f t="shared" si="77"/>
        <v>66.458589928265155</v>
      </c>
      <c r="AD136" s="1728">
        <f t="shared" si="77"/>
        <v>65.757099534345883</v>
      </c>
      <c r="AE136" s="1728">
        <f t="shared" si="77"/>
        <v>65.055609140426611</v>
      </c>
      <c r="AF136" s="1728">
        <f t="shared" si="77"/>
        <v>64.354118746507339</v>
      </c>
      <c r="AG136" s="1728">
        <f t="shared" si="77"/>
        <v>63.65262835258806</v>
      </c>
      <c r="AH136" s="1728">
        <f t="shared" si="77"/>
        <v>62.951137958668781</v>
      </c>
      <c r="AI136" s="1728">
        <f t="shared" si="77"/>
        <v>62.249647564749509</v>
      </c>
    </row>
    <row r="137" spans="2:35" x14ac:dyDescent="0.35">
      <c r="B137" s="78" t="s">
        <v>282</v>
      </c>
      <c r="C137" s="78"/>
      <c r="D137" s="78"/>
      <c r="E137" s="78"/>
      <c r="F137" s="1728">
        <f t="shared" ref="F137:AI137" si="78">F62*$C$14</f>
        <v>51.132609647407079</v>
      </c>
      <c r="G137" s="1728">
        <f t="shared" si="78"/>
        <v>50.842303385215146</v>
      </c>
      <c r="H137" s="1728">
        <f t="shared" si="78"/>
        <v>50.551997123023199</v>
      </c>
      <c r="I137" s="1728">
        <f t="shared" si="78"/>
        <v>50.261690860831266</v>
      </c>
      <c r="J137" s="1728">
        <f t="shared" si="78"/>
        <v>49.971384598639325</v>
      </c>
      <c r="K137" s="1728">
        <f t="shared" si="78"/>
        <v>49.681078336447385</v>
      </c>
      <c r="L137" s="1728">
        <f t="shared" si="78"/>
        <v>49.313357071004255</v>
      </c>
      <c r="M137" s="1728">
        <f t="shared" si="78"/>
        <v>48.945635805561132</v>
      </c>
      <c r="N137" s="1728">
        <f t="shared" si="78"/>
        <v>48.577914540118009</v>
      </c>
      <c r="O137" s="1728">
        <f t="shared" si="78"/>
        <v>48.210193274674879</v>
      </c>
      <c r="P137" s="1728">
        <f t="shared" si="78"/>
        <v>47.881179510857351</v>
      </c>
      <c r="Q137" s="1728">
        <f t="shared" si="78"/>
        <v>47.455396992975842</v>
      </c>
      <c r="R137" s="1728">
        <f t="shared" si="78"/>
        <v>47.029614475094327</v>
      </c>
      <c r="S137" s="1728">
        <f t="shared" si="78"/>
        <v>46.603831957212819</v>
      </c>
      <c r="T137" s="1728">
        <f t="shared" si="78"/>
        <v>46.178049439331303</v>
      </c>
      <c r="U137" s="1728">
        <f t="shared" si="78"/>
        <v>45.771620672262586</v>
      </c>
      <c r="V137" s="1728">
        <f t="shared" si="78"/>
        <v>45.32648440356828</v>
      </c>
      <c r="W137" s="1728">
        <f t="shared" si="78"/>
        <v>44.881348134873967</v>
      </c>
      <c r="X137" s="1728">
        <f t="shared" si="78"/>
        <v>44.436211866179661</v>
      </c>
      <c r="Y137" s="1728">
        <f t="shared" si="78"/>
        <v>43.991075597485349</v>
      </c>
      <c r="Z137" s="1728">
        <f t="shared" si="78"/>
        <v>43.507231827165448</v>
      </c>
      <c r="AA137" s="1728">
        <f t="shared" si="78"/>
        <v>43.062095558471142</v>
      </c>
      <c r="AB137" s="1728">
        <f t="shared" si="78"/>
        <v>42.616959289776837</v>
      </c>
      <c r="AC137" s="1728">
        <f t="shared" si="78"/>
        <v>42.171823021082531</v>
      </c>
      <c r="AD137" s="1728">
        <f t="shared" si="78"/>
        <v>41.726686752388218</v>
      </c>
      <c r="AE137" s="1728">
        <f t="shared" si="78"/>
        <v>41.281550483693913</v>
      </c>
      <c r="AF137" s="1728">
        <f t="shared" si="78"/>
        <v>40.8364142149996</v>
      </c>
      <c r="AG137" s="1728">
        <f t="shared" si="78"/>
        <v>40.391277946305294</v>
      </c>
      <c r="AH137" s="1728">
        <f t="shared" si="78"/>
        <v>39.946141677610981</v>
      </c>
      <c r="AI137" s="1728">
        <f t="shared" si="78"/>
        <v>39.501005408916676</v>
      </c>
    </row>
    <row r="138" spans="2:35" x14ac:dyDescent="0.35">
      <c r="B138" s="78" t="s">
        <v>283</v>
      </c>
      <c r="C138" s="78"/>
      <c r="D138" s="78"/>
      <c r="E138" s="78"/>
      <c r="F138" s="1728">
        <f t="shared" ref="F138:AI138" si="79">F62*$C$15</f>
        <v>5.8565783449328697</v>
      </c>
      <c r="G138" s="1728">
        <f t="shared" si="79"/>
        <v>5.8233275216270437</v>
      </c>
      <c r="H138" s="1728">
        <f t="shared" si="79"/>
        <v>5.7900766983212169</v>
      </c>
      <c r="I138" s="1728">
        <f t="shared" si="79"/>
        <v>5.7568258750153918</v>
      </c>
      <c r="J138" s="1728">
        <f t="shared" si="79"/>
        <v>5.7235750517095649</v>
      </c>
      <c r="K138" s="1728">
        <f t="shared" si="79"/>
        <v>5.690324228403739</v>
      </c>
      <c r="L138" s="1728">
        <f t="shared" si="79"/>
        <v>5.6482065188830255</v>
      </c>
      <c r="M138" s="1728">
        <f t="shared" si="79"/>
        <v>5.606088809362312</v>
      </c>
      <c r="N138" s="1728">
        <f t="shared" si="79"/>
        <v>5.5639710998415985</v>
      </c>
      <c r="O138" s="1728">
        <f t="shared" si="79"/>
        <v>5.5218533903208851</v>
      </c>
      <c r="P138" s="1728">
        <f t="shared" si="79"/>
        <v>5.4841691239076154</v>
      </c>
      <c r="Q138" s="1728">
        <f t="shared" si="79"/>
        <v>5.4354012497257367</v>
      </c>
      <c r="R138" s="1728">
        <f t="shared" si="79"/>
        <v>5.386633375543858</v>
      </c>
      <c r="S138" s="1728">
        <f t="shared" si="79"/>
        <v>5.3378655013619802</v>
      </c>
      <c r="T138" s="1728">
        <f t="shared" si="79"/>
        <v>5.2890976271801016</v>
      </c>
      <c r="U138" s="1728">
        <f t="shared" si="79"/>
        <v>5.2425464745519443</v>
      </c>
      <c r="V138" s="1728">
        <f t="shared" si="79"/>
        <v>5.1915618788163442</v>
      </c>
      <c r="W138" s="1728">
        <f t="shared" si="79"/>
        <v>5.1405772830807441</v>
      </c>
      <c r="X138" s="1728">
        <f t="shared" si="79"/>
        <v>5.0895926873451431</v>
      </c>
      <c r="Y138" s="1728">
        <f t="shared" si="79"/>
        <v>5.038608091609543</v>
      </c>
      <c r="Z138" s="1728">
        <f t="shared" si="79"/>
        <v>4.9831900527664992</v>
      </c>
      <c r="AA138" s="1728">
        <f t="shared" si="79"/>
        <v>4.9322054570308991</v>
      </c>
      <c r="AB138" s="1728">
        <f t="shared" si="79"/>
        <v>4.881220861295299</v>
      </c>
      <c r="AC138" s="1728">
        <f t="shared" si="79"/>
        <v>4.8302362655596989</v>
      </c>
      <c r="AD138" s="1728">
        <f t="shared" si="79"/>
        <v>4.7792516698240988</v>
      </c>
      <c r="AE138" s="1728">
        <f t="shared" si="79"/>
        <v>4.7282670740884978</v>
      </c>
      <c r="AF138" s="1728">
        <f t="shared" si="79"/>
        <v>4.6772824783528977</v>
      </c>
      <c r="AG138" s="1728">
        <f t="shared" si="79"/>
        <v>4.6262978826172976</v>
      </c>
      <c r="AH138" s="1728">
        <f t="shared" si="79"/>
        <v>4.5753132868816966</v>
      </c>
      <c r="AI138" s="1728">
        <f t="shared" si="79"/>
        <v>4.5243286911460965</v>
      </c>
    </row>
    <row r="139" spans="2:35" x14ac:dyDescent="0.35">
      <c r="B139" s="78" t="s">
        <v>12</v>
      </c>
      <c r="C139" s="78"/>
      <c r="D139" s="78"/>
      <c r="E139" s="78"/>
      <c r="F139" s="1728">
        <f t="shared" ref="F139:AI139" si="80">F62*$C$16</f>
        <v>22.59046775013833</v>
      </c>
      <c r="G139" s="1728">
        <f t="shared" si="80"/>
        <v>22.462209984713624</v>
      </c>
      <c r="H139" s="1728">
        <f t="shared" si="80"/>
        <v>22.333952219288918</v>
      </c>
      <c r="I139" s="1728">
        <f t="shared" si="80"/>
        <v>22.205694453864211</v>
      </c>
      <c r="J139" s="1728">
        <f t="shared" si="80"/>
        <v>22.077436688439505</v>
      </c>
      <c r="K139" s="1728">
        <f t="shared" si="80"/>
        <v>21.949178923014799</v>
      </c>
      <c r="L139" s="1728">
        <f t="shared" si="80"/>
        <v>21.786719086810169</v>
      </c>
      <c r="M139" s="1728">
        <f t="shared" si="80"/>
        <v>21.62425925060554</v>
      </c>
      <c r="N139" s="1728">
        <f t="shared" si="80"/>
        <v>21.461799414400911</v>
      </c>
      <c r="O139" s="1728">
        <f t="shared" si="80"/>
        <v>21.299339578196282</v>
      </c>
      <c r="P139" s="1728">
        <f t="shared" si="80"/>
        <v>21.153980777381616</v>
      </c>
      <c r="Q139" s="1728">
        <f t="shared" si="80"/>
        <v>20.965869388092045</v>
      </c>
      <c r="R139" s="1728">
        <f t="shared" si="80"/>
        <v>20.777757998802475</v>
      </c>
      <c r="S139" s="1728">
        <f t="shared" si="80"/>
        <v>20.589646609512908</v>
      </c>
      <c r="T139" s="1728">
        <f t="shared" si="80"/>
        <v>20.401535220223337</v>
      </c>
      <c r="U139" s="1728">
        <f t="shared" si="80"/>
        <v>20.221974348628748</v>
      </c>
      <c r="V139" s="1728">
        <f t="shared" si="80"/>
        <v>20.025312441644196</v>
      </c>
      <c r="W139" s="1728">
        <f t="shared" si="80"/>
        <v>19.828650534659648</v>
      </c>
      <c r="X139" s="1728">
        <f t="shared" si="80"/>
        <v>19.631988627675096</v>
      </c>
      <c r="Y139" s="1728">
        <f t="shared" si="80"/>
        <v>19.435326720690547</v>
      </c>
      <c r="Z139" s="1728">
        <f t="shared" si="80"/>
        <v>19.221563778316035</v>
      </c>
      <c r="AA139" s="1728">
        <f t="shared" si="80"/>
        <v>19.024901871331487</v>
      </c>
      <c r="AB139" s="1728">
        <f t="shared" si="80"/>
        <v>18.828239964346935</v>
      </c>
      <c r="AC139" s="1728">
        <f t="shared" si="80"/>
        <v>18.631578057362386</v>
      </c>
      <c r="AD139" s="1728">
        <f t="shared" si="80"/>
        <v>18.434916150377834</v>
      </c>
      <c r="AE139" s="1728">
        <f t="shared" si="80"/>
        <v>18.238254243393285</v>
      </c>
      <c r="AF139" s="1728">
        <f t="shared" si="80"/>
        <v>18.041592336408733</v>
      </c>
      <c r="AG139" s="1728">
        <f t="shared" si="80"/>
        <v>17.844930429424185</v>
      </c>
      <c r="AH139" s="1728">
        <f t="shared" si="80"/>
        <v>17.648268522439633</v>
      </c>
      <c r="AI139" s="1728">
        <f t="shared" si="80"/>
        <v>17.451606615455084</v>
      </c>
    </row>
    <row r="140" spans="2:35" x14ac:dyDescent="0.35">
      <c r="B140" s="78" t="s">
        <v>13</v>
      </c>
      <c r="C140" s="78"/>
      <c r="D140" s="78"/>
      <c r="E140" s="78"/>
      <c r="F140" s="1728">
        <f t="shared" ref="F140:AI140" si="81">F62*$C$17</f>
        <v>0</v>
      </c>
      <c r="G140" s="1728">
        <f t="shared" si="81"/>
        <v>0</v>
      </c>
      <c r="H140" s="1728">
        <f t="shared" si="81"/>
        <v>0</v>
      </c>
      <c r="I140" s="1728">
        <f t="shared" si="81"/>
        <v>0</v>
      </c>
      <c r="J140" s="1728">
        <f t="shared" si="81"/>
        <v>0</v>
      </c>
      <c r="K140" s="1728">
        <f t="shared" si="81"/>
        <v>0</v>
      </c>
      <c r="L140" s="1728">
        <f t="shared" si="81"/>
        <v>0</v>
      </c>
      <c r="M140" s="1728">
        <f t="shared" si="81"/>
        <v>0</v>
      </c>
      <c r="N140" s="1728">
        <f t="shared" si="81"/>
        <v>0</v>
      </c>
      <c r="O140" s="1728">
        <f t="shared" si="81"/>
        <v>0</v>
      </c>
      <c r="P140" s="1728">
        <f t="shared" si="81"/>
        <v>0</v>
      </c>
      <c r="Q140" s="1728">
        <f t="shared" si="81"/>
        <v>0</v>
      </c>
      <c r="R140" s="1728">
        <f t="shared" si="81"/>
        <v>0</v>
      </c>
      <c r="S140" s="1728">
        <f t="shared" si="81"/>
        <v>0</v>
      </c>
      <c r="T140" s="1728">
        <f t="shared" si="81"/>
        <v>0</v>
      </c>
      <c r="U140" s="1728">
        <f t="shared" si="81"/>
        <v>0</v>
      </c>
      <c r="V140" s="1728">
        <f t="shared" si="81"/>
        <v>0</v>
      </c>
      <c r="W140" s="1728">
        <f t="shared" si="81"/>
        <v>0</v>
      </c>
      <c r="X140" s="1728">
        <f t="shared" si="81"/>
        <v>0</v>
      </c>
      <c r="Y140" s="1728">
        <f t="shared" si="81"/>
        <v>0</v>
      </c>
      <c r="Z140" s="1728">
        <f t="shared" si="81"/>
        <v>0</v>
      </c>
      <c r="AA140" s="1728">
        <f t="shared" si="81"/>
        <v>0</v>
      </c>
      <c r="AB140" s="1728">
        <f t="shared" si="81"/>
        <v>0</v>
      </c>
      <c r="AC140" s="1728">
        <f t="shared" si="81"/>
        <v>0</v>
      </c>
      <c r="AD140" s="1728">
        <f t="shared" si="81"/>
        <v>0</v>
      </c>
      <c r="AE140" s="1728">
        <f t="shared" si="81"/>
        <v>0</v>
      </c>
      <c r="AF140" s="1728">
        <f t="shared" si="81"/>
        <v>0</v>
      </c>
      <c r="AG140" s="1728">
        <f t="shared" si="81"/>
        <v>0</v>
      </c>
      <c r="AH140" s="1728">
        <f t="shared" si="81"/>
        <v>0</v>
      </c>
      <c r="AI140" s="1728">
        <f t="shared" si="81"/>
        <v>0</v>
      </c>
    </row>
    <row r="141" spans="2:35" x14ac:dyDescent="0.35">
      <c r="B141" s="78" t="s">
        <v>14</v>
      </c>
      <c r="C141" s="78"/>
      <c r="D141" s="78"/>
      <c r="E141" s="78"/>
      <c r="F141" s="1728">
        <f t="shared" ref="F141:AI141" si="82">F62*$C$18</f>
        <v>0</v>
      </c>
      <c r="G141" s="1728">
        <f t="shared" si="82"/>
        <v>0</v>
      </c>
      <c r="H141" s="1728">
        <f t="shared" si="82"/>
        <v>0</v>
      </c>
      <c r="I141" s="1728">
        <f t="shared" si="82"/>
        <v>0</v>
      </c>
      <c r="J141" s="1728">
        <f t="shared" si="82"/>
        <v>0</v>
      </c>
      <c r="K141" s="1728">
        <f t="shared" si="82"/>
        <v>0</v>
      </c>
      <c r="L141" s="1728">
        <f t="shared" si="82"/>
        <v>0</v>
      </c>
      <c r="M141" s="1728">
        <f t="shared" si="82"/>
        <v>0</v>
      </c>
      <c r="N141" s="1728">
        <f t="shared" si="82"/>
        <v>0</v>
      </c>
      <c r="O141" s="1728">
        <f t="shared" si="82"/>
        <v>0</v>
      </c>
      <c r="P141" s="1728">
        <f t="shared" si="82"/>
        <v>0</v>
      </c>
      <c r="Q141" s="1728">
        <f t="shared" si="82"/>
        <v>0</v>
      </c>
      <c r="R141" s="1728">
        <f t="shared" si="82"/>
        <v>0</v>
      </c>
      <c r="S141" s="1728">
        <f t="shared" si="82"/>
        <v>0</v>
      </c>
      <c r="T141" s="1728">
        <f t="shared" si="82"/>
        <v>0</v>
      </c>
      <c r="U141" s="1728">
        <f t="shared" si="82"/>
        <v>0</v>
      </c>
      <c r="V141" s="1728">
        <f t="shared" si="82"/>
        <v>0</v>
      </c>
      <c r="W141" s="1728">
        <f t="shared" si="82"/>
        <v>0</v>
      </c>
      <c r="X141" s="1728">
        <f t="shared" si="82"/>
        <v>0</v>
      </c>
      <c r="Y141" s="1728">
        <f t="shared" si="82"/>
        <v>0</v>
      </c>
      <c r="Z141" s="1728">
        <f t="shared" si="82"/>
        <v>0</v>
      </c>
      <c r="AA141" s="1728">
        <f t="shared" si="82"/>
        <v>0</v>
      </c>
      <c r="AB141" s="1728">
        <f t="shared" si="82"/>
        <v>0</v>
      </c>
      <c r="AC141" s="1728">
        <f t="shared" si="82"/>
        <v>0</v>
      </c>
      <c r="AD141" s="1728">
        <f t="shared" si="82"/>
        <v>0</v>
      </c>
      <c r="AE141" s="1728">
        <f t="shared" si="82"/>
        <v>0</v>
      </c>
      <c r="AF141" s="1728">
        <f t="shared" si="82"/>
        <v>0</v>
      </c>
      <c r="AG141" s="1728">
        <f t="shared" si="82"/>
        <v>0</v>
      </c>
      <c r="AH141" s="1728">
        <f t="shared" si="82"/>
        <v>0</v>
      </c>
      <c r="AI141" s="1728">
        <f t="shared" si="82"/>
        <v>0</v>
      </c>
    </row>
    <row r="142" spans="2:35" x14ac:dyDescent="0.35">
      <c r="B142" s="728" t="s">
        <v>200</v>
      </c>
      <c r="C142" s="728"/>
      <c r="D142" s="728"/>
      <c r="E142" s="728"/>
      <c r="F142" s="1729">
        <f>SUM(F131:F141)</f>
        <v>1049.3690611934628</v>
      </c>
      <c r="G142" s="1729">
        <f t="shared" ref="G142:AI142" si="83">SUM(G131:G141)</f>
        <v>1043.4112504751047</v>
      </c>
      <c r="H142" s="1729">
        <f t="shared" si="83"/>
        <v>1037.4534397567468</v>
      </c>
      <c r="I142" s="1729">
        <f t="shared" si="83"/>
        <v>1031.4956290383886</v>
      </c>
      <c r="J142" s="1729">
        <f t="shared" si="83"/>
        <v>1025.5378183200305</v>
      </c>
      <c r="K142" s="1729">
        <f t="shared" si="83"/>
        <v>1019.5800076016724</v>
      </c>
      <c r="L142" s="1729">
        <f t="shared" si="83"/>
        <v>1012.0334473584192</v>
      </c>
      <c r="M142" s="1729">
        <f t="shared" si="83"/>
        <v>1004.4868871151655</v>
      </c>
      <c r="N142" s="1729">
        <f t="shared" si="83"/>
        <v>996.94032687191213</v>
      </c>
      <c r="O142" s="1729">
        <f t="shared" si="83"/>
        <v>989.39376662865845</v>
      </c>
      <c r="P142" s="1729">
        <f t="shared" si="83"/>
        <v>982.64158114785266</v>
      </c>
      <c r="Q142" s="1729">
        <f t="shared" si="83"/>
        <v>973.90345876092772</v>
      </c>
      <c r="R142" s="1729">
        <f t="shared" si="83"/>
        <v>965.16533637400255</v>
      </c>
      <c r="S142" s="1729">
        <f t="shared" si="83"/>
        <v>956.42721398707749</v>
      </c>
      <c r="T142" s="1729">
        <f t="shared" si="83"/>
        <v>947.68909160015221</v>
      </c>
      <c r="U142" s="1729">
        <f t="shared" si="83"/>
        <v>939.34815659445098</v>
      </c>
      <c r="V142" s="1729">
        <f t="shared" si="83"/>
        <v>930.21284682630221</v>
      </c>
      <c r="W142" s="1729">
        <f t="shared" si="83"/>
        <v>921.07753705815298</v>
      </c>
      <c r="X142" s="1729">
        <f t="shared" si="83"/>
        <v>911.94222729000398</v>
      </c>
      <c r="Y142" s="1729">
        <f t="shared" si="83"/>
        <v>902.80691752185498</v>
      </c>
      <c r="Z142" s="1729">
        <f t="shared" si="83"/>
        <v>892.87723299125832</v>
      </c>
      <c r="AA142" s="1729">
        <f t="shared" si="83"/>
        <v>883.74192322310944</v>
      </c>
      <c r="AB142" s="1729">
        <f t="shared" si="83"/>
        <v>874.60661345496021</v>
      </c>
      <c r="AC142" s="1729">
        <f t="shared" si="83"/>
        <v>865.47130368681132</v>
      </c>
      <c r="AD142" s="1729">
        <f t="shared" si="83"/>
        <v>856.33599391866244</v>
      </c>
      <c r="AE142" s="1729">
        <f t="shared" si="83"/>
        <v>847.20068415051333</v>
      </c>
      <c r="AF142" s="1729">
        <f t="shared" si="83"/>
        <v>838.06537438236433</v>
      </c>
      <c r="AG142" s="1729">
        <f t="shared" si="83"/>
        <v>828.93006461421533</v>
      </c>
      <c r="AH142" s="1729">
        <f t="shared" si="83"/>
        <v>819.79475484606644</v>
      </c>
      <c r="AI142" s="1729">
        <f t="shared" si="83"/>
        <v>810.65944507791721</v>
      </c>
    </row>
    <row r="143" spans="2:35" x14ac:dyDescent="0.35">
      <c r="E143" s="281" t="s">
        <v>332</v>
      </c>
      <c r="F143" s="1725">
        <f t="shared" ref="F143:AI143" si="84">F142-F62</f>
        <v>0</v>
      </c>
      <c r="G143" s="1725">
        <f t="shared" si="84"/>
        <v>0</v>
      </c>
      <c r="H143" s="1725">
        <f t="shared" si="84"/>
        <v>0</v>
      </c>
      <c r="I143" s="1725">
        <f t="shared" si="84"/>
        <v>0</v>
      </c>
      <c r="J143" s="1725">
        <f t="shared" si="84"/>
        <v>0</v>
      </c>
      <c r="K143" s="1725">
        <f t="shared" si="84"/>
        <v>0</v>
      </c>
      <c r="L143" s="1725">
        <f t="shared" si="84"/>
        <v>0</v>
      </c>
      <c r="M143" s="1725">
        <f t="shared" si="84"/>
        <v>0</v>
      </c>
      <c r="N143" s="1725">
        <f t="shared" si="84"/>
        <v>0</v>
      </c>
      <c r="O143" s="1725">
        <f t="shared" si="84"/>
        <v>0</v>
      </c>
      <c r="P143" s="1725">
        <f t="shared" si="84"/>
        <v>0</v>
      </c>
      <c r="Q143" s="1725">
        <f t="shared" si="84"/>
        <v>0</v>
      </c>
      <c r="R143" s="1725">
        <f t="shared" si="84"/>
        <v>0</v>
      </c>
      <c r="S143" s="1725">
        <f t="shared" si="84"/>
        <v>0</v>
      </c>
      <c r="T143" s="1725">
        <f t="shared" si="84"/>
        <v>0</v>
      </c>
      <c r="U143" s="1725">
        <f t="shared" si="84"/>
        <v>0</v>
      </c>
      <c r="V143" s="1725">
        <f t="shared" si="84"/>
        <v>0</v>
      </c>
      <c r="W143" s="1725">
        <f t="shared" si="84"/>
        <v>0</v>
      </c>
      <c r="X143" s="1725">
        <f t="shared" si="84"/>
        <v>0</v>
      </c>
      <c r="Y143" s="1725">
        <f t="shared" si="84"/>
        <v>0</v>
      </c>
      <c r="Z143" s="1725">
        <f t="shared" si="84"/>
        <v>0</v>
      </c>
      <c r="AA143" s="1725">
        <f t="shared" si="84"/>
        <v>0</v>
      </c>
      <c r="AB143" s="1725">
        <f t="shared" si="84"/>
        <v>0</v>
      </c>
      <c r="AC143" s="1725">
        <f t="shared" si="84"/>
        <v>0</v>
      </c>
      <c r="AD143" s="1725">
        <f t="shared" si="84"/>
        <v>0</v>
      </c>
      <c r="AE143" s="1725">
        <f t="shared" si="84"/>
        <v>0</v>
      </c>
      <c r="AF143" s="1725">
        <f t="shared" si="84"/>
        <v>0</v>
      </c>
      <c r="AG143" s="1725">
        <f t="shared" si="84"/>
        <v>0</v>
      </c>
      <c r="AH143" s="1725">
        <f t="shared" si="84"/>
        <v>0</v>
      </c>
      <c r="AI143" s="1725">
        <f t="shared" si="84"/>
        <v>0</v>
      </c>
    </row>
    <row r="144" spans="2:35" ht="15.5" x14ac:dyDescent="0.35">
      <c r="B144" s="86" t="s">
        <v>2</v>
      </c>
    </row>
    <row r="145" spans="2:35" x14ac:dyDescent="0.35">
      <c r="B145" s="780" t="s">
        <v>273</v>
      </c>
      <c r="C145" s="780"/>
      <c r="D145" s="780"/>
      <c r="E145" s="780"/>
      <c r="F145" s="1727">
        <v>1</v>
      </c>
      <c r="G145" s="1727">
        <f>F145+1</f>
        <v>2</v>
      </c>
      <c r="H145" s="1727">
        <f t="shared" ref="H145" si="85">G145+1</f>
        <v>3</v>
      </c>
      <c r="I145" s="1727">
        <f t="shared" ref="I145" si="86">H145+1</f>
        <v>4</v>
      </c>
      <c r="J145" s="1727">
        <f t="shared" ref="J145" si="87">I145+1</f>
        <v>5</v>
      </c>
      <c r="K145" s="1727">
        <f t="shared" ref="K145" si="88">J145+1</f>
        <v>6</v>
      </c>
      <c r="L145" s="1727">
        <f t="shared" ref="L145" si="89">K145+1</f>
        <v>7</v>
      </c>
      <c r="M145" s="1727">
        <f t="shared" ref="M145" si="90">L145+1</f>
        <v>8</v>
      </c>
      <c r="N145" s="1727">
        <f t="shared" ref="N145" si="91">M145+1</f>
        <v>9</v>
      </c>
      <c r="O145" s="1727">
        <f t="shared" ref="O145" si="92">N145+1</f>
        <v>10</v>
      </c>
      <c r="P145" s="1727">
        <f t="shared" ref="P145" si="93">O145+1</f>
        <v>11</v>
      </c>
      <c r="Q145" s="1727">
        <f t="shared" ref="Q145" si="94">P145+1</f>
        <v>12</v>
      </c>
      <c r="R145" s="1727">
        <f t="shared" ref="R145" si="95">Q145+1</f>
        <v>13</v>
      </c>
      <c r="S145" s="1727">
        <f t="shared" ref="S145" si="96">R145+1</f>
        <v>14</v>
      </c>
      <c r="T145" s="1727">
        <f t="shared" ref="T145" si="97">S145+1</f>
        <v>15</v>
      </c>
      <c r="U145" s="1727">
        <f t="shared" ref="U145" si="98">T145+1</f>
        <v>16</v>
      </c>
      <c r="V145" s="1727">
        <f t="shared" ref="V145" si="99">U145+1</f>
        <v>17</v>
      </c>
      <c r="W145" s="1727">
        <f t="shared" ref="W145" si="100">V145+1</f>
        <v>18</v>
      </c>
      <c r="X145" s="1727">
        <f t="shared" ref="X145" si="101">W145+1</f>
        <v>19</v>
      </c>
      <c r="Y145" s="1727">
        <f t="shared" ref="Y145" si="102">X145+1</f>
        <v>20</v>
      </c>
      <c r="Z145" s="1727">
        <f t="shared" ref="Z145" si="103">Y145+1</f>
        <v>21</v>
      </c>
      <c r="AA145" s="1727">
        <f t="shared" ref="AA145" si="104">Z145+1</f>
        <v>22</v>
      </c>
      <c r="AB145" s="1727">
        <f t="shared" ref="AB145" si="105">AA145+1</f>
        <v>23</v>
      </c>
      <c r="AC145" s="1727">
        <f t="shared" ref="AC145" si="106">AB145+1</f>
        <v>24</v>
      </c>
      <c r="AD145" s="1727">
        <f t="shared" ref="AD145" si="107">AC145+1</f>
        <v>25</v>
      </c>
      <c r="AE145" s="1727">
        <f t="shared" ref="AE145" si="108">AD145+1</f>
        <v>26</v>
      </c>
      <c r="AF145" s="1727">
        <f t="shared" ref="AF145" si="109">AE145+1</f>
        <v>27</v>
      </c>
      <c r="AG145" s="1727">
        <f t="shared" ref="AG145" si="110">AF145+1</f>
        <v>28</v>
      </c>
      <c r="AH145" s="1727">
        <f t="shared" ref="AH145" si="111">AG145+1</f>
        <v>29</v>
      </c>
      <c r="AI145" s="1727">
        <f t="shared" ref="AI145" si="112">AH145+1</f>
        <v>30</v>
      </c>
    </row>
    <row r="146" spans="2:35" x14ac:dyDescent="0.35">
      <c r="B146" s="78" t="s">
        <v>276</v>
      </c>
      <c r="C146" s="78"/>
      <c r="D146" s="78"/>
      <c r="E146" s="78"/>
      <c r="F146" s="1728">
        <f t="shared" ref="F146:AI146" si="113">F63*$D$8</f>
        <v>4423.4083288179181</v>
      </c>
      <c r="G146" s="1728">
        <f t="shared" si="113"/>
        <v>4425.8979971264171</v>
      </c>
      <c r="H146" s="1728">
        <f t="shared" si="113"/>
        <v>4428.387665434916</v>
      </c>
      <c r="I146" s="1728">
        <f t="shared" si="113"/>
        <v>4430.877333743415</v>
      </c>
      <c r="J146" s="1728">
        <f t="shared" si="113"/>
        <v>4433.3670020519139</v>
      </c>
      <c r="K146" s="1728">
        <f t="shared" si="113"/>
        <v>4436.1495725143541</v>
      </c>
      <c r="L146" s="1728">
        <f t="shared" si="113"/>
        <v>4429.55927405068</v>
      </c>
      <c r="M146" s="1728">
        <f t="shared" si="113"/>
        <v>4422.9689755870058</v>
      </c>
      <c r="N146" s="1728">
        <f t="shared" si="113"/>
        <v>4416.3786771233317</v>
      </c>
      <c r="O146" s="1728">
        <f t="shared" si="113"/>
        <v>4409.7883786596585</v>
      </c>
      <c r="P146" s="1728">
        <f t="shared" si="113"/>
        <v>4403.1980801959844</v>
      </c>
      <c r="Q146" s="1728">
        <f t="shared" si="113"/>
        <v>4390.4568364995484</v>
      </c>
      <c r="R146" s="1728">
        <f t="shared" si="113"/>
        <v>4377.7155928031125</v>
      </c>
      <c r="S146" s="1728">
        <f t="shared" si="113"/>
        <v>4364.9743491066765</v>
      </c>
      <c r="T146" s="1728">
        <f t="shared" si="113"/>
        <v>4352.2331054102397</v>
      </c>
      <c r="U146" s="1728">
        <f t="shared" si="113"/>
        <v>4339.1989595598625</v>
      </c>
      <c r="V146" s="1728">
        <f t="shared" si="113"/>
        <v>4320.8925749385462</v>
      </c>
      <c r="W146" s="1728">
        <f t="shared" si="113"/>
        <v>4302.5861903172299</v>
      </c>
      <c r="X146" s="1728">
        <f t="shared" si="113"/>
        <v>4284.2798056959136</v>
      </c>
      <c r="Y146" s="1728">
        <f t="shared" si="113"/>
        <v>4265.9734210745974</v>
      </c>
      <c r="Z146" s="1728">
        <f t="shared" si="113"/>
        <v>4247.8134875302512</v>
      </c>
      <c r="AA146" s="1728">
        <f t="shared" si="113"/>
        <v>4229.5071029089349</v>
      </c>
      <c r="AB146" s="1728">
        <f t="shared" si="113"/>
        <v>4211.2007182876187</v>
      </c>
      <c r="AC146" s="1728">
        <f t="shared" si="113"/>
        <v>4192.8943336663024</v>
      </c>
      <c r="AD146" s="1728">
        <f t="shared" si="113"/>
        <v>4174.5879490449852</v>
      </c>
      <c r="AE146" s="1728">
        <f t="shared" si="113"/>
        <v>4156.2815644236689</v>
      </c>
      <c r="AF146" s="1728">
        <f t="shared" si="113"/>
        <v>4137.9751798023535</v>
      </c>
      <c r="AG146" s="1728">
        <f t="shared" si="113"/>
        <v>4119.6687951810372</v>
      </c>
      <c r="AH146" s="1728">
        <f t="shared" si="113"/>
        <v>4101.36241055972</v>
      </c>
      <c r="AI146" s="1728">
        <f t="shared" si="113"/>
        <v>4083.0560259384038</v>
      </c>
    </row>
    <row r="147" spans="2:35" x14ac:dyDescent="0.35">
      <c r="B147" s="78" t="s">
        <v>277</v>
      </c>
      <c r="C147" s="78"/>
      <c r="D147" s="78"/>
      <c r="E147" s="78"/>
      <c r="F147" s="1728">
        <f t="shared" ref="F147:AI147" si="114">F63*$D$9</f>
        <v>262.82756403640241</v>
      </c>
      <c r="G147" s="1728">
        <f t="shared" si="114"/>
        <v>262.97549373407884</v>
      </c>
      <c r="H147" s="1728">
        <f t="shared" si="114"/>
        <v>263.12342343175527</v>
      </c>
      <c r="I147" s="1728">
        <f t="shared" si="114"/>
        <v>263.2713531294317</v>
      </c>
      <c r="J147" s="1728">
        <f t="shared" si="114"/>
        <v>263.41928282710813</v>
      </c>
      <c r="K147" s="1728">
        <f t="shared" si="114"/>
        <v>263.58461601862882</v>
      </c>
      <c r="L147" s="1728">
        <f t="shared" si="114"/>
        <v>263.19303740713241</v>
      </c>
      <c r="M147" s="1728">
        <f t="shared" si="114"/>
        <v>262.80145879563594</v>
      </c>
      <c r="N147" s="1728">
        <f t="shared" si="114"/>
        <v>262.40988018413952</v>
      </c>
      <c r="O147" s="1728">
        <f t="shared" si="114"/>
        <v>262.01830157264311</v>
      </c>
      <c r="P147" s="1728">
        <f t="shared" si="114"/>
        <v>261.6267229611467</v>
      </c>
      <c r="Q147" s="1728">
        <f t="shared" si="114"/>
        <v>260.86967097892023</v>
      </c>
      <c r="R147" s="1728">
        <f t="shared" si="114"/>
        <v>260.11261899669381</v>
      </c>
      <c r="S147" s="1728">
        <f t="shared" si="114"/>
        <v>259.3555670144674</v>
      </c>
      <c r="T147" s="1728">
        <f t="shared" si="114"/>
        <v>258.59851503224098</v>
      </c>
      <c r="U147" s="1728">
        <f t="shared" si="114"/>
        <v>257.82405955617025</v>
      </c>
      <c r="V147" s="1728">
        <f t="shared" si="114"/>
        <v>256.73634119090241</v>
      </c>
      <c r="W147" s="1728">
        <f t="shared" si="114"/>
        <v>255.64862282563456</v>
      </c>
      <c r="X147" s="1728">
        <f t="shared" si="114"/>
        <v>254.56090446036671</v>
      </c>
      <c r="Y147" s="1728">
        <f t="shared" si="114"/>
        <v>253.47318609509887</v>
      </c>
      <c r="Z147" s="1728">
        <f t="shared" si="114"/>
        <v>252.39416947675315</v>
      </c>
      <c r="AA147" s="1728">
        <f t="shared" si="114"/>
        <v>251.30645111148527</v>
      </c>
      <c r="AB147" s="1728">
        <f t="shared" si="114"/>
        <v>250.21873274621743</v>
      </c>
      <c r="AC147" s="1728">
        <f t="shared" si="114"/>
        <v>249.13101438094958</v>
      </c>
      <c r="AD147" s="1728">
        <f t="shared" si="114"/>
        <v>248.0432960156817</v>
      </c>
      <c r="AE147" s="1728">
        <f t="shared" si="114"/>
        <v>246.95557765041386</v>
      </c>
      <c r="AF147" s="1728">
        <f t="shared" si="114"/>
        <v>245.86785928514601</v>
      </c>
      <c r="AG147" s="1728">
        <f t="shared" si="114"/>
        <v>244.78014091987816</v>
      </c>
      <c r="AH147" s="1728">
        <f t="shared" si="114"/>
        <v>243.69242255461029</v>
      </c>
      <c r="AI147" s="1728">
        <f t="shared" si="114"/>
        <v>242.60470418934244</v>
      </c>
    </row>
    <row r="148" spans="2:35" x14ac:dyDescent="0.35">
      <c r="B148" s="78" t="s">
        <v>278</v>
      </c>
      <c r="C148" s="78"/>
      <c r="D148" s="78"/>
      <c r="E148" s="78"/>
      <c r="F148" s="1728">
        <f t="shared" ref="F148:AI148" si="115">F63*$D$10</f>
        <v>1740.4604308720054</v>
      </c>
      <c r="G148" s="1728">
        <f t="shared" si="115"/>
        <v>1741.4400305053261</v>
      </c>
      <c r="H148" s="1728">
        <f t="shared" si="115"/>
        <v>1742.4196301386471</v>
      </c>
      <c r="I148" s="1728">
        <f t="shared" si="115"/>
        <v>1743.3992297719678</v>
      </c>
      <c r="J148" s="1728">
        <f t="shared" si="115"/>
        <v>1744.378829405289</v>
      </c>
      <c r="K148" s="1728">
        <f t="shared" si="115"/>
        <v>1745.4736760542946</v>
      </c>
      <c r="L148" s="1728">
        <f t="shared" si="115"/>
        <v>1742.8806182013864</v>
      </c>
      <c r="M148" s="1728">
        <f t="shared" si="115"/>
        <v>1740.2875603484781</v>
      </c>
      <c r="N148" s="1728">
        <f t="shared" si="115"/>
        <v>1737.6945024955698</v>
      </c>
      <c r="O148" s="1728">
        <f t="shared" si="115"/>
        <v>1735.1014446426618</v>
      </c>
      <c r="P148" s="1728">
        <f t="shared" si="115"/>
        <v>1732.5083867897536</v>
      </c>
      <c r="Q148" s="1728">
        <f t="shared" si="115"/>
        <v>1727.4951416074641</v>
      </c>
      <c r="R148" s="1728">
        <f t="shared" si="115"/>
        <v>1722.4818964251749</v>
      </c>
      <c r="S148" s="1728">
        <f t="shared" si="115"/>
        <v>1717.4686512428857</v>
      </c>
      <c r="T148" s="1728">
        <f t="shared" si="115"/>
        <v>1712.4554060605963</v>
      </c>
      <c r="U148" s="1728">
        <f t="shared" si="115"/>
        <v>1707.3269138626224</v>
      </c>
      <c r="V148" s="1728">
        <f t="shared" si="115"/>
        <v>1700.1239753823218</v>
      </c>
      <c r="W148" s="1728">
        <f t="shared" si="115"/>
        <v>1692.9210369020209</v>
      </c>
      <c r="X148" s="1728">
        <f t="shared" si="115"/>
        <v>1685.7180984217205</v>
      </c>
      <c r="Y148" s="1728">
        <f t="shared" si="115"/>
        <v>1678.5151599414198</v>
      </c>
      <c r="Z148" s="1728">
        <f t="shared" si="115"/>
        <v>1671.3698449689616</v>
      </c>
      <c r="AA148" s="1728">
        <f t="shared" si="115"/>
        <v>1664.1669064886607</v>
      </c>
      <c r="AB148" s="1728">
        <f t="shared" si="115"/>
        <v>1656.9639680083603</v>
      </c>
      <c r="AC148" s="1728">
        <f t="shared" si="115"/>
        <v>1649.7610295280597</v>
      </c>
      <c r="AD148" s="1728">
        <f t="shared" si="115"/>
        <v>1642.5580910477588</v>
      </c>
      <c r="AE148" s="1728">
        <f t="shared" si="115"/>
        <v>1635.3551525674584</v>
      </c>
      <c r="AF148" s="1728">
        <f t="shared" si="115"/>
        <v>1628.1522140871577</v>
      </c>
      <c r="AG148" s="1728">
        <f t="shared" si="115"/>
        <v>1620.9492756068571</v>
      </c>
      <c r="AH148" s="1728">
        <f t="shared" si="115"/>
        <v>1613.7463371265562</v>
      </c>
      <c r="AI148" s="1728">
        <f t="shared" si="115"/>
        <v>1606.5433986462558</v>
      </c>
    </row>
    <row r="149" spans="2:35" x14ac:dyDescent="0.35">
      <c r="B149" s="78" t="s">
        <v>279</v>
      </c>
      <c r="C149" s="78"/>
      <c r="D149" s="78"/>
      <c r="E149" s="78"/>
      <c r="F149" s="1728">
        <f t="shared" ref="F149:AI149" si="116">F63*$D$11</f>
        <v>2396.2573255277021</v>
      </c>
      <c r="G149" s="1728">
        <f t="shared" si="116"/>
        <v>2397.6060334648614</v>
      </c>
      <c r="H149" s="1728">
        <f t="shared" si="116"/>
        <v>2398.9547414020212</v>
      </c>
      <c r="I149" s="1728">
        <f t="shared" si="116"/>
        <v>2400.3034493391806</v>
      </c>
      <c r="J149" s="1728">
        <f t="shared" si="116"/>
        <v>2401.6521572763409</v>
      </c>
      <c r="K149" s="1728">
        <f t="shared" si="116"/>
        <v>2403.1595367355189</v>
      </c>
      <c r="L149" s="1728">
        <f t="shared" si="116"/>
        <v>2399.5894274900961</v>
      </c>
      <c r="M149" s="1728">
        <f t="shared" si="116"/>
        <v>2396.0193182446737</v>
      </c>
      <c r="N149" s="1728">
        <f t="shared" si="116"/>
        <v>2392.4492089992509</v>
      </c>
      <c r="O149" s="1728">
        <f t="shared" si="116"/>
        <v>2388.8790997538285</v>
      </c>
      <c r="P149" s="1728">
        <f t="shared" si="116"/>
        <v>2385.3089905084057</v>
      </c>
      <c r="Q149" s="1728">
        <f t="shared" si="116"/>
        <v>2378.4067793005884</v>
      </c>
      <c r="R149" s="1728">
        <f t="shared" si="116"/>
        <v>2371.504568092771</v>
      </c>
      <c r="S149" s="1728">
        <f t="shared" si="116"/>
        <v>2364.6023568849541</v>
      </c>
      <c r="T149" s="1728">
        <f t="shared" si="116"/>
        <v>2357.7001456771368</v>
      </c>
      <c r="U149" s="1728">
        <f t="shared" si="116"/>
        <v>2350.6392629473012</v>
      </c>
      <c r="V149" s="1728">
        <f t="shared" si="116"/>
        <v>2340.7222928211268</v>
      </c>
      <c r="W149" s="1728">
        <f t="shared" si="116"/>
        <v>2330.8053226949528</v>
      </c>
      <c r="X149" s="1728">
        <f t="shared" si="116"/>
        <v>2320.8883525687788</v>
      </c>
      <c r="Y149" s="1728">
        <f t="shared" si="116"/>
        <v>2310.9713824426044</v>
      </c>
      <c r="Z149" s="1728">
        <f t="shared" si="116"/>
        <v>2301.13374807744</v>
      </c>
      <c r="AA149" s="1728">
        <f t="shared" si="116"/>
        <v>2291.2167779512656</v>
      </c>
      <c r="AB149" s="1728">
        <f t="shared" si="116"/>
        <v>2281.2998078250916</v>
      </c>
      <c r="AC149" s="1728">
        <f t="shared" si="116"/>
        <v>2271.3828376989177</v>
      </c>
      <c r="AD149" s="1728">
        <f t="shared" si="116"/>
        <v>2261.4658675727433</v>
      </c>
      <c r="AE149" s="1728">
        <f t="shared" si="116"/>
        <v>2251.5488974465693</v>
      </c>
      <c r="AF149" s="1728">
        <f t="shared" si="116"/>
        <v>2241.6319273203953</v>
      </c>
      <c r="AG149" s="1728">
        <f t="shared" si="116"/>
        <v>2231.7149571942214</v>
      </c>
      <c r="AH149" s="1728">
        <f t="shared" si="116"/>
        <v>2221.797987068047</v>
      </c>
      <c r="AI149" s="1728">
        <f t="shared" si="116"/>
        <v>2211.881016941873</v>
      </c>
    </row>
    <row r="150" spans="2:35" x14ac:dyDescent="0.35">
      <c r="B150" s="78" t="s">
        <v>280</v>
      </c>
      <c r="C150" s="78"/>
      <c r="D150" s="78"/>
      <c r="E150" s="78"/>
      <c r="F150" s="1728">
        <f t="shared" ref="F150:AI150" si="117">F63*$D$12</f>
        <v>1459.5802040959293</v>
      </c>
      <c r="G150" s="1728">
        <f t="shared" si="117"/>
        <v>1460.4017132824486</v>
      </c>
      <c r="H150" s="1728">
        <f t="shared" si="117"/>
        <v>1461.2232224689678</v>
      </c>
      <c r="I150" s="1728">
        <f t="shared" si="117"/>
        <v>1462.0447316554873</v>
      </c>
      <c r="J150" s="1728">
        <f t="shared" si="117"/>
        <v>1462.8662408420068</v>
      </c>
      <c r="K150" s="1728">
        <f t="shared" si="117"/>
        <v>1463.7843981681165</v>
      </c>
      <c r="L150" s="1728">
        <f t="shared" si="117"/>
        <v>1461.6098150273299</v>
      </c>
      <c r="M150" s="1728">
        <f t="shared" si="117"/>
        <v>1459.4352318865433</v>
      </c>
      <c r="N150" s="1728">
        <f t="shared" si="117"/>
        <v>1457.2606487457567</v>
      </c>
      <c r="O150" s="1728">
        <f t="shared" si="117"/>
        <v>1455.0860656049704</v>
      </c>
      <c r="P150" s="1728">
        <f t="shared" si="117"/>
        <v>1452.9114824641838</v>
      </c>
      <c r="Q150" s="1728">
        <f t="shared" si="117"/>
        <v>1448.7072883919964</v>
      </c>
      <c r="R150" s="1728">
        <f t="shared" si="117"/>
        <v>1444.5030943198092</v>
      </c>
      <c r="S150" s="1728">
        <f t="shared" si="117"/>
        <v>1440.298900247622</v>
      </c>
      <c r="T150" s="1728">
        <f t="shared" si="117"/>
        <v>1436.0947061754343</v>
      </c>
      <c r="U150" s="1728">
        <f t="shared" si="117"/>
        <v>1431.7938639636568</v>
      </c>
      <c r="V150" s="1728">
        <f t="shared" si="117"/>
        <v>1425.7533552392497</v>
      </c>
      <c r="W150" s="1728">
        <f t="shared" si="117"/>
        <v>1419.7128465148426</v>
      </c>
      <c r="X150" s="1728">
        <f t="shared" si="117"/>
        <v>1413.6723377904354</v>
      </c>
      <c r="Y150" s="1728">
        <f t="shared" si="117"/>
        <v>1407.6318290660286</v>
      </c>
      <c r="Z150" s="1728">
        <f t="shared" si="117"/>
        <v>1401.6396444114166</v>
      </c>
      <c r="AA150" s="1728">
        <f t="shared" si="117"/>
        <v>1395.5991356870095</v>
      </c>
      <c r="AB150" s="1728">
        <f t="shared" si="117"/>
        <v>1389.5586269626024</v>
      </c>
      <c r="AC150" s="1728">
        <f t="shared" si="117"/>
        <v>1383.5181182381955</v>
      </c>
      <c r="AD150" s="1728">
        <f t="shared" si="117"/>
        <v>1377.4776095137881</v>
      </c>
      <c r="AE150" s="1728">
        <f t="shared" si="117"/>
        <v>1371.4371007893812</v>
      </c>
      <c r="AF150" s="1728">
        <f t="shared" si="117"/>
        <v>1365.3965920649741</v>
      </c>
      <c r="AG150" s="1728">
        <f t="shared" si="117"/>
        <v>1359.3560833405672</v>
      </c>
      <c r="AH150" s="1728">
        <f t="shared" si="117"/>
        <v>1353.3155746161599</v>
      </c>
      <c r="AI150" s="1728">
        <f t="shared" si="117"/>
        <v>1347.275065891753</v>
      </c>
    </row>
    <row r="151" spans="2:35" x14ac:dyDescent="0.35">
      <c r="B151" s="78" t="s">
        <v>281</v>
      </c>
      <c r="C151" s="78"/>
      <c r="D151" s="78"/>
      <c r="E151" s="78"/>
      <c r="F151" s="1728">
        <f t="shared" ref="F151:AI151" si="118">F63*$D$13</f>
        <v>640.28187800343028</v>
      </c>
      <c r="G151" s="1728">
        <f t="shared" si="118"/>
        <v>640.64225384524116</v>
      </c>
      <c r="H151" s="1728">
        <f t="shared" si="118"/>
        <v>641.00262968705215</v>
      </c>
      <c r="I151" s="1728">
        <f t="shared" si="118"/>
        <v>641.36300552886303</v>
      </c>
      <c r="J151" s="1728">
        <f t="shared" si="118"/>
        <v>641.72338137067413</v>
      </c>
      <c r="K151" s="1728">
        <f t="shared" si="118"/>
        <v>642.12615437034515</v>
      </c>
      <c r="L151" s="1728">
        <f t="shared" si="118"/>
        <v>641.17221831849258</v>
      </c>
      <c r="M151" s="1728">
        <f t="shared" si="118"/>
        <v>640.21828226664002</v>
      </c>
      <c r="N151" s="1728">
        <f t="shared" si="118"/>
        <v>639.26434621478745</v>
      </c>
      <c r="O151" s="1728">
        <f t="shared" si="118"/>
        <v>638.310410162935</v>
      </c>
      <c r="P151" s="1728">
        <f t="shared" si="118"/>
        <v>637.35647411108243</v>
      </c>
      <c r="Q151" s="1728">
        <f t="shared" si="118"/>
        <v>635.51219774416745</v>
      </c>
      <c r="R151" s="1728">
        <f t="shared" si="118"/>
        <v>633.66792137725258</v>
      </c>
      <c r="S151" s="1728">
        <f t="shared" si="118"/>
        <v>631.8236450103376</v>
      </c>
      <c r="T151" s="1728">
        <f t="shared" si="118"/>
        <v>629.97936864342262</v>
      </c>
      <c r="U151" s="1728">
        <f t="shared" si="118"/>
        <v>628.09269511864773</v>
      </c>
      <c r="V151" s="1728">
        <f t="shared" si="118"/>
        <v>625.4428727523906</v>
      </c>
      <c r="W151" s="1728">
        <f t="shared" si="118"/>
        <v>622.79305038613347</v>
      </c>
      <c r="X151" s="1728">
        <f t="shared" si="118"/>
        <v>620.14322801987646</v>
      </c>
      <c r="Y151" s="1728">
        <f t="shared" si="118"/>
        <v>617.49340565361933</v>
      </c>
      <c r="Z151" s="1728">
        <f t="shared" si="118"/>
        <v>614.86478186629233</v>
      </c>
      <c r="AA151" s="1728">
        <f t="shared" si="118"/>
        <v>612.21495950003521</v>
      </c>
      <c r="AB151" s="1728">
        <f t="shared" si="118"/>
        <v>609.56513713377819</v>
      </c>
      <c r="AC151" s="1728">
        <f t="shared" si="118"/>
        <v>606.91531476752107</v>
      </c>
      <c r="AD151" s="1728">
        <f t="shared" si="118"/>
        <v>604.26549240126394</v>
      </c>
      <c r="AE151" s="1728">
        <f t="shared" si="118"/>
        <v>601.61567003500693</v>
      </c>
      <c r="AF151" s="1728">
        <f t="shared" si="118"/>
        <v>598.96584766874992</v>
      </c>
      <c r="AG151" s="1728">
        <f t="shared" si="118"/>
        <v>596.31602530249279</v>
      </c>
      <c r="AH151" s="1728">
        <f t="shared" si="118"/>
        <v>593.66620293623566</v>
      </c>
      <c r="AI151" s="1728">
        <f t="shared" si="118"/>
        <v>591.01638056997865</v>
      </c>
    </row>
    <row r="152" spans="2:35" x14ac:dyDescent="0.35">
      <c r="B152" s="78" t="s">
        <v>282</v>
      </c>
      <c r="C152" s="78"/>
      <c r="D152" s="78"/>
      <c r="E152" s="78"/>
      <c r="F152" s="1728">
        <f t="shared" ref="F152:AI152" si="119">F63*$D$14</f>
        <v>378.96156993497738</v>
      </c>
      <c r="G152" s="1728">
        <f t="shared" si="119"/>
        <v>379.1748644220948</v>
      </c>
      <c r="H152" s="1728">
        <f t="shared" si="119"/>
        <v>379.38815890921217</v>
      </c>
      <c r="I152" s="1728">
        <f t="shared" si="119"/>
        <v>379.60145339632959</v>
      </c>
      <c r="J152" s="1728">
        <f t="shared" si="119"/>
        <v>379.81474788344707</v>
      </c>
      <c r="K152" s="1728">
        <f t="shared" si="119"/>
        <v>380.05313583963709</v>
      </c>
      <c r="L152" s="1728">
        <f t="shared" si="119"/>
        <v>379.48853278550274</v>
      </c>
      <c r="M152" s="1728">
        <f t="shared" si="119"/>
        <v>378.92392973136839</v>
      </c>
      <c r="N152" s="1728">
        <f t="shared" si="119"/>
        <v>378.35932667723404</v>
      </c>
      <c r="O152" s="1728">
        <f t="shared" si="119"/>
        <v>377.79472362309969</v>
      </c>
      <c r="P152" s="1728">
        <f t="shared" si="119"/>
        <v>377.23012056896533</v>
      </c>
      <c r="Q152" s="1728">
        <f t="shared" si="119"/>
        <v>376.13855466430556</v>
      </c>
      <c r="R152" s="1728">
        <f t="shared" si="119"/>
        <v>375.04698875964584</v>
      </c>
      <c r="S152" s="1728">
        <f t="shared" si="119"/>
        <v>373.95542285498613</v>
      </c>
      <c r="T152" s="1728">
        <f t="shared" si="119"/>
        <v>372.86385695032629</v>
      </c>
      <c r="U152" s="1728">
        <f t="shared" si="119"/>
        <v>371.74719757659398</v>
      </c>
      <c r="V152" s="1728">
        <f t="shared" si="119"/>
        <v>370.1788557595541</v>
      </c>
      <c r="W152" s="1728">
        <f t="shared" si="119"/>
        <v>368.61051394251422</v>
      </c>
      <c r="X152" s="1728">
        <f t="shared" si="119"/>
        <v>367.04217212547434</v>
      </c>
      <c r="Y152" s="1728">
        <f t="shared" si="119"/>
        <v>365.47383030843451</v>
      </c>
      <c r="Z152" s="1728">
        <f t="shared" si="119"/>
        <v>363.91803522593096</v>
      </c>
      <c r="AA152" s="1728">
        <f t="shared" si="119"/>
        <v>362.34969340889103</v>
      </c>
      <c r="AB152" s="1728">
        <f t="shared" si="119"/>
        <v>360.78135159185121</v>
      </c>
      <c r="AC152" s="1728">
        <f t="shared" si="119"/>
        <v>359.21300977481133</v>
      </c>
      <c r="AD152" s="1728">
        <f t="shared" si="119"/>
        <v>357.64466795777145</v>
      </c>
      <c r="AE152" s="1728">
        <f t="shared" si="119"/>
        <v>356.07632614073157</v>
      </c>
      <c r="AF152" s="1728">
        <f t="shared" si="119"/>
        <v>354.50798432369174</v>
      </c>
      <c r="AG152" s="1728">
        <f t="shared" si="119"/>
        <v>352.93964250665186</v>
      </c>
      <c r="AH152" s="1728">
        <f t="shared" si="119"/>
        <v>351.37130068961199</v>
      </c>
      <c r="AI152" s="1728">
        <f t="shared" si="119"/>
        <v>349.80295887257211</v>
      </c>
    </row>
    <row r="153" spans="2:35" x14ac:dyDescent="0.35">
      <c r="B153" s="78" t="s">
        <v>283</v>
      </c>
      <c r="C153" s="78"/>
      <c r="D153" s="78"/>
      <c r="E153" s="78"/>
      <c r="F153" s="1728">
        <f t="shared" ref="F153:AI153" si="120">F63*$D$15</f>
        <v>20.156727489152072</v>
      </c>
      <c r="G153" s="1728">
        <f t="shared" si="120"/>
        <v>20.168072488732115</v>
      </c>
      <c r="H153" s="1728">
        <f t="shared" si="120"/>
        <v>20.179417488312154</v>
      </c>
      <c r="I153" s="1728">
        <f t="shared" si="120"/>
        <v>20.190762487892197</v>
      </c>
      <c r="J153" s="1728">
        <f t="shared" si="120"/>
        <v>20.20210748747224</v>
      </c>
      <c r="K153" s="1728">
        <f t="shared" si="120"/>
        <v>20.214787192885225</v>
      </c>
      <c r="L153" s="1728">
        <f t="shared" si="120"/>
        <v>20.184756311643941</v>
      </c>
      <c r="M153" s="1728">
        <f t="shared" si="120"/>
        <v>20.154725430402653</v>
      </c>
      <c r="N153" s="1728">
        <f t="shared" si="120"/>
        <v>20.124694549161365</v>
      </c>
      <c r="O153" s="1728">
        <f t="shared" si="120"/>
        <v>20.094663667920077</v>
      </c>
      <c r="P153" s="1728">
        <f t="shared" si="120"/>
        <v>20.064632786678793</v>
      </c>
      <c r="Q153" s="1728">
        <f t="shared" si="120"/>
        <v>20.006573082945632</v>
      </c>
      <c r="R153" s="1728">
        <f t="shared" si="120"/>
        <v>19.948513379212478</v>
      </c>
      <c r="S153" s="1728">
        <f t="shared" si="120"/>
        <v>19.890453675479325</v>
      </c>
      <c r="T153" s="1728">
        <f t="shared" si="120"/>
        <v>19.832393971746168</v>
      </c>
      <c r="U153" s="1728">
        <f t="shared" si="120"/>
        <v>19.772999562180068</v>
      </c>
      <c r="V153" s="1728">
        <f t="shared" si="120"/>
        <v>19.689580447620937</v>
      </c>
      <c r="W153" s="1728">
        <f t="shared" si="120"/>
        <v>19.606161333061802</v>
      </c>
      <c r="X153" s="1728">
        <f t="shared" si="120"/>
        <v>19.522742218502671</v>
      </c>
      <c r="Y153" s="1728">
        <f t="shared" si="120"/>
        <v>19.43932310394354</v>
      </c>
      <c r="Z153" s="1728">
        <f t="shared" si="120"/>
        <v>19.356571342300882</v>
      </c>
      <c r="AA153" s="1728">
        <f t="shared" si="120"/>
        <v>19.27315222774175</v>
      </c>
      <c r="AB153" s="1728">
        <f t="shared" si="120"/>
        <v>19.189733113182619</v>
      </c>
      <c r="AC153" s="1728">
        <f t="shared" si="120"/>
        <v>19.106313998623488</v>
      </c>
      <c r="AD153" s="1728">
        <f t="shared" si="120"/>
        <v>19.022894884064353</v>
      </c>
      <c r="AE153" s="1728">
        <f t="shared" si="120"/>
        <v>18.939475769505226</v>
      </c>
      <c r="AF153" s="1728">
        <f t="shared" si="120"/>
        <v>18.856056654946094</v>
      </c>
      <c r="AG153" s="1728">
        <f t="shared" si="120"/>
        <v>18.772637540386963</v>
      </c>
      <c r="AH153" s="1728">
        <f t="shared" si="120"/>
        <v>18.689218425827828</v>
      </c>
      <c r="AI153" s="1728">
        <f t="shared" si="120"/>
        <v>18.605799311268697</v>
      </c>
    </row>
    <row r="154" spans="2:35" x14ac:dyDescent="0.35">
      <c r="B154" s="78" t="s">
        <v>12</v>
      </c>
      <c r="C154" s="78"/>
      <c r="D154" s="78"/>
      <c r="E154" s="78"/>
      <c r="F154" s="1728">
        <f t="shared" ref="F154:AI154" si="121">F63*$D$16</f>
        <v>1167.487489738292</v>
      </c>
      <c r="G154" s="1728">
        <f t="shared" si="121"/>
        <v>1168.1445976486862</v>
      </c>
      <c r="H154" s="1728">
        <f t="shared" si="121"/>
        <v>1168.8017055590806</v>
      </c>
      <c r="I154" s="1728">
        <f t="shared" si="121"/>
        <v>1169.4588134694748</v>
      </c>
      <c r="J154" s="1728">
        <f t="shared" si="121"/>
        <v>1170.1159213798694</v>
      </c>
      <c r="K154" s="1728">
        <f t="shared" si="121"/>
        <v>1170.8503361032513</v>
      </c>
      <c r="L154" s="1728">
        <f t="shared" si="121"/>
        <v>1169.1109328110308</v>
      </c>
      <c r="M154" s="1728">
        <f t="shared" si="121"/>
        <v>1167.3715295188103</v>
      </c>
      <c r="N154" s="1728">
        <f t="shared" si="121"/>
        <v>1165.6321262265901</v>
      </c>
      <c r="O154" s="1728">
        <f t="shared" si="121"/>
        <v>1163.8927229343699</v>
      </c>
      <c r="P154" s="1728">
        <f t="shared" si="121"/>
        <v>1162.1533196421494</v>
      </c>
      <c r="Q154" s="1728">
        <f t="shared" si="121"/>
        <v>1158.7904732771901</v>
      </c>
      <c r="R154" s="1728">
        <f t="shared" si="121"/>
        <v>1155.4276269122308</v>
      </c>
      <c r="S154" s="1728">
        <f t="shared" si="121"/>
        <v>1152.0647805472715</v>
      </c>
      <c r="T154" s="1728">
        <f t="shared" si="121"/>
        <v>1148.701934182312</v>
      </c>
      <c r="U154" s="1728">
        <f t="shared" si="121"/>
        <v>1145.2617810043653</v>
      </c>
      <c r="V154" s="1728">
        <f t="shared" si="121"/>
        <v>1140.4301051926423</v>
      </c>
      <c r="W154" s="1728">
        <f t="shared" si="121"/>
        <v>1135.598429380919</v>
      </c>
      <c r="X154" s="1728">
        <f t="shared" si="121"/>
        <v>1130.7667535691958</v>
      </c>
      <c r="Y154" s="1728">
        <f t="shared" si="121"/>
        <v>1125.9350777574728</v>
      </c>
      <c r="Z154" s="1728">
        <f t="shared" si="121"/>
        <v>1121.1420553522432</v>
      </c>
      <c r="AA154" s="1728">
        <f t="shared" si="121"/>
        <v>1116.31037954052</v>
      </c>
      <c r="AB154" s="1728">
        <f t="shared" si="121"/>
        <v>1111.478703728797</v>
      </c>
      <c r="AC154" s="1728">
        <f t="shared" si="121"/>
        <v>1106.6470279170737</v>
      </c>
      <c r="AD154" s="1728">
        <f t="shared" si="121"/>
        <v>1101.8153521053505</v>
      </c>
      <c r="AE154" s="1728">
        <f t="shared" si="121"/>
        <v>1096.9836762936275</v>
      </c>
      <c r="AF154" s="1728">
        <f t="shared" si="121"/>
        <v>1092.1520004819042</v>
      </c>
      <c r="AG154" s="1728">
        <f t="shared" si="121"/>
        <v>1087.3203246701812</v>
      </c>
      <c r="AH154" s="1728">
        <f t="shared" si="121"/>
        <v>1082.488648858458</v>
      </c>
      <c r="AI154" s="1728">
        <f t="shared" si="121"/>
        <v>1077.6569730467347</v>
      </c>
    </row>
    <row r="155" spans="2:35" x14ac:dyDescent="0.35">
      <c r="B155" s="78" t="s">
        <v>13</v>
      </c>
      <c r="C155" s="78"/>
      <c r="D155" s="78"/>
      <c r="E155" s="78"/>
      <c r="F155" s="1728">
        <f t="shared" ref="F155:AI155" si="122">F63*$D$17</f>
        <v>86.234845179719073</v>
      </c>
      <c r="G155" s="1728">
        <f t="shared" si="122"/>
        <v>86.283381544705676</v>
      </c>
      <c r="H155" s="1728">
        <f t="shared" si="122"/>
        <v>86.331917909692265</v>
      </c>
      <c r="I155" s="1728">
        <f t="shared" si="122"/>
        <v>86.380454274678868</v>
      </c>
      <c r="J155" s="1728">
        <f t="shared" si="122"/>
        <v>86.428990639665471</v>
      </c>
      <c r="K155" s="1728">
        <f t="shared" si="122"/>
        <v>86.48323716523872</v>
      </c>
      <c r="L155" s="1728">
        <f t="shared" si="122"/>
        <v>86.354758552038902</v>
      </c>
      <c r="M155" s="1728">
        <f t="shared" si="122"/>
        <v>86.226279938839085</v>
      </c>
      <c r="N155" s="1728">
        <f t="shared" si="122"/>
        <v>86.097801325639253</v>
      </c>
      <c r="O155" s="1728">
        <f t="shared" si="122"/>
        <v>85.96932271243945</v>
      </c>
      <c r="P155" s="1728">
        <f t="shared" si="122"/>
        <v>85.840844099239632</v>
      </c>
      <c r="Q155" s="1728">
        <f t="shared" si="122"/>
        <v>85.592452113719972</v>
      </c>
      <c r="R155" s="1728">
        <f t="shared" si="122"/>
        <v>85.344060128200326</v>
      </c>
      <c r="S155" s="1728">
        <f t="shared" si="122"/>
        <v>85.095668142680665</v>
      </c>
      <c r="T155" s="1728">
        <f t="shared" si="122"/>
        <v>84.847276157161019</v>
      </c>
      <c r="U155" s="1728">
        <f t="shared" si="122"/>
        <v>84.593174011054714</v>
      </c>
      <c r="V155" s="1728">
        <f t="shared" si="122"/>
        <v>84.236288974388543</v>
      </c>
      <c r="W155" s="1728">
        <f t="shared" si="122"/>
        <v>83.879403937722373</v>
      </c>
      <c r="X155" s="1728">
        <f t="shared" si="122"/>
        <v>83.522518901056202</v>
      </c>
      <c r="Y155" s="1728">
        <f t="shared" si="122"/>
        <v>83.165633864390045</v>
      </c>
      <c r="Z155" s="1728">
        <f t="shared" si="122"/>
        <v>82.811603908017204</v>
      </c>
      <c r="AA155" s="1728">
        <f t="shared" si="122"/>
        <v>82.454718871351034</v>
      </c>
      <c r="AB155" s="1728">
        <f t="shared" si="122"/>
        <v>82.097833834684877</v>
      </c>
      <c r="AC155" s="1728">
        <f t="shared" si="122"/>
        <v>81.740948798018707</v>
      </c>
      <c r="AD155" s="1728">
        <f t="shared" si="122"/>
        <v>81.384063761352536</v>
      </c>
      <c r="AE155" s="1728">
        <f t="shared" si="122"/>
        <v>81.027178724686379</v>
      </c>
      <c r="AF155" s="1728">
        <f t="shared" si="122"/>
        <v>80.670293688020209</v>
      </c>
      <c r="AG155" s="1728">
        <f t="shared" si="122"/>
        <v>80.313408651354052</v>
      </c>
      <c r="AH155" s="1728">
        <f t="shared" si="122"/>
        <v>79.956523614687868</v>
      </c>
      <c r="AI155" s="1728">
        <f t="shared" si="122"/>
        <v>79.599638578021711</v>
      </c>
    </row>
    <row r="156" spans="2:35" x14ac:dyDescent="0.35">
      <c r="B156" s="78" t="s">
        <v>14</v>
      </c>
      <c r="C156" s="78"/>
      <c r="D156" s="78"/>
      <c r="E156" s="78"/>
      <c r="F156" s="1728">
        <f t="shared" ref="F156:AI156" si="123">F63*$D$18</f>
        <v>124.15660785566095</v>
      </c>
      <c r="G156" s="1728">
        <f t="shared" si="123"/>
        <v>124.22648808124518</v>
      </c>
      <c r="H156" s="1728">
        <f t="shared" si="123"/>
        <v>124.29636830682941</v>
      </c>
      <c r="I156" s="1728">
        <f t="shared" si="123"/>
        <v>124.36624853241365</v>
      </c>
      <c r="J156" s="1728">
        <f t="shared" si="123"/>
        <v>124.43612875799789</v>
      </c>
      <c r="K156" s="1728">
        <f t="shared" si="123"/>
        <v>124.51423018659203</v>
      </c>
      <c r="L156" s="1728">
        <f t="shared" si="123"/>
        <v>124.32925311886905</v>
      </c>
      <c r="M156" s="1728">
        <f t="shared" si="123"/>
        <v>124.14427605114608</v>
      </c>
      <c r="N156" s="1728">
        <f t="shared" si="123"/>
        <v>123.9592989834231</v>
      </c>
      <c r="O156" s="1728">
        <f t="shared" si="123"/>
        <v>123.77432191570014</v>
      </c>
      <c r="P156" s="1728">
        <f t="shared" si="123"/>
        <v>123.58934484797716</v>
      </c>
      <c r="Q156" s="1728">
        <f t="shared" si="123"/>
        <v>123.23172251704607</v>
      </c>
      <c r="R156" s="1728">
        <f t="shared" si="123"/>
        <v>122.87410018611499</v>
      </c>
      <c r="S156" s="1728">
        <f t="shared" si="123"/>
        <v>122.51647785518391</v>
      </c>
      <c r="T156" s="1728">
        <f t="shared" si="123"/>
        <v>122.1588555242528</v>
      </c>
      <c r="U156" s="1728">
        <f t="shared" si="123"/>
        <v>121.79301199031183</v>
      </c>
      <c r="V156" s="1728">
        <f t="shared" si="123"/>
        <v>121.27918680219246</v>
      </c>
      <c r="W156" s="1728">
        <f t="shared" si="123"/>
        <v>120.76536161407306</v>
      </c>
      <c r="X156" s="1728">
        <f t="shared" si="123"/>
        <v>120.25153642595369</v>
      </c>
      <c r="Y156" s="1728">
        <f t="shared" si="123"/>
        <v>119.73771123783432</v>
      </c>
      <c r="Z156" s="1728">
        <f t="shared" si="123"/>
        <v>119.2279966512199</v>
      </c>
      <c r="AA156" s="1728">
        <f t="shared" si="123"/>
        <v>118.71417146310051</v>
      </c>
      <c r="AB156" s="1728">
        <f t="shared" si="123"/>
        <v>118.20034627498114</v>
      </c>
      <c r="AC156" s="1728">
        <f t="shared" si="123"/>
        <v>117.68652108686177</v>
      </c>
      <c r="AD156" s="1728">
        <f t="shared" si="123"/>
        <v>117.17269589874239</v>
      </c>
      <c r="AE156" s="1728">
        <f t="shared" si="123"/>
        <v>116.65887071062302</v>
      </c>
      <c r="AF156" s="1728">
        <f t="shared" si="123"/>
        <v>116.14504552250365</v>
      </c>
      <c r="AG156" s="1728">
        <f t="shared" si="123"/>
        <v>115.63122033438428</v>
      </c>
      <c r="AH156" s="1728">
        <f t="shared" si="123"/>
        <v>115.11739514626488</v>
      </c>
      <c r="AI156" s="1728">
        <f t="shared" si="123"/>
        <v>114.60356995814551</v>
      </c>
    </row>
    <row r="157" spans="2:35" x14ac:dyDescent="0.35">
      <c r="B157" s="728" t="s">
        <v>200</v>
      </c>
      <c r="C157" s="728"/>
      <c r="D157" s="728"/>
      <c r="E157" s="728"/>
      <c r="F157" s="1729">
        <f>SUM(F146:F156)</f>
        <v>12699.81297155119</v>
      </c>
      <c r="G157" s="1729">
        <f t="shared" ref="G157" si="124">SUM(G146:G156)</f>
        <v>12706.960926143838</v>
      </c>
      <c r="H157" s="1729">
        <f t="shared" ref="H157" si="125">SUM(H146:H156)</f>
        <v>12714.108880736489</v>
      </c>
      <c r="I157" s="1729">
        <f t="shared" ref="I157" si="126">SUM(I146:I156)</f>
        <v>12721.256835329134</v>
      </c>
      <c r="J157" s="1729">
        <f t="shared" ref="J157" si="127">SUM(J146:J156)</f>
        <v>12728.404789921784</v>
      </c>
      <c r="K157" s="1729">
        <f t="shared" ref="K157" si="128">SUM(K146:K156)</f>
        <v>12736.393680348861</v>
      </c>
      <c r="L157" s="1729">
        <f t="shared" ref="L157" si="129">SUM(L146:L156)</f>
        <v>12717.472624074204</v>
      </c>
      <c r="M157" s="1729">
        <f t="shared" ref="M157" si="130">SUM(M146:M156)</f>
        <v>12698.551567799545</v>
      </c>
      <c r="N157" s="1729">
        <f t="shared" ref="N157" si="131">SUM(N146:N156)</f>
        <v>12679.630511524883</v>
      </c>
      <c r="O157" s="1729">
        <f t="shared" ref="O157" si="132">SUM(O146:O156)</f>
        <v>12660.709455250224</v>
      </c>
      <c r="P157" s="1729">
        <f t="shared" ref="P157" si="133">SUM(P146:P156)</f>
        <v>12641.788398975565</v>
      </c>
      <c r="Q157" s="1729">
        <f t="shared" ref="Q157" si="134">SUM(Q146:Q156)</f>
        <v>12605.207690177891</v>
      </c>
      <c r="R157" s="1729">
        <f t="shared" ref="R157" si="135">SUM(R146:R156)</f>
        <v>12568.626981380219</v>
      </c>
      <c r="S157" s="1729">
        <f t="shared" ref="S157" si="136">SUM(S146:S156)</f>
        <v>12532.046272582545</v>
      </c>
      <c r="T157" s="1729">
        <f t="shared" ref="T157" si="137">SUM(T146:T156)</f>
        <v>12495.465563784868</v>
      </c>
      <c r="U157" s="1729">
        <f t="shared" ref="U157" si="138">SUM(U146:U156)</f>
        <v>12458.043919152769</v>
      </c>
      <c r="V157" s="1729">
        <f t="shared" ref="V157" si="139">SUM(V146:V156)</f>
        <v>12405.485429500935</v>
      </c>
      <c r="W157" s="1729">
        <f t="shared" ref="W157" si="140">SUM(W146:W156)</f>
        <v>12352.926939849107</v>
      </c>
      <c r="X157" s="1729">
        <f t="shared" ref="X157" si="141">SUM(X146:X156)</f>
        <v>12300.368450197278</v>
      </c>
      <c r="Y157" s="1729">
        <f t="shared" ref="Y157" si="142">SUM(Y146:Y156)</f>
        <v>12247.809960545441</v>
      </c>
      <c r="Z157" s="1729">
        <f t="shared" ref="Z157" si="143">SUM(Z146:Z156)</f>
        <v>12195.671938810829</v>
      </c>
      <c r="AA157" s="1729">
        <f t="shared" ref="AA157" si="144">SUM(AA146:AA156)</f>
        <v>12143.113449158995</v>
      </c>
      <c r="AB157" s="1729">
        <f t="shared" ref="AB157" si="145">SUM(AB146:AB156)</f>
        <v>12090.554959507166</v>
      </c>
      <c r="AC157" s="1729">
        <f t="shared" ref="AC157" si="146">SUM(AC146:AC156)</f>
        <v>12037.996469855332</v>
      </c>
      <c r="AD157" s="1729">
        <f t="shared" ref="AD157" si="147">SUM(AD146:AD156)</f>
        <v>11985.437980203502</v>
      </c>
      <c r="AE157" s="1729">
        <f t="shared" ref="AE157" si="148">SUM(AE146:AE156)</f>
        <v>11932.879490551673</v>
      </c>
      <c r="AF157" s="1729">
        <f t="shared" ref="AF157" si="149">SUM(AF146:AF156)</f>
        <v>11880.321000899843</v>
      </c>
      <c r="AG157" s="1729">
        <f t="shared" ref="AG157" si="150">SUM(AG146:AG156)</f>
        <v>11827.762511248013</v>
      </c>
      <c r="AH157" s="1729">
        <f t="shared" ref="AH157" si="151">SUM(AH146:AH156)</f>
        <v>11775.204021596179</v>
      </c>
      <c r="AI157" s="1729">
        <f t="shared" ref="AI157" si="152">SUM(AI146:AI156)</f>
        <v>11722.64553194435</v>
      </c>
    </row>
    <row r="158" spans="2:35" x14ac:dyDescent="0.35">
      <c r="E158" s="281" t="s">
        <v>332</v>
      </c>
      <c r="F158" s="1725">
        <f t="shared" ref="F158:AI158" si="153">F157-F63</f>
        <v>0</v>
      </c>
      <c r="G158" s="1725">
        <f t="shared" si="153"/>
        <v>0</v>
      </c>
      <c r="H158" s="1725">
        <f t="shared" si="153"/>
        <v>0</v>
      </c>
      <c r="I158" s="1725">
        <f t="shared" si="153"/>
        <v>0</v>
      </c>
      <c r="J158" s="1725">
        <f t="shared" si="153"/>
        <v>0</v>
      </c>
      <c r="K158" s="1725">
        <f t="shared" si="153"/>
        <v>0</v>
      </c>
      <c r="L158" s="1725">
        <f t="shared" si="153"/>
        <v>0</v>
      </c>
      <c r="M158" s="1725">
        <f t="shared" si="153"/>
        <v>0</v>
      </c>
      <c r="N158" s="1725">
        <f t="shared" si="153"/>
        <v>0</v>
      </c>
      <c r="O158" s="1725">
        <f t="shared" si="153"/>
        <v>0</v>
      </c>
      <c r="P158" s="1725">
        <f t="shared" si="153"/>
        <v>0</v>
      </c>
      <c r="Q158" s="1725">
        <f t="shared" si="153"/>
        <v>0</v>
      </c>
      <c r="R158" s="1725">
        <f t="shared" si="153"/>
        <v>0</v>
      </c>
      <c r="S158" s="1725">
        <f t="shared" si="153"/>
        <v>0</v>
      </c>
      <c r="T158" s="1725">
        <f t="shared" si="153"/>
        <v>0</v>
      </c>
      <c r="U158" s="1725">
        <f t="shared" si="153"/>
        <v>0</v>
      </c>
      <c r="V158" s="1725">
        <f t="shared" si="153"/>
        <v>0</v>
      </c>
      <c r="W158" s="1725">
        <f t="shared" si="153"/>
        <v>0</v>
      </c>
      <c r="X158" s="1725">
        <f t="shared" si="153"/>
        <v>0</v>
      </c>
      <c r="Y158" s="1725">
        <f t="shared" si="153"/>
        <v>0</v>
      </c>
      <c r="Z158" s="1725">
        <f t="shared" si="153"/>
        <v>0</v>
      </c>
      <c r="AA158" s="1725">
        <f t="shared" si="153"/>
        <v>0</v>
      </c>
      <c r="AB158" s="1725">
        <f t="shared" si="153"/>
        <v>0</v>
      </c>
      <c r="AC158" s="1725">
        <f t="shared" si="153"/>
        <v>0</v>
      </c>
      <c r="AD158" s="1725">
        <f t="shared" si="153"/>
        <v>0</v>
      </c>
      <c r="AE158" s="1725">
        <f t="shared" si="153"/>
        <v>0</v>
      </c>
      <c r="AF158" s="1725">
        <f t="shared" si="153"/>
        <v>0</v>
      </c>
      <c r="AG158" s="1725">
        <f t="shared" si="153"/>
        <v>0</v>
      </c>
      <c r="AH158" s="1725">
        <f t="shared" si="153"/>
        <v>0</v>
      </c>
      <c r="AI158" s="1725">
        <f t="shared" si="153"/>
        <v>0</v>
      </c>
    </row>
    <row r="159" spans="2:35" ht="15.5" x14ac:dyDescent="0.35">
      <c r="B159" s="86" t="s">
        <v>3</v>
      </c>
    </row>
    <row r="160" spans="2:35" x14ac:dyDescent="0.35">
      <c r="B160" s="780" t="s">
        <v>273</v>
      </c>
      <c r="C160" s="780"/>
      <c r="D160" s="780"/>
      <c r="E160" s="780"/>
      <c r="F160" s="1727">
        <v>1</v>
      </c>
      <c r="G160" s="1727">
        <f>F160+1</f>
        <v>2</v>
      </c>
      <c r="H160" s="1727">
        <f t="shared" ref="H160" si="154">G160+1</f>
        <v>3</v>
      </c>
      <c r="I160" s="1727">
        <f t="shared" ref="I160" si="155">H160+1</f>
        <v>4</v>
      </c>
      <c r="J160" s="1727">
        <f t="shared" ref="J160" si="156">I160+1</f>
        <v>5</v>
      </c>
      <c r="K160" s="1727">
        <f t="shared" ref="K160" si="157">J160+1</f>
        <v>6</v>
      </c>
      <c r="L160" s="1727">
        <f t="shared" ref="L160" si="158">K160+1</f>
        <v>7</v>
      </c>
      <c r="M160" s="1727">
        <f t="shared" ref="M160" si="159">L160+1</f>
        <v>8</v>
      </c>
      <c r="N160" s="1727">
        <f t="shared" ref="N160" si="160">M160+1</f>
        <v>9</v>
      </c>
      <c r="O160" s="1727">
        <f t="shared" ref="O160" si="161">N160+1</f>
        <v>10</v>
      </c>
      <c r="P160" s="1727">
        <f t="shared" ref="P160" si="162">O160+1</f>
        <v>11</v>
      </c>
      <c r="Q160" s="1727">
        <f t="shared" ref="Q160" si="163">P160+1</f>
        <v>12</v>
      </c>
      <c r="R160" s="1727">
        <f t="shared" ref="R160" si="164">Q160+1</f>
        <v>13</v>
      </c>
      <c r="S160" s="1727">
        <f t="shared" ref="S160" si="165">R160+1</f>
        <v>14</v>
      </c>
      <c r="T160" s="1727">
        <f t="shared" ref="T160" si="166">S160+1</f>
        <v>15</v>
      </c>
      <c r="U160" s="1727">
        <f t="shared" ref="U160" si="167">T160+1</f>
        <v>16</v>
      </c>
      <c r="V160" s="1727">
        <f t="shared" ref="V160" si="168">U160+1</f>
        <v>17</v>
      </c>
      <c r="W160" s="1727">
        <f t="shared" ref="W160" si="169">V160+1</f>
        <v>18</v>
      </c>
      <c r="X160" s="1727">
        <f t="shared" ref="X160" si="170">W160+1</f>
        <v>19</v>
      </c>
      <c r="Y160" s="1727">
        <f t="shared" ref="Y160" si="171">X160+1</f>
        <v>20</v>
      </c>
      <c r="Z160" s="1727">
        <f t="shared" ref="Z160" si="172">Y160+1</f>
        <v>21</v>
      </c>
      <c r="AA160" s="1727">
        <f t="shared" ref="AA160" si="173">Z160+1</f>
        <v>22</v>
      </c>
      <c r="AB160" s="1727">
        <f t="shared" ref="AB160" si="174">AA160+1</f>
        <v>23</v>
      </c>
      <c r="AC160" s="1727">
        <f t="shared" ref="AC160" si="175">AB160+1</f>
        <v>24</v>
      </c>
      <c r="AD160" s="1727">
        <f t="shared" ref="AD160" si="176">AC160+1</f>
        <v>25</v>
      </c>
      <c r="AE160" s="1727">
        <f t="shared" ref="AE160" si="177">AD160+1</f>
        <v>26</v>
      </c>
      <c r="AF160" s="1727">
        <f t="shared" ref="AF160" si="178">AE160+1</f>
        <v>27</v>
      </c>
      <c r="AG160" s="1727">
        <f t="shared" ref="AG160" si="179">AF160+1</f>
        <v>28</v>
      </c>
      <c r="AH160" s="1727">
        <f t="shared" ref="AH160" si="180">AG160+1</f>
        <v>29</v>
      </c>
      <c r="AI160" s="1727">
        <f t="shared" ref="AI160" si="181">AH160+1</f>
        <v>30</v>
      </c>
    </row>
    <row r="161" spans="2:35" x14ac:dyDescent="0.35">
      <c r="B161" s="78" t="s">
        <v>276</v>
      </c>
      <c r="C161" s="78"/>
      <c r="D161" s="78"/>
      <c r="E161" s="78"/>
      <c r="F161" s="1728">
        <f t="shared" ref="F161:AI161" si="182">F64*$E$8</f>
        <v>1017.9468059873441</v>
      </c>
      <c r="G161" s="1728">
        <f t="shared" si="182"/>
        <v>1019.0635880015924</v>
      </c>
      <c r="H161" s="1728">
        <f t="shared" si="182"/>
        <v>1020.1803700158408</v>
      </c>
      <c r="I161" s="1728">
        <f t="shared" si="182"/>
        <v>1021.2971520300891</v>
      </c>
      <c r="J161" s="1728">
        <f t="shared" si="182"/>
        <v>1022.4139340443375</v>
      </c>
      <c r="K161" s="1728">
        <f t="shared" si="182"/>
        <v>1024.0891070657099</v>
      </c>
      <c r="L161" s="1728">
        <f t="shared" si="182"/>
        <v>1023.8099115621478</v>
      </c>
      <c r="M161" s="1728">
        <f t="shared" si="182"/>
        <v>1023.5307160585857</v>
      </c>
      <c r="N161" s="1728">
        <f t="shared" si="182"/>
        <v>1023.2515205550237</v>
      </c>
      <c r="O161" s="1728">
        <f t="shared" si="182"/>
        <v>1022.9723250514616</v>
      </c>
      <c r="P161" s="1728">
        <f t="shared" si="182"/>
        <v>1022.1347385407754</v>
      </c>
      <c r="Q161" s="1728">
        <f t="shared" si="182"/>
        <v>1019.9011745122787</v>
      </c>
      <c r="R161" s="1728">
        <f t="shared" si="182"/>
        <v>1017.667610483782</v>
      </c>
      <c r="S161" s="1728">
        <f t="shared" si="182"/>
        <v>1015.4340464552854</v>
      </c>
      <c r="T161" s="1728">
        <f t="shared" si="182"/>
        <v>1013.2004824267888</v>
      </c>
      <c r="U161" s="1728">
        <f t="shared" si="182"/>
        <v>1011.2461139018542</v>
      </c>
      <c r="V161" s="1728">
        <f t="shared" si="182"/>
        <v>1007.8957678591092</v>
      </c>
      <c r="W161" s="1728">
        <f t="shared" si="182"/>
        <v>1004.5454218163643</v>
      </c>
      <c r="X161" s="1728">
        <f t="shared" si="182"/>
        <v>1001.1950757736194</v>
      </c>
      <c r="Y161" s="1728">
        <f t="shared" si="182"/>
        <v>997.84472973087441</v>
      </c>
      <c r="Z161" s="1728">
        <f t="shared" si="182"/>
        <v>994.49438368812946</v>
      </c>
      <c r="AA161" s="1728">
        <f t="shared" si="182"/>
        <v>991.1440376453844</v>
      </c>
      <c r="AB161" s="1728">
        <f t="shared" si="182"/>
        <v>987.79369160263946</v>
      </c>
      <c r="AC161" s="1728">
        <f t="shared" si="182"/>
        <v>984.44334555989451</v>
      </c>
      <c r="AD161" s="1728">
        <f t="shared" si="182"/>
        <v>981.09299951714945</v>
      </c>
      <c r="AE161" s="1728">
        <f t="shared" si="182"/>
        <v>977.74265347440462</v>
      </c>
      <c r="AF161" s="1728">
        <f t="shared" si="182"/>
        <v>974.39230743165956</v>
      </c>
      <c r="AG161" s="1728">
        <f t="shared" si="182"/>
        <v>971.04196138891473</v>
      </c>
      <c r="AH161" s="1728">
        <f t="shared" si="182"/>
        <v>967.69161534616967</v>
      </c>
      <c r="AI161" s="1728">
        <f t="shared" si="182"/>
        <v>964.34126930342472</v>
      </c>
    </row>
    <row r="162" spans="2:35" x14ac:dyDescent="0.35">
      <c r="B162" s="78" t="s">
        <v>277</v>
      </c>
      <c r="C162" s="78"/>
      <c r="D162" s="78"/>
      <c r="E162" s="78"/>
      <c r="F162" s="1728">
        <f t="shared" ref="F162:AI162" si="183">F64*$E$9</f>
        <v>27.458558143469364</v>
      </c>
      <c r="G162" s="1728">
        <f t="shared" si="183"/>
        <v>27.488682727280082</v>
      </c>
      <c r="H162" s="1728">
        <f t="shared" si="183"/>
        <v>27.5188073110908</v>
      </c>
      <c r="I162" s="1728">
        <f t="shared" si="183"/>
        <v>27.548931894901521</v>
      </c>
      <c r="J162" s="1728">
        <f t="shared" si="183"/>
        <v>27.579056478712239</v>
      </c>
      <c r="K162" s="1728">
        <f t="shared" si="183"/>
        <v>27.624243354428316</v>
      </c>
      <c r="L162" s="1728">
        <f t="shared" si="183"/>
        <v>27.616712208475633</v>
      </c>
      <c r="M162" s="1728">
        <f t="shared" si="183"/>
        <v>27.609181062522953</v>
      </c>
      <c r="N162" s="1728">
        <f t="shared" si="183"/>
        <v>27.601649916570278</v>
      </c>
      <c r="O162" s="1728">
        <f t="shared" si="183"/>
        <v>27.594118770617595</v>
      </c>
      <c r="P162" s="1728">
        <f t="shared" si="183"/>
        <v>27.57152533275956</v>
      </c>
      <c r="Q162" s="1728">
        <f t="shared" si="183"/>
        <v>27.511276165138121</v>
      </c>
      <c r="R162" s="1728">
        <f t="shared" si="183"/>
        <v>27.451026997516685</v>
      </c>
      <c r="S162" s="1728">
        <f t="shared" si="183"/>
        <v>27.390777829895249</v>
      </c>
      <c r="T162" s="1728">
        <f t="shared" si="183"/>
        <v>27.330528662273814</v>
      </c>
      <c r="U162" s="1728">
        <f t="shared" si="183"/>
        <v>27.277810640605058</v>
      </c>
      <c r="V162" s="1728">
        <f t="shared" si="183"/>
        <v>27.187436889172904</v>
      </c>
      <c r="W162" s="1728">
        <f t="shared" si="183"/>
        <v>27.097063137740751</v>
      </c>
      <c r="X162" s="1728">
        <f t="shared" si="183"/>
        <v>27.006689386308597</v>
      </c>
      <c r="Y162" s="1728">
        <f t="shared" si="183"/>
        <v>26.916315634876444</v>
      </c>
      <c r="Z162" s="1728">
        <f t="shared" si="183"/>
        <v>26.82594188344429</v>
      </c>
      <c r="AA162" s="1728">
        <f t="shared" si="183"/>
        <v>26.735568132012137</v>
      </c>
      <c r="AB162" s="1728">
        <f t="shared" si="183"/>
        <v>26.64519438057998</v>
      </c>
      <c r="AC162" s="1728">
        <f t="shared" si="183"/>
        <v>26.554820629147827</v>
      </c>
      <c r="AD162" s="1728">
        <f t="shared" si="183"/>
        <v>26.464446877715673</v>
      </c>
      <c r="AE162" s="1728">
        <f t="shared" si="183"/>
        <v>26.37407312628352</v>
      </c>
      <c r="AF162" s="1728">
        <f t="shared" si="183"/>
        <v>26.283699374851366</v>
      </c>
      <c r="AG162" s="1728">
        <f t="shared" si="183"/>
        <v>26.193325623419213</v>
      </c>
      <c r="AH162" s="1728">
        <f t="shared" si="183"/>
        <v>26.102951871987059</v>
      </c>
      <c r="AI162" s="1728">
        <f t="shared" si="183"/>
        <v>26.012578120554906</v>
      </c>
    </row>
    <row r="163" spans="2:35" x14ac:dyDescent="0.35">
      <c r="B163" s="78" t="s">
        <v>278</v>
      </c>
      <c r="C163" s="78"/>
      <c r="D163" s="78"/>
      <c r="E163" s="78"/>
      <c r="F163" s="1728">
        <f t="shared" ref="F163:AI163" si="184">F64*$E$10</f>
        <v>120.02579289687192</v>
      </c>
      <c r="G163" s="1728">
        <f t="shared" si="184"/>
        <v>120.15747231859092</v>
      </c>
      <c r="H163" s="1728">
        <f t="shared" si="184"/>
        <v>120.28915174030993</v>
      </c>
      <c r="I163" s="1728">
        <f t="shared" si="184"/>
        <v>120.42083116202893</v>
      </c>
      <c r="J163" s="1728">
        <f t="shared" si="184"/>
        <v>120.55251058374795</v>
      </c>
      <c r="K163" s="1728">
        <f t="shared" si="184"/>
        <v>120.75002971632644</v>
      </c>
      <c r="L163" s="1728">
        <f t="shared" si="184"/>
        <v>120.71710986089668</v>
      </c>
      <c r="M163" s="1728">
        <f t="shared" si="184"/>
        <v>120.68419000546693</v>
      </c>
      <c r="N163" s="1728">
        <f t="shared" si="184"/>
        <v>120.65127015003719</v>
      </c>
      <c r="O163" s="1728">
        <f t="shared" si="184"/>
        <v>120.61835029460744</v>
      </c>
      <c r="P163" s="1728">
        <f t="shared" si="184"/>
        <v>120.51959072831819</v>
      </c>
      <c r="Q163" s="1728">
        <f t="shared" si="184"/>
        <v>120.25623188488018</v>
      </c>
      <c r="R163" s="1728">
        <f t="shared" si="184"/>
        <v>119.99287304144217</v>
      </c>
      <c r="S163" s="1728">
        <f t="shared" si="184"/>
        <v>119.72951419800417</v>
      </c>
      <c r="T163" s="1728">
        <f t="shared" si="184"/>
        <v>119.46615535456615</v>
      </c>
      <c r="U163" s="1728">
        <f t="shared" si="184"/>
        <v>119.2357163665579</v>
      </c>
      <c r="V163" s="1728">
        <f t="shared" si="184"/>
        <v>118.8406781014009</v>
      </c>
      <c r="W163" s="1728">
        <f t="shared" si="184"/>
        <v>118.44563983624387</v>
      </c>
      <c r="X163" s="1728">
        <f t="shared" si="184"/>
        <v>118.05060157108687</v>
      </c>
      <c r="Y163" s="1728">
        <f t="shared" si="184"/>
        <v>117.65556330592985</v>
      </c>
      <c r="Z163" s="1728">
        <f t="shared" si="184"/>
        <v>117.26052504077285</v>
      </c>
      <c r="AA163" s="1728">
        <f t="shared" si="184"/>
        <v>116.86548677561584</v>
      </c>
      <c r="AB163" s="1728">
        <f t="shared" si="184"/>
        <v>116.47044851045881</v>
      </c>
      <c r="AC163" s="1728">
        <f t="shared" si="184"/>
        <v>116.07541024530181</v>
      </c>
      <c r="AD163" s="1728">
        <f t="shared" si="184"/>
        <v>115.68037198014478</v>
      </c>
      <c r="AE163" s="1728">
        <f t="shared" si="184"/>
        <v>115.28533371498779</v>
      </c>
      <c r="AF163" s="1728">
        <f t="shared" si="184"/>
        <v>114.89029544983076</v>
      </c>
      <c r="AG163" s="1728">
        <f t="shared" si="184"/>
        <v>114.49525718467376</v>
      </c>
      <c r="AH163" s="1728">
        <f t="shared" si="184"/>
        <v>114.10021891951675</v>
      </c>
      <c r="AI163" s="1728">
        <f t="shared" si="184"/>
        <v>113.70518065435974</v>
      </c>
    </row>
    <row r="164" spans="2:35" x14ac:dyDescent="0.35">
      <c r="B164" s="78" t="s">
        <v>279</v>
      </c>
      <c r="C164" s="78"/>
      <c r="D164" s="78"/>
      <c r="E164" s="78"/>
      <c r="F164" s="1728">
        <f t="shared" ref="F164:AI164" si="185">F64*$E$11</f>
        <v>138.01766098717485</v>
      </c>
      <c r="G164" s="1728">
        <f t="shared" si="185"/>
        <v>138.16907915611304</v>
      </c>
      <c r="H164" s="1728">
        <f t="shared" si="185"/>
        <v>138.32049732505126</v>
      </c>
      <c r="I164" s="1728">
        <f t="shared" si="185"/>
        <v>138.47191549398948</v>
      </c>
      <c r="J164" s="1728">
        <f t="shared" si="185"/>
        <v>138.62333366292768</v>
      </c>
      <c r="K164" s="1728">
        <f t="shared" si="185"/>
        <v>138.85046091633498</v>
      </c>
      <c r="L164" s="1728">
        <f t="shared" si="185"/>
        <v>138.81260637410043</v>
      </c>
      <c r="M164" s="1728">
        <f t="shared" si="185"/>
        <v>138.77475183186587</v>
      </c>
      <c r="N164" s="1728">
        <f t="shared" si="185"/>
        <v>138.73689728963134</v>
      </c>
      <c r="O164" s="1728">
        <f t="shared" si="185"/>
        <v>138.69904274739679</v>
      </c>
      <c r="P164" s="1728">
        <f t="shared" si="185"/>
        <v>138.58547912069312</v>
      </c>
      <c r="Q164" s="1728">
        <f t="shared" si="185"/>
        <v>138.28264278281671</v>
      </c>
      <c r="R164" s="1728">
        <f t="shared" si="185"/>
        <v>137.97980644494029</v>
      </c>
      <c r="S164" s="1728">
        <f t="shared" si="185"/>
        <v>137.67697010706388</v>
      </c>
      <c r="T164" s="1728">
        <f t="shared" si="185"/>
        <v>137.37413376918747</v>
      </c>
      <c r="U164" s="1728">
        <f t="shared" si="185"/>
        <v>137.10915197354561</v>
      </c>
      <c r="V164" s="1728">
        <f t="shared" si="185"/>
        <v>136.654897466731</v>
      </c>
      <c r="W164" s="1728">
        <f t="shared" si="185"/>
        <v>136.20064295991637</v>
      </c>
      <c r="X164" s="1728">
        <f t="shared" si="185"/>
        <v>135.74638845310176</v>
      </c>
      <c r="Y164" s="1728">
        <f t="shared" si="185"/>
        <v>135.29213394628715</v>
      </c>
      <c r="Z164" s="1728">
        <f t="shared" si="185"/>
        <v>134.83787943947252</v>
      </c>
      <c r="AA164" s="1728">
        <f t="shared" si="185"/>
        <v>134.38362493265791</v>
      </c>
      <c r="AB164" s="1728">
        <f t="shared" si="185"/>
        <v>133.92937042584327</v>
      </c>
      <c r="AC164" s="1728">
        <f t="shared" si="185"/>
        <v>133.47511591902867</v>
      </c>
      <c r="AD164" s="1728">
        <f t="shared" si="185"/>
        <v>133.02086141221403</v>
      </c>
      <c r="AE164" s="1728">
        <f t="shared" si="185"/>
        <v>132.56660690539942</v>
      </c>
      <c r="AF164" s="1728">
        <f t="shared" si="185"/>
        <v>132.11235239858479</v>
      </c>
      <c r="AG164" s="1728">
        <f t="shared" si="185"/>
        <v>131.65809789177018</v>
      </c>
      <c r="AH164" s="1728">
        <f t="shared" si="185"/>
        <v>131.20384338495558</v>
      </c>
      <c r="AI164" s="1728">
        <f t="shared" si="185"/>
        <v>130.74958887814097</v>
      </c>
    </row>
    <row r="165" spans="2:35" x14ac:dyDescent="0.35">
      <c r="B165" s="78" t="s">
        <v>280</v>
      </c>
      <c r="C165" s="78"/>
      <c r="D165" s="78"/>
      <c r="E165" s="78"/>
      <c r="F165" s="1728">
        <f t="shared" ref="F165:AI165" si="186">F64*$E$12</f>
        <v>101.89246907239713</v>
      </c>
      <c r="G165" s="1728">
        <f t="shared" si="186"/>
        <v>102.00425455684299</v>
      </c>
      <c r="H165" s="1728">
        <f t="shared" si="186"/>
        <v>102.11604004128885</v>
      </c>
      <c r="I165" s="1728">
        <f t="shared" si="186"/>
        <v>102.2278255257347</v>
      </c>
      <c r="J165" s="1728">
        <f t="shared" si="186"/>
        <v>102.33961101018056</v>
      </c>
      <c r="K165" s="1728">
        <f t="shared" si="186"/>
        <v>102.50728923684935</v>
      </c>
      <c r="L165" s="1728">
        <f t="shared" si="186"/>
        <v>102.47934286573788</v>
      </c>
      <c r="M165" s="1728">
        <f t="shared" si="186"/>
        <v>102.45139649462641</v>
      </c>
      <c r="N165" s="1728">
        <f t="shared" si="186"/>
        <v>102.42345012351495</v>
      </c>
      <c r="O165" s="1728">
        <f t="shared" si="186"/>
        <v>102.39550375240349</v>
      </c>
      <c r="P165" s="1728">
        <f t="shared" si="186"/>
        <v>102.31166463906909</v>
      </c>
      <c r="Q165" s="1728">
        <f t="shared" si="186"/>
        <v>102.08809367017739</v>
      </c>
      <c r="R165" s="1728">
        <f t="shared" si="186"/>
        <v>101.86452270128567</v>
      </c>
      <c r="S165" s="1728">
        <f t="shared" si="186"/>
        <v>101.64095173239396</v>
      </c>
      <c r="T165" s="1728">
        <f t="shared" si="186"/>
        <v>101.41738076350225</v>
      </c>
      <c r="U165" s="1728">
        <f t="shared" si="186"/>
        <v>101.221756165722</v>
      </c>
      <c r="V165" s="1728">
        <f t="shared" si="186"/>
        <v>100.88639971238445</v>
      </c>
      <c r="W165" s="1728">
        <f t="shared" si="186"/>
        <v>100.55104325904686</v>
      </c>
      <c r="X165" s="1728">
        <f t="shared" si="186"/>
        <v>100.21568680570931</v>
      </c>
      <c r="Y165" s="1728">
        <f t="shared" si="186"/>
        <v>99.880330352371743</v>
      </c>
      <c r="Z165" s="1728">
        <f t="shared" si="186"/>
        <v>99.544973899034176</v>
      </c>
      <c r="AA165" s="1728">
        <f t="shared" si="186"/>
        <v>99.209617445696608</v>
      </c>
      <c r="AB165" s="1728">
        <f t="shared" si="186"/>
        <v>98.874260992359041</v>
      </c>
      <c r="AC165" s="1728">
        <f t="shared" si="186"/>
        <v>98.538904539021473</v>
      </c>
      <c r="AD165" s="1728">
        <f t="shared" si="186"/>
        <v>98.203548085683906</v>
      </c>
      <c r="AE165" s="1728">
        <f t="shared" si="186"/>
        <v>97.868191632346338</v>
      </c>
      <c r="AF165" s="1728">
        <f t="shared" si="186"/>
        <v>97.532835179008771</v>
      </c>
      <c r="AG165" s="1728">
        <f t="shared" si="186"/>
        <v>97.197478725671218</v>
      </c>
      <c r="AH165" s="1728">
        <f t="shared" si="186"/>
        <v>96.862122272333636</v>
      </c>
      <c r="AI165" s="1728">
        <f t="shared" si="186"/>
        <v>96.526765818996083</v>
      </c>
    </row>
    <row r="166" spans="2:35" x14ac:dyDescent="0.35">
      <c r="B166" s="78" t="s">
        <v>281</v>
      </c>
      <c r="C166" s="78"/>
      <c r="D166" s="78"/>
      <c r="E166" s="78"/>
      <c r="F166" s="1728">
        <f t="shared" ref="F166:AI166" si="187">F64*$E$13</f>
        <v>51.027445068423312</v>
      </c>
      <c r="G166" s="1728">
        <f t="shared" si="187"/>
        <v>51.083426906128658</v>
      </c>
      <c r="H166" s="1728">
        <f t="shared" si="187"/>
        <v>51.139408743834004</v>
      </c>
      <c r="I166" s="1728">
        <f t="shared" si="187"/>
        <v>51.195390581539357</v>
      </c>
      <c r="J166" s="1728">
        <f t="shared" si="187"/>
        <v>51.251372419244703</v>
      </c>
      <c r="K166" s="1728">
        <f t="shared" si="187"/>
        <v>51.335345175802722</v>
      </c>
      <c r="L166" s="1728">
        <f t="shared" si="187"/>
        <v>51.321349716376382</v>
      </c>
      <c r="M166" s="1728">
        <f t="shared" si="187"/>
        <v>51.307354256950042</v>
      </c>
      <c r="N166" s="1728">
        <f t="shared" si="187"/>
        <v>51.293358797523709</v>
      </c>
      <c r="O166" s="1728">
        <f t="shared" si="187"/>
        <v>51.279363338097369</v>
      </c>
      <c r="P166" s="1728">
        <f t="shared" si="187"/>
        <v>51.237376959818363</v>
      </c>
      <c r="Q166" s="1728">
        <f t="shared" si="187"/>
        <v>51.125413284407671</v>
      </c>
      <c r="R166" s="1728">
        <f t="shared" si="187"/>
        <v>51.013449608996972</v>
      </c>
      <c r="S166" s="1728">
        <f t="shared" si="187"/>
        <v>50.901485933586287</v>
      </c>
      <c r="T166" s="1728">
        <f t="shared" si="187"/>
        <v>50.789522258175587</v>
      </c>
      <c r="U166" s="1728">
        <f t="shared" si="187"/>
        <v>50.691554042191235</v>
      </c>
      <c r="V166" s="1728">
        <f t="shared" si="187"/>
        <v>50.523608529075197</v>
      </c>
      <c r="W166" s="1728">
        <f t="shared" si="187"/>
        <v>50.355663015959152</v>
      </c>
      <c r="X166" s="1728">
        <f t="shared" si="187"/>
        <v>50.187717502843121</v>
      </c>
      <c r="Y166" s="1728">
        <f t="shared" si="187"/>
        <v>50.019771989727076</v>
      </c>
      <c r="Z166" s="1728">
        <f t="shared" si="187"/>
        <v>49.851826476611038</v>
      </c>
      <c r="AA166" s="1728">
        <f t="shared" si="187"/>
        <v>49.683880963495</v>
      </c>
      <c r="AB166" s="1728">
        <f t="shared" si="187"/>
        <v>49.515935450378954</v>
      </c>
      <c r="AC166" s="1728">
        <f t="shared" si="187"/>
        <v>49.347989937262916</v>
      </c>
      <c r="AD166" s="1728">
        <f t="shared" si="187"/>
        <v>49.180044424146878</v>
      </c>
      <c r="AE166" s="1728">
        <f t="shared" si="187"/>
        <v>49.01209891103084</v>
      </c>
      <c r="AF166" s="1728">
        <f t="shared" si="187"/>
        <v>48.844153397914795</v>
      </c>
      <c r="AG166" s="1728">
        <f t="shared" si="187"/>
        <v>48.676207884798764</v>
      </c>
      <c r="AH166" s="1728">
        <f t="shared" si="187"/>
        <v>48.508262371682719</v>
      </c>
      <c r="AI166" s="1728">
        <f t="shared" si="187"/>
        <v>48.34031685856668</v>
      </c>
    </row>
    <row r="167" spans="2:35" x14ac:dyDescent="0.35">
      <c r="B167" s="78" t="s">
        <v>282</v>
      </c>
      <c r="C167" s="78"/>
      <c r="D167" s="78"/>
      <c r="E167" s="78"/>
      <c r="F167" s="1728">
        <f t="shared" ref="F167:AI167" si="188">F64*$E$14</f>
        <v>32.379868200127675</v>
      </c>
      <c r="G167" s="1728">
        <f t="shared" si="188"/>
        <v>32.415391917297313</v>
      </c>
      <c r="H167" s="1728">
        <f t="shared" si="188"/>
        <v>32.450915634466959</v>
      </c>
      <c r="I167" s="1728">
        <f t="shared" si="188"/>
        <v>32.486439351636598</v>
      </c>
      <c r="J167" s="1728">
        <f t="shared" si="188"/>
        <v>32.521963068806237</v>
      </c>
      <c r="K167" s="1728">
        <f t="shared" si="188"/>
        <v>32.575248644560702</v>
      </c>
      <c r="L167" s="1728">
        <f t="shared" si="188"/>
        <v>32.566367715268285</v>
      </c>
      <c r="M167" s="1728">
        <f t="shared" si="188"/>
        <v>32.557486785975875</v>
      </c>
      <c r="N167" s="1728">
        <f t="shared" si="188"/>
        <v>32.548605856683473</v>
      </c>
      <c r="O167" s="1728">
        <f t="shared" si="188"/>
        <v>32.539724927391056</v>
      </c>
      <c r="P167" s="1728">
        <f t="shared" si="188"/>
        <v>32.513082139513827</v>
      </c>
      <c r="Q167" s="1728">
        <f t="shared" si="188"/>
        <v>32.442034705174542</v>
      </c>
      <c r="R167" s="1728">
        <f t="shared" si="188"/>
        <v>32.370987270835265</v>
      </c>
      <c r="S167" s="1728">
        <f t="shared" si="188"/>
        <v>32.29993983649598</v>
      </c>
      <c r="T167" s="1728">
        <f t="shared" si="188"/>
        <v>32.228892402156703</v>
      </c>
      <c r="U167" s="1728">
        <f t="shared" si="188"/>
        <v>32.166725897109828</v>
      </c>
      <c r="V167" s="1728">
        <f t="shared" si="188"/>
        <v>32.060154745600904</v>
      </c>
      <c r="W167" s="1728">
        <f t="shared" si="188"/>
        <v>31.953583594091985</v>
      </c>
      <c r="X167" s="1728">
        <f t="shared" si="188"/>
        <v>31.847012442583061</v>
      </c>
      <c r="Y167" s="1728">
        <f t="shared" si="188"/>
        <v>31.740441291074138</v>
      </c>
      <c r="Z167" s="1728">
        <f t="shared" si="188"/>
        <v>31.633870139565218</v>
      </c>
      <c r="AA167" s="1728">
        <f t="shared" si="188"/>
        <v>31.527298988056291</v>
      </c>
      <c r="AB167" s="1728">
        <f t="shared" si="188"/>
        <v>31.420727836547368</v>
      </c>
      <c r="AC167" s="1728">
        <f t="shared" si="188"/>
        <v>31.314156685038448</v>
      </c>
      <c r="AD167" s="1728">
        <f t="shared" si="188"/>
        <v>31.207585533529521</v>
      </c>
      <c r="AE167" s="1728">
        <f t="shared" si="188"/>
        <v>31.101014382020601</v>
      </c>
      <c r="AF167" s="1728">
        <f t="shared" si="188"/>
        <v>30.994443230511678</v>
      </c>
      <c r="AG167" s="1728">
        <f t="shared" si="188"/>
        <v>30.887872079002758</v>
      </c>
      <c r="AH167" s="1728">
        <f t="shared" si="188"/>
        <v>30.781300927493831</v>
      </c>
      <c r="AI167" s="1728">
        <f t="shared" si="188"/>
        <v>30.674729775984911</v>
      </c>
    </row>
    <row r="168" spans="2:35" x14ac:dyDescent="0.35">
      <c r="B168" s="78" t="s">
        <v>283</v>
      </c>
      <c r="C168" s="78"/>
      <c r="D168" s="78"/>
      <c r="E168" s="78"/>
      <c r="F168" s="1728">
        <f t="shared" ref="F168:AI168" si="189">F64*$E$15</f>
        <v>3.7086946318661935</v>
      </c>
      <c r="G168" s="1728">
        <f t="shared" si="189"/>
        <v>3.7127634136894145</v>
      </c>
      <c r="H168" s="1728">
        <f t="shared" si="189"/>
        <v>3.716832195512636</v>
      </c>
      <c r="I168" s="1728">
        <f t="shared" si="189"/>
        <v>3.7209009773358575</v>
      </c>
      <c r="J168" s="1728">
        <f t="shared" si="189"/>
        <v>3.7249697591590789</v>
      </c>
      <c r="K168" s="1728">
        <f t="shared" si="189"/>
        <v>3.7310729318939106</v>
      </c>
      <c r="L168" s="1728">
        <f t="shared" si="189"/>
        <v>3.7300557364381053</v>
      </c>
      <c r="M168" s="1728">
        <f t="shared" si="189"/>
        <v>3.7290385409822995</v>
      </c>
      <c r="N168" s="1728">
        <f t="shared" si="189"/>
        <v>3.7280213455264946</v>
      </c>
      <c r="O168" s="1728">
        <f t="shared" si="189"/>
        <v>3.7270041500706892</v>
      </c>
      <c r="P168" s="1728">
        <f t="shared" si="189"/>
        <v>3.7239525637032731</v>
      </c>
      <c r="Q168" s="1728">
        <f t="shared" si="189"/>
        <v>3.7158150000568306</v>
      </c>
      <c r="R168" s="1728">
        <f t="shared" si="189"/>
        <v>3.7076774364103877</v>
      </c>
      <c r="S168" s="1728">
        <f t="shared" si="189"/>
        <v>3.6995398727639457</v>
      </c>
      <c r="T168" s="1728">
        <f t="shared" si="189"/>
        <v>3.6914023091175028</v>
      </c>
      <c r="U168" s="1728">
        <f t="shared" si="189"/>
        <v>3.6842819409268657</v>
      </c>
      <c r="V168" s="1728">
        <f t="shared" si="189"/>
        <v>3.6720755954572022</v>
      </c>
      <c r="W168" s="1728">
        <f t="shared" si="189"/>
        <v>3.6598692499875383</v>
      </c>
      <c r="X168" s="1728">
        <f t="shared" si="189"/>
        <v>3.6476629045178743</v>
      </c>
      <c r="Y168" s="1728">
        <f t="shared" si="189"/>
        <v>3.6354565590482104</v>
      </c>
      <c r="Z168" s="1728">
        <f t="shared" si="189"/>
        <v>3.6232502135785469</v>
      </c>
      <c r="AA168" s="1728">
        <f t="shared" si="189"/>
        <v>3.6110438681088826</v>
      </c>
      <c r="AB168" s="1728">
        <f t="shared" si="189"/>
        <v>3.5988375226392186</v>
      </c>
      <c r="AC168" s="1728">
        <f t="shared" si="189"/>
        <v>3.5866311771695552</v>
      </c>
      <c r="AD168" s="1728">
        <f t="shared" si="189"/>
        <v>3.5744248316998912</v>
      </c>
      <c r="AE168" s="1728">
        <f t="shared" si="189"/>
        <v>3.5622184862302273</v>
      </c>
      <c r="AF168" s="1728">
        <f t="shared" si="189"/>
        <v>3.5500121407605634</v>
      </c>
      <c r="AG168" s="1728">
        <f t="shared" si="189"/>
        <v>3.5378057952908999</v>
      </c>
      <c r="AH168" s="1728">
        <f t="shared" si="189"/>
        <v>3.525599449821236</v>
      </c>
      <c r="AI168" s="1728">
        <f t="shared" si="189"/>
        <v>3.513393104351572</v>
      </c>
    </row>
    <row r="169" spans="2:35" x14ac:dyDescent="0.35">
      <c r="B169" s="78" t="s">
        <v>12</v>
      </c>
      <c r="C169" s="78"/>
      <c r="D169" s="78"/>
      <c r="E169" s="78"/>
      <c r="F169" s="1728">
        <f t="shared" ref="F169:AI169" si="190">F64*$E$16</f>
        <v>112.60657518488085</v>
      </c>
      <c r="G169" s="1728">
        <f t="shared" si="190"/>
        <v>112.73011503697617</v>
      </c>
      <c r="H169" s="1728">
        <f t="shared" si="190"/>
        <v>112.85365488907149</v>
      </c>
      <c r="I169" s="1728">
        <f t="shared" si="190"/>
        <v>112.97719474116681</v>
      </c>
      <c r="J169" s="1728">
        <f t="shared" si="190"/>
        <v>113.10073459326213</v>
      </c>
      <c r="K169" s="1728">
        <f t="shared" si="190"/>
        <v>113.2860443714051</v>
      </c>
      <c r="L169" s="1728">
        <f t="shared" si="190"/>
        <v>113.25515940838126</v>
      </c>
      <c r="M169" s="1728">
        <f t="shared" si="190"/>
        <v>113.22427444535744</v>
      </c>
      <c r="N169" s="1728">
        <f t="shared" si="190"/>
        <v>113.19338948233361</v>
      </c>
      <c r="O169" s="1728">
        <f t="shared" si="190"/>
        <v>113.16250451930978</v>
      </c>
      <c r="P169" s="1728">
        <f t="shared" si="190"/>
        <v>113.06984963023829</v>
      </c>
      <c r="Q169" s="1728">
        <f t="shared" si="190"/>
        <v>112.82276992604766</v>
      </c>
      <c r="R169" s="1728">
        <f t="shared" si="190"/>
        <v>112.57569022185702</v>
      </c>
      <c r="S169" s="1728">
        <f t="shared" si="190"/>
        <v>112.32861051766641</v>
      </c>
      <c r="T169" s="1728">
        <f t="shared" si="190"/>
        <v>112.08153081347577</v>
      </c>
      <c r="U169" s="1728">
        <f t="shared" si="190"/>
        <v>111.86533607230896</v>
      </c>
      <c r="V169" s="1728">
        <f t="shared" si="190"/>
        <v>111.49471651602302</v>
      </c>
      <c r="W169" s="1728">
        <f t="shared" si="190"/>
        <v>111.12409695973706</v>
      </c>
      <c r="X169" s="1728">
        <f t="shared" si="190"/>
        <v>110.75347740345111</v>
      </c>
      <c r="Y169" s="1728">
        <f t="shared" si="190"/>
        <v>110.38285784716516</v>
      </c>
      <c r="Z169" s="1728">
        <f t="shared" si="190"/>
        <v>110.01223829087922</v>
      </c>
      <c r="AA169" s="1728">
        <f t="shared" si="190"/>
        <v>109.64161873459327</v>
      </c>
      <c r="AB169" s="1728">
        <f t="shared" si="190"/>
        <v>109.27099917830731</v>
      </c>
      <c r="AC169" s="1728">
        <f t="shared" si="190"/>
        <v>108.90037962202136</v>
      </c>
      <c r="AD169" s="1728">
        <f t="shared" si="190"/>
        <v>108.52976006573542</v>
      </c>
      <c r="AE169" s="1728">
        <f t="shared" si="190"/>
        <v>108.15914050944947</v>
      </c>
      <c r="AF169" s="1728">
        <f t="shared" si="190"/>
        <v>107.78852095316351</v>
      </c>
      <c r="AG169" s="1728">
        <f t="shared" si="190"/>
        <v>107.41790139687757</v>
      </c>
      <c r="AH169" s="1728">
        <f t="shared" si="190"/>
        <v>107.04728184059161</v>
      </c>
      <c r="AI169" s="1728">
        <f t="shared" si="190"/>
        <v>106.67666228430568</v>
      </c>
    </row>
    <row r="170" spans="2:35" x14ac:dyDescent="0.35">
      <c r="B170" s="78" t="s">
        <v>13</v>
      </c>
      <c r="C170" s="78"/>
      <c r="D170" s="78"/>
      <c r="E170" s="78"/>
      <c r="F170" s="1728">
        <f t="shared" ref="F170:AI170" si="191">F64*$E$17</f>
        <v>5.042085456039441</v>
      </c>
      <c r="G170" s="1728">
        <f t="shared" si="191"/>
        <v>5.0476170912078882</v>
      </c>
      <c r="H170" s="1728">
        <f t="shared" si="191"/>
        <v>5.0531487263763353</v>
      </c>
      <c r="I170" s="1728">
        <f t="shared" si="191"/>
        <v>5.0586803615447824</v>
      </c>
      <c r="J170" s="1728">
        <f t="shared" si="191"/>
        <v>5.0642119967132295</v>
      </c>
      <c r="K170" s="1728">
        <f t="shared" si="191"/>
        <v>5.0725094494659002</v>
      </c>
      <c r="L170" s="1728">
        <f t="shared" si="191"/>
        <v>5.071126540673788</v>
      </c>
      <c r="M170" s="1728">
        <f t="shared" si="191"/>
        <v>5.0697436318816758</v>
      </c>
      <c r="N170" s="1728">
        <f t="shared" si="191"/>
        <v>5.0683607230895644</v>
      </c>
      <c r="O170" s="1728">
        <f t="shared" si="191"/>
        <v>5.0669778142974531</v>
      </c>
      <c r="P170" s="1728">
        <f t="shared" si="191"/>
        <v>5.0628290879211173</v>
      </c>
      <c r="Q170" s="1728">
        <f t="shared" si="191"/>
        <v>5.0517658175842231</v>
      </c>
      <c r="R170" s="1728">
        <f t="shared" si="191"/>
        <v>5.0407025472473288</v>
      </c>
      <c r="S170" s="1728">
        <f t="shared" si="191"/>
        <v>5.0296392769104354</v>
      </c>
      <c r="T170" s="1728">
        <f t="shared" si="191"/>
        <v>5.0185760065735412</v>
      </c>
      <c r="U170" s="1728">
        <f t="shared" si="191"/>
        <v>5.0088956450287592</v>
      </c>
      <c r="V170" s="1728">
        <f t="shared" si="191"/>
        <v>4.9923007395234187</v>
      </c>
      <c r="W170" s="1728">
        <f t="shared" si="191"/>
        <v>4.9757058340180773</v>
      </c>
      <c r="X170" s="1728">
        <f t="shared" si="191"/>
        <v>4.9591109285127368</v>
      </c>
      <c r="Y170" s="1728">
        <f t="shared" si="191"/>
        <v>4.9425160230073955</v>
      </c>
      <c r="Z170" s="1728">
        <f t="shared" si="191"/>
        <v>4.9259211175020541</v>
      </c>
      <c r="AA170" s="1728">
        <f t="shared" si="191"/>
        <v>4.9093262119967127</v>
      </c>
      <c r="AB170" s="1728">
        <f t="shared" si="191"/>
        <v>4.8927313064913722</v>
      </c>
      <c r="AC170" s="1728">
        <f t="shared" si="191"/>
        <v>4.8761364009860308</v>
      </c>
      <c r="AD170" s="1728">
        <f t="shared" si="191"/>
        <v>4.8595414954806895</v>
      </c>
      <c r="AE170" s="1728">
        <f t="shared" si="191"/>
        <v>4.842946589975349</v>
      </c>
      <c r="AF170" s="1728">
        <f t="shared" si="191"/>
        <v>4.8263516844700076</v>
      </c>
      <c r="AG170" s="1728">
        <f t="shared" si="191"/>
        <v>4.8097567789646671</v>
      </c>
      <c r="AH170" s="1728">
        <f t="shared" si="191"/>
        <v>4.7931618734593258</v>
      </c>
      <c r="AI170" s="1728">
        <f t="shared" si="191"/>
        <v>4.7765669679539853</v>
      </c>
    </row>
    <row r="171" spans="2:35" x14ac:dyDescent="0.35">
      <c r="B171" s="78" t="s">
        <v>14</v>
      </c>
      <c r="C171" s="78"/>
      <c r="D171" s="78"/>
      <c r="E171" s="78"/>
      <c r="F171" s="1728">
        <f t="shared" ref="F171:AI171" si="192">F64*$E$18</f>
        <v>70.589196384552181</v>
      </c>
      <c r="G171" s="1728">
        <f t="shared" si="192"/>
        <v>70.666639276910431</v>
      </c>
      <c r="H171" s="1728">
        <f t="shared" si="192"/>
        <v>70.744082169268694</v>
      </c>
      <c r="I171" s="1728">
        <f t="shared" si="192"/>
        <v>70.821525061626957</v>
      </c>
      <c r="J171" s="1728">
        <f t="shared" si="192"/>
        <v>70.89896795398522</v>
      </c>
      <c r="K171" s="1728">
        <f t="shared" si="192"/>
        <v>71.015132292522594</v>
      </c>
      <c r="L171" s="1728">
        <f t="shared" si="192"/>
        <v>70.995771569433032</v>
      </c>
      <c r="M171" s="1728">
        <f t="shared" si="192"/>
        <v>70.97641084634347</v>
      </c>
      <c r="N171" s="1728">
        <f t="shared" si="192"/>
        <v>70.957050123253907</v>
      </c>
      <c r="O171" s="1728">
        <f t="shared" si="192"/>
        <v>70.937689400164345</v>
      </c>
      <c r="P171" s="1728">
        <f t="shared" si="192"/>
        <v>70.879607230895644</v>
      </c>
      <c r="Q171" s="1728">
        <f t="shared" si="192"/>
        <v>70.724721446179132</v>
      </c>
      <c r="R171" s="1728">
        <f t="shared" si="192"/>
        <v>70.569835661462605</v>
      </c>
      <c r="S171" s="1728">
        <f t="shared" si="192"/>
        <v>70.414949876746107</v>
      </c>
      <c r="T171" s="1728">
        <f t="shared" si="192"/>
        <v>70.26006409202958</v>
      </c>
      <c r="U171" s="1728">
        <f t="shared" si="192"/>
        <v>70.12453903040263</v>
      </c>
      <c r="V171" s="1728">
        <f t="shared" si="192"/>
        <v>69.892210353327854</v>
      </c>
      <c r="W171" s="1728">
        <f t="shared" si="192"/>
        <v>69.659881676253079</v>
      </c>
      <c r="X171" s="1728">
        <f t="shared" si="192"/>
        <v>69.427552999178317</v>
      </c>
      <c r="Y171" s="1728">
        <f t="shared" si="192"/>
        <v>69.195224322103527</v>
      </c>
      <c r="Z171" s="1728">
        <f t="shared" si="192"/>
        <v>68.962895645028766</v>
      </c>
      <c r="AA171" s="1728">
        <f t="shared" si="192"/>
        <v>68.73056696795399</v>
      </c>
      <c r="AB171" s="1728">
        <f t="shared" si="192"/>
        <v>68.498238290879215</v>
      </c>
      <c r="AC171" s="1728">
        <f t="shared" si="192"/>
        <v>68.265909613804439</v>
      </c>
      <c r="AD171" s="1728">
        <f t="shared" si="192"/>
        <v>68.033580936729663</v>
      </c>
      <c r="AE171" s="1728">
        <f t="shared" si="192"/>
        <v>67.801252259654888</v>
      </c>
      <c r="AF171" s="1728">
        <f t="shared" si="192"/>
        <v>67.568923582580112</v>
      </c>
      <c r="AG171" s="1728">
        <f t="shared" si="192"/>
        <v>67.336594905505351</v>
      </c>
      <c r="AH171" s="1728">
        <f t="shared" si="192"/>
        <v>67.104266228430561</v>
      </c>
      <c r="AI171" s="1728">
        <f t="shared" si="192"/>
        <v>66.871937551355799</v>
      </c>
    </row>
    <row r="172" spans="2:35" x14ac:dyDescent="0.35">
      <c r="B172" s="728" t="s">
        <v>200</v>
      </c>
      <c r="C172" s="728"/>
      <c r="D172" s="728"/>
      <c r="E172" s="728"/>
      <c r="F172" s="1729">
        <f>SUM(F161:F171)</f>
        <v>1680.6951520131468</v>
      </c>
      <c r="G172" s="1729">
        <f t="shared" ref="G172" si="193">SUM(G161:G171)</f>
        <v>1682.5390304026291</v>
      </c>
      <c r="H172" s="1729">
        <f t="shared" ref="H172" si="194">SUM(H161:H171)</f>
        <v>1684.3829087921122</v>
      </c>
      <c r="I172" s="1729">
        <f t="shared" ref="I172" si="195">SUM(I161:I171)</f>
        <v>1686.2267871815939</v>
      </c>
      <c r="J172" s="1729">
        <f t="shared" ref="J172" si="196">SUM(J161:J171)</f>
        <v>1688.0706655710765</v>
      </c>
      <c r="K172" s="1729">
        <f t="shared" ref="K172" si="197">SUM(K161:K171)</f>
        <v>1690.8364831552999</v>
      </c>
      <c r="L172" s="1729">
        <f t="shared" ref="L172" si="198">SUM(L161:L171)</f>
        <v>1690.375513557929</v>
      </c>
      <c r="M172" s="1729">
        <f t="shared" ref="M172" si="199">SUM(M161:M171)</f>
        <v>1689.9145439605586</v>
      </c>
      <c r="N172" s="1729">
        <f t="shared" ref="N172" si="200">SUM(N161:N171)</f>
        <v>1689.4535743631882</v>
      </c>
      <c r="O172" s="1729">
        <f t="shared" ref="O172" si="201">SUM(O161:O171)</f>
        <v>1688.9926047658178</v>
      </c>
      <c r="P172" s="1729">
        <f t="shared" ref="P172" si="202">SUM(P161:P171)</f>
        <v>1687.6096959737058</v>
      </c>
      <c r="Q172" s="1729">
        <f t="shared" ref="Q172" si="203">SUM(Q161:Q171)</f>
        <v>1683.9219391947411</v>
      </c>
      <c r="R172" s="1729">
        <f t="shared" ref="R172" si="204">SUM(R161:R171)</f>
        <v>1680.2341824157766</v>
      </c>
      <c r="S172" s="1729">
        <f t="shared" ref="S172" si="205">SUM(S161:S171)</f>
        <v>1676.546425636812</v>
      </c>
      <c r="T172" s="1729">
        <f t="shared" ref="T172" si="206">SUM(T161:T171)</f>
        <v>1672.8586688578469</v>
      </c>
      <c r="U172" s="1729">
        <f t="shared" ref="U172" si="207">SUM(U161:U171)</f>
        <v>1669.6318816762532</v>
      </c>
      <c r="V172" s="1729">
        <f t="shared" ref="V172" si="208">SUM(V161:V171)</f>
        <v>1664.1002465078061</v>
      </c>
      <c r="W172" s="1729">
        <f t="shared" ref="W172" si="209">SUM(W161:W171)</f>
        <v>1658.568611339359</v>
      </c>
      <c r="X172" s="1729">
        <f t="shared" ref="X172" si="210">SUM(X161:X171)</f>
        <v>1653.0369761709117</v>
      </c>
      <c r="Y172" s="1729">
        <f t="shared" ref="Y172" si="211">SUM(Y161:Y171)</f>
        <v>1647.505341002465</v>
      </c>
      <c r="Z172" s="1729">
        <f t="shared" ref="Z172" si="212">SUM(Z161:Z171)</f>
        <v>1641.9737058340181</v>
      </c>
      <c r="AA172" s="1729">
        <f t="shared" ref="AA172" si="213">SUM(AA161:AA171)</f>
        <v>1636.4420706655717</v>
      </c>
      <c r="AB172" s="1729">
        <f t="shared" ref="AB172" si="214">SUM(AB161:AB171)</f>
        <v>1630.9104354971241</v>
      </c>
      <c r="AC172" s="1729">
        <f t="shared" ref="AC172" si="215">SUM(AC161:AC171)</f>
        <v>1625.3788003286768</v>
      </c>
      <c r="AD172" s="1729">
        <f t="shared" ref="AD172" si="216">SUM(AD161:AD171)</f>
        <v>1619.8471651602299</v>
      </c>
      <c r="AE172" s="1729">
        <f t="shared" ref="AE172" si="217">SUM(AE161:AE171)</f>
        <v>1614.315529991783</v>
      </c>
      <c r="AF172" s="1729">
        <f t="shared" ref="AF172" si="218">SUM(AF161:AF171)</f>
        <v>1608.7838948233359</v>
      </c>
      <c r="AG172" s="1729">
        <f t="shared" ref="AG172" si="219">SUM(AG161:AG171)</f>
        <v>1603.2522596548893</v>
      </c>
      <c r="AH172" s="1729">
        <f t="shared" ref="AH172" si="220">SUM(AH161:AH171)</f>
        <v>1597.7206244864417</v>
      </c>
      <c r="AI172" s="1729">
        <f t="shared" ref="AI172" si="221">SUM(AI161:AI171)</f>
        <v>1592.188989317995</v>
      </c>
    </row>
    <row r="173" spans="2:35" x14ac:dyDescent="0.35">
      <c r="E173" s="281" t="s">
        <v>332</v>
      </c>
      <c r="F173" s="1725">
        <f t="shared" ref="F173:AI173" si="222">F172-F64</f>
        <v>0</v>
      </c>
      <c r="G173" s="1725">
        <f t="shared" si="222"/>
        <v>0</v>
      </c>
      <c r="H173" s="1725">
        <f t="shared" si="222"/>
        <v>0</v>
      </c>
      <c r="I173" s="1725">
        <f t="shared" si="222"/>
        <v>0</v>
      </c>
      <c r="J173" s="1725">
        <f t="shared" si="222"/>
        <v>0</v>
      </c>
      <c r="K173" s="1725">
        <f t="shared" si="222"/>
        <v>0</v>
      </c>
      <c r="L173" s="1725">
        <f t="shared" si="222"/>
        <v>0</v>
      </c>
      <c r="M173" s="1725">
        <f t="shared" si="222"/>
        <v>0</v>
      </c>
      <c r="N173" s="1725">
        <f t="shared" si="222"/>
        <v>0</v>
      </c>
      <c r="O173" s="1725">
        <f t="shared" si="222"/>
        <v>0</v>
      </c>
      <c r="P173" s="1725">
        <f t="shared" si="222"/>
        <v>0</v>
      </c>
      <c r="Q173" s="1725">
        <f t="shared" si="222"/>
        <v>0</v>
      </c>
      <c r="R173" s="1725">
        <f t="shared" si="222"/>
        <v>0</v>
      </c>
      <c r="S173" s="1725">
        <f t="shared" si="222"/>
        <v>0</v>
      </c>
      <c r="T173" s="1725">
        <f t="shared" si="222"/>
        <v>0</v>
      </c>
      <c r="U173" s="1725">
        <f t="shared" si="222"/>
        <v>0</v>
      </c>
      <c r="V173" s="1725">
        <f t="shared" si="222"/>
        <v>0</v>
      </c>
      <c r="W173" s="1725">
        <f t="shared" si="222"/>
        <v>0</v>
      </c>
      <c r="X173" s="1725">
        <f t="shared" si="222"/>
        <v>0</v>
      </c>
      <c r="Y173" s="1725">
        <f t="shared" si="222"/>
        <v>0</v>
      </c>
      <c r="Z173" s="1725">
        <f t="shared" si="222"/>
        <v>0</v>
      </c>
      <c r="AA173" s="1725">
        <f t="shared" si="222"/>
        <v>0</v>
      </c>
      <c r="AB173" s="1725">
        <f t="shared" si="222"/>
        <v>0</v>
      </c>
      <c r="AC173" s="1725">
        <f t="shared" si="222"/>
        <v>0</v>
      </c>
      <c r="AD173" s="1725">
        <f t="shared" si="222"/>
        <v>0</v>
      </c>
      <c r="AE173" s="1725">
        <f t="shared" si="222"/>
        <v>0</v>
      </c>
      <c r="AF173" s="1725">
        <f t="shared" si="222"/>
        <v>0</v>
      </c>
      <c r="AG173" s="1725">
        <f t="shared" si="222"/>
        <v>0</v>
      </c>
      <c r="AH173" s="1725">
        <f t="shared" si="222"/>
        <v>0</v>
      </c>
      <c r="AI173" s="1725">
        <f t="shared" si="222"/>
        <v>0</v>
      </c>
    </row>
    <row r="174" spans="2:35" ht="15.5" x14ac:dyDescent="0.35">
      <c r="B174" s="86" t="s">
        <v>4</v>
      </c>
    </row>
    <row r="175" spans="2:35" x14ac:dyDescent="0.35">
      <c r="B175" s="780" t="s">
        <v>273</v>
      </c>
      <c r="C175" s="780"/>
      <c r="D175" s="780"/>
      <c r="E175" s="780"/>
      <c r="F175" s="1727">
        <v>1</v>
      </c>
      <c r="G175" s="1727">
        <f>F175+1</f>
        <v>2</v>
      </c>
      <c r="H175" s="1727">
        <f t="shared" ref="H175" si="223">G175+1</f>
        <v>3</v>
      </c>
      <c r="I175" s="1727">
        <f t="shared" ref="I175" si="224">H175+1</f>
        <v>4</v>
      </c>
      <c r="J175" s="1727">
        <f t="shared" ref="J175" si="225">I175+1</f>
        <v>5</v>
      </c>
      <c r="K175" s="1727">
        <f t="shared" ref="K175" si="226">J175+1</f>
        <v>6</v>
      </c>
      <c r="L175" s="1727">
        <f t="shared" ref="L175" si="227">K175+1</f>
        <v>7</v>
      </c>
      <c r="M175" s="1727">
        <f t="shared" ref="M175" si="228">L175+1</f>
        <v>8</v>
      </c>
      <c r="N175" s="1727">
        <f t="shared" ref="N175" si="229">M175+1</f>
        <v>9</v>
      </c>
      <c r="O175" s="1727">
        <f t="shared" ref="O175" si="230">N175+1</f>
        <v>10</v>
      </c>
      <c r="P175" s="1727">
        <f t="shared" ref="P175" si="231">O175+1</f>
        <v>11</v>
      </c>
      <c r="Q175" s="1727">
        <f t="shared" ref="Q175" si="232">P175+1</f>
        <v>12</v>
      </c>
      <c r="R175" s="1727">
        <f t="shared" ref="R175" si="233">Q175+1</f>
        <v>13</v>
      </c>
      <c r="S175" s="1727">
        <f t="shared" ref="S175" si="234">R175+1</f>
        <v>14</v>
      </c>
      <c r="T175" s="1727">
        <f t="shared" ref="T175" si="235">S175+1</f>
        <v>15</v>
      </c>
      <c r="U175" s="1727">
        <f t="shared" ref="U175" si="236">T175+1</f>
        <v>16</v>
      </c>
      <c r="V175" s="1727">
        <f t="shared" ref="V175" si="237">U175+1</f>
        <v>17</v>
      </c>
      <c r="W175" s="1727">
        <f t="shared" ref="W175" si="238">V175+1</f>
        <v>18</v>
      </c>
      <c r="X175" s="1727">
        <f t="shared" ref="X175" si="239">W175+1</f>
        <v>19</v>
      </c>
      <c r="Y175" s="1727">
        <f t="shared" ref="Y175" si="240">X175+1</f>
        <v>20</v>
      </c>
      <c r="Z175" s="1727">
        <f t="shared" ref="Z175" si="241">Y175+1</f>
        <v>21</v>
      </c>
      <c r="AA175" s="1727">
        <f t="shared" ref="AA175" si="242">Z175+1</f>
        <v>22</v>
      </c>
      <c r="AB175" s="1727">
        <f t="shared" ref="AB175" si="243">AA175+1</f>
        <v>23</v>
      </c>
      <c r="AC175" s="1727">
        <f t="shared" ref="AC175" si="244">AB175+1</f>
        <v>24</v>
      </c>
      <c r="AD175" s="1727">
        <f t="shared" ref="AD175" si="245">AC175+1</f>
        <v>25</v>
      </c>
      <c r="AE175" s="1727">
        <f t="shared" ref="AE175" si="246">AD175+1</f>
        <v>26</v>
      </c>
      <c r="AF175" s="1727">
        <f t="shared" ref="AF175" si="247">AE175+1</f>
        <v>27</v>
      </c>
      <c r="AG175" s="1727">
        <f t="shared" ref="AG175" si="248">AF175+1</f>
        <v>28</v>
      </c>
      <c r="AH175" s="1727">
        <f t="shared" ref="AH175" si="249">AG175+1</f>
        <v>29</v>
      </c>
      <c r="AI175" s="1727">
        <f t="shared" ref="AI175" si="250">AH175+1</f>
        <v>30</v>
      </c>
    </row>
    <row r="176" spans="2:35" x14ac:dyDescent="0.35">
      <c r="B176" s="78" t="s">
        <v>276</v>
      </c>
      <c r="C176" s="78"/>
      <c r="D176" s="78"/>
      <c r="E176" s="78"/>
      <c r="F176" s="1728">
        <f t="shared" ref="F176:AI176" si="251">F65*$F$8</f>
        <v>1990.9716884381478</v>
      </c>
      <c r="G176" s="1728">
        <f t="shared" si="251"/>
        <v>2009.4086437714966</v>
      </c>
      <c r="H176" s="1728">
        <f t="shared" si="251"/>
        <v>2027.845599104845</v>
      </c>
      <c r="I176" s="1728">
        <f t="shared" si="251"/>
        <v>2046.2825544381933</v>
      </c>
      <c r="J176" s="1728">
        <f t="shared" si="251"/>
        <v>2064.7195097715421</v>
      </c>
      <c r="K176" s="1728">
        <f t="shared" si="251"/>
        <v>2082.9369775413984</v>
      </c>
      <c r="L176" s="1728">
        <f t="shared" si="251"/>
        <v>2098.9595696763322</v>
      </c>
      <c r="M176" s="1728">
        <f t="shared" si="251"/>
        <v>2114.982161811266</v>
      </c>
      <c r="N176" s="1728">
        <f t="shared" si="251"/>
        <v>2131.0047539461998</v>
      </c>
      <c r="O176" s="1728">
        <f t="shared" si="251"/>
        <v>2147.0273460811336</v>
      </c>
      <c r="P176" s="1728">
        <f t="shared" si="251"/>
        <v>2162.8304506525751</v>
      </c>
      <c r="Q176" s="1728">
        <f t="shared" si="251"/>
        <v>2175.5607293351254</v>
      </c>
      <c r="R176" s="1728">
        <f t="shared" si="251"/>
        <v>2188.2910080176757</v>
      </c>
      <c r="S176" s="1728">
        <f t="shared" si="251"/>
        <v>2201.0212867002256</v>
      </c>
      <c r="T176" s="1728">
        <f t="shared" si="251"/>
        <v>2213.7515653827759</v>
      </c>
      <c r="U176" s="1728">
        <f t="shared" si="251"/>
        <v>2226.9208191923103</v>
      </c>
      <c r="V176" s="1728">
        <f t="shared" si="251"/>
        <v>2236.1392968589848</v>
      </c>
      <c r="W176" s="1728">
        <f t="shared" si="251"/>
        <v>2245.3577745256589</v>
      </c>
      <c r="X176" s="1728">
        <f t="shared" si="251"/>
        <v>2254.5762521923334</v>
      </c>
      <c r="Y176" s="1728">
        <f t="shared" si="251"/>
        <v>2263.7947298590075</v>
      </c>
      <c r="Z176" s="1728">
        <f t="shared" si="251"/>
        <v>2272.5742323986974</v>
      </c>
      <c r="AA176" s="1728">
        <f t="shared" si="251"/>
        <v>2281.7927100653715</v>
      </c>
      <c r="AB176" s="1728">
        <f t="shared" si="251"/>
        <v>2291.0111877320455</v>
      </c>
      <c r="AC176" s="1728">
        <f t="shared" si="251"/>
        <v>2300.22966539872</v>
      </c>
      <c r="AD176" s="1728">
        <f t="shared" si="251"/>
        <v>2309.4481430653946</v>
      </c>
      <c r="AE176" s="1728">
        <f t="shared" si="251"/>
        <v>2318.6666207320686</v>
      </c>
      <c r="AF176" s="1728">
        <f t="shared" si="251"/>
        <v>2327.8850983987427</v>
      </c>
      <c r="AG176" s="1728">
        <f t="shared" si="251"/>
        <v>2337.1035760654172</v>
      </c>
      <c r="AH176" s="1728">
        <f t="shared" si="251"/>
        <v>2346.3220537320917</v>
      </c>
      <c r="AI176" s="1728">
        <f t="shared" si="251"/>
        <v>2355.5405313987658</v>
      </c>
    </row>
    <row r="177" spans="2:35" x14ac:dyDescent="0.35">
      <c r="B177" s="78" t="s">
        <v>277</v>
      </c>
      <c r="C177" s="78"/>
      <c r="D177" s="78"/>
      <c r="E177" s="78"/>
      <c r="F177" s="1728">
        <f t="shared" ref="F177:AI177" si="252">F65*$F$9</f>
        <v>56.989047302402156</v>
      </c>
      <c r="G177" s="1728">
        <f t="shared" si="252"/>
        <v>57.516781838109559</v>
      </c>
      <c r="H177" s="1728">
        <f t="shared" si="252"/>
        <v>58.044516373816954</v>
      </c>
      <c r="I177" s="1728">
        <f t="shared" si="252"/>
        <v>58.572250909524342</v>
      </c>
      <c r="J177" s="1728">
        <f t="shared" si="252"/>
        <v>59.099985445231745</v>
      </c>
      <c r="K177" s="1728">
        <f t="shared" si="252"/>
        <v>59.62143742694262</v>
      </c>
      <c r="L177" s="1728">
        <f t="shared" si="252"/>
        <v>60.080063868688335</v>
      </c>
      <c r="M177" s="1728">
        <f t="shared" si="252"/>
        <v>60.538690310434042</v>
      </c>
      <c r="N177" s="1728">
        <f t="shared" si="252"/>
        <v>60.997316752179756</v>
      </c>
      <c r="O177" s="1728">
        <f t="shared" si="252"/>
        <v>61.455943193925471</v>
      </c>
      <c r="P177" s="1728">
        <f t="shared" si="252"/>
        <v>61.908287081674672</v>
      </c>
      <c r="Q177" s="1728">
        <f t="shared" si="252"/>
        <v>62.272675213472624</v>
      </c>
      <c r="R177" s="1728">
        <f t="shared" si="252"/>
        <v>62.63706334527059</v>
      </c>
      <c r="S177" s="1728">
        <f t="shared" si="252"/>
        <v>63.001451477068549</v>
      </c>
      <c r="T177" s="1728">
        <f t="shared" si="252"/>
        <v>63.365839608866516</v>
      </c>
      <c r="U177" s="1728">
        <f t="shared" si="252"/>
        <v>63.742792848657508</v>
      </c>
      <c r="V177" s="1728">
        <f t="shared" si="252"/>
        <v>64.006660116511213</v>
      </c>
      <c r="W177" s="1728">
        <f t="shared" si="252"/>
        <v>64.270527384364911</v>
      </c>
      <c r="X177" s="1728">
        <f t="shared" si="252"/>
        <v>64.534394652218609</v>
      </c>
      <c r="Y177" s="1728">
        <f t="shared" si="252"/>
        <v>64.798261920072306</v>
      </c>
      <c r="Z177" s="1728">
        <f t="shared" si="252"/>
        <v>65.049564079932964</v>
      </c>
      <c r="AA177" s="1728">
        <f t="shared" si="252"/>
        <v>65.313431347786675</v>
      </c>
      <c r="AB177" s="1728">
        <f t="shared" si="252"/>
        <v>65.577298615640359</v>
      </c>
      <c r="AC177" s="1728">
        <f t="shared" si="252"/>
        <v>65.841165883494057</v>
      </c>
      <c r="AD177" s="1728">
        <f t="shared" si="252"/>
        <v>66.105033151347754</v>
      </c>
      <c r="AE177" s="1728">
        <f t="shared" si="252"/>
        <v>66.368900419201452</v>
      </c>
      <c r="AF177" s="1728">
        <f t="shared" si="252"/>
        <v>66.63276768705515</v>
      </c>
      <c r="AG177" s="1728">
        <f t="shared" si="252"/>
        <v>66.896634954908848</v>
      </c>
      <c r="AH177" s="1728">
        <f t="shared" si="252"/>
        <v>67.16050222276256</v>
      </c>
      <c r="AI177" s="1728">
        <f t="shared" si="252"/>
        <v>67.424369490616243</v>
      </c>
    </row>
    <row r="178" spans="2:35" x14ac:dyDescent="0.35">
      <c r="B178" s="78" t="s">
        <v>278</v>
      </c>
      <c r="C178" s="78"/>
      <c r="D178" s="78"/>
      <c r="E178" s="78"/>
      <c r="F178" s="1728">
        <f t="shared" ref="F178:AI178" si="253">F65*$F$10</f>
        <v>249.10833093160772</v>
      </c>
      <c r="G178" s="1728">
        <f t="shared" si="253"/>
        <v>251.41514382966255</v>
      </c>
      <c r="H178" s="1728">
        <f t="shared" si="253"/>
        <v>253.72195672771733</v>
      </c>
      <c r="I178" s="1728">
        <f t="shared" si="253"/>
        <v>256.0287696257721</v>
      </c>
      <c r="J178" s="1728">
        <f t="shared" si="253"/>
        <v>258.33558252382693</v>
      </c>
      <c r="K178" s="1728">
        <f t="shared" si="253"/>
        <v>260.61493336357154</v>
      </c>
      <c r="L178" s="1728">
        <f t="shared" si="253"/>
        <v>262.6196636202144</v>
      </c>
      <c r="M178" s="1728">
        <f t="shared" si="253"/>
        <v>264.62439387685725</v>
      </c>
      <c r="N178" s="1728">
        <f t="shared" si="253"/>
        <v>266.62912413350011</v>
      </c>
      <c r="O178" s="1728">
        <f t="shared" si="253"/>
        <v>268.63385439014297</v>
      </c>
      <c r="P178" s="1728">
        <f t="shared" si="253"/>
        <v>270.61112258847567</v>
      </c>
      <c r="Q178" s="1728">
        <f t="shared" si="253"/>
        <v>272.20392197046584</v>
      </c>
      <c r="R178" s="1728">
        <f t="shared" si="253"/>
        <v>273.79672135245607</v>
      </c>
      <c r="S178" s="1728">
        <f t="shared" si="253"/>
        <v>275.38952073444631</v>
      </c>
      <c r="T178" s="1728">
        <f t="shared" si="253"/>
        <v>276.98232011643654</v>
      </c>
      <c r="U178" s="1728">
        <f t="shared" si="253"/>
        <v>278.6300436150471</v>
      </c>
      <c r="V178" s="1728">
        <f t="shared" si="253"/>
        <v>279.78345006407449</v>
      </c>
      <c r="W178" s="1728">
        <f t="shared" si="253"/>
        <v>280.93685651310187</v>
      </c>
      <c r="X178" s="1728">
        <f t="shared" si="253"/>
        <v>282.09026296212932</v>
      </c>
      <c r="Y178" s="1728">
        <f t="shared" si="253"/>
        <v>283.24366941115665</v>
      </c>
      <c r="Z178" s="1728">
        <f t="shared" si="253"/>
        <v>284.3421517435637</v>
      </c>
      <c r="AA178" s="1728">
        <f t="shared" si="253"/>
        <v>285.49555819259115</v>
      </c>
      <c r="AB178" s="1728">
        <f t="shared" si="253"/>
        <v>286.64896464161848</v>
      </c>
      <c r="AC178" s="1728">
        <f t="shared" si="253"/>
        <v>287.80237109064592</v>
      </c>
      <c r="AD178" s="1728">
        <f t="shared" si="253"/>
        <v>288.95577753967331</v>
      </c>
      <c r="AE178" s="1728">
        <f t="shared" si="253"/>
        <v>290.10918398870069</v>
      </c>
      <c r="AF178" s="1728">
        <f t="shared" si="253"/>
        <v>291.26259043772808</v>
      </c>
      <c r="AG178" s="1728">
        <f t="shared" si="253"/>
        <v>292.41599688675552</v>
      </c>
      <c r="AH178" s="1728">
        <f t="shared" si="253"/>
        <v>293.56940333578291</v>
      </c>
      <c r="AI178" s="1728">
        <f t="shared" si="253"/>
        <v>294.72280978481029</v>
      </c>
    </row>
    <row r="179" spans="2:35" x14ac:dyDescent="0.35">
      <c r="B179" s="78" t="s">
        <v>279</v>
      </c>
      <c r="C179" s="78"/>
      <c r="D179" s="78"/>
      <c r="E179" s="78"/>
      <c r="F179" s="1728">
        <f t="shared" ref="F179:AI179" si="254">F65*$F$11</f>
        <v>286.4496733393014</v>
      </c>
      <c r="G179" s="1728">
        <f t="shared" si="254"/>
        <v>289.10227752412129</v>
      </c>
      <c r="H179" s="1728">
        <f t="shared" si="254"/>
        <v>291.75488170894118</v>
      </c>
      <c r="I179" s="1728">
        <f t="shared" si="254"/>
        <v>294.40748589376108</v>
      </c>
      <c r="J179" s="1728">
        <f t="shared" si="254"/>
        <v>297.06009007858103</v>
      </c>
      <c r="K179" s="1728">
        <f t="shared" si="254"/>
        <v>299.68111564215309</v>
      </c>
      <c r="L179" s="1728">
        <f t="shared" si="254"/>
        <v>301.98635499324655</v>
      </c>
      <c r="M179" s="1728">
        <f t="shared" si="254"/>
        <v>304.29159434434001</v>
      </c>
      <c r="N179" s="1728">
        <f t="shared" si="254"/>
        <v>306.59683369543347</v>
      </c>
      <c r="O179" s="1728">
        <f t="shared" si="254"/>
        <v>308.90207304652699</v>
      </c>
      <c r="P179" s="1728">
        <f t="shared" si="254"/>
        <v>311.17573377637262</v>
      </c>
      <c r="Q179" s="1728">
        <f t="shared" si="254"/>
        <v>313.00729380874827</v>
      </c>
      <c r="R179" s="1728">
        <f t="shared" si="254"/>
        <v>314.83885384112392</v>
      </c>
      <c r="S179" s="1728">
        <f t="shared" si="254"/>
        <v>316.67041387349951</v>
      </c>
      <c r="T179" s="1728">
        <f t="shared" si="254"/>
        <v>318.50197390587522</v>
      </c>
      <c r="U179" s="1728">
        <f t="shared" si="254"/>
        <v>320.39669118074653</v>
      </c>
      <c r="V179" s="1728">
        <f t="shared" si="254"/>
        <v>321.72299327315653</v>
      </c>
      <c r="W179" s="1728">
        <f t="shared" si="254"/>
        <v>323.04929536556648</v>
      </c>
      <c r="X179" s="1728">
        <f t="shared" si="254"/>
        <v>324.37559745797643</v>
      </c>
      <c r="Y179" s="1728">
        <f t="shared" si="254"/>
        <v>325.70189955038637</v>
      </c>
      <c r="Z179" s="1728">
        <f t="shared" si="254"/>
        <v>326.9650444003006</v>
      </c>
      <c r="AA179" s="1728">
        <f t="shared" si="254"/>
        <v>328.29134649271055</v>
      </c>
      <c r="AB179" s="1728">
        <f t="shared" si="254"/>
        <v>329.61764858512049</v>
      </c>
      <c r="AC179" s="1728">
        <f t="shared" si="254"/>
        <v>330.94395067753044</v>
      </c>
      <c r="AD179" s="1728">
        <f t="shared" si="254"/>
        <v>332.27025276994038</v>
      </c>
      <c r="AE179" s="1728">
        <f t="shared" si="254"/>
        <v>333.59655486235033</v>
      </c>
      <c r="AF179" s="1728">
        <f t="shared" si="254"/>
        <v>334.92285695476028</v>
      </c>
      <c r="AG179" s="1728">
        <f t="shared" si="254"/>
        <v>336.24915904717028</v>
      </c>
      <c r="AH179" s="1728">
        <f t="shared" si="254"/>
        <v>337.57546113958023</v>
      </c>
      <c r="AI179" s="1728">
        <f t="shared" si="254"/>
        <v>338.90176323199017</v>
      </c>
    </row>
    <row r="180" spans="2:35" x14ac:dyDescent="0.35">
      <c r="B180" s="78" t="s">
        <v>280</v>
      </c>
      <c r="C180" s="78"/>
      <c r="D180" s="78"/>
      <c r="E180" s="78"/>
      <c r="F180" s="1728">
        <f t="shared" ref="F180:AI180" si="255">F65*$F$12</f>
        <v>211.47340327869492</v>
      </c>
      <c r="G180" s="1728">
        <f t="shared" si="255"/>
        <v>213.43170620840613</v>
      </c>
      <c r="H180" s="1728">
        <f t="shared" si="255"/>
        <v>215.39000913811734</v>
      </c>
      <c r="I180" s="1728">
        <f t="shared" si="255"/>
        <v>217.34831206782852</v>
      </c>
      <c r="J180" s="1728">
        <f t="shared" si="255"/>
        <v>219.30661499753975</v>
      </c>
      <c r="K180" s="1728">
        <f t="shared" si="255"/>
        <v>221.24160479713535</v>
      </c>
      <c r="L180" s="1728">
        <f t="shared" si="255"/>
        <v>222.94346329557484</v>
      </c>
      <c r="M180" s="1728">
        <f t="shared" si="255"/>
        <v>224.64532179401434</v>
      </c>
      <c r="N180" s="1728">
        <f t="shared" si="255"/>
        <v>226.34718029245383</v>
      </c>
      <c r="O180" s="1728">
        <f t="shared" si="255"/>
        <v>228.04903879089338</v>
      </c>
      <c r="P180" s="1728">
        <f t="shared" si="255"/>
        <v>229.72758415921726</v>
      </c>
      <c r="Q180" s="1728">
        <f t="shared" si="255"/>
        <v>231.07974570592259</v>
      </c>
      <c r="R180" s="1728">
        <f t="shared" si="255"/>
        <v>232.43190725262798</v>
      </c>
      <c r="S180" s="1728">
        <f t="shared" si="255"/>
        <v>233.78406879933331</v>
      </c>
      <c r="T180" s="1728">
        <f t="shared" si="255"/>
        <v>235.13623034603867</v>
      </c>
      <c r="U180" s="1728">
        <f t="shared" si="255"/>
        <v>236.53501815297525</v>
      </c>
      <c r="V180" s="1728">
        <f t="shared" si="255"/>
        <v>237.51416961783085</v>
      </c>
      <c r="W180" s="1728">
        <f t="shared" si="255"/>
        <v>238.49332108268646</v>
      </c>
      <c r="X180" s="1728">
        <f t="shared" si="255"/>
        <v>239.47247254754208</v>
      </c>
      <c r="Y180" s="1728">
        <f t="shared" si="255"/>
        <v>240.45162401239767</v>
      </c>
      <c r="Z180" s="1728">
        <f t="shared" si="255"/>
        <v>241.38414921702207</v>
      </c>
      <c r="AA180" s="1728">
        <f t="shared" si="255"/>
        <v>242.36330068187766</v>
      </c>
      <c r="AB180" s="1728">
        <f t="shared" si="255"/>
        <v>243.34245214673325</v>
      </c>
      <c r="AC180" s="1728">
        <f t="shared" si="255"/>
        <v>244.32160361158887</v>
      </c>
      <c r="AD180" s="1728">
        <f t="shared" si="255"/>
        <v>245.30075507644449</v>
      </c>
      <c r="AE180" s="1728">
        <f t="shared" si="255"/>
        <v>246.27990654130008</v>
      </c>
      <c r="AF180" s="1728">
        <f t="shared" si="255"/>
        <v>247.25905800615567</v>
      </c>
      <c r="AG180" s="1728">
        <f t="shared" si="255"/>
        <v>248.23820947101129</v>
      </c>
      <c r="AH180" s="1728">
        <f t="shared" si="255"/>
        <v>249.21736093586691</v>
      </c>
      <c r="AI180" s="1728">
        <f t="shared" si="255"/>
        <v>250.1965124007225</v>
      </c>
    </row>
    <row r="181" spans="2:35" x14ac:dyDescent="0.35">
      <c r="B181" s="78" t="s">
        <v>281</v>
      </c>
      <c r="C181" s="78"/>
      <c r="D181" s="78"/>
      <c r="E181" s="78"/>
      <c r="F181" s="1728">
        <f t="shared" ref="F181:AI181" si="256">F65*$F$13</f>
        <v>105.90525057910708</v>
      </c>
      <c r="G181" s="1728">
        <f t="shared" si="256"/>
        <v>106.88596285434079</v>
      </c>
      <c r="H181" s="1728">
        <f t="shared" si="256"/>
        <v>107.8666751295745</v>
      </c>
      <c r="I181" s="1728">
        <f t="shared" si="256"/>
        <v>108.8473874048082</v>
      </c>
      <c r="J181" s="1728">
        <f t="shared" si="256"/>
        <v>109.82809968004193</v>
      </c>
      <c r="K181" s="1728">
        <f t="shared" si="256"/>
        <v>110.7971368091419</v>
      </c>
      <c r="L181" s="1728">
        <f t="shared" si="256"/>
        <v>111.64942247690453</v>
      </c>
      <c r="M181" s="1728">
        <f t="shared" si="256"/>
        <v>112.50170814466715</v>
      </c>
      <c r="N181" s="1728">
        <f t="shared" si="256"/>
        <v>113.35399381242978</v>
      </c>
      <c r="O181" s="1728">
        <f t="shared" si="256"/>
        <v>114.20627948019242</v>
      </c>
      <c r="P181" s="1728">
        <f t="shared" si="256"/>
        <v>115.04689000182132</v>
      </c>
      <c r="Q181" s="1728">
        <f t="shared" si="256"/>
        <v>115.72404847757792</v>
      </c>
      <c r="R181" s="1728">
        <f t="shared" si="256"/>
        <v>116.40120695333454</v>
      </c>
      <c r="S181" s="1728">
        <f t="shared" si="256"/>
        <v>117.07836542909114</v>
      </c>
      <c r="T181" s="1728">
        <f t="shared" si="256"/>
        <v>117.75552390484775</v>
      </c>
      <c r="U181" s="1728">
        <f t="shared" si="256"/>
        <v>118.45603267287183</v>
      </c>
      <c r="V181" s="1728">
        <f t="shared" si="256"/>
        <v>118.94638881048868</v>
      </c>
      <c r="W181" s="1728">
        <f t="shared" si="256"/>
        <v>119.43674494810554</v>
      </c>
      <c r="X181" s="1728">
        <f t="shared" si="256"/>
        <v>119.9271010857224</v>
      </c>
      <c r="Y181" s="1728">
        <f t="shared" si="256"/>
        <v>120.41745722333926</v>
      </c>
      <c r="Z181" s="1728">
        <f t="shared" si="256"/>
        <v>120.88446306868863</v>
      </c>
      <c r="AA181" s="1728">
        <f t="shared" si="256"/>
        <v>121.3748192063055</v>
      </c>
      <c r="AB181" s="1728">
        <f t="shared" si="256"/>
        <v>121.86517534392235</v>
      </c>
      <c r="AC181" s="1728">
        <f t="shared" si="256"/>
        <v>122.3555314815392</v>
      </c>
      <c r="AD181" s="1728">
        <f t="shared" si="256"/>
        <v>122.84588761915606</v>
      </c>
      <c r="AE181" s="1728">
        <f t="shared" si="256"/>
        <v>123.33624375677292</v>
      </c>
      <c r="AF181" s="1728">
        <f t="shared" si="256"/>
        <v>123.82659989438977</v>
      </c>
      <c r="AG181" s="1728">
        <f t="shared" si="256"/>
        <v>124.31695603200663</v>
      </c>
      <c r="AH181" s="1728">
        <f t="shared" si="256"/>
        <v>124.80731216962349</v>
      </c>
      <c r="AI181" s="1728">
        <f t="shared" si="256"/>
        <v>125.29766830724034</v>
      </c>
    </row>
    <row r="182" spans="2:35" x14ac:dyDescent="0.35">
      <c r="B182" s="78" t="s">
        <v>282</v>
      </c>
      <c r="C182" s="78"/>
      <c r="D182" s="78"/>
      <c r="E182" s="78"/>
      <c r="F182" s="1728">
        <f t="shared" ref="F182:AI182" si="257">F65*$F$14</f>
        <v>67.203013022790572</v>
      </c>
      <c r="G182" s="1728">
        <f t="shared" si="257"/>
        <v>67.825331741114283</v>
      </c>
      <c r="H182" s="1728">
        <f t="shared" si="257"/>
        <v>68.447650459437995</v>
      </c>
      <c r="I182" s="1728">
        <f t="shared" si="257"/>
        <v>69.069969177761706</v>
      </c>
      <c r="J182" s="1728">
        <f t="shared" si="257"/>
        <v>69.692287896085432</v>
      </c>
      <c r="K182" s="1728">
        <f t="shared" si="257"/>
        <v>70.307198058238626</v>
      </c>
      <c r="L182" s="1728">
        <f t="shared" si="257"/>
        <v>70.848022658686602</v>
      </c>
      <c r="M182" s="1728">
        <f t="shared" si="257"/>
        <v>71.388847259134593</v>
      </c>
      <c r="N182" s="1728">
        <f t="shared" si="257"/>
        <v>71.929671859582584</v>
      </c>
      <c r="O182" s="1728">
        <f t="shared" si="257"/>
        <v>72.470496460030574</v>
      </c>
      <c r="P182" s="1728">
        <f t="shared" si="257"/>
        <v>73.003912504308047</v>
      </c>
      <c r="Q182" s="1728">
        <f t="shared" si="257"/>
        <v>73.433608762198219</v>
      </c>
      <c r="R182" s="1728">
        <f t="shared" si="257"/>
        <v>73.863305020088418</v>
      </c>
      <c r="S182" s="1728">
        <f t="shared" si="257"/>
        <v>74.29300127797859</v>
      </c>
      <c r="T182" s="1728">
        <f t="shared" si="257"/>
        <v>74.722697535868775</v>
      </c>
      <c r="U182" s="1728">
        <f t="shared" si="257"/>
        <v>75.167210906099996</v>
      </c>
      <c r="V182" s="1728">
        <f t="shared" si="257"/>
        <v>75.478370265261859</v>
      </c>
      <c r="W182" s="1728">
        <f t="shared" si="257"/>
        <v>75.789529624423722</v>
      </c>
      <c r="X182" s="1728">
        <f t="shared" si="257"/>
        <v>76.10068898358557</v>
      </c>
      <c r="Y182" s="1728">
        <f t="shared" si="257"/>
        <v>76.411848342747433</v>
      </c>
      <c r="Z182" s="1728">
        <f t="shared" si="257"/>
        <v>76.708190589568247</v>
      </c>
      <c r="AA182" s="1728">
        <f t="shared" si="257"/>
        <v>77.01934994873011</v>
      </c>
      <c r="AB182" s="1728">
        <f t="shared" si="257"/>
        <v>77.330509307891958</v>
      </c>
      <c r="AC182" s="1728">
        <f t="shared" si="257"/>
        <v>77.641668667053807</v>
      </c>
      <c r="AD182" s="1728">
        <f t="shared" si="257"/>
        <v>77.95282802621567</v>
      </c>
      <c r="AE182" s="1728">
        <f t="shared" si="257"/>
        <v>78.263987385377519</v>
      </c>
      <c r="AF182" s="1728">
        <f t="shared" si="257"/>
        <v>78.575146744539381</v>
      </c>
      <c r="AG182" s="1728">
        <f t="shared" si="257"/>
        <v>78.886306103701244</v>
      </c>
      <c r="AH182" s="1728">
        <f t="shared" si="257"/>
        <v>79.197465462863107</v>
      </c>
      <c r="AI182" s="1728">
        <f t="shared" si="257"/>
        <v>79.508624822024956</v>
      </c>
    </row>
    <row r="183" spans="2:35" x14ac:dyDescent="0.35">
      <c r="B183" s="78" t="s">
        <v>283</v>
      </c>
      <c r="C183" s="78"/>
      <c r="D183" s="78"/>
      <c r="E183" s="78"/>
      <c r="F183" s="1728">
        <f t="shared" ref="F183:AI183" si="258">F65*$F$15</f>
        <v>7.6972349640964417</v>
      </c>
      <c r="G183" s="1728">
        <f t="shared" si="258"/>
        <v>7.7685135151915912</v>
      </c>
      <c r="H183" s="1728">
        <f t="shared" si="258"/>
        <v>7.8397920662867406</v>
      </c>
      <c r="I183" s="1728">
        <f t="shared" si="258"/>
        <v>7.9110706173818901</v>
      </c>
      <c r="J183" s="1728">
        <f t="shared" si="258"/>
        <v>7.9823491684770396</v>
      </c>
      <c r="K183" s="1728">
        <f t="shared" si="258"/>
        <v>8.0527791653924847</v>
      </c>
      <c r="L183" s="1728">
        <f t="shared" si="258"/>
        <v>8.1147236205108886</v>
      </c>
      <c r="M183" s="1728">
        <f t="shared" si="258"/>
        <v>8.1766680756292924</v>
      </c>
      <c r="N183" s="1728">
        <f t="shared" si="258"/>
        <v>8.2386125307476963</v>
      </c>
      <c r="O183" s="1728">
        <f t="shared" si="258"/>
        <v>8.3005569858661001</v>
      </c>
      <c r="P183" s="1728">
        <f t="shared" si="258"/>
        <v>8.3616528868047997</v>
      </c>
      <c r="Q183" s="1728">
        <f t="shared" si="258"/>
        <v>8.4108690292276407</v>
      </c>
      <c r="R183" s="1728">
        <f t="shared" si="258"/>
        <v>8.4600851716504817</v>
      </c>
      <c r="S183" s="1728">
        <f t="shared" si="258"/>
        <v>8.5093013140733227</v>
      </c>
      <c r="T183" s="1728">
        <f t="shared" si="258"/>
        <v>8.5585174564961655</v>
      </c>
      <c r="U183" s="1728">
        <f t="shared" si="258"/>
        <v>8.6094307072784133</v>
      </c>
      <c r="V183" s="1728">
        <f t="shared" si="258"/>
        <v>8.6450699828259889</v>
      </c>
      <c r="W183" s="1728">
        <f t="shared" si="258"/>
        <v>8.6807092583735646</v>
      </c>
      <c r="X183" s="1728">
        <f t="shared" si="258"/>
        <v>8.7163485339211384</v>
      </c>
      <c r="Y183" s="1728">
        <f t="shared" si="258"/>
        <v>8.751987809468714</v>
      </c>
      <c r="Z183" s="1728">
        <f t="shared" si="258"/>
        <v>8.7859299766568792</v>
      </c>
      <c r="AA183" s="1728">
        <f t="shared" si="258"/>
        <v>8.8215692522044549</v>
      </c>
      <c r="AB183" s="1728">
        <f t="shared" si="258"/>
        <v>8.8572085277520287</v>
      </c>
      <c r="AC183" s="1728">
        <f t="shared" si="258"/>
        <v>8.8928478032996043</v>
      </c>
      <c r="AD183" s="1728">
        <f t="shared" si="258"/>
        <v>8.9284870788471782</v>
      </c>
      <c r="AE183" s="1728">
        <f t="shared" si="258"/>
        <v>8.9641263543947538</v>
      </c>
      <c r="AF183" s="1728">
        <f t="shared" si="258"/>
        <v>8.9997656299423276</v>
      </c>
      <c r="AG183" s="1728">
        <f t="shared" si="258"/>
        <v>9.0354049054899033</v>
      </c>
      <c r="AH183" s="1728">
        <f t="shared" si="258"/>
        <v>9.0710441810374789</v>
      </c>
      <c r="AI183" s="1728">
        <f t="shared" si="258"/>
        <v>9.1066834565850527</v>
      </c>
    </row>
    <row r="184" spans="2:35" x14ac:dyDescent="0.35">
      <c r="B184" s="78" t="s">
        <v>12</v>
      </c>
      <c r="C184" s="78"/>
      <c r="D184" s="78"/>
      <c r="E184" s="78"/>
      <c r="F184" s="1728">
        <f t="shared" ref="F184:AI184" si="259">F65*$F$16</f>
        <v>283.59689612415212</v>
      </c>
      <c r="G184" s="1728">
        <f t="shared" si="259"/>
        <v>286.22308279314439</v>
      </c>
      <c r="H184" s="1728">
        <f t="shared" si="259"/>
        <v>288.84926946213665</v>
      </c>
      <c r="I184" s="1728">
        <f t="shared" si="259"/>
        <v>291.47545613112885</v>
      </c>
      <c r="J184" s="1728">
        <f t="shared" si="259"/>
        <v>294.10164280012117</v>
      </c>
      <c r="K184" s="1728">
        <f t="shared" si="259"/>
        <v>296.69656534210162</v>
      </c>
      <c r="L184" s="1728">
        <f t="shared" si="259"/>
        <v>298.97884661396392</v>
      </c>
      <c r="M184" s="1728">
        <f t="shared" si="259"/>
        <v>301.26112788582623</v>
      </c>
      <c r="N184" s="1728">
        <f t="shared" si="259"/>
        <v>303.54340915768853</v>
      </c>
      <c r="O184" s="1728">
        <f t="shared" si="259"/>
        <v>305.82569042955089</v>
      </c>
      <c r="P184" s="1728">
        <f t="shared" si="259"/>
        <v>308.07670757440138</v>
      </c>
      <c r="Q184" s="1728">
        <f t="shared" si="259"/>
        <v>309.89002694108649</v>
      </c>
      <c r="R184" s="1728">
        <f t="shared" si="259"/>
        <v>311.70334630777165</v>
      </c>
      <c r="S184" s="1728">
        <f t="shared" si="259"/>
        <v>313.51666567445676</v>
      </c>
      <c r="T184" s="1728">
        <f t="shared" si="259"/>
        <v>315.32998504114192</v>
      </c>
      <c r="U184" s="1728">
        <f t="shared" si="259"/>
        <v>317.20583266185065</v>
      </c>
      <c r="V184" s="1728">
        <f t="shared" si="259"/>
        <v>318.51892599634681</v>
      </c>
      <c r="W184" s="1728">
        <f t="shared" si="259"/>
        <v>319.83201933084291</v>
      </c>
      <c r="X184" s="1728">
        <f t="shared" si="259"/>
        <v>321.14511266533907</v>
      </c>
      <c r="Y184" s="1728">
        <f t="shared" si="259"/>
        <v>322.45820599983517</v>
      </c>
      <c r="Z184" s="1728">
        <f t="shared" si="259"/>
        <v>323.70877108030766</v>
      </c>
      <c r="AA184" s="1728">
        <f t="shared" si="259"/>
        <v>325.02186441480382</v>
      </c>
      <c r="AB184" s="1728">
        <f t="shared" si="259"/>
        <v>326.33495774929992</v>
      </c>
      <c r="AC184" s="1728">
        <f t="shared" si="259"/>
        <v>327.64805108379608</v>
      </c>
      <c r="AD184" s="1728">
        <f t="shared" si="259"/>
        <v>328.96114441829218</v>
      </c>
      <c r="AE184" s="1728">
        <f t="shared" si="259"/>
        <v>330.27423775278828</v>
      </c>
      <c r="AF184" s="1728">
        <f t="shared" si="259"/>
        <v>331.58733108728444</v>
      </c>
      <c r="AG184" s="1728">
        <f t="shared" si="259"/>
        <v>332.9004244217806</v>
      </c>
      <c r="AH184" s="1728">
        <f t="shared" si="259"/>
        <v>334.21351775627676</v>
      </c>
      <c r="AI184" s="1728">
        <f t="shared" si="259"/>
        <v>335.52661109077286</v>
      </c>
    </row>
    <row r="185" spans="2:35" x14ac:dyDescent="0.35">
      <c r="B185" s="78" t="s">
        <v>13</v>
      </c>
      <c r="C185" s="78"/>
      <c r="D185" s="78"/>
      <c r="E185" s="78"/>
      <c r="F185" s="1728">
        <f t="shared" ref="F185:AI185" si="260">F65*$F$17</f>
        <v>14.580579191192394</v>
      </c>
      <c r="G185" s="1728">
        <f t="shared" si="260"/>
        <v>14.715599437257897</v>
      </c>
      <c r="H185" s="1728">
        <f t="shared" si="260"/>
        <v>14.850619683323398</v>
      </c>
      <c r="I185" s="1728">
        <f t="shared" si="260"/>
        <v>14.985639929388897</v>
      </c>
      <c r="J185" s="1728">
        <f t="shared" si="260"/>
        <v>15.1206601754544</v>
      </c>
      <c r="K185" s="1728">
        <f t="shared" si="260"/>
        <v>15.25407303763817</v>
      </c>
      <c r="L185" s="1728">
        <f t="shared" si="260"/>
        <v>15.371412061004616</v>
      </c>
      <c r="M185" s="1728">
        <f t="shared" si="260"/>
        <v>15.488751084371064</v>
      </c>
      <c r="N185" s="1728">
        <f t="shared" si="260"/>
        <v>15.60609010773751</v>
      </c>
      <c r="O185" s="1728">
        <f t="shared" si="260"/>
        <v>15.723429131103959</v>
      </c>
      <c r="P185" s="1728">
        <f t="shared" si="260"/>
        <v>15.839160770588675</v>
      </c>
      <c r="Q185" s="1728">
        <f t="shared" si="260"/>
        <v>15.932389035729138</v>
      </c>
      <c r="R185" s="1728">
        <f t="shared" si="260"/>
        <v>16.025617300869605</v>
      </c>
      <c r="S185" s="1728">
        <f t="shared" si="260"/>
        <v>16.118845566010069</v>
      </c>
      <c r="T185" s="1728">
        <f t="shared" si="260"/>
        <v>16.212073831150533</v>
      </c>
      <c r="U185" s="1728">
        <f t="shared" si="260"/>
        <v>16.308516864054461</v>
      </c>
      <c r="V185" s="1728">
        <f t="shared" si="260"/>
        <v>16.376026987087215</v>
      </c>
      <c r="W185" s="1728">
        <f t="shared" si="260"/>
        <v>16.443537110119966</v>
      </c>
      <c r="X185" s="1728">
        <f t="shared" si="260"/>
        <v>16.511047233152716</v>
      </c>
      <c r="Y185" s="1728">
        <f t="shared" si="260"/>
        <v>16.578557356185467</v>
      </c>
      <c r="Z185" s="1728">
        <f t="shared" si="260"/>
        <v>16.642852711454751</v>
      </c>
      <c r="AA185" s="1728">
        <f t="shared" si="260"/>
        <v>16.710362834487505</v>
      </c>
      <c r="AB185" s="1728">
        <f t="shared" si="260"/>
        <v>16.777872957520252</v>
      </c>
      <c r="AC185" s="1728">
        <f t="shared" si="260"/>
        <v>16.845383080553002</v>
      </c>
      <c r="AD185" s="1728">
        <f t="shared" si="260"/>
        <v>16.912893203585753</v>
      </c>
      <c r="AE185" s="1728">
        <f t="shared" si="260"/>
        <v>16.980403326618504</v>
      </c>
      <c r="AF185" s="1728">
        <f t="shared" si="260"/>
        <v>17.047913449651254</v>
      </c>
      <c r="AG185" s="1728">
        <f t="shared" si="260"/>
        <v>17.115423572684005</v>
      </c>
      <c r="AH185" s="1728">
        <f t="shared" si="260"/>
        <v>17.182933695716759</v>
      </c>
      <c r="AI185" s="1728">
        <f t="shared" si="260"/>
        <v>17.250443818749506</v>
      </c>
    </row>
    <row r="186" spans="2:35" x14ac:dyDescent="0.35">
      <c r="B186" s="78" t="s">
        <v>14</v>
      </c>
      <c r="C186" s="78"/>
      <c r="D186" s="78"/>
      <c r="E186" s="78"/>
      <c r="F186" s="1728">
        <f t="shared" ref="F186:AI186" si="261">F65*$F$18</f>
        <v>106.54936862674442</v>
      </c>
      <c r="G186" s="1728">
        <f t="shared" si="261"/>
        <v>107.53604561546084</v>
      </c>
      <c r="H186" s="1728">
        <f t="shared" si="261"/>
        <v>108.52272260417725</v>
      </c>
      <c r="I186" s="1728">
        <f t="shared" si="261"/>
        <v>109.50939959289364</v>
      </c>
      <c r="J186" s="1728">
        <f t="shared" si="261"/>
        <v>110.49607658161007</v>
      </c>
      <c r="K186" s="1728">
        <f t="shared" si="261"/>
        <v>111.47100741569889</v>
      </c>
      <c r="L186" s="1728">
        <f t="shared" si="261"/>
        <v>112.32847670351195</v>
      </c>
      <c r="M186" s="1728">
        <f t="shared" si="261"/>
        <v>113.18594599132503</v>
      </c>
      <c r="N186" s="1728">
        <f t="shared" si="261"/>
        <v>114.04341527913809</v>
      </c>
      <c r="O186" s="1728">
        <f t="shared" si="261"/>
        <v>114.90088456695116</v>
      </c>
      <c r="P186" s="1728">
        <f t="shared" si="261"/>
        <v>115.74660770013666</v>
      </c>
      <c r="Q186" s="1728">
        <f t="shared" si="261"/>
        <v>116.42788466853608</v>
      </c>
      <c r="R186" s="1728">
        <f t="shared" si="261"/>
        <v>117.10916163693551</v>
      </c>
      <c r="S186" s="1728">
        <f t="shared" si="261"/>
        <v>117.79043860533493</v>
      </c>
      <c r="T186" s="1728">
        <f t="shared" si="261"/>
        <v>118.47171557373436</v>
      </c>
      <c r="U186" s="1728">
        <f t="shared" si="261"/>
        <v>119.17648485138892</v>
      </c>
      <c r="V186" s="1728">
        <f t="shared" si="261"/>
        <v>119.66982334574713</v>
      </c>
      <c r="W186" s="1728">
        <f t="shared" si="261"/>
        <v>120.16316184010535</v>
      </c>
      <c r="X186" s="1728">
        <f t="shared" si="261"/>
        <v>120.65650033446354</v>
      </c>
      <c r="Y186" s="1728">
        <f t="shared" si="261"/>
        <v>121.14983882882174</v>
      </c>
      <c r="Z186" s="1728">
        <f t="shared" si="261"/>
        <v>121.61968501392479</v>
      </c>
      <c r="AA186" s="1728">
        <f t="shared" si="261"/>
        <v>122.11302350828301</v>
      </c>
      <c r="AB186" s="1728">
        <f t="shared" si="261"/>
        <v>122.60636200264119</v>
      </c>
      <c r="AC186" s="1728">
        <f t="shared" si="261"/>
        <v>123.0997004969994</v>
      </c>
      <c r="AD186" s="1728">
        <f t="shared" si="261"/>
        <v>123.59303899135762</v>
      </c>
      <c r="AE186" s="1728">
        <f t="shared" si="261"/>
        <v>124.0863774857158</v>
      </c>
      <c r="AF186" s="1728">
        <f t="shared" si="261"/>
        <v>124.57971598007401</v>
      </c>
      <c r="AG186" s="1728">
        <f t="shared" si="261"/>
        <v>125.07305447443223</v>
      </c>
      <c r="AH186" s="1728">
        <f t="shared" si="261"/>
        <v>125.56639296879044</v>
      </c>
      <c r="AI186" s="1728">
        <f t="shared" si="261"/>
        <v>126.05973146314862</v>
      </c>
    </row>
    <row r="187" spans="2:35" x14ac:dyDescent="0.35">
      <c r="B187" s="728" t="s">
        <v>200</v>
      </c>
      <c r="C187" s="728"/>
      <c r="D187" s="728"/>
      <c r="E187" s="728"/>
      <c r="F187" s="1729">
        <f>SUM(F176:F186)</f>
        <v>3380.524485798237</v>
      </c>
      <c r="G187" s="1729">
        <f t="shared" ref="G187" si="262">SUM(G176:G186)</f>
        <v>3411.8290891283059</v>
      </c>
      <c r="H187" s="1729">
        <f t="shared" ref="H187" si="263">SUM(H176:H186)</f>
        <v>3443.1336924583748</v>
      </c>
      <c r="I187" s="1729">
        <f t="shared" ref="I187" si="264">SUM(I176:I186)</f>
        <v>3474.4382957884422</v>
      </c>
      <c r="J187" s="1729">
        <f t="shared" ref="J187" si="265">SUM(J176:J186)</f>
        <v>3505.7428991185111</v>
      </c>
      <c r="K187" s="1729">
        <f t="shared" ref="K187" si="266">SUM(K176:K186)</f>
        <v>3536.6748285994131</v>
      </c>
      <c r="L187" s="1729">
        <f t="shared" ref="L187" si="267">SUM(L176:L186)</f>
        <v>3563.8800195886392</v>
      </c>
      <c r="M187" s="1729">
        <f t="shared" ref="M187" si="268">SUM(M176:M186)</f>
        <v>3591.0852105778645</v>
      </c>
      <c r="N187" s="1729">
        <f t="shared" ref="N187" si="269">SUM(N176:N186)</f>
        <v>3618.2904015670911</v>
      </c>
      <c r="O187" s="1729">
        <f t="shared" ref="O187" si="270">SUM(O176:O186)</f>
        <v>3645.4955925563172</v>
      </c>
      <c r="P187" s="1729">
        <f t="shared" ref="P187" si="271">SUM(P176:P186)</f>
        <v>3672.328109696376</v>
      </c>
      <c r="Q187" s="1729">
        <f t="shared" ref="Q187" si="272">SUM(Q176:Q186)</f>
        <v>3693.9431929480902</v>
      </c>
      <c r="R187" s="1729">
        <f t="shared" ref="R187" si="273">SUM(R176:R186)</f>
        <v>3715.5582761998048</v>
      </c>
      <c r="S187" s="1729">
        <f t="shared" ref="S187" si="274">SUM(S176:S186)</f>
        <v>3737.1733594515181</v>
      </c>
      <c r="T187" s="1729">
        <f t="shared" ref="T187" si="275">SUM(T176:T186)</f>
        <v>3758.7884427032327</v>
      </c>
      <c r="U187" s="1729">
        <f t="shared" ref="U187" si="276">SUM(U176:U186)</f>
        <v>3781.148873653282</v>
      </c>
      <c r="V187" s="1729">
        <f t="shared" ref="V187" si="277">SUM(V176:V186)</f>
        <v>3796.8011753183159</v>
      </c>
      <c r="W187" s="1729">
        <f t="shared" ref="W187" si="278">SUM(W176:W186)</f>
        <v>3812.4534769833494</v>
      </c>
      <c r="X187" s="1729">
        <f t="shared" ref="X187" si="279">SUM(X176:X186)</f>
        <v>3828.1057786483839</v>
      </c>
      <c r="Y187" s="1729">
        <f t="shared" ref="Y187" si="280">SUM(Y176:Y186)</f>
        <v>3843.7580803134183</v>
      </c>
      <c r="Z187" s="1729">
        <f t="shared" ref="Z187" si="281">SUM(Z176:Z186)</f>
        <v>3858.6650342801181</v>
      </c>
      <c r="AA187" s="1729">
        <f t="shared" ref="AA187" si="282">SUM(AA176:AA186)</f>
        <v>3874.3173359451516</v>
      </c>
      <c r="AB187" s="1729">
        <f t="shared" ref="AB187" si="283">SUM(AB176:AB186)</f>
        <v>3889.9696376101856</v>
      </c>
      <c r="AC187" s="1729">
        <f t="shared" ref="AC187" si="284">SUM(AC176:AC186)</f>
        <v>3905.62193927522</v>
      </c>
      <c r="AD187" s="1729">
        <f t="shared" ref="AD187" si="285">SUM(AD176:AD186)</f>
        <v>3921.2742409402545</v>
      </c>
      <c r="AE187" s="1729">
        <f t="shared" ref="AE187" si="286">SUM(AE176:AE186)</f>
        <v>3936.9265426052898</v>
      </c>
      <c r="AF187" s="1729">
        <f t="shared" ref="AF187" si="287">SUM(AF176:AF186)</f>
        <v>3952.5788442703233</v>
      </c>
      <c r="AG187" s="1729">
        <f t="shared" ref="AG187" si="288">SUM(AG176:AG186)</f>
        <v>3968.2311459353587</v>
      </c>
      <c r="AH187" s="1729">
        <f t="shared" ref="AH187" si="289">SUM(AH176:AH186)</f>
        <v>3983.8834476003922</v>
      </c>
      <c r="AI187" s="1729">
        <f t="shared" ref="AI187" si="290">SUM(AI176:AI186)</f>
        <v>3999.5357492654257</v>
      </c>
    </row>
    <row r="188" spans="2:35" x14ac:dyDescent="0.35">
      <c r="E188" s="281" t="s">
        <v>332</v>
      </c>
      <c r="F188" s="1725">
        <f t="shared" ref="F188:AI188" si="291">F187-F65</f>
        <v>0</v>
      </c>
      <c r="G188" s="1725">
        <f t="shared" si="291"/>
        <v>0</v>
      </c>
      <c r="H188" s="1725">
        <f t="shared" si="291"/>
        <v>0</v>
      </c>
      <c r="I188" s="1725">
        <f t="shared" si="291"/>
        <v>0</v>
      </c>
      <c r="J188" s="1725">
        <f t="shared" si="291"/>
        <v>0</v>
      </c>
      <c r="K188" s="1725">
        <f t="shared" si="291"/>
        <v>0</v>
      </c>
      <c r="L188" s="1725">
        <f t="shared" si="291"/>
        <v>0</v>
      </c>
      <c r="M188" s="1725">
        <f t="shared" si="291"/>
        <v>0</v>
      </c>
      <c r="N188" s="1725">
        <f t="shared" si="291"/>
        <v>0</v>
      </c>
      <c r="O188" s="1725">
        <f t="shared" si="291"/>
        <v>0</v>
      </c>
      <c r="P188" s="1725">
        <f t="shared" si="291"/>
        <v>0</v>
      </c>
      <c r="Q188" s="1725">
        <f t="shared" si="291"/>
        <v>0</v>
      </c>
      <c r="R188" s="1725">
        <f t="shared" si="291"/>
        <v>0</v>
      </c>
      <c r="S188" s="1725">
        <f t="shared" si="291"/>
        <v>0</v>
      </c>
      <c r="T188" s="1725">
        <f t="shared" si="291"/>
        <v>0</v>
      </c>
      <c r="U188" s="1725">
        <f t="shared" si="291"/>
        <v>0</v>
      </c>
      <c r="V188" s="1725">
        <f t="shared" si="291"/>
        <v>0</v>
      </c>
      <c r="W188" s="1725">
        <f t="shared" si="291"/>
        <v>0</v>
      </c>
      <c r="X188" s="1725">
        <f t="shared" si="291"/>
        <v>0</v>
      </c>
      <c r="Y188" s="1725">
        <f t="shared" si="291"/>
        <v>0</v>
      </c>
      <c r="Z188" s="1725">
        <f t="shared" si="291"/>
        <v>0</v>
      </c>
      <c r="AA188" s="1725">
        <f t="shared" si="291"/>
        <v>0</v>
      </c>
      <c r="AB188" s="1725">
        <f t="shared" si="291"/>
        <v>0</v>
      </c>
      <c r="AC188" s="1725">
        <f t="shared" si="291"/>
        <v>0</v>
      </c>
      <c r="AD188" s="1725">
        <f t="shared" si="291"/>
        <v>0</v>
      </c>
      <c r="AE188" s="1725">
        <f t="shared" si="291"/>
        <v>0</v>
      </c>
      <c r="AF188" s="1725">
        <f t="shared" si="291"/>
        <v>0</v>
      </c>
      <c r="AG188" s="1725">
        <f t="shared" si="291"/>
        <v>0</v>
      </c>
      <c r="AH188" s="1725">
        <f t="shared" si="291"/>
        <v>0</v>
      </c>
      <c r="AI188" s="1725">
        <f t="shared" si="291"/>
        <v>0</v>
      </c>
    </row>
    <row r="189" spans="2:35" ht="15.5" x14ac:dyDescent="0.35">
      <c r="B189" s="86" t="s">
        <v>5</v>
      </c>
    </row>
    <row r="190" spans="2:35" x14ac:dyDescent="0.35">
      <c r="B190" s="780" t="s">
        <v>273</v>
      </c>
      <c r="C190" s="780"/>
      <c r="D190" s="780"/>
      <c r="E190" s="780"/>
      <c r="F190" s="1727">
        <v>1</v>
      </c>
      <c r="G190" s="1727">
        <f>F190+1</f>
        <v>2</v>
      </c>
      <c r="H190" s="1727">
        <f t="shared" ref="H190" si="292">G190+1</f>
        <v>3</v>
      </c>
      <c r="I190" s="1727">
        <f t="shared" ref="I190" si="293">H190+1</f>
        <v>4</v>
      </c>
      <c r="J190" s="1727">
        <f t="shared" ref="J190" si="294">I190+1</f>
        <v>5</v>
      </c>
      <c r="K190" s="1727">
        <f t="shared" ref="K190" si="295">J190+1</f>
        <v>6</v>
      </c>
      <c r="L190" s="1727">
        <f t="shared" ref="L190" si="296">K190+1</f>
        <v>7</v>
      </c>
      <c r="M190" s="1727">
        <f t="shared" ref="M190" si="297">L190+1</f>
        <v>8</v>
      </c>
      <c r="N190" s="1727">
        <f t="shared" ref="N190" si="298">M190+1</f>
        <v>9</v>
      </c>
      <c r="O190" s="1727">
        <f t="shared" ref="O190" si="299">N190+1</f>
        <v>10</v>
      </c>
      <c r="P190" s="1727">
        <f t="shared" ref="P190" si="300">O190+1</f>
        <v>11</v>
      </c>
      <c r="Q190" s="1727">
        <f t="shared" ref="Q190" si="301">P190+1</f>
        <v>12</v>
      </c>
      <c r="R190" s="1727">
        <f t="shared" ref="R190" si="302">Q190+1</f>
        <v>13</v>
      </c>
      <c r="S190" s="1727">
        <f t="shared" ref="S190" si="303">R190+1</f>
        <v>14</v>
      </c>
      <c r="T190" s="1727">
        <f t="shared" ref="T190" si="304">S190+1</f>
        <v>15</v>
      </c>
      <c r="U190" s="1727">
        <f t="shared" ref="U190" si="305">T190+1</f>
        <v>16</v>
      </c>
      <c r="V190" s="1727">
        <f t="shared" ref="V190" si="306">U190+1</f>
        <v>17</v>
      </c>
      <c r="W190" s="1727">
        <f t="shared" ref="W190" si="307">V190+1</f>
        <v>18</v>
      </c>
      <c r="X190" s="1727">
        <f t="shared" ref="X190" si="308">W190+1</f>
        <v>19</v>
      </c>
      <c r="Y190" s="1727">
        <f t="shared" ref="Y190" si="309">X190+1</f>
        <v>20</v>
      </c>
      <c r="Z190" s="1727">
        <f t="shared" ref="Z190" si="310">Y190+1</f>
        <v>21</v>
      </c>
      <c r="AA190" s="1727">
        <f t="shared" ref="AA190" si="311">Z190+1</f>
        <v>22</v>
      </c>
      <c r="AB190" s="1727">
        <f t="shared" ref="AB190" si="312">AA190+1</f>
        <v>23</v>
      </c>
      <c r="AC190" s="1727">
        <f t="shared" ref="AC190" si="313">AB190+1</f>
        <v>24</v>
      </c>
      <c r="AD190" s="1727">
        <f t="shared" ref="AD190" si="314">AC190+1</f>
        <v>25</v>
      </c>
      <c r="AE190" s="1727">
        <f t="shared" ref="AE190" si="315">AD190+1</f>
        <v>26</v>
      </c>
      <c r="AF190" s="1727">
        <f t="shared" ref="AF190" si="316">AE190+1</f>
        <v>27</v>
      </c>
      <c r="AG190" s="1727">
        <f t="shared" ref="AG190" si="317">AF190+1</f>
        <v>28</v>
      </c>
      <c r="AH190" s="1727">
        <f t="shared" ref="AH190" si="318">AG190+1</f>
        <v>29</v>
      </c>
      <c r="AI190" s="1727">
        <f t="shared" ref="AI190" si="319">AH190+1</f>
        <v>30</v>
      </c>
    </row>
    <row r="191" spans="2:35" x14ac:dyDescent="0.35">
      <c r="B191" s="78" t="s">
        <v>276</v>
      </c>
      <c r="C191" s="78"/>
      <c r="D191" s="78"/>
      <c r="E191" s="78"/>
      <c r="F191" s="1728">
        <f t="shared" ref="F191:AI191" si="320">F66*$G$8</f>
        <v>2288.2579311076383</v>
      </c>
      <c r="G191" s="1728">
        <f t="shared" si="320"/>
        <v>2298.0743197290244</v>
      </c>
      <c r="H191" s="1728">
        <f t="shared" si="320"/>
        <v>2307.8907083504109</v>
      </c>
      <c r="I191" s="1728">
        <f t="shared" si="320"/>
        <v>2317.7070969717975</v>
      </c>
      <c r="J191" s="1728">
        <f t="shared" si="320"/>
        <v>2327.5234855931835</v>
      </c>
      <c r="K191" s="1728">
        <f t="shared" si="320"/>
        <v>2337.2243872896124</v>
      </c>
      <c r="L191" s="1728">
        <f t="shared" si="320"/>
        <v>2342.8832466125295</v>
      </c>
      <c r="M191" s="1728">
        <f t="shared" si="320"/>
        <v>2348.5421059354462</v>
      </c>
      <c r="N191" s="1728">
        <f t="shared" si="320"/>
        <v>2354.2009652583629</v>
      </c>
      <c r="O191" s="1728">
        <f t="shared" si="320"/>
        <v>2359.85982458128</v>
      </c>
      <c r="P191" s="1728">
        <f t="shared" si="320"/>
        <v>2365.7496577541115</v>
      </c>
      <c r="Q191" s="1728">
        <f t="shared" si="320"/>
        <v>2367.943909328304</v>
      </c>
      <c r="R191" s="1728">
        <f t="shared" si="320"/>
        <v>2370.1381609024961</v>
      </c>
      <c r="S191" s="1728">
        <f t="shared" si="320"/>
        <v>2372.3324124766887</v>
      </c>
      <c r="T191" s="1728">
        <f t="shared" si="320"/>
        <v>2374.5266640508808</v>
      </c>
      <c r="U191" s="1728">
        <f t="shared" si="320"/>
        <v>2376.9518894749876</v>
      </c>
      <c r="V191" s="1728">
        <f t="shared" si="320"/>
        <v>2375.566046375498</v>
      </c>
      <c r="W191" s="1728">
        <f t="shared" si="320"/>
        <v>2374.1802032760083</v>
      </c>
      <c r="X191" s="1728">
        <f t="shared" si="320"/>
        <v>2372.7943601765182</v>
      </c>
      <c r="Y191" s="1728">
        <f t="shared" si="320"/>
        <v>2371.4085170770286</v>
      </c>
      <c r="Z191" s="1728">
        <f t="shared" si="320"/>
        <v>2370.0226739775389</v>
      </c>
      <c r="AA191" s="1728">
        <f t="shared" si="320"/>
        <v>2368.6368308780488</v>
      </c>
      <c r="AB191" s="1728">
        <f t="shared" si="320"/>
        <v>2367.2509877785592</v>
      </c>
      <c r="AC191" s="1728">
        <f t="shared" si="320"/>
        <v>2365.8651446790691</v>
      </c>
      <c r="AD191" s="1728">
        <f t="shared" si="320"/>
        <v>2364.4793015795794</v>
      </c>
      <c r="AE191" s="1728">
        <f t="shared" si="320"/>
        <v>2363.0934584800898</v>
      </c>
      <c r="AF191" s="1728">
        <f t="shared" si="320"/>
        <v>2361.7076153805997</v>
      </c>
      <c r="AG191" s="1728">
        <f t="shared" si="320"/>
        <v>2360.32177228111</v>
      </c>
      <c r="AH191" s="1728">
        <f t="shared" si="320"/>
        <v>2358.9359291816199</v>
      </c>
      <c r="AI191" s="1728">
        <f t="shared" si="320"/>
        <v>2357.5500860821303</v>
      </c>
    </row>
    <row r="192" spans="2:35" x14ac:dyDescent="0.35">
      <c r="B192" s="78" t="s">
        <v>277</v>
      </c>
      <c r="C192" s="78"/>
      <c r="D192" s="78"/>
      <c r="E192" s="78"/>
      <c r="F192" s="1728">
        <f t="shared" ref="F192:AI192" si="321">F66*$G$9</f>
        <v>280.57863491391146</v>
      </c>
      <c r="G192" s="1728">
        <f t="shared" si="321"/>
        <v>281.78228808680348</v>
      </c>
      <c r="H192" s="1728">
        <f t="shared" si="321"/>
        <v>282.98594125969549</v>
      </c>
      <c r="I192" s="1728">
        <f t="shared" si="321"/>
        <v>284.18959443258757</v>
      </c>
      <c r="J192" s="1728">
        <f t="shared" si="321"/>
        <v>285.39324760547959</v>
      </c>
      <c r="K192" s="1728">
        <f t="shared" si="321"/>
        <v>286.58274015280819</v>
      </c>
      <c r="L192" s="1728">
        <f t="shared" si="321"/>
        <v>287.27661080541651</v>
      </c>
      <c r="M192" s="1728">
        <f t="shared" si="321"/>
        <v>287.97048145802484</v>
      </c>
      <c r="N192" s="1728">
        <f t="shared" si="321"/>
        <v>288.66435211063316</v>
      </c>
      <c r="O192" s="1728">
        <f t="shared" si="321"/>
        <v>289.35822276324149</v>
      </c>
      <c r="P192" s="1728">
        <f t="shared" si="321"/>
        <v>290.08041466697671</v>
      </c>
      <c r="Q192" s="1728">
        <f t="shared" si="321"/>
        <v>290.34946655268197</v>
      </c>
      <c r="R192" s="1728">
        <f t="shared" si="321"/>
        <v>290.6185184383873</v>
      </c>
      <c r="S192" s="1728">
        <f t="shared" si="321"/>
        <v>290.88757032409256</v>
      </c>
      <c r="T192" s="1728">
        <f t="shared" si="321"/>
        <v>291.15662220979783</v>
      </c>
      <c r="U192" s="1728">
        <f t="shared" si="321"/>
        <v>291.45399534662994</v>
      </c>
      <c r="V192" s="1728">
        <f t="shared" si="321"/>
        <v>291.28406783986873</v>
      </c>
      <c r="W192" s="1728">
        <f t="shared" si="321"/>
        <v>291.11414033310751</v>
      </c>
      <c r="X192" s="1728">
        <f t="shared" si="321"/>
        <v>290.9442128263463</v>
      </c>
      <c r="Y192" s="1728">
        <f t="shared" si="321"/>
        <v>290.77428531958509</v>
      </c>
      <c r="Z192" s="1728">
        <f t="shared" si="321"/>
        <v>290.60435781282388</v>
      </c>
      <c r="AA192" s="1728">
        <f t="shared" si="321"/>
        <v>290.43443030606261</v>
      </c>
      <c r="AB192" s="1728">
        <f t="shared" si="321"/>
        <v>290.2645027993014</v>
      </c>
      <c r="AC192" s="1728">
        <f t="shared" si="321"/>
        <v>290.09457529254018</v>
      </c>
      <c r="AD192" s="1728">
        <f t="shared" si="321"/>
        <v>289.92464778577892</v>
      </c>
      <c r="AE192" s="1728">
        <f t="shared" si="321"/>
        <v>289.7547202790177</v>
      </c>
      <c r="AF192" s="1728">
        <f t="shared" si="321"/>
        <v>289.58479277225649</v>
      </c>
      <c r="AG192" s="1728">
        <f t="shared" si="321"/>
        <v>289.41486526549528</v>
      </c>
      <c r="AH192" s="1728">
        <f t="shared" si="321"/>
        <v>289.24493775873401</v>
      </c>
      <c r="AI192" s="1728">
        <f t="shared" si="321"/>
        <v>289.0750102519728</v>
      </c>
    </row>
    <row r="193" spans="2:35" x14ac:dyDescent="0.35">
      <c r="B193" s="78" t="s">
        <v>278</v>
      </c>
      <c r="C193" s="78"/>
      <c r="D193" s="78"/>
      <c r="E193" s="78"/>
      <c r="F193" s="1728">
        <f t="shared" ref="F193:AI193" si="322">F66*$G$10</f>
        <v>1226.4545337561253</v>
      </c>
      <c r="G193" s="1728">
        <f t="shared" si="322"/>
        <v>1231.715896195273</v>
      </c>
      <c r="H193" s="1728">
        <f t="shared" si="322"/>
        <v>1236.9772586344207</v>
      </c>
      <c r="I193" s="1728">
        <f t="shared" si="322"/>
        <v>1242.2386210735683</v>
      </c>
      <c r="J193" s="1728">
        <f t="shared" si="322"/>
        <v>1247.499983512716</v>
      </c>
      <c r="K193" s="1728">
        <f t="shared" si="322"/>
        <v>1252.6994475702265</v>
      </c>
      <c r="L193" s="1728">
        <f t="shared" si="322"/>
        <v>1255.7324682704409</v>
      </c>
      <c r="M193" s="1728">
        <f t="shared" si="322"/>
        <v>1258.7654889706555</v>
      </c>
      <c r="N193" s="1728">
        <f t="shared" si="322"/>
        <v>1261.7985096708699</v>
      </c>
      <c r="O193" s="1728">
        <f t="shared" si="322"/>
        <v>1264.8315303710845</v>
      </c>
      <c r="P193" s="1728">
        <f t="shared" si="322"/>
        <v>1267.988347834573</v>
      </c>
      <c r="Q193" s="1728">
        <f t="shared" si="322"/>
        <v>1269.1644170856766</v>
      </c>
      <c r="R193" s="1728">
        <f t="shared" si="322"/>
        <v>1270.3404863367803</v>
      </c>
      <c r="S193" s="1728">
        <f t="shared" si="322"/>
        <v>1271.5165555878839</v>
      </c>
      <c r="T193" s="1728">
        <f t="shared" si="322"/>
        <v>1272.6926248389875</v>
      </c>
      <c r="U193" s="1728">
        <f t="shared" si="322"/>
        <v>1273.9924908533649</v>
      </c>
      <c r="V193" s="1728">
        <f t="shared" si="322"/>
        <v>1273.2497102737207</v>
      </c>
      <c r="W193" s="1728">
        <f t="shared" si="322"/>
        <v>1272.5069296940762</v>
      </c>
      <c r="X193" s="1728">
        <f t="shared" si="322"/>
        <v>1271.7641491144318</v>
      </c>
      <c r="Y193" s="1728">
        <f t="shared" si="322"/>
        <v>1271.0213685347876</v>
      </c>
      <c r="Z193" s="1728">
        <f t="shared" si="322"/>
        <v>1270.2785879551432</v>
      </c>
      <c r="AA193" s="1728">
        <f t="shared" si="322"/>
        <v>1269.535807375499</v>
      </c>
      <c r="AB193" s="1728">
        <f t="shared" si="322"/>
        <v>1268.7930267958545</v>
      </c>
      <c r="AC193" s="1728">
        <f t="shared" si="322"/>
        <v>1268.0502462162101</v>
      </c>
      <c r="AD193" s="1728">
        <f t="shared" si="322"/>
        <v>1267.3074656365657</v>
      </c>
      <c r="AE193" s="1728">
        <f t="shared" si="322"/>
        <v>1266.5646850569212</v>
      </c>
      <c r="AF193" s="1728">
        <f t="shared" si="322"/>
        <v>1265.821904477277</v>
      </c>
      <c r="AG193" s="1728">
        <f t="shared" si="322"/>
        <v>1265.0791238976326</v>
      </c>
      <c r="AH193" s="1728">
        <f t="shared" si="322"/>
        <v>1264.3363433179882</v>
      </c>
      <c r="AI193" s="1728">
        <f t="shared" si="322"/>
        <v>1263.5935627383437</v>
      </c>
    </row>
    <row r="194" spans="2:35" x14ac:dyDescent="0.35">
      <c r="B194" s="78" t="s">
        <v>279</v>
      </c>
      <c r="C194" s="78"/>
      <c r="D194" s="78"/>
      <c r="E194" s="78"/>
      <c r="F194" s="1728">
        <f t="shared" ref="F194:AI194" si="323">F66*$G$11</f>
        <v>1410.3000860954783</v>
      </c>
      <c r="G194" s="1728">
        <f t="shared" si="323"/>
        <v>1416.3501268403111</v>
      </c>
      <c r="H194" s="1728">
        <f t="shared" si="323"/>
        <v>1422.4001675851439</v>
      </c>
      <c r="I194" s="1728">
        <f t="shared" si="323"/>
        <v>1428.4502083299765</v>
      </c>
      <c r="J194" s="1728">
        <f t="shared" si="323"/>
        <v>1434.5002490748093</v>
      </c>
      <c r="K194" s="1728">
        <f t="shared" si="323"/>
        <v>1440.4791128697029</v>
      </c>
      <c r="L194" s="1728">
        <f t="shared" si="323"/>
        <v>1443.966783416724</v>
      </c>
      <c r="M194" s="1728">
        <f t="shared" si="323"/>
        <v>1447.4544539637452</v>
      </c>
      <c r="N194" s="1728">
        <f t="shared" si="323"/>
        <v>1450.9421245107665</v>
      </c>
      <c r="O194" s="1728">
        <f t="shared" si="323"/>
        <v>1454.4297950577877</v>
      </c>
      <c r="P194" s="1728">
        <f t="shared" si="323"/>
        <v>1458.0598195046873</v>
      </c>
      <c r="Q194" s="1728">
        <f t="shared" si="323"/>
        <v>1459.4121815535323</v>
      </c>
      <c r="R194" s="1728">
        <f t="shared" si="323"/>
        <v>1460.7645436023772</v>
      </c>
      <c r="S194" s="1728">
        <f t="shared" si="323"/>
        <v>1462.1169056512222</v>
      </c>
      <c r="T194" s="1728">
        <f t="shared" si="323"/>
        <v>1463.4692677000671</v>
      </c>
      <c r="U194" s="1728">
        <f t="shared" si="323"/>
        <v>1464.9639836487904</v>
      </c>
      <c r="V194" s="1728">
        <f t="shared" si="323"/>
        <v>1464.1098602495199</v>
      </c>
      <c r="W194" s="1728">
        <f t="shared" si="323"/>
        <v>1463.2557368502494</v>
      </c>
      <c r="X194" s="1728">
        <f t="shared" si="323"/>
        <v>1462.4016134509789</v>
      </c>
      <c r="Y194" s="1728">
        <f t="shared" si="323"/>
        <v>1461.5474900517086</v>
      </c>
      <c r="Z194" s="1728">
        <f t="shared" si="323"/>
        <v>1460.693366652438</v>
      </c>
      <c r="AA194" s="1728">
        <f t="shared" si="323"/>
        <v>1459.8392432531675</v>
      </c>
      <c r="AB194" s="1728">
        <f t="shared" si="323"/>
        <v>1458.985119853897</v>
      </c>
      <c r="AC194" s="1728">
        <f t="shared" si="323"/>
        <v>1458.1309964546265</v>
      </c>
      <c r="AD194" s="1728">
        <f t="shared" si="323"/>
        <v>1457.276873055356</v>
      </c>
      <c r="AE194" s="1728">
        <f t="shared" si="323"/>
        <v>1456.4227496560854</v>
      </c>
      <c r="AF194" s="1728">
        <f t="shared" si="323"/>
        <v>1455.5686262568149</v>
      </c>
      <c r="AG194" s="1728">
        <f t="shared" si="323"/>
        <v>1454.7145028575444</v>
      </c>
      <c r="AH194" s="1728">
        <f t="shared" si="323"/>
        <v>1453.8603794582739</v>
      </c>
      <c r="AI194" s="1728">
        <f t="shared" si="323"/>
        <v>1453.0062560590036</v>
      </c>
    </row>
    <row r="195" spans="2:35" x14ac:dyDescent="0.35">
      <c r="B195" s="78" t="s">
        <v>280</v>
      </c>
      <c r="C195" s="78"/>
      <c r="D195" s="78"/>
      <c r="E195" s="78"/>
      <c r="F195" s="1728">
        <f t="shared" ref="F195:AI195" si="324">F66*$G$12</f>
        <v>1041.1635502114154</v>
      </c>
      <c r="G195" s="1728">
        <f t="shared" si="324"/>
        <v>1045.630033595284</v>
      </c>
      <c r="H195" s="1728">
        <f t="shared" si="324"/>
        <v>1050.0965169791525</v>
      </c>
      <c r="I195" s="1728">
        <f t="shared" si="324"/>
        <v>1054.5630003630208</v>
      </c>
      <c r="J195" s="1728">
        <f t="shared" si="324"/>
        <v>1059.0294837468894</v>
      </c>
      <c r="K195" s="1728">
        <f t="shared" si="324"/>
        <v>1063.4434202674183</v>
      </c>
      <c r="L195" s="1728">
        <f t="shared" si="324"/>
        <v>1066.0182165710601</v>
      </c>
      <c r="M195" s="1728">
        <f t="shared" si="324"/>
        <v>1068.593012874702</v>
      </c>
      <c r="N195" s="1728">
        <f t="shared" si="324"/>
        <v>1071.1678091783438</v>
      </c>
      <c r="O195" s="1728">
        <f t="shared" si="324"/>
        <v>1073.7426054819857</v>
      </c>
      <c r="P195" s="1728">
        <f t="shared" si="324"/>
        <v>1076.4224955123068</v>
      </c>
      <c r="Q195" s="1728">
        <f t="shared" si="324"/>
        <v>1077.4208859157598</v>
      </c>
      <c r="R195" s="1728">
        <f t="shared" si="324"/>
        <v>1078.4192763192127</v>
      </c>
      <c r="S195" s="1728">
        <f t="shared" si="324"/>
        <v>1079.4176667226657</v>
      </c>
      <c r="T195" s="1728">
        <f t="shared" si="324"/>
        <v>1080.4160571261186</v>
      </c>
      <c r="U195" s="1728">
        <f t="shared" si="324"/>
        <v>1081.5195412562507</v>
      </c>
      <c r="V195" s="1728">
        <f t="shared" si="324"/>
        <v>1080.8889788961751</v>
      </c>
      <c r="W195" s="1728">
        <f t="shared" si="324"/>
        <v>1080.2584165360997</v>
      </c>
      <c r="X195" s="1728">
        <f t="shared" si="324"/>
        <v>1079.6278541760241</v>
      </c>
      <c r="Y195" s="1728">
        <f t="shared" si="324"/>
        <v>1078.9972918159488</v>
      </c>
      <c r="Z195" s="1728">
        <f t="shared" si="324"/>
        <v>1078.3667294558732</v>
      </c>
      <c r="AA195" s="1728">
        <f t="shared" si="324"/>
        <v>1077.7361670957976</v>
      </c>
      <c r="AB195" s="1728">
        <f t="shared" si="324"/>
        <v>1077.105604735722</v>
      </c>
      <c r="AC195" s="1728">
        <f t="shared" si="324"/>
        <v>1076.4750423756464</v>
      </c>
      <c r="AD195" s="1728">
        <f t="shared" si="324"/>
        <v>1075.8444800155708</v>
      </c>
      <c r="AE195" s="1728">
        <f t="shared" si="324"/>
        <v>1075.2139176554954</v>
      </c>
      <c r="AF195" s="1728">
        <f t="shared" si="324"/>
        <v>1074.5833552954198</v>
      </c>
      <c r="AG195" s="1728">
        <f t="shared" si="324"/>
        <v>1073.9527929353442</v>
      </c>
      <c r="AH195" s="1728">
        <f t="shared" si="324"/>
        <v>1073.3222305752686</v>
      </c>
      <c r="AI195" s="1728">
        <f t="shared" si="324"/>
        <v>1072.691668215193</v>
      </c>
    </row>
    <row r="196" spans="2:35" x14ac:dyDescent="0.35">
      <c r="B196" s="78" t="s">
        <v>281</v>
      </c>
      <c r="C196" s="78"/>
      <c r="D196" s="78"/>
      <c r="E196" s="78"/>
      <c r="F196" s="1728">
        <f t="shared" ref="F196:AI196" si="325">F66*$G$13</f>
        <v>521.41160528663693</v>
      </c>
      <c r="G196" s="1728">
        <f t="shared" si="325"/>
        <v>523.64840686377249</v>
      </c>
      <c r="H196" s="1728">
        <f t="shared" si="325"/>
        <v>525.88520844090806</v>
      </c>
      <c r="I196" s="1728">
        <f t="shared" si="325"/>
        <v>528.12201001804362</v>
      </c>
      <c r="J196" s="1728">
        <f t="shared" si="325"/>
        <v>530.35881159517919</v>
      </c>
      <c r="K196" s="1728">
        <f t="shared" si="325"/>
        <v>532.56929785964257</v>
      </c>
      <c r="L196" s="1728">
        <f t="shared" si="325"/>
        <v>533.8587481805796</v>
      </c>
      <c r="M196" s="1728">
        <f t="shared" si="325"/>
        <v>535.1481985015165</v>
      </c>
      <c r="N196" s="1728">
        <f t="shared" si="325"/>
        <v>536.43764882245353</v>
      </c>
      <c r="O196" s="1728">
        <f t="shared" si="325"/>
        <v>537.72709914339043</v>
      </c>
      <c r="P196" s="1728">
        <f t="shared" si="325"/>
        <v>539.06918008967182</v>
      </c>
      <c r="Q196" s="1728">
        <f t="shared" si="325"/>
        <v>539.56917103044327</v>
      </c>
      <c r="R196" s="1728">
        <f t="shared" si="325"/>
        <v>540.06916197121484</v>
      </c>
      <c r="S196" s="1728">
        <f t="shared" si="325"/>
        <v>540.56915291198629</v>
      </c>
      <c r="T196" s="1728">
        <f t="shared" si="325"/>
        <v>541.06914385275775</v>
      </c>
      <c r="U196" s="1728">
        <f t="shared" si="325"/>
        <v>541.62176541887357</v>
      </c>
      <c r="V196" s="1728">
        <f t="shared" si="325"/>
        <v>541.30598166680738</v>
      </c>
      <c r="W196" s="1728">
        <f t="shared" si="325"/>
        <v>540.9901979147412</v>
      </c>
      <c r="X196" s="1728">
        <f t="shared" si="325"/>
        <v>540.67441416267502</v>
      </c>
      <c r="Y196" s="1728">
        <f t="shared" si="325"/>
        <v>540.35863041060884</v>
      </c>
      <c r="Z196" s="1728">
        <f t="shared" si="325"/>
        <v>540.04284665854266</v>
      </c>
      <c r="AA196" s="1728">
        <f t="shared" si="325"/>
        <v>539.72706290647648</v>
      </c>
      <c r="AB196" s="1728">
        <f t="shared" si="325"/>
        <v>539.41127915441018</v>
      </c>
      <c r="AC196" s="1728">
        <f t="shared" si="325"/>
        <v>539.095495402344</v>
      </c>
      <c r="AD196" s="1728">
        <f t="shared" si="325"/>
        <v>538.77971165027782</v>
      </c>
      <c r="AE196" s="1728">
        <f t="shared" si="325"/>
        <v>538.46392789821164</v>
      </c>
      <c r="AF196" s="1728">
        <f t="shared" si="325"/>
        <v>538.14814414614546</v>
      </c>
      <c r="AG196" s="1728">
        <f t="shared" si="325"/>
        <v>537.83236039407927</v>
      </c>
      <c r="AH196" s="1728">
        <f t="shared" si="325"/>
        <v>537.51657664201298</v>
      </c>
      <c r="AI196" s="1728">
        <f t="shared" si="325"/>
        <v>537.2007928899468</v>
      </c>
    </row>
    <row r="197" spans="2:35" x14ac:dyDescent="0.35">
      <c r="B197" s="78" t="s">
        <v>282</v>
      </c>
      <c r="C197" s="78"/>
      <c r="D197" s="78"/>
      <c r="E197" s="78"/>
      <c r="F197" s="1728">
        <f t="shared" ref="F197:AI197" si="326">F66*$G$14</f>
        <v>330.86585139740703</v>
      </c>
      <c r="G197" s="1728">
        <f t="shared" si="326"/>
        <v>332.28523150080764</v>
      </c>
      <c r="H197" s="1728">
        <f t="shared" si="326"/>
        <v>333.70461160420825</v>
      </c>
      <c r="I197" s="1728">
        <f t="shared" si="326"/>
        <v>335.12399170760887</v>
      </c>
      <c r="J197" s="1728">
        <f t="shared" si="326"/>
        <v>336.54337181100948</v>
      </c>
      <c r="K197" s="1728">
        <f t="shared" si="326"/>
        <v>337.94605332495831</v>
      </c>
      <c r="L197" s="1728">
        <f t="shared" si="326"/>
        <v>338.76428420809515</v>
      </c>
      <c r="M197" s="1728">
        <f t="shared" si="326"/>
        <v>339.58251509123193</v>
      </c>
      <c r="N197" s="1728">
        <f t="shared" si="326"/>
        <v>340.40074597436876</v>
      </c>
      <c r="O197" s="1728">
        <f t="shared" si="326"/>
        <v>341.2189768575056</v>
      </c>
      <c r="P197" s="1728">
        <f t="shared" si="326"/>
        <v>342.07060491954593</v>
      </c>
      <c r="Q197" s="1728">
        <f t="shared" si="326"/>
        <v>342.3878781191296</v>
      </c>
      <c r="R197" s="1728">
        <f t="shared" si="326"/>
        <v>342.70515131871326</v>
      </c>
      <c r="S197" s="1728">
        <f t="shared" si="326"/>
        <v>343.02242451829693</v>
      </c>
      <c r="T197" s="1728">
        <f t="shared" si="326"/>
        <v>343.33969771788065</v>
      </c>
      <c r="U197" s="1728">
        <f t="shared" si="326"/>
        <v>343.69036809636782</v>
      </c>
      <c r="V197" s="1728">
        <f t="shared" si="326"/>
        <v>343.48998502294654</v>
      </c>
      <c r="W197" s="1728">
        <f t="shared" si="326"/>
        <v>343.28960194952526</v>
      </c>
      <c r="X197" s="1728">
        <f t="shared" si="326"/>
        <v>343.08921887610404</v>
      </c>
      <c r="Y197" s="1728">
        <f t="shared" si="326"/>
        <v>342.88883580268282</v>
      </c>
      <c r="Z197" s="1728">
        <f t="shared" si="326"/>
        <v>342.68845272926154</v>
      </c>
      <c r="AA197" s="1728">
        <f t="shared" si="326"/>
        <v>342.48806965584026</v>
      </c>
      <c r="AB197" s="1728">
        <f t="shared" si="326"/>
        <v>342.28768658241898</v>
      </c>
      <c r="AC197" s="1728">
        <f t="shared" si="326"/>
        <v>342.08730350899771</v>
      </c>
      <c r="AD197" s="1728">
        <f t="shared" si="326"/>
        <v>341.88692043557649</v>
      </c>
      <c r="AE197" s="1728">
        <f t="shared" si="326"/>
        <v>341.68653736215521</v>
      </c>
      <c r="AF197" s="1728">
        <f t="shared" si="326"/>
        <v>341.48615428873393</v>
      </c>
      <c r="AG197" s="1728">
        <f t="shared" si="326"/>
        <v>341.28577121531265</v>
      </c>
      <c r="AH197" s="1728">
        <f t="shared" si="326"/>
        <v>341.08538814189143</v>
      </c>
      <c r="AI197" s="1728">
        <f t="shared" si="326"/>
        <v>340.88500506847015</v>
      </c>
    </row>
    <row r="198" spans="2:35" x14ac:dyDescent="0.35">
      <c r="B198" s="78" t="s">
        <v>283</v>
      </c>
      <c r="C198" s="78"/>
      <c r="D198" s="78"/>
      <c r="E198" s="78"/>
      <c r="F198" s="1728">
        <f t="shared" ref="F198:AI198" si="327">F66*$G$15</f>
        <v>37.896399063803564</v>
      </c>
      <c r="G198" s="1728">
        <f t="shared" si="327"/>
        <v>38.058970675816447</v>
      </c>
      <c r="H198" s="1728">
        <f t="shared" si="327"/>
        <v>38.22154228782933</v>
      </c>
      <c r="I198" s="1728">
        <f t="shared" si="327"/>
        <v>38.38411389984222</v>
      </c>
      <c r="J198" s="1728">
        <f t="shared" si="327"/>
        <v>38.546685511855102</v>
      </c>
      <c r="K198" s="1728">
        <f t="shared" si="327"/>
        <v>38.707344516667838</v>
      </c>
      <c r="L198" s="1728">
        <f t="shared" si="327"/>
        <v>38.801062269475267</v>
      </c>
      <c r="M198" s="1728">
        <f t="shared" si="327"/>
        <v>38.894780022282696</v>
      </c>
      <c r="N198" s="1728">
        <f t="shared" si="327"/>
        <v>38.988497775090117</v>
      </c>
      <c r="O198" s="1728">
        <f t="shared" si="327"/>
        <v>39.082215527897546</v>
      </c>
      <c r="P198" s="1728">
        <f t="shared" si="327"/>
        <v>39.179758495105276</v>
      </c>
      <c r="Q198" s="1728">
        <f t="shared" si="327"/>
        <v>39.21609803190816</v>
      </c>
      <c r="R198" s="1728">
        <f t="shared" si="327"/>
        <v>39.252437568711038</v>
      </c>
      <c r="S198" s="1728">
        <f t="shared" si="327"/>
        <v>39.288777105513923</v>
      </c>
      <c r="T198" s="1728">
        <f t="shared" si="327"/>
        <v>39.3251166423168</v>
      </c>
      <c r="U198" s="1728">
        <f t="shared" si="327"/>
        <v>39.365281393519986</v>
      </c>
      <c r="V198" s="1728">
        <f t="shared" si="327"/>
        <v>39.342330107118165</v>
      </c>
      <c r="W198" s="1728">
        <f t="shared" si="327"/>
        <v>39.319378820716345</v>
      </c>
      <c r="X198" s="1728">
        <f t="shared" si="327"/>
        <v>39.296427534314525</v>
      </c>
      <c r="Y198" s="1728">
        <f t="shared" si="327"/>
        <v>39.273476247912711</v>
      </c>
      <c r="Z198" s="1728">
        <f t="shared" si="327"/>
        <v>39.250524961510891</v>
      </c>
      <c r="AA198" s="1728">
        <f t="shared" si="327"/>
        <v>39.22757367510907</v>
      </c>
      <c r="AB198" s="1728">
        <f t="shared" si="327"/>
        <v>39.20462238870725</v>
      </c>
      <c r="AC198" s="1728">
        <f t="shared" si="327"/>
        <v>39.18167110230543</v>
      </c>
      <c r="AD198" s="1728">
        <f t="shared" si="327"/>
        <v>39.158719815903616</v>
      </c>
      <c r="AE198" s="1728">
        <f t="shared" si="327"/>
        <v>39.135768529501796</v>
      </c>
      <c r="AF198" s="1728">
        <f t="shared" si="327"/>
        <v>39.112817243099975</v>
      </c>
      <c r="AG198" s="1728">
        <f t="shared" si="327"/>
        <v>39.089865956698155</v>
      </c>
      <c r="AH198" s="1728">
        <f t="shared" si="327"/>
        <v>39.066914670296335</v>
      </c>
      <c r="AI198" s="1728">
        <f t="shared" si="327"/>
        <v>39.043963383894514</v>
      </c>
    </row>
    <row r="199" spans="2:35" x14ac:dyDescent="0.35">
      <c r="B199" s="78" t="s">
        <v>12</v>
      </c>
      <c r="C199" s="78"/>
      <c r="D199" s="78"/>
      <c r="E199" s="78"/>
      <c r="F199" s="1728">
        <f t="shared" ref="F199:AI199" si="328">F66*$G$16</f>
        <v>260.81550560727885</v>
      </c>
      <c r="G199" s="1728">
        <f t="shared" si="328"/>
        <v>261.9343770101566</v>
      </c>
      <c r="H199" s="1728">
        <f t="shared" si="328"/>
        <v>263.05324841303428</v>
      </c>
      <c r="I199" s="1728">
        <f t="shared" si="328"/>
        <v>264.17211981591197</v>
      </c>
      <c r="J199" s="1728">
        <f t="shared" si="328"/>
        <v>265.29099121878966</v>
      </c>
      <c r="K199" s="1728">
        <f t="shared" si="328"/>
        <v>266.39669942869233</v>
      </c>
      <c r="L199" s="1728">
        <f t="shared" si="328"/>
        <v>267.04169588446888</v>
      </c>
      <c r="M199" s="1728">
        <f t="shared" si="328"/>
        <v>267.68669234024543</v>
      </c>
      <c r="N199" s="1728">
        <f t="shared" si="328"/>
        <v>268.33168879602198</v>
      </c>
      <c r="O199" s="1728">
        <f t="shared" si="328"/>
        <v>268.97668525179853</v>
      </c>
      <c r="P199" s="1728">
        <f t="shared" si="328"/>
        <v>269.64800809352516</v>
      </c>
      <c r="Q199" s="1728">
        <f t="shared" si="328"/>
        <v>269.89810876005077</v>
      </c>
      <c r="R199" s="1728">
        <f t="shared" si="328"/>
        <v>270.14820942657639</v>
      </c>
      <c r="S199" s="1728">
        <f t="shared" si="328"/>
        <v>270.398310093102</v>
      </c>
      <c r="T199" s="1728">
        <f t="shared" si="328"/>
        <v>270.64841075962761</v>
      </c>
      <c r="U199" s="1728">
        <f t="shared" si="328"/>
        <v>270.92483781210325</v>
      </c>
      <c r="V199" s="1728">
        <f t="shared" si="328"/>
        <v>270.76687949640285</v>
      </c>
      <c r="W199" s="1728">
        <f t="shared" si="328"/>
        <v>270.60892118070251</v>
      </c>
      <c r="X199" s="1728">
        <f t="shared" si="328"/>
        <v>270.45096286500211</v>
      </c>
      <c r="Y199" s="1728">
        <f t="shared" si="328"/>
        <v>270.29300454930177</v>
      </c>
      <c r="Z199" s="1728">
        <f t="shared" si="328"/>
        <v>270.13504623360137</v>
      </c>
      <c r="AA199" s="1728">
        <f t="shared" si="328"/>
        <v>269.97708791790097</v>
      </c>
      <c r="AB199" s="1728">
        <f t="shared" si="328"/>
        <v>269.81912960220063</v>
      </c>
      <c r="AC199" s="1728">
        <f t="shared" si="328"/>
        <v>269.66117128650023</v>
      </c>
      <c r="AD199" s="1728">
        <f t="shared" si="328"/>
        <v>269.50321297079984</v>
      </c>
      <c r="AE199" s="1728">
        <f t="shared" si="328"/>
        <v>269.34525465509944</v>
      </c>
      <c r="AF199" s="1728">
        <f t="shared" si="328"/>
        <v>269.1872963393991</v>
      </c>
      <c r="AG199" s="1728">
        <f t="shared" si="328"/>
        <v>269.0293380236987</v>
      </c>
      <c r="AH199" s="1728">
        <f t="shared" si="328"/>
        <v>268.8713797079983</v>
      </c>
      <c r="AI199" s="1728">
        <f t="shared" si="328"/>
        <v>268.7134213922979</v>
      </c>
    </row>
    <row r="200" spans="2:35" x14ac:dyDescent="0.35">
      <c r="B200" s="78" t="s">
        <v>13</v>
      </c>
      <c r="C200" s="78"/>
      <c r="D200" s="78"/>
      <c r="E200" s="78"/>
      <c r="F200" s="1728">
        <f t="shared" ref="F200:AI200" si="329">F66*$G$17</f>
        <v>0</v>
      </c>
      <c r="G200" s="1728">
        <f t="shared" si="329"/>
        <v>0</v>
      </c>
      <c r="H200" s="1728">
        <f t="shared" si="329"/>
        <v>0</v>
      </c>
      <c r="I200" s="1728">
        <f t="shared" si="329"/>
        <v>0</v>
      </c>
      <c r="J200" s="1728">
        <f t="shared" si="329"/>
        <v>0</v>
      </c>
      <c r="K200" s="1728">
        <f t="shared" si="329"/>
        <v>0</v>
      </c>
      <c r="L200" s="1728">
        <f t="shared" si="329"/>
        <v>0</v>
      </c>
      <c r="M200" s="1728">
        <f t="shared" si="329"/>
        <v>0</v>
      </c>
      <c r="N200" s="1728">
        <f t="shared" si="329"/>
        <v>0</v>
      </c>
      <c r="O200" s="1728">
        <f t="shared" si="329"/>
        <v>0</v>
      </c>
      <c r="P200" s="1728">
        <f t="shared" si="329"/>
        <v>0</v>
      </c>
      <c r="Q200" s="1728">
        <f t="shared" si="329"/>
        <v>0</v>
      </c>
      <c r="R200" s="1728">
        <f t="shared" si="329"/>
        <v>0</v>
      </c>
      <c r="S200" s="1728">
        <f t="shared" si="329"/>
        <v>0</v>
      </c>
      <c r="T200" s="1728">
        <f t="shared" si="329"/>
        <v>0</v>
      </c>
      <c r="U200" s="1728">
        <f t="shared" si="329"/>
        <v>0</v>
      </c>
      <c r="V200" s="1728">
        <f t="shared" si="329"/>
        <v>0</v>
      </c>
      <c r="W200" s="1728">
        <f t="shared" si="329"/>
        <v>0</v>
      </c>
      <c r="X200" s="1728">
        <f t="shared" si="329"/>
        <v>0</v>
      </c>
      <c r="Y200" s="1728">
        <f t="shared" si="329"/>
        <v>0</v>
      </c>
      <c r="Z200" s="1728">
        <f t="shared" si="329"/>
        <v>0</v>
      </c>
      <c r="AA200" s="1728">
        <f t="shared" si="329"/>
        <v>0</v>
      </c>
      <c r="AB200" s="1728">
        <f t="shared" si="329"/>
        <v>0</v>
      </c>
      <c r="AC200" s="1728">
        <f t="shared" si="329"/>
        <v>0</v>
      </c>
      <c r="AD200" s="1728">
        <f t="shared" si="329"/>
        <v>0</v>
      </c>
      <c r="AE200" s="1728">
        <f t="shared" si="329"/>
        <v>0</v>
      </c>
      <c r="AF200" s="1728">
        <f t="shared" si="329"/>
        <v>0</v>
      </c>
      <c r="AG200" s="1728">
        <f t="shared" si="329"/>
        <v>0</v>
      </c>
      <c r="AH200" s="1728">
        <f t="shared" si="329"/>
        <v>0</v>
      </c>
      <c r="AI200" s="1728">
        <f t="shared" si="329"/>
        <v>0</v>
      </c>
    </row>
    <row r="201" spans="2:35" x14ac:dyDescent="0.35">
      <c r="B201" s="78" t="s">
        <v>14</v>
      </c>
      <c r="C201" s="78"/>
      <c r="D201" s="78"/>
      <c r="E201" s="78"/>
      <c r="F201" s="1728">
        <f t="shared" ref="F201:AI201" si="330">F66*$G$18</f>
        <v>75.479558929327126</v>
      </c>
      <c r="G201" s="1728">
        <f t="shared" si="330"/>
        <v>75.80335838975877</v>
      </c>
      <c r="H201" s="1728">
        <f t="shared" si="330"/>
        <v>76.127157850190429</v>
      </c>
      <c r="I201" s="1728">
        <f t="shared" si="330"/>
        <v>76.450957310622087</v>
      </c>
      <c r="J201" s="1728">
        <f t="shared" si="330"/>
        <v>76.774756771053745</v>
      </c>
      <c r="K201" s="1728">
        <f t="shared" si="330"/>
        <v>77.094746826068558</v>
      </c>
      <c r="L201" s="1728">
        <f t="shared" si="330"/>
        <v>77.281407691493868</v>
      </c>
      <c r="M201" s="1728">
        <f t="shared" si="330"/>
        <v>77.468068556919164</v>
      </c>
      <c r="N201" s="1728">
        <f t="shared" si="330"/>
        <v>77.654729422344474</v>
      </c>
      <c r="O201" s="1728">
        <f t="shared" si="330"/>
        <v>77.841390287769784</v>
      </c>
      <c r="P201" s="1728">
        <f t="shared" si="330"/>
        <v>78.03566996402877</v>
      </c>
      <c r="Q201" s="1728">
        <f t="shared" si="330"/>
        <v>78.10804866694879</v>
      </c>
      <c r="R201" s="1728">
        <f t="shared" si="330"/>
        <v>78.180427369868809</v>
      </c>
      <c r="S201" s="1728">
        <f t="shared" si="330"/>
        <v>78.252806072788829</v>
      </c>
      <c r="T201" s="1728">
        <f t="shared" si="330"/>
        <v>78.325184775708848</v>
      </c>
      <c r="U201" s="1728">
        <f t="shared" si="330"/>
        <v>78.405182289462545</v>
      </c>
      <c r="V201" s="1728">
        <f t="shared" si="330"/>
        <v>78.359469424460428</v>
      </c>
      <c r="W201" s="1728">
        <f t="shared" si="330"/>
        <v>78.313756559458312</v>
      </c>
      <c r="X201" s="1728">
        <f t="shared" si="330"/>
        <v>78.268043694456196</v>
      </c>
      <c r="Y201" s="1728">
        <f t="shared" si="330"/>
        <v>78.22233082945408</v>
      </c>
      <c r="Z201" s="1728">
        <f t="shared" si="330"/>
        <v>78.176617964451964</v>
      </c>
      <c r="AA201" s="1728">
        <f t="shared" si="330"/>
        <v>78.130905099449848</v>
      </c>
      <c r="AB201" s="1728">
        <f t="shared" si="330"/>
        <v>78.085192234447732</v>
      </c>
      <c r="AC201" s="1728">
        <f t="shared" si="330"/>
        <v>78.039479369445615</v>
      </c>
      <c r="AD201" s="1728">
        <f t="shared" si="330"/>
        <v>77.993766504443499</v>
      </c>
      <c r="AE201" s="1728">
        <f t="shared" si="330"/>
        <v>77.948053639441383</v>
      </c>
      <c r="AF201" s="1728">
        <f t="shared" si="330"/>
        <v>77.902340774439267</v>
      </c>
      <c r="AG201" s="1728">
        <f t="shared" si="330"/>
        <v>77.856627909437151</v>
      </c>
      <c r="AH201" s="1728">
        <f t="shared" si="330"/>
        <v>77.810915044435035</v>
      </c>
      <c r="AI201" s="1728">
        <f t="shared" si="330"/>
        <v>77.765202179432919</v>
      </c>
    </row>
    <row r="202" spans="2:35" x14ac:dyDescent="0.35">
      <c r="B202" s="728" t="s">
        <v>200</v>
      </c>
      <c r="C202" s="728"/>
      <c r="D202" s="728"/>
      <c r="E202" s="728"/>
      <c r="F202" s="1729">
        <f>SUM(F191:F201)</f>
        <v>7473.223656369023</v>
      </c>
      <c r="G202" s="1729">
        <f t="shared" ref="G202" si="331">SUM(G191:G201)</f>
        <v>7505.2830088870078</v>
      </c>
      <c r="H202" s="1729">
        <f t="shared" ref="H202" si="332">SUM(H191:H201)</f>
        <v>7537.3423614049934</v>
      </c>
      <c r="I202" s="1729">
        <f t="shared" ref="I202" si="333">SUM(I191:I201)</f>
        <v>7569.4017139229809</v>
      </c>
      <c r="J202" s="1729">
        <f t="shared" ref="J202" si="334">SUM(J191:J201)</f>
        <v>7601.4610664409647</v>
      </c>
      <c r="K202" s="1729">
        <f t="shared" ref="K202" si="335">SUM(K191:K201)</f>
        <v>7633.143250105798</v>
      </c>
      <c r="L202" s="1729">
        <f t="shared" ref="L202" si="336">SUM(L191:L201)</f>
        <v>7651.6245239102846</v>
      </c>
      <c r="M202" s="1729">
        <f t="shared" ref="M202" si="337">SUM(M191:M201)</f>
        <v>7670.1057977147693</v>
      </c>
      <c r="N202" s="1729">
        <f t="shared" ref="N202" si="338">SUM(N191:N201)</f>
        <v>7688.587071519255</v>
      </c>
      <c r="O202" s="1729">
        <f t="shared" ref="O202" si="339">SUM(O191:O201)</f>
        <v>7707.0683453237407</v>
      </c>
      <c r="P202" s="1729">
        <f t="shared" ref="P202" si="340">SUM(P191:P201)</f>
        <v>7726.3039568345321</v>
      </c>
      <c r="Q202" s="1729">
        <f t="shared" ref="Q202" si="341">SUM(Q191:Q201)</f>
        <v>7733.4701650444358</v>
      </c>
      <c r="R202" s="1729">
        <f t="shared" ref="R202" si="342">SUM(R191:R201)</f>
        <v>7740.6363732543396</v>
      </c>
      <c r="S202" s="1729">
        <f t="shared" ref="S202" si="343">SUM(S191:S201)</f>
        <v>7747.8025814642415</v>
      </c>
      <c r="T202" s="1729">
        <f t="shared" ref="T202" si="344">SUM(T191:T201)</f>
        <v>7754.9687896741434</v>
      </c>
      <c r="U202" s="1729">
        <f t="shared" ref="U202" si="345">SUM(U191:U201)</f>
        <v>7762.889335590351</v>
      </c>
      <c r="V202" s="1729">
        <f t="shared" ref="V202" si="346">SUM(V191:V201)</f>
        <v>7758.3633093525177</v>
      </c>
      <c r="W202" s="1729">
        <f t="shared" ref="W202" si="347">SUM(W191:W201)</f>
        <v>7753.8372831146835</v>
      </c>
      <c r="X202" s="1729">
        <f t="shared" ref="X202" si="348">SUM(X191:X201)</f>
        <v>7749.311256876852</v>
      </c>
      <c r="Y202" s="1729">
        <f t="shared" ref="Y202" si="349">SUM(Y191:Y201)</f>
        <v>7744.7852306390187</v>
      </c>
      <c r="Z202" s="1729">
        <f t="shared" ref="Z202" si="350">SUM(Z191:Z201)</f>
        <v>7740.2592044011853</v>
      </c>
      <c r="AA202" s="1729">
        <f t="shared" ref="AA202" si="351">SUM(AA191:AA201)</f>
        <v>7735.733178163352</v>
      </c>
      <c r="AB202" s="1729">
        <f t="shared" ref="AB202" si="352">SUM(AB191:AB201)</f>
        <v>7731.2071519255187</v>
      </c>
      <c r="AC202" s="1729">
        <f t="shared" ref="AC202" si="353">SUM(AC191:AC201)</f>
        <v>7726.6811256876854</v>
      </c>
      <c r="AD202" s="1729">
        <f t="shared" ref="AD202" si="354">SUM(AD191:AD201)</f>
        <v>7722.1550994498521</v>
      </c>
      <c r="AE202" s="1729">
        <f t="shared" ref="AE202" si="355">SUM(AE191:AE201)</f>
        <v>7717.6290732120187</v>
      </c>
      <c r="AF202" s="1729">
        <f t="shared" ref="AF202" si="356">SUM(AF191:AF201)</f>
        <v>7713.1030469741854</v>
      </c>
      <c r="AG202" s="1729">
        <f t="shared" ref="AG202" si="357">SUM(AG191:AG201)</f>
        <v>7708.577020736353</v>
      </c>
      <c r="AH202" s="1729">
        <f t="shared" ref="AH202" si="358">SUM(AH191:AH201)</f>
        <v>7704.0509944985197</v>
      </c>
      <c r="AI202" s="1729">
        <f t="shared" ref="AI202" si="359">SUM(AI191:AI201)</f>
        <v>7699.5249682606855</v>
      </c>
    </row>
    <row r="203" spans="2:35" x14ac:dyDescent="0.35">
      <c r="E203" s="281" t="s">
        <v>332</v>
      </c>
      <c r="F203" s="1725">
        <f t="shared" ref="F203:AI203" si="360">F202-F66</f>
        <v>0</v>
      </c>
      <c r="G203" s="1725">
        <f t="shared" si="360"/>
        <v>0</v>
      </c>
      <c r="H203" s="1725">
        <f t="shared" si="360"/>
        <v>0</v>
      </c>
      <c r="I203" s="1725">
        <f t="shared" si="360"/>
        <v>0</v>
      </c>
      <c r="J203" s="1725">
        <f t="shared" si="360"/>
        <v>0</v>
      </c>
      <c r="K203" s="1725">
        <f t="shared" si="360"/>
        <v>0</v>
      </c>
      <c r="L203" s="1725">
        <f t="shared" si="360"/>
        <v>0</v>
      </c>
      <c r="M203" s="1725">
        <f t="shared" si="360"/>
        <v>0</v>
      </c>
      <c r="N203" s="1725">
        <f t="shared" si="360"/>
        <v>0</v>
      </c>
      <c r="O203" s="1725">
        <f t="shared" si="360"/>
        <v>0</v>
      </c>
      <c r="P203" s="1725">
        <f t="shared" si="360"/>
        <v>0</v>
      </c>
      <c r="Q203" s="1725">
        <f t="shared" si="360"/>
        <v>0</v>
      </c>
      <c r="R203" s="1725">
        <f t="shared" si="360"/>
        <v>0</v>
      </c>
      <c r="S203" s="1725">
        <f t="shared" si="360"/>
        <v>0</v>
      </c>
      <c r="T203" s="1725">
        <f t="shared" si="360"/>
        <v>0</v>
      </c>
      <c r="U203" s="1725">
        <f t="shared" si="360"/>
        <v>0</v>
      </c>
      <c r="V203" s="1725">
        <f t="shared" si="360"/>
        <v>0</v>
      </c>
      <c r="W203" s="1725">
        <f t="shared" si="360"/>
        <v>0</v>
      </c>
      <c r="X203" s="1725">
        <f t="shared" si="360"/>
        <v>0</v>
      </c>
      <c r="Y203" s="1725">
        <f t="shared" si="360"/>
        <v>0</v>
      </c>
      <c r="Z203" s="1725">
        <f t="shared" si="360"/>
        <v>0</v>
      </c>
      <c r="AA203" s="1725">
        <f t="shared" si="360"/>
        <v>0</v>
      </c>
      <c r="AB203" s="1725">
        <f t="shared" si="360"/>
        <v>0</v>
      </c>
      <c r="AC203" s="1725">
        <f t="shared" si="360"/>
        <v>0</v>
      </c>
      <c r="AD203" s="1725">
        <f t="shared" si="360"/>
        <v>0</v>
      </c>
      <c r="AE203" s="1725">
        <f t="shared" si="360"/>
        <v>0</v>
      </c>
      <c r="AF203" s="1725">
        <f t="shared" si="360"/>
        <v>0</v>
      </c>
      <c r="AG203" s="1725">
        <f t="shared" si="360"/>
        <v>0</v>
      </c>
      <c r="AH203" s="1725">
        <f t="shared" si="360"/>
        <v>0</v>
      </c>
      <c r="AI203" s="1725">
        <f t="shared" si="360"/>
        <v>0</v>
      </c>
    </row>
    <row r="204" spans="2:35" ht="15.5" x14ac:dyDescent="0.35">
      <c r="B204" s="86" t="s">
        <v>6</v>
      </c>
    </row>
    <row r="205" spans="2:35" x14ac:dyDescent="0.35">
      <c r="B205" s="780" t="s">
        <v>273</v>
      </c>
      <c r="C205" s="780"/>
      <c r="D205" s="780"/>
      <c r="E205" s="780"/>
      <c r="F205" s="1727">
        <v>1</v>
      </c>
      <c r="G205" s="1727">
        <f>F205+1</f>
        <v>2</v>
      </c>
      <c r="H205" s="1727">
        <f t="shared" ref="H205" si="361">G205+1</f>
        <v>3</v>
      </c>
      <c r="I205" s="1727">
        <f t="shared" ref="I205" si="362">H205+1</f>
        <v>4</v>
      </c>
      <c r="J205" s="1727">
        <f t="shared" ref="J205" si="363">I205+1</f>
        <v>5</v>
      </c>
      <c r="K205" s="1727">
        <f t="shared" ref="K205" si="364">J205+1</f>
        <v>6</v>
      </c>
      <c r="L205" s="1727">
        <f t="shared" ref="L205" si="365">K205+1</f>
        <v>7</v>
      </c>
      <c r="M205" s="1727">
        <f t="shared" ref="M205" si="366">L205+1</f>
        <v>8</v>
      </c>
      <c r="N205" s="1727">
        <f t="shared" ref="N205" si="367">M205+1</f>
        <v>9</v>
      </c>
      <c r="O205" s="1727">
        <f t="shared" ref="O205" si="368">N205+1</f>
        <v>10</v>
      </c>
      <c r="P205" s="1727">
        <f t="shared" ref="P205" si="369">O205+1</f>
        <v>11</v>
      </c>
      <c r="Q205" s="1727">
        <f t="shared" ref="Q205" si="370">P205+1</f>
        <v>12</v>
      </c>
      <c r="R205" s="1727">
        <f t="shared" ref="R205" si="371">Q205+1</f>
        <v>13</v>
      </c>
      <c r="S205" s="1727">
        <f t="shared" ref="S205" si="372">R205+1</f>
        <v>14</v>
      </c>
      <c r="T205" s="1727">
        <f t="shared" ref="T205" si="373">S205+1</f>
        <v>15</v>
      </c>
      <c r="U205" s="1727">
        <f t="shared" ref="U205" si="374">T205+1</f>
        <v>16</v>
      </c>
      <c r="V205" s="1727">
        <f t="shared" ref="V205" si="375">U205+1</f>
        <v>17</v>
      </c>
      <c r="W205" s="1727">
        <f t="shared" ref="W205" si="376">V205+1</f>
        <v>18</v>
      </c>
      <c r="X205" s="1727">
        <f t="shared" ref="X205" si="377">W205+1</f>
        <v>19</v>
      </c>
      <c r="Y205" s="1727">
        <f t="shared" ref="Y205" si="378">X205+1</f>
        <v>20</v>
      </c>
      <c r="Z205" s="1727">
        <f t="shared" ref="Z205" si="379">Y205+1</f>
        <v>21</v>
      </c>
      <c r="AA205" s="1727">
        <f t="shared" ref="AA205" si="380">Z205+1</f>
        <v>22</v>
      </c>
      <c r="AB205" s="1727">
        <f t="shared" ref="AB205" si="381">AA205+1</f>
        <v>23</v>
      </c>
      <c r="AC205" s="1727">
        <f t="shared" ref="AC205" si="382">AB205+1</f>
        <v>24</v>
      </c>
      <c r="AD205" s="1727">
        <f t="shared" ref="AD205" si="383">AC205+1</f>
        <v>25</v>
      </c>
      <c r="AE205" s="1727">
        <f t="shared" ref="AE205" si="384">AD205+1</f>
        <v>26</v>
      </c>
      <c r="AF205" s="1727">
        <f t="shared" ref="AF205" si="385">AE205+1</f>
        <v>27</v>
      </c>
      <c r="AG205" s="1727">
        <f t="shared" ref="AG205" si="386">AF205+1</f>
        <v>28</v>
      </c>
      <c r="AH205" s="1727">
        <f t="shared" ref="AH205" si="387">AG205+1</f>
        <v>29</v>
      </c>
      <c r="AI205" s="1727">
        <f t="shared" ref="AI205" si="388">AH205+1</f>
        <v>30</v>
      </c>
    </row>
    <row r="206" spans="2:35" x14ac:dyDescent="0.35">
      <c r="B206" s="78" t="s">
        <v>276</v>
      </c>
      <c r="C206" s="78"/>
      <c r="D206" s="78"/>
      <c r="E206" s="78"/>
      <c r="F206" s="1728">
        <f t="shared" ref="F206:AI206" si="389">F67*$H$8</f>
        <v>13615.585793987291</v>
      </c>
      <c r="G206" s="1728">
        <f t="shared" si="389"/>
        <v>13688.771738734051</v>
      </c>
      <c r="H206" s="1728">
        <f t="shared" si="389"/>
        <v>13761.957683480809</v>
      </c>
      <c r="I206" s="1728">
        <f t="shared" si="389"/>
        <v>13835.14362822757</v>
      </c>
      <c r="J206" s="1728">
        <f t="shared" si="389"/>
        <v>13908.329572974329</v>
      </c>
      <c r="K206" s="1728">
        <f t="shared" si="389"/>
        <v>13981.436568481882</v>
      </c>
      <c r="L206" s="1728">
        <f t="shared" si="389"/>
        <v>14054.780411707061</v>
      </c>
      <c r="M206" s="1728">
        <f t="shared" si="389"/>
        <v>14128.124254932236</v>
      </c>
      <c r="N206" s="1728">
        <f t="shared" si="389"/>
        <v>14201.468098157417</v>
      </c>
      <c r="O206" s="1728">
        <f t="shared" si="389"/>
        <v>14274.811941382592</v>
      </c>
      <c r="P206" s="1728">
        <f t="shared" si="389"/>
        <v>14347.997886129353</v>
      </c>
      <c r="Q206" s="1728">
        <f t="shared" si="389"/>
        <v>14397.341160634989</v>
      </c>
      <c r="R206" s="1728">
        <f t="shared" si="389"/>
        <v>14446.684435140625</v>
      </c>
      <c r="S206" s="1728">
        <f t="shared" si="389"/>
        <v>14496.027709646263</v>
      </c>
      <c r="T206" s="1728">
        <f t="shared" si="389"/>
        <v>14545.370984151898</v>
      </c>
      <c r="U206" s="1728">
        <f t="shared" si="389"/>
        <v>14594.635309418325</v>
      </c>
      <c r="V206" s="1728">
        <f t="shared" si="389"/>
        <v>14624.399172600126</v>
      </c>
      <c r="W206" s="1728">
        <f t="shared" si="389"/>
        <v>14654.163035781927</v>
      </c>
      <c r="X206" s="1728">
        <f t="shared" si="389"/>
        <v>14683.926898963726</v>
      </c>
      <c r="Y206" s="1728">
        <f t="shared" si="389"/>
        <v>14713.690762145525</v>
      </c>
      <c r="Z206" s="1728">
        <f t="shared" si="389"/>
        <v>14743.375676088117</v>
      </c>
      <c r="AA206" s="1728">
        <f t="shared" si="389"/>
        <v>14773.139539269916</v>
      </c>
      <c r="AB206" s="1728">
        <f t="shared" si="389"/>
        <v>14802.903402451717</v>
      </c>
      <c r="AC206" s="1728">
        <f t="shared" si="389"/>
        <v>14832.667265633516</v>
      </c>
      <c r="AD206" s="1728">
        <f t="shared" si="389"/>
        <v>14862.431128815315</v>
      </c>
      <c r="AE206" s="1728">
        <f t="shared" si="389"/>
        <v>14892.194991997118</v>
      </c>
      <c r="AF206" s="1728">
        <f t="shared" si="389"/>
        <v>14921.958855178917</v>
      </c>
      <c r="AG206" s="1728">
        <f t="shared" si="389"/>
        <v>14951.722718360716</v>
      </c>
      <c r="AH206" s="1728">
        <f t="shared" si="389"/>
        <v>14981.486581542516</v>
      </c>
      <c r="AI206" s="1728">
        <f t="shared" si="389"/>
        <v>15011.250444724315</v>
      </c>
    </row>
    <row r="207" spans="2:35" x14ac:dyDescent="0.35">
      <c r="B207" s="78" t="s">
        <v>277</v>
      </c>
      <c r="C207" s="78"/>
      <c r="D207" s="78"/>
      <c r="E207" s="78"/>
      <c r="F207" s="1728">
        <f t="shared" ref="F207:AI207" si="390">F67*$H$9</f>
        <v>2279.4237709761533</v>
      </c>
      <c r="G207" s="1728">
        <f t="shared" si="390"/>
        <v>2291.6760372158315</v>
      </c>
      <c r="H207" s="1728">
        <f t="shared" si="390"/>
        <v>2303.9283034555092</v>
      </c>
      <c r="I207" s="1728">
        <f t="shared" si="390"/>
        <v>2316.1805696951874</v>
      </c>
      <c r="J207" s="1728">
        <f t="shared" si="390"/>
        <v>2328.4328359348656</v>
      </c>
      <c r="K207" s="1728">
        <f t="shared" si="390"/>
        <v>2340.6718850588591</v>
      </c>
      <c r="L207" s="1728">
        <f t="shared" si="390"/>
        <v>2352.9505855299067</v>
      </c>
      <c r="M207" s="1728">
        <f t="shared" si="390"/>
        <v>2365.2292860009538</v>
      </c>
      <c r="N207" s="1728">
        <f t="shared" si="390"/>
        <v>2377.5079864720014</v>
      </c>
      <c r="O207" s="1728">
        <f t="shared" si="390"/>
        <v>2389.7866869430491</v>
      </c>
      <c r="P207" s="1728">
        <f t="shared" si="390"/>
        <v>2402.0389531827273</v>
      </c>
      <c r="Q207" s="1728">
        <f t="shared" si="390"/>
        <v>2410.2996504856387</v>
      </c>
      <c r="R207" s="1728">
        <f t="shared" si="390"/>
        <v>2418.5603477885497</v>
      </c>
      <c r="S207" s="1728">
        <f t="shared" si="390"/>
        <v>2426.8210450914612</v>
      </c>
      <c r="T207" s="1728">
        <f t="shared" si="390"/>
        <v>2435.0817423943727</v>
      </c>
      <c r="U207" s="1728">
        <f t="shared" si="390"/>
        <v>2443.3292225815994</v>
      </c>
      <c r="V207" s="1728">
        <f t="shared" si="390"/>
        <v>2448.3120751947154</v>
      </c>
      <c r="W207" s="1728">
        <f t="shared" si="390"/>
        <v>2453.2949278078318</v>
      </c>
      <c r="X207" s="1728">
        <f t="shared" si="390"/>
        <v>2458.2777804209477</v>
      </c>
      <c r="Y207" s="1728">
        <f t="shared" si="390"/>
        <v>2463.2606330340636</v>
      </c>
      <c r="Z207" s="1728">
        <f t="shared" si="390"/>
        <v>2468.2302685314953</v>
      </c>
      <c r="AA207" s="1728">
        <f t="shared" si="390"/>
        <v>2473.2131211446113</v>
      </c>
      <c r="AB207" s="1728">
        <f t="shared" si="390"/>
        <v>2478.1959737577276</v>
      </c>
      <c r="AC207" s="1728">
        <f t="shared" si="390"/>
        <v>2483.178826370844</v>
      </c>
      <c r="AD207" s="1728">
        <f t="shared" si="390"/>
        <v>2488.16167898396</v>
      </c>
      <c r="AE207" s="1728">
        <f t="shared" si="390"/>
        <v>2493.1445315970764</v>
      </c>
      <c r="AF207" s="1728">
        <f t="shared" si="390"/>
        <v>2498.1273842101923</v>
      </c>
      <c r="AG207" s="1728">
        <f t="shared" si="390"/>
        <v>2503.1102368233082</v>
      </c>
      <c r="AH207" s="1728">
        <f t="shared" si="390"/>
        <v>2508.0930894364246</v>
      </c>
      <c r="AI207" s="1728">
        <f t="shared" si="390"/>
        <v>2513.0759420495406</v>
      </c>
    </row>
    <row r="208" spans="2:35" x14ac:dyDescent="0.35">
      <c r="B208" s="78" t="s">
        <v>278</v>
      </c>
      <c r="C208" s="78"/>
      <c r="D208" s="78"/>
      <c r="E208" s="78"/>
      <c r="F208" s="1728">
        <f t="shared" ref="F208:AI208" si="391">F67*$H$10</f>
        <v>15094.485592171646</v>
      </c>
      <c r="G208" s="1728">
        <f t="shared" si="391"/>
        <v>15175.620859154966</v>
      </c>
      <c r="H208" s="1728">
        <f t="shared" si="391"/>
        <v>15256.756126138283</v>
      </c>
      <c r="I208" s="1728">
        <f t="shared" si="391"/>
        <v>15337.891393121601</v>
      </c>
      <c r="J208" s="1728">
        <f t="shared" si="391"/>
        <v>15419.026660104921</v>
      </c>
      <c r="K208" s="1728">
        <f t="shared" si="391"/>
        <v>15500.074402528388</v>
      </c>
      <c r="L208" s="1728">
        <f t="shared" si="391"/>
        <v>15581.384718631412</v>
      </c>
      <c r="M208" s="1728">
        <f t="shared" si="391"/>
        <v>15662.695034734434</v>
      </c>
      <c r="N208" s="1728">
        <f t="shared" si="391"/>
        <v>15744.005350837459</v>
      </c>
      <c r="O208" s="1728">
        <f t="shared" si="391"/>
        <v>15825.31566694048</v>
      </c>
      <c r="P208" s="1728">
        <f t="shared" si="391"/>
        <v>15906.450933923799</v>
      </c>
      <c r="Q208" s="1728">
        <f t="shared" si="391"/>
        <v>15961.153783831647</v>
      </c>
      <c r="R208" s="1728">
        <f t="shared" si="391"/>
        <v>16015.856633739493</v>
      </c>
      <c r="S208" s="1728">
        <f t="shared" si="391"/>
        <v>16070.559483647341</v>
      </c>
      <c r="T208" s="1728">
        <f t="shared" si="391"/>
        <v>16125.262333555187</v>
      </c>
      <c r="U208" s="1728">
        <f t="shared" si="391"/>
        <v>16179.877658903182</v>
      </c>
      <c r="V208" s="1728">
        <f t="shared" si="391"/>
        <v>16212.874417967594</v>
      </c>
      <c r="W208" s="1728">
        <f t="shared" si="391"/>
        <v>16245.87117703201</v>
      </c>
      <c r="X208" s="1728">
        <f t="shared" si="391"/>
        <v>16278.867936096422</v>
      </c>
      <c r="Y208" s="1728">
        <f t="shared" si="391"/>
        <v>16311.864695160833</v>
      </c>
      <c r="Z208" s="1728">
        <f t="shared" si="391"/>
        <v>16344.773929665396</v>
      </c>
      <c r="AA208" s="1728">
        <f t="shared" si="391"/>
        <v>16377.770688729808</v>
      </c>
      <c r="AB208" s="1728">
        <f t="shared" si="391"/>
        <v>16410.767447794224</v>
      </c>
      <c r="AC208" s="1728">
        <f t="shared" si="391"/>
        <v>16443.764206858636</v>
      </c>
      <c r="AD208" s="1728">
        <f t="shared" si="391"/>
        <v>16476.760965923047</v>
      </c>
      <c r="AE208" s="1728">
        <f t="shared" si="391"/>
        <v>16509.757724987463</v>
      </c>
      <c r="AF208" s="1728">
        <f t="shared" si="391"/>
        <v>16542.754484051875</v>
      </c>
      <c r="AG208" s="1728">
        <f t="shared" si="391"/>
        <v>16575.751243116287</v>
      </c>
      <c r="AH208" s="1728">
        <f t="shared" si="391"/>
        <v>16608.748002180702</v>
      </c>
      <c r="AI208" s="1728">
        <f t="shared" si="391"/>
        <v>16641.744761245114</v>
      </c>
    </row>
    <row r="209" spans="2:35" x14ac:dyDescent="0.35">
      <c r="B209" s="78" t="s">
        <v>279</v>
      </c>
      <c r="C209" s="78"/>
      <c r="D209" s="78"/>
      <c r="E209" s="78"/>
      <c r="F209" s="1728">
        <f t="shared" ref="F209:AI209" si="392">F67*$H$11</f>
        <v>20782.013215429222</v>
      </c>
      <c r="G209" s="1728">
        <f t="shared" si="392"/>
        <v>20893.719850305155</v>
      </c>
      <c r="H209" s="1728">
        <f t="shared" si="392"/>
        <v>21005.42648518108</v>
      </c>
      <c r="I209" s="1728">
        <f t="shared" si="392"/>
        <v>21117.133120057013</v>
      </c>
      <c r="J209" s="1728">
        <f t="shared" si="392"/>
        <v>21228.839754932942</v>
      </c>
      <c r="K209" s="1728">
        <f t="shared" si="392"/>
        <v>21340.425886427129</v>
      </c>
      <c r="L209" s="1728">
        <f t="shared" si="392"/>
        <v>21452.37352806655</v>
      </c>
      <c r="M209" s="1728">
        <f t="shared" si="392"/>
        <v>21564.321169705963</v>
      </c>
      <c r="N209" s="1728">
        <f t="shared" si="392"/>
        <v>21676.268811345381</v>
      </c>
      <c r="O209" s="1728">
        <f t="shared" si="392"/>
        <v>21788.216452984794</v>
      </c>
      <c r="P209" s="1728">
        <f t="shared" si="392"/>
        <v>21899.923087860723</v>
      </c>
      <c r="Q209" s="1728">
        <f t="shared" si="392"/>
        <v>21975.237701450216</v>
      </c>
      <c r="R209" s="1728">
        <f t="shared" si="392"/>
        <v>22050.552315039702</v>
      </c>
      <c r="S209" s="1728">
        <f t="shared" si="392"/>
        <v>22125.866928629192</v>
      </c>
      <c r="T209" s="1728">
        <f t="shared" si="392"/>
        <v>22201.181542218681</v>
      </c>
      <c r="U209" s="1728">
        <f t="shared" si="392"/>
        <v>22276.375652426428</v>
      </c>
      <c r="V209" s="1728">
        <f t="shared" si="392"/>
        <v>22321.805427343606</v>
      </c>
      <c r="W209" s="1728">
        <f t="shared" si="392"/>
        <v>22367.235202260788</v>
      </c>
      <c r="X209" s="1728">
        <f t="shared" si="392"/>
        <v>22412.664977177967</v>
      </c>
      <c r="Y209" s="1728">
        <f t="shared" si="392"/>
        <v>22458.094752095145</v>
      </c>
      <c r="Z209" s="1728">
        <f t="shared" si="392"/>
        <v>22503.404023630585</v>
      </c>
      <c r="AA209" s="1728">
        <f t="shared" si="392"/>
        <v>22548.833798547763</v>
      </c>
      <c r="AB209" s="1728">
        <f t="shared" si="392"/>
        <v>22594.263573464945</v>
      </c>
      <c r="AC209" s="1728">
        <f t="shared" si="392"/>
        <v>22639.693348382123</v>
      </c>
      <c r="AD209" s="1728">
        <f t="shared" si="392"/>
        <v>22685.123123299301</v>
      </c>
      <c r="AE209" s="1728">
        <f t="shared" si="392"/>
        <v>22730.552898216483</v>
      </c>
      <c r="AF209" s="1728">
        <f t="shared" si="392"/>
        <v>22775.982673133662</v>
      </c>
      <c r="AG209" s="1728">
        <f t="shared" si="392"/>
        <v>22821.41244805084</v>
      </c>
      <c r="AH209" s="1728">
        <f t="shared" si="392"/>
        <v>22866.842222968022</v>
      </c>
      <c r="AI209" s="1728">
        <f t="shared" si="392"/>
        <v>22912.2719978852</v>
      </c>
    </row>
    <row r="210" spans="2:35" x14ac:dyDescent="0.35">
      <c r="B210" s="78" t="s">
        <v>280</v>
      </c>
      <c r="C210" s="78"/>
      <c r="D210" s="78"/>
      <c r="E210" s="78"/>
      <c r="F210" s="1728">
        <f t="shared" ref="F210:AI210" si="393">F67*$H$12</f>
        <v>12658.496550999827</v>
      </c>
      <c r="G210" s="1728">
        <f t="shared" si="393"/>
        <v>12726.537988450697</v>
      </c>
      <c r="H210" s="1728">
        <f t="shared" si="393"/>
        <v>12794.579425901564</v>
      </c>
      <c r="I210" s="1728">
        <f t="shared" si="393"/>
        <v>12862.620863352433</v>
      </c>
      <c r="J210" s="1728">
        <f t="shared" si="393"/>
        <v>12930.662300803302</v>
      </c>
      <c r="K210" s="1728">
        <f t="shared" si="393"/>
        <v>12998.630338645271</v>
      </c>
      <c r="L210" s="1728">
        <f t="shared" si="393"/>
        <v>13066.818575313942</v>
      </c>
      <c r="M210" s="1728">
        <f t="shared" si="393"/>
        <v>13135.00681198261</v>
      </c>
      <c r="N210" s="1728">
        <f t="shared" si="393"/>
        <v>13203.195048651281</v>
      </c>
      <c r="O210" s="1728">
        <f t="shared" si="393"/>
        <v>13271.383285319951</v>
      </c>
      <c r="P210" s="1728">
        <f t="shared" si="393"/>
        <v>13339.42472277082</v>
      </c>
      <c r="Q210" s="1728">
        <f t="shared" si="393"/>
        <v>13385.299478333705</v>
      </c>
      <c r="R210" s="1728">
        <f t="shared" si="393"/>
        <v>13431.174233896587</v>
      </c>
      <c r="S210" s="1728">
        <f t="shared" si="393"/>
        <v>13477.048989459472</v>
      </c>
      <c r="T210" s="1728">
        <f t="shared" si="393"/>
        <v>13522.923745022354</v>
      </c>
      <c r="U210" s="1728">
        <f t="shared" si="393"/>
        <v>13568.725100976337</v>
      </c>
      <c r="V210" s="1728">
        <f t="shared" si="393"/>
        <v>13596.396753531868</v>
      </c>
      <c r="W210" s="1728">
        <f t="shared" si="393"/>
        <v>13624.068406087401</v>
      </c>
      <c r="X210" s="1728">
        <f t="shared" si="393"/>
        <v>13651.74005864293</v>
      </c>
      <c r="Y210" s="1728">
        <f t="shared" si="393"/>
        <v>13679.411711198461</v>
      </c>
      <c r="Z210" s="1728">
        <f t="shared" si="393"/>
        <v>13707.009964145094</v>
      </c>
      <c r="AA210" s="1728">
        <f t="shared" si="393"/>
        <v>13734.681616700624</v>
      </c>
      <c r="AB210" s="1728">
        <f t="shared" si="393"/>
        <v>13762.353269256157</v>
      </c>
      <c r="AC210" s="1728">
        <f t="shared" si="393"/>
        <v>13790.024921811688</v>
      </c>
      <c r="AD210" s="1728">
        <f t="shared" si="393"/>
        <v>13817.696574367219</v>
      </c>
      <c r="AE210" s="1728">
        <f t="shared" si="393"/>
        <v>13845.36822692275</v>
      </c>
      <c r="AF210" s="1728">
        <f t="shared" si="393"/>
        <v>13873.039879478281</v>
      </c>
      <c r="AG210" s="1728">
        <f t="shared" si="393"/>
        <v>13900.711532033813</v>
      </c>
      <c r="AH210" s="1728">
        <f t="shared" si="393"/>
        <v>13928.383184589346</v>
      </c>
      <c r="AI210" s="1728">
        <f t="shared" si="393"/>
        <v>13956.054837144875</v>
      </c>
    </row>
    <row r="211" spans="2:35" x14ac:dyDescent="0.35">
      <c r="B211" s="78" t="s">
        <v>281</v>
      </c>
      <c r="C211" s="78"/>
      <c r="D211" s="78"/>
      <c r="E211" s="78"/>
      <c r="F211" s="1728">
        <f t="shared" ref="F211:AI211" si="394">F67*$H$13</f>
        <v>5552.9705881386571</v>
      </c>
      <c r="G211" s="1728">
        <f t="shared" si="394"/>
        <v>5582.818690511408</v>
      </c>
      <c r="H211" s="1728">
        <f t="shared" si="394"/>
        <v>5612.666792884158</v>
      </c>
      <c r="I211" s="1728">
        <f t="shared" si="394"/>
        <v>5642.5148952569079</v>
      </c>
      <c r="J211" s="1728">
        <f t="shared" si="394"/>
        <v>5672.3629976296588</v>
      </c>
      <c r="K211" s="1728">
        <f t="shared" si="394"/>
        <v>5702.1789014022233</v>
      </c>
      <c r="L211" s="1728">
        <f t="shared" si="394"/>
        <v>5732.0914009753469</v>
      </c>
      <c r="M211" s="1728">
        <f t="shared" si="394"/>
        <v>5762.0039005484687</v>
      </c>
      <c r="N211" s="1728">
        <f t="shared" si="394"/>
        <v>5791.9164001215922</v>
      </c>
      <c r="O211" s="1728">
        <f t="shared" si="394"/>
        <v>5821.8288996947149</v>
      </c>
      <c r="P211" s="1728">
        <f t="shared" si="394"/>
        <v>5851.6770020674658</v>
      </c>
      <c r="Q211" s="1728">
        <f t="shared" si="394"/>
        <v>5871.8011271839378</v>
      </c>
      <c r="R211" s="1728">
        <f t="shared" si="394"/>
        <v>5891.9252523004088</v>
      </c>
      <c r="S211" s="1728">
        <f t="shared" si="394"/>
        <v>5912.0493774168799</v>
      </c>
      <c r="T211" s="1728">
        <f t="shared" si="394"/>
        <v>5932.173502533351</v>
      </c>
      <c r="U211" s="1728">
        <f t="shared" si="394"/>
        <v>5952.2654290496366</v>
      </c>
      <c r="V211" s="1728">
        <f t="shared" si="394"/>
        <v>5964.4043013198916</v>
      </c>
      <c r="W211" s="1728">
        <f t="shared" si="394"/>
        <v>5976.5431735901484</v>
      </c>
      <c r="X211" s="1728">
        <f t="shared" si="394"/>
        <v>5988.6820458604034</v>
      </c>
      <c r="Y211" s="1728">
        <f t="shared" si="394"/>
        <v>6000.8209181306584</v>
      </c>
      <c r="Z211" s="1728">
        <f t="shared" si="394"/>
        <v>6012.9275918007279</v>
      </c>
      <c r="AA211" s="1728">
        <f t="shared" si="394"/>
        <v>6025.0664640709838</v>
      </c>
      <c r="AB211" s="1728">
        <f t="shared" si="394"/>
        <v>6037.2053363412397</v>
      </c>
      <c r="AC211" s="1728">
        <f t="shared" si="394"/>
        <v>6049.3442086114947</v>
      </c>
      <c r="AD211" s="1728">
        <f t="shared" si="394"/>
        <v>6061.4830808817496</v>
      </c>
      <c r="AE211" s="1728">
        <f t="shared" si="394"/>
        <v>6073.6219531520064</v>
      </c>
      <c r="AF211" s="1728">
        <f t="shared" si="394"/>
        <v>6085.7608254222614</v>
      </c>
      <c r="AG211" s="1728">
        <f t="shared" si="394"/>
        <v>6097.8996976925164</v>
      </c>
      <c r="AH211" s="1728">
        <f t="shared" si="394"/>
        <v>6110.0385699627732</v>
      </c>
      <c r="AI211" s="1728">
        <f t="shared" si="394"/>
        <v>6122.1774422330282</v>
      </c>
    </row>
    <row r="212" spans="2:35" x14ac:dyDescent="0.35">
      <c r="B212" s="78" t="s">
        <v>282</v>
      </c>
      <c r="C212" s="78"/>
      <c r="D212" s="78"/>
      <c r="E212" s="78"/>
      <c r="F212" s="1728">
        <f t="shared" ref="F212:AI212" si="395">F67*$H$14</f>
        <v>3286.6187911576444</v>
      </c>
      <c r="G212" s="1728">
        <f t="shared" si="395"/>
        <v>3304.284891235362</v>
      </c>
      <c r="H212" s="1728">
        <f t="shared" si="395"/>
        <v>3321.9509913130792</v>
      </c>
      <c r="I212" s="1728">
        <f t="shared" si="395"/>
        <v>3339.6170913907963</v>
      </c>
      <c r="J212" s="1728">
        <f t="shared" si="395"/>
        <v>3357.2831914685139</v>
      </c>
      <c r="K212" s="1728">
        <f t="shared" si="395"/>
        <v>3374.9302342645942</v>
      </c>
      <c r="L212" s="1728">
        <f t="shared" si="395"/>
        <v>3392.6344489055864</v>
      </c>
      <c r="M212" s="1728">
        <f t="shared" si="395"/>
        <v>3410.3386635465777</v>
      </c>
      <c r="N212" s="1728">
        <f t="shared" si="395"/>
        <v>3428.0428781875698</v>
      </c>
      <c r="O212" s="1728">
        <f t="shared" si="395"/>
        <v>3445.7470928285611</v>
      </c>
      <c r="P212" s="1728">
        <f t="shared" si="395"/>
        <v>3463.4131929062787</v>
      </c>
      <c r="Q212" s="1728">
        <f t="shared" si="395"/>
        <v>3475.3239939295513</v>
      </c>
      <c r="R212" s="1728">
        <f t="shared" si="395"/>
        <v>3487.234794952823</v>
      </c>
      <c r="S212" s="1728">
        <f t="shared" si="395"/>
        <v>3499.1455959760956</v>
      </c>
      <c r="T212" s="1728">
        <f t="shared" si="395"/>
        <v>3511.0563969993673</v>
      </c>
      <c r="U212" s="1728">
        <f t="shared" si="395"/>
        <v>3522.9481407410026</v>
      </c>
      <c r="V212" s="1728">
        <f t="shared" si="395"/>
        <v>3530.1327359182401</v>
      </c>
      <c r="W212" s="1728">
        <f t="shared" si="395"/>
        <v>3537.3173310954785</v>
      </c>
      <c r="X212" s="1728">
        <f t="shared" si="395"/>
        <v>3544.501926272716</v>
      </c>
      <c r="Y212" s="1728">
        <f t="shared" si="395"/>
        <v>3551.6865214499535</v>
      </c>
      <c r="Z212" s="1728">
        <f t="shared" si="395"/>
        <v>3558.8520593455546</v>
      </c>
      <c r="AA212" s="1728">
        <f t="shared" si="395"/>
        <v>3566.0366545227921</v>
      </c>
      <c r="AB212" s="1728">
        <f t="shared" si="395"/>
        <v>3573.2212497000305</v>
      </c>
      <c r="AC212" s="1728">
        <f t="shared" si="395"/>
        <v>3580.405844877268</v>
      </c>
      <c r="AD212" s="1728">
        <f t="shared" si="395"/>
        <v>3587.5904400545055</v>
      </c>
      <c r="AE212" s="1728">
        <f t="shared" si="395"/>
        <v>3594.7750352317439</v>
      </c>
      <c r="AF212" s="1728">
        <f t="shared" si="395"/>
        <v>3601.9596304089814</v>
      </c>
      <c r="AG212" s="1728">
        <f t="shared" si="395"/>
        <v>3609.1442255862189</v>
      </c>
      <c r="AH212" s="1728">
        <f t="shared" si="395"/>
        <v>3616.3288207634573</v>
      </c>
      <c r="AI212" s="1728">
        <f t="shared" si="395"/>
        <v>3623.5134159406948</v>
      </c>
    </row>
    <row r="213" spans="2:35" x14ac:dyDescent="0.35">
      <c r="B213" s="78" t="s">
        <v>283</v>
      </c>
      <c r="C213" s="78"/>
      <c r="D213" s="78"/>
      <c r="E213" s="78"/>
      <c r="F213" s="1728">
        <f t="shared" ref="F213:AI213" si="396">F67*$H$15</f>
        <v>174.81318579469118</v>
      </c>
      <c r="G213" s="1728">
        <f t="shared" si="396"/>
        <v>175.75283454357023</v>
      </c>
      <c r="H213" s="1728">
        <f t="shared" si="396"/>
        <v>176.69248329244923</v>
      </c>
      <c r="I213" s="1728">
        <f t="shared" si="396"/>
        <v>177.63213204132828</v>
      </c>
      <c r="J213" s="1728">
        <f t="shared" si="396"/>
        <v>178.57178079020733</v>
      </c>
      <c r="K213" s="1728">
        <f t="shared" si="396"/>
        <v>179.51041589426555</v>
      </c>
      <c r="L213" s="1728">
        <f t="shared" si="396"/>
        <v>180.4520919327862</v>
      </c>
      <c r="M213" s="1728">
        <f t="shared" si="396"/>
        <v>181.39376797130683</v>
      </c>
      <c r="N213" s="1728">
        <f t="shared" si="396"/>
        <v>182.33544400982746</v>
      </c>
      <c r="O213" s="1728">
        <f t="shared" si="396"/>
        <v>183.27712004834808</v>
      </c>
      <c r="P213" s="1728">
        <f t="shared" si="396"/>
        <v>184.2167687972271</v>
      </c>
      <c r="Q213" s="1728">
        <f t="shared" si="396"/>
        <v>184.85029681022542</v>
      </c>
      <c r="R213" s="1728">
        <f t="shared" si="396"/>
        <v>185.48382482322367</v>
      </c>
      <c r="S213" s="1728">
        <f t="shared" si="396"/>
        <v>186.11735283622195</v>
      </c>
      <c r="T213" s="1728">
        <f t="shared" si="396"/>
        <v>186.75088084922021</v>
      </c>
      <c r="U213" s="1728">
        <f t="shared" si="396"/>
        <v>187.38339521739769</v>
      </c>
      <c r="V213" s="1728">
        <f t="shared" si="396"/>
        <v>187.76553931483824</v>
      </c>
      <c r="W213" s="1728">
        <f t="shared" si="396"/>
        <v>188.14768341227881</v>
      </c>
      <c r="X213" s="1728">
        <f t="shared" si="396"/>
        <v>188.52982750971935</v>
      </c>
      <c r="Y213" s="1728">
        <f t="shared" si="396"/>
        <v>188.9119716071599</v>
      </c>
      <c r="Z213" s="1728">
        <f t="shared" si="396"/>
        <v>189.29310205977967</v>
      </c>
      <c r="AA213" s="1728">
        <f t="shared" si="396"/>
        <v>189.67524615722022</v>
      </c>
      <c r="AB213" s="1728">
        <f t="shared" si="396"/>
        <v>190.05739025466082</v>
      </c>
      <c r="AC213" s="1728">
        <f t="shared" si="396"/>
        <v>190.43953435210136</v>
      </c>
      <c r="AD213" s="1728">
        <f t="shared" si="396"/>
        <v>190.82167844954191</v>
      </c>
      <c r="AE213" s="1728">
        <f t="shared" si="396"/>
        <v>191.20382254698248</v>
      </c>
      <c r="AF213" s="1728">
        <f t="shared" si="396"/>
        <v>191.58596664442302</v>
      </c>
      <c r="AG213" s="1728">
        <f t="shared" si="396"/>
        <v>191.96811074186357</v>
      </c>
      <c r="AH213" s="1728">
        <f t="shared" si="396"/>
        <v>192.35025483930414</v>
      </c>
      <c r="AI213" s="1728">
        <f t="shared" si="396"/>
        <v>192.73239893674469</v>
      </c>
    </row>
    <row r="214" spans="2:35" x14ac:dyDescent="0.35">
      <c r="B214" s="78" t="s">
        <v>12</v>
      </c>
      <c r="C214" s="78"/>
      <c r="D214" s="78"/>
      <c r="E214" s="78"/>
      <c r="F214" s="1728">
        <f t="shared" ref="F214:AI214" si="397">F67*$H$16</f>
        <v>7448.2549214431501</v>
      </c>
      <c r="G214" s="1728">
        <f t="shared" si="397"/>
        <v>7488.2904793242697</v>
      </c>
      <c r="H214" s="1728">
        <f t="shared" si="397"/>
        <v>7528.3260372053874</v>
      </c>
      <c r="I214" s="1728">
        <f t="shared" si="397"/>
        <v>7568.3615950865069</v>
      </c>
      <c r="J214" s="1728">
        <f t="shared" si="397"/>
        <v>7608.3971529676264</v>
      </c>
      <c r="K214" s="1728">
        <f t="shared" si="397"/>
        <v>7648.3895225446668</v>
      </c>
      <c r="L214" s="1728">
        <f t="shared" si="397"/>
        <v>7688.5114570339438</v>
      </c>
      <c r="M214" s="1728">
        <f t="shared" si="397"/>
        <v>7728.6333915232199</v>
      </c>
      <c r="N214" s="1728">
        <f t="shared" si="397"/>
        <v>7768.7553260124978</v>
      </c>
      <c r="O214" s="1728">
        <f t="shared" si="397"/>
        <v>7808.8772605017739</v>
      </c>
      <c r="P214" s="1728">
        <f t="shared" si="397"/>
        <v>7848.9128183828934</v>
      </c>
      <c r="Q214" s="1728">
        <f t="shared" si="397"/>
        <v>7875.9055084321917</v>
      </c>
      <c r="R214" s="1728">
        <f t="shared" si="397"/>
        <v>7902.8981984814891</v>
      </c>
      <c r="S214" s="1728">
        <f t="shared" si="397"/>
        <v>7929.8908885307883</v>
      </c>
      <c r="T214" s="1728">
        <f t="shared" si="397"/>
        <v>7956.8835785800857</v>
      </c>
      <c r="U214" s="1728">
        <f t="shared" si="397"/>
        <v>7983.8330803253057</v>
      </c>
      <c r="V214" s="1728">
        <f t="shared" si="397"/>
        <v>8000.1150709630419</v>
      </c>
      <c r="W214" s="1728">
        <f t="shared" si="397"/>
        <v>8016.3970616007791</v>
      </c>
      <c r="X214" s="1728">
        <f t="shared" si="397"/>
        <v>8032.6790522385154</v>
      </c>
      <c r="Y214" s="1728">
        <f t="shared" si="397"/>
        <v>8048.9610428762517</v>
      </c>
      <c r="Z214" s="1728">
        <f t="shared" si="397"/>
        <v>8065.1998452099106</v>
      </c>
      <c r="AA214" s="1728">
        <f t="shared" si="397"/>
        <v>8081.4818358476459</v>
      </c>
      <c r="AB214" s="1728">
        <f t="shared" si="397"/>
        <v>8097.763826485384</v>
      </c>
      <c r="AC214" s="1728">
        <f t="shared" si="397"/>
        <v>8114.0458171231203</v>
      </c>
      <c r="AD214" s="1728">
        <f t="shared" si="397"/>
        <v>8130.3278077608566</v>
      </c>
      <c r="AE214" s="1728">
        <f t="shared" si="397"/>
        <v>8146.6097983985937</v>
      </c>
      <c r="AF214" s="1728">
        <f t="shared" si="397"/>
        <v>8162.89178903633</v>
      </c>
      <c r="AG214" s="1728">
        <f t="shared" si="397"/>
        <v>8179.1737796740663</v>
      </c>
      <c r="AH214" s="1728">
        <f t="shared" si="397"/>
        <v>8195.4557703118044</v>
      </c>
      <c r="AI214" s="1728">
        <f t="shared" si="397"/>
        <v>8211.7377609495397</v>
      </c>
    </row>
    <row r="215" spans="2:35" x14ac:dyDescent="0.35">
      <c r="B215" s="78" t="s">
        <v>13</v>
      </c>
      <c r="C215" s="78"/>
      <c r="D215" s="78"/>
      <c r="E215" s="78"/>
      <c r="F215" s="1728">
        <f t="shared" ref="F215:AI215" si="398">F67*$H$17</f>
        <v>683.85526380506803</v>
      </c>
      <c r="G215" s="1728">
        <f t="shared" si="398"/>
        <v>687.5310948937107</v>
      </c>
      <c r="H215" s="1728">
        <f t="shared" si="398"/>
        <v>691.20692598235314</v>
      </c>
      <c r="I215" s="1728">
        <f t="shared" si="398"/>
        <v>694.88275707099569</v>
      </c>
      <c r="J215" s="1728">
        <f t="shared" si="398"/>
        <v>698.55858815963836</v>
      </c>
      <c r="K215" s="1728">
        <f t="shared" si="398"/>
        <v>702.23045395045062</v>
      </c>
      <c r="L215" s="1728">
        <f t="shared" si="398"/>
        <v>705.91421563475376</v>
      </c>
      <c r="M215" s="1728">
        <f t="shared" si="398"/>
        <v>709.59797731905678</v>
      </c>
      <c r="N215" s="1728">
        <f t="shared" si="398"/>
        <v>713.28173900335992</v>
      </c>
      <c r="O215" s="1728">
        <f t="shared" si="398"/>
        <v>716.96550068766294</v>
      </c>
      <c r="P215" s="1728">
        <f t="shared" si="398"/>
        <v>720.64133177630549</v>
      </c>
      <c r="Q215" s="1728">
        <f t="shared" si="398"/>
        <v>723.11964292021241</v>
      </c>
      <c r="R215" s="1728">
        <f t="shared" si="398"/>
        <v>725.59795406411911</v>
      </c>
      <c r="S215" s="1728">
        <f t="shared" si="398"/>
        <v>728.07626520802592</v>
      </c>
      <c r="T215" s="1728">
        <f t="shared" si="398"/>
        <v>730.55457635193272</v>
      </c>
      <c r="U215" s="1728">
        <f t="shared" si="398"/>
        <v>733.02892219800924</v>
      </c>
      <c r="V215" s="1728">
        <f t="shared" si="398"/>
        <v>734.52383948001386</v>
      </c>
      <c r="W215" s="1728">
        <f t="shared" si="398"/>
        <v>736.01875676201848</v>
      </c>
      <c r="X215" s="1728">
        <f t="shared" si="398"/>
        <v>737.51367404402299</v>
      </c>
      <c r="Y215" s="1728">
        <f t="shared" si="398"/>
        <v>739.00859132602761</v>
      </c>
      <c r="Z215" s="1728">
        <f t="shared" si="398"/>
        <v>740.49954331020194</v>
      </c>
      <c r="AA215" s="1728">
        <f t="shared" si="398"/>
        <v>741.99446059220656</v>
      </c>
      <c r="AB215" s="1728">
        <f t="shared" si="398"/>
        <v>743.48937787421119</v>
      </c>
      <c r="AC215" s="1728">
        <f t="shared" si="398"/>
        <v>744.98429515621569</v>
      </c>
      <c r="AD215" s="1728">
        <f t="shared" si="398"/>
        <v>746.47921243822032</v>
      </c>
      <c r="AE215" s="1728">
        <f t="shared" si="398"/>
        <v>747.97412972022494</v>
      </c>
      <c r="AF215" s="1728">
        <f t="shared" si="398"/>
        <v>749.46904700222944</v>
      </c>
      <c r="AG215" s="1728">
        <f t="shared" si="398"/>
        <v>750.96396428423407</v>
      </c>
      <c r="AH215" s="1728">
        <f t="shared" si="398"/>
        <v>752.45888156623869</v>
      </c>
      <c r="AI215" s="1728">
        <f t="shared" si="398"/>
        <v>753.9537988482432</v>
      </c>
    </row>
    <row r="216" spans="2:35" x14ac:dyDescent="0.35">
      <c r="B216" s="78" t="s">
        <v>14</v>
      </c>
      <c r="C216" s="78"/>
      <c r="D216" s="78"/>
      <c r="E216" s="78"/>
      <c r="F216" s="1728">
        <f t="shared" ref="F216:AI216" si="399">F67*$H$18</f>
        <v>815.68278453857522</v>
      </c>
      <c r="G216" s="1728">
        <f t="shared" si="399"/>
        <v>820.0672095720164</v>
      </c>
      <c r="H216" s="1728">
        <f t="shared" si="399"/>
        <v>824.45163460545746</v>
      </c>
      <c r="I216" s="1728">
        <f t="shared" si="399"/>
        <v>828.83605963889863</v>
      </c>
      <c r="J216" s="1728">
        <f t="shared" si="399"/>
        <v>833.22048467233969</v>
      </c>
      <c r="K216" s="1728">
        <f t="shared" si="399"/>
        <v>837.60018001318815</v>
      </c>
      <c r="L216" s="1728">
        <f t="shared" si="399"/>
        <v>841.99406443181476</v>
      </c>
      <c r="M216" s="1728">
        <f t="shared" si="399"/>
        <v>846.38794885044126</v>
      </c>
      <c r="N216" s="1728">
        <f t="shared" si="399"/>
        <v>850.78183326906787</v>
      </c>
      <c r="O216" s="1728">
        <f t="shared" si="399"/>
        <v>855.17571768769437</v>
      </c>
      <c r="P216" s="1728">
        <f t="shared" si="399"/>
        <v>859.56014272113555</v>
      </c>
      <c r="Q216" s="1728">
        <f t="shared" si="399"/>
        <v>862.51620059157869</v>
      </c>
      <c r="R216" s="1728">
        <f t="shared" si="399"/>
        <v>865.47225846202161</v>
      </c>
      <c r="S216" s="1728">
        <f t="shared" si="399"/>
        <v>868.42831633246476</v>
      </c>
      <c r="T216" s="1728">
        <f t="shared" si="399"/>
        <v>871.38437420290768</v>
      </c>
      <c r="U216" s="1728">
        <f t="shared" si="399"/>
        <v>874.33570238075811</v>
      </c>
      <c r="V216" s="1728">
        <f t="shared" si="399"/>
        <v>876.11879648820934</v>
      </c>
      <c r="W216" s="1728">
        <f t="shared" si="399"/>
        <v>877.90189059566069</v>
      </c>
      <c r="X216" s="1728">
        <f t="shared" si="399"/>
        <v>879.68498470311192</v>
      </c>
      <c r="Y216" s="1728">
        <f t="shared" si="399"/>
        <v>881.46807881056304</v>
      </c>
      <c r="Z216" s="1728">
        <f t="shared" si="399"/>
        <v>883.24644322542167</v>
      </c>
      <c r="AA216" s="1728">
        <f t="shared" si="399"/>
        <v>885.02953733287291</v>
      </c>
      <c r="AB216" s="1728">
        <f t="shared" si="399"/>
        <v>886.81263144032425</v>
      </c>
      <c r="AC216" s="1728">
        <f t="shared" si="399"/>
        <v>888.59572554777549</v>
      </c>
      <c r="AD216" s="1728">
        <f t="shared" si="399"/>
        <v>890.37881965522661</v>
      </c>
      <c r="AE216" s="1728">
        <f t="shared" si="399"/>
        <v>892.16191376267795</v>
      </c>
      <c r="AF216" s="1728">
        <f t="shared" si="399"/>
        <v>893.94500787012919</v>
      </c>
      <c r="AG216" s="1728">
        <f t="shared" si="399"/>
        <v>895.72810197758042</v>
      </c>
      <c r="AH216" s="1728">
        <f t="shared" si="399"/>
        <v>897.51119608503177</v>
      </c>
      <c r="AI216" s="1728">
        <f t="shared" si="399"/>
        <v>899.29429019248289</v>
      </c>
    </row>
    <row r="217" spans="2:35" x14ac:dyDescent="0.35">
      <c r="B217" s="728" t="s">
        <v>200</v>
      </c>
      <c r="C217" s="728"/>
      <c r="D217" s="728"/>
      <c r="E217" s="728"/>
      <c r="F217" s="1729">
        <f>SUM(F206:F216)</f>
        <v>82392.200458441919</v>
      </c>
      <c r="G217" s="1729">
        <f t="shared" ref="G217" si="400">SUM(G206:G216)</f>
        <v>82835.071673941042</v>
      </c>
      <c r="H217" s="1729">
        <f t="shared" ref="H217" si="401">SUM(H206:H216)</f>
        <v>83277.942889440135</v>
      </c>
      <c r="I217" s="1729">
        <f t="shared" ref="I217" si="402">SUM(I206:I216)</f>
        <v>83720.814104939243</v>
      </c>
      <c r="J217" s="1729">
        <f t="shared" ref="J217" si="403">SUM(J206:J216)</f>
        <v>84163.685320438337</v>
      </c>
      <c r="K217" s="1729">
        <f t="shared" ref="K217" si="404">SUM(K206:K216)</f>
        <v>84606.078789210937</v>
      </c>
      <c r="L217" s="1729">
        <f t="shared" ref="L217" si="405">SUM(L206:L216)</f>
        <v>85049.90549816312</v>
      </c>
      <c r="M217" s="1729">
        <f t="shared" ref="M217" si="406">SUM(M206:M216)</f>
        <v>85493.732207115274</v>
      </c>
      <c r="N217" s="1729">
        <f t="shared" ref="N217" si="407">SUM(N206:N216)</f>
        <v>85937.558916067457</v>
      </c>
      <c r="O217" s="1729">
        <f t="shared" ref="O217" si="408">SUM(O206:O216)</f>
        <v>86381.385625019626</v>
      </c>
      <c r="P217" s="1729">
        <f t="shared" ref="P217" si="409">SUM(P206:P216)</f>
        <v>86824.256840518719</v>
      </c>
      <c r="Q217" s="1729">
        <f t="shared" ref="Q217" si="410">SUM(Q206:Q216)</f>
        <v>87122.848544603883</v>
      </c>
      <c r="R217" s="1729">
        <f t="shared" ref="R217" si="411">SUM(R206:R216)</f>
        <v>87421.440248689032</v>
      </c>
      <c r="S217" s="1729">
        <f t="shared" ref="S217" si="412">SUM(S206:S216)</f>
        <v>87720.03195277421</v>
      </c>
      <c r="T217" s="1729">
        <f t="shared" ref="T217" si="413">SUM(T206:T216)</f>
        <v>88018.623656859359</v>
      </c>
      <c r="U217" s="1729">
        <f t="shared" ref="U217" si="414">SUM(U206:U216)</f>
        <v>88316.737614218</v>
      </c>
      <c r="V217" s="1729">
        <f t="shared" ref="V217" si="415">SUM(V206:V216)</f>
        <v>88496.848130122162</v>
      </c>
      <c r="W217" s="1729">
        <f t="shared" ref="W217" si="416">SUM(W206:W216)</f>
        <v>88676.958646026324</v>
      </c>
      <c r="X217" s="1729">
        <f t="shared" ref="X217" si="417">SUM(X206:X216)</f>
        <v>88857.069161930471</v>
      </c>
      <c r="Y217" s="1729">
        <f t="shared" ref="Y217" si="418">SUM(Y206:Y216)</f>
        <v>89037.179677834647</v>
      </c>
      <c r="Z217" s="1729">
        <f t="shared" ref="Z217" si="419">SUM(Z206:Z216)</f>
        <v>89216.812447012286</v>
      </c>
      <c r="AA217" s="1729">
        <f t="shared" ref="AA217" si="420">SUM(AA206:AA216)</f>
        <v>89396.922962916433</v>
      </c>
      <c r="AB217" s="1729">
        <f t="shared" ref="AB217" si="421">SUM(AB206:AB216)</f>
        <v>89577.033478820609</v>
      </c>
      <c r="AC217" s="1729">
        <f t="shared" ref="AC217" si="422">SUM(AC206:AC216)</f>
        <v>89757.143994724785</v>
      </c>
      <c r="AD217" s="1729">
        <f t="shared" ref="AD217" si="423">SUM(AD206:AD216)</f>
        <v>89937.254510628947</v>
      </c>
      <c r="AE217" s="1729">
        <f t="shared" ref="AE217" si="424">SUM(AE206:AE216)</f>
        <v>90117.365026533138</v>
      </c>
      <c r="AF217" s="1729">
        <f t="shared" ref="AF217" si="425">SUM(AF206:AF216)</f>
        <v>90297.4755424373</v>
      </c>
      <c r="AG217" s="1729">
        <f t="shared" ref="AG217" si="426">SUM(AG206:AG216)</f>
        <v>90477.586058341432</v>
      </c>
      <c r="AH217" s="1729">
        <f t="shared" ref="AH217" si="427">SUM(AH206:AH216)</f>
        <v>90657.696574245638</v>
      </c>
      <c r="AI217" s="1729">
        <f t="shared" ref="AI217" si="428">SUM(AI206:AI216)</f>
        <v>90837.807090149785</v>
      </c>
    </row>
    <row r="218" spans="2:35" x14ac:dyDescent="0.35">
      <c r="E218" s="281" t="s">
        <v>332</v>
      </c>
      <c r="F218" s="1725">
        <f t="shared" ref="F218:AI218" si="429">F217-F67</f>
        <v>0</v>
      </c>
      <c r="G218" s="1725">
        <f t="shared" si="429"/>
        <v>0</v>
      </c>
      <c r="H218" s="1725">
        <f t="shared" si="429"/>
        <v>0</v>
      </c>
      <c r="I218" s="1725">
        <f t="shared" si="429"/>
        <v>0</v>
      </c>
      <c r="J218" s="1725">
        <f t="shared" si="429"/>
        <v>0</v>
      </c>
      <c r="K218" s="1725">
        <f t="shared" si="429"/>
        <v>0</v>
      </c>
      <c r="L218" s="1725">
        <f t="shared" si="429"/>
        <v>0</v>
      </c>
      <c r="M218" s="1725">
        <f t="shared" si="429"/>
        <v>0</v>
      </c>
      <c r="N218" s="1725">
        <f t="shared" si="429"/>
        <v>0</v>
      </c>
      <c r="O218" s="1725">
        <f t="shared" si="429"/>
        <v>0</v>
      </c>
      <c r="P218" s="1725">
        <f t="shared" si="429"/>
        <v>0</v>
      </c>
      <c r="Q218" s="1725">
        <f t="shared" si="429"/>
        <v>0</v>
      </c>
      <c r="R218" s="1725">
        <f t="shared" si="429"/>
        <v>0</v>
      </c>
      <c r="S218" s="1725">
        <f t="shared" si="429"/>
        <v>0</v>
      </c>
      <c r="T218" s="1725">
        <f t="shared" si="429"/>
        <v>0</v>
      </c>
      <c r="U218" s="1725">
        <f t="shared" si="429"/>
        <v>0</v>
      </c>
      <c r="V218" s="1725">
        <f t="shared" si="429"/>
        <v>0</v>
      </c>
      <c r="W218" s="1725">
        <f t="shared" si="429"/>
        <v>0</v>
      </c>
      <c r="X218" s="1725">
        <f t="shared" si="429"/>
        <v>0</v>
      </c>
      <c r="Y218" s="1725">
        <f t="shared" si="429"/>
        <v>0</v>
      </c>
      <c r="Z218" s="1725">
        <f t="shared" si="429"/>
        <v>0</v>
      </c>
      <c r="AA218" s="1725">
        <f t="shared" si="429"/>
        <v>0</v>
      </c>
      <c r="AB218" s="1725">
        <f t="shared" si="429"/>
        <v>0</v>
      </c>
      <c r="AC218" s="1725">
        <f t="shared" si="429"/>
        <v>0</v>
      </c>
      <c r="AD218" s="1725">
        <f t="shared" si="429"/>
        <v>0</v>
      </c>
      <c r="AE218" s="1725">
        <f t="shared" si="429"/>
        <v>0</v>
      </c>
      <c r="AF218" s="1725">
        <f t="shared" si="429"/>
        <v>0</v>
      </c>
      <c r="AG218" s="1725">
        <f t="shared" si="429"/>
        <v>0</v>
      </c>
      <c r="AH218" s="1725">
        <f t="shared" si="429"/>
        <v>0</v>
      </c>
      <c r="AI218" s="1725">
        <f t="shared" si="429"/>
        <v>0</v>
      </c>
    </row>
    <row r="219" spans="2:35" ht="15.5" x14ac:dyDescent="0.35">
      <c r="B219" s="86" t="s">
        <v>7</v>
      </c>
      <c r="F219" s="97"/>
    </row>
    <row r="220" spans="2:35" x14ac:dyDescent="0.35">
      <c r="B220" s="780" t="s">
        <v>273</v>
      </c>
      <c r="C220" s="780"/>
      <c r="D220" s="780"/>
      <c r="E220" s="780"/>
      <c r="F220" s="1727">
        <v>1</v>
      </c>
      <c r="G220" s="1727">
        <f>F220+1</f>
        <v>2</v>
      </c>
      <c r="H220" s="1727">
        <f t="shared" ref="H220" si="430">G220+1</f>
        <v>3</v>
      </c>
      <c r="I220" s="1727">
        <f t="shared" ref="I220" si="431">H220+1</f>
        <v>4</v>
      </c>
      <c r="J220" s="1727">
        <f t="shared" ref="J220" si="432">I220+1</f>
        <v>5</v>
      </c>
      <c r="K220" s="1727">
        <f t="shared" ref="K220" si="433">J220+1</f>
        <v>6</v>
      </c>
      <c r="L220" s="1727">
        <f t="shared" ref="L220" si="434">K220+1</f>
        <v>7</v>
      </c>
      <c r="M220" s="1727">
        <f t="shared" ref="M220" si="435">L220+1</f>
        <v>8</v>
      </c>
      <c r="N220" s="1727">
        <f t="shared" ref="N220" si="436">M220+1</f>
        <v>9</v>
      </c>
      <c r="O220" s="1727">
        <f t="shared" ref="O220" si="437">N220+1</f>
        <v>10</v>
      </c>
      <c r="P220" s="1727">
        <f t="shared" ref="P220" si="438">O220+1</f>
        <v>11</v>
      </c>
      <c r="Q220" s="1727">
        <f t="shared" ref="Q220" si="439">P220+1</f>
        <v>12</v>
      </c>
      <c r="R220" s="1727">
        <f t="shared" ref="R220" si="440">Q220+1</f>
        <v>13</v>
      </c>
      <c r="S220" s="1727">
        <f t="shared" ref="S220" si="441">R220+1</f>
        <v>14</v>
      </c>
      <c r="T220" s="1727">
        <f t="shared" ref="T220" si="442">S220+1</f>
        <v>15</v>
      </c>
      <c r="U220" s="1727">
        <f t="shared" ref="U220" si="443">T220+1</f>
        <v>16</v>
      </c>
      <c r="V220" s="1727">
        <f t="shared" ref="V220" si="444">U220+1</f>
        <v>17</v>
      </c>
      <c r="W220" s="1727">
        <f t="shared" ref="W220" si="445">V220+1</f>
        <v>18</v>
      </c>
      <c r="X220" s="1727">
        <f t="shared" ref="X220" si="446">W220+1</f>
        <v>19</v>
      </c>
      <c r="Y220" s="1727">
        <f t="shared" ref="Y220" si="447">X220+1</f>
        <v>20</v>
      </c>
      <c r="Z220" s="1727">
        <f t="shared" ref="Z220" si="448">Y220+1</f>
        <v>21</v>
      </c>
      <c r="AA220" s="1727">
        <f t="shared" ref="AA220" si="449">Z220+1</f>
        <v>22</v>
      </c>
      <c r="AB220" s="1727">
        <f t="shared" ref="AB220" si="450">AA220+1</f>
        <v>23</v>
      </c>
      <c r="AC220" s="1727">
        <f t="shared" ref="AC220" si="451">AB220+1</f>
        <v>24</v>
      </c>
      <c r="AD220" s="1727">
        <f t="shared" ref="AD220" si="452">AC220+1</f>
        <v>25</v>
      </c>
      <c r="AE220" s="1727">
        <f t="shared" ref="AE220" si="453">AD220+1</f>
        <v>26</v>
      </c>
      <c r="AF220" s="1727">
        <f t="shared" ref="AF220" si="454">AE220+1</f>
        <v>27</v>
      </c>
      <c r="AG220" s="1727">
        <f t="shared" ref="AG220" si="455">AF220+1</f>
        <v>28</v>
      </c>
      <c r="AH220" s="1727">
        <f t="shared" ref="AH220" si="456">AG220+1</f>
        <v>29</v>
      </c>
      <c r="AI220" s="1727">
        <f t="shared" ref="AI220" si="457">AH220+1</f>
        <v>30</v>
      </c>
    </row>
    <row r="221" spans="2:35" x14ac:dyDescent="0.35">
      <c r="B221" s="78" t="s">
        <v>276</v>
      </c>
      <c r="C221" s="78"/>
      <c r="D221" s="78"/>
      <c r="E221" s="78"/>
      <c r="F221" s="1728">
        <f t="shared" ref="F221:AI221" si="458">F68*$I$8</f>
        <v>2168.062790023771</v>
      </c>
      <c r="G221" s="1728">
        <f t="shared" si="458"/>
        <v>2162.277356668224</v>
      </c>
      <c r="H221" s="1728">
        <f t="shared" si="458"/>
        <v>2156.491923312677</v>
      </c>
      <c r="I221" s="1728">
        <f t="shared" si="458"/>
        <v>2150.7064899571301</v>
      </c>
      <c r="J221" s="1728">
        <f t="shared" si="458"/>
        <v>2144.9210566015831</v>
      </c>
      <c r="K221" s="1728">
        <f t="shared" si="458"/>
        <v>2138.9087435066031</v>
      </c>
      <c r="L221" s="1728">
        <f t="shared" si="458"/>
        <v>2128.8125951018251</v>
      </c>
      <c r="M221" s="1728">
        <f t="shared" si="458"/>
        <v>2118.7164466970476</v>
      </c>
      <c r="N221" s="1728">
        <f t="shared" si="458"/>
        <v>2108.6202982922691</v>
      </c>
      <c r="O221" s="1728">
        <f t="shared" si="458"/>
        <v>2098.5241498874916</v>
      </c>
      <c r="P221" s="1728">
        <f t="shared" si="458"/>
        <v>2088.3145616129968</v>
      </c>
      <c r="Q221" s="1728">
        <f t="shared" si="458"/>
        <v>2074.4748975075709</v>
      </c>
      <c r="R221" s="1728">
        <f t="shared" si="458"/>
        <v>2060.6352334021449</v>
      </c>
      <c r="S221" s="1728">
        <f t="shared" si="458"/>
        <v>2046.7955692967189</v>
      </c>
      <c r="T221" s="1728">
        <f t="shared" si="458"/>
        <v>2032.9559051912931</v>
      </c>
      <c r="U221" s="1728">
        <f t="shared" si="458"/>
        <v>2018.8893613464343</v>
      </c>
      <c r="V221" s="1728">
        <f t="shared" si="458"/>
        <v>2003.915298543842</v>
      </c>
      <c r="W221" s="1728">
        <f t="shared" si="458"/>
        <v>1988.9412357412502</v>
      </c>
      <c r="X221" s="1728">
        <f t="shared" si="458"/>
        <v>1973.9671729386582</v>
      </c>
      <c r="Y221" s="1728">
        <f t="shared" si="458"/>
        <v>1958.9931101360664</v>
      </c>
      <c r="Z221" s="1728">
        <f t="shared" si="458"/>
        <v>1944.2459270729075</v>
      </c>
      <c r="AA221" s="1728">
        <f t="shared" si="458"/>
        <v>1929.2718642703155</v>
      </c>
      <c r="AB221" s="1728">
        <f t="shared" si="458"/>
        <v>1914.2978014677237</v>
      </c>
      <c r="AC221" s="1728">
        <f t="shared" si="458"/>
        <v>1899.3237386651315</v>
      </c>
      <c r="AD221" s="1728">
        <f t="shared" si="458"/>
        <v>1884.3496758625397</v>
      </c>
      <c r="AE221" s="1728">
        <f t="shared" si="458"/>
        <v>1869.3756130599477</v>
      </c>
      <c r="AF221" s="1728">
        <f t="shared" si="458"/>
        <v>1854.4015502573554</v>
      </c>
      <c r="AG221" s="1728">
        <f t="shared" si="458"/>
        <v>1839.4274874547637</v>
      </c>
      <c r="AH221" s="1728">
        <f t="shared" si="458"/>
        <v>1824.4534246521716</v>
      </c>
      <c r="AI221" s="1728">
        <f t="shared" si="458"/>
        <v>1809.4793618495798</v>
      </c>
    </row>
    <row r="222" spans="2:35" x14ac:dyDescent="0.35">
      <c r="B222" s="78" t="s">
        <v>277</v>
      </c>
      <c r="C222" s="78"/>
      <c r="D222" s="78"/>
      <c r="E222" s="78"/>
      <c r="F222" s="1728">
        <f t="shared" ref="F222:AI222" si="459">F68*$I$9</f>
        <v>219.53655458878964</v>
      </c>
      <c r="G222" s="1728">
        <f t="shared" si="459"/>
        <v>218.95072556597526</v>
      </c>
      <c r="H222" s="1728">
        <f t="shared" si="459"/>
        <v>218.36489654316088</v>
      </c>
      <c r="I222" s="1728">
        <f t="shared" si="459"/>
        <v>217.77906752034653</v>
      </c>
      <c r="J222" s="1728">
        <f t="shared" si="459"/>
        <v>217.19323849753212</v>
      </c>
      <c r="K222" s="1728">
        <f t="shared" si="459"/>
        <v>216.58443578754856</v>
      </c>
      <c r="L222" s="1728">
        <f t="shared" si="459"/>
        <v>215.56210670851959</v>
      </c>
      <c r="M222" s="1728">
        <f t="shared" si="459"/>
        <v>214.5397776294906</v>
      </c>
      <c r="N222" s="1728">
        <f t="shared" si="459"/>
        <v>213.51744855046158</v>
      </c>
      <c r="O222" s="1728">
        <f t="shared" si="459"/>
        <v>212.49511947143259</v>
      </c>
      <c r="P222" s="1728">
        <f t="shared" si="459"/>
        <v>211.46130354881896</v>
      </c>
      <c r="Q222" s="1728">
        <f t="shared" si="459"/>
        <v>210.05990863149833</v>
      </c>
      <c r="R222" s="1728">
        <f t="shared" si="459"/>
        <v>208.65851371417767</v>
      </c>
      <c r="S222" s="1728">
        <f t="shared" si="459"/>
        <v>207.25711879685701</v>
      </c>
      <c r="T222" s="1728">
        <f t="shared" si="459"/>
        <v>205.85572387953636</v>
      </c>
      <c r="U222" s="1728">
        <f t="shared" si="459"/>
        <v>204.43135527504654</v>
      </c>
      <c r="V222" s="1728">
        <f t="shared" si="459"/>
        <v>202.91509192187991</v>
      </c>
      <c r="W222" s="1728">
        <f t="shared" si="459"/>
        <v>201.39882856871333</v>
      </c>
      <c r="X222" s="1728">
        <f t="shared" si="459"/>
        <v>199.88256521554669</v>
      </c>
      <c r="Y222" s="1728">
        <f t="shared" si="459"/>
        <v>198.36630186238008</v>
      </c>
      <c r="Z222" s="1728">
        <f t="shared" si="459"/>
        <v>196.87301219638269</v>
      </c>
      <c r="AA222" s="1728">
        <f t="shared" si="459"/>
        <v>195.35674884321605</v>
      </c>
      <c r="AB222" s="1728">
        <f t="shared" si="459"/>
        <v>193.84048549004947</v>
      </c>
      <c r="AC222" s="1728">
        <f t="shared" si="459"/>
        <v>192.32422213688284</v>
      </c>
      <c r="AD222" s="1728">
        <f t="shared" si="459"/>
        <v>190.80795878371623</v>
      </c>
      <c r="AE222" s="1728">
        <f t="shared" si="459"/>
        <v>189.29169543054962</v>
      </c>
      <c r="AF222" s="1728">
        <f t="shared" si="459"/>
        <v>187.77543207738299</v>
      </c>
      <c r="AG222" s="1728">
        <f t="shared" si="459"/>
        <v>186.25916872421641</v>
      </c>
      <c r="AH222" s="1728">
        <f t="shared" si="459"/>
        <v>184.74290537104977</v>
      </c>
      <c r="AI222" s="1728">
        <f t="shared" si="459"/>
        <v>183.22664201788319</v>
      </c>
    </row>
    <row r="223" spans="2:35" x14ac:dyDescent="0.35">
      <c r="B223" s="78" t="s">
        <v>278</v>
      </c>
      <c r="C223" s="78"/>
      <c r="D223" s="78"/>
      <c r="E223" s="78"/>
      <c r="F223" s="1728">
        <f t="shared" ref="F223:AI223" si="460">F68*$I$10</f>
        <v>959.62974081484595</v>
      </c>
      <c r="G223" s="1728">
        <f t="shared" si="460"/>
        <v>957.06898752991731</v>
      </c>
      <c r="H223" s="1728">
        <f t="shared" si="460"/>
        <v>954.50823424498856</v>
      </c>
      <c r="I223" s="1728">
        <f t="shared" si="460"/>
        <v>951.94748096005992</v>
      </c>
      <c r="J223" s="1728">
        <f t="shared" si="460"/>
        <v>949.38672767513106</v>
      </c>
      <c r="K223" s="1728">
        <f t="shared" si="460"/>
        <v>946.72555269275426</v>
      </c>
      <c r="L223" s="1728">
        <f t="shared" si="460"/>
        <v>942.25678715631011</v>
      </c>
      <c r="M223" s="1728">
        <f t="shared" si="460"/>
        <v>937.78802161986596</v>
      </c>
      <c r="N223" s="1728">
        <f t="shared" si="460"/>
        <v>933.31925608342169</v>
      </c>
      <c r="O223" s="1728">
        <f t="shared" si="460"/>
        <v>928.85049054697765</v>
      </c>
      <c r="P223" s="1728">
        <f t="shared" si="460"/>
        <v>924.3315141618092</v>
      </c>
      <c r="Q223" s="1728">
        <f t="shared" si="460"/>
        <v>918.20579061747003</v>
      </c>
      <c r="R223" s="1728">
        <f t="shared" si="460"/>
        <v>912.08006707313086</v>
      </c>
      <c r="S223" s="1728">
        <f t="shared" si="460"/>
        <v>905.95434352879158</v>
      </c>
      <c r="T223" s="1728">
        <f t="shared" si="460"/>
        <v>899.82861998445242</v>
      </c>
      <c r="U223" s="1728">
        <f t="shared" si="460"/>
        <v>893.60247474266498</v>
      </c>
      <c r="V223" s="1728">
        <f t="shared" si="460"/>
        <v>886.97464271108481</v>
      </c>
      <c r="W223" s="1728">
        <f t="shared" si="460"/>
        <v>880.34681067950476</v>
      </c>
      <c r="X223" s="1728">
        <f t="shared" si="460"/>
        <v>873.71897864792459</v>
      </c>
      <c r="Y223" s="1728">
        <f t="shared" si="460"/>
        <v>867.09114661634442</v>
      </c>
      <c r="Z223" s="1728">
        <f t="shared" si="460"/>
        <v>860.56373628221252</v>
      </c>
      <c r="AA223" s="1728">
        <f t="shared" si="460"/>
        <v>853.93590425063235</v>
      </c>
      <c r="AB223" s="1728">
        <f t="shared" si="460"/>
        <v>847.30807221905218</v>
      </c>
      <c r="AC223" s="1728">
        <f t="shared" si="460"/>
        <v>840.68024018747201</v>
      </c>
      <c r="AD223" s="1728">
        <f t="shared" si="460"/>
        <v>834.05240815589195</v>
      </c>
      <c r="AE223" s="1728">
        <f t="shared" si="460"/>
        <v>827.42457612431178</v>
      </c>
      <c r="AF223" s="1728">
        <f t="shared" si="460"/>
        <v>820.7967440927315</v>
      </c>
      <c r="AG223" s="1728">
        <f t="shared" si="460"/>
        <v>814.16891206115145</v>
      </c>
      <c r="AH223" s="1728">
        <f t="shared" si="460"/>
        <v>807.54108002957128</v>
      </c>
      <c r="AI223" s="1728">
        <f t="shared" si="460"/>
        <v>800.91324799799122</v>
      </c>
    </row>
    <row r="224" spans="2:35" x14ac:dyDescent="0.35">
      <c r="B224" s="78" t="s">
        <v>279</v>
      </c>
      <c r="C224" s="78"/>
      <c r="D224" s="78"/>
      <c r="E224" s="78"/>
      <c r="F224" s="1728">
        <f t="shared" ref="F224:AI224" si="461">F68*$I$11</f>
        <v>1103.4782528351509</v>
      </c>
      <c r="G224" s="1728">
        <f t="shared" si="461"/>
        <v>1100.5336425957937</v>
      </c>
      <c r="H224" s="1728">
        <f t="shared" si="461"/>
        <v>1097.5890323564365</v>
      </c>
      <c r="I224" s="1728">
        <f t="shared" si="461"/>
        <v>1094.6444221170796</v>
      </c>
      <c r="J224" s="1728">
        <f t="shared" si="461"/>
        <v>1091.6998118777224</v>
      </c>
      <c r="K224" s="1728">
        <f t="shared" si="461"/>
        <v>1088.6397267270179</v>
      </c>
      <c r="L224" s="1728">
        <f t="shared" si="461"/>
        <v>1083.5010931720615</v>
      </c>
      <c r="M224" s="1728">
        <f t="shared" si="461"/>
        <v>1078.3624596171051</v>
      </c>
      <c r="N224" s="1728">
        <f t="shared" si="461"/>
        <v>1073.2238260621486</v>
      </c>
      <c r="O224" s="1728">
        <f t="shared" si="461"/>
        <v>1068.0851925071922</v>
      </c>
      <c r="P224" s="1728">
        <f t="shared" si="461"/>
        <v>1062.8888214965618</v>
      </c>
      <c r="Q224" s="1728">
        <f t="shared" si="461"/>
        <v>1055.8448519043743</v>
      </c>
      <c r="R224" s="1728">
        <f t="shared" si="461"/>
        <v>1048.8008823121868</v>
      </c>
      <c r="S224" s="1728">
        <f t="shared" si="461"/>
        <v>1041.7569127199993</v>
      </c>
      <c r="T224" s="1728">
        <f t="shared" si="461"/>
        <v>1034.7129431278117</v>
      </c>
      <c r="U224" s="1728">
        <f t="shared" si="461"/>
        <v>1027.5534986242769</v>
      </c>
      <c r="V224" s="1728">
        <f t="shared" si="461"/>
        <v>1019.9321544753526</v>
      </c>
      <c r="W224" s="1728">
        <f t="shared" si="461"/>
        <v>1012.3108103264284</v>
      </c>
      <c r="X224" s="1728">
        <f t="shared" si="461"/>
        <v>1004.6894661775041</v>
      </c>
      <c r="Y224" s="1728">
        <f t="shared" si="461"/>
        <v>997.06812202857998</v>
      </c>
      <c r="Z224" s="1728">
        <f t="shared" si="461"/>
        <v>989.56225279100306</v>
      </c>
      <c r="AA224" s="1728">
        <f t="shared" si="461"/>
        <v>981.94090864207874</v>
      </c>
      <c r="AB224" s="1728">
        <f t="shared" si="461"/>
        <v>974.31956449315464</v>
      </c>
      <c r="AC224" s="1728">
        <f t="shared" si="461"/>
        <v>966.69822034423032</v>
      </c>
      <c r="AD224" s="1728">
        <f t="shared" si="461"/>
        <v>959.07687619530611</v>
      </c>
      <c r="AE224" s="1728">
        <f t="shared" si="461"/>
        <v>951.4555320463819</v>
      </c>
      <c r="AF224" s="1728">
        <f t="shared" si="461"/>
        <v>943.83418789745758</v>
      </c>
      <c r="AG224" s="1728">
        <f t="shared" si="461"/>
        <v>936.21284374853337</v>
      </c>
      <c r="AH224" s="1728">
        <f t="shared" si="461"/>
        <v>928.59149959960905</v>
      </c>
      <c r="AI224" s="1728">
        <f t="shared" si="461"/>
        <v>920.97015545068496</v>
      </c>
    </row>
    <row r="225" spans="2:35" x14ac:dyDescent="0.35">
      <c r="B225" s="78" t="s">
        <v>280</v>
      </c>
      <c r="C225" s="78"/>
      <c r="D225" s="78"/>
      <c r="E225" s="78"/>
      <c r="F225" s="1728">
        <f t="shared" ref="F225:AI225" si="462">F68*$I$12</f>
        <v>814.6502624726877</v>
      </c>
      <c r="G225" s="1728">
        <f t="shared" si="462"/>
        <v>812.47638410380387</v>
      </c>
      <c r="H225" s="1728">
        <f t="shared" si="462"/>
        <v>810.30250573492003</v>
      </c>
      <c r="I225" s="1728">
        <f t="shared" si="462"/>
        <v>808.12862736603631</v>
      </c>
      <c r="J225" s="1728">
        <f t="shared" si="462"/>
        <v>805.95474899715248</v>
      </c>
      <c r="K225" s="1728">
        <f t="shared" si="462"/>
        <v>803.69562049615558</v>
      </c>
      <c r="L225" s="1728">
        <f t="shared" si="462"/>
        <v>799.90198961712315</v>
      </c>
      <c r="M225" s="1728">
        <f t="shared" si="462"/>
        <v>796.1083587380906</v>
      </c>
      <c r="N225" s="1728">
        <f t="shared" si="462"/>
        <v>792.31472785905805</v>
      </c>
      <c r="O225" s="1728">
        <f t="shared" si="462"/>
        <v>788.52109698002562</v>
      </c>
      <c r="P225" s="1728">
        <f t="shared" si="462"/>
        <v>784.68484103493654</v>
      </c>
      <c r="Q225" s="1728">
        <f t="shared" si="462"/>
        <v>779.48458297603804</v>
      </c>
      <c r="R225" s="1728">
        <f t="shared" si="462"/>
        <v>774.28432491713954</v>
      </c>
      <c r="S225" s="1728">
        <f t="shared" si="462"/>
        <v>769.08406685824104</v>
      </c>
      <c r="T225" s="1728">
        <f t="shared" si="462"/>
        <v>763.88380879934266</v>
      </c>
      <c r="U225" s="1728">
        <f t="shared" si="462"/>
        <v>758.5983006083311</v>
      </c>
      <c r="V225" s="1728">
        <f t="shared" si="462"/>
        <v>752.97179188886707</v>
      </c>
      <c r="W225" s="1728">
        <f t="shared" si="462"/>
        <v>747.34528316940316</v>
      </c>
      <c r="X225" s="1728">
        <f t="shared" si="462"/>
        <v>741.71877444993925</v>
      </c>
      <c r="Y225" s="1728">
        <f t="shared" si="462"/>
        <v>736.09226573047533</v>
      </c>
      <c r="Z225" s="1728">
        <f t="shared" si="462"/>
        <v>730.55100714312448</v>
      </c>
      <c r="AA225" s="1728">
        <f t="shared" si="462"/>
        <v>724.92449842366045</v>
      </c>
      <c r="AB225" s="1728">
        <f t="shared" si="462"/>
        <v>719.29798970419654</v>
      </c>
      <c r="AC225" s="1728">
        <f t="shared" si="462"/>
        <v>713.67148098473263</v>
      </c>
      <c r="AD225" s="1728">
        <f t="shared" si="462"/>
        <v>708.04497226526871</v>
      </c>
      <c r="AE225" s="1728">
        <f t="shared" si="462"/>
        <v>702.41846354580468</v>
      </c>
      <c r="AF225" s="1728">
        <f t="shared" si="462"/>
        <v>696.79195482634077</v>
      </c>
      <c r="AG225" s="1728">
        <f t="shared" si="462"/>
        <v>691.16544610687686</v>
      </c>
      <c r="AH225" s="1728">
        <f t="shared" si="462"/>
        <v>685.53893738741283</v>
      </c>
      <c r="AI225" s="1728">
        <f t="shared" si="462"/>
        <v>679.91242866794903</v>
      </c>
    </row>
    <row r="226" spans="2:35" x14ac:dyDescent="0.35">
      <c r="B226" s="78" t="s">
        <v>281</v>
      </c>
      <c r="C226" s="78"/>
      <c r="D226" s="78"/>
      <c r="E226" s="78"/>
      <c r="F226" s="1728">
        <f t="shared" ref="F226:AI226" si="463">F68*$I$13</f>
        <v>407.97442535979297</v>
      </c>
      <c r="G226" s="1728">
        <f t="shared" si="463"/>
        <v>406.88575354662066</v>
      </c>
      <c r="H226" s="1728">
        <f t="shared" si="463"/>
        <v>405.79708173344829</v>
      </c>
      <c r="I226" s="1728">
        <f t="shared" si="463"/>
        <v>404.70840992027598</v>
      </c>
      <c r="J226" s="1728">
        <f t="shared" si="463"/>
        <v>403.61973810710367</v>
      </c>
      <c r="K226" s="1728">
        <f t="shared" si="463"/>
        <v>402.48837328165007</v>
      </c>
      <c r="L226" s="1728">
        <f t="shared" si="463"/>
        <v>400.58853423513369</v>
      </c>
      <c r="M226" s="1728">
        <f t="shared" si="463"/>
        <v>398.68869518861732</v>
      </c>
      <c r="N226" s="1728">
        <f t="shared" si="463"/>
        <v>396.78885614210088</v>
      </c>
      <c r="O226" s="1728">
        <f t="shared" si="463"/>
        <v>394.88901709558451</v>
      </c>
      <c r="P226" s="1728">
        <f t="shared" si="463"/>
        <v>392.9678315429274</v>
      </c>
      <c r="Q226" s="1728">
        <f t="shared" si="463"/>
        <v>390.3635577937701</v>
      </c>
      <c r="R226" s="1728">
        <f t="shared" si="463"/>
        <v>387.75928404461274</v>
      </c>
      <c r="S226" s="1728">
        <f t="shared" si="463"/>
        <v>385.15501029545544</v>
      </c>
      <c r="T226" s="1728">
        <f t="shared" si="463"/>
        <v>382.55073654629814</v>
      </c>
      <c r="U226" s="1728">
        <f t="shared" si="463"/>
        <v>379.90376978485955</v>
      </c>
      <c r="V226" s="1728">
        <f t="shared" si="463"/>
        <v>377.08603097429585</v>
      </c>
      <c r="W226" s="1728">
        <f t="shared" si="463"/>
        <v>374.26829216373221</v>
      </c>
      <c r="X226" s="1728">
        <f t="shared" si="463"/>
        <v>371.45055335316857</v>
      </c>
      <c r="Y226" s="1728">
        <f t="shared" si="463"/>
        <v>368.63281454260493</v>
      </c>
      <c r="Z226" s="1728">
        <f t="shared" si="463"/>
        <v>365.85776874432253</v>
      </c>
      <c r="AA226" s="1728">
        <f t="shared" si="463"/>
        <v>363.04002993375883</v>
      </c>
      <c r="AB226" s="1728">
        <f t="shared" si="463"/>
        <v>360.22229112319519</v>
      </c>
      <c r="AC226" s="1728">
        <f t="shared" si="463"/>
        <v>357.40455231263149</v>
      </c>
      <c r="AD226" s="1728">
        <f t="shared" si="463"/>
        <v>354.58681350206791</v>
      </c>
      <c r="AE226" s="1728">
        <f t="shared" si="463"/>
        <v>351.76907469150422</v>
      </c>
      <c r="AF226" s="1728">
        <f t="shared" si="463"/>
        <v>348.95133588094052</v>
      </c>
      <c r="AG226" s="1728">
        <f t="shared" si="463"/>
        <v>346.13359707037688</v>
      </c>
      <c r="AH226" s="1728">
        <f t="shared" si="463"/>
        <v>343.31585825981318</v>
      </c>
      <c r="AI226" s="1728">
        <f t="shared" si="463"/>
        <v>340.49811944924954</v>
      </c>
    </row>
    <row r="227" spans="2:35" x14ac:dyDescent="0.35">
      <c r="B227" s="78" t="s">
        <v>282</v>
      </c>
      <c r="C227" s="78"/>
      <c r="D227" s="78"/>
      <c r="E227" s="78"/>
      <c r="F227" s="1728">
        <f t="shared" ref="F227:AI227" si="464">F68*$I$14</f>
        <v>258.88339313205398</v>
      </c>
      <c r="G227" s="1728">
        <f t="shared" si="464"/>
        <v>258.19256783644209</v>
      </c>
      <c r="H227" s="1728">
        <f t="shared" si="464"/>
        <v>257.50174254083021</v>
      </c>
      <c r="I227" s="1728">
        <f t="shared" si="464"/>
        <v>256.81091724521832</v>
      </c>
      <c r="J227" s="1728">
        <f t="shared" si="464"/>
        <v>256.12009194960638</v>
      </c>
      <c r="K227" s="1728">
        <f t="shared" si="464"/>
        <v>255.40217546593124</v>
      </c>
      <c r="L227" s="1728">
        <f t="shared" si="464"/>
        <v>254.19661759711832</v>
      </c>
      <c r="M227" s="1728">
        <f t="shared" si="464"/>
        <v>252.9910597283054</v>
      </c>
      <c r="N227" s="1728">
        <f t="shared" si="464"/>
        <v>251.78550185949246</v>
      </c>
      <c r="O227" s="1728">
        <f t="shared" si="464"/>
        <v>250.57994399067954</v>
      </c>
      <c r="P227" s="1728">
        <f t="shared" si="464"/>
        <v>249.36084052783497</v>
      </c>
      <c r="Q227" s="1728">
        <f t="shared" si="464"/>
        <v>247.70827805597906</v>
      </c>
      <c r="R227" s="1728">
        <f t="shared" si="464"/>
        <v>246.05571558412311</v>
      </c>
      <c r="S227" s="1728">
        <f t="shared" si="464"/>
        <v>244.40315311226718</v>
      </c>
      <c r="T227" s="1728">
        <f t="shared" si="464"/>
        <v>242.75059064041125</v>
      </c>
      <c r="U227" s="1728">
        <f t="shared" si="464"/>
        <v>241.07093698049212</v>
      </c>
      <c r="V227" s="1728">
        <f t="shared" si="464"/>
        <v>239.2829185683201</v>
      </c>
      <c r="W227" s="1728">
        <f t="shared" si="464"/>
        <v>237.49490015614813</v>
      </c>
      <c r="X227" s="1728">
        <f t="shared" si="464"/>
        <v>235.70688174397611</v>
      </c>
      <c r="Y227" s="1728">
        <f t="shared" si="464"/>
        <v>233.91886333180415</v>
      </c>
      <c r="Z227" s="1728">
        <f t="shared" si="464"/>
        <v>232.15793610769538</v>
      </c>
      <c r="AA227" s="1728">
        <f t="shared" si="464"/>
        <v>230.36991769552336</v>
      </c>
      <c r="AB227" s="1728">
        <f t="shared" si="464"/>
        <v>228.58189928335139</v>
      </c>
      <c r="AC227" s="1728">
        <f t="shared" si="464"/>
        <v>226.79388087117937</v>
      </c>
      <c r="AD227" s="1728">
        <f t="shared" si="464"/>
        <v>225.0058624590074</v>
      </c>
      <c r="AE227" s="1728">
        <f t="shared" si="464"/>
        <v>223.21784404683538</v>
      </c>
      <c r="AF227" s="1728">
        <f t="shared" si="464"/>
        <v>221.42982563466339</v>
      </c>
      <c r="AG227" s="1728">
        <f t="shared" si="464"/>
        <v>219.64180722249139</v>
      </c>
      <c r="AH227" s="1728">
        <f t="shared" si="464"/>
        <v>217.8537888103194</v>
      </c>
      <c r="AI227" s="1728">
        <f t="shared" si="464"/>
        <v>216.06577039814744</v>
      </c>
    </row>
    <row r="228" spans="2:35" x14ac:dyDescent="0.35">
      <c r="B228" s="78" t="s">
        <v>283</v>
      </c>
      <c r="C228" s="78"/>
      <c r="D228" s="78"/>
      <c r="E228" s="78"/>
      <c r="F228" s="1728">
        <f t="shared" ref="F228:AI228" si="465">F68*$I$15</f>
        <v>29.651740533779208</v>
      </c>
      <c r="G228" s="1728">
        <f t="shared" si="465"/>
        <v>29.572615441312553</v>
      </c>
      <c r="H228" s="1728">
        <f t="shared" si="465"/>
        <v>29.493490348845892</v>
      </c>
      <c r="I228" s="1728">
        <f t="shared" si="465"/>
        <v>29.414365256379238</v>
      </c>
      <c r="J228" s="1728">
        <f t="shared" si="465"/>
        <v>29.33524016391258</v>
      </c>
      <c r="K228" s="1728">
        <f t="shared" si="465"/>
        <v>29.253012126643309</v>
      </c>
      <c r="L228" s="1728">
        <f t="shared" si="465"/>
        <v>29.11493108292699</v>
      </c>
      <c r="M228" s="1728">
        <f t="shared" si="465"/>
        <v>28.976850039210667</v>
      </c>
      <c r="N228" s="1728">
        <f t="shared" si="465"/>
        <v>28.838768995494345</v>
      </c>
      <c r="O228" s="1728">
        <f t="shared" si="465"/>
        <v>28.700687951778022</v>
      </c>
      <c r="P228" s="1728">
        <f t="shared" si="465"/>
        <v>28.561055435660393</v>
      </c>
      <c r="Q228" s="1728">
        <f t="shared" si="465"/>
        <v>28.371775802700942</v>
      </c>
      <c r="R228" s="1728">
        <f t="shared" si="465"/>
        <v>28.182496169741487</v>
      </c>
      <c r="S228" s="1728">
        <f t="shared" si="465"/>
        <v>27.993216536782032</v>
      </c>
      <c r="T228" s="1728">
        <f t="shared" si="465"/>
        <v>27.803936903822581</v>
      </c>
      <c r="U228" s="1728">
        <f t="shared" si="465"/>
        <v>27.611554326060517</v>
      </c>
      <c r="V228" s="1728">
        <f t="shared" si="465"/>
        <v>27.40675996908799</v>
      </c>
      <c r="W228" s="1728">
        <f t="shared" si="465"/>
        <v>27.201965612115469</v>
      </c>
      <c r="X228" s="1728">
        <f t="shared" si="465"/>
        <v>26.997171255142945</v>
      </c>
      <c r="Y228" s="1728">
        <f t="shared" si="465"/>
        <v>26.792376898170424</v>
      </c>
      <c r="Z228" s="1728">
        <f t="shared" si="465"/>
        <v>26.590685486000517</v>
      </c>
      <c r="AA228" s="1728">
        <f t="shared" si="465"/>
        <v>26.385891129027993</v>
      </c>
      <c r="AB228" s="1728">
        <f t="shared" si="465"/>
        <v>26.181096772055472</v>
      </c>
      <c r="AC228" s="1728">
        <f t="shared" si="465"/>
        <v>25.976302415082944</v>
      </c>
      <c r="AD228" s="1728">
        <f t="shared" si="465"/>
        <v>25.771508058110424</v>
      </c>
      <c r="AE228" s="1728">
        <f t="shared" si="465"/>
        <v>25.5667137011379</v>
      </c>
      <c r="AF228" s="1728">
        <f t="shared" si="465"/>
        <v>25.361919344165376</v>
      </c>
      <c r="AG228" s="1728">
        <f t="shared" si="465"/>
        <v>25.157124987192855</v>
      </c>
      <c r="AH228" s="1728">
        <f t="shared" si="465"/>
        <v>24.952330630220331</v>
      </c>
      <c r="AI228" s="1728">
        <f t="shared" si="465"/>
        <v>24.74753627324781</v>
      </c>
    </row>
    <row r="229" spans="2:35" x14ac:dyDescent="0.35">
      <c r="B229" s="78" t="s">
        <v>12</v>
      </c>
      <c r="C229" s="78"/>
      <c r="D229" s="78"/>
      <c r="E229" s="78"/>
      <c r="F229" s="1728">
        <f t="shared" ref="F229:AI229" si="466">F68*$I$16</f>
        <v>568.17271370578965</v>
      </c>
      <c r="G229" s="1728">
        <f t="shared" si="466"/>
        <v>566.6565558782994</v>
      </c>
      <c r="H229" s="1728">
        <f t="shared" si="466"/>
        <v>565.14039805080904</v>
      </c>
      <c r="I229" s="1728">
        <f t="shared" si="466"/>
        <v>563.62424022331868</v>
      </c>
      <c r="J229" s="1728">
        <f t="shared" si="466"/>
        <v>562.10808239582832</v>
      </c>
      <c r="K229" s="1728">
        <f t="shared" si="466"/>
        <v>560.53246739863243</v>
      </c>
      <c r="L229" s="1728">
        <f t="shared" si="466"/>
        <v>557.88662334673757</v>
      </c>
      <c r="M229" s="1728">
        <f t="shared" si="466"/>
        <v>555.2407792948427</v>
      </c>
      <c r="N229" s="1728">
        <f t="shared" si="466"/>
        <v>552.59493524294783</v>
      </c>
      <c r="O229" s="1728">
        <f t="shared" si="466"/>
        <v>549.94909119105296</v>
      </c>
      <c r="P229" s="1728">
        <f t="shared" si="466"/>
        <v>547.27351855430527</v>
      </c>
      <c r="Q229" s="1728">
        <f t="shared" si="466"/>
        <v>543.64663120226953</v>
      </c>
      <c r="R229" s="1728">
        <f t="shared" si="466"/>
        <v>540.01974385023379</v>
      </c>
      <c r="S229" s="1728">
        <f t="shared" si="466"/>
        <v>536.39285649819817</v>
      </c>
      <c r="T229" s="1728">
        <f t="shared" si="466"/>
        <v>532.76596914616243</v>
      </c>
      <c r="U229" s="1728">
        <f t="shared" si="466"/>
        <v>529.07962462442129</v>
      </c>
      <c r="V229" s="1728">
        <f t="shared" si="466"/>
        <v>525.15545142385804</v>
      </c>
      <c r="W229" s="1728">
        <f t="shared" si="466"/>
        <v>521.23127822329479</v>
      </c>
      <c r="X229" s="1728">
        <f t="shared" si="466"/>
        <v>517.30710502273155</v>
      </c>
      <c r="Y229" s="1728">
        <f t="shared" si="466"/>
        <v>513.38293182216842</v>
      </c>
      <c r="Z229" s="1728">
        <f t="shared" si="466"/>
        <v>509.51821579131069</v>
      </c>
      <c r="AA229" s="1728">
        <f t="shared" si="466"/>
        <v>505.59404259074745</v>
      </c>
      <c r="AB229" s="1728">
        <f t="shared" si="466"/>
        <v>501.66986939018426</v>
      </c>
      <c r="AC229" s="1728">
        <f t="shared" si="466"/>
        <v>497.74569618962101</v>
      </c>
      <c r="AD229" s="1728">
        <f t="shared" si="466"/>
        <v>493.82152298905783</v>
      </c>
      <c r="AE229" s="1728">
        <f t="shared" si="466"/>
        <v>489.89734978849458</v>
      </c>
      <c r="AF229" s="1728">
        <f t="shared" si="466"/>
        <v>485.97317658793128</v>
      </c>
      <c r="AG229" s="1728">
        <f t="shared" si="466"/>
        <v>482.04900338736815</v>
      </c>
      <c r="AH229" s="1728">
        <f t="shared" si="466"/>
        <v>478.1248301868049</v>
      </c>
      <c r="AI229" s="1728">
        <f t="shared" si="466"/>
        <v>474.20065698624171</v>
      </c>
    </row>
    <row r="230" spans="2:35" x14ac:dyDescent="0.35">
      <c r="B230" s="78" t="s">
        <v>13</v>
      </c>
      <c r="C230" s="78"/>
      <c r="D230" s="78"/>
      <c r="E230" s="78"/>
      <c r="F230" s="1728">
        <f t="shared" ref="F230:AI230" si="467">F68*$I$17</f>
        <v>29.211487712599236</v>
      </c>
      <c r="G230" s="1728">
        <f t="shared" si="467"/>
        <v>29.133537426216726</v>
      </c>
      <c r="H230" s="1728">
        <f t="shared" si="467"/>
        <v>29.055587139834209</v>
      </c>
      <c r="I230" s="1728">
        <f t="shared" si="467"/>
        <v>28.977636853451699</v>
      </c>
      <c r="J230" s="1728">
        <f t="shared" si="467"/>
        <v>28.899686567069185</v>
      </c>
      <c r="K230" s="1728">
        <f t="shared" si="467"/>
        <v>28.818679406710892</v>
      </c>
      <c r="L230" s="1728">
        <f t="shared" si="467"/>
        <v>28.682648514788472</v>
      </c>
      <c r="M230" s="1728">
        <f t="shared" si="467"/>
        <v>28.546617622866052</v>
      </c>
      <c r="N230" s="1728">
        <f t="shared" si="467"/>
        <v>28.410586730943624</v>
      </c>
      <c r="O230" s="1728">
        <f t="shared" si="467"/>
        <v>28.274555839021204</v>
      </c>
      <c r="P230" s="1728">
        <f t="shared" si="467"/>
        <v>28.136996510110887</v>
      </c>
      <c r="Q230" s="1728">
        <f t="shared" si="467"/>
        <v>27.95052719758802</v>
      </c>
      <c r="R230" s="1728">
        <f t="shared" si="467"/>
        <v>27.764057885065146</v>
      </c>
      <c r="S230" s="1728">
        <f t="shared" si="467"/>
        <v>27.577588572542275</v>
      </c>
      <c r="T230" s="1728">
        <f t="shared" si="467"/>
        <v>27.391119260019405</v>
      </c>
      <c r="U230" s="1728">
        <f t="shared" si="467"/>
        <v>27.201593073520751</v>
      </c>
      <c r="V230" s="1728">
        <f t="shared" si="467"/>
        <v>26.999839391118954</v>
      </c>
      <c r="W230" s="1728">
        <f t="shared" si="467"/>
        <v>26.798085708717164</v>
      </c>
      <c r="X230" s="1728">
        <f t="shared" si="467"/>
        <v>26.596332026315366</v>
      </c>
      <c r="Y230" s="1728">
        <f t="shared" si="467"/>
        <v>26.394578343913572</v>
      </c>
      <c r="Z230" s="1728">
        <f t="shared" si="467"/>
        <v>26.195881535487562</v>
      </c>
      <c r="AA230" s="1728">
        <f t="shared" si="467"/>
        <v>25.994127853085768</v>
      </c>
      <c r="AB230" s="1728">
        <f t="shared" si="467"/>
        <v>25.792374170683974</v>
      </c>
      <c r="AC230" s="1728">
        <f t="shared" si="467"/>
        <v>25.590620488282177</v>
      </c>
      <c r="AD230" s="1728">
        <f t="shared" si="467"/>
        <v>25.388866805880387</v>
      </c>
      <c r="AE230" s="1728">
        <f t="shared" si="467"/>
        <v>25.187113123478589</v>
      </c>
      <c r="AF230" s="1728">
        <f t="shared" si="467"/>
        <v>24.985359441076792</v>
      </c>
      <c r="AG230" s="1728">
        <f t="shared" si="467"/>
        <v>24.783605758674998</v>
      </c>
      <c r="AH230" s="1728">
        <f t="shared" si="467"/>
        <v>24.581852076273204</v>
      </c>
      <c r="AI230" s="1728">
        <f t="shared" si="467"/>
        <v>24.38009839387141</v>
      </c>
    </row>
    <row r="231" spans="2:35" x14ac:dyDescent="0.35">
      <c r="B231" s="78" t="s">
        <v>14</v>
      </c>
      <c r="C231" s="78"/>
      <c r="D231" s="78"/>
      <c r="E231" s="78"/>
      <c r="F231" s="1728">
        <f t="shared" ref="F231:AI231" si="468">F68*$I$18</f>
        <v>213.46652499960223</v>
      </c>
      <c r="G231" s="1728">
        <f t="shared" si="468"/>
        <v>212.89689373259827</v>
      </c>
      <c r="H231" s="1728">
        <f t="shared" si="468"/>
        <v>212.32726246559429</v>
      </c>
      <c r="I231" s="1728">
        <f t="shared" si="468"/>
        <v>211.75763119859033</v>
      </c>
      <c r="J231" s="1728">
        <f t="shared" si="468"/>
        <v>211.18799993158638</v>
      </c>
      <c r="K231" s="1728">
        <f t="shared" si="468"/>
        <v>210.59603018352342</v>
      </c>
      <c r="L231" s="1728">
        <f t="shared" si="468"/>
        <v>209.60196777639888</v>
      </c>
      <c r="M231" s="1728">
        <f t="shared" si="468"/>
        <v>208.60790536927433</v>
      </c>
      <c r="N231" s="1728">
        <f t="shared" si="468"/>
        <v>207.61384296214976</v>
      </c>
      <c r="O231" s="1728">
        <f t="shared" si="468"/>
        <v>206.61978055502522</v>
      </c>
      <c r="P231" s="1728">
        <f t="shared" si="468"/>
        <v>205.61454890737113</v>
      </c>
      <c r="Q231" s="1728">
        <f t="shared" si="468"/>
        <v>204.25190156277344</v>
      </c>
      <c r="R231" s="1728">
        <f t="shared" si="468"/>
        <v>202.88925421817572</v>
      </c>
      <c r="S231" s="1728">
        <f t="shared" si="468"/>
        <v>201.526606873578</v>
      </c>
      <c r="T231" s="1728">
        <f t="shared" si="468"/>
        <v>200.16395952898029</v>
      </c>
      <c r="U231" s="1728">
        <f t="shared" si="468"/>
        <v>198.7789737033236</v>
      </c>
      <c r="V231" s="1728">
        <f t="shared" si="468"/>
        <v>197.30463395343099</v>
      </c>
      <c r="W231" s="1728">
        <f t="shared" si="468"/>
        <v>195.83029420353841</v>
      </c>
      <c r="X231" s="1728">
        <f t="shared" si="468"/>
        <v>194.35595445364578</v>
      </c>
      <c r="Y231" s="1728">
        <f t="shared" si="468"/>
        <v>192.8816147037532</v>
      </c>
      <c r="Z231" s="1728">
        <f t="shared" si="468"/>
        <v>191.42961343491956</v>
      </c>
      <c r="AA231" s="1728">
        <f t="shared" si="468"/>
        <v>189.95527368502695</v>
      </c>
      <c r="AB231" s="1728">
        <f t="shared" si="468"/>
        <v>188.48093393513435</v>
      </c>
      <c r="AC231" s="1728">
        <f t="shared" si="468"/>
        <v>187.00659418524174</v>
      </c>
      <c r="AD231" s="1728">
        <f t="shared" si="468"/>
        <v>185.53225443534913</v>
      </c>
      <c r="AE231" s="1728">
        <f t="shared" si="468"/>
        <v>184.05791468545652</v>
      </c>
      <c r="AF231" s="1728">
        <f t="shared" si="468"/>
        <v>182.58357493556389</v>
      </c>
      <c r="AG231" s="1728">
        <f t="shared" si="468"/>
        <v>181.10923518567131</v>
      </c>
      <c r="AH231" s="1728">
        <f t="shared" si="468"/>
        <v>179.63489543577867</v>
      </c>
      <c r="AI231" s="1728">
        <f t="shared" si="468"/>
        <v>178.1605556858861</v>
      </c>
    </row>
    <row r="232" spans="2:35" x14ac:dyDescent="0.35">
      <c r="B232" s="728" t="s">
        <v>200</v>
      </c>
      <c r="C232" s="728"/>
      <c r="D232" s="728"/>
      <c r="E232" s="728"/>
      <c r="F232" s="1729">
        <f>SUM(F221:F231)</f>
        <v>6772.7178861788634</v>
      </c>
      <c r="G232" s="1729">
        <f t="shared" ref="G232" si="469">SUM(G221:G231)</f>
        <v>6754.6450203252034</v>
      </c>
      <c r="H232" s="1729">
        <f t="shared" ref="H232" si="470">SUM(H221:H231)</f>
        <v>6736.5721544715461</v>
      </c>
      <c r="I232" s="1729">
        <f t="shared" ref="I232" si="471">SUM(I221:I231)</f>
        <v>6718.4992886178852</v>
      </c>
      <c r="J232" s="1729">
        <f t="shared" ref="J232" si="472">SUM(J221:J231)</f>
        <v>6700.426422764227</v>
      </c>
      <c r="K232" s="1729">
        <f t="shared" ref="K232" si="473">SUM(K221:K231)</f>
        <v>6681.6448170731701</v>
      </c>
      <c r="L232" s="1729">
        <f t="shared" ref="L232" si="474">SUM(L221:L231)</f>
        <v>6650.1058943089438</v>
      </c>
      <c r="M232" s="1729">
        <f t="shared" ref="M232" si="475">SUM(M221:M231)</f>
        <v>6618.5669715447175</v>
      </c>
      <c r="N232" s="1729">
        <f t="shared" ref="N232" si="476">SUM(N221:N231)</f>
        <v>6587.0280487804876</v>
      </c>
      <c r="O232" s="1729">
        <f t="shared" ref="O232" si="477">SUM(O221:O231)</f>
        <v>6555.4891260162622</v>
      </c>
      <c r="P232" s="1729">
        <f t="shared" ref="P232" si="478">SUM(P221:P231)</f>
        <v>6523.5958333333347</v>
      </c>
      <c r="Q232" s="1729">
        <f t="shared" ref="Q232" si="479">SUM(Q221:Q231)</f>
        <v>6480.3627032520317</v>
      </c>
      <c r="R232" s="1729">
        <f t="shared" ref="R232" si="480">SUM(R221:R231)</f>
        <v>6437.1295731707323</v>
      </c>
      <c r="S232" s="1729">
        <f t="shared" ref="S232" si="481">SUM(S221:S231)</f>
        <v>6393.8964430894312</v>
      </c>
      <c r="T232" s="1729">
        <f t="shared" ref="T232" si="482">SUM(T221:T231)</f>
        <v>6350.66331300813</v>
      </c>
      <c r="U232" s="1729">
        <f t="shared" ref="U232" si="483">SUM(U221:U231)</f>
        <v>6306.7214430894301</v>
      </c>
      <c r="V232" s="1729">
        <f t="shared" ref="V232" si="484">SUM(V221:V231)</f>
        <v>6259.9446138211388</v>
      </c>
      <c r="W232" s="1729">
        <f t="shared" ref="W232" si="485">SUM(W221:W231)</f>
        <v>6213.1677845528466</v>
      </c>
      <c r="X232" s="1729">
        <f t="shared" ref="X232" si="486">SUM(X221:X231)</f>
        <v>6166.3909552845535</v>
      </c>
      <c r="Y232" s="1729">
        <f t="shared" ref="Y232" si="487">SUM(Y221:Y231)</f>
        <v>6119.6141260162613</v>
      </c>
      <c r="Z232" s="1729">
        <f t="shared" ref="Z232" si="488">SUM(Z221:Z231)</f>
        <v>6073.546036585366</v>
      </c>
      <c r="AA232" s="1729">
        <f t="shared" ref="AA232" si="489">SUM(AA221:AA231)</f>
        <v>6026.7692073170747</v>
      </c>
      <c r="AB232" s="1729">
        <f t="shared" ref="AB232" si="490">SUM(AB221:AB231)</f>
        <v>5979.9923780487807</v>
      </c>
      <c r="AC232" s="1729">
        <f t="shared" ref="AC232" si="491">SUM(AC221:AC231)</f>
        <v>5933.2155487804885</v>
      </c>
      <c r="AD232" s="1729">
        <f t="shared" ref="AD232" si="492">SUM(AD221:AD231)</f>
        <v>5886.4387195121963</v>
      </c>
      <c r="AE232" s="1729">
        <f t="shared" ref="AE232" si="493">SUM(AE221:AE231)</f>
        <v>5839.6618902439022</v>
      </c>
      <c r="AF232" s="1729">
        <f t="shared" ref="AF232" si="494">SUM(AF221:AF231)</f>
        <v>5792.8850609756109</v>
      </c>
      <c r="AG232" s="1729">
        <f t="shared" ref="AG232" si="495">SUM(AG221:AG231)</f>
        <v>5746.1082317073178</v>
      </c>
      <c r="AH232" s="1729">
        <f t="shared" ref="AH232" si="496">SUM(AH221:AH231)</f>
        <v>5699.3314024390238</v>
      </c>
      <c r="AI232" s="1729">
        <f t="shared" ref="AI232" si="497">SUM(AI221:AI231)</f>
        <v>5652.5545731707325</v>
      </c>
    </row>
    <row r="233" spans="2:35" x14ac:dyDescent="0.35">
      <c r="E233" s="281" t="s">
        <v>332</v>
      </c>
      <c r="F233" s="1725">
        <f t="shared" ref="F233:AI233" si="498">F232-F68</f>
        <v>0</v>
      </c>
      <c r="G233" s="1725">
        <f t="shared" si="498"/>
        <v>0</v>
      </c>
      <c r="H233" s="1725">
        <f t="shared" si="498"/>
        <v>0</v>
      </c>
      <c r="I233" s="1725">
        <f t="shared" si="498"/>
        <v>0</v>
      </c>
      <c r="J233" s="1725">
        <f t="shared" si="498"/>
        <v>0</v>
      </c>
      <c r="K233" s="1725">
        <f t="shared" si="498"/>
        <v>0</v>
      </c>
      <c r="L233" s="1725">
        <f t="shared" si="498"/>
        <v>0</v>
      </c>
      <c r="M233" s="1725">
        <f t="shared" si="498"/>
        <v>0</v>
      </c>
      <c r="N233" s="1725">
        <f t="shared" si="498"/>
        <v>0</v>
      </c>
      <c r="O233" s="1725">
        <f t="shared" si="498"/>
        <v>0</v>
      </c>
      <c r="P233" s="1725">
        <f t="shared" si="498"/>
        <v>0</v>
      </c>
      <c r="Q233" s="1725">
        <f t="shared" si="498"/>
        <v>0</v>
      </c>
      <c r="R233" s="1725">
        <f t="shared" si="498"/>
        <v>0</v>
      </c>
      <c r="S233" s="1725">
        <f t="shared" si="498"/>
        <v>0</v>
      </c>
      <c r="T233" s="1725">
        <f t="shared" si="498"/>
        <v>0</v>
      </c>
      <c r="U233" s="1725">
        <f t="shared" si="498"/>
        <v>0</v>
      </c>
      <c r="V233" s="1725">
        <f t="shared" si="498"/>
        <v>0</v>
      </c>
      <c r="W233" s="1725">
        <f t="shared" si="498"/>
        <v>0</v>
      </c>
      <c r="X233" s="1725">
        <f t="shared" si="498"/>
        <v>0</v>
      </c>
      <c r="Y233" s="1725">
        <f t="shared" si="498"/>
        <v>0</v>
      </c>
      <c r="Z233" s="1725">
        <f t="shared" si="498"/>
        <v>0</v>
      </c>
      <c r="AA233" s="1725">
        <f t="shared" si="498"/>
        <v>0</v>
      </c>
      <c r="AB233" s="1725">
        <f t="shared" si="498"/>
        <v>0</v>
      </c>
      <c r="AC233" s="1725">
        <f t="shared" si="498"/>
        <v>0</v>
      </c>
      <c r="AD233" s="1725">
        <f t="shared" si="498"/>
        <v>0</v>
      </c>
      <c r="AE233" s="1725">
        <f t="shared" si="498"/>
        <v>0</v>
      </c>
      <c r="AF233" s="1725">
        <f t="shared" si="498"/>
        <v>0</v>
      </c>
      <c r="AG233" s="1725">
        <f t="shared" si="498"/>
        <v>0</v>
      </c>
      <c r="AH233" s="1725">
        <f t="shared" si="498"/>
        <v>0</v>
      </c>
      <c r="AI233" s="1725">
        <f t="shared" si="498"/>
        <v>0</v>
      </c>
    </row>
    <row r="234" spans="2:35" ht="15.5" x14ac:dyDescent="0.35">
      <c r="B234" s="86" t="s">
        <v>8</v>
      </c>
    </row>
    <row r="235" spans="2:35" x14ac:dyDescent="0.35">
      <c r="B235" s="780" t="s">
        <v>273</v>
      </c>
      <c r="C235" s="780"/>
      <c r="D235" s="780"/>
      <c r="E235" s="780"/>
      <c r="F235" s="1727">
        <v>1</v>
      </c>
      <c r="G235" s="1727">
        <f>F235+1</f>
        <v>2</v>
      </c>
      <c r="H235" s="1727">
        <f t="shared" ref="H235" si="499">G235+1</f>
        <v>3</v>
      </c>
      <c r="I235" s="1727">
        <f t="shared" ref="I235" si="500">H235+1</f>
        <v>4</v>
      </c>
      <c r="J235" s="1727">
        <f t="shared" ref="J235" si="501">I235+1</f>
        <v>5</v>
      </c>
      <c r="K235" s="1727">
        <f t="shared" ref="K235" si="502">J235+1</f>
        <v>6</v>
      </c>
      <c r="L235" s="1727">
        <f t="shared" ref="L235" si="503">K235+1</f>
        <v>7</v>
      </c>
      <c r="M235" s="1727">
        <f t="shared" ref="M235" si="504">L235+1</f>
        <v>8</v>
      </c>
      <c r="N235" s="1727">
        <f t="shared" ref="N235" si="505">M235+1</f>
        <v>9</v>
      </c>
      <c r="O235" s="1727">
        <f t="shared" ref="O235" si="506">N235+1</f>
        <v>10</v>
      </c>
      <c r="P235" s="1727">
        <f t="shared" ref="P235" si="507">O235+1</f>
        <v>11</v>
      </c>
      <c r="Q235" s="1727">
        <f t="shared" ref="Q235" si="508">P235+1</f>
        <v>12</v>
      </c>
      <c r="R235" s="1727">
        <f t="shared" ref="R235" si="509">Q235+1</f>
        <v>13</v>
      </c>
      <c r="S235" s="1727">
        <f t="shared" ref="S235" si="510">R235+1</f>
        <v>14</v>
      </c>
      <c r="T235" s="1727">
        <f t="shared" ref="T235" si="511">S235+1</f>
        <v>15</v>
      </c>
      <c r="U235" s="1727">
        <f t="shared" ref="U235" si="512">T235+1</f>
        <v>16</v>
      </c>
      <c r="V235" s="1727">
        <f t="shared" ref="V235" si="513">U235+1</f>
        <v>17</v>
      </c>
      <c r="W235" s="1727">
        <f t="shared" ref="W235" si="514">V235+1</f>
        <v>18</v>
      </c>
      <c r="X235" s="1727">
        <f t="shared" ref="X235" si="515">W235+1</f>
        <v>19</v>
      </c>
      <c r="Y235" s="1727">
        <f t="shared" ref="Y235" si="516">X235+1</f>
        <v>20</v>
      </c>
      <c r="Z235" s="1727">
        <f t="shared" ref="Z235" si="517">Y235+1</f>
        <v>21</v>
      </c>
      <c r="AA235" s="1727">
        <f t="shared" ref="AA235" si="518">Z235+1</f>
        <v>22</v>
      </c>
      <c r="AB235" s="1727">
        <f t="shared" ref="AB235" si="519">AA235+1</f>
        <v>23</v>
      </c>
      <c r="AC235" s="1727">
        <f t="shared" ref="AC235" si="520">AB235+1</f>
        <v>24</v>
      </c>
      <c r="AD235" s="1727">
        <f t="shared" ref="AD235" si="521">AC235+1</f>
        <v>25</v>
      </c>
      <c r="AE235" s="1727">
        <f t="shared" ref="AE235" si="522">AD235+1</f>
        <v>26</v>
      </c>
      <c r="AF235" s="1727">
        <f t="shared" ref="AF235" si="523">AE235+1</f>
        <v>27</v>
      </c>
      <c r="AG235" s="1727">
        <f t="shared" ref="AG235" si="524">AF235+1</f>
        <v>28</v>
      </c>
      <c r="AH235" s="1727">
        <f t="shared" ref="AH235" si="525">AG235+1</f>
        <v>29</v>
      </c>
      <c r="AI235" s="1727">
        <f t="shared" ref="AI235" si="526">AH235+1</f>
        <v>30</v>
      </c>
    </row>
    <row r="236" spans="2:35" x14ac:dyDescent="0.35">
      <c r="B236" s="78" t="s">
        <v>276</v>
      </c>
      <c r="C236" s="78"/>
      <c r="D236" s="78"/>
      <c r="E236" s="78"/>
      <c r="F236" s="1728">
        <f t="shared" ref="F236:AI236" si="527">F69*$J$8</f>
        <v>1590.2516604627874</v>
      </c>
      <c r="G236" s="1728">
        <f t="shared" si="527"/>
        <v>1604.0414567807848</v>
      </c>
      <c r="H236" s="1728">
        <f t="shared" si="527"/>
        <v>1617.8312530987821</v>
      </c>
      <c r="I236" s="1728">
        <f t="shared" si="527"/>
        <v>1631.6210494167797</v>
      </c>
      <c r="J236" s="1728">
        <f t="shared" si="527"/>
        <v>1645.410845734777</v>
      </c>
      <c r="K236" s="1728">
        <f t="shared" si="527"/>
        <v>1658.9948241972816</v>
      </c>
      <c r="L236" s="1728">
        <f t="shared" si="527"/>
        <v>1669.9031705383841</v>
      </c>
      <c r="M236" s="1728">
        <f t="shared" si="527"/>
        <v>1680.8115168794866</v>
      </c>
      <c r="N236" s="1728">
        <f t="shared" si="527"/>
        <v>1691.7198632205891</v>
      </c>
      <c r="O236" s="1728">
        <f t="shared" si="527"/>
        <v>1702.6282095616912</v>
      </c>
      <c r="P236" s="1728">
        <f t="shared" si="527"/>
        <v>1713.6394648305402</v>
      </c>
      <c r="Q236" s="1728">
        <f t="shared" si="527"/>
        <v>1722.3867236889714</v>
      </c>
      <c r="R236" s="1728">
        <f t="shared" si="527"/>
        <v>1731.1339825474024</v>
      </c>
      <c r="S236" s="1728">
        <f t="shared" si="527"/>
        <v>1739.8812414058336</v>
      </c>
      <c r="T236" s="1728">
        <f t="shared" si="527"/>
        <v>1748.6285002642649</v>
      </c>
      <c r="U236" s="1728">
        <f t="shared" si="527"/>
        <v>1757.4786680504421</v>
      </c>
      <c r="V236" s="1728">
        <f t="shared" si="527"/>
        <v>1763.1386590764857</v>
      </c>
      <c r="W236" s="1728">
        <f t="shared" si="527"/>
        <v>1768.7986501025296</v>
      </c>
      <c r="X236" s="1728">
        <f t="shared" si="527"/>
        <v>1774.4586411285732</v>
      </c>
      <c r="Y236" s="1728">
        <f t="shared" si="527"/>
        <v>1780.1186321546168</v>
      </c>
      <c r="Z236" s="1728">
        <f t="shared" si="527"/>
        <v>1785.8815321084069</v>
      </c>
      <c r="AA236" s="1728">
        <f t="shared" si="527"/>
        <v>1791.5415231344505</v>
      </c>
      <c r="AB236" s="1728">
        <f t="shared" si="527"/>
        <v>1797.2015141604943</v>
      </c>
      <c r="AC236" s="1728">
        <f t="shared" si="527"/>
        <v>1802.8615051865379</v>
      </c>
      <c r="AD236" s="1728">
        <f t="shared" si="527"/>
        <v>1808.5214962125815</v>
      </c>
      <c r="AE236" s="1728">
        <f t="shared" si="527"/>
        <v>1814.1814872386256</v>
      </c>
      <c r="AF236" s="1728">
        <f t="shared" si="527"/>
        <v>1819.8414782646691</v>
      </c>
      <c r="AG236" s="1728">
        <f t="shared" si="527"/>
        <v>1825.5014692907127</v>
      </c>
      <c r="AH236" s="1728">
        <f t="shared" si="527"/>
        <v>1831.1614603167566</v>
      </c>
      <c r="AI236" s="1728">
        <f t="shared" si="527"/>
        <v>1836.8214513428002</v>
      </c>
    </row>
    <row r="237" spans="2:35" x14ac:dyDescent="0.35">
      <c r="B237" s="78" t="s">
        <v>277</v>
      </c>
      <c r="C237" s="78"/>
      <c r="D237" s="78"/>
      <c r="E237" s="78"/>
      <c r="F237" s="1728">
        <f t="shared" ref="F237:AI237" si="528">F69*$J$9</f>
        <v>178.65160769417329</v>
      </c>
      <c r="G237" s="1728">
        <f t="shared" si="528"/>
        <v>180.20077713900727</v>
      </c>
      <c r="H237" s="1728">
        <f t="shared" si="528"/>
        <v>181.74994658384122</v>
      </c>
      <c r="I237" s="1728">
        <f t="shared" si="528"/>
        <v>183.29911602867517</v>
      </c>
      <c r="J237" s="1728">
        <f t="shared" si="528"/>
        <v>184.84828547350915</v>
      </c>
      <c r="K237" s="1728">
        <f t="shared" si="528"/>
        <v>186.37433298633064</v>
      </c>
      <c r="L237" s="1728">
        <f t="shared" si="528"/>
        <v>187.59979538299035</v>
      </c>
      <c r="M237" s="1728">
        <f t="shared" si="528"/>
        <v>188.82525777965006</v>
      </c>
      <c r="N237" s="1728">
        <f t="shared" si="528"/>
        <v>190.05072017630977</v>
      </c>
      <c r="O237" s="1728">
        <f t="shared" si="528"/>
        <v>191.27618257296945</v>
      </c>
      <c r="P237" s="1728">
        <f t="shared" si="528"/>
        <v>192.5132059356354</v>
      </c>
      <c r="Q237" s="1728">
        <f t="shared" si="528"/>
        <v>193.4958880461644</v>
      </c>
      <c r="R237" s="1728">
        <f t="shared" si="528"/>
        <v>194.47857015669342</v>
      </c>
      <c r="S237" s="1728">
        <f t="shared" si="528"/>
        <v>195.46125226722242</v>
      </c>
      <c r="T237" s="1728">
        <f t="shared" si="528"/>
        <v>196.44393437775142</v>
      </c>
      <c r="U237" s="1728">
        <f t="shared" si="528"/>
        <v>197.43817745428663</v>
      </c>
      <c r="V237" s="1728">
        <f t="shared" si="528"/>
        <v>198.07403058462893</v>
      </c>
      <c r="W237" s="1728">
        <f t="shared" si="528"/>
        <v>198.70988371497126</v>
      </c>
      <c r="X237" s="1728">
        <f t="shared" si="528"/>
        <v>199.34573684531352</v>
      </c>
      <c r="Y237" s="1728">
        <f t="shared" si="528"/>
        <v>199.98158997565582</v>
      </c>
      <c r="Z237" s="1728">
        <f t="shared" si="528"/>
        <v>200.62900407200436</v>
      </c>
      <c r="AA237" s="1728">
        <f t="shared" si="528"/>
        <v>201.26485720234663</v>
      </c>
      <c r="AB237" s="1728">
        <f t="shared" si="528"/>
        <v>201.90071033268896</v>
      </c>
      <c r="AC237" s="1728">
        <f t="shared" si="528"/>
        <v>202.53656346303126</v>
      </c>
      <c r="AD237" s="1728">
        <f t="shared" si="528"/>
        <v>203.17241659337353</v>
      </c>
      <c r="AE237" s="1728">
        <f t="shared" si="528"/>
        <v>203.80826972371585</v>
      </c>
      <c r="AF237" s="1728">
        <f t="shared" si="528"/>
        <v>204.44412285405815</v>
      </c>
      <c r="AG237" s="1728">
        <f t="shared" si="528"/>
        <v>205.07997598440042</v>
      </c>
      <c r="AH237" s="1728">
        <f t="shared" si="528"/>
        <v>205.71582911474275</v>
      </c>
      <c r="AI237" s="1728">
        <f t="shared" si="528"/>
        <v>206.35168224508504</v>
      </c>
    </row>
    <row r="238" spans="2:35" x14ac:dyDescent="0.35">
      <c r="B238" s="78" t="s">
        <v>278</v>
      </c>
      <c r="C238" s="78"/>
      <c r="D238" s="78"/>
      <c r="E238" s="78"/>
      <c r="F238" s="1728">
        <f t="shared" ref="F238:AI238" si="529">F69*$J$10</f>
        <v>780.91503398527595</v>
      </c>
      <c r="G238" s="1728">
        <f t="shared" si="529"/>
        <v>787.6867038587003</v>
      </c>
      <c r="H238" s="1728">
        <f t="shared" si="529"/>
        <v>794.45837373212476</v>
      </c>
      <c r="I238" s="1728">
        <f t="shared" si="529"/>
        <v>801.2300436055491</v>
      </c>
      <c r="J238" s="1728">
        <f t="shared" si="529"/>
        <v>808.00171347897344</v>
      </c>
      <c r="K238" s="1728">
        <f t="shared" si="529"/>
        <v>814.6723136527944</v>
      </c>
      <c r="L238" s="1728">
        <f t="shared" si="529"/>
        <v>820.02900773177191</v>
      </c>
      <c r="M238" s="1728">
        <f t="shared" si="529"/>
        <v>825.38570181074942</v>
      </c>
      <c r="N238" s="1728">
        <f t="shared" si="529"/>
        <v>830.74239588972694</v>
      </c>
      <c r="O238" s="1728">
        <f t="shared" si="529"/>
        <v>836.09908996870433</v>
      </c>
      <c r="P238" s="1728">
        <f t="shared" si="529"/>
        <v>841.50631889748365</v>
      </c>
      <c r="Q238" s="1728">
        <f t="shared" si="529"/>
        <v>845.80178113062595</v>
      </c>
      <c r="R238" s="1728">
        <f t="shared" si="529"/>
        <v>850.09724336376837</v>
      </c>
      <c r="S238" s="1728">
        <f t="shared" si="529"/>
        <v>854.39270559691067</v>
      </c>
      <c r="T238" s="1728">
        <f t="shared" si="529"/>
        <v>858.68816783005298</v>
      </c>
      <c r="U238" s="1728">
        <f t="shared" si="529"/>
        <v>863.03416491299697</v>
      </c>
      <c r="V238" s="1728">
        <f t="shared" si="529"/>
        <v>865.81358165208894</v>
      </c>
      <c r="W238" s="1728">
        <f t="shared" si="529"/>
        <v>868.59299839118114</v>
      </c>
      <c r="X238" s="1728">
        <f t="shared" si="529"/>
        <v>871.37241513027323</v>
      </c>
      <c r="Y238" s="1728">
        <f t="shared" si="529"/>
        <v>874.15183186936531</v>
      </c>
      <c r="Z238" s="1728">
        <f t="shared" si="529"/>
        <v>876.98178345825909</v>
      </c>
      <c r="AA238" s="1728">
        <f t="shared" si="529"/>
        <v>879.76120019735117</v>
      </c>
      <c r="AB238" s="1728">
        <f t="shared" si="529"/>
        <v>882.54061693644337</v>
      </c>
      <c r="AC238" s="1728">
        <f t="shared" si="529"/>
        <v>885.32003367553534</v>
      </c>
      <c r="AD238" s="1728">
        <f t="shared" si="529"/>
        <v>888.09945041462743</v>
      </c>
      <c r="AE238" s="1728">
        <f t="shared" si="529"/>
        <v>890.87886715371963</v>
      </c>
      <c r="AF238" s="1728">
        <f t="shared" si="529"/>
        <v>893.65828389281171</v>
      </c>
      <c r="AG238" s="1728">
        <f t="shared" si="529"/>
        <v>896.43770063190368</v>
      </c>
      <c r="AH238" s="1728">
        <f t="shared" si="529"/>
        <v>899.21711737099588</v>
      </c>
      <c r="AI238" s="1728">
        <f t="shared" si="529"/>
        <v>901.99653411008796</v>
      </c>
    </row>
    <row r="239" spans="2:35" x14ac:dyDescent="0.35">
      <c r="B239" s="78" t="s">
        <v>279</v>
      </c>
      <c r="C239" s="78"/>
      <c r="D239" s="78"/>
      <c r="E239" s="78"/>
      <c r="F239" s="1728">
        <f t="shared" ref="F239:AI239" si="530">F69*$J$11</f>
        <v>897.97420886837472</v>
      </c>
      <c r="G239" s="1728">
        <f t="shared" si="530"/>
        <v>905.76095215371492</v>
      </c>
      <c r="H239" s="1728">
        <f t="shared" si="530"/>
        <v>913.54769543905513</v>
      </c>
      <c r="I239" s="1728">
        <f t="shared" si="530"/>
        <v>921.33443872439534</v>
      </c>
      <c r="J239" s="1728">
        <f t="shared" si="530"/>
        <v>929.12118200973555</v>
      </c>
      <c r="K239" s="1728">
        <f t="shared" si="530"/>
        <v>936.79170524604069</v>
      </c>
      <c r="L239" s="1728">
        <f t="shared" si="530"/>
        <v>942.95136784489193</v>
      </c>
      <c r="M239" s="1728">
        <f t="shared" si="530"/>
        <v>949.11103044374318</v>
      </c>
      <c r="N239" s="1728">
        <f t="shared" si="530"/>
        <v>955.27069304259442</v>
      </c>
      <c r="O239" s="1728">
        <f t="shared" si="530"/>
        <v>961.43035564144554</v>
      </c>
      <c r="P239" s="1728">
        <f t="shared" si="530"/>
        <v>967.64812826481432</v>
      </c>
      <c r="Q239" s="1728">
        <f t="shared" si="530"/>
        <v>972.58748034879875</v>
      </c>
      <c r="R239" s="1728">
        <f t="shared" si="530"/>
        <v>977.52683243278318</v>
      </c>
      <c r="S239" s="1728">
        <f t="shared" si="530"/>
        <v>982.46618451676773</v>
      </c>
      <c r="T239" s="1728">
        <f t="shared" si="530"/>
        <v>987.40553660075216</v>
      </c>
      <c r="U239" s="1728">
        <f t="shared" si="530"/>
        <v>992.40299870925401</v>
      </c>
      <c r="V239" s="1728">
        <f t="shared" si="530"/>
        <v>995.59905005771452</v>
      </c>
      <c r="W239" s="1728">
        <f t="shared" si="530"/>
        <v>998.79510140617515</v>
      </c>
      <c r="X239" s="1728">
        <f t="shared" si="530"/>
        <v>1001.9911527546356</v>
      </c>
      <c r="Y239" s="1728">
        <f t="shared" si="530"/>
        <v>1005.1872041030961</v>
      </c>
      <c r="Z239" s="1728">
        <f t="shared" si="530"/>
        <v>1008.4413654760741</v>
      </c>
      <c r="AA239" s="1728">
        <f t="shared" si="530"/>
        <v>1011.6374168245346</v>
      </c>
      <c r="AB239" s="1728">
        <f t="shared" si="530"/>
        <v>1014.8334681729953</v>
      </c>
      <c r="AC239" s="1728">
        <f t="shared" si="530"/>
        <v>1018.0295195214558</v>
      </c>
      <c r="AD239" s="1728">
        <f t="shared" si="530"/>
        <v>1021.2255708699162</v>
      </c>
      <c r="AE239" s="1728">
        <f t="shared" si="530"/>
        <v>1024.4216222183768</v>
      </c>
      <c r="AF239" s="1728">
        <f t="shared" si="530"/>
        <v>1027.6176735668373</v>
      </c>
      <c r="AG239" s="1728">
        <f t="shared" si="530"/>
        <v>1030.8137249152978</v>
      </c>
      <c r="AH239" s="1728">
        <f t="shared" si="530"/>
        <v>1034.0097762637586</v>
      </c>
      <c r="AI239" s="1728">
        <f t="shared" si="530"/>
        <v>1037.2058276122189</v>
      </c>
    </row>
    <row r="240" spans="2:35" x14ac:dyDescent="0.35">
      <c r="B240" s="78" t="s">
        <v>280</v>
      </c>
      <c r="C240" s="78"/>
      <c r="D240" s="78"/>
      <c r="E240" s="78"/>
      <c r="F240" s="1728">
        <f t="shared" ref="F240:AI240" si="531">F69*$J$12</f>
        <v>662.93551600931278</v>
      </c>
      <c r="G240" s="1728">
        <f t="shared" si="531"/>
        <v>668.68413175675653</v>
      </c>
      <c r="H240" s="1728">
        <f t="shared" si="531"/>
        <v>674.43274750420017</v>
      </c>
      <c r="I240" s="1728">
        <f t="shared" si="531"/>
        <v>680.18136325164392</v>
      </c>
      <c r="J240" s="1728">
        <f t="shared" si="531"/>
        <v>685.92997899908767</v>
      </c>
      <c r="K240" s="1728">
        <f t="shared" si="531"/>
        <v>691.59279451149484</v>
      </c>
      <c r="L240" s="1728">
        <f t="shared" si="531"/>
        <v>696.14020696842795</v>
      </c>
      <c r="M240" s="1728">
        <f t="shared" si="531"/>
        <v>700.68761942536105</v>
      </c>
      <c r="N240" s="1728">
        <f t="shared" si="531"/>
        <v>705.23503188229415</v>
      </c>
      <c r="O240" s="1728">
        <f t="shared" si="531"/>
        <v>709.78244433922725</v>
      </c>
      <c r="P240" s="1728">
        <f t="shared" si="531"/>
        <v>714.3727569136787</v>
      </c>
      <c r="Q240" s="1728">
        <f t="shared" si="531"/>
        <v>718.01926690272876</v>
      </c>
      <c r="R240" s="1728">
        <f t="shared" si="531"/>
        <v>721.66577689177893</v>
      </c>
      <c r="S240" s="1728">
        <f t="shared" si="531"/>
        <v>725.31228688082899</v>
      </c>
      <c r="T240" s="1728">
        <f t="shared" si="531"/>
        <v>728.95879686987917</v>
      </c>
      <c r="U240" s="1728">
        <f t="shared" si="531"/>
        <v>732.64820697644745</v>
      </c>
      <c r="V240" s="1728">
        <f t="shared" si="531"/>
        <v>735.00771343995041</v>
      </c>
      <c r="W240" s="1728">
        <f t="shared" si="531"/>
        <v>737.36721990345347</v>
      </c>
      <c r="X240" s="1728">
        <f t="shared" si="531"/>
        <v>739.72672636695654</v>
      </c>
      <c r="Y240" s="1728">
        <f t="shared" si="531"/>
        <v>742.08623283045949</v>
      </c>
      <c r="Z240" s="1728">
        <f t="shared" si="531"/>
        <v>744.48863941148079</v>
      </c>
      <c r="AA240" s="1728">
        <f t="shared" si="531"/>
        <v>746.84814587498374</v>
      </c>
      <c r="AB240" s="1728">
        <f t="shared" si="531"/>
        <v>749.20765233848692</v>
      </c>
      <c r="AC240" s="1728">
        <f t="shared" si="531"/>
        <v>751.56715880198988</v>
      </c>
      <c r="AD240" s="1728">
        <f t="shared" si="531"/>
        <v>753.92666526549283</v>
      </c>
      <c r="AE240" s="1728">
        <f t="shared" si="531"/>
        <v>756.2861717289959</v>
      </c>
      <c r="AF240" s="1728">
        <f t="shared" si="531"/>
        <v>758.64567819249896</v>
      </c>
      <c r="AG240" s="1728">
        <f t="shared" si="531"/>
        <v>761.00518465600192</v>
      </c>
      <c r="AH240" s="1728">
        <f t="shared" si="531"/>
        <v>763.36469111950498</v>
      </c>
      <c r="AI240" s="1728">
        <f t="shared" si="531"/>
        <v>765.72419758300805</v>
      </c>
    </row>
    <row r="241" spans="2:35" x14ac:dyDescent="0.35">
      <c r="B241" s="78" t="s">
        <v>281</v>
      </c>
      <c r="C241" s="78"/>
      <c r="D241" s="78"/>
      <c r="E241" s="78"/>
      <c r="F241" s="1728">
        <f t="shared" ref="F241:AI241" si="532">F69*$J$13</f>
        <v>331.99613214826013</v>
      </c>
      <c r="G241" s="1728">
        <f t="shared" si="532"/>
        <v>334.87502179479259</v>
      </c>
      <c r="H241" s="1728">
        <f t="shared" si="532"/>
        <v>337.7539114413251</v>
      </c>
      <c r="I241" s="1728">
        <f t="shared" si="532"/>
        <v>340.63280108785762</v>
      </c>
      <c r="J241" s="1728">
        <f t="shared" si="532"/>
        <v>343.51169073439013</v>
      </c>
      <c r="K241" s="1728">
        <f t="shared" si="532"/>
        <v>346.34761187873556</v>
      </c>
      <c r="L241" s="1728">
        <f t="shared" si="532"/>
        <v>348.62494249464936</v>
      </c>
      <c r="M241" s="1728">
        <f t="shared" si="532"/>
        <v>350.9022731105631</v>
      </c>
      <c r="N241" s="1728">
        <f t="shared" si="532"/>
        <v>353.1796037264769</v>
      </c>
      <c r="O241" s="1728">
        <f t="shared" si="532"/>
        <v>355.45693434239064</v>
      </c>
      <c r="P241" s="1728">
        <f t="shared" si="532"/>
        <v>357.755749209398</v>
      </c>
      <c r="Q241" s="1728">
        <f t="shared" si="532"/>
        <v>359.58191055234772</v>
      </c>
      <c r="R241" s="1728">
        <f t="shared" si="532"/>
        <v>361.40807189529744</v>
      </c>
      <c r="S241" s="1728">
        <f t="shared" si="532"/>
        <v>363.23423323824716</v>
      </c>
      <c r="T241" s="1728">
        <f t="shared" si="532"/>
        <v>365.06039458119687</v>
      </c>
      <c r="U241" s="1728">
        <f t="shared" si="532"/>
        <v>366.9080401752401</v>
      </c>
      <c r="V241" s="1728">
        <f t="shared" si="532"/>
        <v>368.08967398538402</v>
      </c>
      <c r="W241" s="1728">
        <f t="shared" si="532"/>
        <v>369.271307795528</v>
      </c>
      <c r="X241" s="1728">
        <f t="shared" si="532"/>
        <v>370.45294160567192</v>
      </c>
      <c r="Y241" s="1728">
        <f t="shared" si="532"/>
        <v>371.63457541581585</v>
      </c>
      <c r="Z241" s="1728">
        <f t="shared" si="532"/>
        <v>372.83769347705334</v>
      </c>
      <c r="AA241" s="1728">
        <f t="shared" si="532"/>
        <v>374.01932728719726</v>
      </c>
      <c r="AB241" s="1728">
        <f t="shared" si="532"/>
        <v>375.20096109734124</v>
      </c>
      <c r="AC241" s="1728">
        <f t="shared" si="532"/>
        <v>376.38259490748516</v>
      </c>
      <c r="AD241" s="1728">
        <f t="shared" si="532"/>
        <v>377.56422871762908</v>
      </c>
      <c r="AE241" s="1728">
        <f t="shared" si="532"/>
        <v>378.74586252777306</v>
      </c>
      <c r="AF241" s="1728">
        <f t="shared" si="532"/>
        <v>379.92749633791698</v>
      </c>
      <c r="AG241" s="1728">
        <f t="shared" si="532"/>
        <v>381.1091301480609</v>
      </c>
      <c r="AH241" s="1728">
        <f t="shared" si="532"/>
        <v>382.29076395820488</v>
      </c>
      <c r="AI241" s="1728">
        <f t="shared" si="532"/>
        <v>383.4723977683488</v>
      </c>
    </row>
    <row r="242" spans="2:35" x14ac:dyDescent="0.35">
      <c r="B242" s="78" t="s">
        <v>282</v>
      </c>
      <c r="C242" s="78"/>
      <c r="D242" s="78"/>
      <c r="E242" s="78"/>
      <c r="F242" s="1728">
        <f t="shared" ref="F242:AI242" si="533">F69*$J$14</f>
        <v>210.67076722140493</v>
      </c>
      <c r="G242" s="1728">
        <f t="shared" si="533"/>
        <v>212.49758937941101</v>
      </c>
      <c r="H242" s="1728">
        <f t="shared" si="533"/>
        <v>214.32441153741712</v>
      </c>
      <c r="I242" s="1728">
        <f t="shared" si="533"/>
        <v>216.1512336954232</v>
      </c>
      <c r="J242" s="1728">
        <f t="shared" si="533"/>
        <v>217.97805585342931</v>
      </c>
      <c r="K242" s="1728">
        <f t="shared" si="533"/>
        <v>219.7776120090771</v>
      </c>
      <c r="L242" s="1728">
        <f t="shared" si="533"/>
        <v>221.222710134067</v>
      </c>
      <c r="M242" s="1728">
        <f t="shared" si="533"/>
        <v>222.6678082590569</v>
      </c>
      <c r="N242" s="1728">
        <f t="shared" si="533"/>
        <v>224.11290638404682</v>
      </c>
      <c r="O242" s="1728">
        <f t="shared" si="533"/>
        <v>225.55800450903669</v>
      </c>
      <c r="P242" s="1728">
        <f t="shared" si="533"/>
        <v>227.01673563520578</v>
      </c>
      <c r="Q242" s="1728">
        <f t="shared" si="533"/>
        <v>228.17554073543351</v>
      </c>
      <c r="R242" s="1728">
        <f t="shared" si="533"/>
        <v>229.33434583566125</v>
      </c>
      <c r="S242" s="1728">
        <f t="shared" si="533"/>
        <v>230.49315093588902</v>
      </c>
      <c r="T242" s="1728">
        <f t="shared" si="533"/>
        <v>231.65195603611676</v>
      </c>
      <c r="U242" s="1728">
        <f t="shared" si="533"/>
        <v>232.82439413752365</v>
      </c>
      <c r="V242" s="1728">
        <f t="shared" si="533"/>
        <v>233.57420920237689</v>
      </c>
      <c r="W242" s="1728">
        <f t="shared" si="533"/>
        <v>234.32402426723016</v>
      </c>
      <c r="X242" s="1728">
        <f t="shared" si="533"/>
        <v>235.07383933208339</v>
      </c>
      <c r="Y242" s="1728">
        <f t="shared" si="533"/>
        <v>235.82365439693663</v>
      </c>
      <c r="Z242" s="1728">
        <f t="shared" si="533"/>
        <v>236.58710246296906</v>
      </c>
      <c r="AA242" s="1728">
        <f t="shared" si="533"/>
        <v>237.33691752782229</v>
      </c>
      <c r="AB242" s="1728">
        <f t="shared" si="533"/>
        <v>238.08673259267556</v>
      </c>
      <c r="AC242" s="1728">
        <f t="shared" si="533"/>
        <v>238.8365476575288</v>
      </c>
      <c r="AD242" s="1728">
        <f t="shared" si="533"/>
        <v>239.58636272238203</v>
      </c>
      <c r="AE242" s="1728">
        <f t="shared" si="533"/>
        <v>240.3361777872353</v>
      </c>
      <c r="AF242" s="1728">
        <f t="shared" si="533"/>
        <v>241.08599285208854</v>
      </c>
      <c r="AG242" s="1728">
        <f t="shared" si="533"/>
        <v>241.83580791694177</v>
      </c>
      <c r="AH242" s="1728">
        <f t="shared" si="533"/>
        <v>242.58562298179507</v>
      </c>
      <c r="AI242" s="1728">
        <f t="shared" si="533"/>
        <v>243.33543804664831</v>
      </c>
    </row>
    <row r="243" spans="2:35" x14ac:dyDescent="0.35">
      <c r="B243" s="78" t="s">
        <v>283</v>
      </c>
      <c r="C243" s="78"/>
      <c r="D243" s="78"/>
      <c r="E243" s="78"/>
      <c r="F243" s="1728">
        <f t="shared" ref="F243:AI243" si="534">F69*$J$15</f>
        <v>24.12960851650644</v>
      </c>
      <c r="G243" s="1728">
        <f t="shared" si="534"/>
        <v>24.338847340114274</v>
      </c>
      <c r="H243" s="1728">
        <f t="shared" si="534"/>
        <v>24.548086163722108</v>
      </c>
      <c r="I243" s="1728">
        <f t="shared" si="534"/>
        <v>24.757324987329945</v>
      </c>
      <c r="J243" s="1728">
        <f t="shared" si="534"/>
        <v>24.966563810937778</v>
      </c>
      <c r="K243" s="1728">
        <f t="shared" si="534"/>
        <v>25.172679667029072</v>
      </c>
      <c r="L243" s="1728">
        <f t="shared" si="534"/>
        <v>25.338196945405421</v>
      </c>
      <c r="M243" s="1728">
        <f t="shared" si="534"/>
        <v>25.50371422378177</v>
      </c>
      <c r="N243" s="1728">
        <f t="shared" si="534"/>
        <v>25.669231502158116</v>
      </c>
      <c r="O243" s="1728">
        <f t="shared" si="534"/>
        <v>25.834748780534458</v>
      </c>
      <c r="P243" s="1728">
        <f t="shared" si="534"/>
        <v>26.001827542669076</v>
      </c>
      <c r="Q243" s="1728">
        <f t="shared" si="534"/>
        <v>26.134553662121807</v>
      </c>
      <c r="R243" s="1728">
        <f t="shared" si="534"/>
        <v>26.267279781574537</v>
      </c>
      <c r="S243" s="1728">
        <f t="shared" si="534"/>
        <v>26.400005901027267</v>
      </c>
      <c r="T243" s="1728">
        <f t="shared" si="534"/>
        <v>26.532732020479997</v>
      </c>
      <c r="U243" s="1728">
        <f t="shared" si="534"/>
        <v>26.667019623690997</v>
      </c>
      <c r="V243" s="1728">
        <f t="shared" si="534"/>
        <v>26.752901230395704</v>
      </c>
      <c r="W243" s="1728">
        <f t="shared" si="534"/>
        <v>26.838782837100414</v>
      </c>
      <c r="X243" s="1728">
        <f t="shared" si="534"/>
        <v>26.924664443805121</v>
      </c>
      <c r="Y243" s="1728">
        <f t="shared" si="534"/>
        <v>27.010546050509827</v>
      </c>
      <c r="Z243" s="1728">
        <f t="shared" si="534"/>
        <v>27.097989140972803</v>
      </c>
      <c r="AA243" s="1728">
        <f t="shared" si="534"/>
        <v>27.18387074767751</v>
      </c>
      <c r="AB243" s="1728">
        <f t="shared" si="534"/>
        <v>27.26975235438222</v>
      </c>
      <c r="AC243" s="1728">
        <f t="shared" si="534"/>
        <v>27.35563396108693</v>
      </c>
      <c r="AD243" s="1728">
        <f t="shared" si="534"/>
        <v>27.441515567791637</v>
      </c>
      <c r="AE243" s="1728">
        <f t="shared" si="534"/>
        <v>27.527397174496347</v>
      </c>
      <c r="AF243" s="1728">
        <f t="shared" si="534"/>
        <v>27.613278781201053</v>
      </c>
      <c r="AG243" s="1728">
        <f t="shared" si="534"/>
        <v>27.69916038790576</v>
      </c>
      <c r="AH243" s="1728">
        <f t="shared" si="534"/>
        <v>27.78504199461047</v>
      </c>
      <c r="AI243" s="1728">
        <f t="shared" si="534"/>
        <v>27.870923601315177</v>
      </c>
    </row>
    <row r="244" spans="2:35" x14ac:dyDescent="0.35">
      <c r="B244" s="78" t="s">
        <v>12</v>
      </c>
      <c r="C244" s="78"/>
      <c r="D244" s="78"/>
      <c r="E244" s="78"/>
      <c r="F244" s="1728">
        <f t="shared" ref="F244:AI244" si="535">F69*$J$16</f>
        <v>445.77340239322035</v>
      </c>
      <c r="G244" s="1728">
        <f t="shared" si="535"/>
        <v>449.63890656203495</v>
      </c>
      <c r="H244" s="1728">
        <f t="shared" si="535"/>
        <v>453.50441073084949</v>
      </c>
      <c r="I244" s="1728">
        <f t="shared" si="535"/>
        <v>457.36991489966402</v>
      </c>
      <c r="J244" s="1728">
        <f t="shared" si="535"/>
        <v>461.23541906847862</v>
      </c>
      <c r="K244" s="1728">
        <f t="shared" si="535"/>
        <v>465.04322914522129</v>
      </c>
      <c r="L244" s="1728">
        <f t="shared" si="535"/>
        <v>468.10101602502982</v>
      </c>
      <c r="M244" s="1728">
        <f t="shared" si="535"/>
        <v>471.15880290483841</v>
      </c>
      <c r="N244" s="1728">
        <f t="shared" si="535"/>
        <v>474.21658978464694</v>
      </c>
      <c r="O244" s="1728">
        <f t="shared" si="535"/>
        <v>477.27437666445542</v>
      </c>
      <c r="P244" s="1728">
        <f t="shared" si="535"/>
        <v>480.36101059029994</v>
      </c>
      <c r="Q244" s="1728">
        <f t="shared" si="535"/>
        <v>482.81300950335395</v>
      </c>
      <c r="R244" s="1728">
        <f t="shared" si="535"/>
        <v>485.26500841640797</v>
      </c>
      <c r="S244" s="1728">
        <f t="shared" si="535"/>
        <v>487.71700732946198</v>
      </c>
      <c r="T244" s="1728">
        <f t="shared" si="535"/>
        <v>490.16900624251599</v>
      </c>
      <c r="U244" s="1728">
        <f t="shared" si="535"/>
        <v>492.64985220160594</v>
      </c>
      <c r="V244" s="1728">
        <f t="shared" si="535"/>
        <v>494.23643973358202</v>
      </c>
      <c r="W244" s="1728">
        <f t="shared" si="535"/>
        <v>495.82302726555821</v>
      </c>
      <c r="X244" s="1728">
        <f t="shared" si="535"/>
        <v>497.40961479753435</v>
      </c>
      <c r="Y244" s="1728">
        <f t="shared" si="535"/>
        <v>498.99620232951042</v>
      </c>
      <c r="Z244" s="1728">
        <f t="shared" si="535"/>
        <v>500.6116369075225</v>
      </c>
      <c r="AA244" s="1728">
        <f t="shared" si="535"/>
        <v>502.19822443949863</v>
      </c>
      <c r="AB244" s="1728">
        <f t="shared" si="535"/>
        <v>503.78481197147482</v>
      </c>
      <c r="AC244" s="1728">
        <f t="shared" si="535"/>
        <v>505.3713995034509</v>
      </c>
      <c r="AD244" s="1728">
        <f t="shared" si="535"/>
        <v>506.95798703542698</v>
      </c>
      <c r="AE244" s="1728">
        <f t="shared" si="535"/>
        <v>508.54457456740317</v>
      </c>
      <c r="AF244" s="1728">
        <f t="shared" si="535"/>
        <v>510.13116209937931</v>
      </c>
      <c r="AG244" s="1728">
        <f t="shared" si="535"/>
        <v>511.71774963135539</v>
      </c>
      <c r="AH244" s="1728">
        <f t="shared" si="535"/>
        <v>513.30433716333152</v>
      </c>
      <c r="AI244" s="1728">
        <f t="shared" si="535"/>
        <v>514.89092469530772</v>
      </c>
    </row>
    <row r="245" spans="2:35" x14ac:dyDescent="0.35">
      <c r="B245" s="78" t="s">
        <v>13</v>
      </c>
      <c r="C245" s="78"/>
      <c r="D245" s="78"/>
      <c r="E245" s="78"/>
      <c r="F245" s="1728">
        <f t="shared" ref="F245:AI245" si="536">F69*$J$17</f>
        <v>22.918566753552319</v>
      </c>
      <c r="G245" s="1728">
        <f t="shared" si="536"/>
        <v>23.117304082548372</v>
      </c>
      <c r="H245" s="1728">
        <f t="shared" si="536"/>
        <v>23.316041411544425</v>
      </c>
      <c r="I245" s="1728">
        <f t="shared" si="536"/>
        <v>23.514778740540478</v>
      </c>
      <c r="J245" s="1728">
        <f t="shared" si="536"/>
        <v>23.713516069536531</v>
      </c>
      <c r="K245" s="1728">
        <f t="shared" si="536"/>
        <v>23.909287169741596</v>
      </c>
      <c r="L245" s="1728">
        <f t="shared" si="536"/>
        <v>24.066497295663847</v>
      </c>
      <c r="M245" s="1728">
        <f t="shared" si="536"/>
        <v>24.223707421586099</v>
      </c>
      <c r="N245" s="1728">
        <f t="shared" si="536"/>
        <v>24.38091754750835</v>
      </c>
      <c r="O245" s="1728">
        <f t="shared" si="536"/>
        <v>24.538127673430598</v>
      </c>
      <c r="P245" s="1728">
        <f t="shared" si="536"/>
        <v>24.696820913748347</v>
      </c>
      <c r="Q245" s="1728">
        <f t="shared" si="536"/>
        <v>24.822885637365246</v>
      </c>
      <c r="R245" s="1728">
        <f t="shared" si="536"/>
        <v>24.948950360982145</v>
      </c>
      <c r="S245" s="1728">
        <f t="shared" si="536"/>
        <v>25.075015084599045</v>
      </c>
      <c r="T245" s="1728">
        <f t="shared" si="536"/>
        <v>25.201079808215944</v>
      </c>
      <c r="U245" s="1728">
        <f t="shared" si="536"/>
        <v>25.328627646228334</v>
      </c>
      <c r="V245" s="1728">
        <f t="shared" si="536"/>
        <v>25.410198937980446</v>
      </c>
      <c r="W245" s="1728">
        <f t="shared" si="536"/>
        <v>25.491770229732559</v>
      </c>
      <c r="X245" s="1728">
        <f t="shared" si="536"/>
        <v>25.573341521484668</v>
      </c>
      <c r="Y245" s="1728">
        <f t="shared" si="536"/>
        <v>25.654912813236781</v>
      </c>
      <c r="Z245" s="1728">
        <f t="shared" si="536"/>
        <v>25.737967219384384</v>
      </c>
      <c r="AA245" s="1728">
        <f t="shared" si="536"/>
        <v>25.819538511136496</v>
      </c>
      <c r="AB245" s="1728">
        <f t="shared" si="536"/>
        <v>25.901109802888609</v>
      </c>
      <c r="AC245" s="1728">
        <f t="shared" si="536"/>
        <v>25.982681094640718</v>
      </c>
      <c r="AD245" s="1728">
        <f t="shared" si="536"/>
        <v>26.06425238639283</v>
      </c>
      <c r="AE245" s="1728">
        <f t="shared" si="536"/>
        <v>26.145823678144943</v>
      </c>
      <c r="AF245" s="1728">
        <f t="shared" si="536"/>
        <v>26.227394969897052</v>
      </c>
      <c r="AG245" s="1728">
        <f t="shared" si="536"/>
        <v>26.308966261649164</v>
      </c>
      <c r="AH245" s="1728">
        <f t="shared" si="536"/>
        <v>26.390537553401277</v>
      </c>
      <c r="AI245" s="1728">
        <f t="shared" si="536"/>
        <v>26.472108845153386</v>
      </c>
    </row>
    <row r="246" spans="2:35" x14ac:dyDescent="0.35">
      <c r="B246" s="78" t="s">
        <v>14</v>
      </c>
      <c r="C246" s="78"/>
      <c r="D246" s="78"/>
      <c r="E246" s="78"/>
      <c r="F246" s="1728">
        <f t="shared" ref="F246:AI246" si="537">F69*$J$18</f>
        <v>167.48023417999713</v>
      </c>
      <c r="G246" s="1728">
        <f t="shared" si="537"/>
        <v>168.9325315578603</v>
      </c>
      <c r="H246" s="1728">
        <f t="shared" si="537"/>
        <v>170.38482893572348</v>
      </c>
      <c r="I246" s="1728">
        <f t="shared" si="537"/>
        <v>171.83712631358662</v>
      </c>
      <c r="J246" s="1728">
        <f t="shared" si="537"/>
        <v>173.2894236914498</v>
      </c>
      <c r="K246" s="1728">
        <f t="shared" si="537"/>
        <v>174.72004498904636</v>
      </c>
      <c r="L246" s="1728">
        <f t="shared" si="537"/>
        <v>175.86887724317691</v>
      </c>
      <c r="M246" s="1728">
        <f t="shared" si="537"/>
        <v>177.01770949730749</v>
      </c>
      <c r="N246" s="1728">
        <f t="shared" si="537"/>
        <v>178.16654175143807</v>
      </c>
      <c r="O246" s="1728">
        <f t="shared" si="537"/>
        <v>179.31537400556863</v>
      </c>
      <c r="P246" s="1728">
        <f t="shared" si="537"/>
        <v>180.47504429983252</v>
      </c>
      <c r="Q246" s="1728">
        <f t="shared" si="537"/>
        <v>181.39627771116363</v>
      </c>
      <c r="R246" s="1728">
        <f t="shared" si="537"/>
        <v>182.31751112249475</v>
      </c>
      <c r="S246" s="1728">
        <f t="shared" si="537"/>
        <v>183.23874453382587</v>
      </c>
      <c r="T246" s="1728">
        <f t="shared" si="537"/>
        <v>184.15997794515698</v>
      </c>
      <c r="U246" s="1728">
        <f t="shared" si="537"/>
        <v>185.09204939662141</v>
      </c>
      <c r="V246" s="1728">
        <f t="shared" si="537"/>
        <v>185.68814160395328</v>
      </c>
      <c r="W246" s="1728">
        <f t="shared" si="537"/>
        <v>186.28423381128522</v>
      </c>
      <c r="X246" s="1728">
        <f t="shared" si="537"/>
        <v>186.8803260186171</v>
      </c>
      <c r="Y246" s="1728">
        <f t="shared" si="537"/>
        <v>187.476418225949</v>
      </c>
      <c r="Z246" s="1728">
        <f t="shared" si="537"/>
        <v>188.08334847341422</v>
      </c>
      <c r="AA246" s="1728">
        <f t="shared" si="537"/>
        <v>188.6794406807461</v>
      </c>
      <c r="AB246" s="1728">
        <f t="shared" si="537"/>
        <v>189.27553288807803</v>
      </c>
      <c r="AC246" s="1728">
        <f t="shared" si="537"/>
        <v>189.87162509540991</v>
      </c>
      <c r="AD246" s="1728">
        <f t="shared" si="537"/>
        <v>190.46771730274179</v>
      </c>
      <c r="AE246" s="1728">
        <f t="shared" si="537"/>
        <v>191.06380951007372</v>
      </c>
      <c r="AF246" s="1728">
        <f t="shared" si="537"/>
        <v>191.6599017174056</v>
      </c>
      <c r="AG246" s="1728">
        <f t="shared" si="537"/>
        <v>192.25599392473751</v>
      </c>
      <c r="AH246" s="1728">
        <f t="shared" si="537"/>
        <v>192.85208613206942</v>
      </c>
      <c r="AI246" s="1728">
        <f t="shared" si="537"/>
        <v>193.4481783394013</v>
      </c>
    </row>
    <row r="247" spans="2:35" x14ac:dyDescent="0.35">
      <c r="B247" s="728" t="s">
        <v>200</v>
      </c>
      <c r="C247" s="728"/>
      <c r="D247" s="728"/>
      <c r="E247" s="728"/>
      <c r="F247" s="1729">
        <f>SUM(F236:F246)</f>
        <v>5313.6967382328667</v>
      </c>
      <c r="G247" s="1729">
        <f t="shared" ref="G247" si="538">SUM(G236:G246)</f>
        <v>5359.7742224057256</v>
      </c>
      <c r="H247" s="1729">
        <f t="shared" ref="H247" si="539">SUM(H236:H246)</f>
        <v>5405.8517065785854</v>
      </c>
      <c r="I247" s="1729">
        <f t="shared" ref="I247" si="540">SUM(I236:I246)</f>
        <v>5451.9291907514453</v>
      </c>
      <c r="J247" s="1729">
        <f t="shared" ref="J247" si="541">SUM(J236:J246)</f>
        <v>5498.0066749243042</v>
      </c>
      <c r="K247" s="1729">
        <f t="shared" ref="K247" si="542">SUM(K236:K246)</f>
        <v>5543.3964354527934</v>
      </c>
      <c r="L247" s="1729">
        <f t="shared" ref="L247" si="543">SUM(L236:L246)</f>
        <v>5579.8457886044589</v>
      </c>
      <c r="M247" s="1729">
        <f t="shared" ref="M247" si="544">SUM(M236:M246)</f>
        <v>5616.2951417561244</v>
      </c>
      <c r="N247" s="1729">
        <f t="shared" ref="N247" si="545">SUM(N236:N246)</f>
        <v>5652.744494907789</v>
      </c>
      <c r="O247" s="1729">
        <f t="shared" ref="O247" si="546">SUM(O236:O246)</f>
        <v>5689.1938480594536</v>
      </c>
      <c r="P247" s="1729">
        <f t="shared" ref="P247" si="547">SUM(P236:P246)</f>
        <v>5725.9870630333071</v>
      </c>
      <c r="Q247" s="1729">
        <f t="shared" ref="Q247" si="548">SUM(Q236:Q246)</f>
        <v>5755.2153179190764</v>
      </c>
      <c r="R247" s="1729">
        <f t="shared" ref="R247" si="549">SUM(R236:R246)</f>
        <v>5784.4435728048438</v>
      </c>
      <c r="S247" s="1729">
        <f t="shared" ref="S247" si="550">SUM(S236:S246)</f>
        <v>5813.6718276906122</v>
      </c>
      <c r="T247" s="1729">
        <f t="shared" ref="T247" si="551">SUM(T236:T246)</f>
        <v>5842.9000825763824</v>
      </c>
      <c r="U247" s="1729">
        <f t="shared" ref="U247" si="552">SUM(U236:U246)</f>
        <v>5872.4721992843379</v>
      </c>
      <c r="V247" s="1729">
        <f t="shared" ref="V247" si="553">SUM(V236:V246)</f>
        <v>5891.3845995045413</v>
      </c>
      <c r="W247" s="1729">
        <f t="shared" ref="W247" si="554">SUM(W236:W246)</f>
        <v>5910.2969997247446</v>
      </c>
      <c r="X247" s="1729">
        <f t="shared" ref="X247" si="555">SUM(X236:X246)</f>
        <v>5929.2093999449489</v>
      </c>
      <c r="Y247" s="1729">
        <f t="shared" ref="Y247" si="556">SUM(Y236:Y246)</f>
        <v>5948.1218001651514</v>
      </c>
      <c r="Z247" s="1729">
        <f t="shared" ref="Z247" si="557">SUM(Z236:Z246)</f>
        <v>5967.378062207541</v>
      </c>
      <c r="AA247" s="1729">
        <f t="shared" ref="AA247" si="558">SUM(AA236:AA246)</f>
        <v>5986.2904624277444</v>
      </c>
      <c r="AB247" s="1729">
        <f t="shared" ref="AB247" si="559">SUM(AB236:AB246)</f>
        <v>6005.2028626479478</v>
      </c>
      <c r="AC247" s="1729">
        <f t="shared" ref="AC247" si="560">SUM(AC236:AC246)</f>
        <v>6024.1152628681539</v>
      </c>
      <c r="AD247" s="1729">
        <f t="shared" ref="AD247" si="561">SUM(AD236:AD246)</f>
        <v>6043.0276630883554</v>
      </c>
      <c r="AE247" s="1729">
        <f t="shared" ref="AE247" si="562">SUM(AE236:AE246)</f>
        <v>6061.9400633085597</v>
      </c>
      <c r="AF247" s="1729">
        <f t="shared" ref="AF247" si="563">SUM(AF236:AF246)</f>
        <v>6080.852463528764</v>
      </c>
      <c r="AG247" s="1729">
        <f t="shared" ref="AG247" si="564">SUM(AG236:AG246)</f>
        <v>6099.7648637489674</v>
      </c>
      <c r="AH247" s="1729">
        <f t="shared" ref="AH247" si="565">SUM(AH236:AH246)</f>
        <v>6118.6772639691708</v>
      </c>
      <c r="AI247" s="1729">
        <f t="shared" ref="AI247" si="566">SUM(AI236:AI246)</f>
        <v>6137.5896641893751</v>
      </c>
    </row>
    <row r="248" spans="2:35" x14ac:dyDescent="0.35">
      <c r="E248" s="281" t="s">
        <v>332</v>
      </c>
      <c r="F248" s="1725">
        <f t="shared" ref="F248:AI248" si="567">F247-F69</f>
        <v>0</v>
      </c>
      <c r="G248" s="1725">
        <f t="shared" si="567"/>
        <v>0</v>
      </c>
      <c r="H248" s="1725">
        <f t="shared" si="567"/>
        <v>0</v>
      </c>
      <c r="I248" s="1725">
        <f t="shared" si="567"/>
        <v>0</v>
      </c>
      <c r="J248" s="1725">
        <f t="shared" si="567"/>
        <v>0</v>
      </c>
      <c r="K248" s="1725">
        <f t="shared" si="567"/>
        <v>0</v>
      </c>
      <c r="L248" s="1725">
        <f t="shared" si="567"/>
        <v>0</v>
      </c>
      <c r="M248" s="1725">
        <f t="shared" si="567"/>
        <v>0</v>
      </c>
      <c r="N248" s="1725">
        <f t="shared" si="567"/>
        <v>0</v>
      </c>
      <c r="O248" s="1725">
        <f t="shared" si="567"/>
        <v>0</v>
      </c>
      <c r="P248" s="1725">
        <f t="shared" si="567"/>
        <v>0</v>
      </c>
      <c r="Q248" s="1725">
        <f t="shared" si="567"/>
        <v>0</v>
      </c>
      <c r="R248" s="1725">
        <f t="shared" si="567"/>
        <v>0</v>
      </c>
      <c r="S248" s="1725">
        <f t="shared" si="567"/>
        <v>0</v>
      </c>
      <c r="T248" s="1725">
        <f t="shared" si="567"/>
        <v>0</v>
      </c>
      <c r="U248" s="1725">
        <f t="shared" si="567"/>
        <v>0</v>
      </c>
      <c r="V248" s="1725">
        <f t="shared" si="567"/>
        <v>0</v>
      </c>
      <c r="W248" s="1725">
        <f t="shared" si="567"/>
        <v>0</v>
      </c>
      <c r="X248" s="1725">
        <f t="shared" si="567"/>
        <v>0</v>
      </c>
      <c r="Y248" s="1725">
        <f t="shared" si="567"/>
        <v>0</v>
      </c>
      <c r="Z248" s="1725">
        <f t="shared" si="567"/>
        <v>0</v>
      </c>
      <c r="AA248" s="1725">
        <f t="shared" si="567"/>
        <v>0</v>
      </c>
      <c r="AB248" s="1725">
        <f t="shared" si="567"/>
        <v>0</v>
      </c>
      <c r="AC248" s="1725">
        <f t="shared" si="567"/>
        <v>0</v>
      </c>
      <c r="AD248" s="1725">
        <f t="shared" si="567"/>
        <v>0</v>
      </c>
      <c r="AE248" s="1725">
        <f t="shared" si="567"/>
        <v>0</v>
      </c>
      <c r="AF248" s="1725">
        <f t="shared" si="567"/>
        <v>0</v>
      </c>
      <c r="AG248" s="1725">
        <f t="shared" si="567"/>
        <v>0</v>
      </c>
      <c r="AH248" s="1725">
        <f t="shared" si="567"/>
        <v>0</v>
      </c>
      <c r="AI248" s="1725">
        <f t="shared" si="567"/>
        <v>0</v>
      </c>
    </row>
    <row r="249" spans="2:35" ht="15.5" x14ac:dyDescent="0.35">
      <c r="B249" s="86" t="s">
        <v>9</v>
      </c>
    </row>
    <row r="250" spans="2:35" x14ac:dyDescent="0.35">
      <c r="B250" s="780" t="s">
        <v>273</v>
      </c>
      <c r="C250" s="780"/>
      <c r="D250" s="780"/>
      <c r="E250" s="780"/>
      <c r="F250" s="1727">
        <v>1</v>
      </c>
      <c r="G250" s="1727">
        <f>F250+1</f>
        <v>2</v>
      </c>
      <c r="H250" s="1727">
        <f t="shared" ref="H250" si="568">G250+1</f>
        <v>3</v>
      </c>
      <c r="I250" s="1727">
        <f t="shared" ref="I250" si="569">H250+1</f>
        <v>4</v>
      </c>
      <c r="J250" s="1727">
        <f t="shared" ref="J250" si="570">I250+1</f>
        <v>5</v>
      </c>
      <c r="K250" s="1727">
        <f t="shared" ref="K250" si="571">J250+1</f>
        <v>6</v>
      </c>
      <c r="L250" s="1727">
        <f t="shared" ref="L250" si="572">K250+1</f>
        <v>7</v>
      </c>
      <c r="M250" s="1727">
        <f t="shared" ref="M250" si="573">L250+1</f>
        <v>8</v>
      </c>
      <c r="N250" s="1727">
        <f t="shared" ref="N250" si="574">M250+1</f>
        <v>9</v>
      </c>
      <c r="O250" s="1727">
        <f t="shared" ref="O250" si="575">N250+1</f>
        <v>10</v>
      </c>
      <c r="P250" s="1727">
        <f t="shared" ref="P250" si="576">O250+1</f>
        <v>11</v>
      </c>
      <c r="Q250" s="1727">
        <f t="shared" ref="Q250" si="577">P250+1</f>
        <v>12</v>
      </c>
      <c r="R250" s="1727">
        <f t="shared" ref="R250" si="578">Q250+1</f>
        <v>13</v>
      </c>
      <c r="S250" s="1727">
        <f t="shared" ref="S250" si="579">R250+1</f>
        <v>14</v>
      </c>
      <c r="T250" s="1727">
        <f t="shared" ref="T250" si="580">S250+1</f>
        <v>15</v>
      </c>
      <c r="U250" s="1727">
        <f t="shared" ref="U250" si="581">T250+1</f>
        <v>16</v>
      </c>
      <c r="V250" s="1727">
        <f t="shared" ref="V250" si="582">U250+1</f>
        <v>17</v>
      </c>
      <c r="W250" s="1727">
        <f t="shared" ref="W250" si="583">V250+1</f>
        <v>18</v>
      </c>
      <c r="X250" s="1727">
        <f t="shared" ref="X250" si="584">W250+1</f>
        <v>19</v>
      </c>
      <c r="Y250" s="1727">
        <f t="shared" ref="Y250" si="585">X250+1</f>
        <v>20</v>
      </c>
      <c r="Z250" s="1727">
        <f t="shared" ref="Z250" si="586">Y250+1</f>
        <v>21</v>
      </c>
      <c r="AA250" s="1727">
        <f t="shared" ref="AA250" si="587">Z250+1</f>
        <v>22</v>
      </c>
      <c r="AB250" s="1727">
        <f t="shared" ref="AB250" si="588">AA250+1</f>
        <v>23</v>
      </c>
      <c r="AC250" s="1727">
        <f t="shared" ref="AC250" si="589">AB250+1</f>
        <v>24</v>
      </c>
      <c r="AD250" s="1727">
        <f t="shared" ref="AD250" si="590">AC250+1</f>
        <v>25</v>
      </c>
      <c r="AE250" s="1727">
        <f t="shared" ref="AE250" si="591">AD250+1</f>
        <v>26</v>
      </c>
      <c r="AF250" s="1727">
        <f t="shared" ref="AF250" si="592">AE250+1</f>
        <v>27</v>
      </c>
      <c r="AG250" s="1727">
        <f t="shared" ref="AG250" si="593">AF250+1</f>
        <v>28</v>
      </c>
      <c r="AH250" s="1727">
        <f t="shared" ref="AH250" si="594">AG250+1</f>
        <v>29</v>
      </c>
      <c r="AI250" s="1727">
        <f t="shared" ref="AI250" si="595">AH250+1</f>
        <v>30</v>
      </c>
    </row>
    <row r="251" spans="2:35" x14ac:dyDescent="0.35">
      <c r="B251" s="78" t="s">
        <v>276</v>
      </c>
      <c r="C251" s="78"/>
      <c r="D251" s="78"/>
      <c r="E251" s="78"/>
      <c r="F251" s="1728">
        <f t="shared" ref="F251:AI251" si="596">F70*$K$8</f>
        <v>1791.5880967858923</v>
      </c>
      <c r="G251" s="1728">
        <f t="shared" si="596"/>
        <v>1807.3698822587307</v>
      </c>
      <c r="H251" s="1728">
        <f t="shared" si="596"/>
        <v>1823.151667731569</v>
      </c>
      <c r="I251" s="1728">
        <f t="shared" si="596"/>
        <v>1838.933453204407</v>
      </c>
      <c r="J251" s="1728">
        <f t="shared" si="596"/>
        <v>1854.715238677245</v>
      </c>
      <c r="K251" s="1728">
        <f t="shared" si="596"/>
        <v>1870.7813806450895</v>
      </c>
      <c r="L251" s="1728">
        <f t="shared" si="596"/>
        <v>1884.1461359103757</v>
      </c>
      <c r="M251" s="1728">
        <f t="shared" si="596"/>
        <v>1897.5108911756622</v>
      </c>
      <c r="N251" s="1728">
        <f t="shared" si="596"/>
        <v>1910.8756464409487</v>
      </c>
      <c r="O251" s="1728">
        <f t="shared" si="596"/>
        <v>1924.2404017062349</v>
      </c>
      <c r="P251" s="1728">
        <f t="shared" si="596"/>
        <v>1937.4629787240185</v>
      </c>
      <c r="Q251" s="1728">
        <f t="shared" si="596"/>
        <v>1946.8467430592195</v>
      </c>
      <c r="R251" s="1728">
        <f t="shared" si="596"/>
        <v>1956.2305073944203</v>
      </c>
      <c r="S251" s="1728">
        <f t="shared" si="596"/>
        <v>1965.6142717296218</v>
      </c>
      <c r="T251" s="1728">
        <f t="shared" si="596"/>
        <v>1974.9980360648226</v>
      </c>
      <c r="U251" s="1728">
        <f t="shared" si="596"/>
        <v>1984.6661568950301</v>
      </c>
      <c r="V251" s="1728">
        <f t="shared" si="596"/>
        <v>1991.4907127751762</v>
      </c>
      <c r="W251" s="1728">
        <f t="shared" si="596"/>
        <v>1998.3152686553224</v>
      </c>
      <c r="X251" s="1728">
        <f t="shared" si="596"/>
        <v>2005.1398245354685</v>
      </c>
      <c r="Y251" s="1728">
        <f t="shared" si="596"/>
        <v>2011.9643804156149</v>
      </c>
      <c r="Z251" s="1728">
        <f t="shared" si="596"/>
        <v>2019.0732927907673</v>
      </c>
      <c r="AA251" s="1728">
        <f t="shared" si="596"/>
        <v>2025.8978486709136</v>
      </c>
      <c r="AB251" s="1728">
        <f t="shared" si="596"/>
        <v>2032.7224045510598</v>
      </c>
      <c r="AC251" s="1728">
        <f t="shared" si="596"/>
        <v>2039.5469604312061</v>
      </c>
      <c r="AD251" s="1728">
        <f t="shared" si="596"/>
        <v>2046.371516311352</v>
      </c>
      <c r="AE251" s="1728">
        <f t="shared" si="596"/>
        <v>2053.1960721914984</v>
      </c>
      <c r="AF251" s="1728">
        <f t="shared" si="596"/>
        <v>2060.0206280716448</v>
      </c>
      <c r="AG251" s="1728">
        <f t="shared" si="596"/>
        <v>2066.8451839517911</v>
      </c>
      <c r="AH251" s="1728">
        <f t="shared" si="596"/>
        <v>2073.6697398319375</v>
      </c>
      <c r="AI251" s="1728">
        <f t="shared" si="596"/>
        <v>2080.4942957120834</v>
      </c>
    </row>
    <row r="252" spans="2:35" x14ac:dyDescent="0.35">
      <c r="B252" s="78" t="s">
        <v>277</v>
      </c>
      <c r="C252" s="78"/>
      <c r="D252" s="78"/>
      <c r="E252" s="78"/>
      <c r="F252" s="1728">
        <f t="shared" ref="F252:AI252" si="597">F70*$K$9</f>
        <v>116.73083449950414</v>
      </c>
      <c r="G252" s="1728">
        <f t="shared" si="597"/>
        <v>117.75909595728092</v>
      </c>
      <c r="H252" s="1728">
        <f t="shared" si="597"/>
        <v>118.78735741505767</v>
      </c>
      <c r="I252" s="1728">
        <f t="shared" si="597"/>
        <v>119.81561887283443</v>
      </c>
      <c r="J252" s="1728">
        <f t="shared" si="597"/>
        <v>120.84388033061119</v>
      </c>
      <c r="K252" s="1728">
        <f t="shared" si="597"/>
        <v>121.89066902186141</v>
      </c>
      <c r="L252" s="1728">
        <f t="shared" si="597"/>
        <v>122.7614489951138</v>
      </c>
      <c r="M252" s="1728">
        <f t="shared" si="597"/>
        <v>123.63222896836618</v>
      </c>
      <c r="N252" s="1728">
        <f t="shared" si="597"/>
        <v>124.50300894161859</v>
      </c>
      <c r="O252" s="1728">
        <f t="shared" si="597"/>
        <v>125.37378891487097</v>
      </c>
      <c r="P252" s="1728">
        <f t="shared" si="597"/>
        <v>126.23530527138665</v>
      </c>
      <c r="Q252" s="1728">
        <f t="shared" si="597"/>
        <v>126.84670397601066</v>
      </c>
      <c r="R252" s="1728">
        <f t="shared" si="597"/>
        <v>127.45810268063467</v>
      </c>
      <c r="S252" s="1728">
        <f t="shared" si="597"/>
        <v>128.06950138525869</v>
      </c>
      <c r="T252" s="1728">
        <f t="shared" si="597"/>
        <v>128.6809000898827</v>
      </c>
      <c r="U252" s="1728">
        <f t="shared" si="597"/>
        <v>129.3108260279802</v>
      </c>
      <c r="V252" s="1728">
        <f t="shared" si="597"/>
        <v>129.75547963134312</v>
      </c>
      <c r="W252" s="1728">
        <f t="shared" si="597"/>
        <v>130.20013323470602</v>
      </c>
      <c r="X252" s="1728">
        <f t="shared" si="597"/>
        <v>130.64478683806897</v>
      </c>
      <c r="Y252" s="1728">
        <f t="shared" si="597"/>
        <v>131.08944044143189</v>
      </c>
      <c r="Z252" s="1728">
        <f t="shared" si="597"/>
        <v>131.55262127826825</v>
      </c>
      <c r="AA252" s="1728">
        <f t="shared" si="597"/>
        <v>131.9972748816312</v>
      </c>
      <c r="AB252" s="1728">
        <f t="shared" si="597"/>
        <v>132.44192848499412</v>
      </c>
      <c r="AC252" s="1728">
        <f t="shared" si="597"/>
        <v>132.88658208835704</v>
      </c>
      <c r="AD252" s="1728">
        <f t="shared" si="597"/>
        <v>133.33123569171994</v>
      </c>
      <c r="AE252" s="1728">
        <f t="shared" si="597"/>
        <v>133.77588929508289</v>
      </c>
      <c r="AF252" s="1728">
        <f t="shared" si="597"/>
        <v>134.22054289844581</v>
      </c>
      <c r="AG252" s="1728">
        <f t="shared" si="597"/>
        <v>134.66519650180874</v>
      </c>
      <c r="AH252" s="1728">
        <f t="shared" si="597"/>
        <v>135.10985010517166</v>
      </c>
      <c r="AI252" s="1728">
        <f t="shared" si="597"/>
        <v>135.55450370853455</v>
      </c>
    </row>
    <row r="253" spans="2:35" x14ac:dyDescent="0.35">
      <c r="B253" s="78" t="s">
        <v>278</v>
      </c>
      <c r="C253" s="78"/>
      <c r="D253" s="78"/>
      <c r="E253" s="78"/>
      <c r="F253" s="1728">
        <f t="shared" ref="F253:AI253" si="598">F70*$K$10</f>
        <v>510.24933258007826</v>
      </c>
      <c r="G253" s="1728">
        <f t="shared" si="598"/>
        <v>514.74402950225817</v>
      </c>
      <c r="H253" s="1728">
        <f t="shared" si="598"/>
        <v>519.23872642443803</v>
      </c>
      <c r="I253" s="1728">
        <f t="shared" si="598"/>
        <v>523.73342334661788</v>
      </c>
      <c r="J253" s="1728">
        <f t="shared" si="598"/>
        <v>528.22812026879774</v>
      </c>
      <c r="K253" s="1728">
        <f t="shared" si="598"/>
        <v>532.8038027211071</v>
      </c>
      <c r="L253" s="1728">
        <f t="shared" si="598"/>
        <v>536.61012263718737</v>
      </c>
      <c r="M253" s="1728">
        <f t="shared" si="598"/>
        <v>540.41644255326753</v>
      </c>
      <c r="N253" s="1728">
        <f t="shared" si="598"/>
        <v>544.22276246934791</v>
      </c>
      <c r="O253" s="1728">
        <f t="shared" si="598"/>
        <v>548.02908238542807</v>
      </c>
      <c r="P253" s="1728">
        <f t="shared" si="598"/>
        <v>551.7949095364437</v>
      </c>
      <c r="Q253" s="1728">
        <f t="shared" si="598"/>
        <v>554.46743203071276</v>
      </c>
      <c r="R253" s="1728">
        <f t="shared" si="598"/>
        <v>557.13995452498182</v>
      </c>
      <c r="S253" s="1728">
        <f t="shared" si="598"/>
        <v>559.81247701925111</v>
      </c>
      <c r="T253" s="1728">
        <f t="shared" si="598"/>
        <v>562.48499951352017</v>
      </c>
      <c r="U253" s="1728">
        <f t="shared" si="598"/>
        <v>565.23850753791862</v>
      </c>
      <c r="V253" s="1728">
        <f t="shared" si="598"/>
        <v>567.18216026102345</v>
      </c>
      <c r="W253" s="1728">
        <f t="shared" si="598"/>
        <v>569.12581298412817</v>
      </c>
      <c r="X253" s="1728">
        <f t="shared" si="598"/>
        <v>571.06946570723301</v>
      </c>
      <c r="Y253" s="1728">
        <f t="shared" si="598"/>
        <v>573.01311843033784</v>
      </c>
      <c r="Z253" s="1728">
        <f t="shared" si="598"/>
        <v>575.03775668357207</v>
      </c>
      <c r="AA253" s="1728">
        <f t="shared" si="598"/>
        <v>576.9814094066769</v>
      </c>
      <c r="AB253" s="1728">
        <f t="shared" si="598"/>
        <v>578.92506212978174</v>
      </c>
      <c r="AC253" s="1728">
        <f t="shared" si="598"/>
        <v>580.86871485288657</v>
      </c>
      <c r="AD253" s="1728">
        <f t="shared" si="598"/>
        <v>582.81236757599129</v>
      </c>
      <c r="AE253" s="1728">
        <f t="shared" si="598"/>
        <v>584.75602029909612</v>
      </c>
      <c r="AF253" s="1728">
        <f t="shared" si="598"/>
        <v>586.69967302220095</v>
      </c>
      <c r="AG253" s="1728">
        <f t="shared" si="598"/>
        <v>588.64332574530579</v>
      </c>
      <c r="AH253" s="1728">
        <f t="shared" si="598"/>
        <v>590.58697846841062</v>
      </c>
      <c r="AI253" s="1728">
        <f t="shared" si="598"/>
        <v>592.53063119151534</v>
      </c>
    </row>
    <row r="254" spans="2:35" x14ac:dyDescent="0.35">
      <c r="B254" s="78" t="s">
        <v>279</v>
      </c>
      <c r="C254" s="78"/>
      <c r="D254" s="78"/>
      <c r="E254" s="78"/>
      <c r="F254" s="1728">
        <f t="shared" ref="F254:AI254" si="599">F70*$K$11</f>
        <v>586.73571490986444</v>
      </c>
      <c r="G254" s="1728">
        <f t="shared" si="599"/>
        <v>591.90416696565342</v>
      </c>
      <c r="H254" s="1728">
        <f t="shared" si="599"/>
        <v>597.07261902144216</v>
      </c>
      <c r="I254" s="1728">
        <f t="shared" si="599"/>
        <v>602.24107107723103</v>
      </c>
      <c r="J254" s="1728">
        <f t="shared" si="599"/>
        <v>607.40952313301977</v>
      </c>
      <c r="K254" s="1728">
        <f t="shared" si="599"/>
        <v>612.67110045107506</v>
      </c>
      <c r="L254" s="1728">
        <f t="shared" si="599"/>
        <v>617.04798777759891</v>
      </c>
      <c r="M254" s="1728">
        <f t="shared" si="599"/>
        <v>621.42487510412275</v>
      </c>
      <c r="N254" s="1728">
        <f t="shared" si="599"/>
        <v>625.8017624306467</v>
      </c>
      <c r="O254" s="1728">
        <f t="shared" si="599"/>
        <v>630.17864975717055</v>
      </c>
      <c r="P254" s="1728">
        <f t="shared" si="599"/>
        <v>634.50897445256123</v>
      </c>
      <c r="Q254" s="1728">
        <f t="shared" si="599"/>
        <v>637.58210810735454</v>
      </c>
      <c r="R254" s="1728">
        <f t="shared" si="599"/>
        <v>640.65524176214785</v>
      </c>
      <c r="S254" s="1728">
        <f t="shared" si="599"/>
        <v>643.72837541694128</v>
      </c>
      <c r="T254" s="1728">
        <f t="shared" si="599"/>
        <v>646.80150907173459</v>
      </c>
      <c r="U254" s="1728">
        <f t="shared" si="599"/>
        <v>649.96776798879444</v>
      </c>
      <c r="V254" s="1728">
        <f t="shared" si="599"/>
        <v>652.20277428318968</v>
      </c>
      <c r="W254" s="1728">
        <f t="shared" si="599"/>
        <v>654.4377805775847</v>
      </c>
      <c r="X254" s="1728">
        <f t="shared" si="599"/>
        <v>656.67278687197995</v>
      </c>
      <c r="Y254" s="1728">
        <f t="shared" si="599"/>
        <v>658.90779316637509</v>
      </c>
      <c r="Z254" s="1728">
        <f t="shared" si="599"/>
        <v>661.23592472303676</v>
      </c>
      <c r="AA254" s="1728">
        <f t="shared" si="599"/>
        <v>663.47093101743189</v>
      </c>
      <c r="AB254" s="1728">
        <f t="shared" si="599"/>
        <v>665.70593731182714</v>
      </c>
      <c r="AC254" s="1728">
        <f t="shared" si="599"/>
        <v>667.94094360622228</v>
      </c>
      <c r="AD254" s="1728">
        <f t="shared" si="599"/>
        <v>670.1759499006173</v>
      </c>
      <c r="AE254" s="1728">
        <f t="shared" si="599"/>
        <v>672.41095619501255</v>
      </c>
      <c r="AF254" s="1728">
        <f t="shared" si="599"/>
        <v>674.64596248940768</v>
      </c>
      <c r="AG254" s="1728">
        <f t="shared" si="599"/>
        <v>676.88096878380293</v>
      </c>
      <c r="AH254" s="1728">
        <f t="shared" si="599"/>
        <v>679.11597507819806</v>
      </c>
      <c r="AI254" s="1728">
        <f t="shared" si="599"/>
        <v>681.3509813725932</v>
      </c>
    </row>
    <row r="255" spans="2:35" x14ac:dyDescent="0.35">
      <c r="B255" s="78" t="s">
        <v>280</v>
      </c>
      <c r="C255" s="78"/>
      <c r="D255" s="78"/>
      <c r="E255" s="78"/>
      <c r="F255" s="1728">
        <f t="shared" ref="F255:AI255" si="600">F70*$K$12</f>
        <v>433.16159872235147</v>
      </c>
      <c r="G255" s="1728">
        <f t="shared" si="600"/>
        <v>436.97724331073192</v>
      </c>
      <c r="H255" s="1728">
        <f t="shared" si="600"/>
        <v>440.79288789911226</v>
      </c>
      <c r="I255" s="1728">
        <f t="shared" si="600"/>
        <v>444.6085324874926</v>
      </c>
      <c r="J255" s="1728">
        <f t="shared" si="600"/>
        <v>448.42417707587299</v>
      </c>
      <c r="K255" s="1728">
        <f t="shared" si="600"/>
        <v>452.30857201719715</v>
      </c>
      <c r="L255" s="1728">
        <f t="shared" si="600"/>
        <v>455.5398386055553</v>
      </c>
      <c r="M255" s="1728">
        <f t="shared" si="600"/>
        <v>458.7711051939134</v>
      </c>
      <c r="N255" s="1728">
        <f t="shared" si="600"/>
        <v>462.00237178227161</v>
      </c>
      <c r="O255" s="1728">
        <f t="shared" si="600"/>
        <v>465.23363837062976</v>
      </c>
      <c r="P255" s="1728">
        <f t="shared" si="600"/>
        <v>468.43052978251603</v>
      </c>
      <c r="Q255" s="1728">
        <f t="shared" si="600"/>
        <v>470.69929142966106</v>
      </c>
      <c r="R255" s="1728">
        <f t="shared" si="600"/>
        <v>472.96805307680614</v>
      </c>
      <c r="S255" s="1728">
        <f t="shared" si="600"/>
        <v>475.23681472395128</v>
      </c>
      <c r="T255" s="1728">
        <f t="shared" si="600"/>
        <v>477.50557637109631</v>
      </c>
      <c r="U255" s="1728">
        <f t="shared" si="600"/>
        <v>479.84308837118522</v>
      </c>
      <c r="V255" s="1728">
        <f t="shared" si="600"/>
        <v>481.49309684183623</v>
      </c>
      <c r="W255" s="1728">
        <f t="shared" si="600"/>
        <v>483.14310531248714</v>
      </c>
      <c r="X255" s="1728">
        <f t="shared" si="600"/>
        <v>484.7931137831381</v>
      </c>
      <c r="Y255" s="1728">
        <f t="shared" si="600"/>
        <v>486.44312225378906</v>
      </c>
      <c r="Z255" s="1728">
        <f t="shared" si="600"/>
        <v>488.16188107738384</v>
      </c>
      <c r="AA255" s="1728">
        <f t="shared" si="600"/>
        <v>489.8118895480348</v>
      </c>
      <c r="AB255" s="1728">
        <f t="shared" si="600"/>
        <v>491.46189801868582</v>
      </c>
      <c r="AC255" s="1728">
        <f t="shared" si="600"/>
        <v>493.11190648933677</v>
      </c>
      <c r="AD255" s="1728">
        <f t="shared" si="600"/>
        <v>494.76191495998768</v>
      </c>
      <c r="AE255" s="1728">
        <f t="shared" si="600"/>
        <v>496.41192343063869</v>
      </c>
      <c r="AF255" s="1728">
        <f t="shared" si="600"/>
        <v>498.06193190128965</v>
      </c>
      <c r="AG255" s="1728">
        <f t="shared" si="600"/>
        <v>499.71194037194067</v>
      </c>
      <c r="AH255" s="1728">
        <f t="shared" si="600"/>
        <v>501.36194884259163</v>
      </c>
      <c r="AI255" s="1728">
        <f t="shared" si="600"/>
        <v>503.01195731324253</v>
      </c>
    </row>
    <row r="256" spans="2:35" x14ac:dyDescent="0.35">
      <c r="B256" s="78" t="s">
        <v>281</v>
      </c>
      <c r="C256" s="78"/>
      <c r="D256" s="78"/>
      <c r="E256" s="78"/>
      <c r="F256" s="1728">
        <f t="shared" ref="F256:AI256" si="601">F70*$K$13</f>
        <v>216.92603865404803</v>
      </c>
      <c r="G256" s="1728">
        <f t="shared" si="601"/>
        <v>218.83690210064748</v>
      </c>
      <c r="H256" s="1728">
        <f t="shared" si="601"/>
        <v>220.74776554724687</v>
      </c>
      <c r="I256" s="1728">
        <f t="shared" si="601"/>
        <v>222.65862899384629</v>
      </c>
      <c r="J256" s="1728">
        <f t="shared" si="601"/>
        <v>224.56949244044571</v>
      </c>
      <c r="K256" s="1728">
        <f t="shared" si="601"/>
        <v>226.51478585905596</v>
      </c>
      <c r="L256" s="1728">
        <f t="shared" si="601"/>
        <v>228.13299454356357</v>
      </c>
      <c r="M256" s="1728">
        <f t="shared" si="601"/>
        <v>229.75120322807118</v>
      </c>
      <c r="N256" s="1728">
        <f t="shared" si="601"/>
        <v>231.36941191257881</v>
      </c>
      <c r="O256" s="1728">
        <f t="shared" si="601"/>
        <v>232.98762059708642</v>
      </c>
      <c r="P256" s="1728">
        <f t="shared" si="601"/>
        <v>234.58861429558866</v>
      </c>
      <c r="Q256" s="1728">
        <f t="shared" si="601"/>
        <v>235.72480337194506</v>
      </c>
      <c r="R256" s="1728">
        <f t="shared" si="601"/>
        <v>236.86099244830146</v>
      </c>
      <c r="S256" s="1728">
        <f t="shared" si="601"/>
        <v>237.99718152465789</v>
      </c>
      <c r="T256" s="1728">
        <f t="shared" si="601"/>
        <v>239.13337060101429</v>
      </c>
      <c r="U256" s="1728">
        <f t="shared" si="601"/>
        <v>240.30398964938152</v>
      </c>
      <c r="V256" s="1728">
        <f t="shared" si="601"/>
        <v>241.13030897764074</v>
      </c>
      <c r="W256" s="1728">
        <f t="shared" si="601"/>
        <v>241.9566283058999</v>
      </c>
      <c r="X256" s="1728">
        <f t="shared" si="601"/>
        <v>242.78294763415911</v>
      </c>
      <c r="Y256" s="1728">
        <f t="shared" si="601"/>
        <v>243.60926696241836</v>
      </c>
      <c r="Z256" s="1728">
        <f t="shared" si="601"/>
        <v>244.47001626268835</v>
      </c>
      <c r="AA256" s="1728">
        <f t="shared" si="601"/>
        <v>245.29633559094756</v>
      </c>
      <c r="AB256" s="1728">
        <f t="shared" si="601"/>
        <v>246.12265491920678</v>
      </c>
      <c r="AC256" s="1728">
        <f t="shared" si="601"/>
        <v>246.948974247466</v>
      </c>
      <c r="AD256" s="1728">
        <f t="shared" si="601"/>
        <v>247.77529357572519</v>
      </c>
      <c r="AE256" s="1728">
        <f t="shared" si="601"/>
        <v>248.6016129039844</v>
      </c>
      <c r="AF256" s="1728">
        <f t="shared" si="601"/>
        <v>249.42793223224362</v>
      </c>
      <c r="AG256" s="1728">
        <f t="shared" si="601"/>
        <v>250.25425156050284</v>
      </c>
      <c r="AH256" s="1728">
        <f t="shared" si="601"/>
        <v>251.08057088876205</v>
      </c>
      <c r="AI256" s="1728">
        <f t="shared" si="601"/>
        <v>251.90689021702124</v>
      </c>
    </row>
    <row r="257" spans="2:35" x14ac:dyDescent="0.35">
      <c r="B257" s="78" t="s">
        <v>282</v>
      </c>
      <c r="C257" s="78"/>
      <c r="D257" s="78"/>
      <c r="E257" s="78"/>
      <c r="F257" s="1728">
        <f t="shared" ref="F257:AI257" si="602">F70*$K$14</f>
        <v>137.65213075777675</v>
      </c>
      <c r="G257" s="1728">
        <f t="shared" si="602"/>
        <v>138.8646842467152</v>
      </c>
      <c r="H257" s="1728">
        <f t="shared" si="602"/>
        <v>140.07723773565363</v>
      </c>
      <c r="I257" s="1728">
        <f t="shared" si="602"/>
        <v>141.28979122459205</v>
      </c>
      <c r="J257" s="1728">
        <f t="shared" si="602"/>
        <v>142.5023447135305</v>
      </c>
      <c r="K257" s="1728">
        <f t="shared" si="602"/>
        <v>143.73674601308045</v>
      </c>
      <c r="L257" s="1728">
        <f t="shared" si="602"/>
        <v>144.76359311182108</v>
      </c>
      <c r="M257" s="1728">
        <f t="shared" si="602"/>
        <v>145.79044021056174</v>
      </c>
      <c r="N257" s="1728">
        <f t="shared" si="602"/>
        <v>146.8172873093024</v>
      </c>
      <c r="O257" s="1728">
        <f t="shared" si="602"/>
        <v>147.84413440804306</v>
      </c>
      <c r="P257" s="1728">
        <f t="shared" si="602"/>
        <v>148.86005760147796</v>
      </c>
      <c r="Q257" s="1728">
        <f t="shared" si="602"/>
        <v>149.58103535165756</v>
      </c>
      <c r="R257" s="1728">
        <f t="shared" si="602"/>
        <v>150.30201310183716</v>
      </c>
      <c r="S257" s="1728">
        <f t="shared" si="602"/>
        <v>151.02299085201679</v>
      </c>
      <c r="T257" s="1728">
        <f t="shared" si="602"/>
        <v>151.74396860219639</v>
      </c>
      <c r="U257" s="1728">
        <f t="shared" si="602"/>
        <v>152.48679416298754</v>
      </c>
      <c r="V257" s="1728">
        <f t="shared" si="602"/>
        <v>153.01114161766361</v>
      </c>
      <c r="W257" s="1728">
        <f t="shared" si="602"/>
        <v>153.53548907233966</v>
      </c>
      <c r="X257" s="1728">
        <f t="shared" si="602"/>
        <v>154.05983652701576</v>
      </c>
      <c r="Y257" s="1728">
        <f t="shared" si="602"/>
        <v>154.58418398169184</v>
      </c>
      <c r="Z257" s="1728">
        <f t="shared" si="602"/>
        <v>155.13037924697943</v>
      </c>
      <c r="AA257" s="1728">
        <f t="shared" si="602"/>
        <v>155.65472670165551</v>
      </c>
      <c r="AB257" s="1728">
        <f t="shared" si="602"/>
        <v>156.17907415633158</v>
      </c>
      <c r="AC257" s="1728">
        <f t="shared" si="602"/>
        <v>156.70342161100768</v>
      </c>
      <c r="AD257" s="1728">
        <f t="shared" si="602"/>
        <v>157.22776906568373</v>
      </c>
      <c r="AE257" s="1728">
        <f t="shared" si="602"/>
        <v>157.75211652035981</v>
      </c>
      <c r="AF257" s="1728">
        <f t="shared" si="602"/>
        <v>158.27646397503591</v>
      </c>
      <c r="AG257" s="1728">
        <f t="shared" si="602"/>
        <v>158.80081142971198</v>
      </c>
      <c r="AH257" s="1728">
        <f t="shared" si="602"/>
        <v>159.32515888438809</v>
      </c>
      <c r="AI257" s="1728">
        <f t="shared" si="602"/>
        <v>159.84950633906413</v>
      </c>
    </row>
    <row r="258" spans="2:35" x14ac:dyDescent="0.35">
      <c r="B258" s="78" t="s">
        <v>283</v>
      </c>
      <c r="C258" s="78"/>
      <c r="D258" s="78"/>
      <c r="E258" s="78"/>
      <c r="F258" s="1728">
        <f t="shared" ref="F258:AI258" si="603">F70*$K$15</f>
        <v>15.766269190814588</v>
      </c>
      <c r="G258" s="1728">
        <f t="shared" si="603"/>
        <v>15.905151492233561</v>
      </c>
      <c r="H258" s="1728">
        <f t="shared" si="603"/>
        <v>16.044033793652527</v>
      </c>
      <c r="I258" s="1728">
        <f t="shared" si="603"/>
        <v>16.182916095071494</v>
      </c>
      <c r="J258" s="1728">
        <f t="shared" si="603"/>
        <v>16.321798396490461</v>
      </c>
      <c r="K258" s="1728">
        <f t="shared" si="603"/>
        <v>16.463183081718782</v>
      </c>
      <c r="L258" s="1728">
        <f t="shared" si="603"/>
        <v>16.580795120758268</v>
      </c>
      <c r="M258" s="1728">
        <f t="shared" si="603"/>
        <v>16.698407159797753</v>
      </c>
      <c r="N258" s="1728">
        <f t="shared" si="603"/>
        <v>16.816019198837242</v>
      </c>
      <c r="O258" s="1728">
        <f t="shared" si="603"/>
        <v>16.933631237876728</v>
      </c>
      <c r="P258" s="1728">
        <f t="shared" si="603"/>
        <v>17.049992085011542</v>
      </c>
      <c r="Q258" s="1728">
        <f t="shared" si="603"/>
        <v>17.132570750720117</v>
      </c>
      <c r="R258" s="1728">
        <f t="shared" si="603"/>
        <v>17.215149416428691</v>
      </c>
      <c r="S258" s="1728">
        <f t="shared" si="603"/>
        <v>17.297728082137269</v>
      </c>
      <c r="T258" s="1728">
        <f t="shared" si="603"/>
        <v>17.380306747845843</v>
      </c>
      <c r="U258" s="1728">
        <f t="shared" si="603"/>
        <v>17.465387797363771</v>
      </c>
      <c r="V258" s="1728">
        <f t="shared" si="603"/>
        <v>17.525445008788189</v>
      </c>
      <c r="W258" s="1728">
        <f t="shared" si="603"/>
        <v>17.585502220212607</v>
      </c>
      <c r="X258" s="1728">
        <f t="shared" si="603"/>
        <v>17.645559431637025</v>
      </c>
      <c r="Y258" s="1728">
        <f t="shared" si="603"/>
        <v>17.705616643061443</v>
      </c>
      <c r="Z258" s="1728">
        <f t="shared" si="603"/>
        <v>17.768176238295215</v>
      </c>
      <c r="AA258" s="1728">
        <f t="shared" si="603"/>
        <v>17.828233449719633</v>
      </c>
      <c r="AB258" s="1728">
        <f t="shared" si="603"/>
        <v>17.888290661144051</v>
      </c>
      <c r="AC258" s="1728">
        <f t="shared" si="603"/>
        <v>17.948347872568473</v>
      </c>
      <c r="AD258" s="1728">
        <f t="shared" si="603"/>
        <v>18.008405083992887</v>
      </c>
      <c r="AE258" s="1728">
        <f t="shared" si="603"/>
        <v>18.068462295417309</v>
      </c>
      <c r="AF258" s="1728">
        <f t="shared" si="603"/>
        <v>18.128519506841727</v>
      </c>
      <c r="AG258" s="1728">
        <f t="shared" si="603"/>
        <v>18.188576718266145</v>
      </c>
      <c r="AH258" s="1728">
        <f t="shared" si="603"/>
        <v>18.248633929690566</v>
      </c>
      <c r="AI258" s="1728">
        <f t="shared" si="603"/>
        <v>18.308691141114981</v>
      </c>
    </row>
    <row r="259" spans="2:35" x14ac:dyDescent="0.35">
      <c r="B259" s="78" t="s">
        <v>12</v>
      </c>
      <c r="C259" s="78"/>
      <c r="D259" s="78"/>
      <c r="E259" s="78"/>
      <c r="F259" s="1728">
        <f t="shared" ref="F259:AI259" si="604">F70*$K$16</f>
        <v>439.92983645453768</v>
      </c>
      <c r="G259" s="1728">
        <f t="shared" si="604"/>
        <v>443.80510126260486</v>
      </c>
      <c r="H259" s="1728">
        <f t="shared" si="604"/>
        <v>447.68036607067194</v>
      </c>
      <c r="I259" s="1728">
        <f t="shared" si="604"/>
        <v>451.55563087873907</v>
      </c>
      <c r="J259" s="1728">
        <f t="shared" si="604"/>
        <v>455.43089568680614</v>
      </c>
      <c r="K259" s="1728">
        <f t="shared" si="604"/>
        <v>459.37598508600962</v>
      </c>
      <c r="L259" s="1728">
        <f t="shared" si="604"/>
        <v>462.65774086941781</v>
      </c>
      <c r="M259" s="1728">
        <f t="shared" si="604"/>
        <v>465.93949665282594</v>
      </c>
      <c r="N259" s="1728">
        <f t="shared" si="604"/>
        <v>469.22125243623418</v>
      </c>
      <c r="O259" s="1728">
        <f t="shared" si="604"/>
        <v>472.50300821964237</v>
      </c>
      <c r="P259" s="1728">
        <f t="shared" si="604"/>
        <v>475.74985170748238</v>
      </c>
      <c r="Q259" s="1728">
        <f t="shared" si="604"/>
        <v>478.05406321498174</v>
      </c>
      <c r="R259" s="1728">
        <f t="shared" si="604"/>
        <v>480.35827472248104</v>
      </c>
      <c r="S259" s="1728">
        <f t="shared" si="604"/>
        <v>482.66248622998046</v>
      </c>
      <c r="T259" s="1728">
        <f t="shared" si="604"/>
        <v>484.96669773747982</v>
      </c>
      <c r="U259" s="1728">
        <f t="shared" si="604"/>
        <v>487.34073383611553</v>
      </c>
      <c r="V259" s="1728">
        <f t="shared" si="604"/>
        <v>489.01652402338783</v>
      </c>
      <c r="W259" s="1728">
        <f t="shared" si="604"/>
        <v>490.69231421066002</v>
      </c>
      <c r="X259" s="1728">
        <f t="shared" si="604"/>
        <v>492.36810439793231</v>
      </c>
      <c r="Y259" s="1728">
        <f t="shared" si="604"/>
        <v>494.04389458520461</v>
      </c>
      <c r="Z259" s="1728">
        <f t="shared" si="604"/>
        <v>495.78950936361321</v>
      </c>
      <c r="AA259" s="1728">
        <f t="shared" si="604"/>
        <v>497.4652995508855</v>
      </c>
      <c r="AB259" s="1728">
        <f t="shared" si="604"/>
        <v>499.14108973815775</v>
      </c>
      <c r="AC259" s="1728">
        <f t="shared" si="604"/>
        <v>500.81687992543004</v>
      </c>
      <c r="AD259" s="1728">
        <f t="shared" si="604"/>
        <v>502.49267011270223</v>
      </c>
      <c r="AE259" s="1728">
        <f t="shared" si="604"/>
        <v>504.16846029997453</v>
      </c>
      <c r="AF259" s="1728">
        <f t="shared" si="604"/>
        <v>505.84425048724682</v>
      </c>
      <c r="AG259" s="1728">
        <f t="shared" si="604"/>
        <v>507.52004067451907</v>
      </c>
      <c r="AH259" s="1728">
        <f t="shared" si="604"/>
        <v>509.19583086179136</v>
      </c>
      <c r="AI259" s="1728">
        <f t="shared" si="604"/>
        <v>510.87162104906355</v>
      </c>
    </row>
    <row r="260" spans="2:35" x14ac:dyDescent="0.35">
      <c r="B260" s="78" t="s">
        <v>13</v>
      </c>
      <c r="C260" s="78"/>
      <c r="D260" s="78"/>
      <c r="E260" s="78"/>
      <c r="F260" s="1728">
        <f t="shared" ref="F260:AI260" si="605">F70*$K$17</f>
        <v>24.559189899161083</v>
      </c>
      <c r="G260" s="1728">
        <f t="shared" si="605"/>
        <v>24.775527497669689</v>
      </c>
      <c r="H260" s="1728">
        <f t="shared" si="605"/>
        <v>24.991865096178287</v>
      </c>
      <c r="I260" s="1728">
        <f t="shared" si="605"/>
        <v>25.208202694686889</v>
      </c>
      <c r="J260" s="1728">
        <f t="shared" si="605"/>
        <v>25.424540293195488</v>
      </c>
      <c r="K260" s="1728">
        <f t="shared" si="605"/>
        <v>25.644775866451994</v>
      </c>
      <c r="L260" s="1728">
        <f t="shared" si="605"/>
        <v>25.827980679603421</v>
      </c>
      <c r="M260" s="1728">
        <f t="shared" si="605"/>
        <v>26.011185492754848</v>
      </c>
      <c r="N260" s="1728">
        <f t="shared" si="605"/>
        <v>26.194390305906278</v>
      </c>
      <c r="O260" s="1728">
        <f t="shared" si="605"/>
        <v>26.377595119057705</v>
      </c>
      <c r="P260" s="1728">
        <f t="shared" si="605"/>
        <v>26.558850944835182</v>
      </c>
      <c r="Q260" s="1728">
        <f t="shared" si="605"/>
        <v>26.687484111515971</v>
      </c>
      <c r="R260" s="1728">
        <f t="shared" si="605"/>
        <v>26.816117278196757</v>
      </c>
      <c r="S260" s="1728">
        <f t="shared" si="605"/>
        <v>26.944750444877553</v>
      </c>
      <c r="T260" s="1728">
        <f t="shared" si="605"/>
        <v>27.073383611558338</v>
      </c>
      <c r="U260" s="1728">
        <f t="shared" si="605"/>
        <v>27.205914752987034</v>
      </c>
      <c r="V260" s="1728">
        <f t="shared" si="605"/>
        <v>27.299466146936698</v>
      </c>
      <c r="W260" s="1728">
        <f t="shared" si="605"/>
        <v>27.393017540886362</v>
      </c>
      <c r="X260" s="1728">
        <f t="shared" si="605"/>
        <v>27.486568934836026</v>
      </c>
      <c r="Y260" s="1728">
        <f t="shared" si="605"/>
        <v>27.580120328785693</v>
      </c>
      <c r="Z260" s="1728">
        <f t="shared" si="605"/>
        <v>27.677569697483261</v>
      </c>
      <c r="AA260" s="1728">
        <f t="shared" si="605"/>
        <v>27.771121091432928</v>
      </c>
      <c r="AB260" s="1728">
        <f t="shared" si="605"/>
        <v>27.864672485382595</v>
      </c>
      <c r="AC260" s="1728">
        <f t="shared" si="605"/>
        <v>27.958223879332259</v>
      </c>
      <c r="AD260" s="1728">
        <f t="shared" si="605"/>
        <v>28.051775273281923</v>
      </c>
      <c r="AE260" s="1728">
        <f t="shared" si="605"/>
        <v>28.145326667231586</v>
      </c>
      <c r="AF260" s="1728">
        <f t="shared" si="605"/>
        <v>28.238878061181254</v>
      </c>
      <c r="AG260" s="1728">
        <f t="shared" si="605"/>
        <v>28.332429455130921</v>
      </c>
      <c r="AH260" s="1728">
        <f t="shared" si="605"/>
        <v>28.425980849080585</v>
      </c>
      <c r="AI260" s="1728">
        <f t="shared" si="605"/>
        <v>28.519532243030248</v>
      </c>
    </row>
    <row r="261" spans="2:35" x14ac:dyDescent="0.35">
      <c r="B261" s="78" t="s">
        <v>14</v>
      </c>
      <c r="C261" s="78"/>
      <c r="D261" s="78"/>
      <c r="E261" s="78"/>
      <c r="F261" s="1728">
        <f t="shared" ref="F261:AI261" si="606">F70*$K$18</f>
        <v>91.830014405558842</v>
      </c>
      <c r="G261" s="1728">
        <f t="shared" si="606"/>
        <v>92.638928904330143</v>
      </c>
      <c r="H261" s="1728">
        <f t="shared" si="606"/>
        <v>93.44784340310143</v>
      </c>
      <c r="I261" s="1728">
        <f t="shared" si="606"/>
        <v>94.256757901872717</v>
      </c>
      <c r="J261" s="1728">
        <f t="shared" si="606"/>
        <v>95.065672400644004</v>
      </c>
      <c r="K261" s="1728">
        <f t="shared" si="606"/>
        <v>95.8891619354292</v>
      </c>
      <c r="L261" s="1728">
        <f t="shared" si="606"/>
        <v>96.574188628082354</v>
      </c>
      <c r="M261" s="1728">
        <f t="shared" si="606"/>
        <v>97.259215320735521</v>
      </c>
      <c r="N261" s="1728">
        <f t="shared" si="606"/>
        <v>97.944242013388688</v>
      </c>
      <c r="O261" s="1728">
        <f t="shared" si="606"/>
        <v>98.629268706041856</v>
      </c>
      <c r="P261" s="1728">
        <f t="shared" si="606"/>
        <v>99.307007880688076</v>
      </c>
      <c r="Q261" s="1728">
        <f t="shared" si="606"/>
        <v>99.787984069146674</v>
      </c>
      <c r="R261" s="1728">
        <f t="shared" si="606"/>
        <v>100.26896025760527</v>
      </c>
      <c r="S261" s="1728">
        <f t="shared" si="606"/>
        <v>100.74993644606388</v>
      </c>
      <c r="T261" s="1728">
        <f t="shared" si="606"/>
        <v>101.23091263452248</v>
      </c>
      <c r="U261" s="1728">
        <f t="shared" si="606"/>
        <v>101.72646385899499</v>
      </c>
      <c r="V261" s="1728">
        <f t="shared" si="606"/>
        <v>102.07626472332853</v>
      </c>
      <c r="W261" s="1728">
        <f t="shared" si="606"/>
        <v>102.42606558766204</v>
      </c>
      <c r="X261" s="1728">
        <f t="shared" si="606"/>
        <v>102.77586645199558</v>
      </c>
      <c r="Y261" s="1728">
        <f t="shared" si="606"/>
        <v>103.12566731632911</v>
      </c>
      <c r="Z261" s="1728">
        <f t="shared" si="606"/>
        <v>103.49004321667654</v>
      </c>
      <c r="AA261" s="1728">
        <f t="shared" si="606"/>
        <v>103.83984408101007</v>
      </c>
      <c r="AB261" s="1728">
        <f t="shared" si="606"/>
        <v>104.18964494534362</v>
      </c>
      <c r="AC261" s="1728">
        <f t="shared" si="606"/>
        <v>104.53944580967715</v>
      </c>
      <c r="AD261" s="1728">
        <f t="shared" si="606"/>
        <v>104.88924667401066</v>
      </c>
      <c r="AE261" s="1728">
        <f t="shared" si="606"/>
        <v>105.2390475383442</v>
      </c>
      <c r="AF261" s="1728">
        <f t="shared" si="606"/>
        <v>105.58884840267773</v>
      </c>
      <c r="AG261" s="1728">
        <f t="shared" si="606"/>
        <v>105.93864926701127</v>
      </c>
      <c r="AH261" s="1728">
        <f t="shared" si="606"/>
        <v>106.2884501313448</v>
      </c>
      <c r="AI261" s="1728">
        <f t="shared" si="606"/>
        <v>106.63825099567832</v>
      </c>
    </row>
    <row r="262" spans="2:35" x14ac:dyDescent="0.35">
      <c r="B262" s="728" t="s">
        <v>200</v>
      </c>
      <c r="C262" s="728"/>
      <c r="D262" s="728"/>
      <c r="E262" s="728"/>
      <c r="F262" s="1729">
        <f>SUM(F251:F261)</f>
        <v>4365.1290568595887</v>
      </c>
      <c r="G262" s="1729">
        <f t="shared" ref="G262" si="607">SUM(G251:G261)</f>
        <v>4403.5807134988563</v>
      </c>
      <c r="H262" s="1729">
        <f t="shared" ref="H262" si="608">SUM(H251:H261)</f>
        <v>4442.032370138124</v>
      </c>
      <c r="I262" s="1729">
        <f t="shared" ref="I262" si="609">SUM(I251:I261)</f>
        <v>4480.4840267773916</v>
      </c>
      <c r="J262" s="1729">
        <f t="shared" ref="J262" si="610">SUM(J251:J261)</f>
        <v>4518.9356834166592</v>
      </c>
      <c r="K262" s="1729">
        <f t="shared" ref="K262" si="611">SUM(K251:K261)</f>
        <v>4558.0801626980756</v>
      </c>
      <c r="L262" s="1729">
        <f t="shared" ref="L262" si="612">SUM(L251:L261)</f>
        <v>4590.6428268790778</v>
      </c>
      <c r="M262" s="1729">
        <f t="shared" ref="M262" si="613">SUM(M251:M261)</f>
        <v>4623.2054910600782</v>
      </c>
      <c r="N262" s="1729">
        <f t="shared" ref="N262" si="614">SUM(N251:N261)</f>
        <v>4655.7681552410804</v>
      </c>
      <c r="O262" s="1729">
        <f t="shared" ref="O262" si="615">SUM(O251:O261)</f>
        <v>4688.3308194220826</v>
      </c>
      <c r="P262" s="1729">
        <f t="shared" ref="P262" si="616">SUM(P251:P261)</f>
        <v>4720.54707228201</v>
      </c>
      <c r="Q262" s="1729">
        <f t="shared" ref="Q262" si="617">SUM(Q251:Q261)</f>
        <v>4743.4102194729257</v>
      </c>
      <c r="R262" s="1729">
        <f t="shared" ref="R262" si="618">SUM(R251:R261)</f>
        <v>4766.2733666638414</v>
      </c>
      <c r="S262" s="1729">
        <f t="shared" ref="S262" si="619">SUM(S251:S261)</f>
        <v>4789.1365138547571</v>
      </c>
      <c r="T262" s="1729">
        <f t="shared" ref="T262" si="620">SUM(T251:T261)</f>
        <v>4811.9996610456737</v>
      </c>
      <c r="U262" s="1729">
        <f t="shared" ref="U262" si="621">SUM(U251:U261)</f>
        <v>4835.55563087874</v>
      </c>
      <c r="V262" s="1729">
        <f t="shared" ref="V262" si="622">SUM(V251:V261)</f>
        <v>4852.1833742903136</v>
      </c>
      <c r="W262" s="1729">
        <f t="shared" ref="W262" si="623">SUM(W251:W261)</f>
        <v>4868.8111177018882</v>
      </c>
      <c r="X262" s="1729">
        <f t="shared" ref="X262" si="624">SUM(X251:X261)</f>
        <v>4885.4388611134636</v>
      </c>
      <c r="Y262" s="1729">
        <f t="shared" ref="Y262" si="625">SUM(Y251:Y261)</f>
        <v>4902.06660452504</v>
      </c>
      <c r="Z262" s="1729">
        <f t="shared" ref="Z262" si="626">SUM(Z251:Z261)</f>
        <v>4919.387170578766</v>
      </c>
      <c r="AA262" s="1729">
        <f t="shared" ref="AA262" si="627">SUM(AA251:AA261)</f>
        <v>4936.0149139903406</v>
      </c>
      <c r="AB262" s="1729">
        <f t="shared" ref="AB262" si="628">SUM(AB251:AB261)</f>
        <v>4952.6426574019151</v>
      </c>
      <c r="AC262" s="1729">
        <f t="shared" ref="AC262" si="629">SUM(AC251:AC261)</f>
        <v>4969.2704008134906</v>
      </c>
      <c r="AD262" s="1729">
        <f t="shared" ref="AD262" si="630">SUM(AD251:AD261)</f>
        <v>4985.8981442250661</v>
      </c>
      <c r="AE262" s="1729">
        <f t="shared" ref="AE262" si="631">SUM(AE251:AE261)</f>
        <v>5002.5258876366415</v>
      </c>
      <c r="AF262" s="1729">
        <f t="shared" ref="AF262" si="632">SUM(AF251:AF261)</f>
        <v>5019.1536310482152</v>
      </c>
      <c r="AG262" s="1729">
        <f t="shared" ref="AG262" si="633">SUM(AG251:AG261)</f>
        <v>5035.7813744597906</v>
      </c>
      <c r="AH262" s="1729">
        <f t="shared" ref="AH262" si="634">SUM(AH251:AH261)</f>
        <v>5052.4091178713661</v>
      </c>
      <c r="AI262" s="1729">
        <f t="shared" ref="AI262" si="635">SUM(AI251:AI261)</f>
        <v>5069.0368612829407</v>
      </c>
    </row>
    <row r="263" spans="2:35" x14ac:dyDescent="0.35">
      <c r="E263" s="281" t="s">
        <v>332</v>
      </c>
      <c r="F263" s="1725">
        <f t="shared" ref="F263:AI263" si="636">F262-F70</f>
        <v>0</v>
      </c>
      <c r="G263" s="1725">
        <f t="shared" si="636"/>
        <v>0</v>
      </c>
      <c r="H263" s="1725">
        <f t="shared" si="636"/>
        <v>0</v>
      </c>
      <c r="I263" s="1725">
        <f t="shared" si="636"/>
        <v>0</v>
      </c>
      <c r="J263" s="1725">
        <f t="shared" si="636"/>
        <v>0</v>
      </c>
      <c r="K263" s="1725">
        <f t="shared" si="636"/>
        <v>0</v>
      </c>
      <c r="L263" s="1725">
        <f t="shared" si="636"/>
        <v>0</v>
      </c>
      <c r="M263" s="1725">
        <f t="shared" si="636"/>
        <v>0</v>
      </c>
      <c r="N263" s="1725">
        <f t="shared" si="636"/>
        <v>0</v>
      </c>
      <c r="O263" s="1725">
        <f t="shared" si="636"/>
        <v>0</v>
      </c>
      <c r="P263" s="1725">
        <f t="shared" si="636"/>
        <v>0</v>
      </c>
      <c r="Q263" s="1725">
        <f t="shared" si="636"/>
        <v>0</v>
      </c>
      <c r="R263" s="1725">
        <f t="shared" si="636"/>
        <v>0</v>
      </c>
      <c r="S263" s="1725">
        <f t="shared" si="636"/>
        <v>0</v>
      </c>
      <c r="T263" s="1725">
        <f t="shared" si="636"/>
        <v>0</v>
      </c>
      <c r="U263" s="1725">
        <f t="shared" si="636"/>
        <v>0</v>
      </c>
      <c r="V263" s="1725">
        <f t="shared" si="636"/>
        <v>0</v>
      </c>
      <c r="W263" s="1725">
        <f t="shared" si="636"/>
        <v>0</v>
      </c>
      <c r="X263" s="1725">
        <f t="shared" si="636"/>
        <v>0</v>
      </c>
      <c r="Y263" s="1725">
        <f t="shared" si="636"/>
        <v>0</v>
      </c>
      <c r="Z263" s="1725">
        <f t="shared" si="636"/>
        <v>0</v>
      </c>
      <c r="AA263" s="1725">
        <f t="shared" si="636"/>
        <v>0</v>
      </c>
      <c r="AB263" s="1725">
        <f t="shared" si="636"/>
        <v>0</v>
      </c>
      <c r="AC263" s="1725">
        <f t="shared" si="636"/>
        <v>0</v>
      </c>
      <c r="AD263" s="1725">
        <f t="shared" si="636"/>
        <v>0</v>
      </c>
      <c r="AE263" s="1725">
        <f t="shared" si="636"/>
        <v>0</v>
      </c>
      <c r="AF263" s="1725">
        <f t="shared" si="636"/>
        <v>0</v>
      </c>
      <c r="AG263" s="1725">
        <f t="shared" si="636"/>
        <v>0</v>
      </c>
      <c r="AH263" s="1725">
        <f t="shared" si="636"/>
        <v>0</v>
      </c>
      <c r="AI263" s="1725">
        <f t="shared" si="636"/>
        <v>0</v>
      </c>
    </row>
    <row r="264" spans="2:35" x14ac:dyDescent="0.35">
      <c r="B264" s="728" t="s">
        <v>333</v>
      </c>
      <c r="C264" s="728"/>
      <c r="D264" s="728"/>
      <c r="E264" s="728"/>
      <c r="F264" s="1729">
        <f>+F247+F232+F217+F202+F187+F172+F157+F142</f>
        <v>120762.24040977869</v>
      </c>
      <c r="G264" s="1729">
        <f t="shared" ref="G264:AI264" si="637">+G247+G232+G217+G202+G187+G172+G157+G142</f>
        <v>121299.51422170886</v>
      </c>
      <c r="H264" s="1729">
        <f t="shared" si="637"/>
        <v>121836.78803363899</v>
      </c>
      <c r="I264" s="1729">
        <f t="shared" si="637"/>
        <v>122374.06184556911</v>
      </c>
      <c r="J264" s="1729">
        <f t="shared" si="637"/>
        <v>122911.33565749925</v>
      </c>
      <c r="K264" s="1729">
        <f t="shared" si="637"/>
        <v>123447.74829154795</v>
      </c>
      <c r="L264" s="1729">
        <f t="shared" si="637"/>
        <v>123915.24330956601</v>
      </c>
      <c r="M264" s="1729">
        <f t="shared" si="637"/>
        <v>124382.73832758403</v>
      </c>
      <c r="N264" s="1729">
        <f t="shared" si="637"/>
        <v>124850.23334560207</v>
      </c>
      <c r="O264" s="1729">
        <f t="shared" si="637"/>
        <v>125317.7283636201</v>
      </c>
      <c r="P264" s="1729">
        <f t="shared" si="637"/>
        <v>125784.51147951338</v>
      </c>
      <c r="Q264" s="1729">
        <f t="shared" si="637"/>
        <v>126048.87301190109</v>
      </c>
      <c r="R264" s="1729">
        <f t="shared" si="637"/>
        <v>126313.23454428876</v>
      </c>
      <c r="S264" s="1729">
        <f t="shared" si="637"/>
        <v>126577.59607667646</v>
      </c>
      <c r="T264" s="1729">
        <f t="shared" si="637"/>
        <v>126841.95760906411</v>
      </c>
      <c r="U264" s="1729">
        <f t="shared" si="637"/>
        <v>127106.99342325887</v>
      </c>
      <c r="V264" s="1729">
        <f t="shared" si="637"/>
        <v>127203.1403509537</v>
      </c>
      <c r="W264" s="1729">
        <f t="shared" si="637"/>
        <v>127299.28727864857</v>
      </c>
      <c r="X264" s="1729">
        <f t="shared" si="637"/>
        <v>127395.4342063434</v>
      </c>
      <c r="Y264" s="1729">
        <f t="shared" si="637"/>
        <v>127491.58113403826</v>
      </c>
      <c r="Z264" s="1729">
        <f t="shared" si="637"/>
        <v>127587.18366212261</v>
      </c>
      <c r="AA264" s="1729">
        <f t="shared" si="637"/>
        <v>127683.33058981741</v>
      </c>
      <c r="AB264" s="1729">
        <f t="shared" si="637"/>
        <v>127779.47751751231</v>
      </c>
      <c r="AC264" s="1729">
        <f t="shared" si="637"/>
        <v>127875.62444520716</v>
      </c>
      <c r="AD264" s="1729">
        <f t="shared" si="637"/>
        <v>127971.771372902</v>
      </c>
      <c r="AE264" s="1729">
        <f t="shared" si="637"/>
        <v>128067.91830059687</v>
      </c>
      <c r="AF264" s="1729">
        <f t="shared" si="637"/>
        <v>128164.06522829173</v>
      </c>
      <c r="AG264" s="1729">
        <f t="shared" si="637"/>
        <v>128260.21215598656</v>
      </c>
      <c r="AH264" s="1729">
        <f t="shared" si="637"/>
        <v>128356.35908368143</v>
      </c>
      <c r="AI264" s="1729">
        <f t="shared" si="637"/>
        <v>128452.50601137626</v>
      </c>
    </row>
    <row r="265" spans="2:35" x14ac:dyDescent="0.35">
      <c r="E265" s="281" t="s">
        <v>332</v>
      </c>
      <c r="F265" s="1725">
        <f t="shared" ref="F265:AI265" si="638">F264-F71</f>
        <v>-4365.129056859616</v>
      </c>
      <c r="G265" s="1725">
        <f t="shared" si="638"/>
        <v>-4403.5807134988572</v>
      </c>
      <c r="H265" s="1725">
        <f t="shared" si="638"/>
        <v>-4442.032370138113</v>
      </c>
      <c r="I265" s="1725">
        <f t="shared" si="638"/>
        <v>-4480.4840267773834</v>
      </c>
      <c r="J265" s="1725">
        <f t="shared" si="638"/>
        <v>-4518.9356834166683</v>
      </c>
      <c r="K265" s="1725">
        <f t="shared" si="638"/>
        <v>-4558.0801626980683</v>
      </c>
      <c r="L265" s="1725">
        <f t="shared" si="638"/>
        <v>-4590.6428268790478</v>
      </c>
      <c r="M265" s="1725">
        <f t="shared" si="638"/>
        <v>-4623.2054910600709</v>
      </c>
      <c r="N265" s="1725">
        <f t="shared" si="638"/>
        <v>-4655.768155241065</v>
      </c>
      <c r="O265" s="1725">
        <f t="shared" si="638"/>
        <v>-4688.3308194220881</v>
      </c>
      <c r="P265" s="1725">
        <f t="shared" si="638"/>
        <v>-4720.5470722820173</v>
      </c>
      <c r="Q265" s="1725">
        <f t="shared" si="638"/>
        <v>-4743.4102194729203</v>
      </c>
      <c r="R265" s="1725">
        <f t="shared" si="638"/>
        <v>-4766.2733666638524</v>
      </c>
      <c r="S265" s="1725">
        <f t="shared" si="638"/>
        <v>-4789.1365138547408</v>
      </c>
      <c r="T265" s="1725">
        <f t="shared" si="638"/>
        <v>-4811.9996610456874</v>
      </c>
      <c r="U265" s="1725">
        <f t="shared" si="638"/>
        <v>-4835.5556308787054</v>
      </c>
      <c r="V265" s="1725">
        <f t="shared" si="638"/>
        <v>-4852.1833742902963</v>
      </c>
      <c r="W265" s="1725">
        <f t="shared" si="638"/>
        <v>-4868.8111177018873</v>
      </c>
      <c r="X265" s="1725">
        <f t="shared" si="638"/>
        <v>-4885.4388611134782</v>
      </c>
      <c r="Y265" s="1725">
        <f t="shared" si="638"/>
        <v>-4902.06660452504</v>
      </c>
      <c r="Z265" s="1725">
        <f t="shared" si="638"/>
        <v>-4919.3871705787606</v>
      </c>
      <c r="AA265" s="1725">
        <f t="shared" si="638"/>
        <v>-4936.0149139903806</v>
      </c>
      <c r="AB265" s="1725">
        <f t="shared" si="638"/>
        <v>-4952.6426574019133</v>
      </c>
      <c r="AC265" s="1725">
        <f t="shared" si="638"/>
        <v>-4969.2704008134897</v>
      </c>
      <c r="AD265" s="1725">
        <f t="shared" si="638"/>
        <v>-4985.8981442250661</v>
      </c>
      <c r="AE265" s="1725">
        <f t="shared" si="638"/>
        <v>-5002.5258876366279</v>
      </c>
      <c r="AF265" s="1725">
        <f t="shared" si="638"/>
        <v>-5019.1536310481897</v>
      </c>
      <c r="AG265" s="1725">
        <f t="shared" si="638"/>
        <v>-5035.7813744597806</v>
      </c>
      <c r="AH265" s="1725">
        <f t="shared" si="638"/>
        <v>-5052.4091178713716</v>
      </c>
      <c r="AI265" s="1725">
        <f t="shared" si="638"/>
        <v>-5069.0368612829625</v>
      </c>
    </row>
    <row r="267" spans="2:35" ht="18.5" x14ac:dyDescent="0.45">
      <c r="B267" s="102" t="s">
        <v>334</v>
      </c>
    </row>
    <row r="269" spans="2:35" ht="15.5" x14ac:dyDescent="0.35">
      <c r="B269" s="86" t="s">
        <v>1</v>
      </c>
    </row>
    <row r="270" spans="2:35" x14ac:dyDescent="0.35">
      <c r="B270" s="1731" t="s">
        <v>273</v>
      </c>
      <c r="C270" s="1731"/>
      <c r="D270" s="1731"/>
      <c r="E270" s="1731"/>
      <c r="F270" s="1732">
        <v>1</v>
      </c>
      <c r="G270" s="1732">
        <f>F270+1</f>
        <v>2</v>
      </c>
      <c r="H270" s="1732">
        <f t="shared" ref="H270" si="639">G270+1</f>
        <v>3</v>
      </c>
      <c r="I270" s="1732">
        <f t="shared" ref="I270" si="640">H270+1</f>
        <v>4</v>
      </c>
      <c r="J270" s="1732">
        <f t="shared" ref="J270" si="641">I270+1</f>
        <v>5</v>
      </c>
      <c r="K270" s="1732">
        <f t="shared" ref="K270" si="642">J270+1</f>
        <v>6</v>
      </c>
      <c r="L270" s="1732">
        <f t="shared" ref="L270" si="643">K270+1</f>
        <v>7</v>
      </c>
      <c r="M270" s="1732">
        <f t="shared" ref="M270" si="644">L270+1</f>
        <v>8</v>
      </c>
      <c r="N270" s="1732">
        <f t="shared" ref="N270" si="645">M270+1</f>
        <v>9</v>
      </c>
      <c r="O270" s="1732">
        <f t="shared" ref="O270" si="646">N270+1</f>
        <v>10</v>
      </c>
      <c r="P270" s="1732">
        <f t="shared" ref="P270" si="647">O270+1</f>
        <v>11</v>
      </c>
      <c r="Q270" s="1732">
        <f t="shared" ref="Q270" si="648">P270+1</f>
        <v>12</v>
      </c>
      <c r="R270" s="1732">
        <f t="shared" ref="R270" si="649">Q270+1</f>
        <v>13</v>
      </c>
      <c r="S270" s="1732">
        <f t="shared" ref="S270" si="650">R270+1</f>
        <v>14</v>
      </c>
      <c r="T270" s="1732">
        <f t="shared" ref="T270" si="651">S270+1</f>
        <v>15</v>
      </c>
      <c r="U270" s="1732">
        <f t="shared" ref="U270" si="652">T270+1</f>
        <v>16</v>
      </c>
      <c r="V270" s="1732">
        <f t="shared" ref="V270" si="653">U270+1</f>
        <v>17</v>
      </c>
      <c r="W270" s="1732">
        <f t="shared" ref="W270" si="654">V270+1</f>
        <v>18</v>
      </c>
      <c r="X270" s="1732">
        <f t="shared" ref="X270" si="655">W270+1</f>
        <v>19</v>
      </c>
      <c r="Y270" s="1732">
        <f t="shared" ref="Y270" si="656">X270+1</f>
        <v>20</v>
      </c>
      <c r="Z270" s="1732">
        <f t="shared" ref="Z270" si="657">Y270+1</f>
        <v>21</v>
      </c>
      <c r="AA270" s="1732">
        <f t="shared" ref="AA270" si="658">Z270+1</f>
        <v>22</v>
      </c>
      <c r="AB270" s="1732">
        <f t="shared" ref="AB270" si="659">AA270+1</f>
        <v>23</v>
      </c>
      <c r="AC270" s="1732">
        <f t="shared" ref="AC270" si="660">AB270+1</f>
        <v>24</v>
      </c>
      <c r="AD270" s="1732">
        <f t="shared" ref="AD270" si="661">AC270+1</f>
        <v>25</v>
      </c>
      <c r="AE270" s="1732">
        <f t="shared" ref="AE270" si="662">AD270+1</f>
        <v>26</v>
      </c>
      <c r="AF270" s="1732">
        <f t="shared" ref="AF270" si="663">AE270+1</f>
        <v>27</v>
      </c>
      <c r="AG270" s="1732">
        <f t="shared" ref="AG270" si="664">AF270+1</f>
        <v>28</v>
      </c>
      <c r="AH270" s="1732">
        <f t="shared" ref="AH270" si="665">AG270+1</f>
        <v>29</v>
      </c>
      <c r="AI270" s="1732">
        <f t="shared" ref="AI270" si="666">AH270+1</f>
        <v>30</v>
      </c>
    </row>
    <row r="271" spans="2:35" x14ac:dyDescent="0.35">
      <c r="B271" s="726" t="s">
        <v>276</v>
      </c>
      <c r="C271" s="726"/>
      <c r="D271" s="726"/>
      <c r="E271" s="726"/>
      <c r="F271" s="1726">
        <f t="shared" ref="F271:AI271" si="667">F88*$C$33</f>
        <v>53317.611893730624</v>
      </c>
      <c r="G271" s="1726">
        <f t="shared" si="667"/>
        <v>53014.900244069031</v>
      </c>
      <c r="H271" s="1726">
        <f t="shared" si="667"/>
        <v>52712.188594407417</v>
      </c>
      <c r="I271" s="1726">
        <f t="shared" si="667"/>
        <v>52409.476944745824</v>
      </c>
      <c r="J271" s="1726">
        <f t="shared" si="667"/>
        <v>52106.765295084209</v>
      </c>
      <c r="K271" s="1726">
        <f t="shared" si="667"/>
        <v>51804.053645422609</v>
      </c>
      <c r="L271" s="1726">
        <f t="shared" si="667"/>
        <v>51420.618889184574</v>
      </c>
      <c r="M271" s="1726">
        <f t="shared" si="667"/>
        <v>51037.184132946546</v>
      </c>
      <c r="N271" s="1726">
        <f t="shared" si="667"/>
        <v>50653.749376708511</v>
      </c>
      <c r="O271" s="1726">
        <f t="shared" si="667"/>
        <v>50270.314620470475</v>
      </c>
      <c r="P271" s="1726">
        <f t="shared" si="667"/>
        <v>49927.241417520658</v>
      </c>
      <c r="Q271" s="1726">
        <f t="shared" si="667"/>
        <v>49483.264331350307</v>
      </c>
      <c r="R271" s="1726">
        <f t="shared" si="667"/>
        <v>49039.287245179949</v>
      </c>
      <c r="S271" s="1726">
        <f t="shared" si="667"/>
        <v>48595.310159009598</v>
      </c>
      <c r="T271" s="1726">
        <f t="shared" si="667"/>
        <v>48151.333072839239</v>
      </c>
      <c r="U271" s="1726">
        <f t="shared" si="667"/>
        <v>47727.536763312994</v>
      </c>
      <c r="V271" s="1726">
        <f t="shared" si="667"/>
        <v>47263.378900498537</v>
      </c>
      <c r="W271" s="1726">
        <f t="shared" si="667"/>
        <v>46799.221037684074</v>
      </c>
      <c r="X271" s="1726">
        <f t="shared" si="667"/>
        <v>46335.063174869611</v>
      </c>
      <c r="Y271" s="1726">
        <f t="shared" si="667"/>
        <v>45870.905312055154</v>
      </c>
      <c r="Z271" s="1726">
        <f t="shared" si="667"/>
        <v>45366.38589595248</v>
      </c>
      <c r="AA271" s="1726">
        <f t="shared" si="667"/>
        <v>44902.228033138024</v>
      </c>
      <c r="AB271" s="1726">
        <f t="shared" si="667"/>
        <v>44438.070170323561</v>
      </c>
      <c r="AC271" s="1726">
        <f t="shared" si="667"/>
        <v>43973.912307509097</v>
      </c>
      <c r="AD271" s="1726">
        <f t="shared" si="667"/>
        <v>43509.754444694641</v>
      </c>
      <c r="AE271" s="1726">
        <f t="shared" si="667"/>
        <v>43045.596581880178</v>
      </c>
      <c r="AF271" s="1726">
        <f t="shared" si="667"/>
        <v>42581.438719065714</v>
      </c>
      <c r="AG271" s="1726">
        <f t="shared" si="667"/>
        <v>42117.280856251258</v>
      </c>
      <c r="AH271" s="1726">
        <f t="shared" si="667"/>
        <v>41653.122993436802</v>
      </c>
      <c r="AI271" s="1726">
        <f t="shared" si="667"/>
        <v>41188.965130622339</v>
      </c>
    </row>
    <row r="272" spans="2:35" x14ac:dyDescent="0.35">
      <c r="B272" s="726" t="s">
        <v>277</v>
      </c>
      <c r="C272" s="726"/>
      <c r="D272" s="726"/>
      <c r="E272" s="726"/>
      <c r="F272" s="1726">
        <f t="shared" ref="F272:AI272" si="668">F88*$C$34</f>
        <v>0</v>
      </c>
      <c r="G272" s="1726">
        <f t="shared" si="668"/>
        <v>0</v>
      </c>
      <c r="H272" s="1726">
        <f t="shared" si="668"/>
        <v>0</v>
      </c>
      <c r="I272" s="1726">
        <f t="shared" si="668"/>
        <v>0</v>
      </c>
      <c r="J272" s="1726">
        <f t="shared" si="668"/>
        <v>0</v>
      </c>
      <c r="K272" s="1726">
        <f t="shared" si="668"/>
        <v>0</v>
      </c>
      <c r="L272" s="1726">
        <f t="shared" si="668"/>
        <v>0</v>
      </c>
      <c r="M272" s="1726">
        <f t="shared" si="668"/>
        <v>0</v>
      </c>
      <c r="N272" s="1726">
        <f t="shared" si="668"/>
        <v>0</v>
      </c>
      <c r="O272" s="1726">
        <f t="shared" si="668"/>
        <v>0</v>
      </c>
      <c r="P272" s="1726">
        <f t="shared" si="668"/>
        <v>0</v>
      </c>
      <c r="Q272" s="1726">
        <f t="shared" si="668"/>
        <v>0</v>
      </c>
      <c r="R272" s="1726">
        <f t="shared" si="668"/>
        <v>0</v>
      </c>
      <c r="S272" s="1726">
        <f t="shared" si="668"/>
        <v>0</v>
      </c>
      <c r="T272" s="1726">
        <f t="shared" si="668"/>
        <v>0</v>
      </c>
      <c r="U272" s="1726">
        <f t="shared" si="668"/>
        <v>0</v>
      </c>
      <c r="V272" s="1726">
        <f t="shared" si="668"/>
        <v>0</v>
      </c>
      <c r="W272" s="1726">
        <f t="shared" si="668"/>
        <v>0</v>
      </c>
      <c r="X272" s="1726">
        <f t="shared" si="668"/>
        <v>0</v>
      </c>
      <c r="Y272" s="1726">
        <f t="shared" si="668"/>
        <v>0</v>
      </c>
      <c r="Z272" s="1726">
        <f t="shared" si="668"/>
        <v>0</v>
      </c>
      <c r="AA272" s="1726">
        <f t="shared" si="668"/>
        <v>0</v>
      </c>
      <c r="AB272" s="1726">
        <f t="shared" si="668"/>
        <v>0</v>
      </c>
      <c r="AC272" s="1726">
        <f t="shared" si="668"/>
        <v>0</v>
      </c>
      <c r="AD272" s="1726">
        <f t="shared" si="668"/>
        <v>0</v>
      </c>
      <c r="AE272" s="1726">
        <f t="shared" si="668"/>
        <v>0</v>
      </c>
      <c r="AF272" s="1726">
        <f t="shared" si="668"/>
        <v>0</v>
      </c>
      <c r="AG272" s="1726">
        <f t="shared" si="668"/>
        <v>0</v>
      </c>
      <c r="AH272" s="1726">
        <f t="shared" si="668"/>
        <v>0</v>
      </c>
      <c r="AI272" s="1726">
        <f t="shared" si="668"/>
        <v>0</v>
      </c>
    </row>
    <row r="273" spans="2:35" x14ac:dyDescent="0.35">
      <c r="B273" s="726" t="s">
        <v>278</v>
      </c>
      <c r="C273" s="726"/>
      <c r="D273" s="726"/>
      <c r="E273" s="726"/>
      <c r="F273" s="1726">
        <f t="shared" ref="F273:AI273" si="669">F88*$C$35</f>
        <v>11545.566244114916</v>
      </c>
      <c r="G273" s="1726">
        <f t="shared" si="669"/>
        <v>11480.016095113509</v>
      </c>
      <c r="H273" s="1726">
        <f t="shared" si="669"/>
        <v>11414.465946112097</v>
      </c>
      <c r="I273" s="1726">
        <f t="shared" si="669"/>
        <v>11348.915797110691</v>
      </c>
      <c r="J273" s="1726">
        <f t="shared" si="669"/>
        <v>11283.36564810928</v>
      </c>
      <c r="K273" s="1726">
        <f t="shared" si="669"/>
        <v>11217.81549910787</v>
      </c>
      <c r="L273" s="1726">
        <f t="shared" si="669"/>
        <v>11134.78531037275</v>
      </c>
      <c r="M273" s="1726">
        <f t="shared" si="669"/>
        <v>11051.755121637634</v>
      </c>
      <c r="N273" s="1726">
        <f t="shared" si="669"/>
        <v>10968.724932902514</v>
      </c>
      <c r="O273" s="1726">
        <f t="shared" si="669"/>
        <v>10885.694744167395</v>
      </c>
      <c r="P273" s="1726">
        <f t="shared" si="669"/>
        <v>10811.404575299131</v>
      </c>
      <c r="Q273" s="1726">
        <f t="shared" si="669"/>
        <v>10715.264356763731</v>
      </c>
      <c r="R273" s="1726">
        <f t="shared" si="669"/>
        <v>10619.12413822833</v>
      </c>
      <c r="S273" s="1726">
        <f t="shared" si="669"/>
        <v>10522.98391969293</v>
      </c>
      <c r="T273" s="1726">
        <f t="shared" si="669"/>
        <v>10426.843701157528</v>
      </c>
      <c r="U273" s="1726">
        <f t="shared" si="669"/>
        <v>10335.073492555555</v>
      </c>
      <c r="V273" s="1726">
        <f t="shared" si="669"/>
        <v>10234.563264086728</v>
      </c>
      <c r="W273" s="1726">
        <f t="shared" si="669"/>
        <v>10134.053035617901</v>
      </c>
      <c r="X273" s="1726">
        <f t="shared" si="669"/>
        <v>10033.542807149071</v>
      </c>
      <c r="Y273" s="1726">
        <f t="shared" si="669"/>
        <v>9933.0325786802441</v>
      </c>
      <c r="Z273" s="1726">
        <f t="shared" si="669"/>
        <v>9823.7823303445621</v>
      </c>
      <c r="AA273" s="1726">
        <f t="shared" si="669"/>
        <v>9723.2721018757347</v>
      </c>
      <c r="AB273" s="1726">
        <f t="shared" si="669"/>
        <v>9622.7618734069074</v>
      </c>
      <c r="AC273" s="1726">
        <f t="shared" si="669"/>
        <v>9522.2516449380782</v>
      </c>
      <c r="AD273" s="1726">
        <f t="shared" si="669"/>
        <v>9421.7414164692509</v>
      </c>
      <c r="AE273" s="1726">
        <f t="shared" si="669"/>
        <v>9321.2311880004236</v>
      </c>
      <c r="AF273" s="1726">
        <f t="shared" si="669"/>
        <v>9220.7209595315944</v>
      </c>
      <c r="AG273" s="1726">
        <f t="shared" si="669"/>
        <v>9120.2107310627671</v>
      </c>
      <c r="AH273" s="1726">
        <f t="shared" si="669"/>
        <v>9019.7005025939416</v>
      </c>
      <c r="AI273" s="1726">
        <f t="shared" si="669"/>
        <v>8919.1902741251124</v>
      </c>
    </row>
    <row r="274" spans="2:35" x14ac:dyDescent="0.35">
      <c r="B274" s="726" t="s">
        <v>279</v>
      </c>
      <c r="C274" s="726"/>
      <c r="D274" s="726"/>
      <c r="E274" s="726"/>
      <c r="F274" s="1726">
        <f t="shared" ref="F274:AI274" si="670">F88*$C$36</f>
        <v>32703.815338541805</v>
      </c>
      <c r="G274" s="1726">
        <f t="shared" si="670"/>
        <v>32518.138869927836</v>
      </c>
      <c r="H274" s="1726">
        <f t="shared" si="670"/>
        <v>32332.462401313853</v>
      </c>
      <c r="I274" s="1726">
        <f t="shared" si="670"/>
        <v>32146.785932699881</v>
      </c>
      <c r="J274" s="1726">
        <f t="shared" si="670"/>
        <v>31961.109464085901</v>
      </c>
      <c r="K274" s="1726">
        <f t="shared" si="670"/>
        <v>31775.432995471925</v>
      </c>
      <c r="L274" s="1726">
        <f t="shared" si="670"/>
        <v>31540.242801894219</v>
      </c>
      <c r="M274" s="1726">
        <f t="shared" si="670"/>
        <v>31305.052608316517</v>
      </c>
      <c r="N274" s="1726">
        <f t="shared" si="670"/>
        <v>31069.862414738811</v>
      </c>
      <c r="O274" s="1726">
        <f t="shared" si="670"/>
        <v>30834.672221161105</v>
      </c>
      <c r="P274" s="1726">
        <f t="shared" si="670"/>
        <v>30624.23889006527</v>
      </c>
      <c r="Q274" s="1726">
        <f t="shared" si="670"/>
        <v>30351.913402764767</v>
      </c>
      <c r="R274" s="1726">
        <f t="shared" si="670"/>
        <v>30079.587915464264</v>
      </c>
      <c r="S274" s="1726">
        <f t="shared" si="670"/>
        <v>29807.262428163769</v>
      </c>
      <c r="T274" s="1726">
        <f t="shared" si="670"/>
        <v>29534.936940863266</v>
      </c>
      <c r="U274" s="1726">
        <f t="shared" si="670"/>
        <v>29274.989884803701</v>
      </c>
      <c r="V274" s="1726">
        <f t="shared" si="670"/>
        <v>28990.285966262269</v>
      </c>
      <c r="W274" s="1726">
        <f t="shared" si="670"/>
        <v>28705.582047720836</v>
      </c>
      <c r="X274" s="1726">
        <f t="shared" si="670"/>
        <v>28420.878129179404</v>
      </c>
      <c r="Y274" s="1726">
        <f t="shared" si="670"/>
        <v>28136.174210637972</v>
      </c>
      <c r="Z274" s="1726">
        <f t="shared" si="670"/>
        <v>27826.71342961468</v>
      </c>
      <c r="AA274" s="1726">
        <f t="shared" si="670"/>
        <v>27542.009511073251</v>
      </c>
      <c r="AB274" s="1726">
        <f t="shared" si="670"/>
        <v>27257.305592531819</v>
      </c>
      <c r="AC274" s="1726">
        <f t="shared" si="670"/>
        <v>26972.601673990386</v>
      </c>
      <c r="AD274" s="1726">
        <f t="shared" si="670"/>
        <v>26687.897755448954</v>
      </c>
      <c r="AE274" s="1726">
        <f t="shared" si="670"/>
        <v>26403.193836907521</v>
      </c>
      <c r="AF274" s="1726">
        <f t="shared" si="670"/>
        <v>26118.489918366093</v>
      </c>
      <c r="AG274" s="1726">
        <f t="shared" si="670"/>
        <v>25833.78599982466</v>
      </c>
      <c r="AH274" s="1726">
        <f t="shared" si="670"/>
        <v>25549.082081283232</v>
      </c>
      <c r="AI274" s="1726">
        <f t="shared" si="670"/>
        <v>25264.378162741799</v>
      </c>
    </row>
    <row r="275" spans="2:35" x14ac:dyDescent="0.35">
      <c r="B275" s="726" t="s">
        <v>280</v>
      </c>
      <c r="C275" s="726"/>
      <c r="D275" s="726"/>
      <c r="E275" s="726"/>
      <c r="F275" s="1726">
        <f t="shared" ref="F275:AI275" si="671">F88*$C$37</f>
        <v>37693.547936695373</v>
      </c>
      <c r="G275" s="1726">
        <f t="shared" si="671"/>
        <v>37479.542176267511</v>
      </c>
      <c r="H275" s="1726">
        <f t="shared" si="671"/>
        <v>37265.536415839641</v>
      </c>
      <c r="I275" s="1726">
        <f t="shared" si="671"/>
        <v>37051.530655411778</v>
      </c>
      <c r="J275" s="1726">
        <f t="shared" si="671"/>
        <v>36837.524894983901</v>
      </c>
      <c r="K275" s="1726">
        <f t="shared" si="671"/>
        <v>36623.519134556031</v>
      </c>
      <c r="L275" s="1726">
        <f t="shared" si="671"/>
        <v>36352.445171347397</v>
      </c>
      <c r="M275" s="1726">
        <f t="shared" si="671"/>
        <v>36081.371208138764</v>
      </c>
      <c r="N275" s="1726">
        <f t="shared" si="671"/>
        <v>35810.297244930131</v>
      </c>
      <c r="O275" s="1726">
        <f t="shared" si="671"/>
        <v>35539.22328172149</v>
      </c>
      <c r="P275" s="1726">
        <f t="shared" si="671"/>
        <v>35296.683419903246</v>
      </c>
      <c r="Q275" s="1726">
        <f t="shared" si="671"/>
        <v>34982.808304609032</v>
      </c>
      <c r="R275" s="1726">
        <f t="shared" si="671"/>
        <v>34668.933189314819</v>
      </c>
      <c r="S275" s="1726">
        <f t="shared" si="671"/>
        <v>34355.058074020621</v>
      </c>
      <c r="T275" s="1726">
        <f t="shared" si="671"/>
        <v>34041.182958726407</v>
      </c>
      <c r="U275" s="1726">
        <f t="shared" si="671"/>
        <v>33741.574894127392</v>
      </c>
      <c r="V275" s="1726">
        <f t="shared" si="671"/>
        <v>33413.432728137988</v>
      </c>
      <c r="W275" s="1726">
        <f t="shared" si="671"/>
        <v>33085.290562148592</v>
      </c>
      <c r="X275" s="1726">
        <f t="shared" si="671"/>
        <v>32757.148396159191</v>
      </c>
      <c r="Y275" s="1726">
        <f t="shared" si="671"/>
        <v>32429.006230169791</v>
      </c>
      <c r="Z275" s="1726">
        <f t="shared" si="671"/>
        <v>32072.329962790012</v>
      </c>
      <c r="AA275" s="1726">
        <f t="shared" si="671"/>
        <v>31744.187796800612</v>
      </c>
      <c r="AB275" s="1726">
        <f t="shared" si="671"/>
        <v>31416.045630811212</v>
      </c>
      <c r="AC275" s="1726">
        <f t="shared" si="671"/>
        <v>31087.903464821811</v>
      </c>
      <c r="AD275" s="1726">
        <f t="shared" si="671"/>
        <v>30759.761298832411</v>
      </c>
      <c r="AE275" s="1726">
        <f t="shared" si="671"/>
        <v>30431.619132843014</v>
      </c>
      <c r="AF275" s="1726">
        <f t="shared" si="671"/>
        <v>30103.476966853614</v>
      </c>
      <c r="AG275" s="1726">
        <f t="shared" si="671"/>
        <v>29775.334800864213</v>
      </c>
      <c r="AH275" s="1726">
        <f t="shared" si="671"/>
        <v>29447.192634874817</v>
      </c>
      <c r="AI275" s="1726">
        <f t="shared" si="671"/>
        <v>29119.05046888542</v>
      </c>
    </row>
    <row r="276" spans="2:35" x14ac:dyDescent="0.35">
      <c r="B276" s="726" t="s">
        <v>281</v>
      </c>
      <c r="C276" s="726"/>
      <c r="D276" s="726"/>
      <c r="E276" s="726"/>
      <c r="F276" s="1726">
        <f t="shared" ref="F276:AI276" si="672">F88*$C$38</f>
        <v>27064.456420935119</v>
      </c>
      <c r="G276" s="1726">
        <f t="shared" si="672"/>
        <v>26910.797508628526</v>
      </c>
      <c r="H276" s="1726">
        <f t="shared" si="672"/>
        <v>26757.138596321925</v>
      </c>
      <c r="I276" s="1726">
        <f t="shared" si="672"/>
        <v>26603.479684015336</v>
      </c>
      <c r="J276" s="1726">
        <f t="shared" si="672"/>
        <v>26449.820771708735</v>
      </c>
      <c r="K276" s="1726">
        <f t="shared" si="672"/>
        <v>26296.161859402142</v>
      </c>
      <c r="L276" s="1726">
        <f t="shared" si="672"/>
        <v>26101.527237147118</v>
      </c>
      <c r="M276" s="1726">
        <f t="shared" si="672"/>
        <v>25906.892614892098</v>
      </c>
      <c r="N276" s="1726">
        <f t="shared" si="672"/>
        <v>25712.257992637074</v>
      </c>
      <c r="O276" s="1726">
        <f t="shared" si="672"/>
        <v>25517.623370382051</v>
      </c>
      <c r="P276" s="1726">
        <f t="shared" si="672"/>
        <v>25343.476603101244</v>
      </c>
      <c r="Q276" s="1726">
        <f t="shared" si="672"/>
        <v>25118.110198384904</v>
      </c>
      <c r="R276" s="1726">
        <f t="shared" si="672"/>
        <v>24892.74379366856</v>
      </c>
      <c r="S276" s="1726">
        <f t="shared" si="672"/>
        <v>24667.377388952224</v>
      </c>
      <c r="T276" s="1726">
        <f t="shared" si="672"/>
        <v>24442.01098423588</v>
      </c>
      <c r="U276" s="1726">
        <f t="shared" si="672"/>
        <v>24226.888507006646</v>
      </c>
      <c r="V276" s="1726">
        <f t="shared" si="672"/>
        <v>23991.278174803199</v>
      </c>
      <c r="W276" s="1726">
        <f t="shared" si="672"/>
        <v>23755.667842599749</v>
      </c>
      <c r="X276" s="1726">
        <f t="shared" si="672"/>
        <v>23520.057510396302</v>
      </c>
      <c r="Y276" s="1726">
        <f t="shared" si="672"/>
        <v>23284.447178192855</v>
      </c>
      <c r="Z276" s="1726">
        <f t="shared" si="672"/>
        <v>23028.348991015198</v>
      </c>
      <c r="AA276" s="1726">
        <f t="shared" si="672"/>
        <v>22792.738658811752</v>
      </c>
      <c r="AB276" s="1726">
        <f t="shared" si="672"/>
        <v>22557.128326608301</v>
      </c>
      <c r="AC276" s="1726">
        <f t="shared" si="672"/>
        <v>22321.517994404854</v>
      </c>
      <c r="AD276" s="1726">
        <f t="shared" si="672"/>
        <v>22085.907662201407</v>
      </c>
      <c r="AE276" s="1726">
        <f t="shared" si="672"/>
        <v>21850.29732999796</v>
      </c>
      <c r="AF276" s="1726">
        <f t="shared" si="672"/>
        <v>21614.686997794513</v>
      </c>
      <c r="AG276" s="1726">
        <f t="shared" si="672"/>
        <v>21379.076665591063</v>
      </c>
      <c r="AH276" s="1726">
        <f t="shared" si="672"/>
        <v>21143.46633338762</v>
      </c>
      <c r="AI276" s="1726">
        <f t="shared" si="672"/>
        <v>20907.856001184173</v>
      </c>
    </row>
    <row r="277" spans="2:35" x14ac:dyDescent="0.35">
      <c r="B277" s="726" t="s">
        <v>282</v>
      </c>
      <c r="C277" s="726"/>
      <c r="D277" s="726"/>
      <c r="E277" s="726"/>
      <c r="F277" s="1726">
        <f t="shared" ref="F277:AI277" si="673">F88*$C$39</f>
        <v>24643.685001483915</v>
      </c>
      <c r="G277" s="1726">
        <f t="shared" si="673"/>
        <v>24503.770060143172</v>
      </c>
      <c r="H277" s="1726">
        <f t="shared" si="673"/>
        <v>24363.855118802418</v>
      </c>
      <c r="I277" s="1726">
        <f t="shared" si="673"/>
        <v>24223.940177461674</v>
      </c>
      <c r="J277" s="1726">
        <f t="shared" si="673"/>
        <v>24084.025236120924</v>
      </c>
      <c r="K277" s="1726">
        <f t="shared" si="673"/>
        <v>23944.110294780174</v>
      </c>
      <c r="L277" s="1726">
        <f t="shared" si="673"/>
        <v>23766.884702415224</v>
      </c>
      <c r="M277" s="1726">
        <f t="shared" si="673"/>
        <v>23589.659110050277</v>
      </c>
      <c r="N277" s="1726">
        <f t="shared" si="673"/>
        <v>23412.433517685327</v>
      </c>
      <c r="O277" s="1726">
        <f t="shared" si="673"/>
        <v>23235.207925320377</v>
      </c>
      <c r="P277" s="1726">
        <f t="shared" si="673"/>
        <v>23076.637658467531</v>
      </c>
      <c r="Q277" s="1726">
        <f t="shared" si="673"/>
        <v>22871.429077834429</v>
      </c>
      <c r="R277" s="1726">
        <f t="shared" si="673"/>
        <v>22666.220497201331</v>
      </c>
      <c r="S277" s="1726">
        <f t="shared" si="673"/>
        <v>22461.011916568234</v>
      </c>
      <c r="T277" s="1726">
        <f t="shared" si="673"/>
        <v>22255.803335935136</v>
      </c>
      <c r="U277" s="1726">
        <f t="shared" si="673"/>
        <v>22059.922418058086</v>
      </c>
      <c r="V277" s="1726">
        <f t="shared" si="673"/>
        <v>21845.386174668936</v>
      </c>
      <c r="W277" s="1726">
        <f t="shared" si="673"/>
        <v>21630.84993127979</v>
      </c>
      <c r="X277" s="1726">
        <f t="shared" si="673"/>
        <v>21416.313687890641</v>
      </c>
      <c r="Y277" s="1726">
        <f t="shared" si="673"/>
        <v>21201.777444501491</v>
      </c>
      <c r="Z277" s="1726">
        <f t="shared" si="673"/>
        <v>20968.585875600245</v>
      </c>
      <c r="AA277" s="1726">
        <f t="shared" si="673"/>
        <v>20754.049632211096</v>
      </c>
      <c r="AB277" s="1726">
        <f t="shared" si="673"/>
        <v>20539.51338882195</v>
      </c>
      <c r="AC277" s="1726">
        <f t="shared" si="673"/>
        <v>20324.9771454328</v>
      </c>
      <c r="AD277" s="1726">
        <f t="shared" si="673"/>
        <v>20110.440902043651</v>
      </c>
      <c r="AE277" s="1726">
        <f t="shared" si="673"/>
        <v>19895.904658654501</v>
      </c>
      <c r="AF277" s="1726">
        <f t="shared" si="673"/>
        <v>19681.368415265355</v>
      </c>
      <c r="AG277" s="1726">
        <f t="shared" si="673"/>
        <v>19466.832171876205</v>
      </c>
      <c r="AH277" s="1726">
        <f t="shared" si="673"/>
        <v>19252.295928487059</v>
      </c>
      <c r="AI277" s="1726">
        <f t="shared" si="673"/>
        <v>19037.75968509791</v>
      </c>
    </row>
    <row r="278" spans="2:35" x14ac:dyDescent="0.35">
      <c r="B278" s="726" t="s">
        <v>283</v>
      </c>
      <c r="C278" s="726"/>
      <c r="D278" s="726"/>
      <c r="E278" s="726"/>
      <c r="F278" s="1726">
        <f t="shared" ref="F278:AI278" si="674">F88*$C$40</f>
        <v>5933.0235877346877</v>
      </c>
      <c r="G278" s="1726">
        <f t="shared" si="674"/>
        <v>5899.3387452607976</v>
      </c>
      <c r="H278" s="1726">
        <f t="shared" si="674"/>
        <v>5865.6539027869057</v>
      </c>
      <c r="I278" s="1726">
        <f t="shared" si="674"/>
        <v>5831.9690603130157</v>
      </c>
      <c r="J278" s="1726">
        <f t="shared" si="674"/>
        <v>5798.2842178391238</v>
      </c>
      <c r="K278" s="1726">
        <f t="shared" si="674"/>
        <v>5764.5993753652328</v>
      </c>
      <c r="L278" s="1726">
        <f t="shared" si="674"/>
        <v>5721.931908231637</v>
      </c>
      <c r="M278" s="1726">
        <f t="shared" si="674"/>
        <v>5679.264441098042</v>
      </c>
      <c r="N278" s="1726">
        <f t="shared" si="674"/>
        <v>5636.5969739644461</v>
      </c>
      <c r="O278" s="1726">
        <f t="shared" si="674"/>
        <v>5593.9295068308502</v>
      </c>
      <c r="P278" s="1726">
        <f t="shared" si="674"/>
        <v>5555.7533520271081</v>
      </c>
      <c r="Q278" s="1726">
        <f t="shared" si="674"/>
        <v>5506.3489163987342</v>
      </c>
      <c r="R278" s="1726">
        <f t="shared" si="674"/>
        <v>5456.9444807703603</v>
      </c>
      <c r="S278" s="1726">
        <f t="shared" si="674"/>
        <v>5407.5400451419873</v>
      </c>
      <c r="T278" s="1726">
        <f t="shared" si="674"/>
        <v>5358.1356095136125</v>
      </c>
      <c r="U278" s="1726">
        <f t="shared" si="674"/>
        <v>5310.9768300501655</v>
      </c>
      <c r="V278" s="1726">
        <f t="shared" si="674"/>
        <v>5259.3267382568656</v>
      </c>
      <c r="W278" s="1726">
        <f t="shared" si="674"/>
        <v>5207.6766464635657</v>
      </c>
      <c r="X278" s="1726">
        <f t="shared" si="674"/>
        <v>5156.0265546702667</v>
      </c>
      <c r="Y278" s="1726">
        <f t="shared" si="674"/>
        <v>5104.3764628769668</v>
      </c>
      <c r="Z278" s="1726">
        <f t="shared" si="674"/>
        <v>5048.2350587538149</v>
      </c>
      <c r="AA278" s="1726">
        <f t="shared" si="674"/>
        <v>4996.584966960515</v>
      </c>
      <c r="AB278" s="1726">
        <f t="shared" si="674"/>
        <v>4944.934875167216</v>
      </c>
      <c r="AC278" s="1726">
        <f t="shared" si="674"/>
        <v>4893.2847833739161</v>
      </c>
      <c r="AD278" s="1726">
        <f t="shared" si="674"/>
        <v>4841.6346915806162</v>
      </c>
      <c r="AE278" s="1726">
        <f t="shared" si="674"/>
        <v>4789.9845997873163</v>
      </c>
      <c r="AF278" s="1726">
        <f t="shared" si="674"/>
        <v>4738.3345079940163</v>
      </c>
      <c r="AG278" s="1726">
        <f t="shared" si="674"/>
        <v>4686.6844162007164</v>
      </c>
      <c r="AH278" s="1726">
        <f t="shared" si="674"/>
        <v>4635.0343244074174</v>
      </c>
      <c r="AI278" s="1726">
        <f t="shared" si="674"/>
        <v>4583.3842326141184</v>
      </c>
    </row>
    <row r="279" spans="2:35" x14ac:dyDescent="0.35">
      <c r="B279" s="726" t="s">
        <v>12</v>
      </c>
      <c r="C279" s="726"/>
      <c r="D279" s="726"/>
      <c r="E279" s="726"/>
      <c r="F279" s="1726">
        <f t="shared" ref="F279:AI279" si="675">F88*$C$41</f>
        <v>1588.054124083985</v>
      </c>
      <c r="G279" s="1726">
        <f t="shared" si="675"/>
        <v>1579.0379197458856</v>
      </c>
      <c r="H279" s="1726">
        <f t="shared" si="675"/>
        <v>1570.0217154077855</v>
      </c>
      <c r="I279" s="1726">
        <f t="shared" si="675"/>
        <v>1561.005511069686</v>
      </c>
      <c r="J279" s="1726">
        <f t="shared" si="675"/>
        <v>1551.9893067315859</v>
      </c>
      <c r="K279" s="1726">
        <f t="shared" si="675"/>
        <v>1542.973102393486</v>
      </c>
      <c r="L279" s="1726">
        <f t="shared" si="675"/>
        <v>1531.5525768985594</v>
      </c>
      <c r="M279" s="1726">
        <f t="shared" si="675"/>
        <v>1520.1320514036331</v>
      </c>
      <c r="N279" s="1726">
        <f t="shared" si="675"/>
        <v>1508.7115259087066</v>
      </c>
      <c r="O279" s="1726">
        <f t="shared" si="675"/>
        <v>1497.29100041378</v>
      </c>
      <c r="P279" s="1726">
        <f t="shared" si="675"/>
        <v>1487.0726354972671</v>
      </c>
      <c r="Q279" s="1726">
        <f t="shared" si="675"/>
        <v>1473.8488691347206</v>
      </c>
      <c r="R279" s="1726">
        <f t="shared" si="675"/>
        <v>1460.6251027721739</v>
      </c>
      <c r="S279" s="1726">
        <f t="shared" si="675"/>
        <v>1447.4013364096277</v>
      </c>
      <c r="T279" s="1726">
        <f t="shared" si="675"/>
        <v>1434.1775700470812</v>
      </c>
      <c r="U279" s="1726">
        <f t="shared" si="675"/>
        <v>1421.5548839737414</v>
      </c>
      <c r="V279" s="1726">
        <f t="shared" si="675"/>
        <v>1407.7300373219884</v>
      </c>
      <c r="W279" s="1726">
        <f t="shared" si="675"/>
        <v>1393.9051906702352</v>
      </c>
      <c r="X279" s="1726">
        <f t="shared" si="675"/>
        <v>1380.0803440184823</v>
      </c>
      <c r="Y279" s="1726">
        <f t="shared" si="675"/>
        <v>1366.2554973667291</v>
      </c>
      <c r="Z279" s="1726">
        <f t="shared" si="675"/>
        <v>1351.2284901365629</v>
      </c>
      <c r="AA279" s="1726">
        <f t="shared" si="675"/>
        <v>1337.4036434848097</v>
      </c>
      <c r="AB279" s="1726">
        <f t="shared" si="675"/>
        <v>1323.5787968330567</v>
      </c>
      <c r="AC279" s="1726">
        <f t="shared" si="675"/>
        <v>1309.7539501813035</v>
      </c>
      <c r="AD279" s="1726">
        <f t="shared" si="675"/>
        <v>1295.9291035295503</v>
      </c>
      <c r="AE279" s="1726">
        <f t="shared" si="675"/>
        <v>1282.1042568777973</v>
      </c>
      <c r="AF279" s="1726">
        <f t="shared" si="675"/>
        <v>1268.2794102260441</v>
      </c>
      <c r="AG279" s="1726">
        <f t="shared" si="675"/>
        <v>1254.4545635742911</v>
      </c>
      <c r="AH279" s="1726">
        <f t="shared" si="675"/>
        <v>1240.6297169225381</v>
      </c>
      <c r="AI279" s="1726">
        <f t="shared" si="675"/>
        <v>1226.8048702707852</v>
      </c>
    </row>
    <row r="280" spans="2:35" x14ac:dyDescent="0.35">
      <c r="B280" s="726" t="s">
        <v>13</v>
      </c>
      <c r="C280" s="726"/>
      <c r="D280" s="726"/>
      <c r="E280" s="726"/>
      <c r="F280" s="1726">
        <f t="shared" ref="F280:AI280" si="676">F88*$C$42</f>
        <v>0</v>
      </c>
      <c r="G280" s="1726">
        <f t="shared" si="676"/>
        <v>0</v>
      </c>
      <c r="H280" s="1726">
        <f t="shared" si="676"/>
        <v>0</v>
      </c>
      <c r="I280" s="1726">
        <f t="shared" si="676"/>
        <v>0</v>
      </c>
      <c r="J280" s="1726">
        <f t="shared" si="676"/>
        <v>0</v>
      </c>
      <c r="K280" s="1726">
        <f t="shared" si="676"/>
        <v>0</v>
      </c>
      <c r="L280" s="1726">
        <f t="shared" si="676"/>
        <v>0</v>
      </c>
      <c r="M280" s="1726">
        <f t="shared" si="676"/>
        <v>0</v>
      </c>
      <c r="N280" s="1726">
        <f t="shared" si="676"/>
        <v>0</v>
      </c>
      <c r="O280" s="1726">
        <f t="shared" si="676"/>
        <v>0</v>
      </c>
      <c r="P280" s="1726">
        <f t="shared" si="676"/>
        <v>0</v>
      </c>
      <c r="Q280" s="1726">
        <f t="shared" si="676"/>
        <v>0</v>
      </c>
      <c r="R280" s="1726">
        <f t="shared" si="676"/>
        <v>0</v>
      </c>
      <c r="S280" s="1726">
        <f t="shared" si="676"/>
        <v>0</v>
      </c>
      <c r="T280" s="1726">
        <f t="shared" si="676"/>
        <v>0</v>
      </c>
      <c r="U280" s="1726">
        <f t="shared" si="676"/>
        <v>0</v>
      </c>
      <c r="V280" s="1726">
        <f t="shared" si="676"/>
        <v>0</v>
      </c>
      <c r="W280" s="1726">
        <f t="shared" si="676"/>
        <v>0</v>
      </c>
      <c r="X280" s="1726">
        <f t="shared" si="676"/>
        <v>0</v>
      </c>
      <c r="Y280" s="1726">
        <f t="shared" si="676"/>
        <v>0</v>
      </c>
      <c r="Z280" s="1726">
        <f t="shared" si="676"/>
        <v>0</v>
      </c>
      <c r="AA280" s="1726">
        <f t="shared" si="676"/>
        <v>0</v>
      </c>
      <c r="AB280" s="1726">
        <f t="shared" si="676"/>
        <v>0</v>
      </c>
      <c r="AC280" s="1726">
        <f t="shared" si="676"/>
        <v>0</v>
      </c>
      <c r="AD280" s="1726">
        <f t="shared" si="676"/>
        <v>0</v>
      </c>
      <c r="AE280" s="1726">
        <f t="shared" si="676"/>
        <v>0</v>
      </c>
      <c r="AF280" s="1726">
        <f t="shared" si="676"/>
        <v>0</v>
      </c>
      <c r="AG280" s="1726">
        <f t="shared" si="676"/>
        <v>0</v>
      </c>
      <c r="AH280" s="1726">
        <f t="shared" si="676"/>
        <v>0</v>
      </c>
      <c r="AI280" s="1726">
        <f t="shared" si="676"/>
        <v>0</v>
      </c>
    </row>
    <row r="281" spans="2:35" x14ac:dyDescent="0.35">
      <c r="B281" s="726" t="s">
        <v>14</v>
      </c>
      <c r="C281" s="726"/>
      <c r="D281" s="726"/>
      <c r="E281" s="726"/>
      <c r="F281" s="1726">
        <f t="shared" ref="F281:AI281" si="677">F88*$C$43</f>
        <v>0</v>
      </c>
      <c r="G281" s="1726">
        <f t="shared" si="677"/>
        <v>0</v>
      </c>
      <c r="H281" s="1726">
        <f t="shared" si="677"/>
        <v>0</v>
      </c>
      <c r="I281" s="1726">
        <f t="shared" si="677"/>
        <v>0</v>
      </c>
      <c r="J281" s="1726">
        <f t="shared" si="677"/>
        <v>0</v>
      </c>
      <c r="K281" s="1726">
        <f t="shared" si="677"/>
        <v>0</v>
      </c>
      <c r="L281" s="1726">
        <f t="shared" si="677"/>
        <v>0</v>
      </c>
      <c r="M281" s="1726">
        <f t="shared" si="677"/>
        <v>0</v>
      </c>
      <c r="N281" s="1726">
        <f t="shared" si="677"/>
        <v>0</v>
      </c>
      <c r="O281" s="1726">
        <f t="shared" si="677"/>
        <v>0</v>
      </c>
      <c r="P281" s="1726">
        <f t="shared" si="677"/>
        <v>0</v>
      </c>
      <c r="Q281" s="1726">
        <f t="shared" si="677"/>
        <v>0</v>
      </c>
      <c r="R281" s="1726">
        <f t="shared" si="677"/>
        <v>0</v>
      </c>
      <c r="S281" s="1726">
        <f t="shared" si="677"/>
        <v>0</v>
      </c>
      <c r="T281" s="1726">
        <f t="shared" si="677"/>
        <v>0</v>
      </c>
      <c r="U281" s="1726">
        <f t="shared" si="677"/>
        <v>0</v>
      </c>
      <c r="V281" s="1726">
        <f t="shared" si="677"/>
        <v>0</v>
      </c>
      <c r="W281" s="1726">
        <f t="shared" si="677"/>
        <v>0</v>
      </c>
      <c r="X281" s="1726">
        <f t="shared" si="677"/>
        <v>0</v>
      </c>
      <c r="Y281" s="1726">
        <f t="shared" si="677"/>
        <v>0</v>
      </c>
      <c r="Z281" s="1726">
        <f t="shared" si="677"/>
        <v>0</v>
      </c>
      <c r="AA281" s="1726">
        <f t="shared" si="677"/>
        <v>0</v>
      </c>
      <c r="AB281" s="1726">
        <f t="shared" si="677"/>
        <v>0</v>
      </c>
      <c r="AC281" s="1726">
        <f t="shared" si="677"/>
        <v>0</v>
      </c>
      <c r="AD281" s="1726">
        <f t="shared" si="677"/>
        <v>0</v>
      </c>
      <c r="AE281" s="1726">
        <f t="shared" si="677"/>
        <v>0</v>
      </c>
      <c r="AF281" s="1726">
        <f t="shared" si="677"/>
        <v>0</v>
      </c>
      <c r="AG281" s="1726">
        <f t="shared" si="677"/>
        <v>0</v>
      </c>
      <c r="AH281" s="1726">
        <f t="shared" si="677"/>
        <v>0</v>
      </c>
      <c r="AI281" s="1726">
        <f t="shared" si="677"/>
        <v>0</v>
      </c>
    </row>
    <row r="282" spans="2:35" x14ac:dyDescent="0.35">
      <c r="B282" s="1733" t="s">
        <v>200</v>
      </c>
      <c r="C282" s="1733"/>
      <c r="D282" s="1733"/>
      <c r="E282" s="1733"/>
      <c r="F282" s="1734">
        <f>SUM(F271:F281)</f>
        <v>194489.76054732042</v>
      </c>
      <c r="G282" s="1734">
        <f t="shared" ref="G282" si="678">SUM(G271:G281)</f>
        <v>193385.54161915625</v>
      </c>
      <c r="H282" s="1734">
        <f t="shared" ref="H282" si="679">SUM(H271:H281)</f>
        <v>192281.32269099206</v>
      </c>
      <c r="I282" s="1734">
        <f t="shared" ref="I282" si="680">SUM(I271:I281)</f>
        <v>191177.1037628279</v>
      </c>
      <c r="J282" s="1734">
        <f t="shared" ref="J282" si="681">SUM(J271:J281)</f>
        <v>190072.88483466368</v>
      </c>
      <c r="K282" s="1734">
        <f t="shared" ref="K282" si="682">SUM(K271:K281)</f>
        <v>188968.66590649946</v>
      </c>
      <c r="L282" s="1734">
        <f t="shared" ref="L282" si="683">SUM(L271:L281)</f>
        <v>187569.98859749149</v>
      </c>
      <c r="M282" s="1734">
        <f t="shared" ref="M282" si="684">SUM(M271:M281)</f>
        <v>186171.3112884835</v>
      </c>
      <c r="N282" s="1734">
        <f t="shared" ref="N282" si="685">SUM(N271:N281)</f>
        <v>184772.63397947553</v>
      </c>
      <c r="O282" s="1734">
        <f t="shared" ref="O282" si="686">SUM(O271:O281)</f>
        <v>183373.95667046751</v>
      </c>
      <c r="P282" s="1734">
        <f t="shared" ref="P282" si="687">SUM(P271:P281)</f>
        <v>182122.50855188142</v>
      </c>
      <c r="Q282" s="1734">
        <f t="shared" ref="Q282" si="688">SUM(Q271:Q281)</f>
        <v>180502.98745724061</v>
      </c>
      <c r="R282" s="1734">
        <f t="shared" ref="R282" si="689">SUM(R271:R281)</f>
        <v>178883.46636259978</v>
      </c>
      <c r="S282" s="1734">
        <f t="shared" ref="S282" si="690">SUM(S271:S281)</f>
        <v>177263.945267959</v>
      </c>
      <c r="T282" s="1734">
        <f t="shared" ref="T282" si="691">SUM(T271:T281)</f>
        <v>175644.42417331817</v>
      </c>
      <c r="U282" s="1734">
        <f t="shared" ref="U282" si="692">SUM(U271:U281)</f>
        <v>174098.5176738883</v>
      </c>
      <c r="V282" s="1734">
        <f t="shared" ref="V282" si="693">SUM(V271:V281)</f>
        <v>172405.38198403653</v>
      </c>
      <c r="W282" s="1734">
        <f t="shared" ref="W282" si="694">SUM(W271:W281)</f>
        <v>170712.2462941847</v>
      </c>
      <c r="X282" s="1734">
        <f t="shared" ref="X282" si="695">SUM(X271:X281)</f>
        <v>169019.11060433296</v>
      </c>
      <c r="Y282" s="1734">
        <f t="shared" ref="Y282" si="696">SUM(Y271:Y281)</f>
        <v>167325.97491448122</v>
      </c>
      <c r="Z282" s="1734">
        <f t="shared" ref="Z282" si="697">SUM(Z271:Z281)</f>
        <v>165485.61003420755</v>
      </c>
      <c r="AA282" s="1734">
        <f t="shared" ref="AA282" si="698">SUM(AA271:AA281)</f>
        <v>163792.47434435578</v>
      </c>
      <c r="AB282" s="1734">
        <f t="shared" ref="AB282" si="699">SUM(AB271:AB281)</f>
        <v>162099.33865450401</v>
      </c>
      <c r="AC282" s="1734">
        <f t="shared" ref="AC282" si="700">SUM(AC271:AC281)</f>
        <v>160406.20296465224</v>
      </c>
      <c r="AD282" s="1734">
        <f t="shared" ref="AD282" si="701">SUM(AD271:AD281)</f>
        <v>158713.06727480047</v>
      </c>
      <c r="AE282" s="1734">
        <f t="shared" ref="AE282" si="702">SUM(AE271:AE281)</f>
        <v>157019.9315849487</v>
      </c>
      <c r="AF282" s="1734">
        <f t="shared" ref="AF282" si="703">SUM(AF271:AF281)</f>
        <v>155326.79589509693</v>
      </c>
      <c r="AG282" s="1734">
        <f t="shared" ref="AG282" si="704">SUM(AG271:AG281)</f>
        <v>153633.66020524516</v>
      </c>
      <c r="AH282" s="1734">
        <f t="shared" ref="AH282" si="705">SUM(AH271:AH281)</f>
        <v>151940.52451539342</v>
      </c>
      <c r="AI282" s="1734">
        <f t="shared" ref="AI282" si="706">SUM(AI271:AI281)</f>
        <v>150247.38882554165</v>
      </c>
    </row>
    <row r="283" spans="2:35" x14ac:dyDescent="0.35">
      <c r="E283" s="281" t="s">
        <v>332</v>
      </c>
      <c r="F283" s="1725">
        <f t="shared" ref="F283:AI283" si="707">F282-F88</f>
        <v>0</v>
      </c>
      <c r="G283" s="1725">
        <f t="shared" si="707"/>
        <v>0</v>
      </c>
      <c r="H283" s="1725">
        <f t="shared" si="707"/>
        <v>0</v>
      </c>
      <c r="I283" s="1725">
        <f t="shared" si="707"/>
        <v>0</v>
      </c>
      <c r="J283" s="1725">
        <f t="shared" si="707"/>
        <v>0</v>
      </c>
      <c r="K283" s="1725">
        <f t="shared" si="707"/>
        <v>0</v>
      </c>
      <c r="L283" s="1725">
        <f t="shared" si="707"/>
        <v>0</v>
      </c>
      <c r="M283" s="1725">
        <f t="shared" si="707"/>
        <v>0</v>
      </c>
      <c r="N283" s="1725">
        <f t="shared" si="707"/>
        <v>0</v>
      </c>
      <c r="O283" s="1725">
        <f t="shared" si="707"/>
        <v>0</v>
      </c>
      <c r="P283" s="1725">
        <f t="shared" si="707"/>
        <v>0</v>
      </c>
      <c r="Q283" s="1725">
        <f t="shared" si="707"/>
        <v>0</v>
      </c>
      <c r="R283" s="1725">
        <f t="shared" si="707"/>
        <v>0</v>
      </c>
      <c r="S283" s="1725">
        <f t="shared" si="707"/>
        <v>0</v>
      </c>
      <c r="T283" s="1725">
        <f t="shared" si="707"/>
        <v>0</v>
      </c>
      <c r="U283" s="1725">
        <f t="shared" si="707"/>
        <v>0</v>
      </c>
      <c r="V283" s="1725">
        <f t="shared" si="707"/>
        <v>0</v>
      </c>
      <c r="W283" s="1725">
        <f t="shared" si="707"/>
        <v>0</v>
      </c>
      <c r="X283" s="1725">
        <f t="shared" si="707"/>
        <v>0</v>
      </c>
      <c r="Y283" s="1725">
        <f t="shared" si="707"/>
        <v>0</v>
      </c>
      <c r="Z283" s="1725">
        <f t="shared" si="707"/>
        <v>0</v>
      </c>
      <c r="AA283" s="1725">
        <f t="shared" si="707"/>
        <v>0</v>
      </c>
      <c r="AB283" s="1725">
        <f t="shared" si="707"/>
        <v>0</v>
      </c>
      <c r="AC283" s="1725">
        <f t="shared" si="707"/>
        <v>0</v>
      </c>
      <c r="AD283" s="1725">
        <f t="shared" si="707"/>
        <v>0</v>
      </c>
      <c r="AE283" s="1725">
        <f t="shared" si="707"/>
        <v>0</v>
      </c>
      <c r="AF283" s="1725">
        <f t="shared" si="707"/>
        <v>0</v>
      </c>
      <c r="AG283" s="1725">
        <f t="shared" si="707"/>
        <v>0</v>
      </c>
      <c r="AH283" s="1725">
        <f t="shared" si="707"/>
        <v>0</v>
      </c>
      <c r="AI283" s="1725">
        <f t="shared" si="707"/>
        <v>0</v>
      </c>
    </row>
    <row r="284" spans="2:35" ht="15.5" x14ac:dyDescent="0.35">
      <c r="B284" s="86" t="s">
        <v>2</v>
      </c>
    </row>
    <row r="285" spans="2:35" x14ac:dyDescent="0.35">
      <c r="B285" s="1731" t="s">
        <v>273</v>
      </c>
      <c r="C285" s="1731"/>
      <c r="D285" s="1731"/>
      <c r="E285" s="1731"/>
      <c r="F285" s="1732">
        <v>1</v>
      </c>
      <c r="G285" s="1732">
        <f>F285+1</f>
        <v>2</v>
      </c>
      <c r="H285" s="1732">
        <f t="shared" ref="H285" si="708">G285+1</f>
        <v>3</v>
      </c>
      <c r="I285" s="1732">
        <f t="shared" ref="I285" si="709">H285+1</f>
        <v>4</v>
      </c>
      <c r="J285" s="1732">
        <f t="shared" ref="J285" si="710">I285+1</f>
        <v>5</v>
      </c>
      <c r="K285" s="1732">
        <f t="shared" ref="K285" si="711">J285+1</f>
        <v>6</v>
      </c>
      <c r="L285" s="1732">
        <f t="shared" ref="L285" si="712">K285+1</f>
        <v>7</v>
      </c>
      <c r="M285" s="1732">
        <f t="shared" ref="M285" si="713">L285+1</f>
        <v>8</v>
      </c>
      <c r="N285" s="1732">
        <f t="shared" ref="N285" si="714">M285+1</f>
        <v>9</v>
      </c>
      <c r="O285" s="1732">
        <f t="shared" ref="O285" si="715">N285+1</f>
        <v>10</v>
      </c>
      <c r="P285" s="1732">
        <f t="shared" ref="P285" si="716">O285+1</f>
        <v>11</v>
      </c>
      <c r="Q285" s="1732">
        <f t="shared" ref="Q285" si="717">P285+1</f>
        <v>12</v>
      </c>
      <c r="R285" s="1732">
        <f t="shared" ref="R285" si="718">Q285+1</f>
        <v>13</v>
      </c>
      <c r="S285" s="1732">
        <f t="shared" ref="S285" si="719">R285+1</f>
        <v>14</v>
      </c>
      <c r="T285" s="1732">
        <f t="shared" ref="T285" si="720">S285+1</f>
        <v>15</v>
      </c>
      <c r="U285" s="1732">
        <f t="shared" ref="U285" si="721">T285+1</f>
        <v>16</v>
      </c>
      <c r="V285" s="1732">
        <f t="shared" ref="V285" si="722">U285+1</f>
        <v>17</v>
      </c>
      <c r="W285" s="1732">
        <f t="shared" ref="W285" si="723">V285+1</f>
        <v>18</v>
      </c>
      <c r="X285" s="1732">
        <f t="shared" ref="X285" si="724">W285+1</f>
        <v>19</v>
      </c>
      <c r="Y285" s="1732">
        <f t="shared" ref="Y285" si="725">X285+1</f>
        <v>20</v>
      </c>
      <c r="Z285" s="1732">
        <f t="shared" ref="Z285" si="726">Y285+1</f>
        <v>21</v>
      </c>
      <c r="AA285" s="1732">
        <f t="shared" ref="AA285" si="727">Z285+1</f>
        <v>22</v>
      </c>
      <c r="AB285" s="1732">
        <f t="shared" ref="AB285" si="728">AA285+1</f>
        <v>23</v>
      </c>
      <c r="AC285" s="1732">
        <f t="shared" ref="AC285" si="729">AB285+1</f>
        <v>24</v>
      </c>
      <c r="AD285" s="1732">
        <f t="shared" ref="AD285" si="730">AC285+1</f>
        <v>25</v>
      </c>
      <c r="AE285" s="1732">
        <f t="shared" ref="AE285" si="731">AD285+1</f>
        <v>26</v>
      </c>
      <c r="AF285" s="1732">
        <f t="shared" ref="AF285" si="732">AE285+1</f>
        <v>27</v>
      </c>
      <c r="AG285" s="1732">
        <f t="shared" ref="AG285" si="733">AF285+1</f>
        <v>28</v>
      </c>
      <c r="AH285" s="1732">
        <f t="shared" ref="AH285" si="734">AG285+1</f>
        <v>29</v>
      </c>
      <c r="AI285" s="1732">
        <f t="shared" ref="AI285" si="735">AH285+1</f>
        <v>30</v>
      </c>
    </row>
    <row r="286" spans="2:35" x14ac:dyDescent="0.35">
      <c r="B286" s="726" t="s">
        <v>276</v>
      </c>
      <c r="C286" s="726"/>
      <c r="D286" s="726"/>
      <c r="E286" s="726"/>
      <c r="F286" s="1726">
        <f t="shared" ref="F286:AI286" si="736">F89*$D$33</f>
        <v>554883.55530521378</v>
      </c>
      <c r="G286" s="1726">
        <f t="shared" si="736"/>
        <v>555195.86560981546</v>
      </c>
      <c r="H286" s="1726">
        <f t="shared" si="736"/>
        <v>555508.17591441714</v>
      </c>
      <c r="I286" s="1726">
        <f t="shared" si="736"/>
        <v>555820.4862190187</v>
      </c>
      <c r="J286" s="1726">
        <f t="shared" si="736"/>
        <v>556132.79652362049</v>
      </c>
      <c r="K286" s="1726">
        <f t="shared" si="736"/>
        <v>556481.84921699879</v>
      </c>
      <c r="L286" s="1726">
        <f t="shared" si="736"/>
        <v>555655.14546952373</v>
      </c>
      <c r="M286" s="1726">
        <f t="shared" si="736"/>
        <v>554828.4417220488</v>
      </c>
      <c r="N286" s="1726">
        <f t="shared" si="736"/>
        <v>554001.73797457374</v>
      </c>
      <c r="O286" s="1726">
        <f t="shared" si="736"/>
        <v>553175.0342270988</v>
      </c>
      <c r="P286" s="1726">
        <f t="shared" si="736"/>
        <v>552348.33047962387</v>
      </c>
      <c r="Q286" s="1726">
        <f t="shared" si="736"/>
        <v>550750.03656783875</v>
      </c>
      <c r="R286" s="1726">
        <f t="shared" si="736"/>
        <v>549151.74265605386</v>
      </c>
      <c r="S286" s="1726">
        <f t="shared" si="736"/>
        <v>547553.44874426897</v>
      </c>
      <c r="T286" s="1726">
        <f t="shared" si="736"/>
        <v>545955.15483248385</v>
      </c>
      <c r="U286" s="1726">
        <f t="shared" si="736"/>
        <v>544320.11853192223</v>
      </c>
      <c r="V286" s="1726">
        <f t="shared" si="736"/>
        <v>542023.71923338063</v>
      </c>
      <c r="W286" s="1726">
        <f t="shared" si="736"/>
        <v>539727.31993483892</v>
      </c>
      <c r="X286" s="1726">
        <f t="shared" si="736"/>
        <v>537430.92063629732</v>
      </c>
      <c r="Y286" s="1726">
        <f t="shared" si="736"/>
        <v>535134.52133775572</v>
      </c>
      <c r="Z286" s="1726">
        <f t="shared" si="736"/>
        <v>532856.49323360249</v>
      </c>
      <c r="AA286" s="1726">
        <f t="shared" si="736"/>
        <v>530560.09393506066</v>
      </c>
      <c r="AB286" s="1726">
        <f t="shared" si="736"/>
        <v>528263.69463651918</v>
      </c>
      <c r="AC286" s="1726">
        <f t="shared" si="736"/>
        <v>525967.29533797747</v>
      </c>
      <c r="AD286" s="1726">
        <f t="shared" si="736"/>
        <v>523670.89603943576</v>
      </c>
      <c r="AE286" s="1726">
        <f t="shared" si="736"/>
        <v>521374.49674089416</v>
      </c>
      <c r="AF286" s="1726">
        <f t="shared" si="736"/>
        <v>519078.0974423525</v>
      </c>
      <c r="AG286" s="1726">
        <f t="shared" si="736"/>
        <v>516781.69814381097</v>
      </c>
      <c r="AH286" s="1726">
        <f t="shared" si="736"/>
        <v>514485.29884526919</v>
      </c>
      <c r="AI286" s="1726">
        <f t="shared" si="736"/>
        <v>512188.89954672765</v>
      </c>
    </row>
    <row r="287" spans="2:35" x14ac:dyDescent="0.35">
      <c r="B287" s="726" t="s">
        <v>277</v>
      </c>
      <c r="C287" s="726"/>
      <c r="D287" s="726"/>
      <c r="E287" s="726"/>
      <c r="F287" s="1726">
        <f t="shared" ref="F287:AI287" si="737">F89*$D$34</f>
        <v>0</v>
      </c>
      <c r="G287" s="1726">
        <f t="shared" si="737"/>
        <v>0</v>
      </c>
      <c r="H287" s="1726">
        <f t="shared" si="737"/>
        <v>0</v>
      </c>
      <c r="I287" s="1726">
        <f t="shared" si="737"/>
        <v>0</v>
      </c>
      <c r="J287" s="1726">
        <f t="shared" si="737"/>
        <v>0</v>
      </c>
      <c r="K287" s="1726">
        <f t="shared" si="737"/>
        <v>0</v>
      </c>
      <c r="L287" s="1726">
        <f t="shared" si="737"/>
        <v>0</v>
      </c>
      <c r="M287" s="1726">
        <f t="shared" si="737"/>
        <v>0</v>
      </c>
      <c r="N287" s="1726">
        <f t="shared" si="737"/>
        <v>0</v>
      </c>
      <c r="O287" s="1726">
        <f t="shared" si="737"/>
        <v>0</v>
      </c>
      <c r="P287" s="1726">
        <f t="shared" si="737"/>
        <v>0</v>
      </c>
      <c r="Q287" s="1726">
        <f t="shared" si="737"/>
        <v>0</v>
      </c>
      <c r="R287" s="1726">
        <f t="shared" si="737"/>
        <v>0</v>
      </c>
      <c r="S287" s="1726">
        <f t="shared" si="737"/>
        <v>0</v>
      </c>
      <c r="T287" s="1726">
        <f t="shared" si="737"/>
        <v>0</v>
      </c>
      <c r="U287" s="1726">
        <f t="shared" si="737"/>
        <v>0</v>
      </c>
      <c r="V287" s="1726">
        <f t="shared" si="737"/>
        <v>0</v>
      </c>
      <c r="W287" s="1726">
        <f t="shared" si="737"/>
        <v>0</v>
      </c>
      <c r="X287" s="1726">
        <f t="shared" si="737"/>
        <v>0</v>
      </c>
      <c r="Y287" s="1726">
        <f t="shared" si="737"/>
        <v>0</v>
      </c>
      <c r="Z287" s="1726">
        <f t="shared" si="737"/>
        <v>0</v>
      </c>
      <c r="AA287" s="1726">
        <f t="shared" si="737"/>
        <v>0</v>
      </c>
      <c r="AB287" s="1726">
        <f t="shared" si="737"/>
        <v>0</v>
      </c>
      <c r="AC287" s="1726">
        <f t="shared" si="737"/>
        <v>0</v>
      </c>
      <c r="AD287" s="1726">
        <f t="shared" si="737"/>
        <v>0</v>
      </c>
      <c r="AE287" s="1726">
        <f t="shared" si="737"/>
        <v>0</v>
      </c>
      <c r="AF287" s="1726">
        <f t="shared" si="737"/>
        <v>0</v>
      </c>
      <c r="AG287" s="1726">
        <f t="shared" si="737"/>
        <v>0</v>
      </c>
      <c r="AH287" s="1726">
        <f t="shared" si="737"/>
        <v>0</v>
      </c>
      <c r="AI287" s="1726">
        <f t="shared" si="737"/>
        <v>0</v>
      </c>
    </row>
    <row r="288" spans="2:35" x14ac:dyDescent="0.35">
      <c r="B288" s="726" t="s">
        <v>278</v>
      </c>
      <c r="C288" s="726"/>
      <c r="D288" s="726"/>
      <c r="E288" s="726"/>
      <c r="F288" s="1726">
        <f t="shared" ref="F288:AI288" si="738">F89*$D$35</f>
        <v>62266.474178001998</v>
      </c>
      <c r="G288" s="1726">
        <f t="shared" si="738"/>
        <v>62301.520200417108</v>
      </c>
      <c r="H288" s="1726">
        <f t="shared" si="738"/>
        <v>62336.566222832211</v>
      </c>
      <c r="I288" s="1726">
        <f t="shared" si="738"/>
        <v>62371.612245247321</v>
      </c>
      <c r="J288" s="1726">
        <f t="shared" si="738"/>
        <v>62406.658267662438</v>
      </c>
      <c r="K288" s="1726">
        <f t="shared" si="738"/>
        <v>62445.827351538152</v>
      </c>
      <c r="L288" s="1726">
        <f t="shared" si="738"/>
        <v>62353.058468674615</v>
      </c>
      <c r="M288" s="1726">
        <f t="shared" si="738"/>
        <v>62260.289585811086</v>
      </c>
      <c r="N288" s="1726">
        <f t="shared" si="738"/>
        <v>62167.520702947557</v>
      </c>
      <c r="O288" s="1726">
        <f t="shared" si="738"/>
        <v>62074.751820084028</v>
      </c>
      <c r="P288" s="1726">
        <f t="shared" si="738"/>
        <v>61981.982937220499</v>
      </c>
      <c r="Q288" s="1726">
        <f t="shared" si="738"/>
        <v>61802.62976368433</v>
      </c>
      <c r="R288" s="1726">
        <f t="shared" si="738"/>
        <v>61623.276590148176</v>
      </c>
      <c r="S288" s="1726">
        <f t="shared" si="738"/>
        <v>61443.923416612022</v>
      </c>
      <c r="T288" s="1726">
        <f t="shared" si="738"/>
        <v>61264.570243075854</v>
      </c>
      <c r="U288" s="1726">
        <f t="shared" si="738"/>
        <v>61081.094008079104</v>
      </c>
      <c r="V288" s="1726">
        <f t="shared" si="738"/>
        <v>60823.40266679151</v>
      </c>
      <c r="W288" s="1726">
        <f t="shared" si="738"/>
        <v>60565.711325503922</v>
      </c>
      <c r="X288" s="1726">
        <f t="shared" si="738"/>
        <v>60308.019984216335</v>
      </c>
      <c r="Y288" s="1726">
        <f t="shared" si="738"/>
        <v>60050.328642928762</v>
      </c>
      <c r="Z288" s="1726">
        <f t="shared" si="738"/>
        <v>59794.698832371476</v>
      </c>
      <c r="AA288" s="1726">
        <f t="shared" si="738"/>
        <v>59537.007491083881</v>
      </c>
      <c r="AB288" s="1726">
        <f t="shared" si="738"/>
        <v>59279.316149796301</v>
      </c>
      <c r="AC288" s="1726">
        <f t="shared" si="738"/>
        <v>59021.624808508714</v>
      </c>
      <c r="AD288" s="1726">
        <f t="shared" si="738"/>
        <v>58763.933467221119</v>
      </c>
      <c r="AE288" s="1726">
        <f t="shared" si="738"/>
        <v>58506.242125933539</v>
      </c>
      <c r="AF288" s="1726">
        <f t="shared" si="738"/>
        <v>58248.550784645951</v>
      </c>
      <c r="AG288" s="1726">
        <f t="shared" si="738"/>
        <v>57990.859443358371</v>
      </c>
      <c r="AH288" s="1726">
        <f t="shared" si="738"/>
        <v>57733.168102070777</v>
      </c>
      <c r="AI288" s="1726">
        <f t="shared" si="738"/>
        <v>57475.476760783196</v>
      </c>
    </row>
    <row r="289" spans="2:35" x14ac:dyDescent="0.35">
      <c r="B289" s="726" t="s">
        <v>279</v>
      </c>
      <c r="C289" s="726"/>
      <c r="D289" s="726"/>
      <c r="E289" s="726"/>
      <c r="F289" s="1726">
        <f t="shared" ref="F289:AI289" si="739">F89*$D$36</f>
        <v>238215.25018952246</v>
      </c>
      <c r="G289" s="1726">
        <f t="shared" si="739"/>
        <v>238349.32710824916</v>
      </c>
      <c r="H289" s="1726">
        <f t="shared" si="739"/>
        <v>238483.40402697588</v>
      </c>
      <c r="I289" s="1726">
        <f t="shared" si="739"/>
        <v>238617.48094570258</v>
      </c>
      <c r="J289" s="1726">
        <f t="shared" si="739"/>
        <v>238751.55786442934</v>
      </c>
      <c r="K289" s="1726">
        <f t="shared" si="739"/>
        <v>238901.40853830037</v>
      </c>
      <c r="L289" s="1726">
        <f t="shared" si="739"/>
        <v>238546.49904755314</v>
      </c>
      <c r="M289" s="1726">
        <f t="shared" si="739"/>
        <v>238191.58955680596</v>
      </c>
      <c r="N289" s="1726">
        <f t="shared" si="739"/>
        <v>237836.68006605876</v>
      </c>
      <c r="O289" s="1726">
        <f t="shared" si="739"/>
        <v>237481.77057531156</v>
      </c>
      <c r="P289" s="1726">
        <f t="shared" si="739"/>
        <v>237126.86108456436</v>
      </c>
      <c r="Q289" s="1726">
        <f t="shared" si="739"/>
        <v>236440.70273578641</v>
      </c>
      <c r="R289" s="1726">
        <f t="shared" si="739"/>
        <v>235754.5443870085</v>
      </c>
      <c r="S289" s="1726">
        <f t="shared" si="739"/>
        <v>235068.38603823059</v>
      </c>
      <c r="T289" s="1726">
        <f t="shared" si="739"/>
        <v>234382.22768945264</v>
      </c>
      <c r="U289" s="1726">
        <f t="shared" si="739"/>
        <v>233680.29558553043</v>
      </c>
      <c r="V289" s="1726">
        <f t="shared" si="739"/>
        <v>232694.4358890104</v>
      </c>
      <c r="W289" s="1726">
        <f t="shared" si="739"/>
        <v>231708.57619249041</v>
      </c>
      <c r="X289" s="1726">
        <f t="shared" si="739"/>
        <v>230722.71649597038</v>
      </c>
      <c r="Y289" s="1726">
        <f t="shared" si="739"/>
        <v>229736.85679945041</v>
      </c>
      <c r="Z289" s="1726">
        <f t="shared" si="739"/>
        <v>228758.88398050255</v>
      </c>
      <c r="AA289" s="1726">
        <f t="shared" si="739"/>
        <v>227773.02428398252</v>
      </c>
      <c r="AB289" s="1726">
        <f t="shared" si="739"/>
        <v>226787.16458746252</v>
      </c>
      <c r="AC289" s="1726">
        <f t="shared" si="739"/>
        <v>225801.30489094253</v>
      </c>
      <c r="AD289" s="1726">
        <f t="shared" si="739"/>
        <v>224815.44519442247</v>
      </c>
      <c r="AE289" s="1726">
        <f t="shared" si="739"/>
        <v>223829.5854979025</v>
      </c>
      <c r="AF289" s="1726">
        <f t="shared" si="739"/>
        <v>222843.72580138248</v>
      </c>
      <c r="AG289" s="1726">
        <f t="shared" si="739"/>
        <v>221857.86610486251</v>
      </c>
      <c r="AH289" s="1726">
        <f t="shared" si="739"/>
        <v>220872.00640834245</v>
      </c>
      <c r="AI289" s="1726">
        <f t="shared" si="739"/>
        <v>219886.14671182248</v>
      </c>
    </row>
    <row r="290" spans="2:35" x14ac:dyDescent="0.35">
      <c r="B290" s="726" t="s">
        <v>280</v>
      </c>
      <c r="C290" s="726"/>
      <c r="D290" s="726"/>
      <c r="E290" s="726"/>
      <c r="F290" s="1726">
        <f t="shared" ref="F290:AI290" si="740">F89*$D$37</f>
        <v>240410.73273222771</v>
      </c>
      <c r="G290" s="1726">
        <f t="shared" si="740"/>
        <v>240546.04535494151</v>
      </c>
      <c r="H290" s="1726">
        <f t="shared" si="740"/>
        <v>240681.35797765531</v>
      </c>
      <c r="I290" s="1726">
        <f t="shared" si="740"/>
        <v>240816.67060036911</v>
      </c>
      <c r="J290" s="1726">
        <f t="shared" si="740"/>
        <v>240951.98322308293</v>
      </c>
      <c r="K290" s="1726">
        <f t="shared" si="740"/>
        <v>241103.21497788074</v>
      </c>
      <c r="L290" s="1726">
        <f t="shared" si="740"/>
        <v>240745.03450599121</v>
      </c>
      <c r="M290" s="1726">
        <f t="shared" si="740"/>
        <v>240386.85403410171</v>
      </c>
      <c r="N290" s="1726">
        <f t="shared" si="740"/>
        <v>240028.67356221224</v>
      </c>
      <c r="O290" s="1726">
        <f t="shared" si="740"/>
        <v>239670.49309032274</v>
      </c>
      <c r="P290" s="1726">
        <f t="shared" si="740"/>
        <v>239312.31261843327</v>
      </c>
      <c r="Q290" s="1726">
        <f t="shared" si="740"/>
        <v>238619.83037278021</v>
      </c>
      <c r="R290" s="1726">
        <f t="shared" si="740"/>
        <v>237927.34812712719</v>
      </c>
      <c r="S290" s="1726">
        <f t="shared" si="740"/>
        <v>237234.86588147422</v>
      </c>
      <c r="T290" s="1726">
        <f t="shared" si="740"/>
        <v>236542.38363582117</v>
      </c>
      <c r="U290" s="1726">
        <f t="shared" si="740"/>
        <v>235833.9822580842</v>
      </c>
      <c r="V290" s="1726">
        <f t="shared" si="740"/>
        <v>234839.0365028356</v>
      </c>
      <c r="W290" s="1726">
        <f t="shared" si="740"/>
        <v>233844.090747587</v>
      </c>
      <c r="X290" s="1726">
        <f t="shared" si="740"/>
        <v>232849.14499233841</v>
      </c>
      <c r="Y290" s="1726">
        <f t="shared" si="740"/>
        <v>231854.19923708984</v>
      </c>
      <c r="Z290" s="1726">
        <f t="shared" si="740"/>
        <v>230867.21304788324</v>
      </c>
      <c r="AA290" s="1726">
        <f t="shared" si="740"/>
        <v>229872.26729263461</v>
      </c>
      <c r="AB290" s="1726">
        <f t="shared" si="740"/>
        <v>228877.32153738604</v>
      </c>
      <c r="AC290" s="1726">
        <f t="shared" si="740"/>
        <v>227882.37578213745</v>
      </c>
      <c r="AD290" s="1726">
        <f t="shared" si="740"/>
        <v>226887.43002688882</v>
      </c>
      <c r="AE290" s="1726">
        <f t="shared" si="740"/>
        <v>225892.48427164025</v>
      </c>
      <c r="AF290" s="1726">
        <f t="shared" si="740"/>
        <v>224897.53851639165</v>
      </c>
      <c r="AG290" s="1726">
        <f t="shared" si="740"/>
        <v>223902.59276114308</v>
      </c>
      <c r="AH290" s="1726">
        <f t="shared" si="740"/>
        <v>222907.64700589445</v>
      </c>
      <c r="AI290" s="1726">
        <f t="shared" si="740"/>
        <v>221912.70125064589</v>
      </c>
    </row>
    <row r="291" spans="2:35" x14ac:dyDescent="0.35">
      <c r="B291" s="726" t="s">
        <v>281</v>
      </c>
      <c r="C291" s="726"/>
      <c r="D291" s="726"/>
      <c r="E291" s="726"/>
      <c r="F291" s="1726">
        <f t="shared" ref="F291:AI291" si="741">F89*$D$38</f>
        <v>148916.56006033681</v>
      </c>
      <c r="G291" s="1726">
        <f t="shared" si="741"/>
        <v>149000.37616154941</v>
      </c>
      <c r="H291" s="1726">
        <f t="shared" si="741"/>
        <v>149084.19226276202</v>
      </c>
      <c r="I291" s="1726">
        <f t="shared" si="741"/>
        <v>149168.00836397463</v>
      </c>
      <c r="J291" s="1726">
        <f t="shared" si="741"/>
        <v>149251.82446518724</v>
      </c>
      <c r="K291" s="1726">
        <f t="shared" si="741"/>
        <v>149345.50128418958</v>
      </c>
      <c r="L291" s="1726">
        <f t="shared" si="741"/>
        <v>149123.63513392088</v>
      </c>
      <c r="M291" s="1726">
        <f t="shared" si="741"/>
        <v>148901.7689836522</v>
      </c>
      <c r="N291" s="1726">
        <f t="shared" si="741"/>
        <v>148679.90283338353</v>
      </c>
      <c r="O291" s="1726">
        <f t="shared" si="741"/>
        <v>148458.03668311486</v>
      </c>
      <c r="P291" s="1726">
        <f t="shared" si="741"/>
        <v>148236.17053284618</v>
      </c>
      <c r="Q291" s="1726">
        <f t="shared" si="741"/>
        <v>147807.22930899338</v>
      </c>
      <c r="R291" s="1726">
        <f t="shared" si="741"/>
        <v>147378.28808514061</v>
      </c>
      <c r="S291" s="1726">
        <f t="shared" si="741"/>
        <v>146949.34686128786</v>
      </c>
      <c r="T291" s="1726">
        <f t="shared" si="741"/>
        <v>146520.40563743506</v>
      </c>
      <c r="U291" s="1726">
        <f t="shared" si="741"/>
        <v>146081.60369579258</v>
      </c>
      <c r="V291" s="1726">
        <f t="shared" si="741"/>
        <v>145465.30883393515</v>
      </c>
      <c r="W291" s="1726">
        <f t="shared" si="741"/>
        <v>144849.01397207769</v>
      </c>
      <c r="X291" s="1726">
        <f t="shared" si="741"/>
        <v>144232.71911022026</v>
      </c>
      <c r="Y291" s="1726">
        <f t="shared" si="741"/>
        <v>143616.42424836283</v>
      </c>
      <c r="Z291" s="1726">
        <f t="shared" si="741"/>
        <v>143005.05974540024</v>
      </c>
      <c r="AA291" s="1726">
        <f t="shared" si="741"/>
        <v>142388.76488354278</v>
      </c>
      <c r="AB291" s="1726">
        <f t="shared" si="741"/>
        <v>141772.47002168538</v>
      </c>
      <c r="AC291" s="1726">
        <f t="shared" si="741"/>
        <v>141156.17515982792</v>
      </c>
      <c r="AD291" s="1726">
        <f t="shared" si="741"/>
        <v>140539.88029797046</v>
      </c>
      <c r="AE291" s="1726">
        <f t="shared" si="741"/>
        <v>139923.58543611303</v>
      </c>
      <c r="AF291" s="1726">
        <f t="shared" si="741"/>
        <v>139307.2905742556</v>
      </c>
      <c r="AG291" s="1726">
        <f t="shared" si="741"/>
        <v>138690.99571239817</v>
      </c>
      <c r="AH291" s="1726">
        <f t="shared" si="741"/>
        <v>138074.70085054071</v>
      </c>
      <c r="AI291" s="1726">
        <f t="shared" si="741"/>
        <v>137458.40598868328</v>
      </c>
    </row>
    <row r="292" spans="2:35" x14ac:dyDescent="0.35">
      <c r="B292" s="726" t="s">
        <v>282</v>
      </c>
      <c r="C292" s="726"/>
      <c r="D292" s="726"/>
      <c r="E292" s="726"/>
      <c r="F292" s="1726">
        <f t="shared" ref="F292:AI292" si="742">F89*$D$39</f>
        <v>137059.87546852804</v>
      </c>
      <c r="G292" s="1726">
        <f t="shared" si="742"/>
        <v>137137.01816098482</v>
      </c>
      <c r="H292" s="1726">
        <f t="shared" si="742"/>
        <v>137214.16085344163</v>
      </c>
      <c r="I292" s="1726">
        <f t="shared" si="742"/>
        <v>137291.30354589841</v>
      </c>
      <c r="J292" s="1726">
        <f t="shared" si="742"/>
        <v>137368.44623835522</v>
      </c>
      <c r="K292" s="1726">
        <f t="shared" si="742"/>
        <v>137454.66454168927</v>
      </c>
      <c r="L292" s="1726">
        <f t="shared" si="742"/>
        <v>137250.46329695071</v>
      </c>
      <c r="M292" s="1726">
        <f t="shared" si="742"/>
        <v>137046.26205221214</v>
      </c>
      <c r="N292" s="1726">
        <f t="shared" si="742"/>
        <v>136842.06080747358</v>
      </c>
      <c r="O292" s="1726">
        <f t="shared" si="742"/>
        <v>136637.85956273499</v>
      </c>
      <c r="P292" s="1726">
        <f t="shared" si="742"/>
        <v>136433.65831799642</v>
      </c>
      <c r="Q292" s="1726">
        <f t="shared" si="742"/>
        <v>136038.86924483519</v>
      </c>
      <c r="R292" s="1726">
        <f t="shared" si="742"/>
        <v>135644.08017167394</v>
      </c>
      <c r="S292" s="1726">
        <f t="shared" si="742"/>
        <v>135249.29109851274</v>
      </c>
      <c r="T292" s="1726">
        <f t="shared" si="742"/>
        <v>134854.50202535148</v>
      </c>
      <c r="U292" s="1726">
        <f t="shared" si="742"/>
        <v>134450.63734131298</v>
      </c>
      <c r="V292" s="1726">
        <f t="shared" si="742"/>
        <v>133883.41166148364</v>
      </c>
      <c r="W292" s="1726">
        <f t="shared" si="742"/>
        <v>133316.18598165427</v>
      </c>
      <c r="X292" s="1726">
        <f t="shared" si="742"/>
        <v>132748.9603018249</v>
      </c>
      <c r="Y292" s="1726">
        <f t="shared" si="742"/>
        <v>132181.73462199557</v>
      </c>
      <c r="Z292" s="1726">
        <f t="shared" si="742"/>
        <v>131619.04674760482</v>
      </c>
      <c r="AA292" s="1726">
        <f t="shared" si="742"/>
        <v>131051.82106777545</v>
      </c>
      <c r="AB292" s="1726">
        <f t="shared" si="742"/>
        <v>130484.5953879461</v>
      </c>
      <c r="AC292" s="1726">
        <f t="shared" si="742"/>
        <v>129917.36970811673</v>
      </c>
      <c r="AD292" s="1726">
        <f t="shared" si="742"/>
        <v>129350.14402828735</v>
      </c>
      <c r="AE292" s="1726">
        <f t="shared" si="742"/>
        <v>128782.91834845801</v>
      </c>
      <c r="AF292" s="1726">
        <f t="shared" si="742"/>
        <v>128215.69266862865</v>
      </c>
      <c r="AG292" s="1726">
        <f t="shared" si="742"/>
        <v>127648.46698879931</v>
      </c>
      <c r="AH292" s="1726">
        <f t="shared" si="742"/>
        <v>127081.24130896993</v>
      </c>
      <c r="AI292" s="1726">
        <f t="shared" si="742"/>
        <v>126514.01562914057</v>
      </c>
    </row>
    <row r="293" spans="2:35" x14ac:dyDescent="0.35">
      <c r="B293" s="726" t="s">
        <v>283</v>
      </c>
      <c r="C293" s="726"/>
      <c r="D293" s="726"/>
      <c r="E293" s="726"/>
      <c r="F293" s="1726">
        <f t="shared" ref="F293:AI293" si="743">F89*$D$40</f>
        <v>16636.039709344033</v>
      </c>
      <c r="G293" s="1726">
        <f t="shared" si="743"/>
        <v>16645.403127270762</v>
      </c>
      <c r="H293" s="1726">
        <f t="shared" si="743"/>
        <v>16654.766545197486</v>
      </c>
      <c r="I293" s="1726">
        <f t="shared" si="743"/>
        <v>16664.129963124211</v>
      </c>
      <c r="J293" s="1726">
        <f t="shared" si="743"/>
        <v>16673.493381050939</v>
      </c>
      <c r="K293" s="1726">
        <f t="shared" si="743"/>
        <v>16683.958377557283</v>
      </c>
      <c r="L293" s="1726">
        <f t="shared" si="743"/>
        <v>16659.172859515944</v>
      </c>
      <c r="M293" s="1726">
        <f t="shared" si="743"/>
        <v>16634.387341474609</v>
      </c>
      <c r="N293" s="1726">
        <f t="shared" si="743"/>
        <v>16609.601823433277</v>
      </c>
      <c r="O293" s="1726">
        <f t="shared" si="743"/>
        <v>16584.816305391942</v>
      </c>
      <c r="P293" s="1726">
        <f t="shared" si="743"/>
        <v>16560.030787350606</v>
      </c>
      <c r="Q293" s="1726">
        <f t="shared" si="743"/>
        <v>16512.112119137357</v>
      </c>
      <c r="R293" s="1726">
        <f t="shared" si="743"/>
        <v>16464.193450924111</v>
      </c>
      <c r="S293" s="1726">
        <f t="shared" si="743"/>
        <v>16416.274782710865</v>
      </c>
      <c r="T293" s="1726">
        <f t="shared" si="743"/>
        <v>16368.356114497616</v>
      </c>
      <c r="U293" s="1726">
        <f t="shared" si="743"/>
        <v>16319.335867704754</v>
      </c>
      <c r="V293" s="1726">
        <f t="shared" si="743"/>
        <v>16250.487206478823</v>
      </c>
      <c r="W293" s="1726">
        <f t="shared" si="743"/>
        <v>16181.638545252892</v>
      </c>
      <c r="X293" s="1726">
        <f t="shared" si="743"/>
        <v>16112.789884026961</v>
      </c>
      <c r="Y293" s="1726">
        <f t="shared" si="743"/>
        <v>16043.941222801033</v>
      </c>
      <c r="Z293" s="1726">
        <f t="shared" si="743"/>
        <v>15975.64335086491</v>
      </c>
      <c r="AA293" s="1726">
        <f t="shared" si="743"/>
        <v>15906.794689638977</v>
      </c>
      <c r="AB293" s="1726">
        <f t="shared" si="743"/>
        <v>15837.946028413049</v>
      </c>
      <c r="AC293" s="1726">
        <f t="shared" si="743"/>
        <v>15769.097367187118</v>
      </c>
      <c r="AD293" s="1726">
        <f t="shared" si="743"/>
        <v>15700.248705961185</v>
      </c>
      <c r="AE293" s="1726">
        <f t="shared" si="743"/>
        <v>15631.400044735256</v>
      </c>
      <c r="AF293" s="1726">
        <f t="shared" si="743"/>
        <v>15562.551383509324</v>
      </c>
      <c r="AG293" s="1726">
        <f t="shared" si="743"/>
        <v>15493.702722283397</v>
      </c>
      <c r="AH293" s="1726">
        <f t="shared" si="743"/>
        <v>15424.854061057464</v>
      </c>
      <c r="AI293" s="1726">
        <f t="shared" si="743"/>
        <v>15356.005399831534</v>
      </c>
    </row>
    <row r="294" spans="2:35" x14ac:dyDescent="0.35">
      <c r="B294" s="726" t="s">
        <v>12</v>
      </c>
      <c r="C294" s="726"/>
      <c r="D294" s="726"/>
      <c r="E294" s="726"/>
      <c r="F294" s="1726">
        <f t="shared" ref="F294:AI294" si="744">F89*$D$41</f>
        <v>111103.15634350956</v>
      </c>
      <c r="G294" s="1726">
        <f t="shared" si="744"/>
        <v>111165.68957281162</v>
      </c>
      <c r="H294" s="1726">
        <f t="shared" si="744"/>
        <v>111228.22280211368</v>
      </c>
      <c r="I294" s="1726">
        <f t="shared" si="744"/>
        <v>111290.75603141575</v>
      </c>
      <c r="J294" s="1726">
        <f t="shared" si="744"/>
        <v>111353.28926071784</v>
      </c>
      <c r="K294" s="1726">
        <f t="shared" si="744"/>
        <v>111423.17934052603</v>
      </c>
      <c r="L294" s="1726">
        <f t="shared" si="744"/>
        <v>111257.65020413819</v>
      </c>
      <c r="M294" s="1726">
        <f t="shared" si="744"/>
        <v>111092.12106775035</v>
      </c>
      <c r="N294" s="1726">
        <f t="shared" si="744"/>
        <v>110926.59193136253</v>
      </c>
      <c r="O294" s="1726">
        <f t="shared" si="744"/>
        <v>110761.06279497471</v>
      </c>
      <c r="P294" s="1726">
        <f t="shared" si="744"/>
        <v>110595.53365858689</v>
      </c>
      <c r="Q294" s="1726">
        <f t="shared" si="744"/>
        <v>110275.51066157041</v>
      </c>
      <c r="R294" s="1726">
        <f t="shared" si="744"/>
        <v>109955.48766455395</v>
      </c>
      <c r="S294" s="1726">
        <f t="shared" si="744"/>
        <v>109635.4646675375</v>
      </c>
      <c r="T294" s="1726">
        <f t="shared" si="744"/>
        <v>109315.44167052102</v>
      </c>
      <c r="U294" s="1726">
        <f t="shared" si="744"/>
        <v>108988.06182299844</v>
      </c>
      <c r="V294" s="1726">
        <f t="shared" si="744"/>
        <v>108528.25866636558</v>
      </c>
      <c r="W294" s="1726">
        <f t="shared" si="744"/>
        <v>108068.45550973272</v>
      </c>
      <c r="X294" s="1726">
        <f t="shared" si="744"/>
        <v>107608.65235309987</v>
      </c>
      <c r="Y294" s="1726">
        <f t="shared" si="744"/>
        <v>107148.84919646702</v>
      </c>
      <c r="Z294" s="1726">
        <f t="shared" si="744"/>
        <v>106692.72446508725</v>
      </c>
      <c r="AA294" s="1726">
        <f t="shared" si="744"/>
        <v>106232.92130845437</v>
      </c>
      <c r="AB294" s="1726">
        <f t="shared" si="744"/>
        <v>105773.11815182153</v>
      </c>
      <c r="AC294" s="1726">
        <f t="shared" si="744"/>
        <v>105313.31499518867</v>
      </c>
      <c r="AD294" s="1726">
        <f t="shared" si="744"/>
        <v>104853.5118385558</v>
      </c>
      <c r="AE294" s="1726">
        <f t="shared" si="744"/>
        <v>104393.70868192296</v>
      </c>
      <c r="AF294" s="1726">
        <f t="shared" si="744"/>
        <v>103933.9055252901</v>
      </c>
      <c r="AG294" s="1726">
        <f t="shared" si="744"/>
        <v>103474.10236865727</v>
      </c>
      <c r="AH294" s="1726">
        <f t="shared" si="744"/>
        <v>103014.2992120244</v>
      </c>
      <c r="AI294" s="1726">
        <f t="shared" si="744"/>
        <v>102554.49605539156</v>
      </c>
    </row>
    <row r="295" spans="2:35" x14ac:dyDescent="0.35">
      <c r="B295" s="726" t="s">
        <v>13</v>
      </c>
      <c r="C295" s="726"/>
      <c r="D295" s="726"/>
      <c r="E295" s="726"/>
      <c r="F295" s="1726">
        <f t="shared" ref="F295:AI295" si="745">F89*$D$42</f>
        <v>20054.192910488557</v>
      </c>
      <c r="G295" s="1726">
        <f t="shared" si="745"/>
        <v>20065.480199572063</v>
      </c>
      <c r="H295" s="1726">
        <f t="shared" si="745"/>
        <v>20076.767488655572</v>
      </c>
      <c r="I295" s="1726">
        <f t="shared" si="745"/>
        <v>20088.054777739078</v>
      </c>
      <c r="J295" s="1726">
        <f t="shared" si="745"/>
        <v>20099.342066822592</v>
      </c>
      <c r="K295" s="1726">
        <f t="shared" si="745"/>
        <v>20111.957272268864</v>
      </c>
      <c r="L295" s="1726">
        <f t="shared" si="745"/>
        <v>20082.079154106636</v>
      </c>
      <c r="M295" s="1726">
        <f t="shared" si="745"/>
        <v>20052.201035944407</v>
      </c>
      <c r="N295" s="1726">
        <f t="shared" si="745"/>
        <v>20022.322917782178</v>
      </c>
      <c r="O295" s="1726">
        <f t="shared" si="745"/>
        <v>19992.444799619949</v>
      </c>
      <c r="P295" s="1726">
        <f t="shared" si="745"/>
        <v>19962.56668145772</v>
      </c>
      <c r="Q295" s="1726">
        <f t="shared" si="745"/>
        <v>19904.802319677405</v>
      </c>
      <c r="R295" s="1726">
        <f t="shared" si="745"/>
        <v>19847.037957897093</v>
      </c>
      <c r="S295" s="1726">
        <f t="shared" si="745"/>
        <v>19789.273596116785</v>
      </c>
      <c r="T295" s="1726">
        <f t="shared" si="745"/>
        <v>19731.509234336474</v>
      </c>
      <c r="U295" s="1726">
        <f t="shared" si="745"/>
        <v>19672.4169561934</v>
      </c>
      <c r="V295" s="1726">
        <f t="shared" si="745"/>
        <v>19589.422183520539</v>
      </c>
      <c r="W295" s="1726">
        <f t="shared" si="745"/>
        <v>19506.427410847678</v>
      </c>
      <c r="X295" s="1726">
        <f t="shared" si="745"/>
        <v>19423.432638174818</v>
      </c>
      <c r="Y295" s="1726">
        <f t="shared" si="745"/>
        <v>19340.437865501961</v>
      </c>
      <c r="Z295" s="1726">
        <f t="shared" si="745"/>
        <v>19258.107051010484</v>
      </c>
      <c r="AA295" s="1726">
        <f t="shared" si="745"/>
        <v>19175.11227833762</v>
      </c>
      <c r="AB295" s="1726">
        <f t="shared" si="745"/>
        <v>19092.117505664759</v>
      </c>
      <c r="AC295" s="1726">
        <f t="shared" si="745"/>
        <v>19009.122732991898</v>
      </c>
      <c r="AD295" s="1726">
        <f t="shared" si="745"/>
        <v>18926.127960319038</v>
      </c>
      <c r="AE295" s="1726">
        <f t="shared" si="745"/>
        <v>18843.133187646177</v>
      </c>
      <c r="AF295" s="1726">
        <f t="shared" si="745"/>
        <v>18760.138414973317</v>
      </c>
      <c r="AG295" s="1726">
        <f t="shared" si="745"/>
        <v>18677.14364230046</v>
      </c>
      <c r="AH295" s="1726">
        <f t="shared" si="745"/>
        <v>18594.148869627596</v>
      </c>
      <c r="AI295" s="1726">
        <f t="shared" si="745"/>
        <v>18511.154096954739</v>
      </c>
    </row>
    <row r="296" spans="2:35" x14ac:dyDescent="0.35">
      <c r="B296" s="726" t="s">
        <v>14</v>
      </c>
      <c r="C296" s="726"/>
      <c r="D296" s="726"/>
      <c r="E296" s="726"/>
      <c r="F296" s="1726">
        <f t="shared" ref="F296:AI296" si="746">F89*$D$43</f>
        <v>34985.051865742804</v>
      </c>
      <c r="G296" s="1726">
        <f t="shared" si="746"/>
        <v>35004.742829910385</v>
      </c>
      <c r="H296" s="1726">
        <f t="shared" si="746"/>
        <v>35024.433794077966</v>
      </c>
      <c r="I296" s="1726">
        <f t="shared" si="746"/>
        <v>35044.12475824554</v>
      </c>
      <c r="J296" s="1726">
        <f t="shared" si="746"/>
        <v>35063.815722413128</v>
      </c>
      <c r="K296" s="1726">
        <f t="shared" si="746"/>
        <v>35085.823270600427</v>
      </c>
      <c r="L296" s="1726">
        <f t="shared" si="746"/>
        <v>35033.700130156823</v>
      </c>
      <c r="M296" s="1726">
        <f t="shared" si="746"/>
        <v>34981.576989713227</v>
      </c>
      <c r="N296" s="1726">
        <f t="shared" si="746"/>
        <v>34929.45384926963</v>
      </c>
      <c r="O296" s="1726">
        <f t="shared" si="746"/>
        <v>34877.330708826034</v>
      </c>
      <c r="P296" s="1726">
        <f t="shared" si="746"/>
        <v>34825.207568382437</v>
      </c>
      <c r="Q296" s="1726">
        <f t="shared" si="746"/>
        <v>34724.436163524813</v>
      </c>
      <c r="R296" s="1726">
        <f t="shared" si="746"/>
        <v>34623.66475866719</v>
      </c>
      <c r="S296" s="1726">
        <f t="shared" si="746"/>
        <v>34522.893353809573</v>
      </c>
      <c r="T296" s="1726">
        <f t="shared" si="746"/>
        <v>34422.121948951943</v>
      </c>
      <c r="U296" s="1726">
        <f t="shared" si="746"/>
        <v>34319.033960074608</v>
      </c>
      <c r="V296" s="1726">
        <f t="shared" si="746"/>
        <v>34174.247458842394</v>
      </c>
      <c r="W296" s="1726">
        <f t="shared" si="746"/>
        <v>34029.460957610179</v>
      </c>
      <c r="X296" s="1726">
        <f t="shared" si="746"/>
        <v>33884.674456377958</v>
      </c>
      <c r="Y296" s="1726">
        <f t="shared" si="746"/>
        <v>33739.88795514575</v>
      </c>
      <c r="Z296" s="1726">
        <f t="shared" si="746"/>
        <v>33596.259745923395</v>
      </c>
      <c r="AA296" s="1726">
        <f t="shared" si="746"/>
        <v>33451.473244691166</v>
      </c>
      <c r="AB296" s="1726">
        <f t="shared" si="746"/>
        <v>33306.686743458959</v>
      </c>
      <c r="AC296" s="1726">
        <f t="shared" si="746"/>
        <v>33161.900242226744</v>
      </c>
      <c r="AD296" s="1726">
        <f t="shared" si="746"/>
        <v>33017.113740994522</v>
      </c>
      <c r="AE296" s="1726">
        <f t="shared" si="746"/>
        <v>32872.327239762308</v>
      </c>
      <c r="AF296" s="1726">
        <f t="shared" si="746"/>
        <v>32727.54073853009</v>
      </c>
      <c r="AG296" s="1726">
        <f t="shared" si="746"/>
        <v>32582.754237297879</v>
      </c>
      <c r="AH296" s="1726">
        <f t="shared" si="746"/>
        <v>32437.967736065657</v>
      </c>
      <c r="AI296" s="1726">
        <f t="shared" si="746"/>
        <v>32293.181234833446</v>
      </c>
    </row>
    <row r="297" spans="2:35" x14ac:dyDescent="0.35">
      <c r="B297" s="1733" t="s">
        <v>200</v>
      </c>
      <c r="C297" s="1733"/>
      <c r="D297" s="1733"/>
      <c r="E297" s="1733"/>
      <c r="F297" s="1734">
        <f>SUM(F286:F296)</f>
        <v>1564530.8887629155</v>
      </c>
      <c r="G297" s="1734">
        <f t="shared" ref="G297" si="747">SUM(G286:G296)</f>
        <v>1565411.4683255225</v>
      </c>
      <c r="H297" s="1734">
        <f t="shared" ref="H297" si="748">SUM(H286:H296)</f>
        <v>1566292.0478881288</v>
      </c>
      <c r="I297" s="1734">
        <f t="shared" ref="I297" si="749">SUM(I286:I296)</f>
        <v>1567172.6274507353</v>
      </c>
      <c r="J297" s="1734">
        <f t="shared" ref="J297" si="750">SUM(J286:J296)</f>
        <v>1568053.2070133421</v>
      </c>
      <c r="K297" s="1734">
        <f t="shared" ref="K297" si="751">SUM(K286:K296)</f>
        <v>1569037.3841715495</v>
      </c>
      <c r="L297" s="1734">
        <f t="shared" ref="L297" si="752">SUM(L286:L296)</f>
        <v>1566706.4382705321</v>
      </c>
      <c r="M297" s="1734">
        <f t="shared" ref="M297" si="753">SUM(M286:M296)</f>
        <v>1564375.4923695142</v>
      </c>
      <c r="N297" s="1734">
        <f t="shared" ref="N297" si="754">SUM(N286:N296)</f>
        <v>1562044.546468497</v>
      </c>
      <c r="O297" s="1734">
        <f t="shared" ref="O297" si="755">SUM(O286:O296)</f>
        <v>1559713.6005674799</v>
      </c>
      <c r="P297" s="1734">
        <f t="shared" ref="P297" si="756">SUM(P286:P296)</f>
        <v>1557382.654666462</v>
      </c>
      <c r="Q297" s="1734">
        <f t="shared" ref="Q297" si="757">SUM(Q286:Q296)</f>
        <v>1552876.159257828</v>
      </c>
      <c r="R297" s="1734">
        <f t="shared" ref="R297" si="758">SUM(R286:R296)</f>
        <v>1548369.6638491948</v>
      </c>
      <c r="S297" s="1734">
        <f t="shared" ref="S297" si="759">SUM(S286:S296)</f>
        <v>1543863.1684405613</v>
      </c>
      <c r="T297" s="1734">
        <f t="shared" ref="T297" si="760">SUM(T286:T296)</f>
        <v>1539356.6730319269</v>
      </c>
      <c r="U297" s="1734">
        <f t="shared" ref="U297" si="761">SUM(U286:U296)</f>
        <v>1534746.580027693</v>
      </c>
      <c r="V297" s="1734">
        <f t="shared" ref="V297" si="762">SUM(V286:V296)</f>
        <v>1528271.7303026442</v>
      </c>
      <c r="W297" s="1734">
        <f t="shared" ref="W297" si="763">SUM(W286:W296)</f>
        <v>1521796.8805775959</v>
      </c>
      <c r="X297" s="1734">
        <f t="shared" ref="X297" si="764">SUM(X286:X296)</f>
        <v>1515322.0308525469</v>
      </c>
      <c r="Y297" s="1734">
        <f t="shared" ref="Y297" si="765">SUM(Y286:Y296)</f>
        <v>1508847.1811274991</v>
      </c>
      <c r="Z297" s="1734">
        <f t="shared" ref="Z297" si="766">SUM(Z286:Z296)</f>
        <v>1502424.130200251</v>
      </c>
      <c r="AA297" s="1734">
        <f t="shared" ref="AA297" si="767">SUM(AA286:AA296)</f>
        <v>1495949.280475202</v>
      </c>
      <c r="AB297" s="1734">
        <f t="shared" ref="AB297" si="768">SUM(AB286:AB296)</f>
        <v>1489474.4307501537</v>
      </c>
      <c r="AC297" s="1734">
        <f t="shared" ref="AC297" si="769">SUM(AC286:AC296)</f>
        <v>1482999.581025105</v>
      </c>
      <c r="AD297" s="1734">
        <f t="shared" ref="AD297" si="770">SUM(AD286:AD296)</f>
        <v>1476524.7313000567</v>
      </c>
      <c r="AE297" s="1734">
        <f t="shared" ref="AE297" si="771">SUM(AE286:AE296)</f>
        <v>1470049.8815750082</v>
      </c>
      <c r="AF297" s="1734">
        <f t="shared" ref="AF297" si="772">SUM(AF286:AF296)</f>
        <v>1463575.0318499596</v>
      </c>
      <c r="AG297" s="1734">
        <f t="shared" ref="AG297" si="773">SUM(AG286:AG296)</f>
        <v>1457100.1821249116</v>
      </c>
      <c r="AH297" s="1734">
        <f t="shared" ref="AH297" si="774">SUM(AH286:AH296)</f>
        <v>1450625.3323998626</v>
      </c>
      <c r="AI297" s="1734">
        <f t="shared" ref="AI297" si="775">SUM(AI286:AI296)</f>
        <v>1444150.4826748148</v>
      </c>
    </row>
    <row r="298" spans="2:35" x14ac:dyDescent="0.35">
      <c r="E298" s="281" t="s">
        <v>332</v>
      </c>
      <c r="F298" s="1725">
        <f t="shared" ref="F298:AI298" si="776">F297-F89</f>
        <v>0</v>
      </c>
      <c r="G298" s="1725">
        <f t="shared" si="776"/>
        <v>0</v>
      </c>
      <c r="H298" s="1725">
        <f t="shared" si="776"/>
        <v>0</v>
      </c>
      <c r="I298" s="1725">
        <f t="shared" si="776"/>
        <v>0</v>
      </c>
      <c r="J298" s="1725">
        <f t="shared" si="776"/>
        <v>0</v>
      </c>
      <c r="K298" s="1725">
        <f t="shared" si="776"/>
        <v>0</v>
      </c>
      <c r="L298" s="1725">
        <f t="shared" si="776"/>
        <v>0</v>
      </c>
      <c r="M298" s="1725">
        <f t="shared" si="776"/>
        <v>0</v>
      </c>
      <c r="N298" s="1725">
        <f t="shared" si="776"/>
        <v>0</v>
      </c>
      <c r="O298" s="1725">
        <f t="shared" si="776"/>
        <v>0</v>
      </c>
      <c r="P298" s="1725">
        <f t="shared" si="776"/>
        <v>0</v>
      </c>
      <c r="Q298" s="1725">
        <f t="shared" si="776"/>
        <v>0</v>
      </c>
      <c r="R298" s="1725">
        <f t="shared" si="776"/>
        <v>0</v>
      </c>
      <c r="S298" s="1725">
        <f t="shared" si="776"/>
        <v>0</v>
      </c>
      <c r="T298" s="1725">
        <f t="shared" si="776"/>
        <v>0</v>
      </c>
      <c r="U298" s="1725">
        <f t="shared" si="776"/>
        <v>0</v>
      </c>
      <c r="V298" s="1725">
        <f t="shared" si="776"/>
        <v>0</v>
      </c>
      <c r="W298" s="1725">
        <f t="shared" si="776"/>
        <v>0</v>
      </c>
      <c r="X298" s="1725">
        <f t="shared" si="776"/>
        <v>0</v>
      </c>
      <c r="Y298" s="1725">
        <f t="shared" si="776"/>
        <v>0</v>
      </c>
      <c r="Z298" s="1725">
        <f t="shared" si="776"/>
        <v>0</v>
      </c>
      <c r="AA298" s="1725">
        <f t="shared" si="776"/>
        <v>0</v>
      </c>
      <c r="AB298" s="1725">
        <f t="shared" si="776"/>
        <v>0</v>
      </c>
      <c r="AC298" s="1725">
        <f t="shared" si="776"/>
        <v>0</v>
      </c>
      <c r="AD298" s="1725">
        <f t="shared" si="776"/>
        <v>0</v>
      </c>
      <c r="AE298" s="1725">
        <f t="shared" si="776"/>
        <v>0</v>
      </c>
      <c r="AF298" s="1725">
        <f t="shared" si="776"/>
        <v>0</v>
      </c>
      <c r="AG298" s="1725">
        <f t="shared" si="776"/>
        <v>0</v>
      </c>
      <c r="AH298" s="1725">
        <f t="shared" si="776"/>
        <v>0</v>
      </c>
      <c r="AI298" s="1725">
        <f t="shared" si="776"/>
        <v>0</v>
      </c>
    </row>
    <row r="299" spans="2:35" ht="15.5" x14ac:dyDescent="0.35">
      <c r="B299" s="86" t="s">
        <v>3</v>
      </c>
    </row>
    <row r="300" spans="2:35" x14ac:dyDescent="0.35">
      <c r="B300" s="1731" t="s">
        <v>273</v>
      </c>
      <c r="C300" s="1731"/>
      <c r="D300" s="1731"/>
      <c r="E300" s="1731"/>
      <c r="F300" s="1732">
        <v>1</v>
      </c>
      <c r="G300" s="1732">
        <f>F300+1</f>
        <v>2</v>
      </c>
      <c r="H300" s="1732">
        <f t="shared" ref="H300" si="777">G300+1</f>
        <v>3</v>
      </c>
      <c r="I300" s="1732">
        <f t="shared" ref="I300" si="778">H300+1</f>
        <v>4</v>
      </c>
      <c r="J300" s="1732">
        <f t="shared" ref="J300" si="779">I300+1</f>
        <v>5</v>
      </c>
      <c r="K300" s="1732">
        <f t="shared" ref="K300" si="780">J300+1</f>
        <v>6</v>
      </c>
      <c r="L300" s="1732">
        <f t="shared" ref="L300" si="781">K300+1</f>
        <v>7</v>
      </c>
      <c r="M300" s="1732">
        <f t="shared" ref="M300" si="782">L300+1</f>
        <v>8</v>
      </c>
      <c r="N300" s="1732">
        <f t="shared" ref="N300" si="783">M300+1</f>
        <v>9</v>
      </c>
      <c r="O300" s="1732">
        <f t="shared" ref="O300" si="784">N300+1</f>
        <v>10</v>
      </c>
      <c r="P300" s="1732">
        <f t="shared" ref="P300" si="785">O300+1</f>
        <v>11</v>
      </c>
      <c r="Q300" s="1732">
        <f t="shared" ref="Q300" si="786">P300+1</f>
        <v>12</v>
      </c>
      <c r="R300" s="1732">
        <f t="shared" ref="R300" si="787">Q300+1</f>
        <v>13</v>
      </c>
      <c r="S300" s="1732">
        <f t="shared" ref="S300" si="788">R300+1</f>
        <v>14</v>
      </c>
      <c r="T300" s="1732">
        <f t="shared" ref="T300" si="789">S300+1</f>
        <v>15</v>
      </c>
      <c r="U300" s="1732">
        <f t="shared" ref="U300" si="790">T300+1</f>
        <v>16</v>
      </c>
      <c r="V300" s="1732">
        <f t="shared" ref="V300" si="791">U300+1</f>
        <v>17</v>
      </c>
      <c r="W300" s="1732">
        <f t="shared" ref="W300" si="792">V300+1</f>
        <v>18</v>
      </c>
      <c r="X300" s="1732">
        <f t="shared" ref="X300" si="793">W300+1</f>
        <v>19</v>
      </c>
      <c r="Y300" s="1732">
        <f t="shared" ref="Y300" si="794">X300+1</f>
        <v>20</v>
      </c>
      <c r="Z300" s="1732">
        <f t="shared" ref="Z300" si="795">Y300+1</f>
        <v>21</v>
      </c>
      <c r="AA300" s="1732">
        <f t="shared" ref="AA300" si="796">Z300+1</f>
        <v>22</v>
      </c>
      <c r="AB300" s="1732">
        <f t="shared" ref="AB300" si="797">AA300+1</f>
        <v>23</v>
      </c>
      <c r="AC300" s="1732">
        <f t="shared" ref="AC300" si="798">AB300+1</f>
        <v>24</v>
      </c>
      <c r="AD300" s="1732">
        <f t="shared" ref="AD300" si="799">AC300+1</f>
        <v>25</v>
      </c>
      <c r="AE300" s="1732">
        <f t="shared" ref="AE300" si="800">AD300+1</f>
        <v>26</v>
      </c>
      <c r="AF300" s="1732">
        <f t="shared" ref="AF300" si="801">AE300+1</f>
        <v>27</v>
      </c>
      <c r="AG300" s="1732">
        <f t="shared" ref="AG300" si="802">AF300+1</f>
        <v>28</v>
      </c>
      <c r="AH300" s="1732">
        <f t="shared" ref="AH300" si="803">AG300+1</f>
        <v>29</v>
      </c>
      <c r="AI300" s="1732">
        <f t="shared" ref="AI300" si="804">AH300+1</f>
        <v>30</v>
      </c>
    </row>
    <row r="301" spans="2:35" x14ac:dyDescent="0.35">
      <c r="B301" s="726" t="s">
        <v>276</v>
      </c>
      <c r="C301" s="726"/>
      <c r="D301" s="726"/>
      <c r="E301" s="726"/>
      <c r="F301" s="1726">
        <f t="shared" ref="F301:AI301" si="805">F90*$E$33</f>
        <v>130429.41815483833</v>
      </c>
      <c r="G301" s="1726">
        <f t="shared" si="805"/>
        <v>130572.51131792646</v>
      </c>
      <c r="H301" s="1726">
        <f t="shared" si="805"/>
        <v>130715.60448101461</v>
      </c>
      <c r="I301" s="1726">
        <f t="shared" si="805"/>
        <v>130858.69764410277</v>
      </c>
      <c r="J301" s="1726">
        <f t="shared" si="805"/>
        <v>131001.79080719089</v>
      </c>
      <c r="K301" s="1726">
        <f t="shared" si="805"/>
        <v>131216.43055182308</v>
      </c>
      <c r="L301" s="1726">
        <f t="shared" si="805"/>
        <v>131180.65726105106</v>
      </c>
      <c r="M301" s="1726">
        <f t="shared" si="805"/>
        <v>131144.88397027901</v>
      </c>
      <c r="N301" s="1726">
        <f t="shared" si="805"/>
        <v>131109.11067950699</v>
      </c>
      <c r="O301" s="1726">
        <f t="shared" si="805"/>
        <v>131073.33738873497</v>
      </c>
      <c r="P301" s="1726">
        <f t="shared" si="805"/>
        <v>130966.01751641885</v>
      </c>
      <c r="Q301" s="1726">
        <f t="shared" si="805"/>
        <v>130679.83119024258</v>
      </c>
      <c r="R301" s="1726">
        <f t="shared" si="805"/>
        <v>130393.6448640663</v>
      </c>
      <c r="S301" s="1726">
        <f t="shared" si="805"/>
        <v>130107.45853789002</v>
      </c>
      <c r="T301" s="1726">
        <f t="shared" si="805"/>
        <v>129821.27221171375</v>
      </c>
      <c r="U301" s="1726">
        <f t="shared" si="805"/>
        <v>129570.8591763095</v>
      </c>
      <c r="V301" s="1726">
        <f t="shared" si="805"/>
        <v>129141.57968704509</v>
      </c>
      <c r="W301" s="1726">
        <f t="shared" si="805"/>
        <v>128712.30019778066</v>
      </c>
      <c r="X301" s="1726">
        <f t="shared" si="805"/>
        <v>128283.02070851625</v>
      </c>
      <c r="Y301" s="1726">
        <f t="shared" si="805"/>
        <v>127853.74121925182</v>
      </c>
      <c r="Z301" s="1726">
        <f t="shared" si="805"/>
        <v>127424.46172998742</v>
      </c>
      <c r="AA301" s="1726">
        <f t="shared" si="805"/>
        <v>126995.18224072301</v>
      </c>
      <c r="AB301" s="1726">
        <f t="shared" si="805"/>
        <v>126565.90275145858</v>
      </c>
      <c r="AC301" s="1726">
        <f t="shared" si="805"/>
        <v>126136.62326219417</v>
      </c>
      <c r="AD301" s="1726">
        <f t="shared" si="805"/>
        <v>125707.34377292974</v>
      </c>
      <c r="AE301" s="1726">
        <f t="shared" si="805"/>
        <v>125278.06428366534</v>
      </c>
      <c r="AF301" s="1726">
        <f t="shared" si="805"/>
        <v>124848.78479440091</v>
      </c>
      <c r="AG301" s="1726">
        <f t="shared" si="805"/>
        <v>124419.50530513651</v>
      </c>
      <c r="AH301" s="1726">
        <f t="shared" si="805"/>
        <v>123990.22581587209</v>
      </c>
      <c r="AI301" s="1726">
        <f t="shared" si="805"/>
        <v>123560.94632660768</v>
      </c>
    </row>
    <row r="302" spans="2:35" x14ac:dyDescent="0.35">
      <c r="B302" s="726" t="s">
        <v>277</v>
      </c>
      <c r="C302" s="726"/>
      <c r="D302" s="726"/>
      <c r="E302" s="726"/>
      <c r="F302" s="1726">
        <f t="shared" ref="F302:AI302" si="806">F90*$E$34</f>
        <v>0</v>
      </c>
      <c r="G302" s="1726">
        <f t="shared" si="806"/>
        <v>0</v>
      </c>
      <c r="H302" s="1726">
        <f t="shared" si="806"/>
        <v>0</v>
      </c>
      <c r="I302" s="1726">
        <f t="shared" si="806"/>
        <v>0</v>
      </c>
      <c r="J302" s="1726">
        <f t="shared" si="806"/>
        <v>0</v>
      </c>
      <c r="K302" s="1726">
        <f t="shared" si="806"/>
        <v>0</v>
      </c>
      <c r="L302" s="1726">
        <f t="shared" si="806"/>
        <v>0</v>
      </c>
      <c r="M302" s="1726">
        <f t="shared" si="806"/>
        <v>0</v>
      </c>
      <c r="N302" s="1726">
        <f t="shared" si="806"/>
        <v>0</v>
      </c>
      <c r="O302" s="1726">
        <f t="shared" si="806"/>
        <v>0</v>
      </c>
      <c r="P302" s="1726">
        <f t="shared" si="806"/>
        <v>0</v>
      </c>
      <c r="Q302" s="1726">
        <f t="shared" si="806"/>
        <v>0</v>
      </c>
      <c r="R302" s="1726">
        <f t="shared" si="806"/>
        <v>0</v>
      </c>
      <c r="S302" s="1726">
        <f t="shared" si="806"/>
        <v>0</v>
      </c>
      <c r="T302" s="1726">
        <f t="shared" si="806"/>
        <v>0</v>
      </c>
      <c r="U302" s="1726">
        <f t="shared" si="806"/>
        <v>0</v>
      </c>
      <c r="V302" s="1726">
        <f t="shared" si="806"/>
        <v>0</v>
      </c>
      <c r="W302" s="1726">
        <f t="shared" si="806"/>
        <v>0</v>
      </c>
      <c r="X302" s="1726">
        <f t="shared" si="806"/>
        <v>0</v>
      </c>
      <c r="Y302" s="1726">
        <f t="shared" si="806"/>
        <v>0</v>
      </c>
      <c r="Z302" s="1726">
        <f t="shared" si="806"/>
        <v>0</v>
      </c>
      <c r="AA302" s="1726">
        <f t="shared" si="806"/>
        <v>0</v>
      </c>
      <c r="AB302" s="1726">
        <f t="shared" si="806"/>
        <v>0</v>
      </c>
      <c r="AC302" s="1726">
        <f t="shared" si="806"/>
        <v>0</v>
      </c>
      <c r="AD302" s="1726">
        <f t="shared" si="806"/>
        <v>0</v>
      </c>
      <c r="AE302" s="1726">
        <f t="shared" si="806"/>
        <v>0</v>
      </c>
      <c r="AF302" s="1726">
        <f t="shared" si="806"/>
        <v>0</v>
      </c>
      <c r="AG302" s="1726">
        <f t="shared" si="806"/>
        <v>0</v>
      </c>
      <c r="AH302" s="1726">
        <f t="shared" si="806"/>
        <v>0</v>
      </c>
      <c r="AI302" s="1726">
        <f t="shared" si="806"/>
        <v>0</v>
      </c>
    </row>
    <row r="303" spans="2:35" x14ac:dyDescent="0.35">
      <c r="B303" s="726" t="s">
        <v>278</v>
      </c>
      <c r="C303" s="726"/>
      <c r="D303" s="726"/>
      <c r="E303" s="726"/>
      <c r="F303" s="1726">
        <f t="shared" ref="F303:AI303" si="807">F90*$E$35</f>
        <v>4182.701804637506</v>
      </c>
      <c r="G303" s="1726">
        <f t="shared" si="807"/>
        <v>4187.2906162717754</v>
      </c>
      <c r="H303" s="1726">
        <f t="shared" si="807"/>
        <v>4191.8794279060467</v>
      </c>
      <c r="I303" s="1726">
        <f t="shared" si="807"/>
        <v>4196.468239540317</v>
      </c>
      <c r="J303" s="1726">
        <f t="shared" si="807"/>
        <v>4201.0570511745873</v>
      </c>
      <c r="K303" s="1726">
        <f t="shared" si="807"/>
        <v>4207.9402686259928</v>
      </c>
      <c r="L303" s="1726">
        <f t="shared" si="807"/>
        <v>4206.7930657174256</v>
      </c>
      <c r="M303" s="1726">
        <f t="shared" si="807"/>
        <v>4205.6458628088576</v>
      </c>
      <c r="N303" s="1726">
        <f t="shared" si="807"/>
        <v>4204.4986599002905</v>
      </c>
      <c r="O303" s="1726">
        <f t="shared" si="807"/>
        <v>4203.3514569917224</v>
      </c>
      <c r="P303" s="1726">
        <f t="shared" si="807"/>
        <v>4199.9098482660202</v>
      </c>
      <c r="Q303" s="1726">
        <f t="shared" si="807"/>
        <v>4190.7322249974786</v>
      </c>
      <c r="R303" s="1726">
        <f t="shared" si="807"/>
        <v>4181.554601728938</v>
      </c>
      <c r="S303" s="1726">
        <f t="shared" si="807"/>
        <v>4172.3769784603974</v>
      </c>
      <c r="T303" s="1726">
        <f t="shared" si="807"/>
        <v>4163.1993551918567</v>
      </c>
      <c r="U303" s="1726">
        <f t="shared" si="807"/>
        <v>4155.1689348318832</v>
      </c>
      <c r="V303" s="1726">
        <f t="shared" si="807"/>
        <v>4141.4024999290714</v>
      </c>
      <c r="W303" s="1726">
        <f t="shared" si="807"/>
        <v>4127.6360650262604</v>
      </c>
      <c r="X303" s="1726">
        <f t="shared" si="807"/>
        <v>4113.8696301234495</v>
      </c>
      <c r="Y303" s="1726">
        <f t="shared" si="807"/>
        <v>4100.1031952206376</v>
      </c>
      <c r="Z303" s="1726">
        <f t="shared" si="807"/>
        <v>4086.3367603178267</v>
      </c>
      <c r="AA303" s="1726">
        <f t="shared" si="807"/>
        <v>4072.5703254150148</v>
      </c>
      <c r="AB303" s="1726">
        <f t="shared" si="807"/>
        <v>4058.8038905122035</v>
      </c>
      <c r="AC303" s="1726">
        <f t="shared" si="807"/>
        <v>4045.0374556093925</v>
      </c>
      <c r="AD303" s="1726">
        <f t="shared" si="807"/>
        <v>4031.2710207065807</v>
      </c>
      <c r="AE303" s="1726">
        <f t="shared" si="807"/>
        <v>4017.5045858037697</v>
      </c>
      <c r="AF303" s="1726">
        <f t="shared" si="807"/>
        <v>4003.7381509009583</v>
      </c>
      <c r="AG303" s="1726">
        <f t="shared" si="807"/>
        <v>3989.9717159981474</v>
      </c>
      <c r="AH303" s="1726">
        <f t="shared" si="807"/>
        <v>3976.2052810953355</v>
      </c>
      <c r="AI303" s="1726">
        <f t="shared" si="807"/>
        <v>3962.4388461925246</v>
      </c>
    </row>
    <row r="304" spans="2:35" x14ac:dyDescent="0.35">
      <c r="B304" s="726" t="s">
        <v>279</v>
      </c>
      <c r="C304" s="726"/>
      <c r="D304" s="726"/>
      <c r="E304" s="726"/>
      <c r="F304" s="1726">
        <f t="shared" ref="F304:AI304" si="808">F90*$E$36</f>
        <v>11847.86475975366</v>
      </c>
      <c r="G304" s="1726">
        <f t="shared" si="808"/>
        <v>11860.862965743514</v>
      </c>
      <c r="H304" s="1726">
        <f t="shared" si="808"/>
        <v>11873.861171733372</v>
      </c>
      <c r="I304" s="1726">
        <f t="shared" si="808"/>
        <v>11886.859377723229</v>
      </c>
      <c r="J304" s="1726">
        <f t="shared" si="808"/>
        <v>11899.857583713083</v>
      </c>
      <c r="K304" s="1726">
        <f t="shared" si="808"/>
        <v>11919.354892697867</v>
      </c>
      <c r="L304" s="1726">
        <f t="shared" si="808"/>
        <v>11916.105341200402</v>
      </c>
      <c r="M304" s="1726">
        <f t="shared" si="808"/>
        <v>11912.855789702939</v>
      </c>
      <c r="N304" s="1726">
        <f t="shared" si="808"/>
        <v>11909.606238205475</v>
      </c>
      <c r="O304" s="1726">
        <f t="shared" si="808"/>
        <v>11906.356686708012</v>
      </c>
      <c r="P304" s="1726">
        <f t="shared" si="808"/>
        <v>11896.608032215619</v>
      </c>
      <c r="Q304" s="1726">
        <f t="shared" si="808"/>
        <v>11870.611620235908</v>
      </c>
      <c r="R304" s="1726">
        <f t="shared" si="808"/>
        <v>11844.615208256195</v>
      </c>
      <c r="S304" s="1726">
        <f t="shared" si="808"/>
        <v>11818.618796276483</v>
      </c>
      <c r="T304" s="1726">
        <f t="shared" si="808"/>
        <v>11792.622384296772</v>
      </c>
      <c r="U304" s="1726">
        <f t="shared" si="808"/>
        <v>11769.875523814524</v>
      </c>
      <c r="V304" s="1726">
        <f t="shared" si="808"/>
        <v>11730.880905844957</v>
      </c>
      <c r="W304" s="1726">
        <f t="shared" si="808"/>
        <v>11691.886287875388</v>
      </c>
      <c r="X304" s="1726">
        <f t="shared" si="808"/>
        <v>11652.891669905821</v>
      </c>
      <c r="Y304" s="1726">
        <f t="shared" si="808"/>
        <v>11613.897051936252</v>
      </c>
      <c r="Z304" s="1726">
        <f t="shared" si="808"/>
        <v>11574.902433966687</v>
      </c>
      <c r="AA304" s="1726">
        <f t="shared" si="808"/>
        <v>11535.907815997118</v>
      </c>
      <c r="AB304" s="1726">
        <f t="shared" si="808"/>
        <v>11496.913198027549</v>
      </c>
      <c r="AC304" s="1726">
        <f t="shared" si="808"/>
        <v>11457.918580057982</v>
      </c>
      <c r="AD304" s="1726">
        <f t="shared" si="808"/>
        <v>11418.923962088415</v>
      </c>
      <c r="AE304" s="1726">
        <f t="shared" si="808"/>
        <v>11379.929344118847</v>
      </c>
      <c r="AF304" s="1726">
        <f t="shared" si="808"/>
        <v>11340.934726149279</v>
      </c>
      <c r="AG304" s="1726">
        <f t="shared" si="808"/>
        <v>11301.940108179711</v>
      </c>
      <c r="AH304" s="1726">
        <f t="shared" si="808"/>
        <v>11262.945490210142</v>
      </c>
      <c r="AI304" s="1726">
        <f t="shared" si="808"/>
        <v>11223.950872240577</v>
      </c>
    </row>
    <row r="305" spans="2:35" x14ac:dyDescent="0.35">
      <c r="B305" s="726" t="s">
        <v>280</v>
      </c>
      <c r="C305" s="726"/>
      <c r="D305" s="726"/>
      <c r="E305" s="726"/>
      <c r="F305" s="1726">
        <f t="shared" ref="F305:AI305" si="809">F90*$E$37</f>
        <v>13655.533877203297</v>
      </c>
      <c r="G305" s="1726">
        <f t="shared" si="809"/>
        <v>13670.515263793755</v>
      </c>
      <c r="H305" s="1726">
        <f t="shared" si="809"/>
        <v>13685.496650384215</v>
      </c>
      <c r="I305" s="1726">
        <f t="shared" si="809"/>
        <v>13700.478036974675</v>
      </c>
      <c r="J305" s="1726">
        <f t="shared" si="809"/>
        <v>13715.459423565133</v>
      </c>
      <c r="K305" s="1726">
        <f t="shared" si="809"/>
        <v>13737.931503450822</v>
      </c>
      <c r="L305" s="1726">
        <f t="shared" si="809"/>
        <v>13734.186156803205</v>
      </c>
      <c r="M305" s="1726">
        <f t="shared" si="809"/>
        <v>13730.440810155591</v>
      </c>
      <c r="N305" s="1726">
        <f t="shared" si="809"/>
        <v>13726.695463507978</v>
      </c>
      <c r="O305" s="1726">
        <f t="shared" si="809"/>
        <v>13722.950116860364</v>
      </c>
      <c r="P305" s="1726">
        <f t="shared" si="809"/>
        <v>13711.714076917518</v>
      </c>
      <c r="Q305" s="1726">
        <f t="shared" si="809"/>
        <v>13681.751303736601</v>
      </c>
      <c r="R305" s="1726">
        <f t="shared" si="809"/>
        <v>13651.788530555683</v>
      </c>
      <c r="S305" s="1726">
        <f t="shared" si="809"/>
        <v>13621.825757374765</v>
      </c>
      <c r="T305" s="1726">
        <f t="shared" si="809"/>
        <v>13591.862984193847</v>
      </c>
      <c r="U305" s="1726">
        <f t="shared" si="809"/>
        <v>13565.645557660544</v>
      </c>
      <c r="V305" s="1726">
        <f t="shared" si="809"/>
        <v>13520.701397889166</v>
      </c>
      <c r="W305" s="1726">
        <f t="shared" si="809"/>
        <v>13475.757238117789</v>
      </c>
      <c r="X305" s="1726">
        <f t="shared" si="809"/>
        <v>13430.813078346413</v>
      </c>
      <c r="Y305" s="1726">
        <f t="shared" si="809"/>
        <v>13385.868918575035</v>
      </c>
      <c r="Z305" s="1726">
        <f t="shared" si="809"/>
        <v>13340.92475880366</v>
      </c>
      <c r="AA305" s="1726">
        <f t="shared" si="809"/>
        <v>13295.980599032282</v>
      </c>
      <c r="AB305" s="1726">
        <f t="shared" si="809"/>
        <v>13251.036439260904</v>
      </c>
      <c r="AC305" s="1726">
        <f t="shared" si="809"/>
        <v>13206.09227948953</v>
      </c>
      <c r="AD305" s="1726">
        <f t="shared" si="809"/>
        <v>13161.148119718153</v>
      </c>
      <c r="AE305" s="1726">
        <f t="shared" si="809"/>
        <v>13116.203959946777</v>
      </c>
      <c r="AF305" s="1726">
        <f t="shared" si="809"/>
        <v>13071.2598001754</v>
      </c>
      <c r="AG305" s="1726">
        <f t="shared" si="809"/>
        <v>13026.315640404024</v>
      </c>
      <c r="AH305" s="1726">
        <f t="shared" si="809"/>
        <v>12981.371480632646</v>
      </c>
      <c r="AI305" s="1726">
        <f t="shared" si="809"/>
        <v>12936.42732086127</v>
      </c>
    </row>
    <row r="306" spans="2:35" x14ac:dyDescent="0.35">
      <c r="B306" s="726" t="s">
        <v>281</v>
      </c>
      <c r="C306" s="726"/>
      <c r="D306" s="726"/>
      <c r="E306" s="726"/>
      <c r="F306" s="1726">
        <f t="shared" ref="F306:AI306" si="810">F90*$E$38</f>
        <v>9804.8504785186087</v>
      </c>
      <c r="G306" s="1726">
        <f t="shared" si="810"/>
        <v>9815.6073084456712</v>
      </c>
      <c r="H306" s="1726">
        <f t="shared" si="810"/>
        <v>9826.3641383727354</v>
      </c>
      <c r="I306" s="1726">
        <f t="shared" si="810"/>
        <v>9837.1209682997996</v>
      </c>
      <c r="J306" s="1726">
        <f t="shared" si="810"/>
        <v>9847.8777982268639</v>
      </c>
      <c r="K306" s="1726">
        <f t="shared" si="810"/>
        <v>9864.0130431174584</v>
      </c>
      <c r="L306" s="1726">
        <f t="shared" si="810"/>
        <v>9861.3238356356924</v>
      </c>
      <c r="M306" s="1726">
        <f t="shared" si="810"/>
        <v>9858.6346281539263</v>
      </c>
      <c r="N306" s="1726">
        <f t="shared" si="810"/>
        <v>9855.9454206721621</v>
      </c>
      <c r="O306" s="1726">
        <f t="shared" si="810"/>
        <v>9853.256213190396</v>
      </c>
      <c r="P306" s="1726">
        <f t="shared" si="810"/>
        <v>9845.1885907450978</v>
      </c>
      <c r="Q306" s="1726">
        <f t="shared" si="810"/>
        <v>9823.6749308909693</v>
      </c>
      <c r="R306" s="1726">
        <f t="shared" si="810"/>
        <v>9802.1612710368427</v>
      </c>
      <c r="S306" s="1726">
        <f t="shared" si="810"/>
        <v>9780.6476111827142</v>
      </c>
      <c r="T306" s="1726">
        <f t="shared" si="810"/>
        <v>9759.1339513285875</v>
      </c>
      <c r="U306" s="1726">
        <f t="shared" si="810"/>
        <v>9740.3094989562269</v>
      </c>
      <c r="V306" s="1726">
        <f t="shared" si="810"/>
        <v>9708.0390091750342</v>
      </c>
      <c r="W306" s="1726">
        <f t="shared" si="810"/>
        <v>9675.7685193938432</v>
      </c>
      <c r="X306" s="1726">
        <f t="shared" si="810"/>
        <v>9643.4980296126523</v>
      </c>
      <c r="Y306" s="1726">
        <f t="shared" si="810"/>
        <v>9611.2275398314596</v>
      </c>
      <c r="Z306" s="1726">
        <f t="shared" si="810"/>
        <v>9578.9570500502705</v>
      </c>
      <c r="AA306" s="1726">
        <f t="shared" si="810"/>
        <v>9546.6865602690777</v>
      </c>
      <c r="AB306" s="1726">
        <f t="shared" si="810"/>
        <v>9514.416070487885</v>
      </c>
      <c r="AC306" s="1726">
        <f t="shared" si="810"/>
        <v>9482.1455807066959</v>
      </c>
      <c r="AD306" s="1726">
        <f t="shared" si="810"/>
        <v>9449.8750909255032</v>
      </c>
      <c r="AE306" s="1726">
        <f t="shared" si="810"/>
        <v>9417.6046011443123</v>
      </c>
      <c r="AF306" s="1726">
        <f t="shared" si="810"/>
        <v>9385.3341113631213</v>
      </c>
      <c r="AG306" s="1726">
        <f t="shared" si="810"/>
        <v>9353.0636215819304</v>
      </c>
      <c r="AH306" s="1726">
        <f t="shared" si="810"/>
        <v>9320.7931318007395</v>
      </c>
      <c r="AI306" s="1726">
        <f t="shared" si="810"/>
        <v>9288.5226420195486</v>
      </c>
    </row>
    <row r="307" spans="2:35" x14ac:dyDescent="0.35">
      <c r="B307" s="726" t="s">
        <v>282</v>
      </c>
      <c r="C307" s="726"/>
      <c r="D307" s="726"/>
      <c r="E307" s="726"/>
      <c r="F307" s="1726">
        <f t="shared" ref="F307:AI307" si="811">F90*$E$39</f>
        <v>8927.8588463485885</v>
      </c>
      <c r="G307" s="1726">
        <f t="shared" si="811"/>
        <v>8937.653535154237</v>
      </c>
      <c r="H307" s="1726">
        <f t="shared" si="811"/>
        <v>8947.4482239598856</v>
      </c>
      <c r="I307" s="1726">
        <f t="shared" si="811"/>
        <v>8957.2429127655341</v>
      </c>
      <c r="J307" s="1726">
        <f t="shared" si="811"/>
        <v>8967.0376015711827</v>
      </c>
      <c r="K307" s="1726">
        <f t="shared" si="811"/>
        <v>8981.7296347796546</v>
      </c>
      <c r="L307" s="1726">
        <f t="shared" si="811"/>
        <v>8979.2809625782429</v>
      </c>
      <c r="M307" s="1726">
        <f t="shared" si="811"/>
        <v>8976.8322903768294</v>
      </c>
      <c r="N307" s="1726">
        <f t="shared" si="811"/>
        <v>8974.3836181754195</v>
      </c>
      <c r="O307" s="1726">
        <f t="shared" si="811"/>
        <v>8971.9349459740079</v>
      </c>
      <c r="P307" s="1726">
        <f t="shared" si="811"/>
        <v>8964.588929369771</v>
      </c>
      <c r="Q307" s="1726">
        <f t="shared" si="811"/>
        <v>8944.9995517584739</v>
      </c>
      <c r="R307" s="1726">
        <f t="shared" si="811"/>
        <v>8925.4101741471768</v>
      </c>
      <c r="S307" s="1726">
        <f t="shared" si="811"/>
        <v>8905.8207965358797</v>
      </c>
      <c r="T307" s="1726">
        <f t="shared" si="811"/>
        <v>8886.2314189245826</v>
      </c>
      <c r="U307" s="1726">
        <f t="shared" si="811"/>
        <v>8869.0907135146972</v>
      </c>
      <c r="V307" s="1726">
        <f t="shared" si="811"/>
        <v>8839.7066470977516</v>
      </c>
      <c r="W307" s="1726">
        <f t="shared" si="811"/>
        <v>8810.3225806808059</v>
      </c>
      <c r="X307" s="1726">
        <f t="shared" si="811"/>
        <v>8780.9385142638621</v>
      </c>
      <c r="Y307" s="1726">
        <f t="shared" si="811"/>
        <v>8751.5544478469146</v>
      </c>
      <c r="Z307" s="1726">
        <f t="shared" si="811"/>
        <v>8722.1703814299708</v>
      </c>
      <c r="AA307" s="1726">
        <f t="shared" si="811"/>
        <v>8692.7863150130252</v>
      </c>
      <c r="AB307" s="1726">
        <f t="shared" si="811"/>
        <v>8663.4022485960777</v>
      </c>
      <c r="AC307" s="1726">
        <f t="shared" si="811"/>
        <v>8634.0181821791339</v>
      </c>
      <c r="AD307" s="1726">
        <f t="shared" si="811"/>
        <v>8604.6341157621882</v>
      </c>
      <c r="AE307" s="1726">
        <f t="shared" si="811"/>
        <v>8575.2500493452426</v>
      </c>
      <c r="AF307" s="1726">
        <f t="shared" si="811"/>
        <v>8545.8659829282969</v>
      </c>
      <c r="AG307" s="1726">
        <f t="shared" si="811"/>
        <v>8516.4819165113531</v>
      </c>
      <c r="AH307" s="1726">
        <f t="shared" si="811"/>
        <v>8487.0978500944057</v>
      </c>
      <c r="AI307" s="1726">
        <f t="shared" si="811"/>
        <v>8457.7137836774618</v>
      </c>
    </row>
    <row r="308" spans="2:35" x14ac:dyDescent="0.35">
      <c r="B308" s="726" t="s">
        <v>283</v>
      </c>
      <c r="C308" s="726"/>
      <c r="D308" s="726"/>
      <c r="E308" s="726"/>
      <c r="F308" s="1726">
        <f t="shared" ref="F308:AI308" si="812">F90*$E$40</f>
        <v>2149.4024582834281</v>
      </c>
      <c r="G308" s="1726">
        <f t="shared" si="812"/>
        <v>2151.7605520390871</v>
      </c>
      <c r="H308" s="1726">
        <f t="shared" si="812"/>
        <v>2154.1186457947465</v>
      </c>
      <c r="I308" s="1726">
        <f t="shared" si="812"/>
        <v>2156.4767395504059</v>
      </c>
      <c r="J308" s="1726">
        <f t="shared" si="812"/>
        <v>2158.8348333060649</v>
      </c>
      <c r="K308" s="1726">
        <f t="shared" si="812"/>
        <v>2162.3719739395538</v>
      </c>
      <c r="L308" s="1726">
        <f t="shared" si="812"/>
        <v>2161.7824505006388</v>
      </c>
      <c r="M308" s="1726">
        <f t="shared" si="812"/>
        <v>2161.1929270617243</v>
      </c>
      <c r="N308" s="1726">
        <f t="shared" si="812"/>
        <v>2160.6034036228098</v>
      </c>
      <c r="O308" s="1726">
        <f t="shared" si="812"/>
        <v>2160.0138801838948</v>
      </c>
      <c r="P308" s="1726">
        <f t="shared" si="812"/>
        <v>2158.2453098671504</v>
      </c>
      <c r="Q308" s="1726">
        <f t="shared" si="812"/>
        <v>2153.5291223558315</v>
      </c>
      <c r="R308" s="1726">
        <f t="shared" si="812"/>
        <v>2148.8129348445132</v>
      </c>
      <c r="S308" s="1726">
        <f t="shared" si="812"/>
        <v>2144.0967473331943</v>
      </c>
      <c r="T308" s="1726">
        <f t="shared" si="812"/>
        <v>2139.380559821876</v>
      </c>
      <c r="U308" s="1726">
        <f t="shared" si="812"/>
        <v>2135.2538957494721</v>
      </c>
      <c r="V308" s="1726">
        <f t="shared" si="812"/>
        <v>2128.1796144824943</v>
      </c>
      <c r="W308" s="1726">
        <f t="shared" si="812"/>
        <v>2121.1053332155166</v>
      </c>
      <c r="X308" s="1726">
        <f t="shared" si="812"/>
        <v>2114.0310519485388</v>
      </c>
      <c r="Y308" s="1726">
        <f t="shared" si="812"/>
        <v>2106.956770681561</v>
      </c>
      <c r="Z308" s="1726">
        <f t="shared" si="812"/>
        <v>2099.8824894145832</v>
      </c>
      <c r="AA308" s="1726">
        <f t="shared" si="812"/>
        <v>2092.8082081476055</v>
      </c>
      <c r="AB308" s="1726">
        <f t="shared" si="812"/>
        <v>2085.7339268806272</v>
      </c>
      <c r="AC308" s="1726">
        <f t="shared" si="812"/>
        <v>2078.6596456136494</v>
      </c>
      <c r="AD308" s="1726">
        <f t="shared" si="812"/>
        <v>2071.5853643466717</v>
      </c>
      <c r="AE308" s="1726">
        <f t="shared" si="812"/>
        <v>2064.5110830796939</v>
      </c>
      <c r="AF308" s="1726">
        <f t="shared" si="812"/>
        <v>2057.4368018127161</v>
      </c>
      <c r="AG308" s="1726">
        <f t="shared" si="812"/>
        <v>2050.3625205457383</v>
      </c>
      <c r="AH308" s="1726">
        <f t="shared" si="812"/>
        <v>2043.2882392787606</v>
      </c>
      <c r="AI308" s="1726">
        <f t="shared" si="812"/>
        <v>2036.2139580117828</v>
      </c>
    </row>
    <row r="309" spans="2:35" x14ac:dyDescent="0.35">
      <c r="B309" s="726" t="s">
        <v>12</v>
      </c>
      <c r="C309" s="726"/>
      <c r="D309" s="726"/>
      <c r="E309" s="726"/>
      <c r="F309" s="1726">
        <f t="shared" ref="F309:AI309" si="813">F90*$E$41</f>
        <v>11716.364466535535</v>
      </c>
      <c r="G309" s="1726">
        <f t="shared" si="813"/>
        <v>11729.218404513082</v>
      </c>
      <c r="H309" s="1726">
        <f t="shared" si="813"/>
        <v>11742.072342490632</v>
      </c>
      <c r="I309" s="1726">
        <f t="shared" si="813"/>
        <v>11754.92628046818</v>
      </c>
      <c r="J309" s="1726">
        <f t="shared" si="813"/>
        <v>11767.780218445729</v>
      </c>
      <c r="K309" s="1726">
        <f t="shared" si="813"/>
        <v>11787.06112541205</v>
      </c>
      <c r="L309" s="1726">
        <f t="shared" si="813"/>
        <v>11783.847640917664</v>
      </c>
      <c r="M309" s="1726">
        <f t="shared" si="813"/>
        <v>11780.634156423277</v>
      </c>
      <c r="N309" s="1726">
        <f t="shared" si="813"/>
        <v>11777.42067192889</v>
      </c>
      <c r="O309" s="1726">
        <f t="shared" si="813"/>
        <v>11774.207187434504</v>
      </c>
      <c r="P309" s="1726">
        <f t="shared" si="813"/>
        <v>11764.566733951342</v>
      </c>
      <c r="Q309" s="1726">
        <f t="shared" si="813"/>
        <v>11738.858857996243</v>
      </c>
      <c r="R309" s="1726">
        <f t="shared" si="813"/>
        <v>11713.150982041147</v>
      </c>
      <c r="S309" s="1726">
        <f t="shared" si="813"/>
        <v>11687.44310608605</v>
      </c>
      <c r="T309" s="1726">
        <f t="shared" si="813"/>
        <v>11661.735230130953</v>
      </c>
      <c r="U309" s="1726">
        <f t="shared" si="813"/>
        <v>11639.240838670243</v>
      </c>
      <c r="V309" s="1726">
        <f t="shared" si="813"/>
        <v>11600.679024737598</v>
      </c>
      <c r="W309" s="1726">
        <f t="shared" si="813"/>
        <v>11562.11721080495</v>
      </c>
      <c r="X309" s="1726">
        <f t="shared" si="813"/>
        <v>11523.555396872305</v>
      </c>
      <c r="Y309" s="1726">
        <f t="shared" si="813"/>
        <v>11484.993582939658</v>
      </c>
      <c r="Z309" s="1726">
        <f t="shared" si="813"/>
        <v>11446.431769007015</v>
      </c>
      <c r="AA309" s="1726">
        <f t="shared" si="813"/>
        <v>11407.869955074368</v>
      </c>
      <c r="AB309" s="1726">
        <f t="shared" si="813"/>
        <v>11369.308141141721</v>
      </c>
      <c r="AC309" s="1726">
        <f t="shared" si="813"/>
        <v>11330.746327209077</v>
      </c>
      <c r="AD309" s="1726">
        <f t="shared" si="813"/>
        <v>11292.18451327643</v>
      </c>
      <c r="AE309" s="1726">
        <f t="shared" si="813"/>
        <v>11253.622699343785</v>
      </c>
      <c r="AF309" s="1726">
        <f t="shared" si="813"/>
        <v>11215.060885411138</v>
      </c>
      <c r="AG309" s="1726">
        <f t="shared" si="813"/>
        <v>11176.499071478494</v>
      </c>
      <c r="AH309" s="1726">
        <f t="shared" si="813"/>
        <v>11137.937257545847</v>
      </c>
      <c r="AI309" s="1726">
        <f t="shared" si="813"/>
        <v>11099.375443613202</v>
      </c>
    </row>
    <row r="310" spans="2:35" x14ac:dyDescent="0.35">
      <c r="B310" s="726" t="s">
        <v>13</v>
      </c>
      <c r="C310" s="726"/>
      <c r="D310" s="726"/>
      <c r="E310" s="726"/>
      <c r="F310" s="1726">
        <f t="shared" ref="F310:AI310" si="814">F90*$E$42</f>
        <v>808.02513562314027</v>
      </c>
      <c r="G310" s="1726">
        <f t="shared" si="814"/>
        <v>808.91161410435052</v>
      </c>
      <c r="H310" s="1726">
        <f t="shared" si="814"/>
        <v>809.79809258556077</v>
      </c>
      <c r="I310" s="1726">
        <f t="shared" si="814"/>
        <v>810.68457106677101</v>
      </c>
      <c r="J310" s="1726">
        <f t="shared" si="814"/>
        <v>811.57104954798126</v>
      </c>
      <c r="K310" s="1726">
        <f t="shared" si="814"/>
        <v>812.90076726979657</v>
      </c>
      <c r="L310" s="1726">
        <f t="shared" si="814"/>
        <v>812.67914764949398</v>
      </c>
      <c r="M310" s="1726">
        <f t="shared" si="814"/>
        <v>812.45752802919139</v>
      </c>
      <c r="N310" s="1726">
        <f t="shared" si="814"/>
        <v>812.23590840888903</v>
      </c>
      <c r="O310" s="1726">
        <f t="shared" si="814"/>
        <v>812.01428878858644</v>
      </c>
      <c r="P310" s="1726">
        <f t="shared" si="814"/>
        <v>811.34942992767867</v>
      </c>
      <c r="Q310" s="1726">
        <f t="shared" si="814"/>
        <v>809.57647296525818</v>
      </c>
      <c r="R310" s="1726">
        <f t="shared" si="814"/>
        <v>807.80351600283768</v>
      </c>
      <c r="S310" s="1726">
        <f t="shared" si="814"/>
        <v>806.03055904041719</v>
      </c>
      <c r="T310" s="1726">
        <f t="shared" si="814"/>
        <v>804.25760207799669</v>
      </c>
      <c r="U310" s="1726">
        <f t="shared" si="814"/>
        <v>802.70626473587879</v>
      </c>
      <c r="V310" s="1726">
        <f t="shared" si="814"/>
        <v>800.04682929224805</v>
      </c>
      <c r="W310" s="1726">
        <f t="shared" si="814"/>
        <v>797.38739384861719</v>
      </c>
      <c r="X310" s="1726">
        <f t="shared" si="814"/>
        <v>794.72795840498657</v>
      </c>
      <c r="Y310" s="1726">
        <f t="shared" si="814"/>
        <v>792.06852296135571</v>
      </c>
      <c r="Z310" s="1726">
        <f t="shared" si="814"/>
        <v>789.40908751772508</v>
      </c>
      <c r="AA310" s="1726">
        <f t="shared" si="814"/>
        <v>786.74965207409434</v>
      </c>
      <c r="AB310" s="1726">
        <f t="shared" si="814"/>
        <v>784.09021663046349</v>
      </c>
      <c r="AC310" s="1726">
        <f t="shared" si="814"/>
        <v>781.43078118683286</v>
      </c>
      <c r="AD310" s="1726">
        <f t="shared" si="814"/>
        <v>778.771345743202</v>
      </c>
      <c r="AE310" s="1726">
        <f t="shared" si="814"/>
        <v>776.11191029957138</v>
      </c>
      <c r="AF310" s="1726">
        <f t="shared" si="814"/>
        <v>773.45247485594052</v>
      </c>
      <c r="AG310" s="1726">
        <f t="shared" si="814"/>
        <v>770.79303941230989</v>
      </c>
      <c r="AH310" s="1726">
        <f t="shared" si="814"/>
        <v>768.13360396867915</v>
      </c>
      <c r="AI310" s="1726">
        <f t="shared" si="814"/>
        <v>765.47416852504841</v>
      </c>
    </row>
    <row r="311" spans="2:35" x14ac:dyDescent="0.35">
      <c r="B311" s="726" t="s">
        <v>14</v>
      </c>
      <c r="C311" s="726"/>
      <c r="D311" s="726"/>
      <c r="E311" s="726"/>
      <c r="F311" s="1726">
        <f t="shared" ref="F311:AI311" si="815">F90*$E$43</f>
        <v>8484.2639240429726</v>
      </c>
      <c r="G311" s="1726">
        <f t="shared" si="815"/>
        <v>8493.5719480956795</v>
      </c>
      <c r="H311" s="1726">
        <f t="shared" si="815"/>
        <v>8502.8799721483883</v>
      </c>
      <c r="I311" s="1726">
        <f t="shared" si="815"/>
        <v>8512.1879962010971</v>
      </c>
      <c r="J311" s="1726">
        <f t="shared" si="815"/>
        <v>8521.4960202538041</v>
      </c>
      <c r="K311" s="1726">
        <f t="shared" si="815"/>
        <v>8535.4580563328655</v>
      </c>
      <c r="L311" s="1726">
        <f t="shared" si="815"/>
        <v>8533.1310503196873</v>
      </c>
      <c r="M311" s="1726">
        <f t="shared" si="815"/>
        <v>8530.8040443065111</v>
      </c>
      <c r="N311" s="1726">
        <f t="shared" si="815"/>
        <v>8528.4770382933348</v>
      </c>
      <c r="O311" s="1726">
        <f t="shared" si="815"/>
        <v>8526.1500322801585</v>
      </c>
      <c r="P311" s="1726">
        <f t="shared" si="815"/>
        <v>8519.169014240626</v>
      </c>
      <c r="Q311" s="1726">
        <f t="shared" si="815"/>
        <v>8500.552966135212</v>
      </c>
      <c r="R311" s="1726">
        <f t="shared" si="815"/>
        <v>8481.9369180297963</v>
      </c>
      <c r="S311" s="1726">
        <f t="shared" si="815"/>
        <v>8463.3208699243805</v>
      </c>
      <c r="T311" s="1726">
        <f t="shared" si="815"/>
        <v>8444.7048218189666</v>
      </c>
      <c r="U311" s="1726">
        <f t="shared" si="815"/>
        <v>8428.4157797267271</v>
      </c>
      <c r="V311" s="1726">
        <f t="shared" si="815"/>
        <v>8400.4917075686044</v>
      </c>
      <c r="W311" s="1726">
        <f t="shared" si="815"/>
        <v>8372.5676354104817</v>
      </c>
      <c r="X311" s="1726">
        <f t="shared" si="815"/>
        <v>8344.6435632523589</v>
      </c>
      <c r="Y311" s="1726">
        <f t="shared" si="815"/>
        <v>8316.7194910942362</v>
      </c>
      <c r="Z311" s="1726">
        <f t="shared" si="815"/>
        <v>8288.7954189361135</v>
      </c>
      <c r="AA311" s="1726">
        <f t="shared" si="815"/>
        <v>8260.8713467779908</v>
      </c>
      <c r="AB311" s="1726">
        <f t="shared" si="815"/>
        <v>8232.947274619868</v>
      </c>
      <c r="AC311" s="1726">
        <f t="shared" si="815"/>
        <v>8205.0232024617453</v>
      </c>
      <c r="AD311" s="1726">
        <f t="shared" si="815"/>
        <v>8177.0991303036217</v>
      </c>
      <c r="AE311" s="1726">
        <f t="shared" si="815"/>
        <v>8149.1750581454999</v>
      </c>
      <c r="AF311" s="1726">
        <f t="shared" si="815"/>
        <v>8121.2509859873762</v>
      </c>
      <c r="AG311" s="1726">
        <f t="shared" si="815"/>
        <v>8093.3269138292544</v>
      </c>
      <c r="AH311" s="1726">
        <f t="shared" si="815"/>
        <v>8065.4028416711308</v>
      </c>
      <c r="AI311" s="1726">
        <f t="shared" si="815"/>
        <v>8037.478769513009</v>
      </c>
    </row>
    <row r="312" spans="2:35" x14ac:dyDescent="0.35">
      <c r="B312" s="1733" t="s">
        <v>200</v>
      </c>
      <c r="C312" s="1733"/>
      <c r="D312" s="1733"/>
      <c r="E312" s="1733"/>
      <c r="F312" s="1734">
        <f>SUM(F301:F311)</f>
        <v>202006.28390578512</v>
      </c>
      <c r="G312" s="1734">
        <f t="shared" ref="G312" si="816">SUM(G301:G311)</f>
        <v>202227.90352608764</v>
      </c>
      <c r="H312" s="1734">
        <f t="shared" ref="H312" si="817">SUM(H301:H311)</f>
        <v>202449.52314639022</v>
      </c>
      <c r="I312" s="1734">
        <f t="shared" ref="I312" si="818">SUM(I301:I311)</f>
        <v>202671.14276669279</v>
      </c>
      <c r="J312" s="1734">
        <f t="shared" ref="J312" si="819">SUM(J301:J311)</f>
        <v>202892.76238699531</v>
      </c>
      <c r="K312" s="1734">
        <f t="shared" ref="K312" si="820">SUM(K301:K311)</f>
        <v>203225.19181744914</v>
      </c>
      <c r="L312" s="1734">
        <f t="shared" ref="L312" si="821">SUM(L301:L311)</f>
        <v>203169.78691237356</v>
      </c>
      <c r="M312" s="1734">
        <f t="shared" ref="M312" si="822">SUM(M301:M311)</f>
        <v>203114.38200729786</v>
      </c>
      <c r="N312" s="1734">
        <f t="shared" ref="N312" si="823">SUM(N301:N311)</f>
        <v>203058.97710222227</v>
      </c>
      <c r="O312" s="1734">
        <f t="shared" ref="O312" si="824">SUM(O301:O311)</f>
        <v>203003.5721971466</v>
      </c>
      <c r="P312" s="1734">
        <f t="shared" ref="P312" si="825">SUM(P301:P311)</f>
        <v>202837.35748191967</v>
      </c>
      <c r="Q312" s="1734">
        <f t="shared" ref="Q312" si="826">SUM(Q301:Q311)</f>
        <v>202394.11824131451</v>
      </c>
      <c r="R312" s="1734">
        <f t="shared" ref="R312" si="827">SUM(R301:R311)</f>
        <v>201950.87900070942</v>
      </c>
      <c r="S312" s="1734">
        <f t="shared" ref="S312" si="828">SUM(S301:S311)</f>
        <v>201507.6397601043</v>
      </c>
      <c r="T312" s="1734">
        <f t="shared" ref="T312" si="829">SUM(T301:T311)</f>
        <v>201064.40051949918</v>
      </c>
      <c r="U312" s="1734">
        <f t="shared" ref="U312" si="830">SUM(U301:U311)</f>
        <v>200676.56618396967</v>
      </c>
      <c r="V312" s="1734">
        <f t="shared" ref="V312" si="831">SUM(V301:V311)</f>
        <v>200011.70732306206</v>
      </c>
      <c r="W312" s="1734">
        <f t="shared" ref="W312" si="832">SUM(W301:W311)</f>
        <v>199346.84846215433</v>
      </c>
      <c r="X312" s="1734">
        <f t="shared" ref="X312" si="833">SUM(X301:X311)</f>
        <v>198681.98960124663</v>
      </c>
      <c r="Y312" s="1734">
        <f t="shared" ref="Y312" si="834">SUM(Y301:Y311)</f>
        <v>198017.13074033894</v>
      </c>
      <c r="Z312" s="1734">
        <f t="shared" ref="Z312" si="835">SUM(Z301:Z311)</f>
        <v>197352.2718794313</v>
      </c>
      <c r="AA312" s="1734">
        <f t="shared" ref="AA312" si="836">SUM(AA301:AA311)</f>
        <v>196687.41301852357</v>
      </c>
      <c r="AB312" s="1734">
        <f t="shared" ref="AB312" si="837">SUM(AB301:AB311)</f>
        <v>196022.55415761587</v>
      </c>
      <c r="AC312" s="1734">
        <f t="shared" ref="AC312" si="838">SUM(AC301:AC311)</f>
        <v>195357.6952967082</v>
      </c>
      <c r="AD312" s="1734">
        <f t="shared" ref="AD312" si="839">SUM(AD301:AD311)</f>
        <v>194692.83643580056</v>
      </c>
      <c r="AE312" s="1734">
        <f t="shared" ref="AE312" si="840">SUM(AE301:AE311)</f>
        <v>194027.97757489287</v>
      </c>
      <c r="AF312" s="1734">
        <f t="shared" ref="AF312" si="841">SUM(AF301:AF311)</f>
        <v>193363.11871398514</v>
      </c>
      <c r="AG312" s="1734">
        <f t="shared" ref="AG312" si="842">SUM(AG301:AG311)</f>
        <v>192698.2598530775</v>
      </c>
      <c r="AH312" s="1734">
        <f t="shared" ref="AH312" si="843">SUM(AH301:AH311)</f>
        <v>192033.4009921698</v>
      </c>
      <c r="AI312" s="1734">
        <f t="shared" ref="AI312" si="844">SUM(AI301:AI311)</f>
        <v>191368.54213126213</v>
      </c>
    </row>
    <row r="313" spans="2:35" x14ac:dyDescent="0.35">
      <c r="E313" s="281" t="s">
        <v>332</v>
      </c>
      <c r="F313" s="1725">
        <f t="shared" ref="F313:AI313" si="845">F312-F90</f>
        <v>0</v>
      </c>
      <c r="G313" s="1725">
        <f t="shared" si="845"/>
        <v>0</v>
      </c>
      <c r="H313" s="1725">
        <f t="shared" si="845"/>
        <v>0</v>
      </c>
      <c r="I313" s="1725">
        <f t="shared" si="845"/>
        <v>0</v>
      </c>
      <c r="J313" s="1725">
        <f t="shared" si="845"/>
        <v>0</v>
      </c>
      <c r="K313" s="1725">
        <f t="shared" si="845"/>
        <v>0</v>
      </c>
      <c r="L313" s="1725">
        <f t="shared" si="845"/>
        <v>0</v>
      </c>
      <c r="M313" s="1725">
        <f t="shared" si="845"/>
        <v>0</v>
      </c>
      <c r="N313" s="1725">
        <f t="shared" si="845"/>
        <v>0</v>
      </c>
      <c r="O313" s="1725">
        <f t="shared" si="845"/>
        <v>0</v>
      </c>
      <c r="P313" s="1725">
        <f t="shared" si="845"/>
        <v>0</v>
      </c>
      <c r="Q313" s="1725">
        <f t="shared" si="845"/>
        <v>0</v>
      </c>
      <c r="R313" s="1725">
        <f t="shared" si="845"/>
        <v>0</v>
      </c>
      <c r="S313" s="1725">
        <f t="shared" si="845"/>
        <v>0</v>
      </c>
      <c r="T313" s="1725">
        <f t="shared" si="845"/>
        <v>0</v>
      </c>
      <c r="U313" s="1725">
        <f t="shared" si="845"/>
        <v>0</v>
      </c>
      <c r="V313" s="1725">
        <f t="shared" si="845"/>
        <v>0</v>
      </c>
      <c r="W313" s="1725">
        <f t="shared" si="845"/>
        <v>0</v>
      </c>
      <c r="X313" s="1725">
        <f t="shared" si="845"/>
        <v>0</v>
      </c>
      <c r="Y313" s="1725">
        <f t="shared" si="845"/>
        <v>0</v>
      </c>
      <c r="Z313" s="1725">
        <f t="shared" si="845"/>
        <v>0</v>
      </c>
      <c r="AA313" s="1725">
        <f t="shared" si="845"/>
        <v>0</v>
      </c>
      <c r="AB313" s="1725">
        <f t="shared" si="845"/>
        <v>0</v>
      </c>
      <c r="AC313" s="1725">
        <f t="shared" si="845"/>
        <v>0</v>
      </c>
      <c r="AD313" s="1725">
        <f t="shared" si="845"/>
        <v>0</v>
      </c>
      <c r="AE313" s="1725">
        <f t="shared" si="845"/>
        <v>0</v>
      </c>
      <c r="AF313" s="1725">
        <f t="shared" si="845"/>
        <v>0</v>
      </c>
      <c r="AG313" s="1725">
        <f t="shared" si="845"/>
        <v>0</v>
      </c>
      <c r="AH313" s="1725">
        <f t="shared" si="845"/>
        <v>0</v>
      </c>
      <c r="AI313" s="1725">
        <f t="shared" si="845"/>
        <v>0</v>
      </c>
    </row>
    <row r="314" spans="2:35" ht="15.5" x14ac:dyDescent="0.35">
      <c r="B314" s="86" t="s">
        <v>4</v>
      </c>
    </row>
    <row r="315" spans="2:35" x14ac:dyDescent="0.35">
      <c r="B315" s="1731" t="s">
        <v>273</v>
      </c>
      <c r="C315" s="1731"/>
      <c r="D315" s="1731"/>
      <c r="E315" s="1731"/>
      <c r="F315" s="1732">
        <v>1</v>
      </c>
      <c r="G315" s="1732">
        <f>F315+1</f>
        <v>2</v>
      </c>
      <c r="H315" s="1732">
        <f t="shared" ref="H315" si="846">G315+1</f>
        <v>3</v>
      </c>
      <c r="I315" s="1732">
        <f t="shared" ref="I315" si="847">H315+1</f>
        <v>4</v>
      </c>
      <c r="J315" s="1732">
        <f t="shared" ref="J315" si="848">I315+1</f>
        <v>5</v>
      </c>
      <c r="K315" s="1732">
        <f t="shared" ref="K315" si="849">J315+1</f>
        <v>6</v>
      </c>
      <c r="L315" s="1732">
        <f t="shared" ref="L315" si="850">K315+1</f>
        <v>7</v>
      </c>
      <c r="M315" s="1732">
        <f t="shared" ref="M315" si="851">L315+1</f>
        <v>8</v>
      </c>
      <c r="N315" s="1732">
        <f t="shared" ref="N315" si="852">M315+1</f>
        <v>9</v>
      </c>
      <c r="O315" s="1732">
        <f t="shared" ref="O315" si="853">N315+1</f>
        <v>10</v>
      </c>
      <c r="P315" s="1732">
        <f t="shared" ref="P315" si="854">O315+1</f>
        <v>11</v>
      </c>
      <c r="Q315" s="1732">
        <f t="shared" ref="Q315" si="855">P315+1</f>
        <v>12</v>
      </c>
      <c r="R315" s="1732">
        <f t="shared" ref="R315" si="856">Q315+1</f>
        <v>13</v>
      </c>
      <c r="S315" s="1732">
        <f t="shared" ref="S315" si="857">R315+1</f>
        <v>14</v>
      </c>
      <c r="T315" s="1732">
        <f t="shared" ref="T315" si="858">S315+1</f>
        <v>15</v>
      </c>
      <c r="U315" s="1732">
        <f t="shared" ref="U315" si="859">T315+1</f>
        <v>16</v>
      </c>
      <c r="V315" s="1732">
        <f t="shared" ref="V315" si="860">U315+1</f>
        <v>17</v>
      </c>
      <c r="W315" s="1732">
        <f t="shared" ref="W315" si="861">V315+1</f>
        <v>18</v>
      </c>
      <c r="X315" s="1732">
        <f t="shared" ref="X315" si="862">W315+1</f>
        <v>19</v>
      </c>
      <c r="Y315" s="1732">
        <f t="shared" ref="Y315" si="863">X315+1</f>
        <v>20</v>
      </c>
      <c r="Z315" s="1732">
        <f t="shared" ref="Z315" si="864">Y315+1</f>
        <v>21</v>
      </c>
      <c r="AA315" s="1732">
        <f t="shared" ref="AA315" si="865">Z315+1</f>
        <v>22</v>
      </c>
      <c r="AB315" s="1732">
        <f t="shared" ref="AB315" si="866">AA315+1</f>
        <v>23</v>
      </c>
      <c r="AC315" s="1732">
        <f t="shared" ref="AC315" si="867">AB315+1</f>
        <v>24</v>
      </c>
      <c r="AD315" s="1732">
        <f t="shared" ref="AD315" si="868">AC315+1</f>
        <v>25</v>
      </c>
      <c r="AE315" s="1732">
        <f t="shared" ref="AE315" si="869">AD315+1</f>
        <v>26</v>
      </c>
      <c r="AF315" s="1732">
        <f t="shared" ref="AF315" si="870">AE315+1</f>
        <v>27</v>
      </c>
      <c r="AG315" s="1732">
        <f t="shared" ref="AG315" si="871">AF315+1</f>
        <v>28</v>
      </c>
      <c r="AH315" s="1732">
        <f t="shared" ref="AH315" si="872">AG315+1</f>
        <v>29</v>
      </c>
      <c r="AI315" s="1732">
        <f t="shared" ref="AI315" si="873">AH315+1</f>
        <v>30</v>
      </c>
    </row>
    <row r="316" spans="2:35" x14ac:dyDescent="0.35">
      <c r="B316" s="726" t="s">
        <v>276</v>
      </c>
      <c r="C316" s="726"/>
      <c r="D316" s="726"/>
      <c r="E316" s="726"/>
      <c r="F316" s="1726">
        <f t="shared" ref="F316:AI316" si="874">F91*$F$33</f>
        <v>240638.04668286577</v>
      </c>
      <c r="G316" s="1726">
        <f t="shared" si="874"/>
        <v>242866.42237698557</v>
      </c>
      <c r="H316" s="1726">
        <f t="shared" si="874"/>
        <v>245094.79807110538</v>
      </c>
      <c r="I316" s="1726">
        <f t="shared" si="874"/>
        <v>247323.17376522516</v>
      </c>
      <c r="J316" s="1726">
        <f t="shared" si="874"/>
        <v>249551.54945934497</v>
      </c>
      <c r="K316" s="1726">
        <f t="shared" si="874"/>
        <v>251753.39687139195</v>
      </c>
      <c r="L316" s="1726">
        <f t="shared" si="874"/>
        <v>253689.96146271031</v>
      </c>
      <c r="M316" s="1726">
        <f t="shared" si="874"/>
        <v>255626.52605402871</v>
      </c>
      <c r="N316" s="1726">
        <f t="shared" si="874"/>
        <v>257563.09064534708</v>
      </c>
      <c r="O316" s="1726">
        <f t="shared" si="874"/>
        <v>259499.65523666554</v>
      </c>
      <c r="P316" s="1726">
        <f t="shared" si="874"/>
        <v>261409.69154591105</v>
      </c>
      <c r="Q316" s="1726">
        <f t="shared" si="874"/>
        <v>262948.33190613659</v>
      </c>
      <c r="R316" s="1726">
        <f t="shared" si="874"/>
        <v>264486.97226636222</v>
      </c>
      <c r="S316" s="1726">
        <f t="shared" si="874"/>
        <v>266025.6126265878</v>
      </c>
      <c r="T316" s="1726">
        <f t="shared" si="874"/>
        <v>267564.25298681337</v>
      </c>
      <c r="U316" s="1726">
        <f t="shared" si="874"/>
        <v>269155.94991118467</v>
      </c>
      <c r="V316" s="1726">
        <f t="shared" si="874"/>
        <v>270270.13775824459</v>
      </c>
      <c r="W316" s="1726">
        <f t="shared" si="874"/>
        <v>271384.32560530445</v>
      </c>
      <c r="X316" s="1726">
        <f t="shared" si="874"/>
        <v>272498.51345236436</v>
      </c>
      <c r="Y316" s="1726">
        <f t="shared" si="874"/>
        <v>273612.70129942428</v>
      </c>
      <c r="Z316" s="1726">
        <f t="shared" si="874"/>
        <v>274673.83258233842</v>
      </c>
      <c r="AA316" s="1726">
        <f t="shared" si="874"/>
        <v>275788.02042939834</v>
      </c>
      <c r="AB316" s="1726">
        <f t="shared" si="874"/>
        <v>276902.20827645826</v>
      </c>
      <c r="AC316" s="1726">
        <f t="shared" si="874"/>
        <v>278016.39612351818</v>
      </c>
      <c r="AD316" s="1726">
        <f t="shared" si="874"/>
        <v>279130.58397057804</v>
      </c>
      <c r="AE316" s="1726">
        <f t="shared" si="874"/>
        <v>280244.77181763796</v>
      </c>
      <c r="AF316" s="1726">
        <f t="shared" si="874"/>
        <v>281358.95966469788</v>
      </c>
      <c r="AG316" s="1726">
        <f t="shared" si="874"/>
        <v>282473.14751175779</v>
      </c>
      <c r="AH316" s="1726">
        <f t="shared" si="874"/>
        <v>283587.33535881765</v>
      </c>
      <c r="AI316" s="1726">
        <f t="shared" si="874"/>
        <v>284701.52320587757</v>
      </c>
    </row>
    <row r="317" spans="2:35" x14ac:dyDescent="0.35">
      <c r="B317" s="726" t="s">
        <v>277</v>
      </c>
      <c r="C317" s="726"/>
      <c r="D317" s="726"/>
      <c r="E317" s="726"/>
      <c r="F317" s="1726">
        <f t="shared" ref="F317:AI317" si="875">F91*$F$34</f>
        <v>0</v>
      </c>
      <c r="G317" s="1726">
        <f t="shared" si="875"/>
        <v>0</v>
      </c>
      <c r="H317" s="1726">
        <f t="shared" si="875"/>
        <v>0</v>
      </c>
      <c r="I317" s="1726">
        <f t="shared" si="875"/>
        <v>0</v>
      </c>
      <c r="J317" s="1726">
        <f t="shared" si="875"/>
        <v>0</v>
      </c>
      <c r="K317" s="1726">
        <f t="shared" si="875"/>
        <v>0</v>
      </c>
      <c r="L317" s="1726">
        <f t="shared" si="875"/>
        <v>0</v>
      </c>
      <c r="M317" s="1726">
        <f t="shared" si="875"/>
        <v>0</v>
      </c>
      <c r="N317" s="1726">
        <f t="shared" si="875"/>
        <v>0</v>
      </c>
      <c r="O317" s="1726">
        <f t="shared" si="875"/>
        <v>0</v>
      </c>
      <c r="P317" s="1726">
        <f t="shared" si="875"/>
        <v>0</v>
      </c>
      <c r="Q317" s="1726">
        <f t="shared" si="875"/>
        <v>0</v>
      </c>
      <c r="R317" s="1726">
        <f t="shared" si="875"/>
        <v>0</v>
      </c>
      <c r="S317" s="1726">
        <f t="shared" si="875"/>
        <v>0</v>
      </c>
      <c r="T317" s="1726">
        <f t="shared" si="875"/>
        <v>0</v>
      </c>
      <c r="U317" s="1726">
        <f t="shared" si="875"/>
        <v>0</v>
      </c>
      <c r="V317" s="1726">
        <f t="shared" si="875"/>
        <v>0</v>
      </c>
      <c r="W317" s="1726">
        <f t="shared" si="875"/>
        <v>0</v>
      </c>
      <c r="X317" s="1726">
        <f t="shared" si="875"/>
        <v>0</v>
      </c>
      <c r="Y317" s="1726">
        <f t="shared" si="875"/>
        <v>0</v>
      </c>
      <c r="Z317" s="1726">
        <f t="shared" si="875"/>
        <v>0</v>
      </c>
      <c r="AA317" s="1726">
        <f t="shared" si="875"/>
        <v>0</v>
      </c>
      <c r="AB317" s="1726">
        <f t="shared" si="875"/>
        <v>0</v>
      </c>
      <c r="AC317" s="1726">
        <f t="shared" si="875"/>
        <v>0</v>
      </c>
      <c r="AD317" s="1726">
        <f t="shared" si="875"/>
        <v>0</v>
      </c>
      <c r="AE317" s="1726">
        <f t="shared" si="875"/>
        <v>0</v>
      </c>
      <c r="AF317" s="1726">
        <f t="shared" si="875"/>
        <v>0</v>
      </c>
      <c r="AG317" s="1726">
        <f t="shared" si="875"/>
        <v>0</v>
      </c>
      <c r="AH317" s="1726">
        <f t="shared" si="875"/>
        <v>0</v>
      </c>
      <c r="AI317" s="1726">
        <f t="shared" si="875"/>
        <v>0</v>
      </c>
    </row>
    <row r="318" spans="2:35" x14ac:dyDescent="0.35">
      <c r="B318" s="726" t="s">
        <v>278</v>
      </c>
      <c r="C318" s="726"/>
      <c r="D318" s="726"/>
      <c r="E318" s="726"/>
      <c r="F318" s="1726">
        <f t="shared" ref="F318:AI318" si="876">F91*$F$35</f>
        <v>8799.6996063247025</v>
      </c>
      <c r="G318" s="1726">
        <f t="shared" si="876"/>
        <v>8881.1872887115696</v>
      </c>
      <c r="H318" s="1726">
        <f t="shared" si="876"/>
        <v>8962.6749710984368</v>
      </c>
      <c r="I318" s="1726">
        <f t="shared" si="876"/>
        <v>9044.162653485304</v>
      </c>
      <c r="J318" s="1726">
        <f t="shared" si="876"/>
        <v>9125.6503358721711</v>
      </c>
      <c r="K318" s="1726">
        <f t="shared" si="876"/>
        <v>9206.1679268020544</v>
      </c>
      <c r="L318" s="1726">
        <f t="shared" si="876"/>
        <v>9276.9846031620691</v>
      </c>
      <c r="M318" s="1726">
        <f t="shared" si="876"/>
        <v>9347.8012795220839</v>
      </c>
      <c r="N318" s="1726">
        <f t="shared" si="876"/>
        <v>9418.6179558820986</v>
      </c>
      <c r="O318" s="1726">
        <f t="shared" si="876"/>
        <v>9489.434632242117</v>
      </c>
      <c r="P318" s="1726">
        <f t="shared" si="876"/>
        <v>9559.2812171451442</v>
      </c>
      <c r="Q318" s="1726">
        <f t="shared" si="876"/>
        <v>9615.5465216503617</v>
      </c>
      <c r="R318" s="1726">
        <f t="shared" si="876"/>
        <v>9671.811826155581</v>
      </c>
      <c r="S318" s="1726">
        <f t="shared" si="876"/>
        <v>9728.0771306607985</v>
      </c>
      <c r="T318" s="1726">
        <f t="shared" si="876"/>
        <v>9784.342435166016</v>
      </c>
      <c r="U318" s="1726">
        <f t="shared" si="876"/>
        <v>9842.5479225852087</v>
      </c>
      <c r="V318" s="1726">
        <f t="shared" si="876"/>
        <v>9883.2917637786413</v>
      </c>
      <c r="W318" s="1726">
        <f t="shared" si="876"/>
        <v>9924.0356049720758</v>
      </c>
      <c r="X318" s="1726">
        <f t="shared" si="876"/>
        <v>9964.7794461655085</v>
      </c>
      <c r="Y318" s="1726">
        <f t="shared" si="876"/>
        <v>10005.523287358943</v>
      </c>
      <c r="Z318" s="1726">
        <f t="shared" si="876"/>
        <v>10044.326945638404</v>
      </c>
      <c r="AA318" s="1726">
        <f t="shared" si="876"/>
        <v>10085.070786831839</v>
      </c>
      <c r="AB318" s="1726">
        <f t="shared" si="876"/>
        <v>10125.814628025271</v>
      </c>
      <c r="AC318" s="1726">
        <f t="shared" si="876"/>
        <v>10166.558469218706</v>
      </c>
      <c r="AD318" s="1726">
        <f t="shared" si="876"/>
        <v>10207.302310412138</v>
      </c>
      <c r="AE318" s="1726">
        <f t="shared" si="876"/>
        <v>10248.046151605573</v>
      </c>
      <c r="AF318" s="1726">
        <f t="shared" si="876"/>
        <v>10288.789992799006</v>
      </c>
      <c r="AG318" s="1726">
        <f t="shared" si="876"/>
        <v>10329.53383399244</v>
      </c>
      <c r="AH318" s="1726">
        <f t="shared" si="876"/>
        <v>10370.277675185875</v>
      </c>
      <c r="AI318" s="1726">
        <f t="shared" si="876"/>
        <v>10411.021516379307</v>
      </c>
    </row>
    <row r="319" spans="2:35" x14ac:dyDescent="0.35">
      <c r="B319" s="726" t="s">
        <v>279</v>
      </c>
      <c r="C319" s="726"/>
      <c r="D319" s="726"/>
      <c r="E319" s="726"/>
      <c r="F319" s="1726">
        <f t="shared" ref="F319:AI319" si="877">F91*$F$36</f>
        <v>24925.910507557233</v>
      </c>
      <c r="G319" s="1726">
        <f t="shared" si="877"/>
        <v>25156.731418441901</v>
      </c>
      <c r="H319" s="1726">
        <f t="shared" si="877"/>
        <v>25387.552329326565</v>
      </c>
      <c r="I319" s="1726">
        <f t="shared" si="877"/>
        <v>25618.373240211233</v>
      </c>
      <c r="J319" s="1726">
        <f t="shared" si="877"/>
        <v>25849.194151095897</v>
      </c>
      <c r="K319" s="1726">
        <f t="shared" si="877"/>
        <v>26077.267193993845</v>
      </c>
      <c r="L319" s="1726">
        <f t="shared" si="877"/>
        <v>26277.861557024564</v>
      </c>
      <c r="M319" s="1726">
        <f t="shared" si="877"/>
        <v>26478.455920055287</v>
      </c>
      <c r="N319" s="1726">
        <f t="shared" si="877"/>
        <v>26679.050283086006</v>
      </c>
      <c r="O319" s="1726">
        <f t="shared" si="877"/>
        <v>26879.644646116732</v>
      </c>
      <c r="P319" s="1726">
        <f t="shared" si="877"/>
        <v>27077.491141160728</v>
      </c>
      <c r="Q319" s="1726">
        <f t="shared" si="877"/>
        <v>27236.867484390616</v>
      </c>
      <c r="R319" s="1726">
        <f t="shared" si="877"/>
        <v>27396.243827620507</v>
      </c>
      <c r="S319" s="1726">
        <f t="shared" si="877"/>
        <v>27555.620170850394</v>
      </c>
      <c r="T319" s="1726">
        <f t="shared" si="877"/>
        <v>27714.996514080281</v>
      </c>
      <c r="U319" s="1726">
        <f t="shared" si="877"/>
        <v>27879.868593283616</v>
      </c>
      <c r="V319" s="1726">
        <f t="shared" si="877"/>
        <v>27995.279048725952</v>
      </c>
      <c r="W319" s="1726">
        <f t="shared" si="877"/>
        <v>28110.689504168284</v>
      </c>
      <c r="X319" s="1726">
        <f t="shared" si="877"/>
        <v>28226.099959610616</v>
      </c>
      <c r="Y319" s="1726">
        <f t="shared" si="877"/>
        <v>28341.510415052951</v>
      </c>
      <c r="Z319" s="1726">
        <f t="shared" si="877"/>
        <v>28451.425134521836</v>
      </c>
      <c r="AA319" s="1726">
        <f t="shared" si="877"/>
        <v>28566.835589964172</v>
      </c>
      <c r="AB319" s="1726">
        <f t="shared" si="877"/>
        <v>28682.246045406504</v>
      </c>
      <c r="AC319" s="1726">
        <f t="shared" si="877"/>
        <v>28797.656500848836</v>
      </c>
      <c r="AD319" s="1726">
        <f t="shared" si="877"/>
        <v>28913.066956291172</v>
      </c>
      <c r="AE319" s="1726">
        <f t="shared" si="877"/>
        <v>29028.477411733504</v>
      </c>
      <c r="AF319" s="1726">
        <f t="shared" si="877"/>
        <v>29143.887867175836</v>
      </c>
      <c r="AG319" s="1726">
        <f t="shared" si="877"/>
        <v>29259.298322618171</v>
      </c>
      <c r="AH319" s="1726">
        <f t="shared" si="877"/>
        <v>29374.708778060507</v>
      </c>
      <c r="AI319" s="1726">
        <f t="shared" si="877"/>
        <v>29490.119233502835</v>
      </c>
    </row>
    <row r="320" spans="2:35" x14ac:dyDescent="0.35">
      <c r="B320" s="726" t="s">
        <v>280</v>
      </c>
      <c r="C320" s="726"/>
      <c r="D320" s="726"/>
      <c r="E320" s="726"/>
      <c r="F320" s="1726">
        <f t="shared" ref="F320:AI320" si="878">F91*$F$37</f>
        <v>28728.941649665026</v>
      </c>
      <c r="G320" s="1726">
        <f t="shared" si="878"/>
        <v>28994.979693824644</v>
      </c>
      <c r="H320" s="1726">
        <f t="shared" si="878"/>
        <v>29261.017737984257</v>
      </c>
      <c r="I320" s="1726">
        <f t="shared" si="878"/>
        <v>29527.055782143871</v>
      </c>
      <c r="J320" s="1726">
        <f t="shared" si="878"/>
        <v>29793.093826303484</v>
      </c>
      <c r="K320" s="1726">
        <f t="shared" si="878"/>
        <v>30055.964750889772</v>
      </c>
      <c r="L320" s="1726">
        <f t="shared" si="878"/>
        <v>30287.164479742769</v>
      </c>
      <c r="M320" s="1726">
        <f t="shared" si="878"/>
        <v>30518.364208595765</v>
      </c>
      <c r="N320" s="1726">
        <f t="shared" si="878"/>
        <v>30749.563937448762</v>
      </c>
      <c r="O320" s="1726">
        <f t="shared" si="878"/>
        <v>30980.763666301766</v>
      </c>
      <c r="P320" s="1726">
        <f t="shared" si="878"/>
        <v>31208.796275581433</v>
      </c>
      <c r="Q320" s="1726">
        <f t="shared" si="878"/>
        <v>31392.489210834497</v>
      </c>
      <c r="R320" s="1726">
        <f t="shared" si="878"/>
        <v>31576.182146087569</v>
      </c>
      <c r="S320" s="1726">
        <f t="shared" si="878"/>
        <v>31759.875081340633</v>
      </c>
      <c r="T320" s="1726">
        <f t="shared" si="878"/>
        <v>31943.568016593697</v>
      </c>
      <c r="U320" s="1726">
        <f t="shared" si="878"/>
        <v>32133.595190993423</v>
      </c>
      <c r="V320" s="1726">
        <f t="shared" si="878"/>
        <v>32266.614213073233</v>
      </c>
      <c r="W320" s="1726">
        <f t="shared" si="878"/>
        <v>32399.633235153044</v>
      </c>
      <c r="X320" s="1726">
        <f t="shared" si="878"/>
        <v>32532.652257232847</v>
      </c>
      <c r="Y320" s="1726">
        <f t="shared" si="878"/>
        <v>32665.671279312653</v>
      </c>
      <c r="Z320" s="1726">
        <f t="shared" si="878"/>
        <v>32792.356062245803</v>
      </c>
      <c r="AA320" s="1726">
        <f t="shared" si="878"/>
        <v>32925.375084325613</v>
      </c>
      <c r="AB320" s="1726">
        <f t="shared" si="878"/>
        <v>33058.394106405416</v>
      </c>
      <c r="AC320" s="1726">
        <f t="shared" si="878"/>
        <v>33191.413128485226</v>
      </c>
      <c r="AD320" s="1726">
        <f t="shared" si="878"/>
        <v>33324.432150565037</v>
      </c>
      <c r="AE320" s="1726">
        <f t="shared" si="878"/>
        <v>33457.45117264484</v>
      </c>
      <c r="AF320" s="1726">
        <f t="shared" si="878"/>
        <v>33590.47019472465</v>
      </c>
      <c r="AG320" s="1726">
        <f t="shared" si="878"/>
        <v>33723.489216804453</v>
      </c>
      <c r="AH320" s="1726">
        <f t="shared" si="878"/>
        <v>33856.508238884264</v>
      </c>
      <c r="AI320" s="1726">
        <f t="shared" si="878"/>
        <v>33989.527260964067</v>
      </c>
    </row>
    <row r="321" spans="2:35" x14ac:dyDescent="0.35">
      <c r="B321" s="726" t="s">
        <v>281</v>
      </c>
      <c r="C321" s="726"/>
      <c r="D321" s="726"/>
      <c r="E321" s="726"/>
      <c r="F321" s="1726">
        <f t="shared" ref="F321:AI321" si="879">F91*$F$38</f>
        <v>20627.752808060919</v>
      </c>
      <c r="G321" s="1726">
        <f t="shared" si="879"/>
        <v>20818.771575107236</v>
      </c>
      <c r="H321" s="1726">
        <f t="shared" si="879"/>
        <v>21009.790342153548</v>
      </c>
      <c r="I321" s="1726">
        <f t="shared" si="879"/>
        <v>21200.809109199861</v>
      </c>
      <c r="J321" s="1726">
        <f t="shared" si="879"/>
        <v>21391.827876246174</v>
      </c>
      <c r="K321" s="1726">
        <f t="shared" si="879"/>
        <v>21580.572610351464</v>
      </c>
      <c r="L321" s="1726">
        <f t="shared" si="879"/>
        <v>21746.577015046474</v>
      </c>
      <c r="M321" s="1726">
        <f t="shared" si="879"/>
        <v>21912.581419741484</v>
      </c>
      <c r="N321" s="1726">
        <f t="shared" si="879"/>
        <v>22078.585824436494</v>
      </c>
      <c r="O321" s="1726">
        <f t="shared" si="879"/>
        <v>22244.590229131507</v>
      </c>
      <c r="P321" s="1726">
        <f t="shared" si="879"/>
        <v>22408.32060088549</v>
      </c>
      <c r="Q321" s="1726">
        <f t="shared" si="879"/>
        <v>22540.214511465088</v>
      </c>
      <c r="R321" s="1726">
        <f t="shared" si="879"/>
        <v>22672.108422044686</v>
      </c>
      <c r="S321" s="1726">
        <f t="shared" si="879"/>
        <v>22804.002332624284</v>
      </c>
      <c r="T321" s="1726">
        <f t="shared" si="879"/>
        <v>22935.896243203882</v>
      </c>
      <c r="U321" s="1726">
        <f t="shared" si="879"/>
        <v>23072.338219665533</v>
      </c>
      <c r="V321" s="1726">
        <f t="shared" si="879"/>
        <v>23167.847603188693</v>
      </c>
      <c r="W321" s="1726">
        <f t="shared" si="879"/>
        <v>23263.356986711849</v>
      </c>
      <c r="X321" s="1726">
        <f t="shared" si="879"/>
        <v>23358.866370235006</v>
      </c>
      <c r="Y321" s="1726">
        <f t="shared" si="879"/>
        <v>23454.375753758166</v>
      </c>
      <c r="Z321" s="1726">
        <f t="shared" si="879"/>
        <v>23545.337071399266</v>
      </c>
      <c r="AA321" s="1726">
        <f t="shared" si="879"/>
        <v>23640.846454922423</v>
      </c>
      <c r="AB321" s="1726">
        <f t="shared" si="879"/>
        <v>23736.355838445579</v>
      </c>
      <c r="AC321" s="1726">
        <f t="shared" si="879"/>
        <v>23831.865221968739</v>
      </c>
      <c r="AD321" s="1726">
        <f t="shared" si="879"/>
        <v>23927.374605491896</v>
      </c>
      <c r="AE321" s="1726">
        <f t="shared" si="879"/>
        <v>24022.883989015052</v>
      </c>
      <c r="AF321" s="1726">
        <f t="shared" si="879"/>
        <v>24118.393372538208</v>
      </c>
      <c r="AG321" s="1726">
        <f t="shared" si="879"/>
        <v>24213.902756061369</v>
      </c>
      <c r="AH321" s="1726">
        <f t="shared" si="879"/>
        <v>24309.412139584525</v>
      </c>
      <c r="AI321" s="1726">
        <f t="shared" si="879"/>
        <v>24404.921523107681</v>
      </c>
    </row>
    <row r="322" spans="2:35" x14ac:dyDescent="0.35">
      <c r="B322" s="726" t="s">
        <v>282</v>
      </c>
      <c r="C322" s="726"/>
      <c r="D322" s="726"/>
      <c r="E322" s="726"/>
      <c r="F322" s="1726">
        <f t="shared" ref="F322:AI322" si="880">F91*$F$39</f>
        <v>18782.710230127155</v>
      </c>
      <c r="G322" s="1726">
        <f t="shared" si="880"/>
        <v>18956.643386265474</v>
      </c>
      <c r="H322" s="1726">
        <f t="shared" si="880"/>
        <v>19130.576542403793</v>
      </c>
      <c r="I322" s="1726">
        <f t="shared" si="880"/>
        <v>19304.509698542108</v>
      </c>
      <c r="J322" s="1726">
        <f t="shared" si="880"/>
        <v>19478.442854680427</v>
      </c>
      <c r="K322" s="1726">
        <f t="shared" si="880"/>
        <v>19650.305378007575</v>
      </c>
      <c r="L322" s="1726">
        <f t="shared" si="880"/>
        <v>19801.461573223016</v>
      </c>
      <c r="M322" s="1726">
        <f t="shared" si="880"/>
        <v>19952.61776843846</v>
      </c>
      <c r="N322" s="1726">
        <f t="shared" si="880"/>
        <v>20103.773963653901</v>
      </c>
      <c r="O322" s="1726">
        <f t="shared" si="880"/>
        <v>20254.930158869345</v>
      </c>
      <c r="P322" s="1726">
        <f t="shared" si="880"/>
        <v>20404.015721273616</v>
      </c>
      <c r="Q322" s="1726">
        <f t="shared" si="880"/>
        <v>20524.112424321502</v>
      </c>
      <c r="R322" s="1726">
        <f t="shared" si="880"/>
        <v>20644.209127369391</v>
      </c>
      <c r="S322" s="1726">
        <f t="shared" si="880"/>
        <v>20764.305830417274</v>
      </c>
      <c r="T322" s="1726">
        <f t="shared" si="880"/>
        <v>20884.40253346516</v>
      </c>
      <c r="U322" s="1726">
        <f t="shared" si="880"/>
        <v>21008.640502135389</v>
      </c>
      <c r="V322" s="1726">
        <f t="shared" si="880"/>
        <v>21095.607080204547</v>
      </c>
      <c r="W322" s="1726">
        <f t="shared" si="880"/>
        <v>21182.573658273708</v>
      </c>
      <c r="X322" s="1726">
        <f t="shared" si="880"/>
        <v>21269.540236342866</v>
      </c>
      <c r="Y322" s="1726">
        <f t="shared" si="880"/>
        <v>21356.506814412023</v>
      </c>
      <c r="Z322" s="1726">
        <f t="shared" si="880"/>
        <v>21439.332126858841</v>
      </c>
      <c r="AA322" s="1726">
        <f t="shared" si="880"/>
        <v>21526.298704928002</v>
      </c>
      <c r="AB322" s="1726">
        <f t="shared" si="880"/>
        <v>21613.265282997159</v>
      </c>
      <c r="AC322" s="1726">
        <f t="shared" si="880"/>
        <v>21700.231861066321</v>
      </c>
      <c r="AD322" s="1726">
        <f t="shared" si="880"/>
        <v>21787.198439135478</v>
      </c>
      <c r="AE322" s="1726">
        <f t="shared" si="880"/>
        <v>21874.165017204636</v>
      </c>
      <c r="AF322" s="1726">
        <f t="shared" si="880"/>
        <v>21961.131595273797</v>
      </c>
      <c r="AG322" s="1726">
        <f t="shared" si="880"/>
        <v>22048.098173342954</v>
      </c>
      <c r="AH322" s="1726">
        <f t="shared" si="880"/>
        <v>22135.064751412116</v>
      </c>
      <c r="AI322" s="1726">
        <f t="shared" si="880"/>
        <v>22222.031329481273</v>
      </c>
    </row>
    <row r="323" spans="2:35" x14ac:dyDescent="0.35">
      <c r="B323" s="726" t="s">
        <v>283</v>
      </c>
      <c r="C323" s="726"/>
      <c r="D323" s="726"/>
      <c r="E323" s="726"/>
      <c r="F323" s="1726">
        <f t="shared" ref="F323:AI323" si="881">F91*$F$40</f>
        <v>4521.9804923744077</v>
      </c>
      <c r="G323" s="1726">
        <f t="shared" si="881"/>
        <v>4563.8552979481537</v>
      </c>
      <c r="H323" s="1726">
        <f t="shared" si="881"/>
        <v>4605.7301035218998</v>
      </c>
      <c r="I323" s="1726">
        <f t="shared" si="881"/>
        <v>4647.6049090956458</v>
      </c>
      <c r="J323" s="1726">
        <f t="shared" si="881"/>
        <v>4689.4797146693918</v>
      </c>
      <c r="K323" s="1726">
        <f t="shared" si="881"/>
        <v>4730.8560106529749</v>
      </c>
      <c r="L323" s="1726">
        <f t="shared" si="881"/>
        <v>4767.2472107349195</v>
      </c>
      <c r="M323" s="1726">
        <f t="shared" si="881"/>
        <v>4803.6384108168659</v>
      </c>
      <c r="N323" s="1726">
        <f t="shared" si="881"/>
        <v>4840.0296108988114</v>
      </c>
      <c r="O323" s="1726">
        <f t="shared" si="881"/>
        <v>4876.4208109807578</v>
      </c>
      <c r="P323" s="1726">
        <f t="shared" si="881"/>
        <v>4912.3135014725403</v>
      </c>
      <c r="Q323" s="1726">
        <f t="shared" si="881"/>
        <v>4941.2270577020308</v>
      </c>
      <c r="R323" s="1726">
        <f t="shared" si="881"/>
        <v>4970.1406139315231</v>
      </c>
      <c r="S323" s="1726">
        <f t="shared" si="881"/>
        <v>4999.0541701610136</v>
      </c>
      <c r="T323" s="1726">
        <f t="shared" si="881"/>
        <v>5027.967726390505</v>
      </c>
      <c r="U323" s="1726">
        <f t="shared" si="881"/>
        <v>5057.8783018003242</v>
      </c>
      <c r="V323" s="1726">
        <f t="shared" si="881"/>
        <v>5078.8157045871967</v>
      </c>
      <c r="W323" s="1726">
        <f t="shared" si="881"/>
        <v>5099.7531073740702</v>
      </c>
      <c r="X323" s="1726">
        <f t="shared" si="881"/>
        <v>5120.6905101609427</v>
      </c>
      <c r="Y323" s="1726">
        <f t="shared" si="881"/>
        <v>5141.6279129478162</v>
      </c>
      <c r="Z323" s="1726">
        <f t="shared" si="881"/>
        <v>5161.568296554362</v>
      </c>
      <c r="AA323" s="1726">
        <f t="shared" si="881"/>
        <v>5182.5056993412354</v>
      </c>
      <c r="AB323" s="1726">
        <f t="shared" si="881"/>
        <v>5203.443102128108</v>
      </c>
      <c r="AC323" s="1726">
        <f t="shared" si="881"/>
        <v>5224.3805049149805</v>
      </c>
      <c r="AD323" s="1726">
        <f t="shared" si="881"/>
        <v>5245.317907701854</v>
      </c>
      <c r="AE323" s="1726">
        <f t="shared" si="881"/>
        <v>5266.2553104887265</v>
      </c>
      <c r="AF323" s="1726">
        <f t="shared" si="881"/>
        <v>5287.1927132756</v>
      </c>
      <c r="AG323" s="1726">
        <f t="shared" si="881"/>
        <v>5308.1301160624735</v>
      </c>
      <c r="AH323" s="1726">
        <f t="shared" si="881"/>
        <v>5329.067518849346</v>
      </c>
      <c r="AI323" s="1726">
        <f t="shared" si="881"/>
        <v>5350.0049216362186</v>
      </c>
    </row>
    <row r="324" spans="2:35" x14ac:dyDescent="0.35">
      <c r="B324" s="726" t="s">
        <v>12</v>
      </c>
      <c r="C324" s="726"/>
      <c r="D324" s="726"/>
      <c r="E324" s="726"/>
      <c r="F324" s="1726">
        <f t="shared" ref="F324:AI324" si="882">F91*$F$41</f>
        <v>28075.712496830631</v>
      </c>
      <c r="G324" s="1726">
        <f t="shared" si="882"/>
        <v>28335.701456122195</v>
      </c>
      <c r="H324" s="1726">
        <f t="shared" si="882"/>
        <v>28595.690415413759</v>
      </c>
      <c r="I324" s="1726">
        <f t="shared" si="882"/>
        <v>28855.67937470532</v>
      </c>
      <c r="J324" s="1726">
        <f t="shared" si="882"/>
        <v>29115.668333996884</v>
      </c>
      <c r="K324" s="1726">
        <f t="shared" si="882"/>
        <v>29372.562186630217</v>
      </c>
      <c r="L324" s="1726">
        <f t="shared" si="882"/>
        <v>29598.504972681214</v>
      </c>
      <c r="M324" s="1726">
        <f t="shared" si="882"/>
        <v>29824.447758732218</v>
      </c>
      <c r="N324" s="1726">
        <f t="shared" si="882"/>
        <v>30050.390544783215</v>
      </c>
      <c r="O324" s="1726">
        <f t="shared" si="882"/>
        <v>30276.333330834223</v>
      </c>
      <c r="P324" s="1726">
        <f t="shared" si="882"/>
        <v>30499.181010226988</v>
      </c>
      <c r="Q324" s="1726">
        <f t="shared" si="882"/>
        <v>30678.697196404497</v>
      </c>
      <c r="R324" s="1726">
        <f t="shared" si="882"/>
        <v>30858.213382582006</v>
      </c>
      <c r="S324" s="1726">
        <f t="shared" si="882"/>
        <v>31037.729568759514</v>
      </c>
      <c r="T324" s="1726">
        <f t="shared" si="882"/>
        <v>31217.245754937019</v>
      </c>
      <c r="U324" s="1726">
        <f t="shared" si="882"/>
        <v>31402.952154430997</v>
      </c>
      <c r="V324" s="1726">
        <f t="shared" si="882"/>
        <v>31532.946634076779</v>
      </c>
      <c r="W324" s="1726">
        <f t="shared" si="882"/>
        <v>31662.941113722562</v>
      </c>
      <c r="X324" s="1726">
        <f t="shared" si="882"/>
        <v>31792.93559336834</v>
      </c>
      <c r="Y324" s="1726">
        <f t="shared" si="882"/>
        <v>31922.930073014126</v>
      </c>
      <c r="Z324" s="1726">
        <f t="shared" si="882"/>
        <v>32046.734339343438</v>
      </c>
      <c r="AA324" s="1726">
        <f t="shared" si="882"/>
        <v>32176.728818989224</v>
      </c>
      <c r="AB324" s="1726">
        <f t="shared" si="882"/>
        <v>32306.723298635003</v>
      </c>
      <c r="AC324" s="1726">
        <f t="shared" si="882"/>
        <v>32436.717778280785</v>
      </c>
      <c r="AD324" s="1726">
        <f t="shared" si="882"/>
        <v>32566.712257926567</v>
      </c>
      <c r="AE324" s="1726">
        <f t="shared" si="882"/>
        <v>32696.706737572345</v>
      </c>
      <c r="AF324" s="1726">
        <f t="shared" si="882"/>
        <v>32826.701217218128</v>
      </c>
      <c r="AG324" s="1726">
        <f t="shared" si="882"/>
        <v>32956.695696863913</v>
      </c>
      <c r="AH324" s="1726">
        <f t="shared" si="882"/>
        <v>33086.690176509699</v>
      </c>
      <c r="AI324" s="1726">
        <f t="shared" si="882"/>
        <v>33216.684656155478</v>
      </c>
    </row>
    <row r="325" spans="2:35" x14ac:dyDescent="0.35">
      <c r="B325" s="726" t="s">
        <v>13</v>
      </c>
      <c r="C325" s="726"/>
      <c r="D325" s="726"/>
      <c r="E325" s="726"/>
      <c r="F325" s="1726">
        <f t="shared" ref="F325:AI325" si="883">F91*$F$42</f>
        <v>1818.1175081175286</v>
      </c>
      <c r="G325" s="1726">
        <f t="shared" si="883"/>
        <v>1834.9537853396512</v>
      </c>
      <c r="H325" s="1726">
        <f t="shared" si="883"/>
        <v>1851.7900625617735</v>
      </c>
      <c r="I325" s="1726">
        <f t="shared" si="883"/>
        <v>1868.6263397838959</v>
      </c>
      <c r="J325" s="1726">
        <f t="shared" si="883"/>
        <v>1885.4626170060183</v>
      </c>
      <c r="K325" s="1726">
        <f t="shared" si="883"/>
        <v>1902.0984623564489</v>
      </c>
      <c r="L325" s="1726">
        <f t="shared" si="883"/>
        <v>1916.7299889899598</v>
      </c>
      <c r="M325" s="1726">
        <f t="shared" si="883"/>
        <v>1931.3615156234712</v>
      </c>
      <c r="N325" s="1726">
        <f t="shared" si="883"/>
        <v>1945.9930422569821</v>
      </c>
      <c r="O325" s="1726">
        <f t="shared" si="883"/>
        <v>1960.6245688904935</v>
      </c>
      <c r="P325" s="1726">
        <f t="shared" si="883"/>
        <v>1975.0556636523124</v>
      </c>
      <c r="Q325" s="1726">
        <f t="shared" si="883"/>
        <v>1986.6807122104447</v>
      </c>
      <c r="R325" s="1726">
        <f t="shared" si="883"/>
        <v>1998.3057607685769</v>
      </c>
      <c r="S325" s="1726">
        <f t="shared" si="883"/>
        <v>2009.9308093267089</v>
      </c>
      <c r="T325" s="1726">
        <f t="shared" si="883"/>
        <v>2021.5558578848411</v>
      </c>
      <c r="U325" s="1726">
        <f t="shared" si="883"/>
        <v>2033.5817701863571</v>
      </c>
      <c r="V325" s="1726">
        <f t="shared" si="883"/>
        <v>2041.9999087974184</v>
      </c>
      <c r="W325" s="1726">
        <f t="shared" si="883"/>
        <v>2050.4180474084797</v>
      </c>
      <c r="X325" s="1726">
        <f t="shared" si="883"/>
        <v>2058.8361860195405</v>
      </c>
      <c r="Y325" s="1726">
        <f t="shared" si="883"/>
        <v>2067.2543246306018</v>
      </c>
      <c r="Z325" s="1726">
        <f t="shared" si="883"/>
        <v>2075.2715994982791</v>
      </c>
      <c r="AA325" s="1726">
        <f t="shared" si="883"/>
        <v>2083.6897381093404</v>
      </c>
      <c r="AB325" s="1726">
        <f t="shared" si="883"/>
        <v>2092.1078767204017</v>
      </c>
      <c r="AC325" s="1726">
        <f t="shared" si="883"/>
        <v>2100.526015331463</v>
      </c>
      <c r="AD325" s="1726">
        <f t="shared" si="883"/>
        <v>2108.9441539425243</v>
      </c>
      <c r="AE325" s="1726">
        <f t="shared" si="883"/>
        <v>2117.3622925535851</v>
      </c>
      <c r="AF325" s="1726">
        <f t="shared" si="883"/>
        <v>2125.7804311646464</v>
      </c>
      <c r="AG325" s="1726">
        <f t="shared" si="883"/>
        <v>2134.1985697757077</v>
      </c>
      <c r="AH325" s="1726">
        <f t="shared" si="883"/>
        <v>2142.616708386769</v>
      </c>
      <c r="AI325" s="1726">
        <f t="shared" si="883"/>
        <v>2151.0348469978303</v>
      </c>
    </row>
    <row r="326" spans="2:35" x14ac:dyDescent="0.35">
      <c r="B326" s="726" t="s">
        <v>14</v>
      </c>
      <c r="C326" s="726"/>
      <c r="D326" s="726"/>
      <c r="E326" s="726"/>
      <c r="F326" s="1726">
        <f t="shared" ref="F326:AI326" si="884">F91*$F$43</f>
        <v>16574.17816499143</v>
      </c>
      <c r="G326" s="1726">
        <f t="shared" si="884"/>
        <v>16727.659695788399</v>
      </c>
      <c r="H326" s="1726">
        <f t="shared" si="884"/>
        <v>16881.141226585365</v>
      </c>
      <c r="I326" s="1726">
        <f t="shared" si="884"/>
        <v>17034.622757382327</v>
      </c>
      <c r="J326" s="1726">
        <f t="shared" si="884"/>
        <v>17188.104288179293</v>
      </c>
      <c r="K326" s="1726">
        <f t="shared" si="884"/>
        <v>17339.758657895345</v>
      </c>
      <c r="L326" s="1726">
        <f t="shared" si="884"/>
        <v>17473.141416802231</v>
      </c>
      <c r="M326" s="1726">
        <f t="shared" si="884"/>
        <v>17606.524175709121</v>
      </c>
      <c r="N326" s="1726">
        <f t="shared" si="884"/>
        <v>17739.906934616003</v>
      </c>
      <c r="O326" s="1726">
        <f t="shared" si="884"/>
        <v>17873.289693522896</v>
      </c>
      <c r="P326" s="1726">
        <f t="shared" si="884"/>
        <v>18004.845291348865</v>
      </c>
      <c r="Q326" s="1726">
        <f t="shared" si="884"/>
        <v>18110.820634042007</v>
      </c>
      <c r="R326" s="1726">
        <f t="shared" si="884"/>
        <v>18216.795976735153</v>
      </c>
      <c r="S326" s="1726">
        <f t="shared" si="884"/>
        <v>18322.771319428295</v>
      </c>
      <c r="T326" s="1726">
        <f t="shared" si="884"/>
        <v>18428.746662121437</v>
      </c>
      <c r="U326" s="1726">
        <f t="shared" si="884"/>
        <v>18538.376326976413</v>
      </c>
      <c r="V326" s="1726">
        <f t="shared" si="884"/>
        <v>18615.117092374898</v>
      </c>
      <c r="W326" s="1726">
        <f t="shared" si="884"/>
        <v>18691.857857773382</v>
      </c>
      <c r="X326" s="1726">
        <f t="shared" si="884"/>
        <v>18768.598623171863</v>
      </c>
      <c r="Y326" s="1726">
        <f t="shared" si="884"/>
        <v>18845.339388570348</v>
      </c>
      <c r="Z326" s="1726">
        <f t="shared" si="884"/>
        <v>18918.425831806995</v>
      </c>
      <c r="AA326" s="1726">
        <f t="shared" si="884"/>
        <v>18995.16659720548</v>
      </c>
      <c r="AB326" s="1726">
        <f t="shared" si="884"/>
        <v>19071.907362603961</v>
      </c>
      <c r="AC326" s="1726">
        <f t="shared" si="884"/>
        <v>19148.648128002445</v>
      </c>
      <c r="AD326" s="1726">
        <f t="shared" si="884"/>
        <v>19225.38889340093</v>
      </c>
      <c r="AE326" s="1726">
        <f t="shared" si="884"/>
        <v>19302.129658799411</v>
      </c>
      <c r="AF326" s="1726">
        <f t="shared" si="884"/>
        <v>19378.870424197896</v>
      </c>
      <c r="AG326" s="1726">
        <f t="shared" si="884"/>
        <v>19455.61118959638</v>
      </c>
      <c r="AH326" s="1726">
        <f t="shared" si="884"/>
        <v>19532.351954994861</v>
      </c>
      <c r="AI326" s="1726">
        <f t="shared" si="884"/>
        <v>19609.092720393346</v>
      </c>
    </row>
    <row r="327" spans="2:35" x14ac:dyDescent="0.35">
      <c r="B327" s="1733" t="s">
        <v>200</v>
      </c>
      <c r="C327" s="1733"/>
      <c r="D327" s="1733"/>
      <c r="E327" s="1733"/>
      <c r="F327" s="1734">
        <f>SUM(F316:F326)</f>
        <v>393493.05014691473</v>
      </c>
      <c r="G327" s="1734">
        <f t="shared" ref="G327" si="885">SUM(G316:G326)</f>
        <v>397136.90597453492</v>
      </c>
      <c r="H327" s="1734">
        <f t="shared" ref="H327" si="886">SUM(H316:H326)</f>
        <v>400780.76180215477</v>
      </c>
      <c r="I327" s="1734">
        <f t="shared" ref="I327" si="887">SUM(I316:I326)</f>
        <v>404424.61762977467</v>
      </c>
      <c r="J327" s="1734">
        <f t="shared" ref="J327" si="888">SUM(J316:J326)</f>
        <v>408068.47345739475</v>
      </c>
      <c r="K327" s="1734">
        <f t="shared" ref="K327" si="889">SUM(K316:K326)</f>
        <v>411668.95004897163</v>
      </c>
      <c r="L327" s="1734">
        <f t="shared" ref="L327" si="890">SUM(L316:L326)</f>
        <v>414835.63428011758</v>
      </c>
      <c r="M327" s="1734">
        <f t="shared" ref="M327" si="891">SUM(M316:M326)</f>
        <v>418002.31851126341</v>
      </c>
      <c r="N327" s="1734">
        <f t="shared" ref="N327" si="892">SUM(N316:N326)</f>
        <v>421169.00274240936</v>
      </c>
      <c r="O327" s="1734">
        <f t="shared" ref="O327" si="893">SUM(O316:O326)</f>
        <v>424335.68697355542</v>
      </c>
      <c r="P327" s="1734">
        <f t="shared" ref="P327" si="894">SUM(P316:P326)</f>
        <v>427458.99196865811</v>
      </c>
      <c r="Q327" s="1734">
        <f t="shared" ref="Q327" si="895">SUM(Q316:Q326)</f>
        <v>429974.9876591576</v>
      </c>
      <c r="R327" s="1734">
        <f t="shared" ref="R327" si="896">SUM(R316:R326)</f>
        <v>432490.98334965721</v>
      </c>
      <c r="S327" s="1734">
        <f t="shared" ref="S327" si="897">SUM(S316:S326)</f>
        <v>435006.9790401567</v>
      </c>
      <c r="T327" s="1734">
        <f t="shared" ref="T327" si="898">SUM(T316:T326)</f>
        <v>437522.97473065619</v>
      </c>
      <c r="U327" s="1734">
        <f t="shared" ref="U327" si="899">SUM(U316:U326)</f>
        <v>440125.72889324196</v>
      </c>
      <c r="V327" s="1734">
        <f t="shared" ref="V327" si="900">SUM(V316:V326)</f>
        <v>441947.65680705197</v>
      </c>
      <c r="W327" s="1734">
        <f t="shared" ref="W327" si="901">SUM(W316:W326)</f>
        <v>443769.58472086192</v>
      </c>
      <c r="X327" s="1734">
        <f t="shared" ref="X327" si="902">SUM(X316:X326)</f>
        <v>445591.51263467188</v>
      </c>
      <c r="Y327" s="1734">
        <f t="shared" ref="Y327" si="903">SUM(Y316:Y326)</f>
        <v>447413.44054848183</v>
      </c>
      <c r="Z327" s="1734">
        <f t="shared" ref="Z327" si="904">SUM(Z316:Z326)</f>
        <v>449148.60999020567</v>
      </c>
      <c r="AA327" s="1734">
        <f t="shared" ref="AA327" si="905">SUM(AA316:AA326)</f>
        <v>450970.53790401574</v>
      </c>
      <c r="AB327" s="1734">
        <f t="shared" ref="AB327" si="906">SUM(AB316:AB326)</f>
        <v>452792.46581782564</v>
      </c>
      <c r="AC327" s="1734">
        <f t="shared" ref="AC327" si="907">SUM(AC316:AC326)</f>
        <v>454614.39373163565</v>
      </c>
      <c r="AD327" s="1734">
        <f t="shared" ref="AD327" si="908">SUM(AD316:AD326)</f>
        <v>456436.32164544554</v>
      </c>
      <c r="AE327" s="1734">
        <f t="shared" ref="AE327" si="909">SUM(AE316:AE326)</f>
        <v>458258.24955925561</v>
      </c>
      <c r="AF327" s="1734">
        <f t="shared" ref="AF327" si="910">SUM(AF316:AF326)</f>
        <v>460080.17747306568</v>
      </c>
      <c r="AG327" s="1734">
        <f t="shared" ref="AG327" si="911">SUM(AG316:AG326)</f>
        <v>461902.10538687563</v>
      </c>
      <c r="AH327" s="1734">
        <f t="shared" ref="AH327" si="912">SUM(AH316:AH326)</f>
        <v>463724.03330068564</v>
      </c>
      <c r="AI327" s="1734">
        <f t="shared" ref="AI327" si="913">SUM(AI316:AI326)</f>
        <v>465545.96121449553</v>
      </c>
    </row>
    <row r="328" spans="2:35" x14ac:dyDescent="0.35">
      <c r="E328" s="281" t="s">
        <v>332</v>
      </c>
      <c r="F328" s="1725">
        <f t="shared" ref="F328:AI328" si="914">F327-F91</f>
        <v>0</v>
      </c>
      <c r="G328" s="1725">
        <f t="shared" si="914"/>
        <v>0</v>
      </c>
      <c r="H328" s="1725">
        <f t="shared" si="914"/>
        <v>0</v>
      </c>
      <c r="I328" s="1725">
        <f t="shared" si="914"/>
        <v>0</v>
      </c>
      <c r="J328" s="1725">
        <f t="shared" si="914"/>
        <v>0</v>
      </c>
      <c r="K328" s="1725">
        <f t="shared" si="914"/>
        <v>0</v>
      </c>
      <c r="L328" s="1725">
        <f t="shared" si="914"/>
        <v>0</v>
      </c>
      <c r="M328" s="1725">
        <f t="shared" si="914"/>
        <v>0</v>
      </c>
      <c r="N328" s="1725">
        <f t="shared" si="914"/>
        <v>0</v>
      </c>
      <c r="O328" s="1725">
        <f t="shared" si="914"/>
        <v>0</v>
      </c>
      <c r="P328" s="1725">
        <f t="shared" si="914"/>
        <v>0</v>
      </c>
      <c r="Q328" s="1725">
        <f t="shared" si="914"/>
        <v>0</v>
      </c>
      <c r="R328" s="1725">
        <f t="shared" si="914"/>
        <v>0</v>
      </c>
      <c r="S328" s="1725">
        <f t="shared" si="914"/>
        <v>0</v>
      </c>
      <c r="T328" s="1725">
        <f t="shared" si="914"/>
        <v>0</v>
      </c>
      <c r="U328" s="1725">
        <f t="shared" si="914"/>
        <v>0</v>
      </c>
      <c r="V328" s="1725">
        <f t="shared" si="914"/>
        <v>0</v>
      </c>
      <c r="W328" s="1725">
        <f t="shared" si="914"/>
        <v>0</v>
      </c>
      <c r="X328" s="1725">
        <f t="shared" si="914"/>
        <v>0</v>
      </c>
      <c r="Y328" s="1725">
        <f t="shared" si="914"/>
        <v>0</v>
      </c>
      <c r="Z328" s="1725">
        <f t="shared" si="914"/>
        <v>0</v>
      </c>
      <c r="AA328" s="1725">
        <f t="shared" si="914"/>
        <v>0</v>
      </c>
      <c r="AB328" s="1725">
        <f t="shared" si="914"/>
        <v>0</v>
      </c>
      <c r="AC328" s="1725">
        <f t="shared" si="914"/>
        <v>0</v>
      </c>
      <c r="AD328" s="1725">
        <f t="shared" si="914"/>
        <v>0</v>
      </c>
      <c r="AE328" s="1725">
        <f t="shared" si="914"/>
        <v>0</v>
      </c>
      <c r="AF328" s="1725">
        <f t="shared" si="914"/>
        <v>0</v>
      </c>
      <c r="AG328" s="1725">
        <f t="shared" si="914"/>
        <v>0</v>
      </c>
      <c r="AH328" s="1725">
        <f t="shared" si="914"/>
        <v>0</v>
      </c>
      <c r="AI328" s="1725">
        <f t="shared" si="914"/>
        <v>0</v>
      </c>
    </row>
    <row r="329" spans="2:35" ht="15.5" x14ac:dyDescent="0.35">
      <c r="B329" s="86" t="s">
        <v>5</v>
      </c>
    </row>
    <row r="330" spans="2:35" x14ac:dyDescent="0.35">
      <c r="B330" s="1731" t="s">
        <v>273</v>
      </c>
      <c r="C330" s="1731"/>
      <c r="D330" s="1731"/>
      <c r="E330" s="1731"/>
      <c r="F330" s="1732">
        <v>1</v>
      </c>
      <c r="G330" s="1732">
        <f>F330+1</f>
        <v>2</v>
      </c>
      <c r="H330" s="1732">
        <f t="shared" ref="H330" si="915">G330+1</f>
        <v>3</v>
      </c>
      <c r="I330" s="1732">
        <f t="shared" ref="I330" si="916">H330+1</f>
        <v>4</v>
      </c>
      <c r="J330" s="1732">
        <f t="shared" ref="J330" si="917">I330+1</f>
        <v>5</v>
      </c>
      <c r="K330" s="1732">
        <f t="shared" ref="K330" si="918">J330+1</f>
        <v>6</v>
      </c>
      <c r="L330" s="1732">
        <f t="shared" ref="L330" si="919">K330+1</f>
        <v>7</v>
      </c>
      <c r="M330" s="1732">
        <f t="shared" ref="M330" si="920">L330+1</f>
        <v>8</v>
      </c>
      <c r="N330" s="1732">
        <f t="shared" ref="N330" si="921">M330+1</f>
        <v>9</v>
      </c>
      <c r="O330" s="1732">
        <f t="shared" ref="O330" si="922">N330+1</f>
        <v>10</v>
      </c>
      <c r="P330" s="1732">
        <f t="shared" ref="P330" si="923">O330+1</f>
        <v>11</v>
      </c>
      <c r="Q330" s="1732">
        <f t="shared" ref="Q330" si="924">P330+1</f>
        <v>12</v>
      </c>
      <c r="R330" s="1732">
        <f t="shared" ref="R330" si="925">Q330+1</f>
        <v>13</v>
      </c>
      <c r="S330" s="1732">
        <f t="shared" ref="S330" si="926">R330+1</f>
        <v>14</v>
      </c>
      <c r="T330" s="1732">
        <f t="shared" ref="T330" si="927">S330+1</f>
        <v>15</v>
      </c>
      <c r="U330" s="1732">
        <f t="shared" ref="U330" si="928">T330+1</f>
        <v>16</v>
      </c>
      <c r="V330" s="1732">
        <f t="shared" ref="V330" si="929">U330+1</f>
        <v>17</v>
      </c>
      <c r="W330" s="1732">
        <f t="shared" ref="W330" si="930">V330+1</f>
        <v>18</v>
      </c>
      <c r="X330" s="1732">
        <f t="shared" ref="X330" si="931">W330+1</f>
        <v>19</v>
      </c>
      <c r="Y330" s="1732">
        <f t="shared" ref="Y330" si="932">X330+1</f>
        <v>20</v>
      </c>
      <c r="Z330" s="1732">
        <f t="shared" ref="Z330" si="933">Y330+1</f>
        <v>21</v>
      </c>
      <c r="AA330" s="1732">
        <f t="shared" ref="AA330" si="934">Z330+1</f>
        <v>22</v>
      </c>
      <c r="AB330" s="1732">
        <f t="shared" ref="AB330" si="935">AA330+1</f>
        <v>23</v>
      </c>
      <c r="AC330" s="1732">
        <f t="shared" ref="AC330" si="936">AB330+1</f>
        <v>24</v>
      </c>
      <c r="AD330" s="1732">
        <f t="shared" ref="AD330" si="937">AC330+1</f>
        <v>25</v>
      </c>
      <c r="AE330" s="1732">
        <f t="shared" ref="AE330" si="938">AD330+1</f>
        <v>26</v>
      </c>
      <c r="AF330" s="1732">
        <f t="shared" ref="AF330" si="939">AE330+1</f>
        <v>27</v>
      </c>
      <c r="AG330" s="1732">
        <f t="shared" ref="AG330" si="940">AF330+1</f>
        <v>28</v>
      </c>
      <c r="AH330" s="1732">
        <f t="shared" ref="AH330" si="941">AG330+1</f>
        <v>29</v>
      </c>
      <c r="AI330" s="1732">
        <f t="shared" ref="AI330" si="942">AH330+1</f>
        <v>30</v>
      </c>
    </row>
    <row r="331" spans="2:35" x14ac:dyDescent="0.35">
      <c r="B331" s="726" t="s">
        <v>276</v>
      </c>
      <c r="C331" s="726"/>
      <c r="D331" s="726"/>
      <c r="E331" s="726"/>
      <c r="F331" s="1726">
        <f t="shared" ref="F331:AI331" si="943">F92*$G$33</f>
        <v>385773.14726095338</v>
      </c>
      <c r="G331" s="1726">
        <f t="shared" si="943"/>
        <v>387428.07395506778</v>
      </c>
      <c r="H331" s="1726">
        <f t="shared" si="943"/>
        <v>389083.00064918201</v>
      </c>
      <c r="I331" s="1726">
        <f t="shared" si="943"/>
        <v>390737.92734329641</v>
      </c>
      <c r="J331" s="1726">
        <f t="shared" si="943"/>
        <v>392392.85403741075</v>
      </c>
      <c r="K331" s="1726">
        <f t="shared" si="943"/>
        <v>394028.3110057119</v>
      </c>
      <c r="L331" s="1726">
        <f t="shared" si="943"/>
        <v>394982.32757055433</v>
      </c>
      <c r="M331" s="1726">
        <f t="shared" si="943"/>
        <v>395936.34413539665</v>
      </c>
      <c r="N331" s="1726">
        <f t="shared" si="943"/>
        <v>396890.36070023902</v>
      </c>
      <c r="O331" s="1726">
        <f t="shared" si="943"/>
        <v>397844.37726508133</v>
      </c>
      <c r="P331" s="1726">
        <f t="shared" si="943"/>
        <v>398837.33328154997</v>
      </c>
      <c r="Q331" s="1726">
        <f t="shared" si="943"/>
        <v>399207.25807199907</v>
      </c>
      <c r="R331" s="1726">
        <f t="shared" si="943"/>
        <v>399577.18286244816</v>
      </c>
      <c r="S331" s="1726">
        <f t="shared" si="943"/>
        <v>399947.10765289719</v>
      </c>
      <c r="T331" s="1726">
        <f t="shared" si="943"/>
        <v>400317.03244334634</v>
      </c>
      <c r="U331" s="1726">
        <f t="shared" si="943"/>
        <v>400725.89668542164</v>
      </c>
      <c r="V331" s="1726">
        <f t="shared" si="943"/>
        <v>400492.25997566426</v>
      </c>
      <c r="W331" s="1726">
        <f t="shared" si="943"/>
        <v>400258.62326590699</v>
      </c>
      <c r="X331" s="1726">
        <f t="shared" si="943"/>
        <v>400024.98655614967</v>
      </c>
      <c r="Y331" s="1726">
        <f t="shared" si="943"/>
        <v>399791.3498463924</v>
      </c>
      <c r="Z331" s="1726">
        <f t="shared" si="943"/>
        <v>399557.71313663502</v>
      </c>
      <c r="AA331" s="1726">
        <f t="shared" si="943"/>
        <v>399324.07642687776</v>
      </c>
      <c r="AB331" s="1726">
        <f t="shared" si="943"/>
        <v>399090.43971712043</v>
      </c>
      <c r="AC331" s="1726">
        <f t="shared" si="943"/>
        <v>398856.80300736311</v>
      </c>
      <c r="AD331" s="1726">
        <f t="shared" si="943"/>
        <v>398623.16629760584</v>
      </c>
      <c r="AE331" s="1726">
        <f t="shared" si="943"/>
        <v>398389.52958784846</v>
      </c>
      <c r="AF331" s="1726">
        <f t="shared" si="943"/>
        <v>398155.89287809114</v>
      </c>
      <c r="AG331" s="1726">
        <f t="shared" si="943"/>
        <v>397922.25616833387</v>
      </c>
      <c r="AH331" s="1726">
        <f t="shared" si="943"/>
        <v>397688.61945857649</v>
      </c>
      <c r="AI331" s="1726">
        <f t="shared" si="943"/>
        <v>397454.98274881917</v>
      </c>
    </row>
    <row r="332" spans="2:35" x14ac:dyDescent="0.35">
      <c r="B332" s="726" t="s">
        <v>277</v>
      </c>
      <c r="C332" s="726"/>
      <c r="D332" s="726"/>
      <c r="E332" s="726"/>
      <c r="F332" s="1726">
        <f t="shared" ref="F332:AI332" si="944">F92*$G$34</f>
        <v>0</v>
      </c>
      <c r="G332" s="1726">
        <f t="shared" si="944"/>
        <v>0</v>
      </c>
      <c r="H332" s="1726">
        <f t="shared" si="944"/>
        <v>0</v>
      </c>
      <c r="I332" s="1726">
        <f t="shared" si="944"/>
        <v>0</v>
      </c>
      <c r="J332" s="1726">
        <f t="shared" si="944"/>
        <v>0</v>
      </c>
      <c r="K332" s="1726">
        <f t="shared" si="944"/>
        <v>0</v>
      </c>
      <c r="L332" s="1726">
        <f t="shared" si="944"/>
        <v>0</v>
      </c>
      <c r="M332" s="1726">
        <f t="shared" si="944"/>
        <v>0</v>
      </c>
      <c r="N332" s="1726">
        <f t="shared" si="944"/>
        <v>0</v>
      </c>
      <c r="O332" s="1726">
        <f t="shared" si="944"/>
        <v>0</v>
      </c>
      <c r="P332" s="1726">
        <f t="shared" si="944"/>
        <v>0</v>
      </c>
      <c r="Q332" s="1726">
        <f t="shared" si="944"/>
        <v>0</v>
      </c>
      <c r="R332" s="1726">
        <f t="shared" si="944"/>
        <v>0</v>
      </c>
      <c r="S332" s="1726">
        <f t="shared" si="944"/>
        <v>0</v>
      </c>
      <c r="T332" s="1726">
        <f t="shared" si="944"/>
        <v>0</v>
      </c>
      <c r="U332" s="1726">
        <f t="shared" si="944"/>
        <v>0</v>
      </c>
      <c r="V332" s="1726">
        <f t="shared" si="944"/>
        <v>0</v>
      </c>
      <c r="W332" s="1726">
        <f t="shared" si="944"/>
        <v>0</v>
      </c>
      <c r="X332" s="1726">
        <f t="shared" si="944"/>
        <v>0</v>
      </c>
      <c r="Y332" s="1726">
        <f t="shared" si="944"/>
        <v>0</v>
      </c>
      <c r="Z332" s="1726">
        <f t="shared" si="944"/>
        <v>0</v>
      </c>
      <c r="AA332" s="1726">
        <f t="shared" si="944"/>
        <v>0</v>
      </c>
      <c r="AB332" s="1726">
        <f t="shared" si="944"/>
        <v>0</v>
      </c>
      <c r="AC332" s="1726">
        <f t="shared" si="944"/>
        <v>0</v>
      </c>
      <c r="AD332" s="1726">
        <f t="shared" si="944"/>
        <v>0</v>
      </c>
      <c r="AE332" s="1726">
        <f t="shared" si="944"/>
        <v>0</v>
      </c>
      <c r="AF332" s="1726">
        <f t="shared" si="944"/>
        <v>0</v>
      </c>
      <c r="AG332" s="1726">
        <f t="shared" si="944"/>
        <v>0</v>
      </c>
      <c r="AH332" s="1726">
        <f t="shared" si="944"/>
        <v>0</v>
      </c>
      <c r="AI332" s="1726">
        <f t="shared" si="944"/>
        <v>0</v>
      </c>
    </row>
    <row r="333" spans="2:35" x14ac:dyDescent="0.35">
      <c r="B333" s="726" t="s">
        <v>278</v>
      </c>
      <c r="C333" s="726"/>
      <c r="D333" s="726"/>
      <c r="E333" s="726"/>
      <c r="F333" s="1726">
        <f t="shared" ref="F333:AI333" si="945">F92*$G$35</f>
        <v>55584.839664887026</v>
      </c>
      <c r="G333" s="1726">
        <f t="shared" si="945"/>
        <v>55823.292848066369</v>
      </c>
      <c r="H333" s="1726">
        <f t="shared" si="945"/>
        <v>56061.746031245704</v>
      </c>
      <c r="I333" s="1726">
        <f t="shared" si="945"/>
        <v>56300.199214425047</v>
      </c>
      <c r="J333" s="1726">
        <f t="shared" si="945"/>
        <v>56538.65239760439</v>
      </c>
      <c r="K333" s="1726">
        <f t="shared" si="945"/>
        <v>56774.300249216911</v>
      </c>
      <c r="L333" s="1726">
        <f t="shared" si="945"/>
        <v>56911.761495990882</v>
      </c>
      <c r="M333" s="1726">
        <f t="shared" si="945"/>
        <v>57049.222742764847</v>
      </c>
      <c r="N333" s="1726">
        <f t="shared" si="945"/>
        <v>57186.683989538818</v>
      </c>
      <c r="O333" s="1726">
        <f t="shared" si="945"/>
        <v>57324.145236312783</v>
      </c>
      <c r="P333" s="1726">
        <f t="shared" si="945"/>
        <v>57467.217146220399</v>
      </c>
      <c r="Q333" s="1726">
        <f t="shared" si="945"/>
        <v>57520.518445989896</v>
      </c>
      <c r="R333" s="1726">
        <f t="shared" si="945"/>
        <v>57573.819745759392</v>
      </c>
      <c r="S333" s="1726">
        <f t="shared" si="945"/>
        <v>57627.121045528889</v>
      </c>
      <c r="T333" s="1726">
        <f t="shared" si="945"/>
        <v>57680.422345298401</v>
      </c>
      <c r="U333" s="1726">
        <f t="shared" si="945"/>
        <v>57739.33430820152</v>
      </c>
      <c r="V333" s="1726">
        <f t="shared" si="945"/>
        <v>57705.670329399727</v>
      </c>
      <c r="W333" s="1726">
        <f t="shared" si="945"/>
        <v>57672.006350597949</v>
      </c>
      <c r="X333" s="1726">
        <f t="shared" si="945"/>
        <v>57638.342371796156</v>
      </c>
      <c r="Y333" s="1726">
        <f t="shared" si="945"/>
        <v>57604.67839299437</v>
      </c>
      <c r="Z333" s="1726">
        <f t="shared" si="945"/>
        <v>57571.014414192578</v>
      </c>
      <c r="AA333" s="1726">
        <f t="shared" si="945"/>
        <v>57537.350435390792</v>
      </c>
      <c r="AB333" s="1726">
        <f t="shared" si="945"/>
        <v>57503.686456589006</v>
      </c>
      <c r="AC333" s="1726">
        <f t="shared" si="945"/>
        <v>57470.022477787214</v>
      </c>
      <c r="AD333" s="1726">
        <f t="shared" si="945"/>
        <v>57436.358498985428</v>
      </c>
      <c r="AE333" s="1726">
        <f t="shared" si="945"/>
        <v>57402.694520183635</v>
      </c>
      <c r="AF333" s="1726">
        <f t="shared" si="945"/>
        <v>57369.030541381842</v>
      </c>
      <c r="AG333" s="1726">
        <f t="shared" si="945"/>
        <v>57335.366562580057</v>
      </c>
      <c r="AH333" s="1726">
        <f t="shared" si="945"/>
        <v>57301.702583778264</v>
      </c>
      <c r="AI333" s="1726">
        <f t="shared" si="945"/>
        <v>57268.038604976471</v>
      </c>
    </row>
    <row r="334" spans="2:35" x14ac:dyDescent="0.35">
      <c r="B334" s="726" t="s">
        <v>279</v>
      </c>
      <c r="C334" s="726"/>
      <c r="D334" s="726"/>
      <c r="E334" s="726"/>
      <c r="F334" s="1726">
        <f t="shared" ref="F334:AI334" si="946">F92*$G$36</f>
        <v>157448.8676940829</v>
      </c>
      <c r="G334" s="1726">
        <f t="shared" si="946"/>
        <v>158124.30696702108</v>
      </c>
      <c r="H334" s="1726">
        <f t="shared" si="946"/>
        <v>158799.74623995926</v>
      </c>
      <c r="I334" s="1726">
        <f t="shared" si="946"/>
        <v>159475.18551289744</v>
      </c>
      <c r="J334" s="1726">
        <f t="shared" si="946"/>
        <v>160150.62478583565</v>
      </c>
      <c r="K334" s="1726">
        <f t="shared" si="946"/>
        <v>160818.11771438629</v>
      </c>
      <c r="L334" s="1726">
        <f t="shared" si="946"/>
        <v>161207.4885893742</v>
      </c>
      <c r="M334" s="1726">
        <f t="shared" si="946"/>
        <v>161596.85946436206</v>
      </c>
      <c r="N334" s="1726">
        <f t="shared" si="946"/>
        <v>161986.23033934998</v>
      </c>
      <c r="O334" s="1726">
        <f t="shared" si="946"/>
        <v>162375.60121433783</v>
      </c>
      <c r="P334" s="1726">
        <f t="shared" si="946"/>
        <v>162780.86477810077</v>
      </c>
      <c r="Q334" s="1726">
        <f t="shared" si="946"/>
        <v>162931.84532146342</v>
      </c>
      <c r="R334" s="1726">
        <f t="shared" si="946"/>
        <v>163082.82586482607</v>
      </c>
      <c r="S334" s="1726">
        <f t="shared" si="946"/>
        <v>163233.80640818871</v>
      </c>
      <c r="T334" s="1726">
        <f t="shared" si="946"/>
        <v>163384.78695155139</v>
      </c>
      <c r="U334" s="1726">
        <f t="shared" si="946"/>
        <v>163551.66018368903</v>
      </c>
      <c r="V334" s="1726">
        <f t="shared" si="946"/>
        <v>163456.30405103893</v>
      </c>
      <c r="W334" s="1726">
        <f t="shared" si="946"/>
        <v>163360.94791838885</v>
      </c>
      <c r="X334" s="1726">
        <f t="shared" si="946"/>
        <v>163265.59178573874</v>
      </c>
      <c r="Y334" s="1726">
        <f t="shared" si="946"/>
        <v>163170.23565308866</v>
      </c>
      <c r="Z334" s="1726">
        <f t="shared" si="946"/>
        <v>163074.87952043855</v>
      </c>
      <c r="AA334" s="1726">
        <f t="shared" si="946"/>
        <v>162979.52338778847</v>
      </c>
      <c r="AB334" s="1726">
        <f t="shared" si="946"/>
        <v>162884.1672551384</v>
      </c>
      <c r="AC334" s="1726">
        <f t="shared" si="946"/>
        <v>162788.81112248829</v>
      </c>
      <c r="AD334" s="1726">
        <f t="shared" si="946"/>
        <v>162693.45498983821</v>
      </c>
      <c r="AE334" s="1726">
        <f t="shared" si="946"/>
        <v>162598.0988571881</v>
      </c>
      <c r="AF334" s="1726">
        <f t="shared" si="946"/>
        <v>162502.74272453799</v>
      </c>
      <c r="AG334" s="1726">
        <f t="shared" si="946"/>
        <v>162407.38659188792</v>
      </c>
      <c r="AH334" s="1726">
        <f t="shared" si="946"/>
        <v>162312.03045923781</v>
      </c>
      <c r="AI334" s="1726">
        <f t="shared" si="946"/>
        <v>162216.6743265877</v>
      </c>
    </row>
    <row r="335" spans="2:35" x14ac:dyDescent="0.35">
      <c r="B335" s="726" t="s">
        <v>280</v>
      </c>
      <c r="C335" s="726"/>
      <c r="D335" s="726"/>
      <c r="E335" s="726"/>
      <c r="F335" s="1726">
        <f t="shared" ref="F335:AI335" si="947">F92*$G$37</f>
        <v>181471.37820372559</v>
      </c>
      <c r="G335" s="1726">
        <f t="shared" si="947"/>
        <v>182249.8715492044</v>
      </c>
      <c r="H335" s="1726">
        <f t="shared" si="947"/>
        <v>183028.36489468318</v>
      </c>
      <c r="I335" s="1726">
        <f t="shared" si="947"/>
        <v>183806.85824016196</v>
      </c>
      <c r="J335" s="1726">
        <f t="shared" si="947"/>
        <v>184585.35158564078</v>
      </c>
      <c r="K335" s="1726">
        <f t="shared" si="947"/>
        <v>185354.68618587861</v>
      </c>
      <c r="L335" s="1726">
        <f t="shared" si="947"/>
        <v>185803.46470268405</v>
      </c>
      <c r="M335" s="1726">
        <f t="shared" si="947"/>
        <v>186252.24321948944</v>
      </c>
      <c r="N335" s="1726">
        <f t="shared" si="947"/>
        <v>186701.02173629488</v>
      </c>
      <c r="O335" s="1726">
        <f t="shared" si="947"/>
        <v>187149.80025310029</v>
      </c>
      <c r="P335" s="1726">
        <f t="shared" si="947"/>
        <v>187616.89626038758</v>
      </c>
      <c r="Q335" s="1726">
        <f t="shared" si="947"/>
        <v>187790.91241996517</v>
      </c>
      <c r="R335" s="1726">
        <f t="shared" si="947"/>
        <v>187964.92857954279</v>
      </c>
      <c r="S335" s="1726">
        <f t="shared" si="947"/>
        <v>188138.9447391204</v>
      </c>
      <c r="T335" s="1726">
        <f t="shared" si="947"/>
        <v>188312.96089869805</v>
      </c>
      <c r="U335" s="1726">
        <f t="shared" si="947"/>
        <v>188505.29454875749</v>
      </c>
      <c r="V335" s="1726">
        <f t="shared" si="947"/>
        <v>188395.38960586634</v>
      </c>
      <c r="W335" s="1726">
        <f t="shared" si="947"/>
        <v>188285.48466297524</v>
      </c>
      <c r="X335" s="1726">
        <f t="shared" si="947"/>
        <v>188175.57972008412</v>
      </c>
      <c r="Y335" s="1726">
        <f t="shared" si="947"/>
        <v>188065.67477719299</v>
      </c>
      <c r="Z335" s="1726">
        <f t="shared" si="947"/>
        <v>187955.76983430187</v>
      </c>
      <c r="AA335" s="1726">
        <f t="shared" si="947"/>
        <v>187845.86489141078</v>
      </c>
      <c r="AB335" s="1726">
        <f t="shared" si="947"/>
        <v>187735.95994851962</v>
      </c>
      <c r="AC335" s="1726">
        <f t="shared" si="947"/>
        <v>187626.0550056285</v>
      </c>
      <c r="AD335" s="1726">
        <f t="shared" si="947"/>
        <v>187516.1500627374</v>
      </c>
      <c r="AE335" s="1726">
        <f t="shared" si="947"/>
        <v>187406.24511984625</v>
      </c>
      <c r="AF335" s="1726">
        <f t="shared" si="947"/>
        <v>187296.34017695513</v>
      </c>
      <c r="AG335" s="1726">
        <f t="shared" si="947"/>
        <v>187186.43523406403</v>
      </c>
      <c r="AH335" s="1726">
        <f t="shared" si="947"/>
        <v>187076.53029117288</v>
      </c>
      <c r="AI335" s="1726">
        <f t="shared" si="947"/>
        <v>186966.62534828176</v>
      </c>
    </row>
    <row r="336" spans="2:35" x14ac:dyDescent="0.35">
      <c r="B336" s="726" t="s">
        <v>281</v>
      </c>
      <c r="C336" s="726"/>
      <c r="D336" s="726"/>
      <c r="E336" s="726"/>
      <c r="F336" s="1726">
        <f t="shared" ref="F336:AI336" si="948">F92*$G$38</f>
        <v>130298.80379767601</v>
      </c>
      <c r="G336" s="1726">
        <f t="shared" si="948"/>
        <v>130857.77211920638</v>
      </c>
      <c r="H336" s="1726">
        <f t="shared" si="948"/>
        <v>131416.74044073673</v>
      </c>
      <c r="I336" s="1726">
        <f t="shared" si="948"/>
        <v>131975.70876226708</v>
      </c>
      <c r="J336" s="1726">
        <f t="shared" si="948"/>
        <v>132534.67708379746</v>
      </c>
      <c r="K336" s="1726">
        <f t="shared" si="948"/>
        <v>133087.06930742745</v>
      </c>
      <c r="L336" s="1726">
        <f t="shared" si="948"/>
        <v>133409.29810454496</v>
      </c>
      <c r="M336" s="1726">
        <f t="shared" si="948"/>
        <v>133731.52690166244</v>
      </c>
      <c r="N336" s="1726">
        <f t="shared" si="948"/>
        <v>134053.75569877995</v>
      </c>
      <c r="O336" s="1726">
        <f t="shared" si="948"/>
        <v>134375.98449589743</v>
      </c>
      <c r="P336" s="1726">
        <f t="shared" si="948"/>
        <v>134711.36548881565</v>
      </c>
      <c r="Q336" s="1726">
        <f t="shared" si="948"/>
        <v>134836.31134892243</v>
      </c>
      <c r="R336" s="1726">
        <f t="shared" si="948"/>
        <v>134961.25720902922</v>
      </c>
      <c r="S336" s="1726">
        <f t="shared" si="948"/>
        <v>135086.20306913601</v>
      </c>
      <c r="T336" s="1726">
        <f t="shared" si="948"/>
        <v>135211.1489292428</v>
      </c>
      <c r="U336" s="1726">
        <f t="shared" si="948"/>
        <v>135349.2469851503</v>
      </c>
      <c r="V336" s="1726">
        <f t="shared" si="948"/>
        <v>135270.333810346</v>
      </c>
      <c r="W336" s="1726">
        <f t="shared" si="948"/>
        <v>135191.42063554173</v>
      </c>
      <c r="X336" s="1726">
        <f t="shared" si="948"/>
        <v>135112.50746073743</v>
      </c>
      <c r="Y336" s="1726">
        <f t="shared" si="948"/>
        <v>135033.59428593316</v>
      </c>
      <c r="Z336" s="1726">
        <f t="shared" si="948"/>
        <v>134954.68111112888</v>
      </c>
      <c r="AA336" s="1726">
        <f t="shared" si="948"/>
        <v>134875.76793632461</v>
      </c>
      <c r="AB336" s="1726">
        <f t="shared" si="948"/>
        <v>134796.85476152031</v>
      </c>
      <c r="AC336" s="1726">
        <f t="shared" si="948"/>
        <v>134717.94158671601</v>
      </c>
      <c r="AD336" s="1726">
        <f t="shared" si="948"/>
        <v>134639.02841191174</v>
      </c>
      <c r="AE336" s="1726">
        <f t="shared" si="948"/>
        <v>134560.11523710744</v>
      </c>
      <c r="AF336" s="1726">
        <f t="shared" si="948"/>
        <v>134481.20206230314</v>
      </c>
      <c r="AG336" s="1726">
        <f t="shared" si="948"/>
        <v>134402.28888749887</v>
      </c>
      <c r="AH336" s="1726">
        <f t="shared" si="948"/>
        <v>134323.37571269457</v>
      </c>
      <c r="AI336" s="1726">
        <f t="shared" si="948"/>
        <v>134244.4625378903</v>
      </c>
    </row>
    <row r="337" spans="2:35" x14ac:dyDescent="0.35">
      <c r="B337" s="726" t="s">
        <v>282</v>
      </c>
      <c r="C337" s="726"/>
      <c r="D337" s="726"/>
      <c r="E337" s="726"/>
      <c r="F337" s="1726">
        <f t="shared" ref="F337:AI337" si="949">F92*$G$39</f>
        <v>118644.27006840796</v>
      </c>
      <c r="G337" s="1726">
        <f t="shared" si="949"/>
        <v>119153.24165192542</v>
      </c>
      <c r="H337" s="1726">
        <f t="shared" si="949"/>
        <v>119662.21323544285</v>
      </c>
      <c r="I337" s="1726">
        <f t="shared" si="949"/>
        <v>120171.1848189603</v>
      </c>
      <c r="J337" s="1726">
        <f t="shared" si="949"/>
        <v>120680.15640247776</v>
      </c>
      <c r="K337" s="1726">
        <f t="shared" si="949"/>
        <v>121183.14008501265</v>
      </c>
      <c r="L337" s="1726">
        <f t="shared" si="949"/>
        <v>121476.54723315801</v>
      </c>
      <c r="M337" s="1726">
        <f t="shared" si="949"/>
        <v>121769.95438130334</v>
      </c>
      <c r="N337" s="1726">
        <f t="shared" si="949"/>
        <v>122063.3615294487</v>
      </c>
      <c r="O337" s="1726">
        <f t="shared" si="949"/>
        <v>122356.76867759404</v>
      </c>
      <c r="P337" s="1726">
        <f t="shared" si="949"/>
        <v>122662.15162770452</v>
      </c>
      <c r="Q337" s="1726">
        <f t="shared" si="949"/>
        <v>122775.92174637312</v>
      </c>
      <c r="R337" s="1726">
        <f t="shared" si="949"/>
        <v>122889.69186504172</v>
      </c>
      <c r="S337" s="1726">
        <f t="shared" si="949"/>
        <v>123003.46198371032</v>
      </c>
      <c r="T337" s="1726">
        <f t="shared" si="949"/>
        <v>123117.23210237896</v>
      </c>
      <c r="U337" s="1726">
        <f t="shared" si="949"/>
        <v>123242.97802301266</v>
      </c>
      <c r="V337" s="1726">
        <f t="shared" si="949"/>
        <v>123171.12321122196</v>
      </c>
      <c r="W337" s="1726">
        <f t="shared" si="949"/>
        <v>123099.26839943127</v>
      </c>
      <c r="X337" s="1726">
        <f t="shared" si="949"/>
        <v>123027.41358764056</v>
      </c>
      <c r="Y337" s="1726">
        <f t="shared" si="949"/>
        <v>122955.55877584987</v>
      </c>
      <c r="Z337" s="1726">
        <f t="shared" si="949"/>
        <v>122883.70396405917</v>
      </c>
      <c r="AA337" s="1726">
        <f t="shared" si="949"/>
        <v>122811.84915226849</v>
      </c>
      <c r="AB337" s="1726">
        <f t="shared" si="949"/>
        <v>122739.99434047779</v>
      </c>
      <c r="AC337" s="1726">
        <f t="shared" si="949"/>
        <v>122668.13952868707</v>
      </c>
      <c r="AD337" s="1726">
        <f t="shared" si="949"/>
        <v>122596.28471689639</v>
      </c>
      <c r="AE337" s="1726">
        <f t="shared" si="949"/>
        <v>122524.42990510569</v>
      </c>
      <c r="AF337" s="1726">
        <f t="shared" si="949"/>
        <v>122452.57509331498</v>
      </c>
      <c r="AG337" s="1726">
        <f t="shared" si="949"/>
        <v>122380.72028152429</v>
      </c>
      <c r="AH337" s="1726">
        <f t="shared" si="949"/>
        <v>122308.86546973359</v>
      </c>
      <c r="AI337" s="1726">
        <f t="shared" si="949"/>
        <v>122237.01065794288</v>
      </c>
    </row>
    <row r="338" spans="2:35" x14ac:dyDescent="0.35">
      <c r="B338" s="726" t="s">
        <v>283</v>
      </c>
      <c r="C338" s="726"/>
      <c r="D338" s="726"/>
      <c r="E338" s="726"/>
      <c r="F338" s="1726">
        <f t="shared" ref="F338:AI338" si="950">F92*$G$40</f>
        <v>28563.879664224023</v>
      </c>
      <c r="G338" s="1726">
        <f t="shared" si="950"/>
        <v>28686.415738285752</v>
      </c>
      <c r="H338" s="1726">
        <f t="shared" si="950"/>
        <v>28808.951812347477</v>
      </c>
      <c r="I338" s="1726">
        <f t="shared" si="950"/>
        <v>28931.487886409206</v>
      </c>
      <c r="J338" s="1726">
        <f t="shared" si="950"/>
        <v>29054.023960470935</v>
      </c>
      <c r="K338" s="1726">
        <f t="shared" si="950"/>
        <v>29175.118433661344</v>
      </c>
      <c r="L338" s="1726">
        <f t="shared" si="950"/>
        <v>29245.756876355754</v>
      </c>
      <c r="M338" s="1726">
        <f t="shared" si="950"/>
        <v>29316.395319050156</v>
      </c>
      <c r="N338" s="1726">
        <f t="shared" si="950"/>
        <v>29387.033761744562</v>
      </c>
      <c r="O338" s="1726">
        <f t="shared" si="950"/>
        <v>29457.672204438968</v>
      </c>
      <c r="P338" s="1726">
        <f t="shared" si="950"/>
        <v>29531.193848876006</v>
      </c>
      <c r="Q338" s="1726">
        <f t="shared" si="950"/>
        <v>29558.584265430982</v>
      </c>
      <c r="R338" s="1726">
        <f t="shared" si="950"/>
        <v>29585.974681985954</v>
      </c>
      <c r="S338" s="1726">
        <f t="shared" si="950"/>
        <v>29613.365098540926</v>
      </c>
      <c r="T338" s="1726">
        <f t="shared" si="950"/>
        <v>29640.755515095905</v>
      </c>
      <c r="U338" s="1726">
        <f t="shared" si="950"/>
        <v>29671.029133393506</v>
      </c>
      <c r="V338" s="1726">
        <f t="shared" si="950"/>
        <v>29653.729922937731</v>
      </c>
      <c r="W338" s="1726">
        <f t="shared" si="950"/>
        <v>29636.430712481961</v>
      </c>
      <c r="X338" s="1726">
        <f t="shared" si="950"/>
        <v>29619.131502026186</v>
      </c>
      <c r="Y338" s="1726">
        <f t="shared" si="950"/>
        <v>29601.832291570416</v>
      </c>
      <c r="Z338" s="1726">
        <f t="shared" si="950"/>
        <v>29584.533081114641</v>
      </c>
      <c r="AA338" s="1726">
        <f t="shared" si="950"/>
        <v>29567.233870658871</v>
      </c>
      <c r="AB338" s="1726">
        <f t="shared" si="950"/>
        <v>29549.934660203096</v>
      </c>
      <c r="AC338" s="1726">
        <f t="shared" si="950"/>
        <v>29532.635449747322</v>
      </c>
      <c r="AD338" s="1726">
        <f t="shared" si="950"/>
        <v>29515.336239291551</v>
      </c>
      <c r="AE338" s="1726">
        <f t="shared" si="950"/>
        <v>29498.037028835777</v>
      </c>
      <c r="AF338" s="1726">
        <f t="shared" si="950"/>
        <v>29480.737818379999</v>
      </c>
      <c r="AG338" s="1726">
        <f t="shared" si="950"/>
        <v>29463.438607924232</v>
      </c>
      <c r="AH338" s="1726">
        <f t="shared" si="950"/>
        <v>29446.139397468454</v>
      </c>
      <c r="AI338" s="1726">
        <f t="shared" si="950"/>
        <v>29428.84018701268</v>
      </c>
    </row>
    <row r="339" spans="2:35" x14ac:dyDescent="0.35">
      <c r="B339" s="726" t="s">
        <v>12</v>
      </c>
      <c r="C339" s="726"/>
      <c r="D339" s="726"/>
      <c r="E339" s="726"/>
      <c r="F339" s="1726">
        <f t="shared" ref="F339:AI339" si="951">F92*$G$41</f>
        <v>23492.22802826915</v>
      </c>
      <c r="G339" s="1726">
        <f t="shared" si="951"/>
        <v>23593.007244096487</v>
      </c>
      <c r="H339" s="1726">
        <f t="shared" si="951"/>
        <v>23693.786459923824</v>
      </c>
      <c r="I339" s="1726">
        <f t="shared" si="951"/>
        <v>23794.565675751164</v>
      </c>
      <c r="J339" s="1726">
        <f t="shared" si="951"/>
        <v>23895.344891578505</v>
      </c>
      <c r="K339" s="1726">
        <f t="shared" si="951"/>
        <v>23994.938469572578</v>
      </c>
      <c r="L339" s="1726">
        <f t="shared" si="951"/>
        <v>24053.034723402456</v>
      </c>
      <c r="M339" s="1726">
        <f t="shared" si="951"/>
        <v>24111.130977232333</v>
      </c>
      <c r="N339" s="1726">
        <f t="shared" si="951"/>
        <v>24169.22723106221</v>
      </c>
      <c r="O339" s="1726">
        <f t="shared" si="951"/>
        <v>24227.323484892084</v>
      </c>
      <c r="P339" s="1726">
        <f t="shared" si="951"/>
        <v>24287.791014388491</v>
      </c>
      <c r="Q339" s="1726">
        <f t="shared" si="951"/>
        <v>24310.318133220484</v>
      </c>
      <c r="R339" s="1726">
        <f t="shared" si="951"/>
        <v>24332.845252052477</v>
      </c>
      <c r="S339" s="1726">
        <f t="shared" si="951"/>
        <v>24355.37237088447</v>
      </c>
      <c r="T339" s="1726">
        <f t="shared" si="951"/>
        <v>24377.899489716467</v>
      </c>
      <c r="U339" s="1726">
        <f t="shared" si="951"/>
        <v>24402.797884214982</v>
      </c>
      <c r="V339" s="1726">
        <f t="shared" si="951"/>
        <v>24388.570230215828</v>
      </c>
      <c r="W339" s="1726">
        <f t="shared" si="951"/>
        <v>24374.342576216677</v>
      </c>
      <c r="X339" s="1726">
        <f t="shared" si="951"/>
        <v>24360.114922217519</v>
      </c>
      <c r="Y339" s="1726">
        <f t="shared" si="951"/>
        <v>24345.887268218368</v>
      </c>
      <c r="Z339" s="1726">
        <f t="shared" si="951"/>
        <v>24331.659614219214</v>
      </c>
      <c r="AA339" s="1726">
        <f t="shared" si="951"/>
        <v>24317.431960220063</v>
      </c>
      <c r="AB339" s="1726">
        <f t="shared" si="951"/>
        <v>24303.204306220909</v>
      </c>
      <c r="AC339" s="1726">
        <f t="shared" si="951"/>
        <v>24288.976652221754</v>
      </c>
      <c r="AD339" s="1726">
        <f t="shared" si="951"/>
        <v>24274.748998222603</v>
      </c>
      <c r="AE339" s="1726">
        <f t="shared" si="951"/>
        <v>24260.521344223445</v>
      </c>
      <c r="AF339" s="1726">
        <f t="shared" si="951"/>
        <v>24246.293690224291</v>
      </c>
      <c r="AG339" s="1726">
        <f t="shared" si="951"/>
        <v>24232.06603622514</v>
      </c>
      <c r="AH339" s="1726">
        <f t="shared" si="951"/>
        <v>24217.838382225986</v>
      </c>
      <c r="AI339" s="1726">
        <f t="shared" si="951"/>
        <v>24203.610728226831</v>
      </c>
    </row>
    <row r="340" spans="2:35" x14ac:dyDescent="0.35">
      <c r="B340" s="726" t="s">
        <v>13</v>
      </c>
      <c r="C340" s="726"/>
      <c r="D340" s="726"/>
      <c r="E340" s="726"/>
      <c r="F340" s="1726">
        <f t="shared" ref="F340:AI340" si="952">F92*$G$42</f>
        <v>0</v>
      </c>
      <c r="G340" s="1726">
        <f t="shared" si="952"/>
        <v>0</v>
      </c>
      <c r="H340" s="1726">
        <f t="shared" si="952"/>
        <v>0</v>
      </c>
      <c r="I340" s="1726">
        <f t="shared" si="952"/>
        <v>0</v>
      </c>
      <c r="J340" s="1726">
        <f t="shared" si="952"/>
        <v>0</v>
      </c>
      <c r="K340" s="1726">
        <f t="shared" si="952"/>
        <v>0</v>
      </c>
      <c r="L340" s="1726">
        <f t="shared" si="952"/>
        <v>0</v>
      </c>
      <c r="M340" s="1726">
        <f t="shared" si="952"/>
        <v>0</v>
      </c>
      <c r="N340" s="1726">
        <f t="shared" si="952"/>
        <v>0</v>
      </c>
      <c r="O340" s="1726">
        <f t="shared" si="952"/>
        <v>0</v>
      </c>
      <c r="P340" s="1726">
        <f t="shared" si="952"/>
        <v>0</v>
      </c>
      <c r="Q340" s="1726">
        <f t="shared" si="952"/>
        <v>0</v>
      </c>
      <c r="R340" s="1726">
        <f t="shared" si="952"/>
        <v>0</v>
      </c>
      <c r="S340" s="1726">
        <f t="shared" si="952"/>
        <v>0</v>
      </c>
      <c r="T340" s="1726">
        <f t="shared" si="952"/>
        <v>0</v>
      </c>
      <c r="U340" s="1726">
        <f t="shared" si="952"/>
        <v>0</v>
      </c>
      <c r="V340" s="1726">
        <f t="shared" si="952"/>
        <v>0</v>
      </c>
      <c r="W340" s="1726">
        <f t="shared" si="952"/>
        <v>0</v>
      </c>
      <c r="X340" s="1726">
        <f t="shared" si="952"/>
        <v>0</v>
      </c>
      <c r="Y340" s="1726">
        <f t="shared" si="952"/>
        <v>0</v>
      </c>
      <c r="Z340" s="1726">
        <f t="shared" si="952"/>
        <v>0</v>
      </c>
      <c r="AA340" s="1726">
        <f t="shared" si="952"/>
        <v>0</v>
      </c>
      <c r="AB340" s="1726">
        <f t="shared" si="952"/>
        <v>0</v>
      </c>
      <c r="AC340" s="1726">
        <f t="shared" si="952"/>
        <v>0</v>
      </c>
      <c r="AD340" s="1726">
        <f t="shared" si="952"/>
        <v>0</v>
      </c>
      <c r="AE340" s="1726">
        <f t="shared" si="952"/>
        <v>0</v>
      </c>
      <c r="AF340" s="1726">
        <f t="shared" si="952"/>
        <v>0</v>
      </c>
      <c r="AG340" s="1726">
        <f t="shared" si="952"/>
        <v>0</v>
      </c>
      <c r="AH340" s="1726">
        <f t="shared" si="952"/>
        <v>0</v>
      </c>
      <c r="AI340" s="1726">
        <f t="shared" si="952"/>
        <v>0</v>
      </c>
    </row>
    <row r="341" spans="2:35" x14ac:dyDescent="0.35">
      <c r="B341" s="726" t="s">
        <v>14</v>
      </c>
      <c r="C341" s="726"/>
      <c r="D341" s="726"/>
      <c r="E341" s="726"/>
      <c r="F341" s="1726">
        <f t="shared" ref="F341:AI341" si="953">F92*$G$43</f>
        <v>188572.74930799831</v>
      </c>
      <c r="G341" s="1726">
        <f t="shared" si="953"/>
        <v>189381.70679720695</v>
      </c>
      <c r="H341" s="1726">
        <f t="shared" si="953"/>
        <v>190190.66428641556</v>
      </c>
      <c r="I341" s="1726">
        <f t="shared" si="953"/>
        <v>190999.62177562423</v>
      </c>
      <c r="J341" s="1726">
        <f t="shared" si="953"/>
        <v>191808.57926483286</v>
      </c>
      <c r="K341" s="1726">
        <f t="shared" si="953"/>
        <v>192608.01960710963</v>
      </c>
      <c r="L341" s="1726">
        <f t="shared" si="953"/>
        <v>193074.35980677107</v>
      </c>
      <c r="M341" s="1726">
        <f t="shared" si="953"/>
        <v>193540.70000643251</v>
      </c>
      <c r="N341" s="1726">
        <f t="shared" si="953"/>
        <v>194007.04020609395</v>
      </c>
      <c r="O341" s="1726">
        <f t="shared" si="953"/>
        <v>194473.38040575539</v>
      </c>
      <c r="P341" s="1726">
        <f t="shared" si="953"/>
        <v>194958.75489928058</v>
      </c>
      <c r="Q341" s="1726">
        <f t="shared" si="953"/>
        <v>195139.58069098604</v>
      </c>
      <c r="R341" s="1726">
        <f t="shared" si="953"/>
        <v>195320.4064826915</v>
      </c>
      <c r="S341" s="1726">
        <f t="shared" si="953"/>
        <v>195501.23227439696</v>
      </c>
      <c r="T341" s="1726">
        <f t="shared" si="953"/>
        <v>195682.05806610244</v>
      </c>
      <c r="U341" s="1726">
        <f t="shared" si="953"/>
        <v>195881.91815167162</v>
      </c>
      <c r="V341" s="1726">
        <f t="shared" si="953"/>
        <v>195767.71238848919</v>
      </c>
      <c r="W341" s="1726">
        <f t="shared" si="953"/>
        <v>195653.50662530682</v>
      </c>
      <c r="X341" s="1726">
        <f t="shared" si="953"/>
        <v>195539.30086212442</v>
      </c>
      <c r="Y341" s="1726">
        <f t="shared" si="953"/>
        <v>195425.09509894205</v>
      </c>
      <c r="Z341" s="1726">
        <f t="shared" si="953"/>
        <v>195310.88933575965</v>
      </c>
      <c r="AA341" s="1726">
        <f t="shared" si="953"/>
        <v>195196.68357257725</v>
      </c>
      <c r="AB341" s="1726">
        <f t="shared" si="953"/>
        <v>195082.47780939486</v>
      </c>
      <c r="AC341" s="1726">
        <f t="shared" si="953"/>
        <v>194968.27204621246</v>
      </c>
      <c r="AD341" s="1726">
        <f t="shared" si="953"/>
        <v>194854.06628303009</v>
      </c>
      <c r="AE341" s="1726">
        <f t="shared" si="953"/>
        <v>194739.86051984766</v>
      </c>
      <c r="AF341" s="1726">
        <f t="shared" si="953"/>
        <v>194625.65475666526</v>
      </c>
      <c r="AG341" s="1726">
        <f t="shared" si="953"/>
        <v>194511.44899348289</v>
      </c>
      <c r="AH341" s="1726">
        <f t="shared" si="953"/>
        <v>194397.24323030049</v>
      </c>
      <c r="AI341" s="1726">
        <f t="shared" si="953"/>
        <v>194283.03746711806</v>
      </c>
    </row>
    <row r="342" spans="2:35" x14ac:dyDescent="0.35">
      <c r="B342" s="1733" t="s">
        <v>200</v>
      </c>
      <c r="C342" s="1733"/>
      <c r="D342" s="1733"/>
      <c r="E342" s="1733"/>
      <c r="F342" s="1734">
        <f>SUM(F331:F341)</f>
        <v>1269850.1636902243</v>
      </c>
      <c r="G342" s="1734">
        <f t="shared" ref="G342" si="954">SUM(G331:G341)</f>
        <v>1275297.688870081</v>
      </c>
      <c r="H342" s="1734">
        <f t="shared" ref="H342" si="955">SUM(H331:H341)</f>
        <v>1280745.2140499365</v>
      </c>
      <c r="I342" s="1734">
        <f t="shared" ref="I342" si="956">SUM(I331:I341)</f>
        <v>1286192.7392297927</v>
      </c>
      <c r="J342" s="1734">
        <f t="shared" ref="J342" si="957">SUM(J331:J341)</f>
        <v>1291640.264409649</v>
      </c>
      <c r="K342" s="1734">
        <f t="shared" ref="K342" si="958">SUM(K331:K341)</f>
        <v>1297023.7010579775</v>
      </c>
      <c r="L342" s="1734">
        <f t="shared" ref="L342" si="959">SUM(L331:L341)</f>
        <v>1300164.0391028358</v>
      </c>
      <c r="M342" s="1734">
        <f t="shared" ref="M342" si="960">SUM(M331:M341)</f>
        <v>1303304.3771476939</v>
      </c>
      <c r="N342" s="1734">
        <f t="shared" ref="N342" si="961">SUM(N331:N341)</f>
        <v>1306444.7151925522</v>
      </c>
      <c r="O342" s="1734">
        <f t="shared" ref="O342" si="962">SUM(O331:O341)</f>
        <v>1309585.0532374103</v>
      </c>
      <c r="P342" s="1734">
        <f t="shared" ref="P342" si="963">SUM(P331:P341)</f>
        <v>1312853.5683453239</v>
      </c>
      <c r="Q342" s="1734">
        <f t="shared" ref="Q342" si="964">SUM(Q331:Q341)</f>
        <v>1314071.2504443505</v>
      </c>
      <c r="R342" s="1734">
        <f t="shared" ref="R342" si="965">SUM(R331:R341)</f>
        <v>1315288.9325433772</v>
      </c>
      <c r="S342" s="1734">
        <f t="shared" ref="S342" si="966">SUM(S331:S341)</f>
        <v>1316506.614642404</v>
      </c>
      <c r="T342" s="1734">
        <f t="shared" ref="T342" si="967">SUM(T331:T341)</f>
        <v>1317724.2967414309</v>
      </c>
      <c r="U342" s="1734">
        <f t="shared" ref="U342" si="968">SUM(U331:U341)</f>
        <v>1319070.1559035126</v>
      </c>
      <c r="V342" s="1734">
        <f t="shared" ref="V342" si="969">SUM(V331:V341)</f>
        <v>1318301.0935251799</v>
      </c>
      <c r="W342" s="1734">
        <f t="shared" ref="W342" si="970">SUM(W331:W341)</f>
        <v>1317532.0311468474</v>
      </c>
      <c r="X342" s="1734">
        <f t="shared" ref="X342" si="971">SUM(X331:X341)</f>
        <v>1316762.9687685147</v>
      </c>
      <c r="Y342" s="1734">
        <f t="shared" ref="Y342" si="972">SUM(Y331:Y341)</f>
        <v>1315993.9063901824</v>
      </c>
      <c r="Z342" s="1734">
        <f t="shared" ref="Z342" si="973">SUM(Z331:Z341)</f>
        <v>1315224.84401185</v>
      </c>
      <c r="AA342" s="1734">
        <f t="shared" ref="AA342" si="974">SUM(AA331:AA341)</f>
        <v>1314455.781633517</v>
      </c>
      <c r="AB342" s="1734">
        <f t="shared" ref="AB342" si="975">SUM(AB331:AB341)</f>
        <v>1313686.7192551843</v>
      </c>
      <c r="AC342" s="1734">
        <f t="shared" ref="AC342" si="976">SUM(AC331:AC341)</f>
        <v>1312917.6568768518</v>
      </c>
      <c r="AD342" s="1734">
        <f t="shared" ref="AD342" si="977">SUM(AD331:AD341)</f>
        <v>1312148.5944985193</v>
      </c>
      <c r="AE342" s="1734">
        <f t="shared" ref="AE342" si="978">SUM(AE331:AE341)</f>
        <v>1311379.5321201866</v>
      </c>
      <c r="AF342" s="1734">
        <f t="shared" ref="AF342" si="979">SUM(AF331:AF341)</f>
        <v>1310610.4697418534</v>
      </c>
      <c r="AG342" s="1734">
        <f t="shared" ref="AG342" si="980">SUM(AG331:AG341)</f>
        <v>1309841.4073635212</v>
      </c>
      <c r="AH342" s="1734">
        <f t="shared" ref="AH342" si="981">SUM(AH331:AH341)</f>
        <v>1309072.3449851885</v>
      </c>
      <c r="AI342" s="1734">
        <f t="shared" ref="AI342" si="982">SUM(AI331:AI341)</f>
        <v>1308303.282606856</v>
      </c>
    </row>
    <row r="343" spans="2:35" x14ac:dyDescent="0.35">
      <c r="E343" s="281" t="s">
        <v>332</v>
      </c>
      <c r="F343" s="1725">
        <f t="shared" ref="F343:AI343" si="983">F342-F92</f>
        <v>0</v>
      </c>
      <c r="G343" s="1725">
        <f t="shared" si="983"/>
        <v>0</v>
      </c>
      <c r="H343" s="1725">
        <f t="shared" si="983"/>
        <v>0</v>
      </c>
      <c r="I343" s="1725">
        <f t="shared" si="983"/>
        <v>0</v>
      </c>
      <c r="J343" s="1725">
        <f t="shared" si="983"/>
        <v>0</v>
      </c>
      <c r="K343" s="1725">
        <f t="shared" si="983"/>
        <v>0</v>
      </c>
      <c r="L343" s="1725">
        <f t="shared" si="983"/>
        <v>0</v>
      </c>
      <c r="M343" s="1725">
        <f t="shared" si="983"/>
        <v>0</v>
      </c>
      <c r="N343" s="1725">
        <f t="shared" si="983"/>
        <v>0</v>
      </c>
      <c r="O343" s="1725">
        <f t="shared" si="983"/>
        <v>0</v>
      </c>
      <c r="P343" s="1725">
        <f t="shared" si="983"/>
        <v>0</v>
      </c>
      <c r="Q343" s="1725">
        <f t="shared" si="983"/>
        <v>0</v>
      </c>
      <c r="R343" s="1725">
        <f t="shared" si="983"/>
        <v>0</v>
      </c>
      <c r="S343" s="1725">
        <f t="shared" si="983"/>
        <v>0</v>
      </c>
      <c r="T343" s="1725">
        <f t="shared" si="983"/>
        <v>0</v>
      </c>
      <c r="U343" s="1725">
        <f t="shared" si="983"/>
        <v>0</v>
      </c>
      <c r="V343" s="1725">
        <f t="shared" si="983"/>
        <v>0</v>
      </c>
      <c r="W343" s="1725">
        <f t="shared" si="983"/>
        <v>0</v>
      </c>
      <c r="X343" s="1725">
        <f t="shared" si="983"/>
        <v>0</v>
      </c>
      <c r="Y343" s="1725">
        <f t="shared" si="983"/>
        <v>0</v>
      </c>
      <c r="Z343" s="1725">
        <f t="shared" si="983"/>
        <v>0</v>
      </c>
      <c r="AA343" s="1725">
        <f t="shared" si="983"/>
        <v>0</v>
      </c>
      <c r="AB343" s="1725">
        <f t="shared" si="983"/>
        <v>0</v>
      </c>
      <c r="AC343" s="1725">
        <f t="shared" si="983"/>
        <v>0</v>
      </c>
      <c r="AD343" s="1725">
        <f t="shared" si="983"/>
        <v>0</v>
      </c>
      <c r="AE343" s="1725">
        <f t="shared" si="983"/>
        <v>0</v>
      </c>
      <c r="AF343" s="1725">
        <f t="shared" si="983"/>
        <v>0</v>
      </c>
      <c r="AG343" s="1725">
        <f t="shared" si="983"/>
        <v>0</v>
      </c>
      <c r="AH343" s="1725">
        <f t="shared" si="983"/>
        <v>0</v>
      </c>
      <c r="AI343" s="1725">
        <f t="shared" si="983"/>
        <v>0</v>
      </c>
    </row>
    <row r="344" spans="2:35" ht="15.5" x14ac:dyDescent="0.35">
      <c r="B344" s="86" t="s">
        <v>6</v>
      </c>
    </row>
    <row r="345" spans="2:35" x14ac:dyDescent="0.35">
      <c r="B345" s="1731" t="s">
        <v>273</v>
      </c>
      <c r="C345" s="1731"/>
      <c r="D345" s="1731"/>
      <c r="E345" s="1731"/>
      <c r="F345" s="1732">
        <v>1</v>
      </c>
      <c r="G345" s="1732">
        <f>F345+1</f>
        <v>2</v>
      </c>
      <c r="H345" s="1732">
        <f t="shared" ref="H345" si="984">G345+1</f>
        <v>3</v>
      </c>
      <c r="I345" s="1732">
        <f t="shared" ref="I345" si="985">H345+1</f>
        <v>4</v>
      </c>
      <c r="J345" s="1732">
        <f t="shared" ref="J345" si="986">I345+1</f>
        <v>5</v>
      </c>
      <c r="K345" s="1732">
        <f t="shared" ref="K345" si="987">J345+1</f>
        <v>6</v>
      </c>
      <c r="L345" s="1732">
        <f t="shared" ref="L345" si="988">K345+1</f>
        <v>7</v>
      </c>
      <c r="M345" s="1732">
        <f t="shared" ref="M345" si="989">L345+1</f>
        <v>8</v>
      </c>
      <c r="N345" s="1732">
        <f t="shared" ref="N345" si="990">M345+1</f>
        <v>9</v>
      </c>
      <c r="O345" s="1732">
        <f t="shared" ref="O345" si="991">N345+1</f>
        <v>10</v>
      </c>
      <c r="P345" s="1732">
        <f t="shared" ref="P345" si="992">O345+1</f>
        <v>11</v>
      </c>
      <c r="Q345" s="1732">
        <f t="shared" ref="Q345" si="993">P345+1</f>
        <v>12</v>
      </c>
      <c r="R345" s="1732">
        <f t="shared" ref="R345" si="994">Q345+1</f>
        <v>13</v>
      </c>
      <c r="S345" s="1732">
        <f t="shared" ref="S345" si="995">R345+1</f>
        <v>14</v>
      </c>
      <c r="T345" s="1732">
        <f t="shared" ref="T345" si="996">S345+1</f>
        <v>15</v>
      </c>
      <c r="U345" s="1732">
        <f t="shared" ref="U345" si="997">T345+1</f>
        <v>16</v>
      </c>
      <c r="V345" s="1732">
        <f t="shared" ref="V345" si="998">U345+1</f>
        <v>17</v>
      </c>
      <c r="W345" s="1732">
        <f t="shared" ref="W345" si="999">V345+1</f>
        <v>18</v>
      </c>
      <c r="X345" s="1732">
        <f t="shared" ref="X345" si="1000">W345+1</f>
        <v>19</v>
      </c>
      <c r="Y345" s="1732">
        <f t="shared" ref="Y345" si="1001">X345+1</f>
        <v>20</v>
      </c>
      <c r="Z345" s="1732">
        <f t="shared" ref="Z345" si="1002">Y345+1</f>
        <v>21</v>
      </c>
      <c r="AA345" s="1732">
        <f t="shared" ref="AA345" si="1003">Z345+1</f>
        <v>22</v>
      </c>
      <c r="AB345" s="1732">
        <f t="shared" ref="AB345" si="1004">AA345+1</f>
        <v>23</v>
      </c>
      <c r="AC345" s="1732">
        <f t="shared" ref="AC345" si="1005">AB345+1</f>
        <v>24</v>
      </c>
      <c r="AD345" s="1732">
        <f t="shared" ref="AD345" si="1006">AC345+1</f>
        <v>25</v>
      </c>
      <c r="AE345" s="1732">
        <f t="shared" ref="AE345" si="1007">AD345+1</f>
        <v>26</v>
      </c>
      <c r="AF345" s="1732">
        <f t="shared" ref="AF345" si="1008">AE345+1</f>
        <v>27</v>
      </c>
      <c r="AG345" s="1732">
        <f t="shared" ref="AG345" si="1009">AF345+1</f>
        <v>28</v>
      </c>
      <c r="AH345" s="1732">
        <f t="shared" ref="AH345" si="1010">AG345+1</f>
        <v>29</v>
      </c>
      <c r="AI345" s="1732">
        <f t="shared" ref="AI345" si="1011">AH345+1</f>
        <v>30</v>
      </c>
    </row>
    <row r="346" spans="2:35" x14ac:dyDescent="0.35">
      <c r="B346" s="726" t="s">
        <v>276</v>
      </c>
      <c r="C346" s="726"/>
      <c r="D346" s="726"/>
      <c r="E346" s="726"/>
      <c r="F346" s="1726">
        <f t="shared" ref="F346:AI346" si="1012">F93*$H$33</f>
        <v>1683314.1938401901</v>
      </c>
      <c r="G346" s="1726">
        <f t="shared" si="1012"/>
        <v>1692362.2760487595</v>
      </c>
      <c r="H346" s="1726">
        <f t="shared" si="1012"/>
        <v>1701410.3582573286</v>
      </c>
      <c r="I346" s="1726">
        <f t="shared" si="1012"/>
        <v>1710458.440465898</v>
      </c>
      <c r="J346" s="1726">
        <f t="shared" si="1012"/>
        <v>1719506.5226744672</v>
      </c>
      <c r="K346" s="1726">
        <f t="shared" si="1012"/>
        <v>1728544.8442765549</v>
      </c>
      <c r="L346" s="1726">
        <f t="shared" si="1012"/>
        <v>1737612.4476980877</v>
      </c>
      <c r="M346" s="1726">
        <f t="shared" si="1012"/>
        <v>1746680.0511196202</v>
      </c>
      <c r="N346" s="1726">
        <f t="shared" si="1012"/>
        <v>1755747.654541153</v>
      </c>
      <c r="O346" s="1726">
        <f t="shared" si="1012"/>
        <v>1764815.2579626855</v>
      </c>
      <c r="P346" s="1726">
        <f t="shared" si="1012"/>
        <v>1773863.3401712549</v>
      </c>
      <c r="Q346" s="1726">
        <f t="shared" si="1012"/>
        <v>1779963.71922234</v>
      </c>
      <c r="R346" s="1726">
        <f t="shared" si="1012"/>
        <v>1786064.0982734249</v>
      </c>
      <c r="S346" s="1726">
        <f t="shared" si="1012"/>
        <v>1792164.47732451</v>
      </c>
      <c r="T346" s="1726">
        <f t="shared" si="1012"/>
        <v>1798264.8563755949</v>
      </c>
      <c r="U346" s="1726">
        <f t="shared" si="1012"/>
        <v>1804355.4748201983</v>
      </c>
      <c r="V346" s="1726">
        <f t="shared" si="1012"/>
        <v>1808035.2234638126</v>
      </c>
      <c r="W346" s="1726">
        <f t="shared" si="1012"/>
        <v>1811714.9721074274</v>
      </c>
      <c r="X346" s="1726">
        <f t="shared" si="1012"/>
        <v>1815394.7207510418</v>
      </c>
      <c r="Y346" s="1726">
        <f t="shared" si="1012"/>
        <v>1819074.4693946559</v>
      </c>
      <c r="Z346" s="1726">
        <f t="shared" si="1012"/>
        <v>1822744.4574317888</v>
      </c>
      <c r="AA346" s="1726">
        <f t="shared" si="1012"/>
        <v>1826424.2060754031</v>
      </c>
      <c r="AB346" s="1726">
        <f t="shared" si="1012"/>
        <v>1830103.954719018</v>
      </c>
      <c r="AC346" s="1726">
        <f t="shared" si="1012"/>
        <v>1833783.7033626323</v>
      </c>
      <c r="AD346" s="1726">
        <f t="shared" si="1012"/>
        <v>1837463.4520062467</v>
      </c>
      <c r="AE346" s="1726">
        <f t="shared" si="1012"/>
        <v>1841143.2006498615</v>
      </c>
      <c r="AF346" s="1726">
        <f t="shared" si="1012"/>
        <v>1844822.9492934758</v>
      </c>
      <c r="AG346" s="1726">
        <f t="shared" si="1012"/>
        <v>1848502.6979370899</v>
      </c>
      <c r="AH346" s="1726">
        <f t="shared" si="1012"/>
        <v>1852182.4465807048</v>
      </c>
      <c r="AI346" s="1726">
        <f t="shared" si="1012"/>
        <v>1855862.1952243191</v>
      </c>
    </row>
    <row r="347" spans="2:35" x14ac:dyDescent="0.35">
      <c r="B347" s="726" t="s">
        <v>277</v>
      </c>
      <c r="C347" s="726"/>
      <c r="D347" s="726"/>
      <c r="E347" s="726"/>
      <c r="F347" s="1726">
        <f t="shared" ref="F347:AI347" si="1013">F93*$H$34</f>
        <v>0</v>
      </c>
      <c r="G347" s="1726">
        <f t="shared" si="1013"/>
        <v>0</v>
      </c>
      <c r="H347" s="1726">
        <f t="shared" si="1013"/>
        <v>0</v>
      </c>
      <c r="I347" s="1726">
        <f t="shared" si="1013"/>
        <v>0</v>
      </c>
      <c r="J347" s="1726">
        <f t="shared" si="1013"/>
        <v>0</v>
      </c>
      <c r="K347" s="1726">
        <f t="shared" si="1013"/>
        <v>0</v>
      </c>
      <c r="L347" s="1726">
        <f t="shared" si="1013"/>
        <v>0</v>
      </c>
      <c r="M347" s="1726">
        <f t="shared" si="1013"/>
        <v>0</v>
      </c>
      <c r="N347" s="1726">
        <f t="shared" si="1013"/>
        <v>0</v>
      </c>
      <c r="O347" s="1726">
        <f t="shared" si="1013"/>
        <v>0</v>
      </c>
      <c r="P347" s="1726">
        <f t="shared" si="1013"/>
        <v>0</v>
      </c>
      <c r="Q347" s="1726">
        <f t="shared" si="1013"/>
        <v>0</v>
      </c>
      <c r="R347" s="1726">
        <f t="shared" si="1013"/>
        <v>0</v>
      </c>
      <c r="S347" s="1726">
        <f t="shared" si="1013"/>
        <v>0</v>
      </c>
      <c r="T347" s="1726">
        <f t="shared" si="1013"/>
        <v>0</v>
      </c>
      <c r="U347" s="1726">
        <f t="shared" si="1013"/>
        <v>0</v>
      </c>
      <c r="V347" s="1726">
        <f t="shared" si="1013"/>
        <v>0</v>
      </c>
      <c r="W347" s="1726">
        <f t="shared" si="1013"/>
        <v>0</v>
      </c>
      <c r="X347" s="1726">
        <f t="shared" si="1013"/>
        <v>0</v>
      </c>
      <c r="Y347" s="1726">
        <f t="shared" si="1013"/>
        <v>0</v>
      </c>
      <c r="Z347" s="1726">
        <f t="shared" si="1013"/>
        <v>0</v>
      </c>
      <c r="AA347" s="1726">
        <f t="shared" si="1013"/>
        <v>0</v>
      </c>
      <c r="AB347" s="1726">
        <f t="shared" si="1013"/>
        <v>0</v>
      </c>
      <c r="AC347" s="1726">
        <f t="shared" si="1013"/>
        <v>0</v>
      </c>
      <c r="AD347" s="1726">
        <f t="shared" si="1013"/>
        <v>0</v>
      </c>
      <c r="AE347" s="1726">
        <f t="shared" si="1013"/>
        <v>0</v>
      </c>
      <c r="AF347" s="1726">
        <f t="shared" si="1013"/>
        <v>0</v>
      </c>
      <c r="AG347" s="1726">
        <f t="shared" si="1013"/>
        <v>0</v>
      </c>
      <c r="AH347" s="1726">
        <f t="shared" si="1013"/>
        <v>0</v>
      </c>
      <c r="AI347" s="1726">
        <f t="shared" si="1013"/>
        <v>0</v>
      </c>
    </row>
    <row r="348" spans="2:35" x14ac:dyDescent="0.35">
      <c r="B348" s="726" t="s">
        <v>278</v>
      </c>
      <c r="C348" s="726"/>
      <c r="D348" s="726"/>
      <c r="E348" s="726"/>
      <c r="F348" s="1726">
        <f t="shared" ref="F348:AI348" si="1014">F93*$H$35</f>
        <v>520861.16291439132</v>
      </c>
      <c r="G348" s="1726">
        <f t="shared" si="1014"/>
        <v>523660.87472015293</v>
      </c>
      <c r="H348" s="1726">
        <f t="shared" si="1014"/>
        <v>526460.58652591438</v>
      </c>
      <c r="I348" s="1726">
        <f t="shared" si="1014"/>
        <v>529260.29833167605</v>
      </c>
      <c r="J348" s="1726">
        <f t="shared" si="1014"/>
        <v>532060.01013743761</v>
      </c>
      <c r="K348" s="1726">
        <f t="shared" si="1014"/>
        <v>534856.70175786398</v>
      </c>
      <c r="L348" s="1726">
        <f t="shared" si="1014"/>
        <v>537662.45393429603</v>
      </c>
      <c r="M348" s="1726">
        <f t="shared" si="1014"/>
        <v>540468.20611072797</v>
      </c>
      <c r="N348" s="1726">
        <f t="shared" si="1014"/>
        <v>543273.95828716003</v>
      </c>
      <c r="O348" s="1726">
        <f t="shared" si="1014"/>
        <v>546079.71046359208</v>
      </c>
      <c r="P348" s="1726">
        <f t="shared" si="1014"/>
        <v>548879.42226935364</v>
      </c>
      <c r="Q348" s="1726">
        <f t="shared" si="1014"/>
        <v>550767.03810387477</v>
      </c>
      <c r="R348" s="1726">
        <f t="shared" si="1014"/>
        <v>552654.65393839567</v>
      </c>
      <c r="S348" s="1726">
        <f t="shared" si="1014"/>
        <v>554542.26977291668</v>
      </c>
      <c r="T348" s="1726">
        <f t="shared" si="1014"/>
        <v>556429.8856074377</v>
      </c>
      <c r="U348" s="1726">
        <f t="shared" si="1014"/>
        <v>558314.48125662352</v>
      </c>
      <c r="V348" s="1726">
        <f t="shared" si="1014"/>
        <v>559453.09112800658</v>
      </c>
      <c r="W348" s="1726">
        <f t="shared" si="1014"/>
        <v>560591.70099938975</v>
      </c>
      <c r="X348" s="1726">
        <f t="shared" si="1014"/>
        <v>561730.31087077281</v>
      </c>
      <c r="Y348" s="1726">
        <f t="shared" si="1014"/>
        <v>562868.92074215575</v>
      </c>
      <c r="Z348" s="1726">
        <f t="shared" si="1014"/>
        <v>564004.51042820362</v>
      </c>
      <c r="AA348" s="1726">
        <f t="shared" si="1014"/>
        <v>565143.12029958668</v>
      </c>
      <c r="AB348" s="1726">
        <f t="shared" si="1014"/>
        <v>566281.73017096985</v>
      </c>
      <c r="AC348" s="1726">
        <f t="shared" si="1014"/>
        <v>567420.34004235291</v>
      </c>
      <c r="AD348" s="1726">
        <f t="shared" si="1014"/>
        <v>568558.94991373597</v>
      </c>
      <c r="AE348" s="1726">
        <f t="shared" si="1014"/>
        <v>569697.55978511914</v>
      </c>
      <c r="AF348" s="1726">
        <f t="shared" si="1014"/>
        <v>570836.1696565022</v>
      </c>
      <c r="AG348" s="1726">
        <f t="shared" si="1014"/>
        <v>571974.77952788514</v>
      </c>
      <c r="AH348" s="1726">
        <f t="shared" si="1014"/>
        <v>573113.38939926832</v>
      </c>
      <c r="AI348" s="1726">
        <f t="shared" si="1014"/>
        <v>574251.99927065137</v>
      </c>
    </row>
    <row r="349" spans="2:35" x14ac:dyDescent="0.35">
      <c r="B349" s="726" t="s">
        <v>279</v>
      </c>
      <c r="C349" s="726"/>
      <c r="D349" s="726"/>
      <c r="E349" s="726"/>
      <c r="F349" s="1726">
        <f t="shared" ref="F349:AI349" si="1015">F93*$H$36</f>
        <v>1992678.6264299557</v>
      </c>
      <c r="G349" s="1726">
        <f t="shared" si="1015"/>
        <v>2003389.5917941015</v>
      </c>
      <c r="H349" s="1726">
        <f t="shared" si="1015"/>
        <v>2014100.5571582469</v>
      </c>
      <c r="I349" s="1726">
        <f t="shared" si="1015"/>
        <v>2024811.5225223927</v>
      </c>
      <c r="J349" s="1726">
        <f t="shared" si="1015"/>
        <v>2035522.4878865385</v>
      </c>
      <c r="K349" s="1726">
        <f t="shared" si="1015"/>
        <v>2046221.8988112409</v>
      </c>
      <c r="L349" s="1726">
        <f t="shared" si="1015"/>
        <v>2056955.9730542738</v>
      </c>
      <c r="M349" s="1726">
        <f t="shared" si="1015"/>
        <v>2067690.0472973061</v>
      </c>
      <c r="N349" s="1726">
        <f t="shared" si="1015"/>
        <v>2078424.121540339</v>
      </c>
      <c r="O349" s="1726">
        <f t="shared" si="1015"/>
        <v>2089158.1957833716</v>
      </c>
      <c r="P349" s="1726">
        <f t="shared" si="1015"/>
        <v>2099869.1611475172</v>
      </c>
      <c r="Q349" s="1726">
        <f t="shared" si="1015"/>
        <v>2107090.6857997193</v>
      </c>
      <c r="R349" s="1726">
        <f t="shared" si="1015"/>
        <v>2114312.210451921</v>
      </c>
      <c r="S349" s="1726">
        <f t="shared" si="1015"/>
        <v>2121533.7351041227</v>
      </c>
      <c r="T349" s="1726">
        <f t="shared" si="1015"/>
        <v>2128755.2597563243</v>
      </c>
      <c r="U349" s="1726">
        <f t="shared" si="1015"/>
        <v>2135965.2299690829</v>
      </c>
      <c r="V349" s="1726">
        <f t="shared" si="1015"/>
        <v>2140321.253639291</v>
      </c>
      <c r="W349" s="1726">
        <f t="shared" si="1015"/>
        <v>2144677.2773094992</v>
      </c>
      <c r="X349" s="1726">
        <f t="shared" si="1015"/>
        <v>2149033.3009797074</v>
      </c>
      <c r="Y349" s="1726">
        <f t="shared" si="1015"/>
        <v>2153389.3246499151</v>
      </c>
      <c r="Z349" s="1726">
        <f t="shared" si="1015"/>
        <v>2157733.7938806801</v>
      </c>
      <c r="AA349" s="1726">
        <f t="shared" si="1015"/>
        <v>2162089.8175508883</v>
      </c>
      <c r="AB349" s="1726">
        <f t="shared" si="1015"/>
        <v>2166445.8412210965</v>
      </c>
      <c r="AC349" s="1726">
        <f t="shared" si="1015"/>
        <v>2170801.8648913046</v>
      </c>
      <c r="AD349" s="1726">
        <f t="shared" si="1015"/>
        <v>2175157.8885615123</v>
      </c>
      <c r="AE349" s="1726">
        <f t="shared" si="1015"/>
        <v>2179513.912231721</v>
      </c>
      <c r="AF349" s="1726">
        <f t="shared" si="1015"/>
        <v>2183869.9359019292</v>
      </c>
      <c r="AG349" s="1726">
        <f t="shared" si="1015"/>
        <v>2188225.9595721369</v>
      </c>
      <c r="AH349" s="1726">
        <f t="shared" si="1015"/>
        <v>2192581.983242345</v>
      </c>
      <c r="AI349" s="1726">
        <f t="shared" si="1015"/>
        <v>2196938.0069125532</v>
      </c>
    </row>
    <row r="350" spans="2:35" x14ac:dyDescent="0.35">
      <c r="B350" s="726" t="s">
        <v>280</v>
      </c>
      <c r="C350" s="726"/>
      <c r="D350" s="726"/>
      <c r="E350" s="726"/>
      <c r="F350" s="1726">
        <f t="shared" ref="F350:AI350" si="1016">F93*$H$37</f>
        <v>2011043.9121707645</v>
      </c>
      <c r="G350" s="1726">
        <f t="shared" si="1016"/>
        <v>2021853.5938742456</v>
      </c>
      <c r="H350" s="1726">
        <f t="shared" si="1016"/>
        <v>2032663.2755777261</v>
      </c>
      <c r="I350" s="1726">
        <f t="shared" si="1016"/>
        <v>2043472.957281207</v>
      </c>
      <c r="J350" s="1726">
        <f t="shared" si="1016"/>
        <v>2054282.6389846879</v>
      </c>
      <c r="K350" s="1726">
        <f t="shared" si="1016"/>
        <v>2065080.6597586074</v>
      </c>
      <c r="L350" s="1726">
        <f t="shared" si="1016"/>
        <v>2075913.6633212112</v>
      </c>
      <c r="M350" s="1726">
        <f t="shared" si="1016"/>
        <v>2086746.6668838146</v>
      </c>
      <c r="N350" s="1726">
        <f t="shared" si="1016"/>
        <v>2097579.6704464182</v>
      </c>
      <c r="O350" s="1726">
        <f t="shared" si="1016"/>
        <v>2108412.6740090218</v>
      </c>
      <c r="P350" s="1726">
        <f t="shared" si="1016"/>
        <v>2119222.3557125027</v>
      </c>
      <c r="Q350" s="1726">
        <f t="shared" si="1016"/>
        <v>2126510.4366884204</v>
      </c>
      <c r="R350" s="1726">
        <f t="shared" si="1016"/>
        <v>2133798.517664338</v>
      </c>
      <c r="S350" s="1726">
        <f t="shared" si="1016"/>
        <v>2141086.5986402552</v>
      </c>
      <c r="T350" s="1726">
        <f t="shared" si="1016"/>
        <v>2148374.6796161728</v>
      </c>
      <c r="U350" s="1726">
        <f t="shared" si="1016"/>
        <v>2155651.0996625288</v>
      </c>
      <c r="V350" s="1726">
        <f t="shared" si="1016"/>
        <v>2160047.2701072022</v>
      </c>
      <c r="W350" s="1726">
        <f t="shared" si="1016"/>
        <v>2164443.4405518761</v>
      </c>
      <c r="X350" s="1726">
        <f t="shared" si="1016"/>
        <v>2168839.610996549</v>
      </c>
      <c r="Y350" s="1726">
        <f t="shared" si="1016"/>
        <v>2173235.7814412224</v>
      </c>
      <c r="Z350" s="1726">
        <f t="shared" si="1016"/>
        <v>2177620.2909563342</v>
      </c>
      <c r="AA350" s="1726">
        <f t="shared" si="1016"/>
        <v>2182016.4614010076</v>
      </c>
      <c r="AB350" s="1726">
        <f t="shared" si="1016"/>
        <v>2186412.6318456815</v>
      </c>
      <c r="AC350" s="1726">
        <f t="shared" si="1016"/>
        <v>2190808.8022903549</v>
      </c>
      <c r="AD350" s="1726">
        <f t="shared" si="1016"/>
        <v>2195204.9727350282</v>
      </c>
      <c r="AE350" s="1726">
        <f t="shared" si="1016"/>
        <v>2199601.1431797016</v>
      </c>
      <c r="AF350" s="1726">
        <f t="shared" si="1016"/>
        <v>2203997.313624375</v>
      </c>
      <c r="AG350" s="1726">
        <f t="shared" si="1016"/>
        <v>2208393.484069048</v>
      </c>
      <c r="AH350" s="1726">
        <f t="shared" si="1016"/>
        <v>2212789.6545137218</v>
      </c>
      <c r="AI350" s="1726">
        <f t="shared" si="1016"/>
        <v>2217185.8249583952</v>
      </c>
    </row>
    <row r="351" spans="2:35" x14ac:dyDescent="0.35">
      <c r="B351" s="726" t="s">
        <v>281</v>
      </c>
      <c r="C351" s="726"/>
      <c r="D351" s="726"/>
      <c r="E351" s="726"/>
      <c r="F351" s="1726">
        <f t="shared" ref="F351:AI351" si="1017">F93*$H$38</f>
        <v>1245692.0626098427</v>
      </c>
      <c r="G351" s="1726">
        <f t="shared" si="1017"/>
        <v>1252387.8560810208</v>
      </c>
      <c r="H351" s="1726">
        <f t="shared" si="1017"/>
        <v>1259083.6495521984</v>
      </c>
      <c r="I351" s="1726">
        <f t="shared" si="1017"/>
        <v>1265779.4430233762</v>
      </c>
      <c r="J351" s="1726">
        <f t="shared" si="1017"/>
        <v>1272475.2364945542</v>
      </c>
      <c r="K351" s="1726">
        <f t="shared" si="1017"/>
        <v>1279163.8068875538</v>
      </c>
      <c r="L351" s="1726">
        <f t="shared" si="1017"/>
        <v>1285874.0465150881</v>
      </c>
      <c r="M351" s="1726">
        <f t="shared" si="1017"/>
        <v>1292584.2861426221</v>
      </c>
      <c r="N351" s="1726">
        <f t="shared" si="1017"/>
        <v>1299294.5257701562</v>
      </c>
      <c r="O351" s="1726">
        <f t="shared" si="1017"/>
        <v>1306004.7653976902</v>
      </c>
      <c r="P351" s="1726">
        <f t="shared" si="1017"/>
        <v>1312700.558868868</v>
      </c>
      <c r="Q351" s="1726">
        <f t="shared" si="1017"/>
        <v>1317214.982730234</v>
      </c>
      <c r="R351" s="1726">
        <f t="shared" si="1017"/>
        <v>1321729.4065915998</v>
      </c>
      <c r="S351" s="1726">
        <f t="shared" si="1017"/>
        <v>1326243.8304529656</v>
      </c>
      <c r="T351" s="1726">
        <f t="shared" si="1017"/>
        <v>1330758.2543143313</v>
      </c>
      <c r="U351" s="1726">
        <f t="shared" si="1017"/>
        <v>1335265.4550975191</v>
      </c>
      <c r="V351" s="1726">
        <f t="shared" si="1017"/>
        <v>1337988.5555706951</v>
      </c>
      <c r="W351" s="1726">
        <f t="shared" si="1017"/>
        <v>1340711.6560438711</v>
      </c>
      <c r="X351" s="1726">
        <f t="shared" si="1017"/>
        <v>1343434.7565170468</v>
      </c>
      <c r="Y351" s="1726">
        <f t="shared" si="1017"/>
        <v>1346157.8569902224</v>
      </c>
      <c r="Z351" s="1726">
        <f t="shared" si="1017"/>
        <v>1348873.7343852203</v>
      </c>
      <c r="AA351" s="1726">
        <f t="shared" si="1017"/>
        <v>1351596.8348583961</v>
      </c>
      <c r="AB351" s="1726">
        <f t="shared" si="1017"/>
        <v>1354319.9353315723</v>
      </c>
      <c r="AC351" s="1726">
        <f t="shared" si="1017"/>
        <v>1357043.0358047481</v>
      </c>
      <c r="AD351" s="1726">
        <f t="shared" si="1017"/>
        <v>1359766.1362779238</v>
      </c>
      <c r="AE351" s="1726">
        <f t="shared" si="1017"/>
        <v>1362489.2367510998</v>
      </c>
      <c r="AF351" s="1726">
        <f t="shared" si="1017"/>
        <v>1365212.3372242758</v>
      </c>
      <c r="AG351" s="1726">
        <f t="shared" si="1017"/>
        <v>1367935.4376974513</v>
      </c>
      <c r="AH351" s="1726">
        <f t="shared" si="1017"/>
        <v>1370658.5381706273</v>
      </c>
      <c r="AI351" s="1726">
        <f t="shared" si="1017"/>
        <v>1373381.6386438031</v>
      </c>
    </row>
    <row r="352" spans="2:35" x14ac:dyDescent="0.35">
      <c r="B352" s="726" t="s">
        <v>282</v>
      </c>
      <c r="C352" s="726"/>
      <c r="D352" s="726"/>
      <c r="E352" s="726"/>
      <c r="F352" s="1726">
        <f t="shared" ref="F352:AI352" si="1018">F93*$H$39</f>
        <v>1146510.4948990371</v>
      </c>
      <c r="G352" s="1726">
        <f t="shared" si="1018"/>
        <v>1152673.1716285476</v>
      </c>
      <c r="H352" s="1726">
        <f t="shared" si="1018"/>
        <v>1158835.8483580581</v>
      </c>
      <c r="I352" s="1726">
        <f t="shared" si="1018"/>
        <v>1164998.5250875689</v>
      </c>
      <c r="J352" s="1726">
        <f t="shared" si="1018"/>
        <v>1171161.2018170797</v>
      </c>
      <c r="K352" s="1726">
        <f t="shared" si="1018"/>
        <v>1177317.2305673782</v>
      </c>
      <c r="L352" s="1726">
        <f t="shared" si="1018"/>
        <v>1183493.203255313</v>
      </c>
      <c r="M352" s="1726">
        <f t="shared" si="1018"/>
        <v>1189669.1759432475</v>
      </c>
      <c r="N352" s="1726">
        <f t="shared" si="1018"/>
        <v>1195845.148631182</v>
      </c>
      <c r="O352" s="1726">
        <f t="shared" si="1018"/>
        <v>1202021.1213191166</v>
      </c>
      <c r="P352" s="1726">
        <f t="shared" si="1018"/>
        <v>1208183.7980486273</v>
      </c>
      <c r="Q352" s="1726">
        <f t="shared" si="1018"/>
        <v>1212338.7850561184</v>
      </c>
      <c r="R352" s="1726">
        <f t="shared" si="1018"/>
        <v>1216493.7720636094</v>
      </c>
      <c r="S352" s="1726">
        <f t="shared" si="1018"/>
        <v>1220648.7590711003</v>
      </c>
      <c r="T352" s="1726">
        <f t="shared" si="1018"/>
        <v>1224803.7460785913</v>
      </c>
      <c r="U352" s="1726">
        <f t="shared" si="1018"/>
        <v>1228952.0851068704</v>
      </c>
      <c r="V352" s="1726">
        <f t="shared" si="1018"/>
        <v>1231458.3732697889</v>
      </c>
      <c r="W352" s="1726">
        <f t="shared" si="1018"/>
        <v>1233964.6614327077</v>
      </c>
      <c r="X352" s="1726">
        <f t="shared" si="1018"/>
        <v>1236470.9495956262</v>
      </c>
      <c r="Y352" s="1726">
        <f t="shared" si="1018"/>
        <v>1238977.2377585445</v>
      </c>
      <c r="Z352" s="1726">
        <f t="shared" si="1018"/>
        <v>1241476.8779422513</v>
      </c>
      <c r="AA352" s="1726">
        <f t="shared" si="1018"/>
        <v>1243983.1661051698</v>
      </c>
      <c r="AB352" s="1726">
        <f t="shared" si="1018"/>
        <v>1246489.4542680886</v>
      </c>
      <c r="AC352" s="1726">
        <f t="shared" si="1018"/>
        <v>1248995.7424310071</v>
      </c>
      <c r="AD352" s="1726">
        <f t="shared" si="1018"/>
        <v>1251502.0305939256</v>
      </c>
      <c r="AE352" s="1726">
        <f t="shared" si="1018"/>
        <v>1254008.3187568444</v>
      </c>
      <c r="AF352" s="1726">
        <f t="shared" si="1018"/>
        <v>1256514.6069197629</v>
      </c>
      <c r="AG352" s="1726">
        <f t="shared" si="1018"/>
        <v>1259020.8950826812</v>
      </c>
      <c r="AH352" s="1726">
        <f t="shared" si="1018"/>
        <v>1261527.1832456</v>
      </c>
      <c r="AI352" s="1726">
        <f t="shared" si="1018"/>
        <v>1264033.4714085185</v>
      </c>
    </row>
    <row r="353" spans="2:35" x14ac:dyDescent="0.35">
      <c r="B353" s="726" t="s">
        <v>283</v>
      </c>
      <c r="C353" s="726"/>
      <c r="D353" s="726"/>
      <c r="E353" s="726"/>
      <c r="F353" s="1726">
        <f t="shared" ref="F353:AI353" si="1019">F93*$H$40</f>
        <v>139161.03495001153</v>
      </c>
      <c r="G353" s="1726">
        <f t="shared" si="1019"/>
        <v>139909.04770310593</v>
      </c>
      <c r="H353" s="1726">
        <f t="shared" si="1019"/>
        <v>140657.0604562003</v>
      </c>
      <c r="I353" s="1726">
        <f t="shared" si="1019"/>
        <v>141405.07320929473</v>
      </c>
      <c r="J353" s="1726">
        <f t="shared" si="1019"/>
        <v>142153.08596238913</v>
      </c>
      <c r="K353" s="1726">
        <f t="shared" si="1019"/>
        <v>142900.2917977348</v>
      </c>
      <c r="L353" s="1726">
        <f t="shared" si="1019"/>
        <v>143649.9183863267</v>
      </c>
      <c r="M353" s="1726">
        <f t="shared" si="1019"/>
        <v>144399.54497491859</v>
      </c>
      <c r="N353" s="1726">
        <f t="shared" si="1019"/>
        <v>145149.17156351052</v>
      </c>
      <c r="O353" s="1726">
        <f t="shared" si="1019"/>
        <v>145898.79815210239</v>
      </c>
      <c r="P353" s="1726">
        <f t="shared" si="1019"/>
        <v>146646.81090519682</v>
      </c>
      <c r="Q353" s="1726">
        <f t="shared" si="1019"/>
        <v>147151.1344981677</v>
      </c>
      <c r="R353" s="1726">
        <f t="shared" si="1019"/>
        <v>147655.45809113857</v>
      </c>
      <c r="S353" s="1726">
        <f t="shared" si="1019"/>
        <v>148159.78168410945</v>
      </c>
      <c r="T353" s="1726">
        <f t="shared" si="1019"/>
        <v>148664.10527708029</v>
      </c>
      <c r="U353" s="1726">
        <f t="shared" si="1019"/>
        <v>149167.62195230243</v>
      </c>
      <c r="V353" s="1726">
        <f t="shared" si="1019"/>
        <v>149471.82994358247</v>
      </c>
      <c r="W353" s="1726">
        <f t="shared" si="1019"/>
        <v>149776.03793486251</v>
      </c>
      <c r="X353" s="1726">
        <f t="shared" si="1019"/>
        <v>150080.24592614255</v>
      </c>
      <c r="Y353" s="1726">
        <f t="shared" si="1019"/>
        <v>150384.45391742254</v>
      </c>
      <c r="Z353" s="1726">
        <f t="shared" si="1019"/>
        <v>150687.85499095384</v>
      </c>
      <c r="AA353" s="1726">
        <f t="shared" si="1019"/>
        <v>150992.06298223388</v>
      </c>
      <c r="AB353" s="1726">
        <f t="shared" si="1019"/>
        <v>151296.27097351392</v>
      </c>
      <c r="AC353" s="1726">
        <f t="shared" si="1019"/>
        <v>151600.47896479396</v>
      </c>
      <c r="AD353" s="1726">
        <f t="shared" si="1019"/>
        <v>151904.68695607397</v>
      </c>
      <c r="AE353" s="1726">
        <f t="shared" si="1019"/>
        <v>152208.89494735404</v>
      </c>
      <c r="AF353" s="1726">
        <f t="shared" si="1019"/>
        <v>152513.10293863405</v>
      </c>
      <c r="AG353" s="1726">
        <f t="shared" si="1019"/>
        <v>152817.31092991406</v>
      </c>
      <c r="AH353" s="1726">
        <f t="shared" si="1019"/>
        <v>153121.5189211941</v>
      </c>
      <c r="AI353" s="1726">
        <f t="shared" si="1019"/>
        <v>153425.72691247414</v>
      </c>
    </row>
    <row r="354" spans="2:35" x14ac:dyDescent="0.35">
      <c r="B354" s="726" t="s">
        <v>12</v>
      </c>
      <c r="C354" s="726"/>
      <c r="D354" s="726"/>
      <c r="E354" s="726"/>
      <c r="F354" s="1726">
        <f t="shared" ref="F354:AI354" si="1020">F93*$H$41</f>
        <v>748234.57069948933</v>
      </c>
      <c r="G354" s="1726">
        <f t="shared" si="1020"/>
        <v>752256.45082843769</v>
      </c>
      <c r="H354" s="1726">
        <f t="shared" si="1020"/>
        <v>756278.33095738583</v>
      </c>
      <c r="I354" s="1726">
        <f t="shared" si="1020"/>
        <v>760300.21108633419</v>
      </c>
      <c r="J354" s="1726">
        <f t="shared" si="1020"/>
        <v>764322.09121528256</v>
      </c>
      <c r="K354" s="1726">
        <f t="shared" si="1020"/>
        <v>768339.63274646515</v>
      </c>
      <c r="L354" s="1726">
        <f t="shared" si="1020"/>
        <v>772370.19007094519</v>
      </c>
      <c r="M354" s="1726">
        <f t="shared" si="1020"/>
        <v>776400.7473954251</v>
      </c>
      <c r="N354" s="1726">
        <f t="shared" si="1020"/>
        <v>780431.30471990514</v>
      </c>
      <c r="O354" s="1726">
        <f t="shared" si="1020"/>
        <v>784461.86204438505</v>
      </c>
      <c r="P354" s="1726">
        <f t="shared" si="1020"/>
        <v>788483.74217333342</v>
      </c>
      <c r="Q354" s="1726">
        <f t="shared" si="1020"/>
        <v>791195.36577699333</v>
      </c>
      <c r="R354" s="1726">
        <f t="shared" si="1020"/>
        <v>793906.98938065325</v>
      </c>
      <c r="S354" s="1726">
        <f t="shared" si="1020"/>
        <v>796618.61298431305</v>
      </c>
      <c r="T354" s="1726">
        <f t="shared" si="1020"/>
        <v>799330.23658797285</v>
      </c>
      <c r="U354" s="1726">
        <f t="shared" si="1020"/>
        <v>802037.52159386699</v>
      </c>
      <c r="V354" s="1726">
        <f t="shared" si="1020"/>
        <v>803673.17295159458</v>
      </c>
      <c r="W354" s="1726">
        <f t="shared" si="1020"/>
        <v>805308.82430932228</v>
      </c>
      <c r="X354" s="1726">
        <f t="shared" si="1020"/>
        <v>806944.47566704988</v>
      </c>
      <c r="Y354" s="1726">
        <f t="shared" si="1020"/>
        <v>808580.12702477735</v>
      </c>
      <c r="Z354" s="1726">
        <f t="shared" si="1020"/>
        <v>810211.43978473928</v>
      </c>
      <c r="AA354" s="1726">
        <f t="shared" si="1020"/>
        <v>811847.09114246687</v>
      </c>
      <c r="AB354" s="1726">
        <f t="shared" si="1020"/>
        <v>813482.74250019458</v>
      </c>
      <c r="AC354" s="1726">
        <f t="shared" si="1020"/>
        <v>815118.39385792217</v>
      </c>
      <c r="AD354" s="1726">
        <f t="shared" si="1020"/>
        <v>816754.04521564976</v>
      </c>
      <c r="AE354" s="1726">
        <f t="shared" si="1020"/>
        <v>818389.69657337747</v>
      </c>
      <c r="AF354" s="1726">
        <f t="shared" si="1020"/>
        <v>820025.34793110518</v>
      </c>
      <c r="AG354" s="1726">
        <f t="shared" si="1020"/>
        <v>821660.99928883254</v>
      </c>
      <c r="AH354" s="1726">
        <f t="shared" si="1020"/>
        <v>823296.65064656036</v>
      </c>
      <c r="AI354" s="1726">
        <f t="shared" si="1020"/>
        <v>824932.30200428795</v>
      </c>
    </row>
    <row r="355" spans="2:35" x14ac:dyDescent="0.35">
      <c r="B355" s="726" t="s">
        <v>13</v>
      </c>
      <c r="C355" s="726"/>
      <c r="D355" s="726"/>
      <c r="E355" s="726"/>
      <c r="F355" s="1726">
        <f t="shared" ref="F355:AI355" si="1021">F93*$H$42</f>
        <v>135056.83291940717</v>
      </c>
      <c r="G355" s="1726">
        <f t="shared" si="1021"/>
        <v>135782.78493214224</v>
      </c>
      <c r="H355" s="1726">
        <f t="shared" si="1021"/>
        <v>136508.73694487731</v>
      </c>
      <c r="I355" s="1726">
        <f t="shared" si="1021"/>
        <v>137234.68895761238</v>
      </c>
      <c r="J355" s="1726">
        <f t="shared" si="1021"/>
        <v>137960.64097034748</v>
      </c>
      <c r="K355" s="1726">
        <f t="shared" si="1021"/>
        <v>138685.80986332771</v>
      </c>
      <c r="L355" s="1726">
        <f t="shared" si="1021"/>
        <v>139413.32811557245</v>
      </c>
      <c r="M355" s="1726">
        <f t="shared" si="1021"/>
        <v>140140.8463678172</v>
      </c>
      <c r="N355" s="1726">
        <f t="shared" si="1021"/>
        <v>140868.36462006194</v>
      </c>
      <c r="O355" s="1726">
        <f t="shared" si="1021"/>
        <v>141595.88287230668</v>
      </c>
      <c r="P355" s="1726">
        <f t="shared" si="1021"/>
        <v>142321.83488504175</v>
      </c>
      <c r="Q355" s="1726">
        <f t="shared" si="1021"/>
        <v>142811.28473181569</v>
      </c>
      <c r="R355" s="1726">
        <f t="shared" si="1021"/>
        <v>143300.73457858959</v>
      </c>
      <c r="S355" s="1726">
        <f t="shared" si="1021"/>
        <v>143790.18442536349</v>
      </c>
      <c r="T355" s="1726">
        <f t="shared" si="1021"/>
        <v>144279.63427213739</v>
      </c>
      <c r="U355" s="1726">
        <f t="shared" si="1021"/>
        <v>144768.30099915649</v>
      </c>
      <c r="V355" s="1726">
        <f t="shared" si="1021"/>
        <v>145063.53714673052</v>
      </c>
      <c r="W355" s="1726">
        <f t="shared" si="1021"/>
        <v>145358.77329430456</v>
      </c>
      <c r="X355" s="1726">
        <f t="shared" si="1021"/>
        <v>145654.00944187859</v>
      </c>
      <c r="Y355" s="1726">
        <f t="shared" si="1021"/>
        <v>145949.24558945259</v>
      </c>
      <c r="Z355" s="1726">
        <f t="shared" si="1021"/>
        <v>146243.69861727179</v>
      </c>
      <c r="AA355" s="1726">
        <f t="shared" si="1021"/>
        <v>146538.93476484582</v>
      </c>
      <c r="AB355" s="1726">
        <f t="shared" si="1021"/>
        <v>146834.17091241985</v>
      </c>
      <c r="AC355" s="1726">
        <f t="shared" si="1021"/>
        <v>147129.40705999389</v>
      </c>
      <c r="AD355" s="1726">
        <f t="shared" si="1021"/>
        <v>147424.64320756789</v>
      </c>
      <c r="AE355" s="1726">
        <f t="shared" si="1021"/>
        <v>147719.87935514195</v>
      </c>
      <c r="AF355" s="1726">
        <f t="shared" si="1021"/>
        <v>148015.11550271595</v>
      </c>
      <c r="AG355" s="1726">
        <f t="shared" si="1021"/>
        <v>148310.35165028996</v>
      </c>
      <c r="AH355" s="1726">
        <f t="shared" si="1021"/>
        <v>148605.58779786399</v>
      </c>
      <c r="AI355" s="1726">
        <f t="shared" si="1021"/>
        <v>148900.82394543802</v>
      </c>
    </row>
    <row r="356" spans="2:35" x14ac:dyDescent="0.35">
      <c r="B356" s="726" t="s">
        <v>14</v>
      </c>
      <c r="C356" s="726"/>
      <c r="D356" s="726"/>
      <c r="E356" s="726"/>
      <c r="F356" s="1726">
        <f t="shared" ref="F356:AI356" si="1022">F93*$H$43</f>
        <v>235610.09538495122</v>
      </c>
      <c r="G356" s="1726">
        <f t="shared" si="1022"/>
        <v>236876.53721738685</v>
      </c>
      <c r="H356" s="1726">
        <f t="shared" si="1022"/>
        <v>238142.97904982246</v>
      </c>
      <c r="I356" s="1726">
        <f t="shared" si="1022"/>
        <v>239409.4208822581</v>
      </c>
      <c r="J356" s="1726">
        <f t="shared" si="1022"/>
        <v>240675.86271469377</v>
      </c>
      <c r="K356" s="1726">
        <f t="shared" si="1022"/>
        <v>241940.93837471039</v>
      </c>
      <c r="L356" s="1726">
        <f t="shared" si="1022"/>
        <v>243210.11255198409</v>
      </c>
      <c r="M356" s="1726">
        <f t="shared" si="1022"/>
        <v>244479.28672925773</v>
      </c>
      <c r="N356" s="1726">
        <f t="shared" si="1022"/>
        <v>245748.46090653143</v>
      </c>
      <c r="O356" s="1726">
        <f t="shared" si="1022"/>
        <v>247017.63508380507</v>
      </c>
      <c r="P356" s="1726">
        <f t="shared" si="1022"/>
        <v>248284.07691624071</v>
      </c>
      <c r="Q356" s="1726">
        <f t="shared" si="1022"/>
        <v>249137.93467813102</v>
      </c>
      <c r="R356" s="1726">
        <f t="shared" si="1022"/>
        <v>249991.79244002127</v>
      </c>
      <c r="S356" s="1726">
        <f t="shared" si="1022"/>
        <v>250845.65020191151</v>
      </c>
      <c r="T356" s="1726">
        <f t="shared" si="1022"/>
        <v>251699.50796380176</v>
      </c>
      <c r="U356" s="1726">
        <f t="shared" si="1022"/>
        <v>252551.99955327302</v>
      </c>
      <c r="V356" s="1726">
        <f t="shared" si="1022"/>
        <v>253067.04655524521</v>
      </c>
      <c r="W356" s="1726">
        <f t="shared" si="1022"/>
        <v>253582.09355721745</v>
      </c>
      <c r="X356" s="1726">
        <f t="shared" si="1022"/>
        <v>254097.14055918966</v>
      </c>
      <c r="Y356" s="1726">
        <f t="shared" si="1022"/>
        <v>254612.18756116182</v>
      </c>
      <c r="Z356" s="1726">
        <f t="shared" si="1022"/>
        <v>255125.86839071501</v>
      </c>
      <c r="AA356" s="1726">
        <f t="shared" si="1022"/>
        <v>255640.91539268722</v>
      </c>
      <c r="AB356" s="1726">
        <f t="shared" si="1022"/>
        <v>256155.96239465947</v>
      </c>
      <c r="AC356" s="1726">
        <f t="shared" si="1022"/>
        <v>256671.00939663165</v>
      </c>
      <c r="AD356" s="1726">
        <f t="shared" si="1022"/>
        <v>257186.05639860386</v>
      </c>
      <c r="AE356" s="1726">
        <f t="shared" si="1022"/>
        <v>257701.10340057607</v>
      </c>
      <c r="AF356" s="1726">
        <f t="shared" si="1022"/>
        <v>258216.15040254829</v>
      </c>
      <c r="AG356" s="1726">
        <f t="shared" si="1022"/>
        <v>258731.19740452044</v>
      </c>
      <c r="AH356" s="1726">
        <f t="shared" si="1022"/>
        <v>259246.24440649268</v>
      </c>
      <c r="AI356" s="1726">
        <f t="shared" si="1022"/>
        <v>259761.29140846487</v>
      </c>
    </row>
    <row r="357" spans="2:35" x14ac:dyDescent="0.35">
      <c r="B357" s="1733" t="s">
        <v>200</v>
      </c>
      <c r="C357" s="1733"/>
      <c r="D357" s="1733"/>
      <c r="E357" s="1733"/>
      <c r="F357" s="1734">
        <f>SUM(F346:F356)</f>
        <v>9858162.9868180417</v>
      </c>
      <c r="G357" s="1734">
        <f t="shared" ref="G357" si="1023">SUM(G346:G356)</f>
        <v>9911152.1848278996</v>
      </c>
      <c r="H357" s="1734">
        <f t="shared" ref="H357" si="1024">SUM(H346:H356)</f>
        <v>9964141.3828377575</v>
      </c>
      <c r="I357" s="1734">
        <f t="shared" ref="I357" si="1025">SUM(I346:I356)</f>
        <v>10017130.580847621</v>
      </c>
      <c r="J357" s="1734">
        <f t="shared" ref="J357" si="1026">SUM(J346:J356)</f>
        <v>10070119.778857477</v>
      </c>
      <c r="K357" s="1734">
        <f t="shared" ref="K357" si="1027">SUM(K346:K356)</f>
        <v>10123051.814841438</v>
      </c>
      <c r="L357" s="1734">
        <f t="shared" ref="L357" si="1028">SUM(L346:L356)</f>
        <v>10176155.336903099</v>
      </c>
      <c r="M357" s="1734">
        <f t="shared" ref="M357" si="1029">SUM(M346:M356)</f>
        <v>10229258.858964756</v>
      </c>
      <c r="N357" s="1734">
        <f t="shared" ref="N357" si="1030">SUM(N346:N356)</f>
        <v>10282362.381026415</v>
      </c>
      <c r="O357" s="1734">
        <f t="shared" ref="O357" si="1031">SUM(O346:O356)</f>
        <v>10335465.903088076</v>
      </c>
      <c r="P357" s="1734">
        <f t="shared" ref="P357" si="1032">SUM(P346:P356)</f>
        <v>10388455.101097936</v>
      </c>
      <c r="Q357" s="1734">
        <f t="shared" ref="Q357" si="1033">SUM(Q346:Q356)</f>
        <v>10424181.367285816</v>
      </c>
      <c r="R357" s="1734">
        <f t="shared" ref="R357" si="1034">SUM(R346:R356)</f>
        <v>10459907.633473691</v>
      </c>
      <c r="S357" s="1734">
        <f t="shared" ref="S357" si="1035">SUM(S346:S356)</f>
        <v>10495633.899661567</v>
      </c>
      <c r="T357" s="1734">
        <f t="shared" ref="T357" si="1036">SUM(T346:T356)</f>
        <v>10531360.165849445</v>
      </c>
      <c r="U357" s="1734">
        <f t="shared" ref="U357" si="1037">SUM(U346:U356)</f>
        <v>10567029.270011421</v>
      </c>
      <c r="V357" s="1734">
        <f t="shared" ref="V357" si="1038">SUM(V346:V356)</f>
        <v>10588579.353775948</v>
      </c>
      <c r="W357" s="1734">
        <f t="shared" ref="W357" si="1039">SUM(W346:W356)</f>
        <v>10610129.437540479</v>
      </c>
      <c r="X357" s="1734">
        <f t="shared" ref="X357" si="1040">SUM(X346:X356)</f>
        <v>10631679.521305004</v>
      </c>
      <c r="Y357" s="1734">
        <f t="shared" ref="Y357" si="1041">SUM(Y346:Y356)</f>
        <v>10653229.605069531</v>
      </c>
      <c r="Z357" s="1734">
        <f t="shared" ref="Z357" si="1042">SUM(Z346:Z356)</f>
        <v>10674722.526808158</v>
      </c>
      <c r="AA357" s="1734">
        <f t="shared" ref="AA357" si="1043">SUM(AA346:AA356)</f>
        <v>10696272.610572685</v>
      </c>
      <c r="AB357" s="1734">
        <f t="shared" ref="AB357" si="1044">SUM(AB346:AB356)</f>
        <v>10717822.694337217</v>
      </c>
      <c r="AC357" s="1734">
        <f t="shared" ref="AC357" si="1045">SUM(AC346:AC356)</f>
        <v>10739372.778101742</v>
      </c>
      <c r="AD357" s="1734">
        <f t="shared" ref="AD357" si="1046">SUM(AD346:AD356)</f>
        <v>10760922.861866269</v>
      </c>
      <c r="AE357" s="1734">
        <f t="shared" ref="AE357" si="1047">SUM(AE346:AE356)</f>
        <v>10782472.945630796</v>
      </c>
      <c r="AF357" s="1734">
        <f t="shared" ref="AF357" si="1048">SUM(AF346:AF356)</f>
        <v>10804023.029395323</v>
      </c>
      <c r="AG357" s="1734">
        <f t="shared" ref="AG357" si="1049">SUM(AG346:AG356)</f>
        <v>10825573.11315985</v>
      </c>
      <c r="AH357" s="1734">
        <f t="shared" ref="AH357" si="1050">SUM(AH346:AH356)</f>
        <v>10847123.196924379</v>
      </c>
      <c r="AI357" s="1734">
        <f t="shared" ref="AI357" si="1051">SUM(AI346:AI356)</f>
        <v>10868673.280688906</v>
      </c>
    </row>
    <row r="358" spans="2:35" x14ac:dyDescent="0.35">
      <c r="E358" s="281" t="s">
        <v>332</v>
      </c>
      <c r="F358" s="1725">
        <f t="shared" ref="F358:AI358" si="1052">F357-F93</f>
        <v>0</v>
      </c>
      <c r="G358" s="1725">
        <f t="shared" si="1052"/>
        <v>0</v>
      </c>
      <c r="H358" s="1725">
        <f t="shared" si="1052"/>
        <v>0</v>
      </c>
      <c r="I358" s="1725">
        <f t="shared" si="1052"/>
        <v>0</v>
      </c>
      <c r="J358" s="1725">
        <f t="shared" si="1052"/>
        <v>0</v>
      </c>
      <c r="K358" s="1725">
        <f t="shared" si="1052"/>
        <v>0</v>
      </c>
      <c r="L358" s="1725">
        <f t="shared" si="1052"/>
        <v>0</v>
      </c>
      <c r="M358" s="1725">
        <f t="shared" si="1052"/>
        <v>0</v>
      </c>
      <c r="N358" s="1725">
        <f t="shared" si="1052"/>
        <v>0</v>
      </c>
      <c r="O358" s="1725">
        <f t="shared" si="1052"/>
        <v>0</v>
      </c>
      <c r="P358" s="1725">
        <f t="shared" si="1052"/>
        <v>0</v>
      </c>
      <c r="Q358" s="1725">
        <f t="shared" si="1052"/>
        <v>0</v>
      </c>
      <c r="R358" s="1725">
        <f t="shared" si="1052"/>
        <v>0</v>
      </c>
      <c r="S358" s="1725">
        <f t="shared" si="1052"/>
        <v>0</v>
      </c>
      <c r="T358" s="1725">
        <f t="shared" si="1052"/>
        <v>0</v>
      </c>
      <c r="U358" s="1725">
        <f t="shared" si="1052"/>
        <v>0</v>
      </c>
      <c r="V358" s="1725">
        <f t="shared" si="1052"/>
        <v>0</v>
      </c>
      <c r="W358" s="1725">
        <f t="shared" si="1052"/>
        <v>0</v>
      </c>
      <c r="X358" s="1725">
        <f t="shared" si="1052"/>
        <v>0</v>
      </c>
      <c r="Y358" s="1725">
        <f t="shared" si="1052"/>
        <v>0</v>
      </c>
      <c r="Z358" s="1725">
        <f t="shared" si="1052"/>
        <v>0</v>
      </c>
      <c r="AA358" s="1725">
        <f t="shared" si="1052"/>
        <v>0</v>
      </c>
      <c r="AB358" s="1725">
        <f t="shared" si="1052"/>
        <v>0</v>
      </c>
      <c r="AC358" s="1725">
        <f t="shared" si="1052"/>
        <v>0</v>
      </c>
      <c r="AD358" s="1725">
        <f t="shared" si="1052"/>
        <v>0</v>
      </c>
      <c r="AE358" s="1725">
        <f t="shared" si="1052"/>
        <v>0</v>
      </c>
      <c r="AF358" s="1725">
        <f t="shared" si="1052"/>
        <v>0</v>
      </c>
      <c r="AG358" s="1725">
        <f t="shared" si="1052"/>
        <v>0</v>
      </c>
      <c r="AH358" s="1725">
        <f t="shared" si="1052"/>
        <v>0</v>
      </c>
      <c r="AI358" s="1725">
        <f t="shared" si="1052"/>
        <v>0</v>
      </c>
    </row>
    <row r="359" spans="2:35" ht="15.5" x14ac:dyDescent="0.35">
      <c r="B359" s="86" t="s">
        <v>7</v>
      </c>
    </row>
    <row r="360" spans="2:35" x14ac:dyDescent="0.35">
      <c r="B360" s="1731" t="s">
        <v>273</v>
      </c>
      <c r="C360" s="1731"/>
      <c r="D360" s="1731"/>
      <c r="E360" s="1731"/>
      <c r="F360" s="1732">
        <v>1</v>
      </c>
      <c r="G360" s="1732">
        <f>F360+1</f>
        <v>2</v>
      </c>
      <c r="H360" s="1732">
        <f t="shared" ref="H360" si="1053">G360+1</f>
        <v>3</v>
      </c>
      <c r="I360" s="1732">
        <f t="shared" ref="I360" si="1054">H360+1</f>
        <v>4</v>
      </c>
      <c r="J360" s="1732">
        <f t="shared" ref="J360" si="1055">I360+1</f>
        <v>5</v>
      </c>
      <c r="K360" s="1732">
        <f t="shared" ref="K360" si="1056">J360+1</f>
        <v>6</v>
      </c>
      <c r="L360" s="1732">
        <f t="shared" ref="L360" si="1057">K360+1</f>
        <v>7</v>
      </c>
      <c r="M360" s="1732">
        <f t="shared" ref="M360" si="1058">L360+1</f>
        <v>8</v>
      </c>
      <c r="N360" s="1732">
        <f t="shared" ref="N360" si="1059">M360+1</f>
        <v>9</v>
      </c>
      <c r="O360" s="1732">
        <f t="shared" ref="O360" si="1060">N360+1</f>
        <v>10</v>
      </c>
      <c r="P360" s="1732">
        <f t="shared" ref="P360" si="1061">O360+1</f>
        <v>11</v>
      </c>
      <c r="Q360" s="1732">
        <f t="shared" ref="Q360" si="1062">P360+1</f>
        <v>12</v>
      </c>
      <c r="R360" s="1732">
        <f t="shared" ref="R360" si="1063">Q360+1</f>
        <v>13</v>
      </c>
      <c r="S360" s="1732">
        <f t="shared" ref="S360" si="1064">R360+1</f>
        <v>14</v>
      </c>
      <c r="T360" s="1732">
        <f t="shared" ref="T360" si="1065">S360+1</f>
        <v>15</v>
      </c>
      <c r="U360" s="1732">
        <f t="shared" ref="U360" si="1066">T360+1</f>
        <v>16</v>
      </c>
      <c r="V360" s="1732">
        <f t="shared" ref="V360" si="1067">U360+1</f>
        <v>17</v>
      </c>
      <c r="W360" s="1732">
        <f t="shared" ref="W360" si="1068">V360+1</f>
        <v>18</v>
      </c>
      <c r="X360" s="1732">
        <f t="shared" ref="X360" si="1069">W360+1</f>
        <v>19</v>
      </c>
      <c r="Y360" s="1732">
        <f t="shared" ref="Y360" si="1070">X360+1</f>
        <v>20</v>
      </c>
      <c r="Z360" s="1732">
        <f t="shared" ref="Z360" si="1071">Y360+1</f>
        <v>21</v>
      </c>
      <c r="AA360" s="1732">
        <f t="shared" ref="AA360" si="1072">Z360+1</f>
        <v>22</v>
      </c>
      <c r="AB360" s="1732">
        <f t="shared" ref="AB360" si="1073">AA360+1</f>
        <v>23</v>
      </c>
      <c r="AC360" s="1732">
        <f t="shared" ref="AC360" si="1074">AB360+1</f>
        <v>24</v>
      </c>
      <c r="AD360" s="1732">
        <f t="shared" ref="AD360" si="1075">AC360+1</f>
        <v>25</v>
      </c>
      <c r="AE360" s="1732">
        <f t="shared" ref="AE360" si="1076">AD360+1</f>
        <v>26</v>
      </c>
      <c r="AF360" s="1732">
        <f t="shared" ref="AF360" si="1077">AE360+1</f>
        <v>27</v>
      </c>
      <c r="AG360" s="1732">
        <f t="shared" ref="AG360" si="1078">AF360+1</f>
        <v>28</v>
      </c>
      <c r="AH360" s="1732">
        <f t="shared" ref="AH360" si="1079">AG360+1</f>
        <v>29</v>
      </c>
      <c r="AI360" s="1732">
        <f t="shared" ref="AI360" si="1080">AH360+1</f>
        <v>30</v>
      </c>
    </row>
    <row r="361" spans="2:35" x14ac:dyDescent="0.35">
      <c r="B361" s="726" t="s">
        <v>276</v>
      </c>
      <c r="C361" s="726"/>
      <c r="D361" s="726"/>
      <c r="E361" s="726"/>
      <c r="F361" s="1726">
        <f t="shared" ref="F361:AI361" si="1081">F94*$I$33</f>
        <v>245103.65654068824</v>
      </c>
      <c r="G361" s="1726">
        <f t="shared" si="1081"/>
        <v>244449.60220395876</v>
      </c>
      <c r="H361" s="1726">
        <f t="shared" si="1081"/>
        <v>243795.54786722915</v>
      </c>
      <c r="I361" s="1726">
        <f t="shared" si="1081"/>
        <v>243141.4935304996</v>
      </c>
      <c r="J361" s="1726">
        <f t="shared" si="1081"/>
        <v>242487.43919377006</v>
      </c>
      <c r="K361" s="1726">
        <f t="shared" si="1081"/>
        <v>241807.73566736482</v>
      </c>
      <c r="L361" s="1726">
        <f t="shared" si="1081"/>
        <v>240666.34672679761</v>
      </c>
      <c r="M361" s="1726">
        <f t="shared" si="1081"/>
        <v>239524.95778623037</v>
      </c>
      <c r="N361" s="1726">
        <f t="shared" si="1081"/>
        <v>238383.5688456631</v>
      </c>
      <c r="O361" s="1726">
        <f t="shared" si="1081"/>
        <v>237242.17990509587</v>
      </c>
      <c r="P361" s="1726">
        <f t="shared" si="1081"/>
        <v>236087.96636969075</v>
      </c>
      <c r="Q361" s="1726">
        <f t="shared" si="1081"/>
        <v>234523.365799475</v>
      </c>
      <c r="R361" s="1726">
        <f t="shared" si="1081"/>
        <v>232958.76522925921</v>
      </c>
      <c r="S361" s="1726">
        <f t="shared" si="1081"/>
        <v>231394.16465904342</v>
      </c>
      <c r="T361" s="1726">
        <f t="shared" si="1081"/>
        <v>229829.56408882767</v>
      </c>
      <c r="U361" s="1726">
        <f t="shared" si="1081"/>
        <v>228239.31432893622</v>
      </c>
      <c r="V361" s="1726">
        <f t="shared" si="1081"/>
        <v>226546.46781034209</v>
      </c>
      <c r="W361" s="1726">
        <f t="shared" si="1081"/>
        <v>224853.62129174796</v>
      </c>
      <c r="X361" s="1726">
        <f t="shared" si="1081"/>
        <v>223160.77477315385</v>
      </c>
      <c r="Y361" s="1726">
        <f t="shared" si="1081"/>
        <v>221467.92825455975</v>
      </c>
      <c r="Z361" s="1726">
        <f t="shared" si="1081"/>
        <v>219800.73092564128</v>
      </c>
      <c r="AA361" s="1726">
        <f t="shared" si="1081"/>
        <v>218107.88440704718</v>
      </c>
      <c r="AB361" s="1726">
        <f t="shared" si="1081"/>
        <v>216415.03788845305</v>
      </c>
      <c r="AC361" s="1726">
        <f t="shared" si="1081"/>
        <v>214722.19136985892</v>
      </c>
      <c r="AD361" s="1726">
        <f t="shared" si="1081"/>
        <v>213029.34485126479</v>
      </c>
      <c r="AE361" s="1726">
        <f t="shared" si="1081"/>
        <v>211336.49833267069</v>
      </c>
      <c r="AF361" s="1726">
        <f t="shared" si="1081"/>
        <v>209643.65181407655</v>
      </c>
      <c r="AG361" s="1726">
        <f t="shared" si="1081"/>
        <v>207950.80529548242</v>
      </c>
      <c r="AH361" s="1726">
        <f t="shared" si="1081"/>
        <v>206257.95877688829</v>
      </c>
      <c r="AI361" s="1726">
        <f t="shared" si="1081"/>
        <v>204565.11225829419</v>
      </c>
    </row>
    <row r="362" spans="2:35" x14ac:dyDescent="0.35">
      <c r="B362" s="726" t="s">
        <v>277</v>
      </c>
      <c r="C362" s="726"/>
      <c r="D362" s="726"/>
      <c r="E362" s="726"/>
      <c r="F362" s="1726">
        <f t="shared" ref="F362:AI362" si="1082">F94*$I$34</f>
        <v>0</v>
      </c>
      <c r="G362" s="1726">
        <f t="shared" si="1082"/>
        <v>0</v>
      </c>
      <c r="H362" s="1726">
        <f t="shared" si="1082"/>
        <v>0</v>
      </c>
      <c r="I362" s="1726">
        <f t="shared" si="1082"/>
        <v>0</v>
      </c>
      <c r="J362" s="1726">
        <f t="shared" si="1082"/>
        <v>0</v>
      </c>
      <c r="K362" s="1726">
        <f t="shared" si="1082"/>
        <v>0</v>
      </c>
      <c r="L362" s="1726">
        <f t="shared" si="1082"/>
        <v>0</v>
      </c>
      <c r="M362" s="1726">
        <f t="shared" si="1082"/>
        <v>0</v>
      </c>
      <c r="N362" s="1726">
        <f t="shared" si="1082"/>
        <v>0</v>
      </c>
      <c r="O362" s="1726">
        <f t="shared" si="1082"/>
        <v>0</v>
      </c>
      <c r="P362" s="1726">
        <f t="shared" si="1082"/>
        <v>0</v>
      </c>
      <c r="Q362" s="1726">
        <f t="shared" si="1082"/>
        <v>0</v>
      </c>
      <c r="R362" s="1726">
        <f t="shared" si="1082"/>
        <v>0</v>
      </c>
      <c r="S362" s="1726">
        <f t="shared" si="1082"/>
        <v>0</v>
      </c>
      <c r="T362" s="1726">
        <f t="shared" si="1082"/>
        <v>0</v>
      </c>
      <c r="U362" s="1726">
        <f t="shared" si="1082"/>
        <v>0</v>
      </c>
      <c r="V362" s="1726">
        <f t="shared" si="1082"/>
        <v>0</v>
      </c>
      <c r="W362" s="1726">
        <f t="shared" si="1082"/>
        <v>0</v>
      </c>
      <c r="X362" s="1726">
        <f t="shared" si="1082"/>
        <v>0</v>
      </c>
      <c r="Y362" s="1726">
        <f t="shared" si="1082"/>
        <v>0</v>
      </c>
      <c r="Z362" s="1726">
        <f t="shared" si="1082"/>
        <v>0</v>
      </c>
      <c r="AA362" s="1726">
        <f t="shared" si="1082"/>
        <v>0</v>
      </c>
      <c r="AB362" s="1726">
        <f t="shared" si="1082"/>
        <v>0</v>
      </c>
      <c r="AC362" s="1726">
        <f t="shared" si="1082"/>
        <v>0</v>
      </c>
      <c r="AD362" s="1726">
        <f t="shared" si="1082"/>
        <v>0</v>
      </c>
      <c r="AE362" s="1726">
        <f t="shared" si="1082"/>
        <v>0</v>
      </c>
      <c r="AF362" s="1726">
        <f t="shared" si="1082"/>
        <v>0</v>
      </c>
      <c r="AG362" s="1726">
        <f t="shared" si="1082"/>
        <v>0</v>
      </c>
      <c r="AH362" s="1726">
        <f t="shared" si="1082"/>
        <v>0</v>
      </c>
      <c r="AI362" s="1726">
        <f t="shared" si="1082"/>
        <v>0</v>
      </c>
    </row>
    <row r="363" spans="2:35" x14ac:dyDescent="0.35">
      <c r="B363" s="726" t="s">
        <v>278</v>
      </c>
      <c r="C363" s="726"/>
      <c r="D363" s="726"/>
      <c r="E363" s="726"/>
      <c r="F363" s="1726">
        <f t="shared" ref="F363:AI363" si="1083">F94*$I$35</f>
        <v>31897.578640647604</v>
      </c>
      <c r="G363" s="1726">
        <f t="shared" si="1083"/>
        <v>31812.460572906242</v>
      </c>
      <c r="H363" s="1726">
        <f t="shared" si="1083"/>
        <v>31727.342505164866</v>
      </c>
      <c r="I363" s="1726">
        <f t="shared" si="1083"/>
        <v>31642.224437423502</v>
      </c>
      <c r="J363" s="1726">
        <f t="shared" si="1083"/>
        <v>31557.106369682133</v>
      </c>
      <c r="K363" s="1726">
        <f t="shared" si="1083"/>
        <v>31468.650338499923</v>
      </c>
      <c r="L363" s="1726">
        <f t="shared" si="1083"/>
        <v>31320.110965382639</v>
      </c>
      <c r="M363" s="1726">
        <f t="shared" si="1083"/>
        <v>31171.571592265347</v>
      </c>
      <c r="N363" s="1726">
        <f t="shared" si="1083"/>
        <v>31023.032219148059</v>
      </c>
      <c r="O363" s="1726">
        <f t="shared" si="1083"/>
        <v>30874.492846030767</v>
      </c>
      <c r="P363" s="1726">
        <f t="shared" si="1083"/>
        <v>30724.284491193059</v>
      </c>
      <c r="Q363" s="1726">
        <f t="shared" si="1083"/>
        <v>30520.668721301943</v>
      </c>
      <c r="R363" s="1726">
        <f t="shared" si="1083"/>
        <v>30317.052951410828</v>
      </c>
      <c r="S363" s="1726">
        <f t="shared" si="1083"/>
        <v>30113.437181519708</v>
      </c>
      <c r="T363" s="1726">
        <f t="shared" si="1083"/>
        <v>29909.821411628596</v>
      </c>
      <c r="U363" s="1726">
        <f t="shared" si="1083"/>
        <v>29702.867678296643</v>
      </c>
      <c r="V363" s="1726">
        <f t="shared" si="1083"/>
        <v>29482.562091201336</v>
      </c>
      <c r="W363" s="1726">
        <f t="shared" si="1083"/>
        <v>29262.25650410603</v>
      </c>
      <c r="X363" s="1726">
        <f t="shared" si="1083"/>
        <v>29041.950917010723</v>
      </c>
      <c r="Y363" s="1726">
        <f t="shared" si="1083"/>
        <v>28821.645329915424</v>
      </c>
      <c r="Z363" s="1726">
        <f t="shared" si="1083"/>
        <v>28604.677706260954</v>
      </c>
      <c r="AA363" s="1726">
        <f t="shared" si="1083"/>
        <v>28384.372119165648</v>
      </c>
      <c r="AB363" s="1726">
        <f t="shared" si="1083"/>
        <v>28164.066532070341</v>
      </c>
      <c r="AC363" s="1726">
        <f t="shared" si="1083"/>
        <v>27943.760944975034</v>
      </c>
      <c r="AD363" s="1726">
        <f t="shared" si="1083"/>
        <v>27723.455357879728</v>
      </c>
      <c r="AE363" s="1726">
        <f t="shared" si="1083"/>
        <v>27503.149770784425</v>
      </c>
      <c r="AF363" s="1726">
        <f t="shared" si="1083"/>
        <v>27282.844183689118</v>
      </c>
      <c r="AG363" s="1726">
        <f t="shared" si="1083"/>
        <v>27062.538596593811</v>
      </c>
      <c r="AH363" s="1726">
        <f t="shared" si="1083"/>
        <v>26842.233009498505</v>
      </c>
      <c r="AI363" s="1726">
        <f t="shared" si="1083"/>
        <v>26621.927422403198</v>
      </c>
    </row>
    <row r="364" spans="2:35" x14ac:dyDescent="0.35">
      <c r="B364" s="726" t="s">
        <v>279</v>
      </c>
      <c r="C364" s="726"/>
      <c r="D364" s="726"/>
      <c r="E364" s="726"/>
      <c r="F364" s="1726">
        <f t="shared" ref="F364:AI364" si="1084">F94*$I$36</f>
        <v>90352.651360177973</v>
      </c>
      <c r="G364" s="1726">
        <f t="shared" si="1084"/>
        <v>90111.547068666419</v>
      </c>
      <c r="H364" s="1726">
        <f t="shared" si="1084"/>
        <v>89870.442777154836</v>
      </c>
      <c r="I364" s="1726">
        <f t="shared" si="1084"/>
        <v>89629.338485643268</v>
      </c>
      <c r="J364" s="1726">
        <f t="shared" si="1084"/>
        <v>89388.234194131699</v>
      </c>
      <c r="K364" s="1726">
        <f t="shared" si="1084"/>
        <v>89137.674832364763</v>
      </c>
      <c r="L364" s="1726">
        <f t="shared" si="1084"/>
        <v>88716.924206001466</v>
      </c>
      <c r="M364" s="1726">
        <f t="shared" si="1084"/>
        <v>88296.17357963814</v>
      </c>
      <c r="N364" s="1726">
        <f t="shared" si="1084"/>
        <v>87875.422953274814</v>
      </c>
      <c r="O364" s="1726">
        <f t="shared" si="1084"/>
        <v>87454.672326911488</v>
      </c>
      <c r="P364" s="1726">
        <f t="shared" si="1084"/>
        <v>87029.194165420471</v>
      </c>
      <c r="Q364" s="1726">
        <f t="shared" si="1084"/>
        <v>86452.4348798438</v>
      </c>
      <c r="R364" s="1726">
        <f t="shared" si="1084"/>
        <v>85875.675594267101</v>
      </c>
      <c r="S364" s="1726">
        <f t="shared" si="1084"/>
        <v>85298.916308690401</v>
      </c>
      <c r="T364" s="1726">
        <f t="shared" si="1084"/>
        <v>84722.15702311373</v>
      </c>
      <c r="U364" s="1726">
        <f t="shared" si="1084"/>
        <v>84135.942667281677</v>
      </c>
      <c r="V364" s="1726">
        <f t="shared" si="1084"/>
        <v>83511.908030428211</v>
      </c>
      <c r="W364" s="1726">
        <f t="shared" si="1084"/>
        <v>82887.87339357473</v>
      </c>
      <c r="X364" s="1726">
        <f t="shared" si="1084"/>
        <v>82263.838756721263</v>
      </c>
      <c r="Y364" s="1726">
        <f t="shared" si="1084"/>
        <v>81639.804119867811</v>
      </c>
      <c r="Z364" s="1726">
        <f t="shared" si="1084"/>
        <v>81025.224553269698</v>
      </c>
      <c r="AA364" s="1726">
        <f t="shared" si="1084"/>
        <v>80401.189916416231</v>
      </c>
      <c r="AB364" s="1726">
        <f t="shared" si="1084"/>
        <v>79777.15527956275</v>
      </c>
      <c r="AC364" s="1726">
        <f t="shared" si="1084"/>
        <v>79153.120642709284</v>
      </c>
      <c r="AD364" s="1726">
        <f t="shared" si="1084"/>
        <v>78529.086005855817</v>
      </c>
      <c r="AE364" s="1726">
        <f t="shared" si="1084"/>
        <v>77905.051369002351</v>
      </c>
      <c r="AF364" s="1726">
        <f t="shared" si="1084"/>
        <v>77281.016732148884</v>
      </c>
      <c r="AG364" s="1726">
        <f t="shared" si="1084"/>
        <v>76656.982095295403</v>
      </c>
      <c r="AH364" s="1726">
        <f t="shared" si="1084"/>
        <v>76032.947458441937</v>
      </c>
      <c r="AI364" s="1726">
        <f t="shared" si="1084"/>
        <v>75408.91282158847</v>
      </c>
    </row>
    <row r="365" spans="2:35" x14ac:dyDescent="0.35">
      <c r="B365" s="726" t="s">
        <v>280</v>
      </c>
      <c r="C365" s="726"/>
      <c r="D365" s="726"/>
      <c r="E365" s="726"/>
      <c r="F365" s="1726">
        <f t="shared" ref="F365:AI365" si="1085">F94*$I$37</f>
        <v>104138.06340322392</v>
      </c>
      <c r="G365" s="1726">
        <f t="shared" si="1085"/>
        <v>103860.17300799767</v>
      </c>
      <c r="H365" s="1726">
        <f t="shared" si="1085"/>
        <v>103582.28261277139</v>
      </c>
      <c r="I365" s="1726">
        <f t="shared" si="1085"/>
        <v>103304.39221754512</v>
      </c>
      <c r="J365" s="1726">
        <f t="shared" si="1085"/>
        <v>103026.50182231885</v>
      </c>
      <c r="K365" s="1726">
        <f t="shared" si="1085"/>
        <v>102737.71376453468</v>
      </c>
      <c r="L365" s="1726">
        <f t="shared" si="1085"/>
        <v>102252.76778070847</v>
      </c>
      <c r="M365" s="1726">
        <f t="shared" si="1085"/>
        <v>101767.82179688223</v>
      </c>
      <c r="N365" s="1726">
        <f t="shared" si="1085"/>
        <v>101282.875813056</v>
      </c>
      <c r="O365" s="1726">
        <f t="shared" si="1085"/>
        <v>100797.92982922978</v>
      </c>
      <c r="P365" s="1726">
        <f t="shared" si="1085"/>
        <v>100307.53501412459</v>
      </c>
      <c r="Q365" s="1726">
        <f t="shared" si="1085"/>
        <v>99642.777598093133</v>
      </c>
      <c r="R365" s="1726">
        <f t="shared" si="1085"/>
        <v>98978.020182061664</v>
      </c>
      <c r="S365" s="1726">
        <f t="shared" si="1085"/>
        <v>98313.262766030195</v>
      </c>
      <c r="T365" s="1726">
        <f t="shared" si="1085"/>
        <v>97648.505349998741</v>
      </c>
      <c r="U365" s="1726">
        <f t="shared" si="1085"/>
        <v>96972.850271409392</v>
      </c>
      <c r="V365" s="1726">
        <f t="shared" si="1085"/>
        <v>96253.604542588451</v>
      </c>
      <c r="W365" s="1726">
        <f t="shared" si="1085"/>
        <v>95534.358813767525</v>
      </c>
      <c r="X365" s="1726">
        <f t="shared" si="1085"/>
        <v>94815.113084946599</v>
      </c>
      <c r="Y365" s="1726">
        <f t="shared" si="1085"/>
        <v>94095.867356125687</v>
      </c>
      <c r="Z365" s="1726">
        <f t="shared" si="1085"/>
        <v>93387.519289862656</v>
      </c>
      <c r="AA365" s="1726">
        <f t="shared" si="1085"/>
        <v>92668.273561041715</v>
      </c>
      <c r="AB365" s="1726">
        <f t="shared" si="1085"/>
        <v>91949.027832220789</v>
      </c>
      <c r="AC365" s="1726">
        <f t="shared" si="1085"/>
        <v>91229.782103399863</v>
      </c>
      <c r="AD365" s="1726">
        <f t="shared" si="1085"/>
        <v>90510.536374578936</v>
      </c>
      <c r="AE365" s="1726">
        <f t="shared" si="1085"/>
        <v>89791.29064575801</v>
      </c>
      <c r="AF365" s="1726">
        <f t="shared" si="1085"/>
        <v>89072.044916937084</v>
      </c>
      <c r="AG365" s="1726">
        <f t="shared" si="1085"/>
        <v>88352.799188116158</v>
      </c>
      <c r="AH365" s="1726">
        <f t="shared" si="1085"/>
        <v>87633.553459295232</v>
      </c>
      <c r="AI365" s="1726">
        <f t="shared" si="1085"/>
        <v>86914.307730474291</v>
      </c>
    </row>
    <row r="366" spans="2:35" x14ac:dyDescent="0.35">
      <c r="B366" s="726" t="s">
        <v>281</v>
      </c>
      <c r="C366" s="726"/>
      <c r="D366" s="726"/>
      <c r="E366" s="726"/>
      <c r="F366" s="1726">
        <f t="shared" ref="F366:AI366" si="1086">F94*$I$38</f>
        <v>74772.480517635937</v>
      </c>
      <c r="G366" s="1726">
        <f t="shared" si="1086"/>
        <v>74572.951608761985</v>
      </c>
      <c r="H366" s="1726">
        <f t="shared" si="1086"/>
        <v>74373.422699887989</v>
      </c>
      <c r="I366" s="1726">
        <f t="shared" si="1086"/>
        <v>74173.893791014023</v>
      </c>
      <c r="J366" s="1726">
        <f t="shared" si="1086"/>
        <v>73974.364882140042</v>
      </c>
      <c r="K366" s="1726">
        <f t="shared" si="1086"/>
        <v>73767.011310172966</v>
      </c>
      <c r="L366" s="1726">
        <f t="shared" si="1086"/>
        <v>73418.813802530145</v>
      </c>
      <c r="M366" s="1726">
        <f t="shared" si="1086"/>
        <v>73070.616294887324</v>
      </c>
      <c r="N366" s="1726">
        <f t="shared" si="1086"/>
        <v>72722.418787244504</v>
      </c>
      <c r="O366" s="1726">
        <f t="shared" si="1086"/>
        <v>72374.221279601683</v>
      </c>
      <c r="P366" s="1726">
        <f t="shared" si="1086"/>
        <v>72022.111440412307</v>
      </c>
      <c r="Q366" s="1726">
        <f t="shared" si="1086"/>
        <v>71544.806991733392</v>
      </c>
      <c r="R366" s="1726">
        <f t="shared" si="1086"/>
        <v>71067.502543054463</v>
      </c>
      <c r="S366" s="1726">
        <f t="shared" si="1086"/>
        <v>70590.198094375533</v>
      </c>
      <c r="T366" s="1726">
        <f t="shared" si="1086"/>
        <v>70112.893645696618</v>
      </c>
      <c r="U366" s="1726">
        <f t="shared" si="1086"/>
        <v>69627.764533924594</v>
      </c>
      <c r="V366" s="1726">
        <f t="shared" si="1086"/>
        <v>69111.336769780188</v>
      </c>
      <c r="W366" s="1726">
        <f t="shared" si="1086"/>
        <v>68594.909005635782</v>
      </c>
      <c r="X366" s="1726">
        <f t="shared" si="1086"/>
        <v>68078.481241491376</v>
      </c>
      <c r="Y366" s="1726">
        <f t="shared" si="1086"/>
        <v>67562.05347734697</v>
      </c>
      <c r="Z366" s="1726">
        <f t="shared" si="1086"/>
        <v>67053.450376295659</v>
      </c>
      <c r="AA366" s="1726">
        <f t="shared" si="1086"/>
        <v>66537.022612151253</v>
      </c>
      <c r="AB366" s="1726">
        <f t="shared" si="1086"/>
        <v>66020.594848006833</v>
      </c>
      <c r="AC366" s="1726">
        <f t="shared" si="1086"/>
        <v>65504.167083862427</v>
      </c>
      <c r="AD366" s="1726">
        <f t="shared" si="1086"/>
        <v>64987.739319718014</v>
      </c>
      <c r="AE366" s="1726">
        <f t="shared" si="1086"/>
        <v>64471.311555573608</v>
      </c>
      <c r="AF366" s="1726">
        <f t="shared" si="1086"/>
        <v>63954.883791429194</v>
      </c>
      <c r="AG366" s="1726">
        <f t="shared" si="1086"/>
        <v>63438.456027284788</v>
      </c>
      <c r="AH366" s="1726">
        <f t="shared" si="1086"/>
        <v>62922.028263140375</v>
      </c>
      <c r="AI366" s="1726">
        <f t="shared" si="1086"/>
        <v>62405.600498995969</v>
      </c>
    </row>
    <row r="367" spans="2:35" x14ac:dyDescent="0.35">
      <c r="B367" s="726" t="s">
        <v>282</v>
      </c>
      <c r="C367" s="726"/>
      <c r="D367" s="726"/>
      <c r="E367" s="726"/>
      <c r="F367" s="1726">
        <f t="shared" ref="F367:AI367" si="1087">F94*$I$39</f>
        <v>68084.480545149869</v>
      </c>
      <c r="G367" s="1726">
        <f t="shared" si="1087"/>
        <v>67902.798434025841</v>
      </c>
      <c r="H367" s="1726">
        <f t="shared" si="1087"/>
        <v>67721.116322901798</v>
      </c>
      <c r="I367" s="1726">
        <f t="shared" si="1087"/>
        <v>67539.434211777756</v>
      </c>
      <c r="J367" s="1726">
        <f t="shared" si="1087"/>
        <v>67357.752100653714</v>
      </c>
      <c r="K367" s="1726">
        <f t="shared" si="1087"/>
        <v>67168.945200858143</v>
      </c>
      <c r="L367" s="1726">
        <f t="shared" si="1087"/>
        <v>66851.892104975021</v>
      </c>
      <c r="M367" s="1726">
        <f t="shared" si="1087"/>
        <v>66534.839009091898</v>
      </c>
      <c r="N367" s="1726">
        <f t="shared" si="1087"/>
        <v>66217.785913208761</v>
      </c>
      <c r="O367" s="1726">
        <f t="shared" si="1087"/>
        <v>65900.732817325639</v>
      </c>
      <c r="P367" s="1726">
        <f t="shared" si="1087"/>
        <v>65580.117327106738</v>
      </c>
      <c r="Q367" s="1726">
        <f t="shared" si="1087"/>
        <v>65145.505218143357</v>
      </c>
      <c r="R367" s="1726">
        <f t="shared" si="1087"/>
        <v>64710.89310917996</v>
      </c>
      <c r="S367" s="1726">
        <f t="shared" si="1087"/>
        <v>64276.281000216572</v>
      </c>
      <c r="T367" s="1726">
        <f t="shared" si="1087"/>
        <v>63841.66889125319</v>
      </c>
      <c r="U367" s="1726">
        <f t="shared" si="1087"/>
        <v>63399.931993618266</v>
      </c>
      <c r="V367" s="1726">
        <f t="shared" si="1087"/>
        <v>62929.695941297221</v>
      </c>
      <c r="W367" s="1726">
        <f t="shared" si="1087"/>
        <v>62459.459888976176</v>
      </c>
      <c r="X367" s="1726">
        <f t="shared" si="1087"/>
        <v>61989.223836655132</v>
      </c>
      <c r="Y367" s="1726">
        <f t="shared" si="1087"/>
        <v>61518.987784334102</v>
      </c>
      <c r="Z367" s="1726">
        <f t="shared" si="1087"/>
        <v>61055.876520684586</v>
      </c>
      <c r="AA367" s="1726">
        <f t="shared" si="1087"/>
        <v>60585.640468363541</v>
      </c>
      <c r="AB367" s="1726">
        <f t="shared" si="1087"/>
        <v>60115.404416042496</v>
      </c>
      <c r="AC367" s="1726">
        <f t="shared" si="1087"/>
        <v>59645.168363721452</v>
      </c>
      <c r="AD367" s="1726">
        <f t="shared" si="1087"/>
        <v>59174.932311400407</v>
      </c>
      <c r="AE367" s="1726">
        <f t="shared" si="1087"/>
        <v>58704.696259079363</v>
      </c>
      <c r="AF367" s="1726">
        <f t="shared" si="1087"/>
        <v>58234.460206758318</v>
      </c>
      <c r="AG367" s="1726">
        <f t="shared" si="1087"/>
        <v>57764.224154437274</v>
      </c>
      <c r="AH367" s="1726">
        <f t="shared" si="1087"/>
        <v>57293.988102116229</v>
      </c>
      <c r="AI367" s="1726">
        <f t="shared" si="1087"/>
        <v>56823.752049795185</v>
      </c>
    </row>
    <row r="368" spans="2:35" x14ac:dyDescent="0.35">
      <c r="B368" s="726" t="s">
        <v>283</v>
      </c>
      <c r="C368" s="726"/>
      <c r="D368" s="726"/>
      <c r="E368" s="726"/>
      <c r="F368" s="1726">
        <f t="shared" ref="F368:AI368" si="1088">F94*$I$40</f>
        <v>16391.494575941626</v>
      </c>
      <c r="G368" s="1726">
        <f t="shared" si="1088"/>
        <v>16347.754191713237</v>
      </c>
      <c r="H368" s="1726">
        <f t="shared" si="1088"/>
        <v>16304.013807484842</v>
      </c>
      <c r="I368" s="1726">
        <f t="shared" si="1088"/>
        <v>16260.273423256451</v>
      </c>
      <c r="J368" s="1726">
        <f t="shared" si="1088"/>
        <v>16216.533039028058</v>
      </c>
      <c r="K368" s="1726">
        <f t="shared" si="1088"/>
        <v>16171.077345614238</v>
      </c>
      <c r="L368" s="1726">
        <f t="shared" si="1088"/>
        <v>16094.746086862733</v>
      </c>
      <c r="M368" s="1726">
        <f t="shared" si="1088"/>
        <v>16018.414828111227</v>
      </c>
      <c r="N368" s="1726">
        <f t="shared" si="1088"/>
        <v>15942.083569359718</v>
      </c>
      <c r="O368" s="1726">
        <f t="shared" si="1088"/>
        <v>15865.752310608212</v>
      </c>
      <c r="P368" s="1726">
        <f t="shared" si="1088"/>
        <v>15788.56339726399</v>
      </c>
      <c r="Q368" s="1726">
        <f t="shared" si="1088"/>
        <v>15683.929536952935</v>
      </c>
      <c r="R368" s="1726">
        <f t="shared" si="1088"/>
        <v>15579.295676641881</v>
      </c>
      <c r="S368" s="1726">
        <f t="shared" si="1088"/>
        <v>15474.661816330825</v>
      </c>
      <c r="T368" s="1726">
        <f t="shared" si="1088"/>
        <v>15370.027956019772</v>
      </c>
      <c r="U368" s="1726">
        <f t="shared" si="1088"/>
        <v>15263.678786523289</v>
      </c>
      <c r="V368" s="1726">
        <f t="shared" si="1088"/>
        <v>15150.4683802851</v>
      </c>
      <c r="W368" s="1726">
        <f t="shared" si="1088"/>
        <v>15037.257974046908</v>
      </c>
      <c r="X368" s="1726">
        <f t="shared" si="1088"/>
        <v>14924.047567808719</v>
      </c>
      <c r="Y368" s="1726">
        <f t="shared" si="1088"/>
        <v>14810.837161570531</v>
      </c>
      <c r="Z368" s="1726">
        <f t="shared" si="1088"/>
        <v>14699.342064517767</v>
      </c>
      <c r="AA368" s="1726">
        <f t="shared" si="1088"/>
        <v>14586.131658279575</v>
      </c>
      <c r="AB368" s="1726">
        <f t="shared" si="1088"/>
        <v>14472.921252041386</v>
      </c>
      <c r="AC368" s="1726">
        <f t="shared" si="1088"/>
        <v>14359.710845803194</v>
      </c>
      <c r="AD368" s="1726">
        <f t="shared" si="1088"/>
        <v>14246.500439565003</v>
      </c>
      <c r="AE368" s="1726">
        <f t="shared" si="1088"/>
        <v>14133.290033326814</v>
      </c>
      <c r="AF368" s="1726">
        <f t="shared" si="1088"/>
        <v>14020.079627088622</v>
      </c>
      <c r="AG368" s="1726">
        <f t="shared" si="1088"/>
        <v>13906.869220850433</v>
      </c>
      <c r="AH368" s="1726">
        <f t="shared" si="1088"/>
        <v>13793.658814612241</v>
      </c>
      <c r="AI368" s="1726">
        <f t="shared" si="1088"/>
        <v>13680.448408374052</v>
      </c>
    </row>
    <row r="369" spans="2:35" x14ac:dyDescent="0.35">
      <c r="B369" s="726" t="s">
        <v>12</v>
      </c>
      <c r="C369" s="726"/>
      <c r="D369" s="726"/>
      <c r="E369" s="726"/>
      <c r="F369" s="1726">
        <f t="shared" ref="F369:AI369" si="1089">F94*$I$41</f>
        <v>51029.41904829639</v>
      </c>
      <c r="G369" s="1726">
        <f t="shared" si="1089"/>
        <v>50893.248036813398</v>
      </c>
      <c r="H369" s="1726">
        <f t="shared" si="1089"/>
        <v>50757.077025330393</v>
      </c>
      <c r="I369" s="1726">
        <f t="shared" si="1089"/>
        <v>50620.906013847387</v>
      </c>
      <c r="J369" s="1726">
        <f t="shared" si="1089"/>
        <v>50484.735002364388</v>
      </c>
      <c r="K369" s="1726">
        <f t="shared" si="1089"/>
        <v>50343.223951215383</v>
      </c>
      <c r="L369" s="1726">
        <f t="shared" si="1089"/>
        <v>50105.592186078386</v>
      </c>
      <c r="M369" s="1726">
        <f t="shared" si="1089"/>
        <v>49867.960420941388</v>
      </c>
      <c r="N369" s="1726">
        <f t="shared" si="1089"/>
        <v>49630.328655804384</v>
      </c>
      <c r="O369" s="1726">
        <f t="shared" si="1089"/>
        <v>49392.696890667379</v>
      </c>
      <c r="P369" s="1726">
        <f t="shared" si="1089"/>
        <v>49152.395105697375</v>
      </c>
      <c r="Q369" s="1726">
        <f t="shared" si="1089"/>
        <v>48826.652686071378</v>
      </c>
      <c r="R369" s="1726">
        <f t="shared" si="1089"/>
        <v>48500.910266445375</v>
      </c>
      <c r="S369" s="1726">
        <f t="shared" si="1089"/>
        <v>48175.167846819364</v>
      </c>
      <c r="T369" s="1726">
        <f t="shared" si="1089"/>
        <v>47849.425427193368</v>
      </c>
      <c r="U369" s="1726">
        <f t="shared" si="1089"/>
        <v>47518.342967901364</v>
      </c>
      <c r="V369" s="1726">
        <f t="shared" si="1089"/>
        <v>47165.900349945361</v>
      </c>
      <c r="W369" s="1726">
        <f t="shared" si="1089"/>
        <v>46813.457731989358</v>
      </c>
      <c r="X369" s="1726">
        <f t="shared" si="1089"/>
        <v>46461.015114033355</v>
      </c>
      <c r="Y369" s="1726">
        <f t="shared" si="1089"/>
        <v>46108.572496077366</v>
      </c>
      <c r="Z369" s="1726">
        <f t="shared" si="1089"/>
        <v>45761.469917787355</v>
      </c>
      <c r="AA369" s="1726">
        <f t="shared" si="1089"/>
        <v>45409.027299831352</v>
      </c>
      <c r="AB369" s="1726">
        <f t="shared" si="1089"/>
        <v>45056.584681875349</v>
      </c>
      <c r="AC369" s="1726">
        <f t="shared" si="1089"/>
        <v>44704.142063919346</v>
      </c>
      <c r="AD369" s="1726">
        <f t="shared" si="1089"/>
        <v>44351.699445963342</v>
      </c>
      <c r="AE369" s="1726">
        <f t="shared" si="1089"/>
        <v>43999.256828007339</v>
      </c>
      <c r="AF369" s="1726">
        <f t="shared" si="1089"/>
        <v>43646.814210051336</v>
      </c>
      <c r="AG369" s="1726">
        <f t="shared" si="1089"/>
        <v>43294.371592095333</v>
      </c>
      <c r="AH369" s="1726">
        <f t="shared" si="1089"/>
        <v>42941.92897413933</v>
      </c>
      <c r="AI369" s="1726">
        <f t="shared" si="1089"/>
        <v>42589.486356183326</v>
      </c>
    </row>
    <row r="370" spans="2:35" x14ac:dyDescent="0.35">
      <c r="B370" s="726" t="s">
        <v>13</v>
      </c>
      <c r="C370" s="726"/>
      <c r="D370" s="726"/>
      <c r="E370" s="726"/>
      <c r="F370" s="1726">
        <f t="shared" ref="F370:AI370" si="1090">F94*$I$42</f>
        <v>3304.5458850330911</v>
      </c>
      <c r="G370" s="1726">
        <f t="shared" si="1090"/>
        <v>3295.7277686592593</v>
      </c>
      <c r="H370" s="1726">
        <f t="shared" si="1090"/>
        <v>3286.9096522854261</v>
      </c>
      <c r="I370" s="1726">
        <f t="shared" si="1090"/>
        <v>3278.0915359115934</v>
      </c>
      <c r="J370" s="1726">
        <f t="shared" si="1090"/>
        <v>3269.2734195377611</v>
      </c>
      <c r="K370" s="1726">
        <f t="shared" si="1090"/>
        <v>3260.1094946786798</v>
      </c>
      <c r="L370" s="1726">
        <f t="shared" si="1090"/>
        <v>3244.7210170851295</v>
      </c>
      <c r="M370" s="1726">
        <f t="shared" si="1090"/>
        <v>3229.3325394915782</v>
      </c>
      <c r="N370" s="1726">
        <f t="shared" si="1090"/>
        <v>3213.9440618980275</v>
      </c>
      <c r="O370" s="1726">
        <f t="shared" si="1090"/>
        <v>3198.5555843044763</v>
      </c>
      <c r="P370" s="1726">
        <f t="shared" si="1090"/>
        <v>3182.994202468301</v>
      </c>
      <c r="Q370" s="1726">
        <f t="shared" si="1090"/>
        <v>3161.8998848681531</v>
      </c>
      <c r="R370" s="1726">
        <f t="shared" si="1090"/>
        <v>3140.8055672680043</v>
      </c>
      <c r="S370" s="1726">
        <f t="shared" si="1090"/>
        <v>3119.7112496678556</v>
      </c>
      <c r="T370" s="1726">
        <f t="shared" si="1090"/>
        <v>3098.6169320677077</v>
      </c>
      <c r="U370" s="1726">
        <f t="shared" si="1090"/>
        <v>3077.1768059823107</v>
      </c>
      <c r="V370" s="1726">
        <f t="shared" si="1090"/>
        <v>3054.3534459559205</v>
      </c>
      <c r="W370" s="1726">
        <f t="shared" si="1090"/>
        <v>3031.5300859295303</v>
      </c>
      <c r="X370" s="1726">
        <f t="shared" si="1090"/>
        <v>3008.7067259031401</v>
      </c>
      <c r="Y370" s="1726">
        <f t="shared" si="1090"/>
        <v>2985.8833658767508</v>
      </c>
      <c r="Z370" s="1726">
        <f t="shared" si="1090"/>
        <v>2963.4058143356087</v>
      </c>
      <c r="AA370" s="1726">
        <f t="shared" si="1090"/>
        <v>2940.5824543092185</v>
      </c>
      <c r="AB370" s="1726">
        <f t="shared" si="1090"/>
        <v>2917.7590942828283</v>
      </c>
      <c r="AC370" s="1726">
        <f t="shared" si="1090"/>
        <v>2894.9357342564381</v>
      </c>
      <c r="AD370" s="1726">
        <f t="shared" si="1090"/>
        <v>2872.1123742300479</v>
      </c>
      <c r="AE370" s="1726">
        <f t="shared" si="1090"/>
        <v>2849.2890142036581</v>
      </c>
      <c r="AF370" s="1726">
        <f t="shared" si="1090"/>
        <v>2826.4656541772679</v>
      </c>
      <c r="AG370" s="1726">
        <f t="shared" si="1090"/>
        <v>2803.6422941508777</v>
      </c>
      <c r="AH370" s="1726">
        <f t="shared" si="1090"/>
        <v>2780.8189341244874</v>
      </c>
      <c r="AI370" s="1726">
        <f t="shared" si="1090"/>
        <v>2757.9955740980972</v>
      </c>
    </row>
    <row r="371" spans="2:35" x14ac:dyDescent="0.35">
      <c r="B371" s="726" t="s">
        <v>14</v>
      </c>
      <c r="C371" s="726"/>
      <c r="D371" s="726"/>
      <c r="E371" s="726"/>
      <c r="F371" s="1726">
        <f t="shared" ref="F371:AI371" si="1091">F94*$I$43</f>
        <v>30124.638263693145</v>
      </c>
      <c r="G371" s="1726">
        <f t="shared" si="1091"/>
        <v>30044.2512528388</v>
      </c>
      <c r="H371" s="1726">
        <f t="shared" si="1091"/>
        <v>29963.864241984444</v>
      </c>
      <c r="I371" s="1726">
        <f t="shared" si="1091"/>
        <v>29883.477231130095</v>
      </c>
      <c r="J371" s="1726">
        <f t="shared" si="1091"/>
        <v>29803.090220275746</v>
      </c>
      <c r="K371" s="1726">
        <f t="shared" si="1091"/>
        <v>29719.550777623179</v>
      </c>
      <c r="L371" s="1726">
        <f t="shared" si="1091"/>
        <v>29579.267562602847</v>
      </c>
      <c r="M371" s="1726">
        <f t="shared" si="1091"/>
        <v>29438.984347582511</v>
      </c>
      <c r="N371" s="1726">
        <f t="shared" si="1091"/>
        <v>29298.701132562172</v>
      </c>
      <c r="O371" s="1726">
        <f t="shared" si="1091"/>
        <v>29158.417917541832</v>
      </c>
      <c r="P371" s="1726">
        <f t="shared" si="1091"/>
        <v>29016.558486622391</v>
      </c>
      <c r="Q371" s="1726">
        <f t="shared" si="1091"/>
        <v>28824.260146931592</v>
      </c>
      <c r="R371" s="1726">
        <f t="shared" si="1091"/>
        <v>28631.96180724079</v>
      </c>
      <c r="S371" s="1726">
        <f t="shared" si="1091"/>
        <v>28439.663467549988</v>
      </c>
      <c r="T371" s="1726">
        <f t="shared" si="1091"/>
        <v>28247.365127859193</v>
      </c>
      <c r="U371" s="1726">
        <f t="shared" si="1091"/>
        <v>28051.914356370184</v>
      </c>
      <c r="V371" s="1726">
        <f t="shared" si="1091"/>
        <v>27843.853857688333</v>
      </c>
      <c r="W371" s="1726">
        <f t="shared" si="1091"/>
        <v>27635.793359006486</v>
      </c>
      <c r="X371" s="1726">
        <f t="shared" si="1091"/>
        <v>27427.732860324635</v>
      </c>
      <c r="Y371" s="1726">
        <f t="shared" si="1091"/>
        <v>27219.672361642792</v>
      </c>
      <c r="Z371" s="1726">
        <f t="shared" si="1091"/>
        <v>27014.764294759152</v>
      </c>
      <c r="AA371" s="1726">
        <f t="shared" si="1091"/>
        <v>26806.703796077301</v>
      </c>
      <c r="AB371" s="1726">
        <f t="shared" si="1091"/>
        <v>26598.643297395454</v>
      </c>
      <c r="AC371" s="1726">
        <f t="shared" si="1091"/>
        <v>26390.582798713604</v>
      </c>
      <c r="AD371" s="1726">
        <f t="shared" si="1091"/>
        <v>26182.522300031753</v>
      </c>
      <c r="AE371" s="1726">
        <f t="shared" si="1091"/>
        <v>25974.461801349906</v>
      </c>
      <c r="AF371" s="1726">
        <f t="shared" si="1091"/>
        <v>25766.401302668055</v>
      </c>
      <c r="AG371" s="1726">
        <f t="shared" si="1091"/>
        <v>25558.340803986208</v>
      </c>
      <c r="AH371" s="1726">
        <f t="shared" si="1091"/>
        <v>25350.280305304357</v>
      </c>
      <c r="AI371" s="1726">
        <f t="shared" si="1091"/>
        <v>25142.21980662251</v>
      </c>
    </row>
    <row r="372" spans="2:35" x14ac:dyDescent="0.35">
      <c r="B372" s="1733" t="s">
        <v>200</v>
      </c>
      <c r="C372" s="1733"/>
      <c r="D372" s="1733"/>
      <c r="E372" s="1733"/>
      <c r="F372" s="1734">
        <f>SUM(F361:F371)</f>
        <v>715199.00878048781</v>
      </c>
      <c r="G372" s="1734">
        <f t="shared" ref="G372" si="1092">SUM(G361:G371)</f>
        <v>713290.51414634171</v>
      </c>
      <c r="H372" s="1734">
        <f t="shared" ref="H372" si="1093">SUM(H361:H371)</f>
        <v>711382.01951219514</v>
      </c>
      <c r="I372" s="1734">
        <f t="shared" ref="I372" si="1094">SUM(I361:I371)</f>
        <v>709473.5248780488</v>
      </c>
      <c r="J372" s="1734">
        <f t="shared" ref="J372" si="1095">SUM(J361:J371)</f>
        <v>707565.03024390258</v>
      </c>
      <c r="K372" s="1734">
        <f t="shared" ref="K372" si="1096">SUM(K361:K371)</f>
        <v>705581.69268292678</v>
      </c>
      <c r="L372" s="1734">
        <f t="shared" ref="L372" si="1097">SUM(L361:L371)</f>
        <v>702251.18243902456</v>
      </c>
      <c r="M372" s="1734">
        <f t="shared" ref="M372" si="1098">SUM(M361:M371)</f>
        <v>698920.672195122</v>
      </c>
      <c r="N372" s="1734">
        <f t="shared" ref="N372" si="1099">SUM(N361:N371)</f>
        <v>695590.16195121955</v>
      </c>
      <c r="O372" s="1734">
        <f t="shared" ref="O372" si="1100">SUM(O361:O371)</f>
        <v>692259.6517073171</v>
      </c>
      <c r="P372" s="1734">
        <f t="shared" ref="P372" si="1101">SUM(P361:P371)</f>
        <v>688891.72</v>
      </c>
      <c r="Q372" s="1734">
        <f t="shared" ref="Q372" si="1102">SUM(Q361:Q371)</f>
        <v>684326.3014634148</v>
      </c>
      <c r="R372" s="1734">
        <f t="shared" ref="R372" si="1103">SUM(R361:R371)</f>
        <v>679760.88292682916</v>
      </c>
      <c r="S372" s="1734">
        <f t="shared" ref="S372" si="1104">SUM(S361:S371)</f>
        <v>675195.46439024387</v>
      </c>
      <c r="T372" s="1734">
        <f t="shared" ref="T372" si="1105">SUM(T361:T371)</f>
        <v>670630.04585365858</v>
      </c>
      <c r="U372" s="1734">
        <f t="shared" ref="U372" si="1106">SUM(U361:U371)</f>
        <v>665989.78439024405</v>
      </c>
      <c r="V372" s="1734">
        <f t="shared" ref="V372" si="1107">SUM(V361:V371)</f>
        <v>661050.15121951222</v>
      </c>
      <c r="W372" s="1734">
        <f t="shared" ref="W372" si="1108">SUM(W361:W371)</f>
        <v>656110.5180487805</v>
      </c>
      <c r="X372" s="1734">
        <f t="shared" ref="X372" si="1109">SUM(X361:X371)</f>
        <v>651170.88487804879</v>
      </c>
      <c r="Y372" s="1734">
        <f t="shared" ref="Y372" si="1110">SUM(Y361:Y371)</f>
        <v>646231.25170731719</v>
      </c>
      <c r="Z372" s="1734">
        <f t="shared" ref="Z372" si="1111">SUM(Z361:Z371)</f>
        <v>641366.46146341471</v>
      </c>
      <c r="AA372" s="1734">
        <f t="shared" ref="AA372" si="1112">SUM(AA361:AA371)</f>
        <v>636426.828292683</v>
      </c>
      <c r="AB372" s="1734">
        <f t="shared" ref="AB372" si="1113">SUM(AB361:AB371)</f>
        <v>631487.19512195128</v>
      </c>
      <c r="AC372" s="1734">
        <f t="shared" ref="AC372" si="1114">SUM(AC361:AC371)</f>
        <v>626547.56195121945</v>
      </c>
      <c r="AD372" s="1734">
        <f t="shared" ref="AD372" si="1115">SUM(AD361:AD371)</f>
        <v>621607.92878048785</v>
      </c>
      <c r="AE372" s="1734">
        <f t="shared" ref="AE372" si="1116">SUM(AE361:AE371)</f>
        <v>616668.29560975614</v>
      </c>
      <c r="AF372" s="1734">
        <f t="shared" ref="AF372" si="1117">SUM(AF361:AF371)</f>
        <v>611728.66243902443</v>
      </c>
      <c r="AG372" s="1734">
        <f t="shared" ref="AG372" si="1118">SUM(AG361:AG371)</f>
        <v>606789.02926829271</v>
      </c>
      <c r="AH372" s="1734">
        <f t="shared" ref="AH372" si="1119">SUM(AH361:AH371)</f>
        <v>601849.396097561</v>
      </c>
      <c r="AI372" s="1734">
        <f t="shared" ref="AI372" si="1120">SUM(AI361:AI371)</f>
        <v>596909.76292682916</v>
      </c>
    </row>
    <row r="373" spans="2:35" x14ac:dyDescent="0.35">
      <c r="E373" s="281" t="s">
        <v>332</v>
      </c>
      <c r="F373" s="1725">
        <f t="shared" ref="F373:AI373" si="1121">F372-F94</f>
        <v>0</v>
      </c>
      <c r="G373" s="1725">
        <f t="shared" si="1121"/>
        <v>0</v>
      </c>
      <c r="H373" s="1725">
        <f t="shared" si="1121"/>
        <v>0</v>
      </c>
      <c r="I373" s="1725">
        <f t="shared" si="1121"/>
        <v>0</v>
      </c>
      <c r="J373" s="1725">
        <f t="shared" si="1121"/>
        <v>0</v>
      </c>
      <c r="K373" s="1725">
        <f t="shared" si="1121"/>
        <v>0</v>
      </c>
      <c r="L373" s="1725">
        <f t="shared" si="1121"/>
        <v>0</v>
      </c>
      <c r="M373" s="1725">
        <f t="shared" si="1121"/>
        <v>0</v>
      </c>
      <c r="N373" s="1725">
        <f t="shared" si="1121"/>
        <v>0</v>
      </c>
      <c r="O373" s="1725">
        <f t="shared" si="1121"/>
        <v>0</v>
      </c>
      <c r="P373" s="1725">
        <f t="shared" si="1121"/>
        <v>0</v>
      </c>
      <c r="Q373" s="1725">
        <f t="shared" si="1121"/>
        <v>0</v>
      </c>
      <c r="R373" s="1725">
        <f t="shared" si="1121"/>
        <v>0</v>
      </c>
      <c r="S373" s="1725">
        <f t="shared" si="1121"/>
        <v>0</v>
      </c>
      <c r="T373" s="1725">
        <f t="shared" si="1121"/>
        <v>0</v>
      </c>
      <c r="U373" s="1725">
        <f t="shared" si="1121"/>
        <v>0</v>
      </c>
      <c r="V373" s="1725">
        <f t="shared" si="1121"/>
        <v>0</v>
      </c>
      <c r="W373" s="1725">
        <f t="shared" si="1121"/>
        <v>0</v>
      </c>
      <c r="X373" s="1725">
        <f t="shared" si="1121"/>
        <v>0</v>
      </c>
      <c r="Y373" s="1725">
        <f t="shared" si="1121"/>
        <v>0</v>
      </c>
      <c r="Z373" s="1725">
        <f t="shared" si="1121"/>
        <v>0</v>
      </c>
      <c r="AA373" s="1725">
        <f t="shared" si="1121"/>
        <v>0</v>
      </c>
      <c r="AB373" s="1725">
        <f t="shared" si="1121"/>
        <v>0</v>
      </c>
      <c r="AC373" s="1725">
        <f t="shared" si="1121"/>
        <v>0</v>
      </c>
      <c r="AD373" s="1725">
        <f t="shared" si="1121"/>
        <v>0</v>
      </c>
      <c r="AE373" s="1725">
        <f t="shared" si="1121"/>
        <v>0</v>
      </c>
      <c r="AF373" s="1725">
        <f t="shared" si="1121"/>
        <v>0</v>
      </c>
      <c r="AG373" s="1725">
        <f t="shared" si="1121"/>
        <v>0</v>
      </c>
      <c r="AH373" s="1725">
        <f t="shared" si="1121"/>
        <v>0</v>
      </c>
      <c r="AI373" s="1725">
        <f t="shared" si="1121"/>
        <v>0</v>
      </c>
    </row>
    <row r="374" spans="2:35" ht="15.5" x14ac:dyDescent="0.35">
      <c r="B374" s="86" t="s">
        <v>8</v>
      </c>
    </row>
    <row r="375" spans="2:35" x14ac:dyDescent="0.35">
      <c r="B375" s="1731" t="s">
        <v>273</v>
      </c>
      <c r="C375" s="1731"/>
      <c r="D375" s="1731"/>
      <c r="E375" s="1731"/>
      <c r="F375" s="1732">
        <v>1</v>
      </c>
      <c r="G375" s="1732">
        <f>F375+1</f>
        <v>2</v>
      </c>
      <c r="H375" s="1732">
        <f t="shared" ref="H375" si="1122">G375+1</f>
        <v>3</v>
      </c>
      <c r="I375" s="1732">
        <f t="shared" ref="I375" si="1123">H375+1</f>
        <v>4</v>
      </c>
      <c r="J375" s="1732">
        <f t="shared" ref="J375" si="1124">I375+1</f>
        <v>5</v>
      </c>
      <c r="K375" s="1732">
        <f t="shared" ref="K375" si="1125">J375+1</f>
        <v>6</v>
      </c>
      <c r="L375" s="1732">
        <f t="shared" ref="L375" si="1126">K375+1</f>
        <v>7</v>
      </c>
      <c r="M375" s="1732">
        <f t="shared" ref="M375" si="1127">L375+1</f>
        <v>8</v>
      </c>
      <c r="N375" s="1732">
        <f t="shared" ref="N375" si="1128">M375+1</f>
        <v>9</v>
      </c>
      <c r="O375" s="1732">
        <f t="shared" ref="O375" si="1129">N375+1</f>
        <v>10</v>
      </c>
      <c r="P375" s="1732">
        <f t="shared" ref="P375" si="1130">O375+1</f>
        <v>11</v>
      </c>
      <c r="Q375" s="1732">
        <f t="shared" ref="Q375" si="1131">P375+1</f>
        <v>12</v>
      </c>
      <c r="R375" s="1732">
        <f t="shared" ref="R375" si="1132">Q375+1</f>
        <v>13</v>
      </c>
      <c r="S375" s="1732">
        <f t="shared" ref="S375" si="1133">R375+1</f>
        <v>14</v>
      </c>
      <c r="T375" s="1732">
        <f t="shared" ref="T375" si="1134">S375+1</f>
        <v>15</v>
      </c>
      <c r="U375" s="1732">
        <f t="shared" ref="U375" si="1135">T375+1</f>
        <v>16</v>
      </c>
      <c r="V375" s="1732">
        <f t="shared" ref="V375" si="1136">U375+1</f>
        <v>17</v>
      </c>
      <c r="W375" s="1732">
        <f t="shared" ref="W375" si="1137">V375+1</f>
        <v>18</v>
      </c>
      <c r="X375" s="1732">
        <f t="shared" ref="X375" si="1138">W375+1</f>
        <v>19</v>
      </c>
      <c r="Y375" s="1732">
        <f t="shared" ref="Y375" si="1139">X375+1</f>
        <v>20</v>
      </c>
      <c r="Z375" s="1732">
        <f t="shared" ref="Z375" si="1140">Y375+1</f>
        <v>21</v>
      </c>
      <c r="AA375" s="1732">
        <f t="shared" ref="AA375" si="1141">Z375+1</f>
        <v>22</v>
      </c>
      <c r="AB375" s="1732">
        <f t="shared" ref="AB375" si="1142">AA375+1</f>
        <v>23</v>
      </c>
      <c r="AC375" s="1732">
        <f t="shared" ref="AC375" si="1143">AB375+1</f>
        <v>24</v>
      </c>
      <c r="AD375" s="1732">
        <f t="shared" ref="AD375" si="1144">AC375+1</f>
        <v>25</v>
      </c>
      <c r="AE375" s="1732">
        <f t="shared" ref="AE375" si="1145">AD375+1</f>
        <v>26</v>
      </c>
      <c r="AF375" s="1732">
        <f t="shared" ref="AF375" si="1146">AE375+1</f>
        <v>27</v>
      </c>
      <c r="AG375" s="1732">
        <f t="shared" ref="AG375" si="1147">AF375+1</f>
        <v>28</v>
      </c>
      <c r="AH375" s="1732">
        <f t="shared" ref="AH375" si="1148">AG375+1</f>
        <v>29</v>
      </c>
      <c r="AI375" s="1732">
        <f t="shared" ref="AI375" si="1149">AH375+1</f>
        <v>30</v>
      </c>
    </row>
    <row r="376" spans="2:35" x14ac:dyDescent="0.35">
      <c r="B376" s="726" t="s">
        <v>276</v>
      </c>
      <c r="C376" s="726"/>
      <c r="D376" s="726"/>
      <c r="E376" s="726"/>
      <c r="F376" s="1726">
        <f t="shared" ref="F376:AI376" si="1150">F95*$J$33</f>
        <v>191611.23800538995</v>
      </c>
      <c r="G376" s="1726">
        <f t="shared" si="1150"/>
        <v>193272.7863062197</v>
      </c>
      <c r="H376" s="1726">
        <f t="shared" si="1150"/>
        <v>194934.33460704947</v>
      </c>
      <c r="I376" s="1726">
        <f t="shared" si="1150"/>
        <v>196595.88290787922</v>
      </c>
      <c r="J376" s="1726">
        <f t="shared" si="1150"/>
        <v>198257.43120870899</v>
      </c>
      <c r="K376" s="1726">
        <f t="shared" si="1150"/>
        <v>199894.18028116814</v>
      </c>
      <c r="L376" s="1726">
        <f t="shared" si="1150"/>
        <v>201208.53938480958</v>
      </c>
      <c r="M376" s="1726">
        <f t="shared" si="1150"/>
        <v>202522.89848845103</v>
      </c>
      <c r="N376" s="1726">
        <f t="shared" si="1150"/>
        <v>203837.2575920925</v>
      </c>
      <c r="O376" s="1726">
        <f t="shared" si="1150"/>
        <v>205151.61669573394</v>
      </c>
      <c r="P376" s="1726">
        <f t="shared" si="1150"/>
        <v>206478.37541356072</v>
      </c>
      <c r="Q376" s="1726">
        <f t="shared" si="1150"/>
        <v>207532.34261931092</v>
      </c>
      <c r="R376" s="1726">
        <f t="shared" si="1150"/>
        <v>208586.30982506115</v>
      </c>
      <c r="S376" s="1726">
        <f t="shared" si="1150"/>
        <v>209640.27703081135</v>
      </c>
      <c r="T376" s="1726">
        <f t="shared" si="1150"/>
        <v>210694.24423656159</v>
      </c>
      <c r="U376" s="1726">
        <f t="shared" si="1150"/>
        <v>211760.61105649709</v>
      </c>
      <c r="V376" s="1726">
        <f t="shared" si="1150"/>
        <v>212442.58983668839</v>
      </c>
      <c r="W376" s="1726">
        <f t="shared" si="1150"/>
        <v>213124.56861687973</v>
      </c>
      <c r="X376" s="1726">
        <f t="shared" si="1150"/>
        <v>213806.54739707103</v>
      </c>
      <c r="Y376" s="1726">
        <f t="shared" si="1150"/>
        <v>214488.52617726233</v>
      </c>
      <c r="Z376" s="1726">
        <f t="shared" si="1150"/>
        <v>215182.90457163897</v>
      </c>
      <c r="AA376" s="1726">
        <f t="shared" si="1150"/>
        <v>215864.88335183027</v>
      </c>
      <c r="AB376" s="1726">
        <f t="shared" si="1150"/>
        <v>216546.8621320216</v>
      </c>
      <c r="AC376" s="1726">
        <f t="shared" si="1150"/>
        <v>217228.84091221291</v>
      </c>
      <c r="AD376" s="1726">
        <f t="shared" si="1150"/>
        <v>217910.81969240427</v>
      </c>
      <c r="AE376" s="1726">
        <f t="shared" si="1150"/>
        <v>218592.7984725956</v>
      </c>
      <c r="AF376" s="1726">
        <f t="shared" si="1150"/>
        <v>219274.77725278691</v>
      </c>
      <c r="AG376" s="1726">
        <f t="shared" si="1150"/>
        <v>219956.75603297821</v>
      </c>
      <c r="AH376" s="1726">
        <f t="shared" si="1150"/>
        <v>220638.73481316955</v>
      </c>
      <c r="AI376" s="1726">
        <f t="shared" si="1150"/>
        <v>221320.71359336085</v>
      </c>
    </row>
    <row r="377" spans="2:35" x14ac:dyDescent="0.35">
      <c r="B377" s="726" t="s">
        <v>277</v>
      </c>
      <c r="C377" s="726"/>
      <c r="D377" s="726"/>
      <c r="E377" s="726"/>
      <c r="F377" s="1726">
        <f t="shared" ref="F377:AI377" si="1151">F95*$J$34</f>
        <v>0</v>
      </c>
      <c r="G377" s="1726">
        <f t="shared" si="1151"/>
        <v>0</v>
      </c>
      <c r="H377" s="1726">
        <f t="shared" si="1151"/>
        <v>0</v>
      </c>
      <c r="I377" s="1726">
        <f t="shared" si="1151"/>
        <v>0</v>
      </c>
      <c r="J377" s="1726">
        <f t="shared" si="1151"/>
        <v>0</v>
      </c>
      <c r="K377" s="1726">
        <f t="shared" si="1151"/>
        <v>0</v>
      </c>
      <c r="L377" s="1726">
        <f t="shared" si="1151"/>
        <v>0</v>
      </c>
      <c r="M377" s="1726">
        <f t="shared" si="1151"/>
        <v>0</v>
      </c>
      <c r="N377" s="1726">
        <f t="shared" si="1151"/>
        <v>0</v>
      </c>
      <c r="O377" s="1726">
        <f t="shared" si="1151"/>
        <v>0</v>
      </c>
      <c r="P377" s="1726">
        <f t="shared" si="1151"/>
        <v>0</v>
      </c>
      <c r="Q377" s="1726">
        <f t="shared" si="1151"/>
        <v>0</v>
      </c>
      <c r="R377" s="1726">
        <f t="shared" si="1151"/>
        <v>0</v>
      </c>
      <c r="S377" s="1726">
        <f t="shared" si="1151"/>
        <v>0</v>
      </c>
      <c r="T377" s="1726">
        <f t="shared" si="1151"/>
        <v>0</v>
      </c>
      <c r="U377" s="1726">
        <f t="shared" si="1151"/>
        <v>0</v>
      </c>
      <c r="V377" s="1726">
        <f t="shared" si="1151"/>
        <v>0</v>
      </c>
      <c r="W377" s="1726">
        <f t="shared" si="1151"/>
        <v>0</v>
      </c>
      <c r="X377" s="1726">
        <f t="shared" si="1151"/>
        <v>0</v>
      </c>
      <c r="Y377" s="1726">
        <f t="shared" si="1151"/>
        <v>0</v>
      </c>
      <c r="Z377" s="1726">
        <f t="shared" si="1151"/>
        <v>0</v>
      </c>
      <c r="AA377" s="1726">
        <f t="shared" si="1151"/>
        <v>0</v>
      </c>
      <c r="AB377" s="1726">
        <f t="shared" si="1151"/>
        <v>0</v>
      </c>
      <c r="AC377" s="1726">
        <f t="shared" si="1151"/>
        <v>0</v>
      </c>
      <c r="AD377" s="1726">
        <f t="shared" si="1151"/>
        <v>0</v>
      </c>
      <c r="AE377" s="1726">
        <f t="shared" si="1151"/>
        <v>0</v>
      </c>
      <c r="AF377" s="1726">
        <f t="shared" si="1151"/>
        <v>0</v>
      </c>
      <c r="AG377" s="1726">
        <f t="shared" si="1151"/>
        <v>0</v>
      </c>
      <c r="AH377" s="1726">
        <f t="shared" si="1151"/>
        <v>0</v>
      </c>
      <c r="AI377" s="1726">
        <f t="shared" si="1151"/>
        <v>0</v>
      </c>
    </row>
    <row r="378" spans="2:35" x14ac:dyDescent="0.35">
      <c r="B378" s="726" t="s">
        <v>278</v>
      </c>
      <c r="C378" s="726"/>
      <c r="D378" s="726"/>
      <c r="E378" s="726"/>
      <c r="F378" s="1726">
        <f t="shared" ref="F378:AI378" si="1152">F95*$J$35</f>
        <v>27577.250433231187</v>
      </c>
      <c r="G378" s="1726">
        <f t="shared" si="1152"/>
        <v>27816.385329888984</v>
      </c>
      <c r="H378" s="1726">
        <f t="shared" si="1152"/>
        <v>28055.520226546785</v>
      </c>
      <c r="I378" s="1726">
        <f t="shared" si="1152"/>
        <v>28294.655123204586</v>
      </c>
      <c r="J378" s="1726">
        <f t="shared" si="1152"/>
        <v>28533.790019862387</v>
      </c>
      <c r="K378" s="1726">
        <f t="shared" si="1152"/>
        <v>28769.355738958126</v>
      </c>
      <c r="L378" s="1726">
        <f t="shared" si="1152"/>
        <v>28958.522149747128</v>
      </c>
      <c r="M378" s="1726">
        <f t="shared" si="1152"/>
        <v>29147.688560536139</v>
      </c>
      <c r="N378" s="1726">
        <f t="shared" si="1152"/>
        <v>29336.854971325145</v>
      </c>
      <c r="O378" s="1726">
        <f t="shared" si="1152"/>
        <v>29526.021382114148</v>
      </c>
      <c r="P378" s="1726">
        <f t="shared" si="1152"/>
        <v>29716.972381684187</v>
      </c>
      <c r="Q378" s="1726">
        <f t="shared" si="1152"/>
        <v>29868.662428071599</v>
      </c>
      <c r="R378" s="1726">
        <f t="shared" si="1152"/>
        <v>30020.352474459007</v>
      </c>
      <c r="S378" s="1726">
        <f t="shared" si="1152"/>
        <v>30172.042520846415</v>
      </c>
      <c r="T378" s="1726">
        <f t="shared" si="1152"/>
        <v>30323.732567233827</v>
      </c>
      <c r="U378" s="1726">
        <f t="shared" si="1152"/>
        <v>30477.207202402264</v>
      </c>
      <c r="V378" s="1726">
        <f t="shared" si="1152"/>
        <v>30575.359585358819</v>
      </c>
      <c r="W378" s="1726">
        <f t="shared" si="1152"/>
        <v>30673.511968315383</v>
      </c>
      <c r="X378" s="1726">
        <f t="shared" si="1152"/>
        <v>30771.664351271942</v>
      </c>
      <c r="Y378" s="1726">
        <f t="shared" si="1152"/>
        <v>30869.816734228498</v>
      </c>
      <c r="Z378" s="1726">
        <f t="shared" si="1152"/>
        <v>30969.75370596609</v>
      </c>
      <c r="AA378" s="1726">
        <f t="shared" si="1152"/>
        <v>31067.906088922646</v>
      </c>
      <c r="AB378" s="1726">
        <f t="shared" si="1152"/>
        <v>31166.058471879209</v>
      </c>
      <c r="AC378" s="1726">
        <f t="shared" si="1152"/>
        <v>31264.210854835765</v>
      </c>
      <c r="AD378" s="1726">
        <f t="shared" si="1152"/>
        <v>31362.363237792328</v>
      </c>
      <c r="AE378" s="1726">
        <f t="shared" si="1152"/>
        <v>31460.515620748891</v>
      </c>
      <c r="AF378" s="1726">
        <f t="shared" si="1152"/>
        <v>31558.66800370545</v>
      </c>
      <c r="AG378" s="1726">
        <f t="shared" si="1152"/>
        <v>31656.820386662006</v>
      </c>
      <c r="AH378" s="1726">
        <f t="shared" si="1152"/>
        <v>31754.972769618569</v>
      </c>
      <c r="AI378" s="1726">
        <f t="shared" si="1152"/>
        <v>31853.125152575129</v>
      </c>
    </row>
    <row r="379" spans="2:35" x14ac:dyDescent="0.35">
      <c r="B379" s="726" t="s">
        <v>279</v>
      </c>
      <c r="C379" s="726"/>
      <c r="D379" s="726"/>
      <c r="E379" s="726"/>
      <c r="F379" s="1726">
        <f t="shared" ref="F379:AI379" si="1153">F95*$J$36</f>
        <v>78114.947906762696</v>
      </c>
      <c r="G379" s="1726">
        <f t="shared" si="1153"/>
        <v>78792.318192112216</v>
      </c>
      <c r="H379" s="1726">
        <f t="shared" si="1153"/>
        <v>79469.68847746175</v>
      </c>
      <c r="I379" s="1726">
        <f t="shared" si="1153"/>
        <v>80147.05876281127</v>
      </c>
      <c r="J379" s="1726">
        <f t="shared" si="1153"/>
        <v>80824.429048160804</v>
      </c>
      <c r="K379" s="1726">
        <f t="shared" si="1153"/>
        <v>81491.689329251371</v>
      </c>
      <c r="L379" s="1726">
        <f t="shared" si="1153"/>
        <v>82027.519554975617</v>
      </c>
      <c r="M379" s="1726">
        <f t="shared" si="1153"/>
        <v>82563.349780699864</v>
      </c>
      <c r="N379" s="1726">
        <f t="shared" si="1153"/>
        <v>83099.180006424125</v>
      </c>
      <c r="O379" s="1726">
        <f t="shared" si="1153"/>
        <v>83635.010232148372</v>
      </c>
      <c r="P379" s="1726">
        <f t="shared" si="1153"/>
        <v>84175.89546000211</v>
      </c>
      <c r="Q379" s="1726">
        <f t="shared" si="1153"/>
        <v>84605.570641007405</v>
      </c>
      <c r="R379" s="1726">
        <f t="shared" si="1153"/>
        <v>85035.245822012686</v>
      </c>
      <c r="S379" s="1726">
        <f t="shared" si="1153"/>
        <v>85464.921003017982</v>
      </c>
      <c r="T379" s="1726">
        <f t="shared" si="1153"/>
        <v>85894.596184023292</v>
      </c>
      <c r="U379" s="1726">
        <f t="shared" si="1153"/>
        <v>86329.32636715805</v>
      </c>
      <c r="V379" s="1726">
        <f t="shared" si="1153"/>
        <v>86607.351484279119</v>
      </c>
      <c r="W379" s="1726">
        <f t="shared" si="1153"/>
        <v>86885.376601400189</v>
      </c>
      <c r="X379" s="1726">
        <f t="shared" si="1153"/>
        <v>87163.401718521258</v>
      </c>
      <c r="Y379" s="1726">
        <f t="shared" si="1153"/>
        <v>87441.426835642327</v>
      </c>
      <c r="Z379" s="1726">
        <f t="shared" si="1153"/>
        <v>87724.506954892888</v>
      </c>
      <c r="AA379" s="1726">
        <f t="shared" si="1153"/>
        <v>88002.532072013957</v>
      </c>
      <c r="AB379" s="1726">
        <f t="shared" si="1153"/>
        <v>88280.557189135026</v>
      </c>
      <c r="AC379" s="1726">
        <f t="shared" si="1153"/>
        <v>88558.582306256096</v>
      </c>
      <c r="AD379" s="1726">
        <f t="shared" si="1153"/>
        <v>88836.60742337718</v>
      </c>
      <c r="AE379" s="1726">
        <f t="shared" si="1153"/>
        <v>89114.632540498264</v>
      </c>
      <c r="AF379" s="1726">
        <f t="shared" si="1153"/>
        <v>89392.657657619333</v>
      </c>
      <c r="AG379" s="1726">
        <f t="shared" si="1153"/>
        <v>89670.682774740402</v>
      </c>
      <c r="AH379" s="1726">
        <f t="shared" si="1153"/>
        <v>89948.707891861486</v>
      </c>
      <c r="AI379" s="1726">
        <f t="shared" si="1153"/>
        <v>90226.733008982555</v>
      </c>
    </row>
    <row r="380" spans="2:35" x14ac:dyDescent="0.35">
      <c r="B380" s="726" t="s">
        <v>280</v>
      </c>
      <c r="C380" s="726"/>
      <c r="D380" s="726"/>
      <c r="E380" s="726"/>
      <c r="F380" s="1726">
        <f t="shared" ref="F380:AI380" si="1154">F95*$J$37</f>
        <v>90033.211813851565</v>
      </c>
      <c r="G380" s="1726">
        <f t="shared" si="1154"/>
        <v>90813.930792888408</v>
      </c>
      <c r="H380" s="1726">
        <f t="shared" si="1154"/>
        <v>91594.649771925237</v>
      </c>
      <c r="I380" s="1726">
        <f t="shared" si="1154"/>
        <v>92375.368750962065</v>
      </c>
      <c r="J380" s="1726">
        <f t="shared" si="1154"/>
        <v>93156.087729998893</v>
      </c>
      <c r="K380" s="1726">
        <f t="shared" si="1154"/>
        <v>93925.154186960543</v>
      </c>
      <c r="L380" s="1726">
        <f t="shared" si="1154"/>
        <v>94542.737856944877</v>
      </c>
      <c r="M380" s="1726">
        <f t="shared" si="1154"/>
        <v>95160.321526929241</v>
      </c>
      <c r="N380" s="1726">
        <f t="shared" si="1154"/>
        <v>95777.90519691362</v>
      </c>
      <c r="O380" s="1726">
        <f t="shared" si="1154"/>
        <v>96395.488866897955</v>
      </c>
      <c r="P380" s="1726">
        <f t="shared" si="1154"/>
        <v>97018.89879791993</v>
      </c>
      <c r="Q380" s="1726">
        <f t="shared" si="1154"/>
        <v>97514.13098611492</v>
      </c>
      <c r="R380" s="1726">
        <f t="shared" si="1154"/>
        <v>98009.363174309925</v>
      </c>
      <c r="S380" s="1726">
        <f t="shared" si="1154"/>
        <v>98504.595362504915</v>
      </c>
      <c r="T380" s="1726">
        <f t="shared" si="1154"/>
        <v>98999.827550699934</v>
      </c>
      <c r="U380" s="1726">
        <f t="shared" si="1154"/>
        <v>99500.885999932507</v>
      </c>
      <c r="V380" s="1726">
        <f t="shared" si="1154"/>
        <v>99821.330356999853</v>
      </c>
      <c r="W380" s="1726">
        <f t="shared" si="1154"/>
        <v>100141.77471406723</v>
      </c>
      <c r="X380" s="1726">
        <f t="shared" si="1154"/>
        <v>100462.21907113458</v>
      </c>
      <c r="Y380" s="1726">
        <f t="shared" si="1154"/>
        <v>100782.66342820192</v>
      </c>
      <c r="Z380" s="1726">
        <f t="shared" si="1154"/>
        <v>101108.93404630687</v>
      </c>
      <c r="AA380" s="1726">
        <f t="shared" si="1154"/>
        <v>101429.37840337421</v>
      </c>
      <c r="AB380" s="1726">
        <f t="shared" si="1154"/>
        <v>101749.82276044159</v>
      </c>
      <c r="AC380" s="1726">
        <f t="shared" si="1154"/>
        <v>102070.26711750893</v>
      </c>
      <c r="AD380" s="1726">
        <f t="shared" si="1154"/>
        <v>102390.7114745763</v>
      </c>
      <c r="AE380" s="1726">
        <f t="shared" si="1154"/>
        <v>102711.15583164367</v>
      </c>
      <c r="AF380" s="1726">
        <f t="shared" si="1154"/>
        <v>103031.60018871102</v>
      </c>
      <c r="AG380" s="1726">
        <f t="shared" si="1154"/>
        <v>103352.04454577836</v>
      </c>
      <c r="AH380" s="1726">
        <f t="shared" si="1154"/>
        <v>103672.48890284573</v>
      </c>
      <c r="AI380" s="1726">
        <f t="shared" si="1154"/>
        <v>103992.93325991307</v>
      </c>
    </row>
    <row r="381" spans="2:35" x14ac:dyDescent="0.35">
      <c r="B381" s="726" t="s">
        <v>281</v>
      </c>
      <c r="C381" s="726"/>
      <c r="D381" s="726"/>
      <c r="E381" s="726"/>
      <c r="F381" s="1726">
        <f t="shared" ref="F381:AI381" si="1155">F95*$J$38</f>
        <v>64645.014092733712</v>
      </c>
      <c r="G381" s="1726">
        <f t="shared" si="1155"/>
        <v>65205.580448032117</v>
      </c>
      <c r="H381" s="1726">
        <f t="shared" si="1155"/>
        <v>65766.146803330528</v>
      </c>
      <c r="I381" s="1726">
        <f t="shared" si="1155"/>
        <v>66326.713158628947</v>
      </c>
      <c r="J381" s="1726">
        <f t="shared" si="1155"/>
        <v>66887.279513927351</v>
      </c>
      <c r="K381" s="1726">
        <f t="shared" si="1155"/>
        <v>67439.479207206372</v>
      </c>
      <c r="L381" s="1726">
        <f t="shared" si="1155"/>
        <v>67882.912294233465</v>
      </c>
      <c r="M381" s="1726">
        <f t="shared" si="1155"/>
        <v>68326.345381260573</v>
      </c>
      <c r="N381" s="1726">
        <f t="shared" si="1155"/>
        <v>68769.778468287681</v>
      </c>
      <c r="O381" s="1726">
        <f t="shared" si="1155"/>
        <v>69213.211555314774</v>
      </c>
      <c r="P381" s="1726">
        <f t="shared" si="1155"/>
        <v>69660.827973351581</v>
      </c>
      <c r="Q381" s="1726">
        <f t="shared" si="1155"/>
        <v>70016.411109175184</v>
      </c>
      <c r="R381" s="1726">
        <f t="shared" si="1155"/>
        <v>70371.994244998801</v>
      </c>
      <c r="S381" s="1726">
        <f t="shared" si="1155"/>
        <v>70727.577380822418</v>
      </c>
      <c r="T381" s="1726">
        <f t="shared" si="1155"/>
        <v>71083.160516646036</v>
      </c>
      <c r="U381" s="1726">
        <f t="shared" si="1155"/>
        <v>71442.926983479338</v>
      </c>
      <c r="V381" s="1726">
        <f t="shared" si="1155"/>
        <v>71673.010189012261</v>
      </c>
      <c r="W381" s="1726">
        <f t="shared" si="1155"/>
        <v>71903.093394545198</v>
      </c>
      <c r="X381" s="1726">
        <f t="shared" si="1155"/>
        <v>72133.176600078121</v>
      </c>
      <c r="Y381" s="1726">
        <f t="shared" si="1155"/>
        <v>72363.259805611058</v>
      </c>
      <c r="Z381" s="1726">
        <f t="shared" si="1155"/>
        <v>72597.52634215368</v>
      </c>
      <c r="AA381" s="1726">
        <f t="shared" si="1155"/>
        <v>72827.609547686603</v>
      </c>
      <c r="AB381" s="1726">
        <f t="shared" si="1155"/>
        <v>73057.69275321954</v>
      </c>
      <c r="AC381" s="1726">
        <f t="shared" si="1155"/>
        <v>73287.775958752463</v>
      </c>
      <c r="AD381" s="1726">
        <f t="shared" si="1155"/>
        <v>73517.859164285401</v>
      </c>
      <c r="AE381" s="1726">
        <f t="shared" si="1155"/>
        <v>73747.942369818338</v>
      </c>
      <c r="AF381" s="1726">
        <f t="shared" si="1155"/>
        <v>73978.025575351261</v>
      </c>
      <c r="AG381" s="1726">
        <f t="shared" si="1155"/>
        <v>74208.108780884184</v>
      </c>
      <c r="AH381" s="1726">
        <f t="shared" si="1155"/>
        <v>74438.191986417121</v>
      </c>
      <c r="AI381" s="1726">
        <f t="shared" si="1155"/>
        <v>74668.275191950044</v>
      </c>
    </row>
    <row r="382" spans="2:35" x14ac:dyDescent="0.35">
      <c r="B382" s="726" t="s">
        <v>282</v>
      </c>
      <c r="C382" s="726"/>
      <c r="D382" s="726"/>
      <c r="E382" s="726"/>
      <c r="F382" s="1726">
        <f t="shared" ref="F382:AI382" si="1156">F95*$J$39</f>
        <v>58862.862029828815</v>
      </c>
      <c r="G382" s="1726">
        <f t="shared" si="1156"/>
        <v>59373.288711508554</v>
      </c>
      <c r="H382" s="1726">
        <f t="shared" si="1156"/>
        <v>59883.7153931883</v>
      </c>
      <c r="I382" s="1726">
        <f t="shared" si="1156"/>
        <v>60394.142074868047</v>
      </c>
      <c r="J382" s="1726">
        <f t="shared" si="1156"/>
        <v>60904.568756547786</v>
      </c>
      <c r="K382" s="1726">
        <f t="shared" si="1156"/>
        <v>61407.377129545741</v>
      </c>
      <c r="L382" s="1726">
        <f t="shared" si="1156"/>
        <v>61811.147489680458</v>
      </c>
      <c r="M382" s="1726">
        <f t="shared" si="1156"/>
        <v>62214.917849815181</v>
      </c>
      <c r="N382" s="1726">
        <f t="shared" si="1156"/>
        <v>62618.688209949905</v>
      </c>
      <c r="O382" s="1726">
        <f t="shared" si="1156"/>
        <v>63022.458570084622</v>
      </c>
      <c r="P382" s="1726">
        <f t="shared" si="1156"/>
        <v>63430.038084560249</v>
      </c>
      <c r="Q382" s="1726">
        <f t="shared" si="1156"/>
        <v>63753.816203536204</v>
      </c>
      <c r="R382" s="1726">
        <f t="shared" si="1156"/>
        <v>64077.594322512152</v>
      </c>
      <c r="S382" s="1726">
        <f t="shared" si="1156"/>
        <v>64401.372441488107</v>
      </c>
      <c r="T382" s="1726">
        <f t="shared" si="1156"/>
        <v>64725.15056046407</v>
      </c>
      <c r="U382" s="1726">
        <f t="shared" si="1156"/>
        <v>65052.737833780913</v>
      </c>
      <c r="V382" s="1726">
        <f t="shared" si="1156"/>
        <v>65262.241322530055</v>
      </c>
      <c r="W382" s="1726">
        <f t="shared" si="1156"/>
        <v>65471.744811279212</v>
      </c>
      <c r="X382" s="1726">
        <f t="shared" si="1156"/>
        <v>65681.248300028354</v>
      </c>
      <c r="Y382" s="1726">
        <f t="shared" si="1156"/>
        <v>65890.751788777503</v>
      </c>
      <c r="Z382" s="1726">
        <f t="shared" si="1156"/>
        <v>66104.064431867548</v>
      </c>
      <c r="AA382" s="1726">
        <f t="shared" si="1156"/>
        <v>66313.567920616682</v>
      </c>
      <c r="AB382" s="1726">
        <f t="shared" si="1156"/>
        <v>66523.071409365846</v>
      </c>
      <c r="AC382" s="1726">
        <f t="shared" si="1156"/>
        <v>66732.574898114981</v>
      </c>
      <c r="AD382" s="1726">
        <f t="shared" si="1156"/>
        <v>66942.078386864145</v>
      </c>
      <c r="AE382" s="1726">
        <f t="shared" si="1156"/>
        <v>67151.581875613294</v>
      </c>
      <c r="AF382" s="1726">
        <f t="shared" si="1156"/>
        <v>67361.085364362443</v>
      </c>
      <c r="AG382" s="1726">
        <f t="shared" si="1156"/>
        <v>67570.588853111578</v>
      </c>
      <c r="AH382" s="1726">
        <f t="shared" si="1156"/>
        <v>67780.092341860742</v>
      </c>
      <c r="AI382" s="1726">
        <f t="shared" si="1156"/>
        <v>67989.595830609876</v>
      </c>
    </row>
    <row r="383" spans="2:35" x14ac:dyDescent="0.35">
      <c r="B383" s="726" t="s">
        <v>283</v>
      </c>
      <c r="C383" s="726"/>
      <c r="D383" s="726"/>
      <c r="E383" s="726"/>
      <c r="F383" s="1726">
        <f t="shared" ref="F383:AI383" si="1157">F95*$J$40</f>
        <v>14171.36880476754</v>
      </c>
      <c r="G383" s="1726">
        <f t="shared" si="1157"/>
        <v>14294.2551970434</v>
      </c>
      <c r="H383" s="1726">
        <f t="shared" si="1157"/>
        <v>14417.141589319259</v>
      </c>
      <c r="I383" s="1726">
        <f t="shared" si="1157"/>
        <v>14540.027981595118</v>
      </c>
      <c r="J383" s="1726">
        <f t="shared" si="1157"/>
        <v>14662.914373870977</v>
      </c>
      <c r="K383" s="1726">
        <f t="shared" si="1157"/>
        <v>14783.966640888986</v>
      </c>
      <c r="L383" s="1726">
        <f t="shared" si="1157"/>
        <v>14881.175279554964</v>
      </c>
      <c r="M383" s="1726">
        <f t="shared" si="1157"/>
        <v>14978.383918220943</v>
      </c>
      <c r="N383" s="1726">
        <f t="shared" si="1157"/>
        <v>15075.592556886922</v>
      </c>
      <c r="O383" s="1726">
        <f t="shared" si="1157"/>
        <v>15172.801195552898</v>
      </c>
      <c r="P383" s="1726">
        <f t="shared" si="1157"/>
        <v>15270.926896847805</v>
      </c>
      <c r="Q383" s="1726">
        <f t="shared" si="1157"/>
        <v>15348.877220306371</v>
      </c>
      <c r="R383" s="1726">
        <f t="shared" si="1157"/>
        <v>15426.827543764937</v>
      </c>
      <c r="S383" s="1726">
        <f t="shared" si="1157"/>
        <v>15504.777867223504</v>
      </c>
      <c r="T383" s="1726">
        <f t="shared" si="1157"/>
        <v>15582.728190682072</v>
      </c>
      <c r="U383" s="1726">
        <f t="shared" si="1157"/>
        <v>15661.595576769561</v>
      </c>
      <c r="V383" s="1726">
        <f t="shared" si="1157"/>
        <v>15712.034021360399</v>
      </c>
      <c r="W383" s="1726">
        <f t="shared" si="1157"/>
        <v>15762.472465951238</v>
      </c>
      <c r="X383" s="1726">
        <f t="shared" si="1157"/>
        <v>15812.910910542074</v>
      </c>
      <c r="Y383" s="1726">
        <f t="shared" si="1157"/>
        <v>15863.349355132912</v>
      </c>
      <c r="Z383" s="1726">
        <f t="shared" si="1157"/>
        <v>15914.704862352673</v>
      </c>
      <c r="AA383" s="1726">
        <f t="shared" si="1157"/>
        <v>15965.143306943512</v>
      </c>
      <c r="AB383" s="1726">
        <f t="shared" si="1157"/>
        <v>16015.58175153435</v>
      </c>
      <c r="AC383" s="1726">
        <f t="shared" si="1157"/>
        <v>16066.020196125186</v>
      </c>
      <c r="AD383" s="1726">
        <f t="shared" si="1157"/>
        <v>16116.458640716026</v>
      </c>
      <c r="AE383" s="1726">
        <f t="shared" si="1157"/>
        <v>16166.897085306866</v>
      </c>
      <c r="AF383" s="1726">
        <f t="shared" si="1157"/>
        <v>16217.335529897702</v>
      </c>
      <c r="AG383" s="1726">
        <f t="shared" si="1157"/>
        <v>16267.773974488538</v>
      </c>
      <c r="AH383" s="1726">
        <f t="shared" si="1157"/>
        <v>16318.212419079378</v>
      </c>
      <c r="AI383" s="1726">
        <f t="shared" si="1157"/>
        <v>16368.650863670215</v>
      </c>
    </row>
    <row r="384" spans="2:35" x14ac:dyDescent="0.35">
      <c r="B384" s="726" t="s">
        <v>12</v>
      </c>
      <c r="C384" s="726"/>
      <c r="D384" s="726"/>
      <c r="E384" s="726"/>
      <c r="F384" s="1726">
        <f t="shared" ref="F384:AI384" si="1158">F95*$J$41</f>
        <v>42475.883546015626</v>
      </c>
      <c r="G384" s="1726">
        <f t="shared" si="1158"/>
        <v>42844.211274946327</v>
      </c>
      <c r="H384" s="1726">
        <f t="shared" si="1158"/>
        <v>43212.53900387702</v>
      </c>
      <c r="I384" s="1726">
        <f t="shared" si="1158"/>
        <v>43580.866732807721</v>
      </c>
      <c r="J384" s="1726">
        <f t="shared" si="1158"/>
        <v>43949.194461738422</v>
      </c>
      <c r="K384" s="1726">
        <f t="shared" si="1158"/>
        <v>44312.024761879111</v>
      </c>
      <c r="L384" s="1726">
        <f t="shared" si="1158"/>
        <v>44603.388487749653</v>
      </c>
      <c r="M384" s="1726">
        <f t="shared" si="1158"/>
        <v>44894.75221362021</v>
      </c>
      <c r="N384" s="1726">
        <f t="shared" si="1158"/>
        <v>45186.115939490766</v>
      </c>
      <c r="O384" s="1726">
        <f t="shared" si="1158"/>
        <v>45477.479665361316</v>
      </c>
      <c r="P384" s="1726">
        <f t="shared" si="1158"/>
        <v>45771.592105626885</v>
      </c>
      <c r="Q384" s="1726">
        <f t="shared" si="1158"/>
        <v>46005.232829202323</v>
      </c>
      <c r="R384" s="1726">
        <f t="shared" si="1158"/>
        <v>46238.873552777768</v>
      </c>
      <c r="S384" s="1726">
        <f t="shared" si="1158"/>
        <v>46472.514276353206</v>
      </c>
      <c r="T384" s="1726">
        <f t="shared" si="1158"/>
        <v>46706.154999928658</v>
      </c>
      <c r="U384" s="1726">
        <f t="shared" si="1158"/>
        <v>46942.544437899101</v>
      </c>
      <c r="V384" s="1726">
        <f t="shared" si="1158"/>
        <v>47093.723729624384</v>
      </c>
      <c r="W384" s="1726">
        <f t="shared" si="1158"/>
        <v>47244.903021349674</v>
      </c>
      <c r="X384" s="1726">
        <f t="shared" si="1158"/>
        <v>47396.082313074963</v>
      </c>
      <c r="Y384" s="1726">
        <f t="shared" si="1158"/>
        <v>47547.261604800246</v>
      </c>
      <c r="Z384" s="1726">
        <f t="shared" si="1158"/>
        <v>47701.189610920541</v>
      </c>
      <c r="AA384" s="1726">
        <f t="shared" si="1158"/>
        <v>47852.368902645823</v>
      </c>
      <c r="AB384" s="1726">
        <f t="shared" si="1158"/>
        <v>48003.548194371113</v>
      </c>
      <c r="AC384" s="1726">
        <f t="shared" si="1158"/>
        <v>48154.727486096395</v>
      </c>
      <c r="AD384" s="1726">
        <f t="shared" si="1158"/>
        <v>48305.906777821692</v>
      </c>
      <c r="AE384" s="1726">
        <f t="shared" si="1158"/>
        <v>48457.086069546982</v>
      </c>
      <c r="AF384" s="1726">
        <f t="shared" si="1158"/>
        <v>48608.265361272264</v>
      </c>
      <c r="AG384" s="1726">
        <f t="shared" si="1158"/>
        <v>48759.444652997547</v>
      </c>
      <c r="AH384" s="1726">
        <f t="shared" si="1158"/>
        <v>48910.623944722844</v>
      </c>
      <c r="AI384" s="1726">
        <f t="shared" si="1158"/>
        <v>49061.803236448126</v>
      </c>
    </row>
    <row r="385" spans="2:35" x14ac:dyDescent="0.35">
      <c r="B385" s="726" t="s">
        <v>13</v>
      </c>
      <c r="C385" s="726"/>
      <c r="D385" s="726"/>
      <c r="E385" s="726"/>
      <c r="F385" s="1726">
        <f t="shared" ref="F385:AI385" si="1159">F95*$J$42</f>
        <v>2750.6389216832895</v>
      </c>
      <c r="G385" s="1726">
        <f t="shared" si="1159"/>
        <v>2774.4909643614465</v>
      </c>
      <c r="H385" s="1726">
        <f t="shared" si="1159"/>
        <v>2798.3430070396039</v>
      </c>
      <c r="I385" s="1726">
        <f t="shared" si="1159"/>
        <v>2822.1950497177609</v>
      </c>
      <c r="J385" s="1726">
        <f t="shared" si="1159"/>
        <v>2846.0470923959178</v>
      </c>
      <c r="K385" s="1726">
        <f t="shared" si="1159"/>
        <v>2869.5431344370872</v>
      </c>
      <c r="L385" s="1726">
        <f t="shared" si="1159"/>
        <v>2888.4111681974205</v>
      </c>
      <c r="M385" s="1726">
        <f t="shared" si="1159"/>
        <v>2907.2792019577537</v>
      </c>
      <c r="N385" s="1726">
        <f t="shared" si="1159"/>
        <v>2926.1472357180869</v>
      </c>
      <c r="O385" s="1726">
        <f t="shared" si="1159"/>
        <v>2945.0152694784201</v>
      </c>
      <c r="P385" s="1726">
        <f t="shared" si="1159"/>
        <v>2964.0613035572474</v>
      </c>
      <c r="Q385" s="1726">
        <f t="shared" si="1159"/>
        <v>2979.1913306292126</v>
      </c>
      <c r="R385" s="1726">
        <f t="shared" si="1159"/>
        <v>2994.3213577011775</v>
      </c>
      <c r="S385" s="1726">
        <f t="shared" si="1159"/>
        <v>3009.4513847731428</v>
      </c>
      <c r="T385" s="1726">
        <f t="shared" si="1159"/>
        <v>3024.5814118451085</v>
      </c>
      <c r="U385" s="1726">
        <f t="shared" si="1159"/>
        <v>3039.8894392355669</v>
      </c>
      <c r="V385" s="1726">
        <f t="shared" si="1159"/>
        <v>3049.6794567527209</v>
      </c>
      <c r="W385" s="1726">
        <f t="shared" si="1159"/>
        <v>3059.4694742698753</v>
      </c>
      <c r="X385" s="1726">
        <f t="shared" si="1159"/>
        <v>3069.2594917870292</v>
      </c>
      <c r="Y385" s="1726">
        <f t="shared" si="1159"/>
        <v>3079.0495093041827</v>
      </c>
      <c r="Z385" s="1726">
        <f t="shared" si="1159"/>
        <v>3089.0175271398307</v>
      </c>
      <c r="AA385" s="1726">
        <f t="shared" si="1159"/>
        <v>3098.8075446569846</v>
      </c>
      <c r="AB385" s="1726">
        <f t="shared" si="1159"/>
        <v>3108.5975621741391</v>
      </c>
      <c r="AC385" s="1726">
        <f t="shared" si="1159"/>
        <v>3118.3875796912926</v>
      </c>
      <c r="AD385" s="1726">
        <f t="shared" si="1159"/>
        <v>3128.177597208447</v>
      </c>
      <c r="AE385" s="1726">
        <f t="shared" si="1159"/>
        <v>3137.9676147256014</v>
      </c>
      <c r="AF385" s="1726">
        <f t="shared" si="1159"/>
        <v>3147.7576322427553</v>
      </c>
      <c r="AG385" s="1726">
        <f t="shared" si="1159"/>
        <v>3157.5476497599088</v>
      </c>
      <c r="AH385" s="1726">
        <f t="shared" si="1159"/>
        <v>3167.3376672770632</v>
      </c>
      <c r="AI385" s="1726">
        <f t="shared" si="1159"/>
        <v>3177.1276847942172</v>
      </c>
    </row>
    <row r="386" spans="2:35" x14ac:dyDescent="0.35">
      <c r="B386" s="726" t="s">
        <v>14</v>
      </c>
      <c r="C386" s="726"/>
      <c r="D386" s="726"/>
      <c r="E386" s="726"/>
      <c r="F386" s="1726">
        <f t="shared" ref="F386:AI386" si="1160">F95*$J$43</f>
        <v>25075.155677226834</v>
      </c>
      <c r="G386" s="1726">
        <f t="shared" si="1160"/>
        <v>25292.593770849326</v>
      </c>
      <c r="H386" s="1726">
        <f t="shared" si="1160"/>
        <v>25510.031864471821</v>
      </c>
      <c r="I386" s="1726">
        <f t="shared" si="1160"/>
        <v>25727.469958094316</v>
      </c>
      <c r="J386" s="1726">
        <f t="shared" si="1160"/>
        <v>25944.908051716808</v>
      </c>
      <c r="K386" s="1726">
        <f t="shared" si="1160"/>
        <v>26159.100800658369</v>
      </c>
      <c r="L386" s="1726">
        <f t="shared" si="1160"/>
        <v>26331.104068747802</v>
      </c>
      <c r="M386" s="1726">
        <f t="shared" si="1160"/>
        <v>26503.107336837238</v>
      </c>
      <c r="N386" s="1726">
        <f t="shared" si="1160"/>
        <v>26675.110604926675</v>
      </c>
      <c r="O386" s="1726">
        <f t="shared" si="1160"/>
        <v>26847.113873016107</v>
      </c>
      <c r="P386" s="1726">
        <f t="shared" si="1160"/>
        <v>27020.739813446016</v>
      </c>
      <c r="Q386" s="1726">
        <f t="shared" si="1160"/>
        <v>27158.666962385654</v>
      </c>
      <c r="R386" s="1726">
        <f t="shared" si="1160"/>
        <v>27296.594111325296</v>
      </c>
      <c r="S386" s="1726">
        <f t="shared" si="1160"/>
        <v>27434.521260264937</v>
      </c>
      <c r="T386" s="1726">
        <f t="shared" si="1160"/>
        <v>27572.448409204579</v>
      </c>
      <c r="U386" s="1726">
        <f t="shared" si="1160"/>
        <v>27711.998230484685</v>
      </c>
      <c r="V386" s="1726">
        <f t="shared" si="1160"/>
        <v>27801.245209210334</v>
      </c>
      <c r="W386" s="1726">
        <f t="shared" si="1160"/>
        <v>27890.492187935986</v>
      </c>
      <c r="X386" s="1726">
        <f t="shared" si="1160"/>
        <v>27979.739166661635</v>
      </c>
      <c r="Y386" s="1726">
        <f t="shared" si="1160"/>
        <v>28068.986145387284</v>
      </c>
      <c r="Z386" s="1726">
        <f t="shared" si="1160"/>
        <v>28159.855796453401</v>
      </c>
      <c r="AA386" s="1726">
        <f t="shared" si="1160"/>
        <v>28249.10277517905</v>
      </c>
      <c r="AB386" s="1726">
        <f t="shared" si="1160"/>
        <v>28338.349753904706</v>
      </c>
      <c r="AC386" s="1726">
        <f t="shared" si="1160"/>
        <v>28427.596732630354</v>
      </c>
      <c r="AD386" s="1726">
        <f t="shared" si="1160"/>
        <v>28516.843711356007</v>
      </c>
      <c r="AE386" s="1726">
        <f t="shared" si="1160"/>
        <v>28606.090690081659</v>
      </c>
      <c r="AF386" s="1726">
        <f t="shared" si="1160"/>
        <v>28695.337668807308</v>
      </c>
      <c r="AG386" s="1726">
        <f t="shared" si="1160"/>
        <v>28784.584647532956</v>
      </c>
      <c r="AH386" s="1726">
        <f t="shared" si="1160"/>
        <v>28873.831626258609</v>
      </c>
      <c r="AI386" s="1726">
        <f t="shared" si="1160"/>
        <v>28963.078604984257</v>
      </c>
    </row>
    <row r="387" spans="2:35" x14ac:dyDescent="0.35">
      <c r="B387" s="1733" t="s">
        <v>200</v>
      </c>
      <c r="C387" s="1733"/>
      <c r="D387" s="1733"/>
      <c r="E387" s="1733"/>
      <c r="F387" s="1734">
        <f>SUM(F376:F386)</f>
        <v>595317.57123149117</v>
      </c>
      <c r="G387" s="1734">
        <f t="shared" ref="G387" si="1161">SUM(G376:G386)</f>
        <v>600479.84098785045</v>
      </c>
      <c r="H387" s="1734">
        <f t="shared" ref="H387" si="1162">SUM(H376:H386)</f>
        <v>605642.11074420973</v>
      </c>
      <c r="I387" s="1734">
        <f t="shared" ref="I387" si="1163">SUM(I376:I386)</f>
        <v>610804.38050056901</v>
      </c>
      <c r="J387" s="1734">
        <f t="shared" ref="J387" si="1164">SUM(J376:J386)</f>
        <v>615966.65025692841</v>
      </c>
      <c r="K387" s="1734">
        <f t="shared" ref="K387" si="1165">SUM(K376:K386)</f>
        <v>621051.8712109538</v>
      </c>
      <c r="L387" s="1734">
        <f t="shared" ref="L387" si="1166">SUM(L376:L386)</f>
        <v>625135.45773464092</v>
      </c>
      <c r="M387" s="1734">
        <f t="shared" ref="M387" si="1167">SUM(M376:M386)</f>
        <v>629219.04425832815</v>
      </c>
      <c r="N387" s="1734">
        <f t="shared" ref="N387" si="1168">SUM(N376:N386)</f>
        <v>633302.63078201551</v>
      </c>
      <c r="O387" s="1734">
        <f t="shared" ref="O387" si="1169">SUM(O376:O386)</f>
        <v>637386.21730570262</v>
      </c>
      <c r="P387" s="1734">
        <f t="shared" ref="P387" si="1170">SUM(P376:P386)</f>
        <v>641508.32823055668</v>
      </c>
      <c r="Q387" s="1734">
        <f t="shared" ref="Q387" si="1171">SUM(Q376:Q386)</f>
        <v>644782.90232973977</v>
      </c>
      <c r="R387" s="1734">
        <f t="shared" ref="R387" si="1172">SUM(R376:R386)</f>
        <v>648057.47642892308</v>
      </c>
      <c r="S387" s="1734">
        <f t="shared" ref="S387" si="1173">SUM(S376:S386)</f>
        <v>651332.05052810581</v>
      </c>
      <c r="T387" s="1734">
        <f t="shared" ref="T387" si="1174">SUM(T376:T386)</f>
        <v>654606.62462728925</v>
      </c>
      <c r="U387" s="1734">
        <f t="shared" ref="U387" si="1175">SUM(U376:U386)</f>
        <v>657919.72312763904</v>
      </c>
      <c r="V387" s="1734">
        <f t="shared" ref="V387" si="1176">SUM(V376:V386)</f>
        <v>660038.56519181642</v>
      </c>
      <c r="W387" s="1734">
        <f t="shared" ref="W387" si="1177">SUM(W376:W386)</f>
        <v>662157.40725599369</v>
      </c>
      <c r="X387" s="1734">
        <f t="shared" ref="X387" si="1178">SUM(X376:X386)</f>
        <v>664276.24932017107</v>
      </c>
      <c r="Y387" s="1734">
        <f t="shared" ref="Y387" si="1179">SUM(Y376:Y386)</f>
        <v>666395.09138434823</v>
      </c>
      <c r="Z387" s="1734">
        <f t="shared" ref="Z387" si="1180">SUM(Z376:Z386)</f>
        <v>668552.45784969255</v>
      </c>
      <c r="AA387" s="1734">
        <f t="shared" ref="AA387" si="1181">SUM(AA376:AA386)</f>
        <v>670671.29991386971</v>
      </c>
      <c r="AB387" s="1734">
        <f t="shared" ref="AB387" si="1182">SUM(AB376:AB386)</f>
        <v>672790.14197804721</v>
      </c>
      <c r="AC387" s="1734">
        <f t="shared" ref="AC387" si="1183">SUM(AC376:AC386)</f>
        <v>674908.98404222436</v>
      </c>
      <c r="AD387" s="1734">
        <f t="shared" ref="AD387" si="1184">SUM(AD376:AD386)</f>
        <v>677027.82610640186</v>
      </c>
      <c r="AE387" s="1734">
        <f t="shared" ref="AE387" si="1185">SUM(AE376:AE386)</f>
        <v>679146.66817057913</v>
      </c>
      <c r="AF387" s="1734">
        <f t="shared" ref="AF387" si="1186">SUM(AF376:AF386)</f>
        <v>681265.51023475651</v>
      </c>
      <c r="AG387" s="1734">
        <f t="shared" ref="AG387" si="1187">SUM(AG376:AG386)</f>
        <v>683384.35229893355</v>
      </c>
      <c r="AH387" s="1734">
        <f t="shared" ref="AH387" si="1188">SUM(AH376:AH386)</f>
        <v>685503.19436311093</v>
      </c>
      <c r="AI387" s="1734">
        <f t="shared" ref="AI387" si="1189">SUM(AI376:AI386)</f>
        <v>687622.0364272882</v>
      </c>
    </row>
    <row r="388" spans="2:35" x14ac:dyDescent="0.35">
      <c r="E388" s="281" t="s">
        <v>332</v>
      </c>
      <c r="F388" s="1725">
        <f t="shared" ref="F388:AI388" si="1190">F387-F95</f>
        <v>0</v>
      </c>
      <c r="G388" s="1725">
        <f t="shared" si="1190"/>
        <v>0</v>
      </c>
      <c r="H388" s="1725">
        <f t="shared" si="1190"/>
        <v>0</v>
      </c>
      <c r="I388" s="1725">
        <f t="shared" si="1190"/>
        <v>0</v>
      </c>
      <c r="J388" s="1725">
        <f t="shared" si="1190"/>
        <v>0</v>
      </c>
      <c r="K388" s="1725">
        <f t="shared" si="1190"/>
        <v>0</v>
      </c>
      <c r="L388" s="1725">
        <f t="shared" si="1190"/>
        <v>0</v>
      </c>
      <c r="M388" s="1725">
        <f t="shared" si="1190"/>
        <v>0</v>
      </c>
      <c r="N388" s="1725">
        <f t="shared" si="1190"/>
        <v>0</v>
      </c>
      <c r="O388" s="1725">
        <f t="shared" si="1190"/>
        <v>0</v>
      </c>
      <c r="P388" s="1725">
        <f t="shared" si="1190"/>
        <v>0</v>
      </c>
      <c r="Q388" s="1725">
        <f t="shared" si="1190"/>
        <v>0</v>
      </c>
      <c r="R388" s="1725">
        <f t="shared" si="1190"/>
        <v>0</v>
      </c>
      <c r="S388" s="1725">
        <f t="shared" si="1190"/>
        <v>0</v>
      </c>
      <c r="T388" s="1725">
        <f t="shared" si="1190"/>
        <v>0</v>
      </c>
      <c r="U388" s="1725">
        <f t="shared" si="1190"/>
        <v>0</v>
      </c>
      <c r="V388" s="1725">
        <f t="shared" si="1190"/>
        <v>0</v>
      </c>
      <c r="W388" s="1725">
        <f t="shared" si="1190"/>
        <v>0</v>
      </c>
      <c r="X388" s="1725">
        <f t="shared" si="1190"/>
        <v>0</v>
      </c>
      <c r="Y388" s="1725">
        <f t="shared" si="1190"/>
        <v>0</v>
      </c>
      <c r="Z388" s="1725">
        <f t="shared" si="1190"/>
        <v>0</v>
      </c>
      <c r="AA388" s="1725">
        <f t="shared" si="1190"/>
        <v>0</v>
      </c>
      <c r="AB388" s="1725">
        <f t="shared" si="1190"/>
        <v>0</v>
      </c>
      <c r="AC388" s="1725">
        <f t="shared" si="1190"/>
        <v>0</v>
      </c>
      <c r="AD388" s="1725">
        <f t="shared" si="1190"/>
        <v>0</v>
      </c>
      <c r="AE388" s="1725">
        <f t="shared" si="1190"/>
        <v>0</v>
      </c>
      <c r="AF388" s="1725">
        <f t="shared" si="1190"/>
        <v>0</v>
      </c>
      <c r="AG388" s="1725">
        <f t="shared" si="1190"/>
        <v>0</v>
      </c>
      <c r="AH388" s="1725">
        <f t="shared" si="1190"/>
        <v>0</v>
      </c>
      <c r="AI388" s="1725">
        <f t="shared" si="1190"/>
        <v>0</v>
      </c>
    </row>
    <row r="389" spans="2:35" ht="15.5" x14ac:dyDescent="0.35">
      <c r="B389" s="86" t="s">
        <v>9</v>
      </c>
    </row>
    <row r="390" spans="2:35" x14ac:dyDescent="0.35">
      <c r="B390" s="1731" t="s">
        <v>273</v>
      </c>
      <c r="C390" s="1731"/>
      <c r="D390" s="1731"/>
      <c r="E390" s="1731"/>
      <c r="F390" s="1732">
        <v>1</v>
      </c>
      <c r="G390" s="1732">
        <f>F390+1</f>
        <v>2</v>
      </c>
      <c r="H390" s="1732">
        <f t="shared" ref="H390" si="1191">G390+1</f>
        <v>3</v>
      </c>
      <c r="I390" s="1732">
        <f t="shared" ref="I390" si="1192">H390+1</f>
        <v>4</v>
      </c>
      <c r="J390" s="1732">
        <f t="shared" ref="J390" si="1193">I390+1</f>
        <v>5</v>
      </c>
      <c r="K390" s="1732">
        <f t="shared" ref="K390" si="1194">J390+1</f>
        <v>6</v>
      </c>
      <c r="L390" s="1732">
        <f t="shared" ref="L390" si="1195">K390+1</f>
        <v>7</v>
      </c>
      <c r="M390" s="1732">
        <f t="shared" ref="M390" si="1196">L390+1</f>
        <v>8</v>
      </c>
      <c r="N390" s="1732">
        <f t="shared" ref="N390" si="1197">M390+1</f>
        <v>9</v>
      </c>
      <c r="O390" s="1732">
        <f t="shared" ref="O390" si="1198">N390+1</f>
        <v>10</v>
      </c>
      <c r="P390" s="1732">
        <f t="shared" ref="P390" si="1199">O390+1</f>
        <v>11</v>
      </c>
      <c r="Q390" s="1732">
        <f t="shared" ref="Q390" si="1200">P390+1</f>
        <v>12</v>
      </c>
      <c r="R390" s="1732">
        <f t="shared" ref="R390" si="1201">Q390+1</f>
        <v>13</v>
      </c>
      <c r="S390" s="1732">
        <f t="shared" ref="S390" si="1202">R390+1</f>
        <v>14</v>
      </c>
      <c r="T390" s="1732">
        <f t="shared" ref="T390" si="1203">S390+1</f>
        <v>15</v>
      </c>
      <c r="U390" s="1732">
        <f t="shared" ref="U390" si="1204">T390+1</f>
        <v>16</v>
      </c>
      <c r="V390" s="1732">
        <f t="shared" ref="V390" si="1205">U390+1</f>
        <v>17</v>
      </c>
      <c r="W390" s="1732">
        <f t="shared" ref="W390" si="1206">V390+1</f>
        <v>18</v>
      </c>
      <c r="X390" s="1732">
        <f t="shared" ref="X390" si="1207">W390+1</f>
        <v>19</v>
      </c>
      <c r="Y390" s="1732">
        <f t="shared" ref="Y390" si="1208">X390+1</f>
        <v>20</v>
      </c>
      <c r="Z390" s="1732">
        <f t="shared" ref="Z390" si="1209">Y390+1</f>
        <v>21</v>
      </c>
      <c r="AA390" s="1732">
        <f t="shared" ref="AA390" si="1210">Z390+1</f>
        <v>22</v>
      </c>
      <c r="AB390" s="1732">
        <f t="shared" ref="AB390" si="1211">AA390+1</f>
        <v>23</v>
      </c>
      <c r="AC390" s="1732">
        <f t="shared" ref="AC390" si="1212">AB390+1</f>
        <v>24</v>
      </c>
      <c r="AD390" s="1732">
        <f t="shared" ref="AD390" si="1213">AC390+1</f>
        <v>25</v>
      </c>
      <c r="AE390" s="1732">
        <f t="shared" ref="AE390" si="1214">AD390+1</f>
        <v>26</v>
      </c>
      <c r="AF390" s="1732">
        <f t="shared" ref="AF390" si="1215">AE390+1</f>
        <v>27</v>
      </c>
      <c r="AG390" s="1732">
        <f t="shared" ref="AG390" si="1216">AF390+1</f>
        <v>28</v>
      </c>
      <c r="AH390" s="1732">
        <f t="shared" ref="AH390" si="1217">AG390+1</f>
        <v>29</v>
      </c>
      <c r="AI390" s="1732">
        <f t="shared" ref="AI390" si="1218">AH390+1</f>
        <v>30</v>
      </c>
    </row>
    <row r="391" spans="2:35" x14ac:dyDescent="0.35">
      <c r="B391" s="726" t="s">
        <v>276</v>
      </c>
      <c r="C391" s="726"/>
      <c r="D391" s="726"/>
      <c r="E391" s="726"/>
      <c r="F391" s="1726">
        <f t="shared" ref="F391:AI391" si="1219">F96*$K$33</f>
        <v>218809.97054802297</v>
      </c>
      <c r="G391" s="1726">
        <f t="shared" si="1219"/>
        <v>220737.4292204165</v>
      </c>
      <c r="H391" s="1726">
        <f t="shared" si="1219"/>
        <v>222664.88789280999</v>
      </c>
      <c r="I391" s="1726">
        <f t="shared" si="1219"/>
        <v>224592.34656520351</v>
      </c>
      <c r="J391" s="1726">
        <f t="shared" si="1219"/>
        <v>226519.80523759697</v>
      </c>
      <c r="K391" s="1726">
        <f t="shared" si="1219"/>
        <v>228481.99289507867</v>
      </c>
      <c r="L391" s="1726">
        <f t="shared" si="1219"/>
        <v>230114.25519422273</v>
      </c>
      <c r="M391" s="1726">
        <f t="shared" si="1219"/>
        <v>231746.51749336676</v>
      </c>
      <c r="N391" s="1726">
        <f t="shared" si="1219"/>
        <v>233378.77979251082</v>
      </c>
      <c r="O391" s="1726">
        <f t="shared" si="1219"/>
        <v>235011.04209165485</v>
      </c>
      <c r="P391" s="1726">
        <f t="shared" si="1219"/>
        <v>236625.93989825482</v>
      </c>
      <c r="Q391" s="1726">
        <f t="shared" si="1219"/>
        <v>237771.99640616446</v>
      </c>
      <c r="R391" s="1726">
        <f t="shared" si="1219"/>
        <v>238918.0529140741</v>
      </c>
      <c r="S391" s="1726">
        <f t="shared" si="1219"/>
        <v>240064.1094219838</v>
      </c>
      <c r="T391" s="1726">
        <f t="shared" si="1219"/>
        <v>241210.16592989344</v>
      </c>
      <c r="U391" s="1726">
        <f t="shared" si="1219"/>
        <v>242390.95142289126</v>
      </c>
      <c r="V391" s="1726">
        <f t="shared" si="1219"/>
        <v>243224.44706500738</v>
      </c>
      <c r="W391" s="1726">
        <f t="shared" si="1219"/>
        <v>244057.94270712347</v>
      </c>
      <c r="X391" s="1726">
        <f t="shared" si="1219"/>
        <v>244891.43834923959</v>
      </c>
      <c r="Y391" s="1726">
        <f t="shared" si="1219"/>
        <v>245724.93399135568</v>
      </c>
      <c r="Z391" s="1726">
        <f t="shared" si="1219"/>
        <v>246593.15861855997</v>
      </c>
      <c r="AA391" s="1726">
        <f t="shared" si="1219"/>
        <v>247426.65426067609</v>
      </c>
      <c r="AB391" s="1726">
        <f t="shared" si="1219"/>
        <v>248260.14990279224</v>
      </c>
      <c r="AC391" s="1726">
        <f t="shared" si="1219"/>
        <v>249093.64554490833</v>
      </c>
      <c r="AD391" s="1726">
        <f t="shared" si="1219"/>
        <v>249927.14118702439</v>
      </c>
      <c r="AE391" s="1726">
        <f t="shared" si="1219"/>
        <v>250760.63682914054</v>
      </c>
      <c r="AF391" s="1726">
        <f t="shared" si="1219"/>
        <v>251594.13247125663</v>
      </c>
      <c r="AG391" s="1726">
        <f t="shared" si="1219"/>
        <v>252427.62811337278</v>
      </c>
      <c r="AH391" s="1726">
        <f t="shared" si="1219"/>
        <v>253261.12375548889</v>
      </c>
      <c r="AI391" s="1726">
        <f t="shared" si="1219"/>
        <v>254094.61939760493</v>
      </c>
    </row>
    <row r="392" spans="2:35" x14ac:dyDescent="0.35">
      <c r="B392" s="726" t="s">
        <v>277</v>
      </c>
      <c r="C392" s="726"/>
      <c r="D392" s="726"/>
      <c r="E392" s="726"/>
      <c r="F392" s="1726">
        <f t="shared" ref="F392:AI392" si="1220">F96*$K$34</f>
        <v>0</v>
      </c>
      <c r="G392" s="1726">
        <f t="shared" si="1220"/>
        <v>0</v>
      </c>
      <c r="H392" s="1726">
        <f t="shared" si="1220"/>
        <v>0</v>
      </c>
      <c r="I392" s="1726">
        <f t="shared" si="1220"/>
        <v>0</v>
      </c>
      <c r="J392" s="1726">
        <f t="shared" si="1220"/>
        <v>0</v>
      </c>
      <c r="K392" s="1726">
        <f t="shared" si="1220"/>
        <v>0</v>
      </c>
      <c r="L392" s="1726">
        <f t="shared" si="1220"/>
        <v>0</v>
      </c>
      <c r="M392" s="1726">
        <f t="shared" si="1220"/>
        <v>0</v>
      </c>
      <c r="N392" s="1726">
        <f t="shared" si="1220"/>
        <v>0</v>
      </c>
      <c r="O392" s="1726">
        <f t="shared" si="1220"/>
        <v>0</v>
      </c>
      <c r="P392" s="1726">
        <f t="shared" si="1220"/>
        <v>0</v>
      </c>
      <c r="Q392" s="1726">
        <f t="shared" si="1220"/>
        <v>0</v>
      </c>
      <c r="R392" s="1726">
        <f t="shared" si="1220"/>
        <v>0</v>
      </c>
      <c r="S392" s="1726">
        <f t="shared" si="1220"/>
        <v>0</v>
      </c>
      <c r="T392" s="1726">
        <f t="shared" si="1220"/>
        <v>0</v>
      </c>
      <c r="U392" s="1726">
        <f t="shared" si="1220"/>
        <v>0</v>
      </c>
      <c r="V392" s="1726">
        <f t="shared" si="1220"/>
        <v>0</v>
      </c>
      <c r="W392" s="1726">
        <f t="shared" si="1220"/>
        <v>0</v>
      </c>
      <c r="X392" s="1726">
        <f t="shared" si="1220"/>
        <v>0</v>
      </c>
      <c r="Y392" s="1726">
        <f t="shared" si="1220"/>
        <v>0</v>
      </c>
      <c r="Z392" s="1726">
        <f t="shared" si="1220"/>
        <v>0</v>
      </c>
      <c r="AA392" s="1726">
        <f t="shared" si="1220"/>
        <v>0</v>
      </c>
      <c r="AB392" s="1726">
        <f t="shared" si="1220"/>
        <v>0</v>
      </c>
      <c r="AC392" s="1726">
        <f t="shared" si="1220"/>
        <v>0</v>
      </c>
      <c r="AD392" s="1726">
        <f t="shared" si="1220"/>
        <v>0</v>
      </c>
      <c r="AE392" s="1726">
        <f t="shared" si="1220"/>
        <v>0</v>
      </c>
      <c r="AF392" s="1726">
        <f t="shared" si="1220"/>
        <v>0</v>
      </c>
      <c r="AG392" s="1726">
        <f t="shared" si="1220"/>
        <v>0</v>
      </c>
      <c r="AH392" s="1726">
        <f t="shared" si="1220"/>
        <v>0</v>
      </c>
      <c r="AI392" s="1726">
        <f t="shared" si="1220"/>
        <v>0</v>
      </c>
    </row>
    <row r="393" spans="2:35" x14ac:dyDescent="0.35">
      <c r="B393" s="726" t="s">
        <v>278</v>
      </c>
      <c r="C393" s="726"/>
      <c r="D393" s="726"/>
      <c r="E393" s="726"/>
      <c r="F393" s="1726">
        <f t="shared" ref="F393:AI393" si="1221">F96*$K$35</f>
        <v>19692.256262795283</v>
      </c>
      <c r="G393" s="1726">
        <f t="shared" si="1221"/>
        <v>19865.721896091869</v>
      </c>
      <c r="H393" s="1726">
        <f t="shared" si="1221"/>
        <v>20039.187529388455</v>
      </c>
      <c r="I393" s="1726">
        <f t="shared" si="1221"/>
        <v>20212.653162685041</v>
      </c>
      <c r="J393" s="1726">
        <f t="shared" si="1221"/>
        <v>20386.11879598162</v>
      </c>
      <c r="K393" s="1726">
        <f t="shared" si="1221"/>
        <v>20562.709936184456</v>
      </c>
      <c r="L393" s="1726">
        <f t="shared" si="1221"/>
        <v>20709.608760777959</v>
      </c>
      <c r="M393" s="1726">
        <f t="shared" si="1221"/>
        <v>20856.507585371462</v>
      </c>
      <c r="N393" s="1726">
        <f t="shared" si="1221"/>
        <v>21003.406409964969</v>
      </c>
      <c r="O393" s="1726">
        <f t="shared" si="1221"/>
        <v>21150.305234558473</v>
      </c>
      <c r="P393" s="1726">
        <f t="shared" si="1221"/>
        <v>21295.641305698857</v>
      </c>
      <c r="Q393" s="1726">
        <f t="shared" si="1221"/>
        <v>21398.783033604934</v>
      </c>
      <c r="R393" s="1726">
        <f t="shared" si="1221"/>
        <v>21501.924761511011</v>
      </c>
      <c r="S393" s="1726">
        <f t="shared" si="1221"/>
        <v>21605.066489417091</v>
      </c>
      <c r="T393" s="1726">
        <f t="shared" si="1221"/>
        <v>21708.208217323168</v>
      </c>
      <c r="U393" s="1726">
        <f t="shared" si="1221"/>
        <v>21814.475452135492</v>
      </c>
      <c r="V393" s="1726">
        <f t="shared" si="1221"/>
        <v>21889.487617885366</v>
      </c>
      <c r="W393" s="1726">
        <f t="shared" si="1221"/>
        <v>21964.499783635241</v>
      </c>
      <c r="X393" s="1726">
        <f t="shared" si="1221"/>
        <v>22039.511949385116</v>
      </c>
      <c r="Y393" s="1726">
        <f t="shared" si="1221"/>
        <v>22114.524115134987</v>
      </c>
      <c r="Z393" s="1726">
        <f t="shared" si="1221"/>
        <v>22192.661787791112</v>
      </c>
      <c r="AA393" s="1726">
        <f t="shared" si="1221"/>
        <v>22267.673953540983</v>
      </c>
      <c r="AB393" s="1726">
        <f t="shared" si="1221"/>
        <v>22342.686119290862</v>
      </c>
      <c r="AC393" s="1726">
        <f t="shared" si="1221"/>
        <v>22417.698285040737</v>
      </c>
      <c r="AD393" s="1726">
        <f t="shared" si="1221"/>
        <v>22492.710450790608</v>
      </c>
      <c r="AE393" s="1726">
        <f t="shared" si="1221"/>
        <v>22567.722616540486</v>
      </c>
      <c r="AF393" s="1726">
        <f t="shared" si="1221"/>
        <v>22642.734782290358</v>
      </c>
      <c r="AG393" s="1726">
        <f t="shared" si="1221"/>
        <v>22717.746948040236</v>
      </c>
      <c r="AH393" s="1726">
        <f t="shared" si="1221"/>
        <v>22792.759113790111</v>
      </c>
      <c r="AI393" s="1726">
        <f t="shared" si="1221"/>
        <v>22867.771279539982</v>
      </c>
    </row>
    <row r="394" spans="2:35" x14ac:dyDescent="0.35">
      <c r="B394" s="726" t="s">
        <v>279</v>
      </c>
      <c r="C394" s="726"/>
      <c r="D394" s="726"/>
      <c r="E394" s="726"/>
      <c r="F394" s="1726">
        <f t="shared" ref="F394:AI394" si="1222">F96*$K$36</f>
        <v>55780.019689027409</v>
      </c>
      <c r="G394" s="1726">
        <f t="shared" si="1222"/>
        <v>56271.37610403273</v>
      </c>
      <c r="H394" s="1726">
        <f t="shared" si="1222"/>
        <v>56762.732519038051</v>
      </c>
      <c r="I394" s="1726">
        <f t="shared" si="1222"/>
        <v>57254.088934043371</v>
      </c>
      <c r="J394" s="1726">
        <f t="shared" si="1222"/>
        <v>57745.445349048678</v>
      </c>
      <c r="K394" s="1726">
        <f t="shared" si="1222"/>
        <v>58245.655032792842</v>
      </c>
      <c r="L394" s="1726">
        <f t="shared" si="1222"/>
        <v>58661.758663518071</v>
      </c>
      <c r="M394" s="1726">
        <f t="shared" si="1222"/>
        <v>59077.862294243292</v>
      </c>
      <c r="N394" s="1726">
        <f t="shared" si="1222"/>
        <v>59493.965924968521</v>
      </c>
      <c r="O394" s="1726">
        <f t="shared" si="1222"/>
        <v>59910.06955569375</v>
      </c>
      <c r="P394" s="1726">
        <f t="shared" si="1222"/>
        <v>60321.746552049553</v>
      </c>
      <c r="Q394" s="1726">
        <f t="shared" si="1222"/>
        <v>60613.904420431092</v>
      </c>
      <c r="R394" s="1726">
        <f t="shared" si="1222"/>
        <v>60906.062288812631</v>
      </c>
      <c r="S394" s="1726">
        <f t="shared" si="1222"/>
        <v>61198.220157194184</v>
      </c>
      <c r="T394" s="1726">
        <f t="shared" si="1222"/>
        <v>61490.378025575723</v>
      </c>
      <c r="U394" s="1726">
        <f t="shared" si="1222"/>
        <v>61791.389162696105</v>
      </c>
      <c r="V394" s="1726">
        <f t="shared" si="1222"/>
        <v>62003.867612428134</v>
      </c>
      <c r="W394" s="1726">
        <f t="shared" si="1222"/>
        <v>62216.346062160163</v>
      </c>
      <c r="X394" s="1726">
        <f t="shared" si="1222"/>
        <v>62428.824511892191</v>
      </c>
      <c r="Y394" s="1726">
        <f t="shared" si="1222"/>
        <v>62641.30296162422</v>
      </c>
      <c r="Z394" s="1726">
        <f t="shared" si="1222"/>
        <v>62862.634680095085</v>
      </c>
      <c r="AA394" s="1726">
        <f t="shared" si="1222"/>
        <v>63075.113129827114</v>
      </c>
      <c r="AB394" s="1726">
        <f t="shared" si="1222"/>
        <v>63287.591579559157</v>
      </c>
      <c r="AC394" s="1726">
        <f t="shared" si="1222"/>
        <v>63500.070029291186</v>
      </c>
      <c r="AD394" s="1726">
        <f t="shared" si="1222"/>
        <v>63712.5484790232</v>
      </c>
      <c r="AE394" s="1726">
        <f t="shared" si="1222"/>
        <v>63925.026928755236</v>
      </c>
      <c r="AF394" s="1726">
        <f t="shared" si="1222"/>
        <v>64137.505378487265</v>
      </c>
      <c r="AG394" s="1726">
        <f t="shared" si="1222"/>
        <v>64349.983828219309</v>
      </c>
      <c r="AH394" s="1726">
        <f t="shared" si="1222"/>
        <v>64562.462277951337</v>
      </c>
      <c r="AI394" s="1726">
        <f t="shared" si="1222"/>
        <v>64774.940727683352</v>
      </c>
    </row>
    <row r="395" spans="2:35" x14ac:dyDescent="0.35">
      <c r="B395" s="726" t="s">
        <v>280</v>
      </c>
      <c r="C395" s="726"/>
      <c r="D395" s="726"/>
      <c r="E395" s="726"/>
      <c r="F395" s="1726">
        <f t="shared" ref="F395:AI395" si="1223">F96*$K$37</f>
        <v>64290.567454993303</v>
      </c>
      <c r="G395" s="1726">
        <f t="shared" si="1223"/>
        <v>64856.891793339804</v>
      </c>
      <c r="H395" s="1726">
        <f t="shared" si="1223"/>
        <v>65423.216131686306</v>
      </c>
      <c r="I395" s="1726">
        <f t="shared" si="1223"/>
        <v>65989.540470032807</v>
      </c>
      <c r="J395" s="1726">
        <f t="shared" si="1223"/>
        <v>66555.864808379294</v>
      </c>
      <c r="K395" s="1726">
        <f t="shared" si="1223"/>
        <v>67132.393188858172</v>
      </c>
      <c r="L395" s="1726">
        <f t="shared" si="1223"/>
        <v>67611.98316907954</v>
      </c>
      <c r="M395" s="1726">
        <f t="shared" si="1223"/>
        <v>68091.573149300893</v>
      </c>
      <c r="N395" s="1726">
        <f t="shared" si="1223"/>
        <v>68571.163129522261</v>
      </c>
      <c r="O395" s="1726">
        <f t="shared" si="1223"/>
        <v>69050.753109743615</v>
      </c>
      <c r="P395" s="1726">
        <f t="shared" si="1223"/>
        <v>69525.241068898802</v>
      </c>
      <c r="Q395" s="1726">
        <f t="shared" si="1223"/>
        <v>69861.974459266989</v>
      </c>
      <c r="R395" s="1726">
        <f t="shared" si="1223"/>
        <v>70198.707849635161</v>
      </c>
      <c r="S395" s="1726">
        <f t="shared" si="1223"/>
        <v>70535.441240003362</v>
      </c>
      <c r="T395" s="1726">
        <f t="shared" si="1223"/>
        <v>70872.174630371548</v>
      </c>
      <c r="U395" s="1726">
        <f t="shared" si="1223"/>
        <v>71219.112062872111</v>
      </c>
      <c r="V395" s="1726">
        <f t="shared" si="1223"/>
        <v>71464.009074048983</v>
      </c>
      <c r="W395" s="1726">
        <f t="shared" si="1223"/>
        <v>71708.906085225841</v>
      </c>
      <c r="X395" s="1726">
        <f t="shared" si="1223"/>
        <v>71953.803096402698</v>
      </c>
      <c r="Y395" s="1726">
        <f t="shared" si="1223"/>
        <v>72198.700107579571</v>
      </c>
      <c r="Z395" s="1726">
        <f t="shared" si="1223"/>
        <v>72453.801160888805</v>
      </c>
      <c r="AA395" s="1726">
        <f t="shared" si="1223"/>
        <v>72698.698172065677</v>
      </c>
      <c r="AB395" s="1726">
        <f t="shared" si="1223"/>
        <v>72943.595183242549</v>
      </c>
      <c r="AC395" s="1726">
        <f t="shared" si="1223"/>
        <v>73188.492194419407</v>
      </c>
      <c r="AD395" s="1726">
        <f t="shared" si="1223"/>
        <v>73433.389205596264</v>
      </c>
      <c r="AE395" s="1726">
        <f t="shared" si="1223"/>
        <v>73678.286216773136</v>
      </c>
      <c r="AF395" s="1726">
        <f t="shared" si="1223"/>
        <v>73923.183227949994</v>
      </c>
      <c r="AG395" s="1726">
        <f t="shared" si="1223"/>
        <v>74168.080239126881</v>
      </c>
      <c r="AH395" s="1726">
        <f t="shared" si="1223"/>
        <v>74412.977250303738</v>
      </c>
      <c r="AI395" s="1726">
        <f t="shared" si="1223"/>
        <v>74657.874261480581</v>
      </c>
    </row>
    <row r="396" spans="2:35" x14ac:dyDescent="0.35">
      <c r="B396" s="726" t="s">
        <v>281</v>
      </c>
      <c r="C396" s="726"/>
      <c r="D396" s="726"/>
      <c r="E396" s="726"/>
      <c r="F396" s="1726">
        <f t="shared" ref="F396:AI396" si="1224">F96*$K$38</f>
        <v>46161.461481022947</v>
      </c>
      <c r="G396" s="1726">
        <f t="shared" si="1224"/>
        <v>46568.089702941332</v>
      </c>
      <c r="H396" s="1726">
        <f t="shared" si="1224"/>
        <v>46974.717924859717</v>
      </c>
      <c r="I396" s="1726">
        <f t="shared" si="1224"/>
        <v>47381.346146778102</v>
      </c>
      <c r="J396" s="1726">
        <f t="shared" si="1224"/>
        <v>47787.974368696472</v>
      </c>
      <c r="K396" s="1726">
        <f t="shared" si="1224"/>
        <v>48201.929225244021</v>
      </c>
      <c r="L396" s="1726">
        <f t="shared" si="1224"/>
        <v>48546.281052814549</v>
      </c>
      <c r="M396" s="1726">
        <f t="shared" si="1224"/>
        <v>48890.63288038507</v>
      </c>
      <c r="N396" s="1726">
        <f t="shared" si="1224"/>
        <v>49234.984707955591</v>
      </c>
      <c r="O396" s="1726">
        <f t="shared" si="1224"/>
        <v>49579.336535526112</v>
      </c>
      <c r="P396" s="1726">
        <f t="shared" si="1224"/>
        <v>49920.025045782058</v>
      </c>
      <c r="Q396" s="1726">
        <f t="shared" si="1224"/>
        <v>50161.803988544336</v>
      </c>
      <c r="R396" s="1726">
        <f t="shared" si="1224"/>
        <v>50403.582931306613</v>
      </c>
      <c r="S396" s="1726">
        <f t="shared" si="1224"/>
        <v>50645.361874068905</v>
      </c>
      <c r="T396" s="1726">
        <f t="shared" si="1224"/>
        <v>50887.140816831183</v>
      </c>
      <c r="U396" s="1726">
        <f t="shared" si="1224"/>
        <v>51136.246394222631</v>
      </c>
      <c r="V396" s="1726">
        <f t="shared" si="1224"/>
        <v>51312.08562532247</v>
      </c>
      <c r="W396" s="1726">
        <f t="shared" si="1224"/>
        <v>51487.924856422309</v>
      </c>
      <c r="X396" s="1726">
        <f t="shared" si="1224"/>
        <v>51663.764087522148</v>
      </c>
      <c r="Y396" s="1726">
        <f t="shared" si="1224"/>
        <v>51839.603318621987</v>
      </c>
      <c r="Z396" s="1726">
        <f t="shared" si="1224"/>
        <v>52022.769184350997</v>
      </c>
      <c r="AA396" s="1726">
        <f t="shared" si="1224"/>
        <v>52198.608415450835</v>
      </c>
      <c r="AB396" s="1726">
        <f t="shared" si="1224"/>
        <v>52374.447646550681</v>
      </c>
      <c r="AC396" s="1726">
        <f t="shared" si="1224"/>
        <v>52550.28687765052</v>
      </c>
      <c r="AD396" s="1726">
        <f t="shared" si="1224"/>
        <v>52726.126108750352</v>
      </c>
      <c r="AE396" s="1726">
        <f t="shared" si="1224"/>
        <v>52901.965339850198</v>
      </c>
      <c r="AF396" s="1726">
        <f t="shared" si="1224"/>
        <v>53077.804570950037</v>
      </c>
      <c r="AG396" s="1726">
        <f t="shared" si="1224"/>
        <v>53253.64380204989</v>
      </c>
      <c r="AH396" s="1726">
        <f t="shared" si="1224"/>
        <v>53429.483033149729</v>
      </c>
      <c r="AI396" s="1726">
        <f t="shared" si="1224"/>
        <v>53605.32226424956</v>
      </c>
    </row>
    <row r="397" spans="2:35" x14ac:dyDescent="0.35">
      <c r="B397" s="726" t="s">
        <v>282</v>
      </c>
      <c r="C397" s="726"/>
      <c r="D397" s="726"/>
      <c r="E397" s="726"/>
      <c r="F397" s="1726">
        <f t="shared" ref="F397:AI397" si="1225">F96*$K$39</f>
        <v>42032.564713418971</v>
      </c>
      <c r="G397" s="1726">
        <f t="shared" si="1225"/>
        <v>42402.822207521785</v>
      </c>
      <c r="H397" s="1726">
        <f t="shared" si="1225"/>
        <v>42773.079701624592</v>
      </c>
      <c r="I397" s="1726">
        <f t="shared" si="1225"/>
        <v>43143.337195727407</v>
      </c>
      <c r="J397" s="1726">
        <f t="shared" si="1225"/>
        <v>43513.594689830206</v>
      </c>
      <c r="K397" s="1726">
        <f t="shared" si="1225"/>
        <v>43890.52349013307</v>
      </c>
      <c r="L397" s="1726">
        <f t="shared" si="1225"/>
        <v>44204.074881535453</v>
      </c>
      <c r="M397" s="1726">
        <f t="shared" si="1225"/>
        <v>44517.626272937829</v>
      </c>
      <c r="N397" s="1726">
        <f t="shared" si="1225"/>
        <v>44831.177664340212</v>
      </c>
      <c r="O397" s="1726">
        <f t="shared" si="1225"/>
        <v>45144.729055742588</v>
      </c>
      <c r="P397" s="1726">
        <f t="shared" si="1225"/>
        <v>45454.944794044946</v>
      </c>
      <c r="Q397" s="1726">
        <f t="shared" si="1225"/>
        <v>45675.097898646614</v>
      </c>
      <c r="R397" s="1726">
        <f t="shared" si="1225"/>
        <v>45895.251003248282</v>
      </c>
      <c r="S397" s="1726">
        <f t="shared" si="1225"/>
        <v>46115.404107849958</v>
      </c>
      <c r="T397" s="1726">
        <f t="shared" si="1225"/>
        <v>46335.557212451626</v>
      </c>
      <c r="U397" s="1726">
        <f t="shared" si="1225"/>
        <v>46562.38162325335</v>
      </c>
      <c r="V397" s="1726">
        <f t="shared" si="1225"/>
        <v>46722.492972054562</v>
      </c>
      <c r="W397" s="1726">
        <f t="shared" si="1225"/>
        <v>46882.604320855775</v>
      </c>
      <c r="X397" s="1726">
        <f t="shared" si="1225"/>
        <v>47042.715669656987</v>
      </c>
      <c r="Y397" s="1726">
        <f t="shared" si="1225"/>
        <v>47202.8270184582</v>
      </c>
      <c r="Z397" s="1726">
        <f t="shared" si="1225"/>
        <v>47369.609673459476</v>
      </c>
      <c r="AA397" s="1726">
        <f t="shared" si="1225"/>
        <v>47529.721022260688</v>
      </c>
      <c r="AB397" s="1726">
        <f t="shared" si="1225"/>
        <v>47689.832371061908</v>
      </c>
      <c r="AC397" s="1726">
        <f t="shared" si="1225"/>
        <v>47849.94371986312</v>
      </c>
      <c r="AD397" s="1726">
        <f t="shared" si="1225"/>
        <v>48010.055068664326</v>
      </c>
      <c r="AE397" s="1726">
        <f t="shared" si="1225"/>
        <v>48170.166417465545</v>
      </c>
      <c r="AF397" s="1726">
        <f t="shared" si="1225"/>
        <v>48330.277766266758</v>
      </c>
      <c r="AG397" s="1726">
        <f t="shared" si="1225"/>
        <v>48490.389115067985</v>
      </c>
      <c r="AH397" s="1726">
        <f t="shared" si="1225"/>
        <v>48650.500463869197</v>
      </c>
      <c r="AI397" s="1726">
        <f t="shared" si="1225"/>
        <v>48810.611812670402</v>
      </c>
    </row>
    <row r="398" spans="2:35" x14ac:dyDescent="0.35">
      <c r="B398" s="726" t="s">
        <v>283</v>
      </c>
      <c r="C398" s="726"/>
      <c r="D398" s="726"/>
      <c r="E398" s="726"/>
      <c r="F398" s="1726">
        <f t="shared" ref="F398:AI398" si="1226">F96*$K$40</f>
        <v>10119.436191571313</v>
      </c>
      <c r="G398" s="1726">
        <f t="shared" si="1226"/>
        <v>10208.576531009801</v>
      </c>
      <c r="H398" s="1726">
        <f t="shared" si="1226"/>
        <v>10297.716870448292</v>
      </c>
      <c r="I398" s="1726">
        <f t="shared" si="1226"/>
        <v>10386.857209886783</v>
      </c>
      <c r="J398" s="1726">
        <f t="shared" si="1226"/>
        <v>10475.997549325271</v>
      </c>
      <c r="K398" s="1726">
        <f t="shared" si="1226"/>
        <v>10566.744021005898</v>
      </c>
      <c r="L398" s="1726">
        <f t="shared" si="1226"/>
        <v>10642.23223638624</v>
      </c>
      <c r="M398" s="1726">
        <f t="shared" si="1226"/>
        <v>10717.720451766583</v>
      </c>
      <c r="N398" s="1726">
        <f t="shared" si="1226"/>
        <v>10793.208667146926</v>
      </c>
      <c r="O398" s="1726">
        <f t="shared" si="1226"/>
        <v>10868.696882527269</v>
      </c>
      <c r="P398" s="1726">
        <f t="shared" si="1226"/>
        <v>10943.382031786545</v>
      </c>
      <c r="Q398" s="1726">
        <f t="shared" si="1226"/>
        <v>10996.384395776999</v>
      </c>
      <c r="R398" s="1726">
        <f t="shared" si="1226"/>
        <v>11049.386759767453</v>
      </c>
      <c r="S398" s="1726">
        <f t="shared" si="1226"/>
        <v>11102.389123757906</v>
      </c>
      <c r="T398" s="1726">
        <f t="shared" si="1226"/>
        <v>11155.39148774836</v>
      </c>
      <c r="U398" s="1726">
        <f t="shared" si="1226"/>
        <v>11209.99998398095</v>
      </c>
      <c r="V398" s="1726">
        <f t="shared" si="1226"/>
        <v>11248.547157792189</v>
      </c>
      <c r="W398" s="1726">
        <f t="shared" si="1226"/>
        <v>11287.094331603426</v>
      </c>
      <c r="X398" s="1726">
        <f t="shared" si="1226"/>
        <v>11325.641505414666</v>
      </c>
      <c r="Y398" s="1726">
        <f t="shared" si="1226"/>
        <v>11364.188679225905</v>
      </c>
      <c r="Z398" s="1726">
        <f t="shared" si="1226"/>
        <v>11404.341985279279</v>
      </c>
      <c r="AA398" s="1726">
        <f t="shared" si="1226"/>
        <v>11442.889159090517</v>
      </c>
      <c r="AB398" s="1726">
        <f t="shared" si="1226"/>
        <v>11481.436332901758</v>
      </c>
      <c r="AC398" s="1726">
        <f t="shared" si="1226"/>
        <v>11519.983506712997</v>
      </c>
      <c r="AD398" s="1726">
        <f t="shared" si="1226"/>
        <v>11558.530680524233</v>
      </c>
      <c r="AE398" s="1726">
        <f t="shared" si="1226"/>
        <v>11597.077854335474</v>
      </c>
      <c r="AF398" s="1726">
        <f t="shared" si="1226"/>
        <v>11635.625028146713</v>
      </c>
      <c r="AG398" s="1726">
        <f t="shared" si="1226"/>
        <v>11674.172201957954</v>
      </c>
      <c r="AH398" s="1726">
        <f t="shared" si="1226"/>
        <v>11712.719375769191</v>
      </c>
      <c r="AI398" s="1726">
        <f t="shared" si="1226"/>
        <v>11751.266549580429</v>
      </c>
    </row>
    <row r="399" spans="2:35" x14ac:dyDescent="0.35">
      <c r="B399" s="726" t="s">
        <v>12</v>
      </c>
      <c r="C399" s="726"/>
      <c r="D399" s="726"/>
      <c r="E399" s="726"/>
      <c r="F399" s="1726">
        <f t="shared" ref="F399:AI399" si="1227">F96*$K$41</f>
        <v>44592.568494026738</v>
      </c>
      <c r="G399" s="1726">
        <f t="shared" si="1227"/>
        <v>44985.376612655178</v>
      </c>
      <c r="H399" s="1726">
        <f t="shared" si="1227"/>
        <v>45378.184731283618</v>
      </c>
      <c r="I399" s="1726">
        <f t="shared" si="1227"/>
        <v>45770.992849912058</v>
      </c>
      <c r="J399" s="1726">
        <f t="shared" si="1227"/>
        <v>46163.80096854049</v>
      </c>
      <c r="K399" s="1726">
        <f t="shared" si="1227"/>
        <v>46563.686710928007</v>
      </c>
      <c r="L399" s="1726">
        <f t="shared" si="1227"/>
        <v>46896.335027604342</v>
      </c>
      <c r="M399" s="1726">
        <f t="shared" si="1227"/>
        <v>47228.983344280678</v>
      </c>
      <c r="N399" s="1726">
        <f t="shared" si="1227"/>
        <v>47561.631660957013</v>
      </c>
      <c r="O399" s="1726">
        <f t="shared" si="1227"/>
        <v>47894.279977633349</v>
      </c>
      <c r="P399" s="1726">
        <f t="shared" si="1227"/>
        <v>48223.389482430146</v>
      </c>
      <c r="Q399" s="1726">
        <f t="shared" si="1227"/>
        <v>48456.951066479487</v>
      </c>
      <c r="R399" s="1726">
        <f t="shared" si="1227"/>
        <v>48690.512650528828</v>
      </c>
      <c r="S399" s="1726">
        <f t="shared" si="1227"/>
        <v>48924.074234578176</v>
      </c>
      <c r="T399" s="1726">
        <f t="shared" si="1227"/>
        <v>49157.635818627517</v>
      </c>
      <c r="U399" s="1726">
        <f t="shared" si="1227"/>
        <v>49398.275026435935</v>
      </c>
      <c r="V399" s="1726">
        <f t="shared" si="1227"/>
        <v>49568.137996653641</v>
      </c>
      <c r="W399" s="1726">
        <f t="shared" si="1227"/>
        <v>49738.000966871339</v>
      </c>
      <c r="X399" s="1726">
        <f t="shared" si="1227"/>
        <v>49907.863937089038</v>
      </c>
      <c r="Y399" s="1726">
        <f t="shared" si="1227"/>
        <v>50077.726907306744</v>
      </c>
      <c r="Z399" s="1726">
        <f t="shared" si="1227"/>
        <v>50254.667501283519</v>
      </c>
      <c r="AA399" s="1726">
        <f t="shared" si="1227"/>
        <v>50424.530471501224</v>
      </c>
      <c r="AB399" s="1726">
        <f t="shared" si="1227"/>
        <v>50594.393441718938</v>
      </c>
      <c r="AC399" s="1726">
        <f t="shared" si="1227"/>
        <v>50764.256411936636</v>
      </c>
      <c r="AD399" s="1726">
        <f t="shared" si="1227"/>
        <v>50934.119382154327</v>
      </c>
      <c r="AE399" s="1726">
        <f t="shared" si="1227"/>
        <v>51103.982352372041</v>
      </c>
      <c r="AF399" s="1726">
        <f t="shared" si="1227"/>
        <v>51273.845322589739</v>
      </c>
      <c r="AG399" s="1726">
        <f t="shared" si="1227"/>
        <v>51443.708292807452</v>
      </c>
      <c r="AH399" s="1726">
        <f t="shared" si="1227"/>
        <v>51613.571263025158</v>
      </c>
      <c r="AI399" s="1726">
        <f t="shared" si="1227"/>
        <v>51783.43423324285</v>
      </c>
    </row>
    <row r="400" spans="2:35" x14ac:dyDescent="0.35">
      <c r="B400" s="726" t="s">
        <v>13</v>
      </c>
      <c r="C400" s="726"/>
      <c r="D400" s="726"/>
      <c r="E400" s="726"/>
      <c r="F400" s="1726">
        <f t="shared" ref="F400:AI400" si="1228">F96*$K$42</f>
        <v>2759.2208050196182</v>
      </c>
      <c r="G400" s="1726">
        <f t="shared" si="1228"/>
        <v>2783.5262973898411</v>
      </c>
      <c r="H400" s="1726">
        <f t="shared" si="1228"/>
        <v>2807.8317897600641</v>
      </c>
      <c r="I400" s="1726">
        <f t="shared" si="1228"/>
        <v>2832.1372821302871</v>
      </c>
      <c r="J400" s="1726">
        <f t="shared" si="1228"/>
        <v>2856.4427745005091</v>
      </c>
      <c r="K400" s="1726">
        <f t="shared" si="1228"/>
        <v>2881.1862036701959</v>
      </c>
      <c r="L400" s="1726">
        <f t="shared" si="1228"/>
        <v>2901.7692332449792</v>
      </c>
      <c r="M400" s="1726">
        <f t="shared" si="1228"/>
        <v>2922.3522628197625</v>
      </c>
      <c r="N400" s="1726">
        <f t="shared" si="1228"/>
        <v>2942.9352923945457</v>
      </c>
      <c r="O400" s="1726">
        <f t="shared" si="1228"/>
        <v>2963.518321969329</v>
      </c>
      <c r="P400" s="1726">
        <f t="shared" si="1228"/>
        <v>2983.8823831443806</v>
      </c>
      <c r="Q400" s="1726">
        <f t="shared" si="1228"/>
        <v>2998.3342975266751</v>
      </c>
      <c r="R400" s="1726">
        <f t="shared" si="1228"/>
        <v>3012.7862119089696</v>
      </c>
      <c r="S400" s="1726">
        <f t="shared" si="1228"/>
        <v>3027.2381262912645</v>
      </c>
      <c r="T400" s="1726">
        <f t="shared" si="1228"/>
        <v>3041.690040673559</v>
      </c>
      <c r="U400" s="1726">
        <f t="shared" si="1228"/>
        <v>3056.5798918553173</v>
      </c>
      <c r="V400" s="1726">
        <f t="shared" si="1228"/>
        <v>3067.0903750424404</v>
      </c>
      <c r="W400" s="1726">
        <f t="shared" si="1228"/>
        <v>3077.600858229564</v>
      </c>
      <c r="X400" s="1726">
        <f t="shared" si="1228"/>
        <v>3088.1113414166871</v>
      </c>
      <c r="Y400" s="1726">
        <f t="shared" si="1228"/>
        <v>3098.6218246038102</v>
      </c>
      <c r="Z400" s="1726">
        <f t="shared" si="1228"/>
        <v>3109.5702445903976</v>
      </c>
      <c r="AA400" s="1726">
        <f t="shared" si="1228"/>
        <v>3120.0807277775207</v>
      </c>
      <c r="AB400" s="1726">
        <f t="shared" si="1228"/>
        <v>3130.5912109646447</v>
      </c>
      <c r="AC400" s="1726">
        <f t="shared" si="1228"/>
        <v>3141.1016941517678</v>
      </c>
      <c r="AD400" s="1726">
        <f t="shared" si="1228"/>
        <v>3151.6121773388904</v>
      </c>
      <c r="AE400" s="1726">
        <f t="shared" si="1228"/>
        <v>3162.1226605260144</v>
      </c>
      <c r="AF400" s="1726">
        <f t="shared" si="1228"/>
        <v>3172.6331437131375</v>
      </c>
      <c r="AG400" s="1726">
        <f t="shared" si="1228"/>
        <v>3183.1436269002616</v>
      </c>
      <c r="AH400" s="1726">
        <f t="shared" si="1228"/>
        <v>3193.6541100873847</v>
      </c>
      <c r="AI400" s="1726">
        <f t="shared" si="1228"/>
        <v>3204.1645932745073</v>
      </c>
    </row>
    <row r="401" spans="2:35" x14ac:dyDescent="0.35">
      <c r="B401" s="726" t="s">
        <v>14</v>
      </c>
      <c r="C401" s="726"/>
      <c r="D401" s="726"/>
      <c r="E401" s="726"/>
      <c r="F401" s="1726">
        <f t="shared" ref="F401:AI401" si="1229">F96*$K$43</f>
        <v>22239.065382393146</v>
      </c>
      <c r="G401" s="1726">
        <f t="shared" si="1229"/>
        <v>22434.9654107596</v>
      </c>
      <c r="H401" s="1726">
        <f t="shared" si="1229"/>
        <v>22630.86543912605</v>
      </c>
      <c r="I401" s="1726">
        <f t="shared" si="1229"/>
        <v>22826.7654674925</v>
      </c>
      <c r="J401" s="1726">
        <f t="shared" si="1229"/>
        <v>23022.665495858946</v>
      </c>
      <c r="K401" s="1726">
        <f t="shared" si="1229"/>
        <v>23222.095254466236</v>
      </c>
      <c r="L401" s="1726">
        <f t="shared" si="1229"/>
        <v>23387.992575785571</v>
      </c>
      <c r="M401" s="1726">
        <f t="shared" si="1229"/>
        <v>23553.889897104906</v>
      </c>
      <c r="N401" s="1726">
        <f t="shared" si="1229"/>
        <v>23719.787218424244</v>
      </c>
      <c r="O401" s="1726">
        <f t="shared" si="1229"/>
        <v>23885.684539743579</v>
      </c>
      <c r="P401" s="1726">
        <f t="shared" si="1229"/>
        <v>24049.816995942496</v>
      </c>
      <c r="Q401" s="1726">
        <f t="shared" si="1229"/>
        <v>24166.298093890116</v>
      </c>
      <c r="R401" s="1726">
        <f t="shared" si="1229"/>
        <v>24282.779191837733</v>
      </c>
      <c r="S401" s="1726">
        <f t="shared" si="1229"/>
        <v>24399.260289785354</v>
      </c>
      <c r="T401" s="1726">
        <f t="shared" si="1229"/>
        <v>24515.741387732975</v>
      </c>
      <c r="U401" s="1726">
        <f t="shared" si="1229"/>
        <v>24635.752215921431</v>
      </c>
      <c r="V401" s="1726">
        <f t="shared" si="1229"/>
        <v>24720.465741701515</v>
      </c>
      <c r="W401" s="1726">
        <f t="shared" si="1229"/>
        <v>24805.179267481602</v>
      </c>
      <c r="X401" s="1726">
        <f t="shared" si="1229"/>
        <v>24889.89279326169</v>
      </c>
      <c r="Y401" s="1726">
        <f t="shared" si="1229"/>
        <v>24974.606319041774</v>
      </c>
      <c r="Z401" s="1726">
        <f t="shared" si="1229"/>
        <v>25062.849575062701</v>
      </c>
      <c r="AA401" s="1726">
        <f t="shared" si="1229"/>
        <v>25147.563100842784</v>
      </c>
      <c r="AB401" s="1726">
        <f t="shared" si="1229"/>
        <v>25232.276626622875</v>
      </c>
      <c r="AC401" s="1726">
        <f t="shared" si="1229"/>
        <v>25316.990152402963</v>
      </c>
      <c r="AD401" s="1726">
        <f t="shared" si="1229"/>
        <v>25401.703678183043</v>
      </c>
      <c r="AE401" s="1726">
        <f t="shared" si="1229"/>
        <v>25486.417203963134</v>
      </c>
      <c r="AF401" s="1726">
        <f t="shared" si="1229"/>
        <v>25571.130729743218</v>
      </c>
      <c r="AG401" s="1726">
        <f t="shared" si="1229"/>
        <v>25655.844255523309</v>
      </c>
      <c r="AH401" s="1726">
        <f t="shared" si="1229"/>
        <v>25740.557781303396</v>
      </c>
      <c r="AI401" s="1726">
        <f t="shared" si="1229"/>
        <v>25825.271307083476</v>
      </c>
    </row>
    <row r="402" spans="2:35" x14ac:dyDescent="0.35">
      <c r="B402" s="1733" t="s">
        <v>200</v>
      </c>
      <c r="C402" s="1733"/>
      <c r="D402" s="1733"/>
      <c r="E402" s="1733"/>
      <c r="F402" s="1734">
        <f>SUM(F391:F401)</f>
        <v>526477.13102229161</v>
      </c>
      <c r="G402" s="1734">
        <f t="shared" ref="G402" si="1230">SUM(G391:G401)</f>
        <v>531114.77577615844</v>
      </c>
      <c r="H402" s="1734">
        <f t="shared" ref="H402" si="1231">SUM(H391:H401)</f>
        <v>535752.42053002515</v>
      </c>
      <c r="I402" s="1734">
        <f t="shared" ref="I402" si="1232">SUM(I391:I401)</f>
        <v>540390.06528389186</v>
      </c>
      <c r="J402" s="1734">
        <f t="shared" ref="J402" si="1233">SUM(J391:J401)</f>
        <v>545027.71003775857</v>
      </c>
      <c r="K402" s="1734">
        <f t="shared" ref="K402" si="1234">SUM(K391:K401)</f>
        <v>549748.91595836158</v>
      </c>
      <c r="L402" s="1734">
        <f t="shared" ref="L402" si="1235">SUM(L391:L401)</f>
        <v>553676.29079496942</v>
      </c>
      <c r="M402" s="1734">
        <f t="shared" ref="M402" si="1236">SUM(M391:M401)</f>
        <v>557603.66563157726</v>
      </c>
      <c r="N402" s="1734">
        <f t="shared" ref="N402" si="1237">SUM(N391:N401)</f>
        <v>561531.04046818533</v>
      </c>
      <c r="O402" s="1734">
        <f t="shared" ref="O402" si="1238">SUM(O391:O401)</f>
        <v>565458.41530479293</v>
      </c>
      <c r="P402" s="1734">
        <f t="shared" ref="P402" si="1239">SUM(P391:P401)</f>
        <v>569344.00955803262</v>
      </c>
      <c r="Q402" s="1734">
        <f t="shared" ref="Q402" si="1240">SUM(Q391:Q401)</f>
        <v>572101.52806033159</v>
      </c>
      <c r="R402" s="1734">
        <f t="shared" ref="R402" si="1241">SUM(R391:R401)</f>
        <v>574859.0465626308</v>
      </c>
      <c r="S402" s="1734">
        <f t="shared" ref="S402" si="1242">SUM(S391:S401)</f>
        <v>577616.56506493012</v>
      </c>
      <c r="T402" s="1734">
        <f t="shared" ref="T402" si="1243">SUM(T391:T401)</f>
        <v>580374.08356722922</v>
      </c>
      <c r="U402" s="1734">
        <f t="shared" ref="U402" si="1244">SUM(U391:U401)</f>
        <v>583215.16323626461</v>
      </c>
      <c r="V402" s="1734">
        <f t="shared" ref="V402" si="1245">SUM(V391:V401)</f>
        <v>585220.63123793667</v>
      </c>
      <c r="W402" s="1734">
        <f t="shared" ref="W402" si="1246">SUM(W391:W401)</f>
        <v>587226.09923960862</v>
      </c>
      <c r="X402" s="1734">
        <f t="shared" ref="X402" si="1247">SUM(X391:X401)</f>
        <v>589231.56724128081</v>
      </c>
      <c r="Y402" s="1734">
        <f t="shared" ref="Y402" si="1248">SUM(Y391:Y401)</f>
        <v>591237.03524295287</v>
      </c>
      <c r="Z402" s="1734">
        <f t="shared" ref="Z402" si="1249">SUM(Z391:Z401)</f>
        <v>593326.06441136135</v>
      </c>
      <c r="AA402" s="1734">
        <f t="shared" ref="AA402" si="1250">SUM(AA391:AA401)</f>
        <v>595331.53241303342</v>
      </c>
      <c r="AB402" s="1734">
        <f t="shared" ref="AB402" si="1251">SUM(AB391:AB401)</f>
        <v>597337.00041470549</v>
      </c>
      <c r="AC402" s="1734">
        <f t="shared" ref="AC402" si="1252">SUM(AC391:AC401)</f>
        <v>599342.46841637767</v>
      </c>
      <c r="AD402" s="1734">
        <f t="shared" ref="AD402" si="1253">SUM(AD391:AD401)</f>
        <v>601347.93641804962</v>
      </c>
      <c r="AE402" s="1734">
        <f t="shared" ref="AE402" si="1254">SUM(AE391:AE401)</f>
        <v>603353.4044197218</v>
      </c>
      <c r="AF402" s="1734">
        <f t="shared" ref="AF402" si="1255">SUM(AF391:AF401)</f>
        <v>605358.87242139387</v>
      </c>
      <c r="AG402" s="1734">
        <f t="shared" ref="AG402" si="1256">SUM(AG391:AG401)</f>
        <v>607364.34042306605</v>
      </c>
      <c r="AH402" s="1734">
        <f t="shared" ref="AH402" si="1257">SUM(AH391:AH401)</f>
        <v>609369.80842473824</v>
      </c>
      <c r="AI402" s="1734">
        <f t="shared" ref="AI402" si="1258">SUM(AI391:AI401)</f>
        <v>611375.27642641007</v>
      </c>
    </row>
    <row r="403" spans="2:35" x14ac:dyDescent="0.35">
      <c r="E403" s="281" t="s">
        <v>332</v>
      </c>
      <c r="F403" s="1725">
        <f t="shared" ref="F403:AI403" si="1259">F402-F96</f>
        <v>0</v>
      </c>
      <c r="G403" s="1725">
        <f t="shared" si="1259"/>
        <v>0</v>
      </c>
      <c r="H403" s="1725">
        <f t="shared" si="1259"/>
        <v>0</v>
      </c>
      <c r="I403" s="1725">
        <f t="shared" si="1259"/>
        <v>0</v>
      </c>
      <c r="J403" s="1725">
        <f t="shared" si="1259"/>
        <v>0</v>
      </c>
      <c r="K403" s="1725">
        <f t="shared" si="1259"/>
        <v>0</v>
      </c>
      <c r="L403" s="1725">
        <f t="shared" si="1259"/>
        <v>0</v>
      </c>
      <c r="M403" s="1725">
        <f t="shared" si="1259"/>
        <v>0</v>
      </c>
      <c r="N403" s="1725">
        <f t="shared" si="1259"/>
        <v>0</v>
      </c>
      <c r="O403" s="1725">
        <f t="shared" si="1259"/>
        <v>0</v>
      </c>
      <c r="P403" s="1725">
        <f t="shared" si="1259"/>
        <v>0</v>
      </c>
      <c r="Q403" s="1725">
        <f t="shared" si="1259"/>
        <v>0</v>
      </c>
      <c r="R403" s="1725">
        <f t="shared" si="1259"/>
        <v>0</v>
      </c>
      <c r="S403" s="1725">
        <f t="shared" si="1259"/>
        <v>0</v>
      </c>
      <c r="T403" s="1725">
        <f t="shared" si="1259"/>
        <v>0</v>
      </c>
      <c r="U403" s="1725">
        <f t="shared" si="1259"/>
        <v>0</v>
      </c>
      <c r="V403" s="1725">
        <f t="shared" si="1259"/>
        <v>0</v>
      </c>
      <c r="W403" s="1725">
        <f t="shared" si="1259"/>
        <v>0</v>
      </c>
      <c r="X403" s="1725">
        <f t="shared" si="1259"/>
        <v>0</v>
      </c>
      <c r="Y403" s="1725">
        <f t="shared" si="1259"/>
        <v>0</v>
      </c>
      <c r="Z403" s="1725">
        <f t="shared" si="1259"/>
        <v>0</v>
      </c>
      <c r="AA403" s="1725">
        <f t="shared" si="1259"/>
        <v>0</v>
      </c>
      <c r="AB403" s="1725">
        <f t="shared" si="1259"/>
        <v>0</v>
      </c>
      <c r="AC403" s="1725">
        <f t="shared" si="1259"/>
        <v>0</v>
      </c>
      <c r="AD403" s="1725">
        <f t="shared" si="1259"/>
        <v>0</v>
      </c>
      <c r="AE403" s="1725">
        <f t="shared" si="1259"/>
        <v>0</v>
      </c>
      <c r="AF403" s="1725">
        <f t="shared" si="1259"/>
        <v>0</v>
      </c>
      <c r="AG403" s="1725">
        <f t="shared" si="1259"/>
        <v>0</v>
      </c>
      <c r="AH403" s="1725">
        <f t="shared" si="1259"/>
        <v>0</v>
      </c>
      <c r="AI403" s="1725">
        <f t="shared" si="1259"/>
        <v>0</v>
      </c>
    </row>
    <row r="404" spans="2:35" x14ac:dyDescent="0.35">
      <c r="B404" s="1733" t="s">
        <v>335</v>
      </c>
      <c r="C404" s="1733"/>
      <c r="D404" s="1733"/>
      <c r="E404" s="1733"/>
      <c r="F404" s="1734">
        <f>F282+F297+F312+F327+F342+F357+F372+F387+F402</f>
        <v>15319526.844905471</v>
      </c>
      <c r="G404" s="1734">
        <f t="shared" ref="G404:AI404" si="1260">G282+G297+G312+G327+G342+G357+G372+G387+G402</f>
        <v>15389496.824053632</v>
      </c>
      <c r="H404" s="1734">
        <f t="shared" si="1260"/>
        <v>15459466.803201789</v>
      </c>
      <c r="I404" s="1734">
        <f t="shared" si="1260"/>
        <v>15529436.782349953</v>
      </c>
      <c r="J404" s="1734">
        <f t="shared" si="1260"/>
        <v>15599406.761498112</v>
      </c>
      <c r="K404" s="1734">
        <f t="shared" si="1260"/>
        <v>15669358.187696127</v>
      </c>
      <c r="L404" s="1734">
        <f t="shared" si="1260"/>
        <v>15729664.155035082</v>
      </c>
      <c r="M404" s="1734">
        <f t="shared" si="1260"/>
        <v>15789970.122374037</v>
      </c>
      <c r="N404" s="1734">
        <f t="shared" si="1260"/>
        <v>15850276.089712992</v>
      </c>
      <c r="O404" s="1734">
        <f t="shared" si="1260"/>
        <v>15910582.057051949</v>
      </c>
      <c r="P404" s="1734">
        <f t="shared" si="1260"/>
        <v>15970854.23990077</v>
      </c>
      <c r="Q404" s="1734">
        <f t="shared" si="1260"/>
        <v>16005211.602199193</v>
      </c>
      <c r="R404" s="1734">
        <f t="shared" si="1260"/>
        <v>16039568.964497611</v>
      </c>
      <c r="S404" s="1734">
        <f t="shared" si="1260"/>
        <v>16073926.326796032</v>
      </c>
      <c r="T404" s="1734">
        <f t="shared" si="1260"/>
        <v>16108283.689094452</v>
      </c>
      <c r="U404" s="1734">
        <f t="shared" si="1260"/>
        <v>16142871.489447875</v>
      </c>
      <c r="V404" s="1734">
        <f t="shared" si="1260"/>
        <v>16155826.271367189</v>
      </c>
      <c r="W404" s="1734">
        <f t="shared" si="1260"/>
        <v>16168781.053286506</v>
      </c>
      <c r="X404" s="1734">
        <f t="shared" si="1260"/>
        <v>16181735.835205819</v>
      </c>
      <c r="Y404" s="1734">
        <f t="shared" si="1260"/>
        <v>16194690.617125133</v>
      </c>
      <c r="Z404" s="1734">
        <f t="shared" si="1260"/>
        <v>16207602.976648571</v>
      </c>
      <c r="AA404" s="1734">
        <f t="shared" si="1260"/>
        <v>16220557.758567885</v>
      </c>
      <c r="AB404" s="1734">
        <f t="shared" si="1260"/>
        <v>16233512.540487206</v>
      </c>
      <c r="AC404" s="1734">
        <f t="shared" si="1260"/>
        <v>16246467.322406517</v>
      </c>
      <c r="AD404" s="1734">
        <f t="shared" si="1260"/>
        <v>16259422.104325831</v>
      </c>
      <c r="AE404" s="1734">
        <f t="shared" si="1260"/>
        <v>16272376.886245145</v>
      </c>
      <c r="AF404" s="1734">
        <f t="shared" si="1260"/>
        <v>16285331.668164458</v>
      </c>
      <c r="AG404" s="1734">
        <f t="shared" si="1260"/>
        <v>16298286.450083775</v>
      </c>
      <c r="AH404" s="1734">
        <f t="shared" si="1260"/>
        <v>16311241.232003089</v>
      </c>
      <c r="AI404" s="1734">
        <f t="shared" si="1260"/>
        <v>16324196.013922403</v>
      </c>
    </row>
    <row r="405" spans="2:35" x14ac:dyDescent="0.35">
      <c r="E405" s="281" t="s">
        <v>332</v>
      </c>
      <c r="F405" s="1725">
        <f t="shared" ref="F405:AI405" si="1261">F404-F97</f>
        <v>0</v>
      </c>
      <c r="G405" s="1725">
        <f t="shared" si="1261"/>
        <v>0</v>
      </c>
      <c r="H405" s="1725">
        <f t="shared" si="1261"/>
        <v>0</v>
      </c>
      <c r="I405" s="1725">
        <f t="shared" si="1261"/>
        <v>0</v>
      </c>
      <c r="J405" s="1725">
        <f t="shared" si="1261"/>
        <v>0</v>
      </c>
      <c r="K405" s="1725">
        <f t="shared" si="1261"/>
        <v>0</v>
      </c>
      <c r="L405" s="1725">
        <f t="shared" si="1261"/>
        <v>0</v>
      </c>
      <c r="M405" s="1725">
        <f t="shared" si="1261"/>
        <v>0</v>
      </c>
      <c r="N405" s="1725">
        <f t="shared" si="1261"/>
        <v>0</v>
      </c>
      <c r="O405" s="1725">
        <f t="shared" si="1261"/>
        <v>0</v>
      </c>
      <c r="P405" s="1725">
        <f t="shared" si="1261"/>
        <v>0</v>
      </c>
      <c r="Q405" s="1725">
        <f t="shared" si="1261"/>
        <v>0</v>
      </c>
      <c r="R405" s="1725">
        <f t="shared" si="1261"/>
        <v>0</v>
      </c>
      <c r="S405" s="1725">
        <f t="shared" si="1261"/>
        <v>0</v>
      </c>
      <c r="T405" s="1725">
        <f t="shared" si="1261"/>
        <v>0</v>
      </c>
      <c r="U405" s="1725">
        <f t="shared" si="1261"/>
        <v>0</v>
      </c>
      <c r="V405" s="1725">
        <f t="shared" si="1261"/>
        <v>0</v>
      </c>
      <c r="W405" s="1725">
        <f t="shared" si="1261"/>
        <v>0</v>
      </c>
      <c r="X405" s="1725">
        <f t="shared" si="1261"/>
        <v>0</v>
      </c>
      <c r="Y405" s="1725">
        <f t="shared" si="1261"/>
        <v>0</v>
      </c>
      <c r="Z405" s="1725">
        <f t="shared" si="1261"/>
        <v>0</v>
      </c>
      <c r="AA405" s="1725">
        <f t="shared" si="1261"/>
        <v>0</v>
      </c>
      <c r="AB405" s="1725">
        <f t="shared" si="1261"/>
        <v>0</v>
      </c>
      <c r="AC405" s="1725">
        <f t="shared" si="1261"/>
        <v>0</v>
      </c>
      <c r="AD405" s="1725">
        <f t="shared" si="1261"/>
        <v>0</v>
      </c>
      <c r="AE405" s="1725">
        <f t="shared" si="1261"/>
        <v>0</v>
      </c>
      <c r="AF405" s="1725">
        <f t="shared" si="1261"/>
        <v>0</v>
      </c>
      <c r="AG405" s="1725">
        <f t="shared" si="1261"/>
        <v>0</v>
      </c>
      <c r="AH405" s="1725">
        <f t="shared" si="1261"/>
        <v>0</v>
      </c>
      <c r="AI405" s="1725">
        <f t="shared" si="1261"/>
        <v>0</v>
      </c>
    </row>
    <row r="407" spans="2:35" x14ac:dyDescent="0.35">
      <c r="F407" s="96"/>
      <c r="G407" s="96"/>
    </row>
    <row r="408" spans="2:35" x14ac:dyDescent="0.35">
      <c r="F408" s="96"/>
      <c r="G408" s="96"/>
    </row>
    <row r="409" spans="2:35" x14ac:dyDescent="0.35">
      <c r="F409" s="96"/>
      <c r="G409" s="96"/>
    </row>
    <row r="410" spans="2:35" x14ac:dyDescent="0.35">
      <c r="F410" s="96"/>
      <c r="G410" s="96"/>
    </row>
    <row r="411" spans="2:35" x14ac:dyDescent="0.35">
      <c r="F411" s="96"/>
      <c r="G411" s="96"/>
    </row>
    <row r="412" spans="2:35" x14ac:dyDescent="0.35">
      <c r="F412" s="96"/>
      <c r="G412" s="96"/>
    </row>
    <row r="413" spans="2:35" x14ac:dyDescent="0.35">
      <c r="F413" s="96"/>
      <c r="G413" s="96"/>
    </row>
    <row r="414" spans="2:35" x14ac:dyDescent="0.35">
      <c r="F414" s="96"/>
      <c r="G414" s="96"/>
    </row>
    <row r="415" spans="2:35" x14ac:dyDescent="0.35">
      <c r="F415" s="96"/>
      <c r="G415" s="96"/>
    </row>
  </sheetData>
  <sheetProtection algorithmName="SHA-512" hashValue="o/zLZRP2i3+6QyjtfraFLNo4B6bCVYFK4E+F/NIz+QtRxCDYkFiAVH+d1RJ1u1/nTkwoos8m1f0ZfjOV9Gk08A==" saltValue="UzwNvFE1cSSu/DFr1AdI0g==" spinCount="100000" sheet="1" objects="1" scenarios="1"/>
  <protectedRanges>
    <protectedRange sqref="C90:C91 C94 C113:C115" name="Intervalo1"/>
  </protectedRanges>
  <hyperlinks>
    <hyperlink ref="B119" r:id="rId1" xr:uid="{2DD35556-B2B2-4B3F-995C-B7622CFA9967}"/>
  </hyperlinks>
  <pageMargins left="0.511811024" right="0.511811024" top="0.78740157499999996" bottom="0.78740157499999996" header="0.31496062000000002" footer="0.31496062000000002"/>
  <pageSetup paperSize="9" orientation="portrait" horizontalDpi="0" verticalDpi="0" r:id="rId2"/>
  <headerFooter>
    <oddFooter>&amp;C_x000D_&amp;1#&amp;"Aptos"&amp;10&amp;K000000 INFORMAÇÃO CONTROLADA</oddFooter>
  </headerFooter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67704-6B23-4FDE-8B2D-25E0116A9A15}">
  <sheetPr codeName="Planilha31">
    <tabColor theme="4" tint="-0.249977111117893"/>
  </sheetPr>
  <dimension ref="B2:L126"/>
  <sheetViews>
    <sheetView showGridLines="0" tabSelected="1" topLeftCell="A20" zoomScale="85" zoomScaleNormal="85" workbookViewId="0">
      <selection activeCell="K51" sqref="K51"/>
    </sheetView>
  </sheetViews>
  <sheetFormatPr defaultColWidth="8.81640625" defaultRowHeight="14.5" x14ac:dyDescent="0.35"/>
  <cols>
    <col min="1" max="1" width="3" customWidth="1"/>
    <col min="2" max="2" width="24.08984375" customWidth="1"/>
    <col min="3" max="3" width="22.08984375" customWidth="1"/>
    <col min="4" max="4" width="14.36328125" customWidth="1"/>
    <col min="5" max="5" width="14.453125" bestFit="1" customWidth="1"/>
    <col min="6" max="6" width="18.36328125" customWidth="1"/>
    <col min="7" max="7" width="19.08984375" customWidth="1"/>
    <col min="8" max="8" width="21" customWidth="1"/>
    <col min="9" max="9" width="18.36328125" customWidth="1"/>
    <col min="10" max="10" width="16.81640625" bestFit="1" customWidth="1"/>
    <col min="11" max="12" width="15.36328125" bestFit="1" customWidth="1"/>
  </cols>
  <sheetData>
    <row r="2" spans="2:12" ht="21" x14ac:dyDescent="0.5">
      <c r="B2" s="98" t="s">
        <v>336</v>
      </c>
      <c r="C2" s="98"/>
      <c r="D2" s="76"/>
      <c r="E2" s="76"/>
      <c r="F2" s="76"/>
      <c r="G2" s="76"/>
      <c r="H2" s="76"/>
      <c r="I2" s="76"/>
      <c r="J2" s="76"/>
      <c r="K2" s="76"/>
      <c r="L2" s="75"/>
    </row>
    <row r="3" spans="2:12" ht="15" thickBot="1" x14ac:dyDescent="0.4"/>
    <row r="4" spans="2:12" ht="19.5" thickTop="1" thickBot="1" x14ac:dyDescent="0.5">
      <c r="B4" s="777" t="s">
        <v>78</v>
      </c>
      <c r="C4" s="777"/>
      <c r="D4" s="777"/>
      <c r="E4" s="777"/>
      <c r="F4" s="777"/>
      <c r="G4" s="777"/>
      <c r="H4" s="777"/>
      <c r="I4" s="777"/>
      <c r="J4" s="777"/>
      <c r="K4" s="777"/>
      <c r="L4" s="777"/>
    </row>
    <row r="5" spans="2:12" ht="15" thickBot="1" x14ac:dyDescent="0.4">
      <c r="B5" s="954">
        <f>PAINEL!D48</f>
        <v>2.8567488023289074</v>
      </c>
    </row>
    <row r="6" spans="2:12" ht="15" thickBot="1" x14ac:dyDescent="0.4"/>
    <row r="7" spans="2:12" ht="19" thickTop="1" x14ac:dyDescent="0.45">
      <c r="B7" s="777" t="s">
        <v>337</v>
      </c>
      <c r="C7" s="778"/>
      <c r="D7" s="778"/>
      <c r="E7" s="778"/>
      <c r="F7" s="778"/>
      <c r="G7" s="778"/>
      <c r="H7" s="778"/>
      <c r="I7" s="778"/>
      <c r="J7" s="778"/>
      <c r="K7" s="778"/>
      <c r="L7" s="778"/>
    </row>
    <row r="9" spans="2:12" x14ac:dyDescent="0.35">
      <c r="B9" s="77" t="s">
        <v>338</v>
      </c>
    </row>
    <row r="11" spans="2:12" x14ac:dyDescent="0.35">
      <c r="B11" t="s">
        <v>339</v>
      </c>
    </row>
    <row r="12" spans="2:12" x14ac:dyDescent="0.35">
      <c r="B12" t="s">
        <v>340</v>
      </c>
    </row>
    <row r="13" spans="2:12" x14ac:dyDescent="0.35">
      <c r="B13" s="334" t="s">
        <v>341</v>
      </c>
    </row>
    <row r="14" spans="2:12" x14ac:dyDescent="0.35">
      <c r="B14" t="s">
        <v>342</v>
      </c>
    </row>
    <row r="15" spans="2:12" ht="15" thickBot="1" x14ac:dyDescent="0.4">
      <c r="B15" s="779"/>
      <c r="C15" s="779"/>
      <c r="D15" s="779"/>
      <c r="E15" s="779"/>
      <c r="F15" s="779"/>
      <c r="G15" s="779"/>
      <c r="H15" s="779"/>
      <c r="I15" s="779"/>
      <c r="J15" s="779"/>
      <c r="K15" s="779"/>
      <c r="L15" s="779"/>
    </row>
    <row r="16" spans="2:12" ht="19" thickTop="1" x14ac:dyDescent="0.45">
      <c r="B16" s="777" t="s">
        <v>343</v>
      </c>
      <c r="C16" s="778"/>
      <c r="D16" s="778"/>
      <c r="E16" s="778"/>
      <c r="F16" s="778"/>
      <c r="G16" s="778"/>
      <c r="H16" s="778"/>
      <c r="I16" s="778"/>
      <c r="J16" s="778"/>
      <c r="K16" s="778"/>
      <c r="L16" s="778"/>
    </row>
    <row r="18" spans="2:12" x14ac:dyDescent="0.35">
      <c r="B18" s="77" t="s">
        <v>344</v>
      </c>
    </row>
    <row r="20" spans="2:12" x14ac:dyDescent="0.35">
      <c r="B20" t="s">
        <v>339</v>
      </c>
    </row>
    <row r="21" spans="2:12" x14ac:dyDescent="0.35">
      <c r="B21" t="s">
        <v>345</v>
      </c>
    </row>
    <row r="22" spans="2:12" x14ac:dyDescent="0.35">
      <c r="B22" t="s">
        <v>340</v>
      </c>
    </row>
    <row r="23" spans="2:12" x14ac:dyDescent="0.35">
      <c r="B23" t="s">
        <v>346</v>
      </c>
    </row>
    <row r="24" spans="2:12" x14ac:dyDescent="0.35">
      <c r="B24" t="s">
        <v>347</v>
      </c>
    </row>
    <row r="25" spans="2:12" ht="15" thickBot="1" x14ac:dyDescent="0.4">
      <c r="B25" s="779"/>
      <c r="C25" s="779"/>
      <c r="D25" s="779"/>
      <c r="E25" s="779"/>
      <c r="F25" s="779"/>
      <c r="G25" s="779"/>
      <c r="H25" s="779"/>
      <c r="I25" s="779"/>
      <c r="J25" s="779"/>
      <c r="K25" s="779"/>
      <c r="L25" s="779"/>
    </row>
    <row r="26" spans="2:12" ht="15" thickTop="1" x14ac:dyDescent="0.35">
      <c r="B26" s="778"/>
      <c r="C26" s="778"/>
      <c r="D26" s="778"/>
      <c r="E26" s="778"/>
      <c r="F26" s="778"/>
      <c r="G26" s="778"/>
      <c r="H26" s="778"/>
      <c r="I26" s="778"/>
      <c r="J26" s="778"/>
      <c r="K26" s="778"/>
      <c r="L26" s="778"/>
    </row>
    <row r="27" spans="2:12" ht="19" thickBot="1" x14ac:dyDescent="0.5">
      <c r="B27" s="102" t="s">
        <v>348</v>
      </c>
    </row>
    <row r="28" spans="2:12" ht="15" thickBot="1" x14ac:dyDescent="0.4">
      <c r="B28" s="1598" t="s">
        <v>349</v>
      </c>
      <c r="C28" s="1600"/>
      <c r="D28" s="1737">
        <v>10</v>
      </c>
      <c r="E28" t="s">
        <v>350</v>
      </c>
    </row>
    <row r="29" spans="2:12" ht="15" thickBot="1" x14ac:dyDescent="0.4">
      <c r="B29" s="1598" t="s">
        <v>351</v>
      </c>
      <c r="C29" s="1600"/>
      <c r="D29" s="1738">
        <f>D28*B5</f>
        <v>28.567488023289073</v>
      </c>
      <c r="E29" t="s">
        <v>352</v>
      </c>
    </row>
    <row r="30" spans="2:12" ht="15" thickBot="1" x14ac:dyDescent="0.4">
      <c r="B30" s="1740"/>
      <c r="C30" s="1740"/>
      <c r="D30" s="1741"/>
      <c r="E30" s="779"/>
      <c r="F30" s="779"/>
      <c r="G30" s="779"/>
      <c r="H30" s="779"/>
      <c r="I30" s="779"/>
      <c r="J30" s="779"/>
      <c r="K30" s="779"/>
      <c r="L30" s="779"/>
    </row>
    <row r="31" spans="2:12" ht="15" thickTop="1" x14ac:dyDescent="0.35"/>
    <row r="32" spans="2:12" ht="18.5" x14ac:dyDescent="0.45">
      <c r="B32" s="102" t="s">
        <v>353</v>
      </c>
    </row>
    <row r="33" spans="2:12" x14ac:dyDescent="0.35">
      <c r="B33" s="760" t="s">
        <v>273</v>
      </c>
      <c r="C33" s="760"/>
      <c r="D33" s="760"/>
      <c r="E33" s="780" t="s">
        <v>354</v>
      </c>
      <c r="F33" s="1739" t="s">
        <v>355</v>
      </c>
    </row>
    <row r="34" spans="2:12" ht="15" thickBot="1" x14ac:dyDescent="0.4">
      <c r="B34" s="82"/>
      <c r="E34" s="82"/>
    </row>
    <row r="35" spans="2:12" ht="19" thickBot="1" x14ac:dyDescent="0.5">
      <c r="B35" s="1598" t="s">
        <v>10</v>
      </c>
      <c r="C35" s="1601"/>
      <c r="D35" s="1600"/>
      <c r="E35" s="1597">
        <v>0.5</v>
      </c>
      <c r="F35" s="1640">
        <f>$B$5*E35</f>
        <v>1.4283744011644537</v>
      </c>
      <c r="G35" s="102" t="s">
        <v>356</v>
      </c>
    </row>
    <row r="36" spans="2:12" ht="15" thickBot="1" x14ac:dyDescent="0.4">
      <c r="B36" s="1598" t="s">
        <v>277</v>
      </c>
      <c r="C36" s="1601"/>
      <c r="D36" s="1600"/>
      <c r="E36" s="1597">
        <v>1</v>
      </c>
      <c r="F36" s="1640">
        <f t="shared" ref="F36:F44" si="0">$B$5*E36</f>
        <v>2.8567488023289074</v>
      </c>
      <c r="G36" s="1598" t="s">
        <v>357</v>
      </c>
      <c r="H36" s="1598"/>
      <c r="I36" s="1607">
        <v>5</v>
      </c>
      <c r="J36" t="s">
        <v>350</v>
      </c>
    </row>
    <row r="37" spans="2:12" ht="15" thickBot="1" x14ac:dyDescent="0.4">
      <c r="B37" s="1598" t="s">
        <v>278</v>
      </c>
      <c r="C37" s="1601"/>
      <c r="D37" s="1600"/>
      <c r="E37" s="1597">
        <v>1</v>
      </c>
      <c r="F37" s="1640">
        <f t="shared" si="0"/>
        <v>2.8567488023289074</v>
      </c>
    </row>
    <row r="38" spans="2:12" ht="15" thickBot="1" x14ac:dyDescent="0.4">
      <c r="B38" s="1598" t="s">
        <v>279</v>
      </c>
      <c r="C38" s="1601"/>
      <c r="D38" s="1600"/>
      <c r="E38" s="1597">
        <v>1</v>
      </c>
      <c r="F38" s="1640">
        <f t="shared" si="0"/>
        <v>2.8567488023289074</v>
      </c>
    </row>
    <row r="39" spans="2:12" ht="15" thickBot="1" x14ac:dyDescent="0.4">
      <c r="B39" s="1598" t="s">
        <v>280</v>
      </c>
      <c r="C39" s="1601"/>
      <c r="D39" s="1600"/>
      <c r="E39" s="1597">
        <v>1</v>
      </c>
      <c r="F39" s="1640">
        <f t="shared" si="0"/>
        <v>2.8567488023289074</v>
      </c>
    </row>
    <row r="40" spans="2:12" ht="15" thickBot="1" x14ac:dyDescent="0.4">
      <c r="B40" s="1598" t="s">
        <v>281</v>
      </c>
      <c r="C40" s="1601"/>
      <c r="D40" s="1600"/>
      <c r="E40" s="1597">
        <v>1</v>
      </c>
      <c r="F40" s="1640">
        <f t="shared" si="0"/>
        <v>2.8567488023289074</v>
      </c>
      <c r="G40" s="958"/>
      <c r="H40" s="958"/>
      <c r="I40" s="96"/>
    </row>
    <row r="41" spans="2:12" ht="15" thickBot="1" x14ac:dyDescent="0.4">
      <c r="B41" s="1598" t="s">
        <v>282</v>
      </c>
      <c r="C41" s="1601"/>
      <c r="D41" s="1600"/>
      <c r="E41" s="1597">
        <v>1</v>
      </c>
      <c r="F41" s="1640">
        <f t="shared" si="0"/>
        <v>2.8567488023289074</v>
      </c>
      <c r="G41" s="958"/>
      <c r="H41" s="958"/>
      <c r="I41" s="96"/>
    </row>
    <row r="42" spans="2:12" ht="15" thickBot="1" x14ac:dyDescent="0.4">
      <c r="B42" s="1598" t="s">
        <v>283</v>
      </c>
      <c r="C42" s="1601"/>
      <c r="D42" s="1600"/>
      <c r="E42" s="1597">
        <v>1</v>
      </c>
      <c r="F42" s="1640">
        <f t="shared" si="0"/>
        <v>2.8567488023289074</v>
      </c>
      <c r="G42" s="958"/>
      <c r="H42" s="958"/>
      <c r="I42" s="96"/>
    </row>
    <row r="43" spans="2:12" ht="15" thickBot="1" x14ac:dyDescent="0.4">
      <c r="B43" s="1598" t="s">
        <v>12</v>
      </c>
      <c r="C43" s="1601"/>
      <c r="D43" s="1600"/>
      <c r="E43" s="1597">
        <v>2</v>
      </c>
      <c r="F43" s="1640">
        <f t="shared" si="0"/>
        <v>5.7134976046578148</v>
      </c>
      <c r="G43" s="65"/>
      <c r="H43" s="65"/>
    </row>
    <row r="44" spans="2:12" ht="15" thickBot="1" x14ac:dyDescent="0.4">
      <c r="B44" s="1598" t="s">
        <v>13</v>
      </c>
      <c r="C44" s="1601"/>
      <c r="D44" s="1600"/>
      <c r="E44" s="1597">
        <v>2</v>
      </c>
      <c r="F44" s="1640">
        <f t="shared" si="0"/>
        <v>5.7134976046578148</v>
      </c>
      <c r="G44" s="65"/>
      <c r="H44" s="65"/>
    </row>
    <row r="45" spans="2:12" ht="15" thickBot="1" x14ac:dyDescent="0.4">
      <c r="B45" s="1599" t="s">
        <v>14</v>
      </c>
      <c r="C45" s="1602"/>
      <c r="D45" s="1600"/>
      <c r="E45" s="782">
        <v>2</v>
      </c>
      <c r="F45" s="1640">
        <f>$B$5*E45</f>
        <v>5.7134976046578148</v>
      </c>
      <c r="G45" s="65"/>
      <c r="H45" s="65"/>
    </row>
    <row r="46" spans="2:12" x14ac:dyDescent="0.35">
      <c r="B46" s="53"/>
      <c r="C46" s="53"/>
      <c r="D46" s="53"/>
      <c r="E46" s="53"/>
      <c r="F46" s="53"/>
    </row>
    <row r="47" spans="2:12" ht="15" thickBot="1" x14ac:dyDescent="0.4">
      <c r="B47" s="779"/>
      <c r="C47" s="779"/>
      <c r="D47" s="779"/>
      <c r="E47" s="779"/>
      <c r="F47" s="779"/>
      <c r="G47" s="779"/>
      <c r="H47" s="779"/>
      <c r="I47" s="779"/>
      <c r="J47" s="779"/>
      <c r="K47" s="779"/>
      <c r="L47" s="779"/>
    </row>
    <row r="48" spans="2:12" ht="15" thickTop="1" x14ac:dyDescent="0.35"/>
    <row r="50" spans="2:11" ht="18.5" x14ac:dyDescent="0.45">
      <c r="B50" s="102" t="s">
        <v>358</v>
      </c>
    </row>
    <row r="52" spans="2:11" ht="29.5" thickBot="1" x14ac:dyDescent="0.4">
      <c r="B52" s="156" t="s">
        <v>359</v>
      </c>
      <c r="C52" s="781" t="s">
        <v>360</v>
      </c>
    </row>
    <row r="53" spans="2:11" ht="15" thickBot="1" x14ac:dyDescent="0.4">
      <c r="B53" s="25" t="s">
        <v>1</v>
      </c>
      <c r="C53" s="1334">
        <f t="shared" ref="C53:C61" si="1">E68</f>
        <v>1</v>
      </c>
    </row>
    <row r="54" spans="2:11" ht="15" thickBot="1" x14ac:dyDescent="0.4">
      <c r="B54" s="25" t="s">
        <v>2</v>
      </c>
      <c r="C54" s="1334">
        <f t="shared" si="1"/>
        <v>1</v>
      </c>
    </row>
    <row r="55" spans="2:11" ht="15" thickBot="1" x14ac:dyDescent="0.4">
      <c r="B55" s="25" t="s">
        <v>3</v>
      </c>
      <c r="C55" s="1334">
        <f t="shared" si="1"/>
        <v>1</v>
      </c>
    </row>
    <row r="56" spans="2:11" ht="15" thickBot="1" x14ac:dyDescent="0.4">
      <c r="B56" s="25" t="s">
        <v>4</v>
      </c>
      <c r="C56" s="1334">
        <f t="shared" si="1"/>
        <v>1</v>
      </c>
    </row>
    <row r="57" spans="2:11" ht="15" thickBot="1" x14ac:dyDescent="0.4">
      <c r="B57" s="25" t="s">
        <v>5</v>
      </c>
      <c r="C57" s="1334">
        <f t="shared" si="1"/>
        <v>1</v>
      </c>
    </row>
    <row r="58" spans="2:11" ht="15" thickBot="1" x14ac:dyDescent="0.4">
      <c r="B58" s="25" t="s">
        <v>6</v>
      </c>
      <c r="C58" s="1334">
        <f t="shared" si="1"/>
        <v>1</v>
      </c>
    </row>
    <row r="59" spans="2:11" ht="15" thickBot="1" x14ac:dyDescent="0.4">
      <c r="B59" s="25" t="s">
        <v>7</v>
      </c>
      <c r="C59" s="1334">
        <f t="shared" si="1"/>
        <v>0.45585900809633878</v>
      </c>
    </row>
    <row r="60" spans="2:11" ht="15" thickBot="1" x14ac:dyDescent="0.4">
      <c r="B60" s="25" t="s">
        <v>8</v>
      </c>
      <c r="C60" s="1334">
        <f t="shared" si="1"/>
        <v>1</v>
      </c>
    </row>
    <row r="61" spans="2:11" ht="15" thickBot="1" x14ac:dyDescent="0.4">
      <c r="B61" s="25" t="s">
        <v>9</v>
      </c>
      <c r="C61" s="1334">
        <f t="shared" si="1"/>
        <v>1</v>
      </c>
    </row>
    <row r="62" spans="2:11" x14ac:dyDescent="0.35">
      <c r="B62" s="53"/>
      <c r="C62" s="1333"/>
      <c r="K62" s="96"/>
    </row>
    <row r="63" spans="2:11" x14ac:dyDescent="0.35">
      <c r="B63" s="1345" t="s">
        <v>361</v>
      </c>
      <c r="K63" s="96"/>
    </row>
    <row r="64" spans="2:11" x14ac:dyDescent="0.35">
      <c r="B64" s="1345"/>
      <c r="K64" s="96"/>
    </row>
    <row r="65" spans="2:11" ht="18.5" x14ac:dyDescent="0.45">
      <c r="B65" s="102" t="s">
        <v>337</v>
      </c>
      <c r="K65" s="96"/>
    </row>
    <row r="66" spans="2:11" ht="15" thickBot="1" x14ac:dyDescent="0.4">
      <c r="K66" s="96"/>
    </row>
    <row r="67" spans="2:11" ht="29" x14ac:dyDescent="0.35">
      <c r="B67" s="156" t="s">
        <v>359</v>
      </c>
      <c r="C67" s="157" t="s">
        <v>362</v>
      </c>
      <c r="D67" s="157" t="s">
        <v>363</v>
      </c>
      <c r="E67" s="781" t="s">
        <v>360</v>
      </c>
      <c r="G67" s="957" t="s">
        <v>364</v>
      </c>
      <c r="I67" s="96"/>
    </row>
    <row r="68" spans="2:11" x14ac:dyDescent="0.35">
      <c r="B68" s="25" t="s">
        <v>1</v>
      </c>
      <c r="C68" s="955">
        <f t="shared" ref="C68:C76" si="2">IF(C81="sim",$I$81,0)</f>
        <v>0.54414099190366116</v>
      </c>
      <c r="D68" s="955">
        <f t="shared" ref="D68:D76" si="3">IF(D81="sim",SUM($I$82:$I$84,0))</f>
        <v>0.45585900809633878</v>
      </c>
      <c r="E68" s="955">
        <f>SUM(C68:D68)</f>
        <v>1</v>
      </c>
      <c r="G68" s="1525">
        <f>E68*$B$5</f>
        <v>2.8567488023289074</v>
      </c>
      <c r="I68" s="96"/>
    </row>
    <row r="69" spans="2:11" x14ac:dyDescent="0.35">
      <c r="B69" s="25" t="s">
        <v>2</v>
      </c>
      <c r="C69" s="955">
        <f t="shared" si="2"/>
        <v>0.54414099190366116</v>
      </c>
      <c r="D69" s="955">
        <f t="shared" si="3"/>
        <v>0.45585900809633878</v>
      </c>
      <c r="E69" s="955">
        <f>SUM(C69:D69)</f>
        <v>1</v>
      </c>
      <c r="G69" s="1526">
        <f t="shared" ref="G69:G73" si="4">E69*$B$5</f>
        <v>2.8567488023289074</v>
      </c>
      <c r="I69" s="96"/>
    </row>
    <row r="70" spans="2:11" x14ac:dyDescent="0.35">
      <c r="B70" s="25" t="s">
        <v>3</v>
      </c>
      <c r="C70" s="955">
        <f t="shared" si="2"/>
        <v>0.54414099190366116</v>
      </c>
      <c r="D70" s="955">
        <f t="shared" si="3"/>
        <v>0.45585900809633878</v>
      </c>
      <c r="E70" s="955">
        <f t="shared" ref="E70:E76" si="5">SUM(C70:D70)</f>
        <v>1</v>
      </c>
      <c r="G70" s="1526">
        <f t="shared" si="4"/>
        <v>2.8567488023289074</v>
      </c>
      <c r="I70" s="96"/>
    </row>
    <row r="71" spans="2:11" x14ac:dyDescent="0.35">
      <c r="B71" s="25" t="s">
        <v>4</v>
      </c>
      <c r="C71" s="955">
        <f t="shared" si="2"/>
        <v>0.54414099190366116</v>
      </c>
      <c r="D71" s="955">
        <f t="shared" si="3"/>
        <v>0.45585900809633878</v>
      </c>
      <c r="E71" s="955">
        <f t="shared" si="5"/>
        <v>1</v>
      </c>
      <c r="G71" s="1526">
        <f t="shared" si="4"/>
        <v>2.8567488023289074</v>
      </c>
      <c r="I71" s="96"/>
    </row>
    <row r="72" spans="2:11" x14ac:dyDescent="0.35">
      <c r="B72" s="25" t="s">
        <v>5</v>
      </c>
      <c r="C72" s="955">
        <f t="shared" si="2"/>
        <v>0.54414099190366116</v>
      </c>
      <c r="D72" s="955">
        <f t="shared" si="3"/>
        <v>0.45585900809633878</v>
      </c>
      <c r="E72" s="955">
        <f t="shared" si="5"/>
        <v>1</v>
      </c>
      <c r="G72" s="1526">
        <f t="shared" si="4"/>
        <v>2.8567488023289074</v>
      </c>
      <c r="I72" s="96"/>
    </row>
    <row r="73" spans="2:11" x14ac:dyDescent="0.35">
      <c r="B73" s="25" t="s">
        <v>6</v>
      </c>
      <c r="C73" s="955">
        <f t="shared" si="2"/>
        <v>0.54414099190366116</v>
      </c>
      <c r="D73" s="955">
        <f t="shared" si="3"/>
        <v>0.45585900809633878</v>
      </c>
      <c r="E73" s="955">
        <f t="shared" si="5"/>
        <v>1</v>
      </c>
      <c r="G73" s="1526">
        <f t="shared" si="4"/>
        <v>2.8567488023289074</v>
      </c>
      <c r="I73" s="96"/>
    </row>
    <row r="74" spans="2:11" x14ac:dyDescent="0.35">
      <c r="B74" s="25" t="s">
        <v>7</v>
      </c>
      <c r="C74" s="955">
        <f t="shared" si="2"/>
        <v>0</v>
      </c>
      <c r="D74" s="955">
        <f t="shared" si="3"/>
        <v>0.45585900809633878</v>
      </c>
      <c r="E74" s="955">
        <f t="shared" si="5"/>
        <v>0.45585900809633878</v>
      </c>
      <c r="G74" s="1526">
        <f t="shared" ref="G74:G76" si="6">E74*$B$5</f>
        <v>1.3022746754100596</v>
      </c>
      <c r="I74" s="96"/>
    </row>
    <row r="75" spans="2:11" x14ac:dyDescent="0.35">
      <c r="B75" s="25" t="s">
        <v>8</v>
      </c>
      <c r="C75" s="955">
        <f t="shared" si="2"/>
        <v>0.54414099190366116</v>
      </c>
      <c r="D75" s="955">
        <f t="shared" si="3"/>
        <v>0.45585900809633878</v>
      </c>
      <c r="E75" s="955">
        <f t="shared" si="5"/>
        <v>1</v>
      </c>
      <c r="G75" s="1526">
        <f t="shared" si="6"/>
        <v>2.8567488023289074</v>
      </c>
      <c r="I75" s="96"/>
    </row>
    <row r="76" spans="2:11" ht="15" thickBot="1" x14ac:dyDescent="0.4">
      <c r="B76" s="30" t="s">
        <v>9</v>
      </c>
      <c r="C76" s="956">
        <f t="shared" si="2"/>
        <v>0.54414099190366116</v>
      </c>
      <c r="D76" s="956">
        <f t="shared" si="3"/>
        <v>0.45585900809633878</v>
      </c>
      <c r="E76" s="956">
        <f t="shared" si="5"/>
        <v>1</v>
      </c>
      <c r="G76" s="1527">
        <f t="shared" si="6"/>
        <v>2.8567488023289074</v>
      </c>
      <c r="K76" s="96"/>
    </row>
    <row r="77" spans="2:11" x14ac:dyDescent="0.35">
      <c r="K77" s="96"/>
    </row>
    <row r="78" spans="2:11" x14ac:dyDescent="0.35">
      <c r="K78" s="96"/>
    </row>
    <row r="79" spans="2:11" x14ac:dyDescent="0.35">
      <c r="B79" s="951" t="s">
        <v>365</v>
      </c>
      <c r="C79" s="952"/>
      <c r="D79" s="953"/>
      <c r="K79" s="96"/>
    </row>
    <row r="80" spans="2:11" ht="29" x14ac:dyDescent="0.35">
      <c r="B80" s="943" t="s">
        <v>68</v>
      </c>
      <c r="C80" s="944" t="s">
        <v>366</v>
      </c>
      <c r="D80" s="944" t="s">
        <v>367</v>
      </c>
      <c r="F80" s="939" t="s">
        <v>368</v>
      </c>
      <c r="G80" s="940"/>
      <c r="H80" s="937" t="s">
        <v>369</v>
      </c>
      <c r="I80" s="938" t="s">
        <v>370</v>
      </c>
    </row>
    <row r="81" spans="2:12" x14ac:dyDescent="0.35">
      <c r="B81" s="933" t="s">
        <v>1</v>
      </c>
      <c r="C81" s="1166" t="s">
        <v>246</v>
      </c>
      <c r="D81" s="1166" t="s">
        <v>246</v>
      </c>
      <c r="F81" s="935" t="s">
        <v>371</v>
      </c>
      <c r="G81" s="941"/>
      <c r="H81" s="1168">
        <f>'CAPEX E OPEX'!E38+'CAPEX E OPEX'!E94</f>
        <v>464687432.55443764</v>
      </c>
      <c r="I81" s="1169">
        <f>H81/$H$85</f>
        <v>0.54414099190366116</v>
      </c>
    </row>
    <row r="82" spans="2:12" x14ac:dyDescent="0.35">
      <c r="B82" s="934" t="s">
        <v>2</v>
      </c>
      <c r="C82" s="1167" t="s">
        <v>246</v>
      </c>
      <c r="D82" s="1167" t="s">
        <v>246</v>
      </c>
      <c r="F82" s="935" t="s">
        <v>372</v>
      </c>
      <c r="G82" s="941"/>
      <c r="H82" s="1168">
        <f>'CAPEX E OPEX'!E48+'CAPEX E OPEX'!E104</f>
        <v>136531041.77999991</v>
      </c>
      <c r="I82" s="1169">
        <f>H82/$H$85</f>
        <v>0.15987550188611163</v>
      </c>
    </row>
    <row r="83" spans="2:12" x14ac:dyDescent="0.35">
      <c r="B83" s="934" t="s">
        <v>3</v>
      </c>
      <c r="C83" s="1167" t="s">
        <v>246</v>
      </c>
      <c r="D83" s="1167" t="s">
        <v>246</v>
      </c>
      <c r="F83" s="935" t="s">
        <v>373</v>
      </c>
      <c r="G83" s="941"/>
      <c r="H83" s="1168">
        <f>'CAPEX E OPEX'!E58+'CAPEX E OPEX'!E114</f>
        <v>79377706.120000005</v>
      </c>
      <c r="I83" s="1169">
        <f>H83/$H$85</f>
        <v>9.2949928741862725E-2</v>
      </c>
    </row>
    <row r="84" spans="2:12" x14ac:dyDescent="0.35">
      <c r="B84" s="934" t="s">
        <v>4</v>
      </c>
      <c r="C84" s="1167" t="s">
        <v>246</v>
      </c>
      <c r="D84" s="1167" t="s">
        <v>246</v>
      </c>
      <c r="F84" s="935" t="s">
        <v>374</v>
      </c>
      <c r="G84" s="941"/>
      <c r="H84" s="1168">
        <f>'CAPEX E OPEX'!E68+'CAPEX E OPEX'!E124</f>
        <v>173387326.52000001</v>
      </c>
      <c r="I84" s="1169">
        <f>H84/$H$85</f>
        <v>0.20303357746836442</v>
      </c>
    </row>
    <row r="85" spans="2:12" x14ac:dyDescent="0.35">
      <c r="B85" s="934" t="s">
        <v>5</v>
      </c>
      <c r="C85" s="1167" t="s">
        <v>246</v>
      </c>
      <c r="D85" s="1167" t="s">
        <v>246</v>
      </c>
      <c r="F85" s="936"/>
      <c r="G85" s="942"/>
      <c r="H85" s="1170">
        <f>SUM(H81:H84)</f>
        <v>853983506.97443759</v>
      </c>
      <c r="I85" s="1171">
        <f>SUM(I81:I84)</f>
        <v>1</v>
      </c>
    </row>
    <row r="86" spans="2:12" x14ac:dyDescent="0.35">
      <c r="B86" s="934" t="s">
        <v>6</v>
      </c>
      <c r="C86" s="1167" t="s">
        <v>246</v>
      </c>
      <c r="D86" s="1167" t="s">
        <v>246</v>
      </c>
      <c r="F86" s="959"/>
      <c r="G86" s="960"/>
      <c r="H86" s="1172"/>
      <c r="I86" s="1173"/>
    </row>
    <row r="87" spans="2:12" x14ac:dyDescent="0.35">
      <c r="B87" s="934" t="s">
        <v>7</v>
      </c>
      <c r="C87" s="1167" t="s">
        <v>245</v>
      </c>
      <c r="D87" s="1167" t="s">
        <v>246</v>
      </c>
    </row>
    <row r="88" spans="2:12" x14ac:dyDescent="0.35">
      <c r="B88" s="934" t="s">
        <v>8</v>
      </c>
      <c r="C88" s="1167" t="s">
        <v>246</v>
      </c>
      <c r="D88" s="1167" t="s">
        <v>246</v>
      </c>
    </row>
    <row r="89" spans="2:12" x14ac:dyDescent="0.35">
      <c r="B89" s="934" t="s">
        <v>9</v>
      </c>
      <c r="C89" s="1167" t="s">
        <v>246</v>
      </c>
      <c r="D89" s="1167" t="s">
        <v>246</v>
      </c>
    </row>
    <row r="90" spans="2:12" x14ac:dyDescent="0.35">
      <c r="B90" s="945" t="s">
        <v>375</v>
      </c>
      <c r="C90" s="946">
        <f>(IF(C81="sim",COUNTA(C81),0))+(IF(C82="sim",COUNTA(C82),0))+(IF(C83="sim",COUNTA(C83),0))+(IF(C84="sim",COUNTA(C84),0))+(IF(C85="sim",COUNTA(C85),0))+(IF(C86="sim",COUNTA(C86),0))+(IF(C87="sim",COUNTA(C87),0))+(IF(C88="sim",COUNTA(C88),0))+(IF(C89="sim",COUNTA(C89),0))</f>
        <v>8</v>
      </c>
      <c r="D90" s="946">
        <f>(IF(D81="sim",COUNTA(D81),0))+(IF(D82="sim",COUNTA(D82),0))+(IF(D83="sim",COUNTA(D83),0))+(IF(D84="sim",COUNTA(D84),0))+(IF(D85="sim",COUNTA(D85),0))+(IF(D86="sim",COUNTA(D86),0))+(IF(D87="sim",COUNTA(D87),0))+(IF(D88="sim",COUNTA(D88),0))+(IF(D89="sim",COUNTA(D89),0))</f>
        <v>9</v>
      </c>
    </row>
    <row r="92" spans="2:12" ht="15" thickBot="1" x14ac:dyDescent="0.4">
      <c r="B92" s="779"/>
      <c r="C92" s="779"/>
      <c r="D92" s="779"/>
      <c r="E92" s="779"/>
      <c r="F92" s="779"/>
      <c r="G92" s="779"/>
      <c r="H92" s="779"/>
      <c r="I92" s="779"/>
      <c r="J92" s="779"/>
      <c r="K92" s="779"/>
      <c r="L92" s="779"/>
    </row>
    <row r="93" spans="2:12" ht="15" thickTop="1" x14ac:dyDescent="0.35"/>
    <row r="98" spans="2:12" x14ac:dyDescent="0.35">
      <c r="D98" s="96"/>
    </row>
    <row r="99" spans="2:12" x14ac:dyDescent="0.35">
      <c r="D99" s="1322"/>
      <c r="E99" s="96"/>
      <c r="F99" s="96"/>
      <c r="G99" s="96"/>
    </row>
    <row r="100" spans="2:12" x14ac:dyDescent="0.35">
      <c r="B100" s="173"/>
      <c r="C100" s="96"/>
      <c r="D100" s="96"/>
      <c r="E100" s="96"/>
    </row>
    <row r="101" spans="2:12" ht="21" x14ac:dyDescent="0.5">
      <c r="B101" s="98" t="s">
        <v>376</v>
      </c>
      <c r="C101" s="76"/>
      <c r="D101" s="76"/>
      <c r="E101" s="76"/>
      <c r="F101" s="76"/>
      <c r="G101" s="76"/>
      <c r="H101" s="76"/>
      <c r="I101" s="76"/>
      <c r="J101" s="75"/>
      <c r="K101" s="75"/>
      <c r="L101" s="75"/>
    </row>
    <row r="103" spans="2:12" x14ac:dyDescent="0.35">
      <c r="B103" s="173"/>
      <c r="C103" s="193"/>
      <c r="D103" s="173"/>
    </row>
    <row r="104" spans="2:12" ht="29" x14ac:dyDescent="0.35">
      <c r="B104" s="1323" t="s">
        <v>273</v>
      </c>
      <c r="C104" s="87"/>
      <c r="D104" s="87" t="s">
        <v>1</v>
      </c>
      <c r="E104" s="87" t="s">
        <v>2</v>
      </c>
      <c r="F104" s="88" t="s">
        <v>3</v>
      </c>
      <c r="G104" s="88" t="s">
        <v>4</v>
      </c>
      <c r="H104" s="88" t="s">
        <v>5</v>
      </c>
      <c r="I104" s="88" t="s">
        <v>6</v>
      </c>
      <c r="J104" s="88" t="s">
        <v>7</v>
      </c>
      <c r="K104" s="88" t="s">
        <v>8</v>
      </c>
      <c r="L104" s="88" t="s">
        <v>9</v>
      </c>
    </row>
    <row r="105" spans="2:12" x14ac:dyDescent="0.35">
      <c r="B105" t="s">
        <v>10</v>
      </c>
      <c r="D105" s="475">
        <f>(Receitas!E10/('Premissas Economias e Água'!F62*'Premissas Economias e Água'!C8))/12</f>
        <v>22.873732190207914</v>
      </c>
      <c r="E105" s="475">
        <f>(Receitas!E22/12)/('Premissas Economias e Água'!$F$63*'Premissas Economias e Água'!D8)</f>
        <v>14.931575516506971</v>
      </c>
      <c r="F105" s="475">
        <f>(Receitas!E34/12)/('Premissas Economias e Água'!$F$64*'Premissas Economias e Água'!E8)</f>
        <v>15.251455262311419</v>
      </c>
      <c r="G105" s="475">
        <f>(Receitas!E46/12)/('Premissas Economias e Água'!$F$65*'Premissas Economias e Água'!F8)</f>
        <v>14.386661373441408</v>
      </c>
      <c r="H105" s="475">
        <f>(Receitas!E58/12)/('Premissas Economias e Água'!$F$66*'Premissas Economias e Água'!G8)</f>
        <v>20.067248564699749</v>
      </c>
      <c r="I105" s="475">
        <f>(Receitas!E70/12)/('Premissas Economias e Água'!$F$67*'Premissas Economias e Água'!H8)</f>
        <v>14.71599618737363</v>
      </c>
      <c r="J105" s="475">
        <f>(Receitas!E82/12)/('Premissas Economias e Água'!$F$68*'Premissas Economias e Água'!I8)</f>
        <v>6.5113733770502984</v>
      </c>
      <c r="K105" s="475">
        <f>(Receitas!E94/12)/('Premissas Economias e Água'!$F$69*'Premissas Economias e Água'!J8)</f>
        <v>14.342205186079363</v>
      </c>
      <c r="L105" s="475">
        <f>(Receitas!E106/12)/('Premissas Economias e Água'!$F$70*'Premissas Economias e Água'!K8)</f>
        <v>14.537500798455719</v>
      </c>
    </row>
    <row r="106" spans="2:12" x14ac:dyDescent="0.35">
      <c r="B106" t="s">
        <v>11</v>
      </c>
      <c r="D106" s="475">
        <f>SUM(Receitas!E11:E17)/('Premissas Economias e Água'!F62*SUM('Premissas Economias e Água'!C9:C15))/12</f>
        <v>49.557464948659664</v>
      </c>
      <c r="E106" s="475">
        <f>SUM(Receitas!E23:E29)/('Premissas Economias e Água'!F63*SUM('Premissas Economias e Água'!D9:D15))/12</f>
        <v>36.958239715117394</v>
      </c>
      <c r="F106" s="475">
        <f>SUM(Receitas!E35:E41)/('Premissas Economias e Água'!F64*SUM('Premissas Economias e Água'!E9:E15))/12</f>
        <v>34.515970693676167</v>
      </c>
      <c r="G106" s="475">
        <f>SUM(Receitas!E47:E53)/(('Premissas Economias e Água'!F65)*SUM('Premissas Economias e Água'!F9:F15))/12</f>
        <v>34.752866166556352</v>
      </c>
      <c r="H106" s="475">
        <f>SUM(Receitas!E59:E65)/('Premissas Economias e Água'!F66*SUM('Premissas Economias e Água'!G9:G15))/12</f>
        <v>39.723540653170012</v>
      </c>
      <c r="I106" s="475">
        <f>SUM(Receitas!E71:E77)/('Premissas Economias e Água'!F67*SUM('Premissas Economias e Água'!H9:H15))/12</f>
        <v>36.293465807739352</v>
      </c>
      <c r="J106" s="475">
        <f>SUM(Receitas!E83:E90)/('Premissas Economias e Água'!F68*SUM('Premissas Economias e Água'!I9:I15))/12</f>
        <v>20.169923966307813</v>
      </c>
      <c r="K106" s="475">
        <f>SUM(Receitas!E95:E101)/('Premissas Economias e Água'!F69*SUM('Premissas Economias e Água'!J9:J15))/12</f>
        <v>34.747511596633373</v>
      </c>
      <c r="L106" s="475">
        <f>SUM(Receitas!D107:E113)/('Premissas Economias e Água'!F70*SUM('Premissas Economias e Água'!K9:K15))/12</f>
        <v>36.378109341845651</v>
      </c>
    </row>
    <row r="107" spans="2:12" ht="15" thickBot="1" x14ac:dyDescent="0.4">
      <c r="B107" s="1644" t="s">
        <v>277</v>
      </c>
      <c r="C107" s="1645"/>
      <c r="D107" s="1646">
        <f>(Receitas!E11/('Premissas Economias e Água'!$F$62*'Premissas Economias e Água'!C9))/12</f>
        <v>28.567488023289069</v>
      </c>
      <c r="E107" s="1646">
        <f>(Receitas!E23/12)/('Premissas Economias e Água'!$F$63*'Premissas Economias e Água'!D9)</f>
        <v>28.567488023289076</v>
      </c>
      <c r="F107" s="1646">
        <f>(Receitas!E35/12)/('Premissas Economias e Água'!$F$64*'Premissas Economias e Água'!E9)</f>
        <v>28.567488023289073</v>
      </c>
      <c r="G107" s="1646">
        <f>(Receitas!E47/12)/('Premissas Economias e Água'!$F$65*'Premissas Economias e Água'!F9)</f>
        <v>28.567488023289073</v>
      </c>
      <c r="H107" s="1646">
        <f>(Receitas!E59/12)/('Premissas Economias e Água'!$F$66*'Premissas Economias e Água'!G9)</f>
        <v>28.567488023289073</v>
      </c>
      <c r="I107" s="1646">
        <f>(Receitas!E71/12)/('Premissas Economias e Água'!$F$67*'Premissas Economias e Água'!H9)</f>
        <v>28.567488023289076</v>
      </c>
      <c r="J107" s="1646">
        <f>(Receitas!E83/12)/('Premissas Economias e Água'!$F$68*'Premissas Economias e Água'!I9)</f>
        <v>28.567488023289073</v>
      </c>
      <c r="K107" s="1646">
        <f>(Receitas!E95/12)/('Premissas Economias e Água'!$F$69*'Premissas Economias e Água'!J9)</f>
        <v>28.567488023289073</v>
      </c>
      <c r="L107" s="1646">
        <f>(Receitas!E107/12)/('Premissas Economias e Água'!$F$70*'Premissas Economias e Água'!K9)</f>
        <v>28.567488023289073</v>
      </c>
    </row>
    <row r="108" spans="2:12" ht="15" thickBot="1" x14ac:dyDescent="0.4">
      <c r="B108" s="1647" t="s">
        <v>278</v>
      </c>
      <c r="C108" s="1648"/>
      <c r="D108" s="1649">
        <f>(Receitas!E12/('Premissas Economias e Água'!$F$62*'Premissas Economias e Água'!C10))/12</f>
        <v>28.567488023289069</v>
      </c>
      <c r="E108" s="1649">
        <f>(Receitas!E24/12)/('Premissas Economias e Água'!$F$63*'Premissas Economias e Água'!D10)</f>
        <v>28.567488023289076</v>
      </c>
      <c r="F108" s="1649">
        <f>(Receitas!E36/12)/('Premissas Economias e Água'!$F$64*'Premissas Economias e Água'!E10)</f>
        <v>28.567488023289073</v>
      </c>
      <c r="G108" s="1649">
        <f>(Receitas!E48/12)/('Premissas Economias e Água'!$F$65*'Premissas Economias e Água'!F10)</f>
        <v>28.567488023289073</v>
      </c>
      <c r="H108" s="1649">
        <f>(Receitas!E60/12)/('Premissas Economias e Água'!$F$66*'Premissas Economias e Água'!G10)</f>
        <v>28.567488023289073</v>
      </c>
      <c r="I108" s="1649">
        <f>(Receitas!E72/12)/('Premissas Economias e Água'!$F$67*'Premissas Economias e Água'!H10)</f>
        <v>28.567488023289073</v>
      </c>
      <c r="J108" s="1649">
        <f>(Receitas!E84/12)/('Premissas Economias e Água'!$F$68*'Premissas Economias e Água'!I10)</f>
        <v>13.022746754100595</v>
      </c>
      <c r="K108" s="1649">
        <f>(Receitas!E96/12)/('Premissas Economias e Água'!$F$69*'Premissas Economias e Água'!J10)</f>
        <v>28.56748802328908</v>
      </c>
      <c r="L108" s="1649">
        <f>(Receitas!E108/12)/('Premissas Economias e Água'!$F$70*'Premissas Economias e Água'!K10)</f>
        <v>28.567488023289076</v>
      </c>
    </row>
    <row r="109" spans="2:12" ht="15" thickBot="1" x14ac:dyDescent="0.4">
      <c r="B109" s="1647" t="s">
        <v>279</v>
      </c>
      <c r="C109" s="1648"/>
      <c r="D109" s="1649">
        <f>(Receitas!E13/('Premissas Economias e Água'!$F$62*'Premissas Economias e Água'!C11))/12</f>
        <v>35.721664324777024</v>
      </c>
      <c r="E109" s="1649">
        <f>(Receitas!E25/12)/('Premissas Economias e Água'!$F$63*'Premissas Economias e Água'!D11)</f>
        <v>28.567488023289073</v>
      </c>
      <c r="F109" s="1649">
        <f>(Receitas!E37/12)/('Premissas Economias e Água'!$F$64*'Premissas Economias e Água'!E11)</f>
        <v>28.567488023289073</v>
      </c>
      <c r="G109" s="1649">
        <f>(Receitas!E49/12)/('Premissas Economias e Água'!$F$65*'Premissas Economias e Água'!F11)</f>
        <v>28.567488023289076</v>
      </c>
      <c r="H109" s="1649">
        <f>(Receitas!E61/12)/('Premissas Economias e Água'!$F$66*'Premissas Economias e Água'!G11)</f>
        <v>28.567488023289076</v>
      </c>
      <c r="I109" s="1649">
        <f>(Receitas!E73/12)/('Premissas Economias e Água'!$F$67*'Premissas Economias e Água'!H11)</f>
        <v>28.567488023289073</v>
      </c>
      <c r="J109" s="1649">
        <f>(Receitas!E85/12)/('Premissas Economias e Água'!$F$68*'Premissas Economias e Água'!I11)</f>
        <v>13.022746754100595</v>
      </c>
      <c r="K109" s="1649">
        <f>(Receitas!E97/12)/('Premissas Economias e Água'!$F$69*'Premissas Economias e Água'!J11)</f>
        <v>28.567488023289076</v>
      </c>
      <c r="L109" s="1649">
        <f>(Receitas!E109/12)/('Premissas Economias e Água'!$F$70*'Premissas Economias e Água'!K11)</f>
        <v>28.567488023289073</v>
      </c>
    </row>
    <row r="110" spans="2:12" ht="15" thickBot="1" x14ac:dyDescent="0.4">
      <c r="B110" s="1647" t="s">
        <v>280</v>
      </c>
      <c r="C110" s="1648"/>
      <c r="D110" s="1649">
        <f>(Receitas!E14/('Premissas Economias e Água'!$F$62*'Premissas Economias e Água'!C12))/12</f>
        <v>55.769000069978915</v>
      </c>
      <c r="E110" s="1649">
        <f>(Receitas!E26/12)/('Premissas Economias e Água'!$F$63*'Premissas Economias e Água'!D12)</f>
        <v>39.211792477071029</v>
      </c>
      <c r="F110" s="1649">
        <f>(Receitas!E38/12)/('Premissas Economias e Água'!$F$64*'Premissas Economias e Água'!E12)</f>
        <v>31.904901317375131</v>
      </c>
      <c r="G110" s="1649">
        <f>(Receitas!E50/12)/('Premissas Economias e Água'!$F$65*'Premissas Economias e Água'!F12)</f>
        <v>32.341092062255719</v>
      </c>
      <c r="H110" s="1649">
        <f>(Receitas!E62/12)/('Premissas Economias e Água'!$F$66*'Premissas Economias e Água'!G12)</f>
        <v>41.493492403699115</v>
      </c>
      <c r="I110" s="1649">
        <f>(Receitas!E74/12)/('Premissas Economias e Água'!$F$67*'Premissas Economias e Água'!H12)</f>
        <v>37.820758468290755</v>
      </c>
      <c r="J110" s="1649">
        <f>(Receitas!E86/12)/('Premissas Economias e Água'!$F$68*'Premissas Economias e Água'!I12)</f>
        <v>13.872656869201828</v>
      </c>
      <c r="K110" s="1649">
        <f>(Receitas!E98/12)/('Premissas Economias e Água'!$F$69*'Premissas Economias e Água'!J12)</f>
        <v>32.331232803170579</v>
      </c>
      <c r="L110" s="1649">
        <f>(Receitas!E110/12)/('Premissas Economias e Água'!$F$70*'Premissas Economias e Água'!K12)</f>
        <v>35.333618777192569</v>
      </c>
    </row>
    <row r="111" spans="2:12" ht="15" thickBot="1" x14ac:dyDescent="0.4">
      <c r="B111" s="1647" t="s">
        <v>281</v>
      </c>
      <c r="C111" s="1648"/>
      <c r="D111" s="1649">
        <f>(Receitas!E15/('Premissas Economias e Água'!$F$62*'Premissas Economias e Água'!C13))/12</f>
        <v>79.958274099090332</v>
      </c>
      <c r="E111" s="1649">
        <f>(Receitas!E27/12)/('Premissas Economias e Água'!$F$63*'Premissas Economias e Água'!D13)</f>
        <v>55.368479000461527</v>
      </c>
      <c r="F111" s="1649">
        <f>(Receitas!E39/12)/('Premissas Economias e Água'!$F$64*'Premissas Economias e Água'!E13)</f>
        <v>45.743349198264966</v>
      </c>
      <c r="G111" s="1649">
        <f>(Receitas!E51/12)/('Premissas Economias e Água'!$F$65*'Premissas Economias e Água'!F13)</f>
        <v>46.36873353534979</v>
      </c>
      <c r="H111" s="1649">
        <f>(Receitas!E63/12)/('Premissas Economias e Água'!$F$66*'Premissas Economias e Água'!G13)</f>
        <v>59.490900585995583</v>
      </c>
      <c r="I111" s="1649">
        <f>(Receitas!E75/12)/('Premissas Economias e Água'!$F$67*'Premissas Economias e Água'!H13)</f>
        <v>53.404288321111309</v>
      </c>
      <c r="J111" s="1649">
        <f>(Receitas!E87/12)/('Premissas Economias e Água'!$F$68*'Premissas Economias e Água'!I13)</f>
        <v>19.889790009474829</v>
      </c>
      <c r="K111" s="1649">
        <f>(Receitas!E99/12)/('Premissas Economias e Água'!$F$69*'Premissas Economias e Água'!J13)</f>
        <v>46.354597916289855</v>
      </c>
      <c r="L111" s="1649">
        <f>(Receitas!E111/12)/('Premissas Economias e Água'!$F$70*'Premissas Economias e Água'!K13)</f>
        <v>50.659240286798187</v>
      </c>
    </row>
    <row r="112" spans="2:12" ht="15" thickBot="1" x14ac:dyDescent="0.4">
      <c r="B112" s="1647" t="s">
        <v>282</v>
      </c>
      <c r="C112" s="1648"/>
      <c r="D112" s="1649">
        <f>(Receitas!E16/('Premissas Economias e Água'!$F$62*'Premissas Economias e Água'!C14))/12</f>
        <v>114.73568123228976</v>
      </c>
      <c r="E112" s="1649">
        <f>(Receitas!E28/12)/('Premissas Economias e Água'!$F$63*'Premissas Economias e Água'!D14)</f>
        <v>86.100558771532889</v>
      </c>
      <c r="F112" s="1649">
        <f>(Receitas!E40/12)/('Premissas Economias e Água'!$F$64*'Premissas Economias e Água'!E14)</f>
        <v>65.639164817455168</v>
      </c>
      <c r="G112" s="1649">
        <f>(Receitas!E52/12)/('Premissas Economias e Água'!$F$65*'Premissas Economias e Água'!F14)</f>
        <v>66.536556597804363</v>
      </c>
      <c r="H112" s="1649">
        <f>(Receitas!E64/12)/('Premissas Economias e Água'!$F$66*'Premissas Economias e Água'!G14)</f>
        <v>85.366137310538633</v>
      </c>
      <c r="I112" s="1649">
        <f>(Receitas!E76/12)/('Premissas Economias e Água'!$F$67*'Premissas Economias e Água'!H14)</f>
        <v>83.046150955409217</v>
      </c>
      <c r="J112" s="1649">
        <f>(Receitas!E88/12)/('Premissas Economias e Água'!$F$68*'Premissas Economias e Água'!I14)</f>
        <v>28.540743681838038</v>
      </c>
      <c r="K112" s="1649">
        <f>(Receitas!E100/12)/('Premissas Economias e Água'!$F$69*'Premissas Economias e Água'!J14)</f>
        <v>66.51627276976086</v>
      </c>
      <c r="L112" s="1649">
        <f>(Receitas!E112/12)/('Premissas Economias e Água'!$F$70*'Premissas Economias e Água'!K14)</f>
        <v>72.693195426065088</v>
      </c>
    </row>
    <row r="113" spans="2:12" x14ac:dyDescent="0.35">
      <c r="B113" s="1650" t="s">
        <v>283</v>
      </c>
      <c r="C113" s="1651"/>
      <c r="D113" s="1652">
        <f>(Receitas!E17/('Premissas Economias e Água'!$F$62*'Premissas Economias e Água'!C15))/12</f>
        <v>241.16980129297244</v>
      </c>
      <c r="E113" s="1652">
        <f>(Receitas!E29/12)/('Premissas Economias e Água'!$F$63*'Premissas Economias e Água'!D15)</f>
        <v>196.48107784667948</v>
      </c>
      <c r="F113" s="1652">
        <f>(Receitas!E41/12)/('Premissas Economias e Água'!$F$64*'Premissas Economias e Água'!E15)</f>
        <v>137.9708924550952</v>
      </c>
      <c r="G113" s="1652">
        <f>(Receitas!E53/12)/('Premissas Economias e Água'!$F$65*'Premissas Economias e Água'!F15)</f>
        <v>139.85717399388346</v>
      </c>
      <c r="H113" s="1652">
        <f>(Receitas!E65/12)/('Premissas Economias e Água'!$F$66*'Premissas Economias e Água'!G15)</f>
        <v>179.43619762582847</v>
      </c>
      <c r="I113" s="1652">
        <f>(Receitas!E77/12)/('Premissas Economias e Água'!$F$67*'Premissas Economias e Água'!H15)</f>
        <v>189.51093330339307</v>
      </c>
      <c r="J113" s="1652">
        <f>(Receitas!E89/12)/('Premissas Economias e Água'!$F$68*'Premissas Economias e Água'!I15)</f>
        <v>59.991498795977222</v>
      </c>
      <c r="K113" s="1652">
        <f>(Receitas!E101/12)/('Premissas Economias e Água'!$F$69*'Premissas Economias e Água'!J15)</f>
        <v>139.81453820067443</v>
      </c>
      <c r="L113" s="1652">
        <f>(Receitas!E113/12)/('Premissas Economias e Água'!$F$70*'Premissas Economias e Água'!K15)</f>
        <v>152.79818194273739</v>
      </c>
    </row>
    <row r="114" spans="2:12" x14ac:dyDescent="0.35">
      <c r="B114" t="s">
        <v>12</v>
      </c>
      <c r="D114" s="475">
        <f>(Receitas!E18/('Premissas Economias e Água'!F62*'Premissas Economias e Água'!C16))/12</f>
        <v>57.134976046578146</v>
      </c>
      <c r="E114" s="475">
        <f>(Receitas!E30/12)/('Premissas Economias e Água'!$F$63*'Premissas Economias e Água'!D16)</f>
        <v>57.134976046578146</v>
      </c>
      <c r="F114" s="475">
        <f>(Receitas!E42/12)/('Premissas Economias e Água'!$F$64*'Premissas Economias e Água'!E16)</f>
        <v>57.134976046578139</v>
      </c>
      <c r="G114" s="475">
        <f>(Receitas!E54/12)/('Premissas Economias e Água'!$F$65*'Premissas Economias e Água'!F16)</f>
        <v>57.134976046578146</v>
      </c>
      <c r="H114" s="475">
        <f>(Receitas!E66/12)/('Premissas Economias e Água'!$F$66*'Premissas Economias e Água'!G16)</f>
        <v>57.134976046578146</v>
      </c>
      <c r="I114" s="475">
        <f>(Receitas!E78/12)/('Premissas Economias e Água'!$F$67*'Premissas Economias e Água'!H16)</f>
        <v>57.134976046578146</v>
      </c>
      <c r="J114" s="475">
        <f>(Receitas!E90/12)/('Premissas Economias e Água'!$F$68*'Premissas Economias e Água'!I16)</f>
        <v>26.04549350820119</v>
      </c>
      <c r="K114" s="475">
        <f>(Receitas!E102/12)/('Premissas Economias e Água'!$F$69*'Premissas Economias e Água'!J16)</f>
        <v>57.134976046578146</v>
      </c>
      <c r="L114" s="475">
        <f>(Receitas!E114/12)/('Premissas Economias e Água'!$F$70*'Premissas Economias e Água'!K16)</f>
        <v>57.134976046578146</v>
      </c>
    </row>
    <row r="115" spans="2:12" x14ac:dyDescent="0.35">
      <c r="B115" t="s">
        <v>13</v>
      </c>
      <c r="D115" s="475">
        <f>IFERROR((Receitas!E19/('Premissas Economias e Água'!F62*'Premissas Economias e Água'!C17))/12,0)</f>
        <v>0</v>
      </c>
      <c r="E115" s="475">
        <f>(Receitas!E31/12)/('Premissas Economias e Água'!$F$63*'Premissas Economias e Água'!D17)</f>
        <v>110.72436642696535</v>
      </c>
      <c r="F115" s="475">
        <f>(Receitas!E43/12)/('Premissas Economias e Água'!$F$64*'Premissas Economias e Água'!E17)</f>
        <v>76.301921052598487</v>
      </c>
      <c r="G115" s="475">
        <f>(Receitas!E55/12)/('Premissas Economias e Água'!$F$65*'Premissas Economias e Água'!F17)</f>
        <v>59.370126816194649</v>
      </c>
      <c r="H115" s="475">
        <f>IFERROR((Receitas!E67/12)/('Premissas Economias e Água'!$F$66*'Premissas Economias e Água'!G17),0)</f>
        <v>0</v>
      </c>
      <c r="I115" s="475">
        <f>(Receitas!E79/12)/('Premissas Economias e Água'!$F$67*'Premissas Economias e Água'!H17)</f>
        <v>94.031458143661169</v>
      </c>
      <c r="J115" s="475">
        <f>(Receitas!E91/12)/('Premissas Economias e Água'!$F$68*'Premissas Economias e Água'!I17)</f>
        <v>26.04549350820119</v>
      </c>
      <c r="K115" s="475">
        <f>(Receitas!E103/12)/('Premissas Economias e Água'!$F$69*'Premissas Economias e Água'!J17)</f>
        <v>57.14351257690857</v>
      </c>
      <c r="L115" s="475">
        <f>(Receitas!E115/12)/('Premissas Economias e Água'!$F$70*'Premissas Economias e Água'!K17)</f>
        <v>57.134976046578139</v>
      </c>
    </row>
    <row r="116" spans="2:12" x14ac:dyDescent="0.35">
      <c r="B116" s="334" t="s">
        <v>14</v>
      </c>
      <c r="D116" s="475">
        <f>IFERROR((Receitas!E20/('Premissas Economias e Água'!F63*'Premissas Economias e Água'!C18))/12,0)</f>
        <v>0</v>
      </c>
      <c r="E116" s="475">
        <f>(Receitas!E32/12)/('Premissas Economias e Água'!$F$63*'Premissas Economias e Água'!D18)</f>
        <v>134.16322436507693</v>
      </c>
      <c r="F116" s="475">
        <f>(Receitas!E44/12)/('Premissas Economias e Água'!$F$64*'Premissas Economias e Água'!E18)</f>
        <v>57.226440789448858</v>
      </c>
      <c r="G116" s="475">
        <f>(Receitas!E56/12)/('Premissas Economias e Água'!$F$65*'Premissas Economias e Água'!F18)</f>
        <v>74.063106821858952</v>
      </c>
      <c r="H116" s="475">
        <f>(Receitas!E68/12)/('Premissas Economias e Água'!$F$66*'Premissas Economias e Água'!G18)</f>
        <v>1189.5162597198284</v>
      </c>
      <c r="I116" s="475">
        <f>(Receitas!E80/12)/('Premissas Economias e Água'!$F$67*'Premissas Economias e Água'!H18)</f>
        <v>137.52872043027403</v>
      </c>
      <c r="J116" s="475">
        <f>(Receitas!E92/12)/('Premissas Economias e Água'!$F$68*'Premissas Economias e Água'!I18)</f>
        <v>30.629746683365269</v>
      </c>
      <c r="K116" s="475">
        <f>(Receitas!E104/12)/('Premissas Economias e Água'!$F$69*'Premissas Economias e Água'!J18)</f>
        <v>71.285447802098645</v>
      </c>
      <c r="L116" s="475">
        <f>(Receitas!E116/12)/('Premissas Economias e Água'!$F$70*'Premissas Economias e Água'!K18)</f>
        <v>115.30620608690671</v>
      </c>
    </row>
    <row r="117" spans="2:12" x14ac:dyDescent="0.35">
      <c r="B117" s="728" t="s">
        <v>200</v>
      </c>
      <c r="C117" s="729"/>
      <c r="D117" s="1174">
        <f>Receitas!E9/'Premissas Economias e Água'!F62/12</f>
        <v>42.66533476956112</v>
      </c>
      <c r="E117" s="1174">
        <f>Receitas!E21/'Premissas Economias e Água'!F63/12</f>
        <v>32.592270620266738</v>
      </c>
      <c r="F117" s="1174">
        <f>Receitas!E33/12/'Premissas Economias e Água'!F64</f>
        <v>25.442700600072616</v>
      </c>
      <c r="G117" s="1174">
        <f>Receitas!E45/12/'Premissas Economias e Água'!F65</f>
        <v>25.980965493404131</v>
      </c>
      <c r="H117" s="1174">
        <f>Receitas!E57/12/'Premissas Economias e Água'!F66</f>
        <v>45.925463074382819</v>
      </c>
      <c r="I117" s="1174">
        <f>Receitas!E69/12/'Premissas Economias e Água'!F67</f>
        <v>36.093243903599422</v>
      </c>
      <c r="J117" s="1174">
        <f>Receitas!E81/12/'Premissas Economias e Água'!F68</f>
        <v>14.46052631410179</v>
      </c>
      <c r="K117" s="1174">
        <f>Receitas!E93/12/'Premissas Economias e Água'!F69</f>
        <v>31.767068671983328</v>
      </c>
      <c r="L117" s="1174">
        <f>Receitas!E105/12/'Premissas Economias e Água'!F70</f>
        <v>31.283169665088224</v>
      </c>
    </row>
    <row r="118" spans="2:12" x14ac:dyDescent="0.35">
      <c r="D118" s="476"/>
    </row>
    <row r="119" spans="2:12" x14ac:dyDescent="0.35">
      <c r="E119" s="476"/>
      <c r="F119" s="476"/>
      <c r="G119" s="476"/>
      <c r="H119" s="476"/>
      <c r="I119" s="476"/>
      <c r="J119" s="476"/>
      <c r="K119" s="476"/>
    </row>
    <row r="120" spans="2:12" ht="29" x14ac:dyDescent="0.35">
      <c r="B120" s="1323" t="s">
        <v>273</v>
      </c>
      <c r="C120" s="87"/>
      <c r="D120" s="87" t="s">
        <v>1</v>
      </c>
      <c r="E120" s="87" t="s">
        <v>2</v>
      </c>
      <c r="F120" s="88" t="s">
        <v>3</v>
      </c>
      <c r="G120" s="88" t="s">
        <v>4</v>
      </c>
      <c r="H120" s="88" t="s">
        <v>5</v>
      </c>
      <c r="I120" s="88" t="s">
        <v>6</v>
      </c>
      <c r="J120" s="88" t="s">
        <v>7</v>
      </c>
      <c r="K120" s="88" t="s">
        <v>8</v>
      </c>
      <c r="L120" s="88" t="s">
        <v>9</v>
      </c>
    </row>
    <row r="121" spans="2:12" x14ac:dyDescent="0.35">
      <c r="B121" t="s">
        <v>10</v>
      </c>
      <c r="D121" s="475">
        <f>D105</f>
        <v>22.873732190207914</v>
      </c>
      <c r="E121" s="475">
        <f t="shared" ref="E121:L121" si="7">E105</f>
        <v>14.931575516506971</v>
      </c>
      <c r="F121" s="475">
        <f t="shared" si="7"/>
        <v>15.251455262311419</v>
      </c>
      <c r="G121" s="475">
        <f t="shared" si="7"/>
        <v>14.386661373441408</v>
      </c>
      <c r="H121" s="475">
        <f t="shared" si="7"/>
        <v>20.067248564699749</v>
      </c>
      <c r="I121" s="475">
        <f t="shared" si="7"/>
        <v>14.71599618737363</v>
      </c>
      <c r="J121" s="475">
        <f t="shared" si="7"/>
        <v>6.5113733770502984</v>
      </c>
      <c r="K121" s="475">
        <f t="shared" si="7"/>
        <v>14.342205186079363</v>
      </c>
      <c r="L121" s="475">
        <f t="shared" si="7"/>
        <v>14.537500798455719</v>
      </c>
    </row>
    <row r="122" spans="2:12" x14ac:dyDescent="0.35">
      <c r="B122" t="s">
        <v>11</v>
      </c>
      <c r="D122" s="475">
        <f t="shared" ref="D122:L122" si="8">D106</f>
        <v>49.557464948659664</v>
      </c>
      <c r="E122" s="475">
        <f t="shared" si="8"/>
        <v>36.958239715117394</v>
      </c>
      <c r="F122" s="475">
        <f t="shared" si="8"/>
        <v>34.515970693676167</v>
      </c>
      <c r="G122" s="475">
        <f t="shared" si="8"/>
        <v>34.752866166556352</v>
      </c>
      <c r="H122" s="475">
        <f t="shared" si="8"/>
        <v>39.723540653170012</v>
      </c>
      <c r="I122" s="475">
        <f t="shared" si="8"/>
        <v>36.293465807739352</v>
      </c>
      <c r="J122" s="475">
        <f t="shared" si="8"/>
        <v>20.169923966307813</v>
      </c>
      <c r="K122" s="475">
        <f t="shared" si="8"/>
        <v>34.747511596633373</v>
      </c>
      <c r="L122" s="475">
        <f t="shared" si="8"/>
        <v>36.378109341845651</v>
      </c>
    </row>
    <row r="123" spans="2:12" x14ac:dyDescent="0.35">
      <c r="B123" t="s">
        <v>12</v>
      </c>
      <c r="D123" s="475">
        <f t="shared" ref="D123:L123" si="9">D114</f>
        <v>57.134976046578146</v>
      </c>
      <c r="E123" s="475">
        <f t="shared" si="9"/>
        <v>57.134976046578146</v>
      </c>
      <c r="F123" s="475">
        <f t="shared" si="9"/>
        <v>57.134976046578139</v>
      </c>
      <c r="G123" s="475">
        <f t="shared" si="9"/>
        <v>57.134976046578146</v>
      </c>
      <c r="H123" s="475">
        <f t="shared" si="9"/>
        <v>57.134976046578146</v>
      </c>
      <c r="I123" s="475">
        <f t="shared" si="9"/>
        <v>57.134976046578146</v>
      </c>
      <c r="J123" s="475">
        <f t="shared" si="9"/>
        <v>26.04549350820119</v>
      </c>
      <c r="K123" s="475">
        <f t="shared" si="9"/>
        <v>57.134976046578146</v>
      </c>
      <c r="L123" s="475">
        <f t="shared" si="9"/>
        <v>57.134976046578146</v>
      </c>
    </row>
    <row r="124" spans="2:12" x14ac:dyDescent="0.35">
      <c r="B124" t="s">
        <v>13</v>
      </c>
      <c r="D124" s="475">
        <f t="shared" ref="D124:L124" si="10">D115</f>
        <v>0</v>
      </c>
      <c r="E124" s="475">
        <f t="shared" si="10"/>
        <v>110.72436642696535</v>
      </c>
      <c r="F124" s="475">
        <f t="shared" si="10"/>
        <v>76.301921052598487</v>
      </c>
      <c r="G124" s="475">
        <f t="shared" si="10"/>
        <v>59.370126816194649</v>
      </c>
      <c r="H124" s="475">
        <f t="shared" si="10"/>
        <v>0</v>
      </c>
      <c r="I124" s="475">
        <f t="shared" si="10"/>
        <v>94.031458143661169</v>
      </c>
      <c r="J124" s="475">
        <f t="shared" si="10"/>
        <v>26.04549350820119</v>
      </c>
      <c r="K124" s="475">
        <f t="shared" si="10"/>
        <v>57.14351257690857</v>
      </c>
      <c r="L124" s="475">
        <f t="shared" si="10"/>
        <v>57.134976046578139</v>
      </c>
    </row>
    <row r="125" spans="2:12" x14ac:dyDescent="0.35">
      <c r="B125" s="334" t="s">
        <v>14</v>
      </c>
      <c r="D125" s="475">
        <f t="shared" ref="D125:L125" si="11">D116</f>
        <v>0</v>
      </c>
      <c r="E125" s="475">
        <f t="shared" si="11"/>
        <v>134.16322436507693</v>
      </c>
      <c r="F125" s="475">
        <f t="shared" si="11"/>
        <v>57.226440789448858</v>
      </c>
      <c r="G125" s="475">
        <f t="shared" si="11"/>
        <v>74.063106821858952</v>
      </c>
      <c r="H125" s="475">
        <f t="shared" si="11"/>
        <v>1189.5162597198284</v>
      </c>
      <c r="I125" s="475">
        <f t="shared" si="11"/>
        <v>137.52872043027403</v>
      </c>
      <c r="J125" s="475">
        <f t="shared" si="11"/>
        <v>30.629746683365269</v>
      </c>
      <c r="K125" s="475">
        <f t="shared" si="11"/>
        <v>71.285447802098645</v>
      </c>
      <c r="L125" s="475">
        <f t="shared" si="11"/>
        <v>115.30620608690671</v>
      </c>
    </row>
    <row r="126" spans="2:12" x14ac:dyDescent="0.35">
      <c r="B126" s="728" t="s">
        <v>200</v>
      </c>
      <c r="C126" s="729"/>
      <c r="D126" s="1174">
        <f>D117</f>
        <v>42.66533476956112</v>
      </c>
      <c r="E126" s="1174">
        <f t="shared" ref="E126:L126" si="12">E117</f>
        <v>32.592270620266738</v>
      </c>
      <c r="F126" s="1174">
        <f t="shared" si="12"/>
        <v>25.442700600072616</v>
      </c>
      <c r="G126" s="1174">
        <f t="shared" si="12"/>
        <v>25.980965493404131</v>
      </c>
      <c r="H126" s="1174">
        <f t="shared" si="12"/>
        <v>45.925463074382819</v>
      </c>
      <c r="I126" s="1174">
        <f t="shared" si="12"/>
        <v>36.093243903599422</v>
      </c>
      <c r="J126" s="1174">
        <f t="shared" si="12"/>
        <v>14.46052631410179</v>
      </c>
      <c r="K126" s="1174">
        <f t="shared" si="12"/>
        <v>31.767068671983328</v>
      </c>
      <c r="L126" s="1174">
        <f t="shared" si="12"/>
        <v>31.283169665088224</v>
      </c>
    </row>
  </sheetData>
  <sheetProtection algorithmName="SHA-512" hashValue="uyyDlV9uR/bAXEV5YRocqVfHBwB0Kb3eV5IDRM34LvqmnqIOMZXyuPEH1hecELGfBUP6qS2LvWqvySZpxue4aQ==" saltValue="laOyxq+LvePYql5FJON3Hw==" spinCount="100000" sheet="1" objects="1" scenarios="1"/>
  <protectedRanges>
    <protectedRange sqref="D28 E35:E45 I36 C53:C61" name="Intervalo1"/>
  </protectedRanges>
  <dataValidations count="1">
    <dataValidation type="list" allowBlank="1" showInputMessage="1" showErrorMessage="1" sqref="C81:D89" xr:uid="{7D866DFD-D85E-46EF-823E-A3AEA634ADD4}">
      <formula1>"Sim,Não"</formula1>
    </dataValidation>
  </dataValidation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AB224-5B00-44E2-AAAE-F6B5FCE46DCC}">
  <sheetPr codeName="Planilha30">
    <tabColor theme="4" tint="-0.249977111117893"/>
  </sheetPr>
  <dimension ref="B2:L69"/>
  <sheetViews>
    <sheetView showGridLines="0" topLeftCell="A49" zoomScale="98" zoomScaleNormal="98" workbookViewId="0">
      <selection activeCell="B46" sqref="B46"/>
    </sheetView>
  </sheetViews>
  <sheetFormatPr defaultColWidth="8.81640625" defaultRowHeight="14.5" x14ac:dyDescent="0.35"/>
  <cols>
    <col min="2" max="2" width="27.6328125" customWidth="1"/>
    <col min="3" max="3" width="19" customWidth="1"/>
    <col min="4" max="4" width="22.81640625" customWidth="1"/>
    <col min="5" max="5" width="28" customWidth="1"/>
    <col min="6" max="8" width="20.6328125" customWidth="1"/>
    <col min="9" max="10" width="20.453125" customWidth="1"/>
  </cols>
  <sheetData>
    <row r="2" spans="2:6" ht="21" x14ac:dyDescent="0.5">
      <c r="B2" s="1548" t="s">
        <v>377</v>
      </c>
    </row>
    <row r="4" spans="2:6" x14ac:dyDescent="0.35">
      <c r="B4" s="1550" t="s">
        <v>378</v>
      </c>
      <c r="C4" s="48"/>
      <c r="D4" s="48"/>
      <c r="E4" s="48"/>
      <c r="F4" s="246"/>
    </row>
    <row r="5" spans="2:6" x14ac:dyDescent="0.35">
      <c r="B5" s="1551" t="s">
        <v>379</v>
      </c>
      <c r="F5" s="246"/>
    </row>
    <row r="6" spans="2:6" x14ac:dyDescent="0.35">
      <c r="B6" s="1551" t="s">
        <v>380</v>
      </c>
      <c r="F6" s="246"/>
    </row>
    <row r="7" spans="2:6" x14ac:dyDescent="0.35">
      <c r="B7" s="1552" t="s">
        <v>381</v>
      </c>
      <c r="C7" s="53"/>
      <c r="D7" s="53"/>
      <c r="E7" s="53"/>
      <c r="F7" s="246"/>
    </row>
    <row r="9" spans="2:6" ht="15" thickBot="1" x14ac:dyDescent="0.4">
      <c r="B9" s="77" t="s">
        <v>382</v>
      </c>
    </row>
    <row r="10" spans="2:6" ht="30.75" customHeight="1" thickBot="1" x14ac:dyDescent="0.4">
      <c r="B10" s="1935" t="s">
        <v>383</v>
      </c>
      <c r="C10" s="1935"/>
      <c r="D10" s="1935"/>
      <c r="E10" s="1936"/>
      <c r="F10" s="1563">
        <v>1</v>
      </c>
    </row>
    <row r="12" spans="2:6" ht="15.5" x14ac:dyDescent="0.35">
      <c r="B12" s="86" t="s">
        <v>384</v>
      </c>
    </row>
    <row r="13" spans="2:6" ht="73" thickBot="1" x14ac:dyDescent="0.4">
      <c r="B13" s="1547" t="s">
        <v>68</v>
      </c>
      <c r="C13" s="1547" t="s">
        <v>385</v>
      </c>
      <c r="D13" s="1547" t="s">
        <v>386</v>
      </c>
      <c r="E13" s="1547" t="s">
        <v>387</v>
      </c>
      <c r="F13" s="1555" t="s">
        <v>388</v>
      </c>
    </row>
    <row r="14" spans="2:6" ht="15" thickBot="1" x14ac:dyDescent="0.4">
      <c r="B14" s="1545" t="s">
        <v>1</v>
      </c>
      <c r="C14" s="1546">
        <v>2621</v>
      </c>
      <c r="D14" s="1546">
        <v>693</v>
      </c>
      <c r="E14" s="764">
        <f>D14/C14</f>
        <v>0.26440289965661962</v>
      </c>
      <c r="F14" s="764">
        <f t="shared" ref="F14:F22" si="0">(E14*$F$10)-E28</f>
        <v>0.20739444805400442</v>
      </c>
    </row>
    <row r="15" spans="2:6" ht="15" thickBot="1" x14ac:dyDescent="0.4">
      <c r="B15" s="1545" t="s">
        <v>2</v>
      </c>
      <c r="C15" s="1546">
        <v>29233</v>
      </c>
      <c r="D15" s="1546">
        <v>10182</v>
      </c>
      <c r="E15" s="764">
        <f>D15/C15</f>
        <v>0.34830499777648549</v>
      </c>
      <c r="F15" s="764">
        <f t="shared" si="0"/>
        <v>0.28849112087437329</v>
      </c>
    </row>
    <row r="16" spans="2:6" ht="15" thickBot="1" x14ac:dyDescent="0.4">
      <c r="B16" s="1545" t="s">
        <v>3</v>
      </c>
      <c r="C16" s="1546">
        <v>3492</v>
      </c>
      <c r="D16" s="1546">
        <v>2115</v>
      </c>
      <c r="E16" s="764">
        <f t="shared" ref="E16:E22" si="1">D16/C16</f>
        <v>0.60567010309278346</v>
      </c>
      <c r="F16" s="764">
        <f t="shared" si="0"/>
        <v>0.36867010309278347</v>
      </c>
    </row>
    <row r="17" spans="2:12" ht="15" thickBot="1" x14ac:dyDescent="0.4">
      <c r="B17" s="1545" t="s">
        <v>4</v>
      </c>
      <c r="C17" s="1546">
        <v>8600</v>
      </c>
      <c r="D17" s="1546">
        <v>5065</v>
      </c>
      <c r="E17" s="764">
        <f t="shared" si="1"/>
        <v>0.58895348837209305</v>
      </c>
      <c r="F17" s="764">
        <f t="shared" si="0"/>
        <v>0.42899067036817917</v>
      </c>
    </row>
    <row r="18" spans="2:12" ht="15" thickBot="1" x14ac:dyDescent="0.4">
      <c r="B18" s="1545" t="s">
        <v>5</v>
      </c>
      <c r="C18" s="1546">
        <v>19050</v>
      </c>
      <c r="D18" s="1546">
        <v>5833</v>
      </c>
      <c r="E18" s="764">
        <f t="shared" si="1"/>
        <v>0.30619422572178479</v>
      </c>
      <c r="F18" s="764">
        <f t="shared" si="0"/>
        <v>0.2989942257217848</v>
      </c>
    </row>
    <row r="19" spans="2:12" ht="15" thickBot="1" x14ac:dyDescent="0.4">
      <c r="B19" s="1545" t="s">
        <v>6</v>
      </c>
      <c r="C19" s="1546">
        <v>159434</v>
      </c>
      <c r="D19" s="1546">
        <v>26347</v>
      </c>
      <c r="E19" s="764">
        <f t="shared" si="1"/>
        <v>0.16525333366785003</v>
      </c>
      <c r="F19" s="764">
        <f t="shared" si="0"/>
        <v>0.10825333366785003</v>
      </c>
    </row>
    <row r="20" spans="2:12" ht="15" thickBot="1" x14ac:dyDescent="0.4">
      <c r="B20" s="1545" t="s">
        <v>7</v>
      </c>
      <c r="C20" s="1546">
        <v>19471</v>
      </c>
      <c r="D20" s="1546">
        <v>6233</v>
      </c>
      <c r="E20" s="764">
        <f t="shared" si="1"/>
        <v>0.32011709722150888</v>
      </c>
      <c r="F20" s="764">
        <f t="shared" si="0"/>
        <v>0.16015427921759501</v>
      </c>
    </row>
    <row r="21" spans="2:12" ht="15" thickBot="1" x14ac:dyDescent="0.4">
      <c r="B21" s="1545" t="s">
        <v>8</v>
      </c>
      <c r="C21" s="1546">
        <v>14602</v>
      </c>
      <c r="D21" s="1546">
        <v>4370</v>
      </c>
      <c r="E21" s="764">
        <f t="shared" si="1"/>
        <v>0.29927407204492534</v>
      </c>
      <c r="F21" s="764">
        <f t="shared" si="0"/>
        <v>0.13931125404101147</v>
      </c>
    </row>
    <row r="22" spans="2:12" ht="15" thickBot="1" x14ac:dyDescent="0.4">
      <c r="B22" s="1545" t="s">
        <v>9</v>
      </c>
      <c r="C22" s="1546">
        <v>13152</v>
      </c>
      <c r="D22" s="1546">
        <v>5398</v>
      </c>
      <c r="E22" s="764">
        <f t="shared" si="1"/>
        <v>0.41043187347931875</v>
      </c>
      <c r="F22" s="764">
        <f t="shared" si="0"/>
        <v>0.32750623747149099</v>
      </c>
    </row>
    <row r="23" spans="2:12" x14ac:dyDescent="0.35">
      <c r="B23" s="57" t="s">
        <v>389</v>
      </c>
    </row>
    <row r="24" spans="2:12" ht="9" customHeight="1" x14ac:dyDescent="0.35"/>
    <row r="25" spans="2:12" ht="15.5" x14ac:dyDescent="0.35">
      <c r="B25" s="86" t="s">
        <v>390</v>
      </c>
    </row>
    <row r="26" spans="2:12" ht="34.5" customHeight="1" x14ac:dyDescent="0.35">
      <c r="B26" s="1931" t="s">
        <v>68</v>
      </c>
      <c r="C26" s="1929" t="s">
        <v>391</v>
      </c>
      <c r="D26" s="1930"/>
      <c r="E26" s="1937" t="s">
        <v>392</v>
      </c>
      <c r="F26" s="1938"/>
      <c r="G26" s="1933" t="s">
        <v>393</v>
      </c>
      <c r="H26" s="1934"/>
      <c r="I26" s="1927" t="s">
        <v>394</v>
      </c>
      <c r="J26" s="1928"/>
    </row>
    <row r="27" spans="2:12" ht="43.5" x14ac:dyDescent="0.35">
      <c r="B27" s="1932"/>
      <c r="C27" s="1547" t="s">
        <v>270</v>
      </c>
      <c r="D27" s="1547" t="s">
        <v>291</v>
      </c>
      <c r="E27" s="1561" t="s">
        <v>270</v>
      </c>
      <c r="F27" s="1561" t="s">
        <v>291</v>
      </c>
      <c r="G27" s="1562" t="s">
        <v>270</v>
      </c>
      <c r="H27" s="1562" t="s">
        <v>291</v>
      </c>
      <c r="I27" s="1556" t="s">
        <v>395</v>
      </c>
      <c r="J27" s="1556" t="s">
        <v>396</v>
      </c>
    </row>
    <row r="28" spans="2:12" x14ac:dyDescent="0.35">
      <c r="B28" s="1545" t="s">
        <v>1</v>
      </c>
      <c r="C28" s="1549">
        <v>0.92146388135863511</v>
      </c>
      <c r="D28" s="1549">
        <v>0.92508824404972856</v>
      </c>
      <c r="E28" s="1549">
        <v>5.7008451602615202E-2</v>
      </c>
      <c r="F28" s="1549">
        <v>6.6746523397076957E-2</v>
      </c>
      <c r="G28" s="1560">
        <f t="shared" ref="G28:H29" si="2">100%-C28-E28</f>
        <v>2.1527667038749691E-2</v>
      </c>
      <c r="H28" s="1560">
        <f t="shared" si="2"/>
        <v>8.1652325531944847E-3</v>
      </c>
      <c r="I28" s="1557">
        <f>D28/C28</f>
        <v>1.0039332661479359</v>
      </c>
      <c r="J28" s="1557">
        <f>F28/E28</f>
        <v>1.1708180369876076</v>
      </c>
    </row>
    <row r="29" spans="2:12" x14ac:dyDescent="0.35">
      <c r="B29" s="1545" t="s">
        <v>2</v>
      </c>
      <c r="C29" s="1549">
        <v>0.83169012037247336</v>
      </c>
      <c r="D29" s="1549">
        <v>0.82763351710083932</v>
      </c>
      <c r="E29" s="1549">
        <v>5.9813876902112192E-2</v>
      </c>
      <c r="F29" s="1549">
        <v>6.6173372674848796E-2</v>
      </c>
      <c r="G29" s="1560">
        <f t="shared" si="2"/>
        <v>0.10849600272541444</v>
      </c>
      <c r="H29" s="1560">
        <f t="shared" si="2"/>
        <v>0.10619311022431188</v>
      </c>
      <c r="I29" s="1557">
        <f>D29/C29</f>
        <v>0.99512245826628642</v>
      </c>
      <c r="J29" s="1557">
        <f>F29/E29</f>
        <v>1.1063214107178536</v>
      </c>
      <c r="L29" s="1"/>
    </row>
    <row r="30" spans="2:12" x14ac:dyDescent="0.35">
      <c r="B30" s="1545" t="s">
        <v>3</v>
      </c>
      <c r="C30" s="1549">
        <v>0.65100000000000002</v>
      </c>
      <c r="D30" s="1549">
        <v>0.61899999999999999</v>
      </c>
      <c r="E30" s="1549">
        <v>0.23699999999999999</v>
      </c>
      <c r="F30" s="1549">
        <v>0.27700000000000002</v>
      </c>
      <c r="G30" s="1560">
        <f t="shared" ref="G30:H36" si="3">100%-C30-E30</f>
        <v>0.11199999999999999</v>
      </c>
      <c r="H30" s="1560">
        <f>100%-D30-F30</f>
        <v>0.10399999999999998</v>
      </c>
      <c r="I30" s="1557">
        <f t="shared" ref="I30:I36" si="4">D30/C30</f>
        <v>0.95084485407066044</v>
      </c>
      <c r="J30" s="1557">
        <f t="shared" ref="J30:J36" si="5">F30/E30</f>
        <v>1.168776371308017</v>
      </c>
    </row>
    <row r="31" spans="2:12" x14ac:dyDescent="0.35">
      <c r="B31" s="1545" t="s">
        <v>4</v>
      </c>
      <c r="C31" s="1549">
        <v>0.72031409001956948</v>
      </c>
      <c r="D31" s="1549">
        <v>0.69935629754860518</v>
      </c>
      <c r="E31" s="1549">
        <v>0.15996281800391388</v>
      </c>
      <c r="F31" s="1549">
        <v>0.18255265064605725</v>
      </c>
      <c r="G31" s="1560">
        <f t="shared" si="3"/>
        <v>0.11972309197651665</v>
      </c>
      <c r="H31" s="1560">
        <f t="shared" si="3"/>
        <v>0.11809105180533758</v>
      </c>
      <c r="I31" s="1557">
        <f t="shared" si="4"/>
        <v>0.97090464734572257</v>
      </c>
      <c r="J31" s="1557">
        <f t="shared" si="5"/>
        <v>1.1412192716034213</v>
      </c>
    </row>
    <row r="32" spans="2:12" x14ac:dyDescent="0.35">
      <c r="B32" s="1545" t="s">
        <v>5</v>
      </c>
      <c r="C32" s="1549">
        <v>0.94779999999999998</v>
      </c>
      <c r="D32" s="1549">
        <v>0.82820000000000005</v>
      </c>
      <c r="E32" s="1549">
        <v>7.1999999999999998E-3</v>
      </c>
      <c r="F32" s="1549">
        <v>4.7999999999999996E-3</v>
      </c>
      <c r="G32" s="1560">
        <f t="shared" si="3"/>
        <v>4.5000000000000026E-2</v>
      </c>
      <c r="H32" s="1560">
        <f t="shared" si="3"/>
        <v>0.16699999999999995</v>
      </c>
      <c r="I32" s="1557">
        <f t="shared" si="4"/>
        <v>0.87381304072589161</v>
      </c>
      <c r="J32" s="1557">
        <f t="shared" si="5"/>
        <v>0.66666666666666663</v>
      </c>
    </row>
    <row r="33" spans="2:10" x14ac:dyDescent="0.35">
      <c r="B33" s="1545" t="s">
        <v>6</v>
      </c>
      <c r="C33" s="1549">
        <v>0.83440000000000003</v>
      </c>
      <c r="D33" s="1549">
        <v>0.82399999999999995</v>
      </c>
      <c r="E33" s="1549">
        <v>5.7000000000000002E-2</v>
      </c>
      <c r="F33" s="1549">
        <v>6.25E-2</v>
      </c>
      <c r="G33" s="1560">
        <f t="shared" si="3"/>
        <v>0.10859999999999997</v>
      </c>
      <c r="H33" s="1560">
        <f t="shared" si="3"/>
        <v>0.11350000000000005</v>
      </c>
      <c r="I33" s="1557">
        <f t="shared" si="4"/>
        <v>0.98753595397890692</v>
      </c>
      <c r="J33" s="1557">
        <f t="shared" si="5"/>
        <v>1.0964912280701753</v>
      </c>
    </row>
    <row r="34" spans="2:10" x14ac:dyDescent="0.35">
      <c r="B34" s="1545" t="s">
        <v>7</v>
      </c>
      <c r="C34" s="1549">
        <v>0.72031409001956948</v>
      </c>
      <c r="D34" s="1549">
        <v>0.69935629754860518</v>
      </c>
      <c r="E34" s="1549">
        <v>0.15996281800391388</v>
      </c>
      <c r="F34" s="1549">
        <v>0.18255265064605725</v>
      </c>
      <c r="G34" s="1560">
        <f t="shared" si="3"/>
        <v>0.11972309197651665</v>
      </c>
      <c r="H34" s="1560">
        <f t="shared" si="3"/>
        <v>0.11809105180533758</v>
      </c>
      <c r="I34" s="1557">
        <f t="shared" si="4"/>
        <v>0.97090464734572257</v>
      </c>
      <c r="J34" s="1557">
        <f t="shared" si="5"/>
        <v>1.1412192716034213</v>
      </c>
    </row>
    <row r="35" spans="2:10" x14ac:dyDescent="0.35">
      <c r="B35" s="1545" t="s">
        <v>8</v>
      </c>
      <c r="C35" s="1549">
        <v>0.72031409001956948</v>
      </c>
      <c r="D35" s="1549">
        <v>0.69935629754860518</v>
      </c>
      <c r="E35" s="1549">
        <v>0.15996281800391388</v>
      </c>
      <c r="F35" s="1549">
        <v>0.18255265064605725</v>
      </c>
      <c r="G35" s="1560">
        <f t="shared" si="3"/>
        <v>0.11972309197651665</v>
      </c>
      <c r="H35" s="1560">
        <f t="shared" si="3"/>
        <v>0.11809105180533758</v>
      </c>
      <c r="I35" s="1557">
        <f t="shared" si="4"/>
        <v>0.97090464734572257</v>
      </c>
      <c r="J35" s="1557">
        <f t="shared" si="5"/>
        <v>1.1412192716034213</v>
      </c>
    </row>
    <row r="36" spans="2:10" x14ac:dyDescent="0.35">
      <c r="B36" s="1545" t="s">
        <v>9</v>
      </c>
      <c r="C36" s="1549">
        <v>0.78962818003913893</v>
      </c>
      <c r="D36" s="1549">
        <v>0.77971259509721047</v>
      </c>
      <c r="E36" s="1549">
        <v>8.2925636007827791E-2</v>
      </c>
      <c r="F36" s="1549">
        <v>8.8105301292114482E-2</v>
      </c>
      <c r="G36" s="1560">
        <f t="shared" si="3"/>
        <v>0.12744618395303328</v>
      </c>
      <c r="H36" s="1560">
        <f t="shared" si="3"/>
        <v>0.13218210361067506</v>
      </c>
      <c r="I36" s="1557">
        <f t="shared" si="4"/>
        <v>0.98744271646759496</v>
      </c>
      <c r="J36" s="1557">
        <f t="shared" si="5"/>
        <v>1.0624615683839647</v>
      </c>
    </row>
    <row r="37" spans="2:10" x14ac:dyDescent="0.35">
      <c r="B37" s="1545" t="s">
        <v>327</v>
      </c>
      <c r="C37" s="104"/>
      <c r="D37" s="104"/>
      <c r="E37" s="104"/>
      <c r="F37" s="104"/>
      <c r="G37" s="104"/>
      <c r="H37" s="104"/>
      <c r="I37" s="1558">
        <f>AVERAGE(I28:I36)</f>
        <v>0.96793402574382703</v>
      </c>
      <c r="J37" s="1559">
        <f>AVERAGE(J28:J36)</f>
        <v>1.0772436774382834</v>
      </c>
    </row>
    <row r="38" spans="2:10" x14ac:dyDescent="0.35">
      <c r="B38" s="767" t="s">
        <v>284</v>
      </c>
      <c r="C38" s="766"/>
      <c r="D38" s="766"/>
      <c r="E38" s="766"/>
    </row>
    <row r="39" spans="2:10" x14ac:dyDescent="0.35">
      <c r="B39" s="766" t="s">
        <v>397</v>
      </c>
      <c r="C39" s="766"/>
      <c r="D39" s="766"/>
      <c r="E39" s="766"/>
    </row>
    <row r="40" spans="2:10" x14ac:dyDescent="0.35">
      <c r="B40" s="766" t="s">
        <v>293</v>
      </c>
      <c r="C40" s="766"/>
      <c r="D40" s="766"/>
      <c r="E40" s="766"/>
    </row>
    <row r="41" spans="2:10" x14ac:dyDescent="0.35">
      <c r="B41" s="766" t="s">
        <v>286</v>
      </c>
      <c r="C41" s="766"/>
      <c r="D41" s="766"/>
      <c r="E41" s="766"/>
    </row>
    <row r="42" spans="2:10" x14ac:dyDescent="0.35">
      <c r="B42" s="766" t="s">
        <v>287</v>
      </c>
      <c r="C42" s="766"/>
      <c r="D42" s="766"/>
      <c r="E42" s="766"/>
    </row>
    <row r="43" spans="2:10" x14ac:dyDescent="0.35">
      <c r="B43" s="766" t="s">
        <v>288</v>
      </c>
      <c r="C43" s="766"/>
      <c r="D43" s="766"/>
      <c r="E43" s="766"/>
    </row>
    <row r="44" spans="2:10" x14ac:dyDescent="0.35">
      <c r="B44" s="766" t="s">
        <v>398</v>
      </c>
      <c r="C44" s="766"/>
      <c r="D44" s="766"/>
      <c r="E44" s="766"/>
    </row>
    <row r="45" spans="2:10" x14ac:dyDescent="0.35">
      <c r="B45" s="766" t="s">
        <v>289</v>
      </c>
      <c r="C45" s="766"/>
      <c r="D45" s="766"/>
      <c r="E45" s="766"/>
    </row>
    <row r="46" spans="2:10" x14ac:dyDescent="0.35">
      <c r="B46" s="766" t="s">
        <v>290</v>
      </c>
      <c r="C46" s="766"/>
      <c r="D46" s="766"/>
      <c r="E46" s="766"/>
    </row>
    <row r="48" spans="2:10" ht="15.5" x14ac:dyDescent="0.35">
      <c r="B48" s="86" t="s">
        <v>399</v>
      </c>
    </row>
    <row r="49" spans="2:8" x14ac:dyDescent="0.35">
      <c r="B49" s="1931" t="s">
        <v>68</v>
      </c>
      <c r="C49" s="1929" t="s">
        <v>391</v>
      </c>
      <c r="D49" s="1930"/>
      <c r="E49" s="1929" t="s">
        <v>392</v>
      </c>
      <c r="F49" s="1930"/>
    </row>
    <row r="50" spans="2:8" ht="43.5" x14ac:dyDescent="0.35">
      <c r="B50" s="1932"/>
      <c r="C50" s="1547" t="s">
        <v>270</v>
      </c>
      <c r="D50" s="1547" t="s">
        <v>291</v>
      </c>
      <c r="E50" s="1547" t="s">
        <v>270</v>
      </c>
      <c r="F50" s="1547" t="s">
        <v>291</v>
      </c>
    </row>
    <row r="51" spans="2:8" ht="4.5" customHeight="1" thickBot="1" x14ac:dyDescent="0.4">
      <c r="B51" s="1554"/>
      <c r="C51" s="1554"/>
      <c r="D51" s="1553"/>
    </row>
    <row r="52" spans="2:8" ht="15" thickBot="1" x14ac:dyDescent="0.4">
      <c r="B52" t="s">
        <v>1</v>
      </c>
      <c r="C52" s="764">
        <f t="shared" ref="C52:C60" si="6">C28-F14</f>
        <v>0.71406943330463069</v>
      </c>
      <c r="D52" s="764">
        <f t="shared" ref="D52:D60" si="7">D28-F14</f>
        <v>0.71769379599572414</v>
      </c>
      <c r="E52" s="764">
        <f t="shared" ref="E52:E60" si="8">E28+F14</f>
        <v>0.26440289965661962</v>
      </c>
      <c r="F52" s="764">
        <f t="shared" ref="F52:F60" si="9">F28+F14</f>
        <v>0.27414097145108141</v>
      </c>
    </row>
    <row r="53" spans="2:8" ht="15" thickBot="1" x14ac:dyDescent="0.4">
      <c r="B53" t="s">
        <v>2</v>
      </c>
      <c r="C53" s="764">
        <f t="shared" si="6"/>
        <v>0.54319899949810013</v>
      </c>
      <c r="D53" s="764">
        <f t="shared" si="7"/>
        <v>0.53914239622646609</v>
      </c>
      <c r="E53" s="764">
        <f t="shared" si="8"/>
        <v>0.34830499777648549</v>
      </c>
      <c r="F53" s="764">
        <f t="shared" si="9"/>
        <v>0.35466449354922208</v>
      </c>
      <c r="G53" s="1"/>
      <c r="H53" s="1735"/>
    </row>
    <row r="54" spans="2:8" ht="15" thickBot="1" x14ac:dyDescent="0.4">
      <c r="B54" t="s">
        <v>3</v>
      </c>
      <c r="C54" s="764">
        <f t="shared" si="6"/>
        <v>0.28232989690721655</v>
      </c>
      <c r="D54" s="764">
        <f t="shared" si="7"/>
        <v>0.25032989690721652</v>
      </c>
      <c r="E54" s="764">
        <f t="shared" si="8"/>
        <v>0.60567010309278346</v>
      </c>
      <c r="F54" s="764">
        <f t="shared" si="9"/>
        <v>0.6456701030927835</v>
      </c>
      <c r="H54" s="1736"/>
    </row>
    <row r="55" spans="2:8" ht="15" thickBot="1" x14ac:dyDescent="0.4">
      <c r="B55" t="s">
        <v>4</v>
      </c>
      <c r="C55" s="764">
        <f t="shared" si="6"/>
        <v>0.2913234196513903</v>
      </c>
      <c r="D55" s="764">
        <f t="shared" si="7"/>
        <v>0.270365627180426</v>
      </c>
      <c r="E55" s="764">
        <f t="shared" si="8"/>
        <v>0.58895348837209305</v>
      </c>
      <c r="F55" s="764">
        <f t="shared" si="9"/>
        <v>0.61154332101423647</v>
      </c>
      <c r="H55" s="1735"/>
    </row>
    <row r="56" spans="2:8" ht="15" thickBot="1" x14ac:dyDescent="0.4">
      <c r="B56" t="s">
        <v>5</v>
      </c>
      <c r="C56" s="764">
        <f t="shared" si="6"/>
        <v>0.64880577427821517</v>
      </c>
      <c r="D56" s="764">
        <f t="shared" si="7"/>
        <v>0.52920577427821525</v>
      </c>
      <c r="E56" s="764">
        <f t="shared" si="8"/>
        <v>0.30619422572178479</v>
      </c>
      <c r="F56" s="764">
        <f t="shared" si="9"/>
        <v>0.30379422572178483</v>
      </c>
      <c r="H56" s="1659"/>
    </row>
    <row r="57" spans="2:8" ht="15" thickBot="1" x14ac:dyDescent="0.4">
      <c r="B57" t="s">
        <v>6</v>
      </c>
      <c r="C57" s="764">
        <f t="shared" si="6"/>
        <v>0.72614666633214997</v>
      </c>
      <c r="D57" s="764">
        <f t="shared" si="7"/>
        <v>0.71574666633214989</v>
      </c>
      <c r="E57" s="764">
        <f t="shared" si="8"/>
        <v>0.16525333366785003</v>
      </c>
      <c r="F57" s="764">
        <f t="shared" si="9"/>
        <v>0.17075333366785003</v>
      </c>
    </row>
    <row r="58" spans="2:8" ht="15" thickBot="1" x14ac:dyDescent="0.4">
      <c r="B58" t="s">
        <v>7</v>
      </c>
      <c r="C58" s="764">
        <f t="shared" si="6"/>
        <v>0.56015981080197452</v>
      </c>
      <c r="D58" s="764">
        <f t="shared" si="7"/>
        <v>0.53920201833101022</v>
      </c>
      <c r="E58" s="764">
        <f t="shared" si="8"/>
        <v>0.32011709722150888</v>
      </c>
      <c r="F58" s="764">
        <f t="shared" si="9"/>
        <v>0.34270692986365225</v>
      </c>
    </row>
    <row r="59" spans="2:8" ht="15" thickBot="1" x14ac:dyDescent="0.4">
      <c r="B59" t="s">
        <v>8</v>
      </c>
      <c r="C59" s="764">
        <f t="shared" si="6"/>
        <v>0.58100283597855795</v>
      </c>
      <c r="D59" s="764">
        <f t="shared" si="7"/>
        <v>0.56004504350759365</v>
      </c>
      <c r="E59" s="764">
        <f t="shared" si="8"/>
        <v>0.29927407204492534</v>
      </c>
      <c r="F59" s="764">
        <f t="shared" si="9"/>
        <v>0.32186390468706871</v>
      </c>
    </row>
    <row r="60" spans="2:8" ht="15" thickBot="1" x14ac:dyDescent="0.4">
      <c r="B60" t="s">
        <v>9</v>
      </c>
      <c r="C60" s="764">
        <f t="shared" si="6"/>
        <v>0.46212194256764794</v>
      </c>
      <c r="D60" s="764">
        <f t="shared" si="7"/>
        <v>0.45220635762571948</v>
      </c>
      <c r="E60" s="764">
        <f t="shared" si="8"/>
        <v>0.41043187347931875</v>
      </c>
      <c r="F60" s="764">
        <f t="shared" si="9"/>
        <v>0.41561153876360546</v>
      </c>
    </row>
    <row r="61" spans="2:8" ht="6.75" customHeight="1" x14ac:dyDescent="0.35">
      <c r="B61" s="53"/>
      <c r="C61" s="53"/>
      <c r="D61" s="53"/>
      <c r="E61" s="53"/>
      <c r="F61" s="53"/>
    </row>
    <row r="69" spans="4:4" x14ac:dyDescent="0.35">
      <c r="D69" s="13"/>
    </row>
  </sheetData>
  <sheetProtection algorithmName="SHA-512" hashValue="diO8xSDPzshEHKFopmfd7rW8iQ62Xvw/h/3GIX5H//PzPl7FQybcAWgCT9LK1hkWvJ1xK4aTn5FyBBbVCeR6rA==" saltValue="pSo/SRJYm7vzvxiuvyPK7g==" spinCount="100000" sheet="1" objects="1" scenarios="1"/>
  <protectedRanges>
    <protectedRange sqref="F10" name="Intervalo1"/>
  </protectedRanges>
  <mergeCells count="9">
    <mergeCell ref="B10:E10"/>
    <mergeCell ref="C26:D26"/>
    <mergeCell ref="B26:B27"/>
    <mergeCell ref="E26:F26"/>
    <mergeCell ref="I26:J26"/>
    <mergeCell ref="C49:D49"/>
    <mergeCell ref="E49:F49"/>
    <mergeCell ref="B49:B50"/>
    <mergeCell ref="G26:H26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1BA94-84E3-4F9D-B4A8-8245613739E1}">
  <sheetPr codeName="Planilha7">
    <tabColor theme="3"/>
  </sheetPr>
  <dimension ref="B2:AH56"/>
  <sheetViews>
    <sheetView showGridLines="0" topLeftCell="A3" zoomScaleNormal="100" workbookViewId="0">
      <selection activeCell="H7" sqref="H7"/>
    </sheetView>
  </sheetViews>
  <sheetFormatPr defaultColWidth="8.81640625" defaultRowHeight="14.5" x14ac:dyDescent="0.35"/>
  <cols>
    <col min="1" max="1" width="6.81640625" customWidth="1"/>
    <col min="2" max="2" width="5.453125" customWidth="1"/>
    <col min="3" max="3" width="4.08984375" customWidth="1"/>
    <col min="4" max="4" width="42.453125" customWidth="1"/>
    <col min="5" max="5" width="16" customWidth="1"/>
    <col min="6" max="6" width="11.453125" customWidth="1"/>
    <col min="7" max="24" width="12.36328125" customWidth="1"/>
    <col min="25" max="34" width="12.36328125" bestFit="1" customWidth="1"/>
    <col min="35" max="36" width="9.08984375" customWidth="1"/>
  </cols>
  <sheetData>
    <row r="2" spans="2:34" ht="18.5" x14ac:dyDescent="0.45">
      <c r="B2" s="113" t="s">
        <v>400</v>
      </c>
      <c r="C2" s="114"/>
      <c r="D2" s="115"/>
    </row>
    <row r="3" spans="2:34" x14ac:dyDescent="0.35">
      <c r="B3" s="114"/>
      <c r="C3" s="114"/>
      <c r="D3" s="115"/>
    </row>
    <row r="4" spans="2:34" x14ac:dyDescent="0.35">
      <c r="B4" s="116" t="s">
        <v>401</v>
      </c>
      <c r="C4" s="114"/>
      <c r="D4" s="114"/>
    </row>
    <row r="5" spans="2:34" x14ac:dyDescent="0.35">
      <c r="B5" s="117" t="s">
        <v>96</v>
      </c>
      <c r="C5" s="118"/>
      <c r="D5" s="119"/>
      <c r="E5" s="190">
        <v>1</v>
      </c>
      <c r="F5" s="190">
        <f>E5+1</f>
        <v>2</v>
      </c>
      <c r="G5" s="190">
        <f t="shared" ref="G5:AH5" si="0">F5+1</f>
        <v>3</v>
      </c>
      <c r="H5" s="190">
        <f t="shared" si="0"/>
        <v>4</v>
      </c>
      <c r="I5" s="190">
        <f t="shared" si="0"/>
        <v>5</v>
      </c>
      <c r="J5" s="190">
        <f t="shared" si="0"/>
        <v>6</v>
      </c>
      <c r="K5" s="190">
        <f t="shared" si="0"/>
        <v>7</v>
      </c>
      <c r="L5" s="190">
        <f t="shared" si="0"/>
        <v>8</v>
      </c>
      <c r="M5" s="190">
        <f t="shared" si="0"/>
        <v>9</v>
      </c>
      <c r="N5" s="190">
        <f t="shared" si="0"/>
        <v>10</v>
      </c>
      <c r="O5" s="190">
        <f t="shared" si="0"/>
        <v>11</v>
      </c>
      <c r="P5" s="190">
        <f t="shared" si="0"/>
        <v>12</v>
      </c>
      <c r="Q5" s="190">
        <f t="shared" si="0"/>
        <v>13</v>
      </c>
      <c r="R5" s="190">
        <f t="shared" si="0"/>
        <v>14</v>
      </c>
      <c r="S5" s="190">
        <f t="shared" si="0"/>
        <v>15</v>
      </c>
      <c r="T5" s="190">
        <f t="shared" si="0"/>
        <v>16</v>
      </c>
      <c r="U5" s="190">
        <f t="shared" si="0"/>
        <v>17</v>
      </c>
      <c r="V5" s="190">
        <f t="shared" si="0"/>
        <v>18</v>
      </c>
      <c r="W5" s="190">
        <f t="shared" si="0"/>
        <v>19</v>
      </c>
      <c r="X5" s="190">
        <f t="shared" si="0"/>
        <v>20</v>
      </c>
      <c r="Y5" s="190">
        <f t="shared" si="0"/>
        <v>21</v>
      </c>
      <c r="Z5" s="190">
        <f t="shared" si="0"/>
        <v>22</v>
      </c>
      <c r="AA5" s="190">
        <f t="shared" si="0"/>
        <v>23</v>
      </c>
      <c r="AB5" s="190">
        <f t="shared" si="0"/>
        <v>24</v>
      </c>
      <c r="AC5" s="190">
        <f t="shared" si="0"/>
        <v>25</v>
      </c>
      <c r="AD5" s="190">
        <f t="shared" si="0"/>
        <v>26</v>
      </c>
      <c r="AE5" s="190">
        <f t="shared" si="0"/>
        <v>27</v>
      </c>
      <c r="AF5" s="190">
        <f t="shared" si="0"/>
        <v>28</v>
      </c>
      <c r="AG5" s="190">
        <f t="shared" si="0"/>
        <v>29</v>
      </c>
      <c r="AH5" s="190">
        <f t="shared" si="0"/>
        <v>30</v>
      </c>
    </row>
    <row r="6" spans="2:34" ht="4.5" customHeight="1" x14ac:dyDescent="0.35">
      <c r="B6" s="120"/>
      <c r="C6" s="120"/>
      <c r="D6" s="121"/>
      <c r="E6" s="149"/>
      <c r="F6" s="149"/>
    </row>
    <row r="7" spans="2:34" x14ac:dyDescent="0.35">
      <c r="B7" s="122" t="s">
        <v>402</v>
      </c>
      <c r="C7" s="123"/>
      <c r="D7" s="124"/>
      <c r="E7" s="381">
        <f>SUM(E8:E12)</f>
        <v>46842759.785147183</v>
      </c>
      <c r="F7" s="381">
        <f t="shared" ref="F7:AH7" si="1">SUM(F8:F12)</f>
        <v>50761512.530046202</v>
      </c>
      <c r="G7" s="381">
        <f t="shared" si="1"/>
        <v>52038491.037496328</v>
      </c>
      <c r="H7" s="381">
        <f t="shared" si="1"/>
        <v>52817372.272439964</v>
      </c>
      <c r="I7" s="381">
        <f t="shared" si="1"/>
        <v>53338155.551371142</v>
      </c>
      <c r="J7" s="381">
        <f t="shared" si="1"/>
        <v>53801359.905344352</v>
      </c>
      <c r="K7" s="381">
        <f t="shared" si="1"/>
        <v>54167699.017755136</v>
      </c>
      <c r="L7" s="381">
        <f t="shared" si="1"/>
        <v>54391131.301522218</v>
      </c>
      <c r="M7" s="381">
        <f t="shared" si="1"/>
        <v>62240805.478543244</v>
      </c>
      <c r="N7" s="381">
        <f t="shared" si="1"/>
        <v>61376641.503707692</v>
      </c>
      <c r="O7" s="381">
        <f t="shared" si="1"/>
        <v>55061353.665590197</v>
      </c>
      <c r="P7" s="381">
        <f t="shared" si="1"/>
        <v>55195316.268373974</v>
      </c>
      <c r="Q7" s="381">
        <f t="shared" si="1"/>
        <v>55329278.871157736</v>
      </c>
      <c r="R7" s="381">
        <f t="shared" si="1"/>
        <v>55463241.473941483</v>
      </c>
      <c r="S7" s="381">
        <f t="shared" si="1"/>
        <v>55597204.076725237</v>
      </c>
      <c r="T7" s="381">
        <f t="shared" si="1"/>
        <v>55731893.872569099</v>
      </c>
      <c r="U7" s="381">
        <f t="shared" si="1"/>
        <v>63057117.041640908</v>
      </c>
      <c r="V7" s="381">
        <f t="shared" si="1"/>
        <v>55850222.292159677</v>
      </c>
      <c r="W7" s="381">
        <f t="shared" si="1"/>
        <v>55909386.501954973</v>
      </c>
      <c r="X7" s="381">
        <f t="shared" si="1"/>
        <v>57389995.414935321</v>
      </c>
      <c r="Y7" s="381">
        <f t="shared" si="1"/>
        <v>56027567.160831645</v>
      </c>
      <c r="Z7" s="381">
        <f t="shared" si="1"/>
        <v>56086731.370626941</v>
      </c>
      <c r="AA7" s="381">
        <f t="shared" si="1"/>
        <v>56145895.580422238</v>
      </c>
      <c r="AB7" s="381">
        <f t="shared" si="1"/>
        <v>56205059.790217534</v>
      </c>
      <c r="AC7" s="381">
        <f t="shared" si="1"/>
        <v>63530282.959289357</v>
      </c>
      <c r="AD7" s="381">
        <f t="shared" si="1"/>
        <v>56323388.209808119</v>
      </c>
      <c r="AE7" s="381">
        <f t="shared" si="1"/>
        <v>56382552.419603415</v>
      </c>
      <c r="AF7" s="381">
        <f t="shared" si="1"/>
        <v>56441716.629398704</v>
      </c>
      <c r="AG7" s="381">
        <f t="shared" si="1"/>
        <v>56500880.839194007</v>
      </c>
      <c r="AH7" s="381">
        <f t="shared" si="1"/>
        <v>56560045.048989289</v>
      </c>
    </row>
    <row r="8" spans="2:34" x14ac:dyDescent="0.35">
      <c r="B8" s="184" t="s">
        <v>403</v>
      </c>
      <c r="C8" s="182" t="s">
        <v>404</v>
      </c>
      <c r="D8" s="126"/>
      <c r="E8" s="382">
        <f>Receitas!E118</f>
        <v>51715006.65991614</v>
      </c>
      <c r="F8" s="382">
        <f>Receitas!F118</f>
        <v>51963422.328385524</v>
      </c>
      <c r="G8" s="382">
        <f>Receitas!G118</f>
        <v>52211837.996854901</v>
      </c>
      <c r="H8" s="382">
        <f>Receitas!H118</f>
        <v>52460253.665324286</v>
      </c>
      <c r="I8" s="382">
        <f>Receitas!I118</f>
        <v>52708669.333793662</v>
      </c>
      <c r="J8" s="382">
        <f>Receitas!J118</f>
        <v>52957039.343395494</v>
      </c>
      <c r="K8" s="382">
        <f>Receitas!K118</f>
        <v>53177177.205672622</v>
      </c>
      <c r="L8" s="382">
        <f>Receitas!L118</f>
        <v>53397315.06794972</v>
      </c>
      <c r="M8" s="382">
        <f>Receitas!M118</f>
        <v>53617452.930226848</v>
      </c>
      <c r="N8" s="382">
        <f>Receitas!N118</f>
        <v>53837590.792503953</v>
      </c>
      <c r="O8" s="382">
        <f>Receitas!O118</f>
        <v>54057679.117923476</v>
      </c>
      <c r="P8" s="382">
        <f>Receitas!P118</f>
        <v>54190009.111614235</v>
      </c>
      <c r="Q8" s="382">
        <f>Receitas!Q118</f>
        <v>54322339.105304986</v>
      </c>
      <c r="R8" s="382">
        <f>Receitas!R118</f>
        <v>54454669.098995715</v>
      </c>
      <c r="S8" s="382">
        <f>Receitas!S118</f>
        <v>54586999.092686452</v>
      </c>
      <c r="T8" s="382">
        <f>Receitas!T118</f>
        <v>54720053.641424127</v>
      </c>
      <c r="U8" s="382">
        <f>Receitas!U118</f>
        <v>54778861.033400267</v>
      </c>
      <c r="V8" s="382">
        <f>Receitas!V118</f>
        <v>54837668.42537643</v>
      </c>
      <c r="W8" s="382">
        <f>Receitas!W118</f>
        <v>54896475.817352578</v>
      </c>
      <c r="X8" s="382">
        <f>Receitas!X118</f>
        <v>54955283.209328733</v>
      </c>
      <c r="Y8" s="382">
        <f>Receitas!Y118</f>
        <v>55013923.193846487</v>
      </c>
      <c r="Z8" s="382">
        <f>Receitas!Z118</f>
        <v>55072730.585822642</v>
      </c>
      <c r="AA8" s="382">
        <f>Receitas!AA118</f>
        <v>55131537.977798805</v>
      </c>
      <c r="AB8" s="382">
        <f>Receitas!AB118</f>
        <v>55190345.36977496</v>
      </c>
      <c r="AC8" s="382">
        <f>Receitas!AC118</f>
        <v>55249152.761751115</v>
      </c>
      <c r="AD8" s="382">
        <f>Receitas!AD118</f>
        <v>55307960.153727263</v>
      </c>
      <c r="AE8" s="382">
        <f>Receitas!AE118</f>
        <v>55366767.545703411</v>
      </c>
      <c r="AF8" s="382">
        <f>Receitas!AF118</f>
        <v>55425574.937679566</v>
      </c>
      <c r="AG8" s="382">
        <f>Receitas!AG118</f>
        <v>55484382.329655729</v>
      </c>
      <c r="AH8" s="382">
        <f>Receitas!AH118</f>
        <v>55543189.72163187</v>
      </c>
    </row>
    <row r="9" spans="2:34" x14ac:dyDescent="0.35">
      <c r="B9" s="185" t="s">
        <v>403</v>
      </c>
      <c r="C9" s="183" t="s">
        <v>405</v>
      </c>
      <c r="D9" s="130"/>
      <c r="E9" s="383">
        <f>Receitas!E135</f>
        <v>3722535.0329589979</v>
      </c>
      <c r="F9" s="383">
        <f>Receitas!F135</f>
        <v>3739825.6304044463</v>
      </c>
      <c r="G9" s="383">
        <f>Receitas!G135</f>
        <v>3757116.2278498942</v>
      </c>
      <c r="H9" s="383">
        <f>Receitas!H135</f>
        <v>3774406.8252953421</v>
      </c>
      <c r="I9" s="383">
        <f>Receitas!I135</f>
        <v>3791697.4227407905</v>
      </c>
      <c r="J9" s="383">
        <f>Receitas!J135</f>
        <v>3808974.0524997604</v>
      </c>
      <c r="K9" s="383">
        <f>Receitas!K135</f>
        <v>3823998.2324079219</v>
      </c>
      <c r="L9" s="383">
        <f>Receitas!L135</f>
        <v>3839022.4123160834</v>
      </c>
      <c r="M9" s="383">
        <f>Receitas!M135</f>
        <v>3854046.5922242445</v>
      </c>
      <c r="N9" s="383">
        <f>Receitas!N135</f>
        <v>3869070.7721324065</v>
      </c>
      <c r="O9" s="383">
        <f>Receitas!O135</f>
        <v>3884067.3621580903</v>
      </c>
      <c r="P9" s="383">
        <f>Receitas!P135</f>
        <v>3892751.0020979359</v>
      </c>
      <c r="Q9" s="383">
        <f>Receitas!Q135</f>
        <v>3901434.6420377814</v>
      </c>
      <c r="R9" s="383">
        <f>Receitas!R135</f>
        <v>3910118.281977626</v>
      </c>
      <c r="S9" s="383">
        <f>Receitas!S135</f>
        <v>3918801.9219174716</v>
      </c>
      <c r="T9" s="383">
        <f>Receitas!T135</f>
        <v>3927526.8068396491</v>
      </c>
      <c r="U9" s="383">
        <f>Receitas!U135</f>
        <v>3931017.0997182275</v>
      </c>
      <c r="V9" s="383">
        <f>Receitas!V135</f>
        <v>3934507.392596805</v>
      </c>
      <c r="W9" s="383">
        <f>Receitas!W135</f>
        <v>3937997.6854753834</v>
      </c>
      <c r="X9" s="383">
        <f>Receitas!X135</f>
        <v>3941487.9783539609</v>
      </c>
      <c r="Y9" s="383">
        <f>Receitas!Y135</f>
        <v>3944988.997889292</v>
      </c>
      <c r="Z9" s="383">
        <f>Receitas!Z135</f>
        <v>3948479.2907678699</v>
      </c>
      <c r="AA9" s="383">
        <f>Receitas!AA135</f>
        <v>3951969.5836464483</v>
      </c>
      <c r="AB9" s="383">
        <f>Receitas!AB135</f>
        <v>3955459.8765250253</v>
      </c>
      <c r="AC9" s="383">
        <f>Receitas!AC135</f>
        <v>3958950.1694036052</v>
      </c>
      <c r="AD9" s="383">
        <f>Receitas!AD135</f>
        <v>3962440.4622821826</v>
      </c>
      <c r="AE9" s="383">
        <f>Receitas!AE135</f>
        <v>3965930.7551607601</v>
      </c>
      <c r="AF9" s="383">
        <f>Receitas!AF135</f>
        <v>3969421.0480393381</v>
      </c>
      <c r="AG9" s="383">
        <f>Receitas!AG135</f>
        <v>3972911.340917916</v>
      </c>
      <c r="AH9" s="383">
        <f>Receitas!AH135</f>
        <v>3976401.633796494</v>
      </c>
    </row>
    <row r="10" spans="2:34" x14ac:dyDescent="0.35">
      <c r="B10" s="185" t="s">
        <v>403</v>
      </c>
      <c r="C10" s="183" t="s">
        <v>406</v>
      </c>
      <c r="D10" s="130"/>
      <c r="E10" s="383">
        <f>Receitas!E141</f>
        <v>0</v>
      </c>
      <c r="F10" s="383">
        <f>Receitas!F141</f>
        <v>0</v>
      </c>
      <c r="G10" s="383">
        <f>Receitas!G141</f>
        <v>0</v>
      </c>
      <c r="H10" s="383">
        <f>Receitas!H141</f>
        <v>0</v>
      </c>
      <c r="I10" s="383">
        <f>Receitas!I141</f>
        <v>0</v>
      </c>
      <c r="J10" s="383">
        <f>Receitas!J141</f>
        <v>0</v>
      </c>
      <c r="K10" s="383">
        <f>Receitas!K141</f>
        <v>0</v>
      </c>
      <c r="L10" s="383">
        <f>Receitas!L141</f>
        <v>0</v>
      </c>
      <c r="M10" s="383">
        <f>Receitas!M141</f>
        <v>0</v>
      </c>
      <c r="N10" s="383">
        <f>Receitas!N141</f>
        <v>0</v>
      </c>
      <c r="O10" s="383">
        <f>Receitas!O141</f>
        <v>0</v>
      </c>
      <c r="P10" s="383">
        <f>Receitas!P141</f>
        <v>0</v>
      </c>
      <c r="Q10" s="383">
        <f>Receitas!Q141</f>
        <v>0</v>
      </c>
      <c r="R10" s="383">
        <f>Receitas!R141</f>
        <v>0</v>
      </c>
      <c r="S10" s="383">
        <f>Receitas!S141</f>
        <v>0</v>
      </c>
      <c r="T10" s="383">
        <f>Receitas!T141</f>
        <v>0</v>
      </c>
      <c r="U10" s="383">
        <f>Receitas!U141</f>
        <v>0</v>
      </c>
      <c r="V10" s="383">
        <f>Receitas!V141</f>
        <v>0</v>
      </c>
      <c r="W10" s="383">
        <f>Receitas!W141</f>
        <v>0</v>
      </c>
      <c r="X10" s="383">
        <f>Receitas!X141</f>
        <v>0</v>
      </c>
      <c r="Y10" s="383">
        <f>Receitas!Y141</f>
        <v>0</v>
      </c>
      <c r="Z10" s="383">
        <f>Receitas!Z141</f>
        <v>0</v>
      </c>
      <c r="AA10" s="383">
        <f>Receitas!AA141</f>
        <v>0</v>
      </c>
      <c r="AB10" s="383">
        <f>Receitas!AB141</f>
        <v>0</v>
      </c>
      <c r="AC10" s="383">
        <f>Receitas!AC141</f>
        <v>0</v>
      </c>
      <c r="AD10" s="383">
        <f>Receitas!AD141</f>
        <v>0</v>
      </c>
      <c r="AE10" s="383">
        <f>Receitas!AE141</f>
        <v>0</v>
      </c>
      <c r="AF10" s="383">
        <f>Receitas!AF141</f>
        <v>0</v>
      </c>
      <c r="AG10" s="383">
        <f>Receitas!AG141</f>
        <v>0</v>
      </c>
      <c r="AH10" s="383">
        <f>Receitas!AH141</f>
        <v>0</v>
      </c>
    </row>
    <row r="11" spans="2:34" x14ac:dyDescent="0.35">
      <c r="B11" s="185" t="s">
        <v>403</v>
      </c>
      <c r="C11" s="183" t="s">
        <v>407</v>
      </c>
      <c r="D11" s="130"/>
      <c r="E11" s="383">
        <f>Receitas!E144</f>
        <v>0</v>
      </c>
      <c r="F11" s="383">
        <f>Receitas!F144</f>
        <v>0</v>
      </c>
      <c r="G11" s="383">
        <f>Receitas!G144</f>
        <v>0</v>
      </c>
      <c r="H11" s="383">
        <f>Receitas!H144</f>
        <v>0</v>
      </c>
      <c r="I11" s="383">
        <f>Receitas!I144</f>
        <v>0</v>
      </c>
      <c r="J11" s="383">
        <f>Receitas!J144</f>
        <v>0</v>
      </c>
      <c r="K11" s="383">
        <f>Receitas!K144</f>
        <v>0</v>
      </c>
      <c r="L11" s="383">
        <f>Receitas!L144</f>
        <v>0</v>
      </c>
      <c r="M11" s="383">
        <f>Receitas!M144</f>
        <v>7626241.8932539076</v>
      </c>
      <c r="N11" s="383">
        <f>Receitas!N144</f>
        <v>6538645.6346512754</v>
      </c>
      <c r="O11" s="383">
        <f>Receitas!O144</f>
        <v>0</v>
      </c>
      <c r="P11" s="383">
        <f>Receitas!P144</f>
        <v>0</v>
      </c>
      <c r="Q11" s="383">
        <f>Receitas!Q144</f>
        <v>0</v>
      </c>
      <c r="R11" s="383">
        <f>Receitas!R144</f>
        <v>0</v>
      </c>
      <c r="S11" s="383">
        <f>Receitas!S144</f>
        <v>0</v>
      </c>
      <c r="T11" s="383">
        <f>Receitas!T144</f>
        <v>0</v>
      </c>
      <c r="U11" s="383">
        <f>Receitas!U144</f>
        <v>7266058.9592765272</v>
      </c>
      <c r="V11" s="383">
        <f>Receitas!V144</f>
        <v>0</v>
      </c>
      <c r="W11" s="383">
        <f>Receitas!W144</f>
        <v>0</v>
      </c>
      <c r="X11" s="383">
        <f>Receitas!X144</f>
        <v>1421444.7031850598</v>
      </c>
      <c r="Y11" s="383">
        <f>Receitas!Y144</f>
        <v>0</v>
      </c>
      <c r="Z11" s="383">
        <f>Receitas!Z144</f>
        <v>0</v>
      </c>
      <c r="AA11" s="383">
        <f>Receitas!AA144</f>
        <v>0</v>
      </c>
      <c r="AB11" s="383">
        <f>Receitas!AB144</f>
        <v>0</v>
      </c>
      <c r="AC11" s="383">
        <f>Receitas!AC144</f>
        <v>7266058.9592765272</v>
      </c>
      <c r="AD11" s="383">
        <f>Receitas!AD144</f>
        <v>0</v>
      </c>
      <c r="AE11" s="383">
        <f>Receitas!AE144</f>
        <v>0</v>
      </c>
      <c r="AF11" s="383">
        <f>Receitas!AF144</f>
        <v>0</v>
      </c>
      <c r="AG11" s="383">
        <f>Receitas!AG144</f>
        <v>0</v>
      </c>
      <c r="AH11" s="383">
        <f>Receitas!AH144</f>
        <v>0</v>
      </c>
    </row>
    <row r="12" spans="2:34" x14ac:dyDescent="0.35">
      <c r="B12" s="185" t="s">
        <v>408</v>
      </c>
      <c r="C12" s="183" t="s">
        <v>19</v>
      </c>
      <c r="D12" s="130"/>
      <c r="E12" s="383">
        <f>-Receitas!E119</f>
        <v>-8594781.9077279568</v>
      </c>
      <c r="F12" s="383">
        <f>-Receitas!F119</f>
        <v>-4941735.428743775</v>
      </c>
      <c r="G12" s="383">
        <f>-Receitas!G119</f>
        <v>-3930463.1872084667</v>
      </c>
      <c r="H12" s="383">
        <f>-Receitas!H119</f>
        <v>-3417288.2181796688</v>
      </c>
      <c r="I12" s="383">
        <f>-Receitas!I119</f>
        <v>-3162211.2051633047</v>
      </c>
      <c r="J12" s="383">
        <f>-Receitas!J119</f>
        <v>-2964653.4905509069</v>
      </c>
      <c r="K12" s="383">
        <f>-Receitas!K119</f>
        <v>-2833476.4203254096</v>
      </c>
      <c r="L12" s="383">
        <f>-Receitas!L119</f>
        <v>-2845206.1787435841</v>
      </c>
      <c r="M12" s="383">
        <f>-Receitas!M119</f>
        <v>-2856935.9371617604</v>
      </c>
      <c r="N12" s="383">
        <f>-Receitas!N119</f>
        <v>-2868665.6955799353</v>
      </c>
      <c r="O12" s="383">
        <f>-Receitas!O119</f>
        <v>-2880392.8144913656</v>
      </c>
      <c r="P12" s="383">
        <f>-Receitas!P119</f>
        <v>-2887443.8453381965</v>
      </c>
      <c r="Q12" s="383">
        <f>-Receitas!Q119</f>
        <v>-2894494.8761850265</v>
      </c>
      <c r="R12" s="383">
        <f>-Receitas!R119</f>
        <v>-2901545.9070318555</v>
      </c>
      <c r="S12" s="383">
        <f>-Receitas!S119</f>
        <v>-2908596.9378786851</v>
      </c>
      <c r="T12" s="383">
        <f>-Receitas!T119</f>
        <v>-2915686.5756946807</v>
      </c>
      <c r="U12" s="383">
        <f>-Receitas!U119</f>
        <v>-2918820.0507541173</v>
      </c>
      <c r="V12" s="383">
        <f>-Receitas!V119</f>
        <v>-2921953.5258135553</v>
      </c>
      <c r="W12" s="383">
        <f>-Receitas!W119</f>
        <v>-2925087.0008729929</v>
      </c>
      <c r="X12" s="383">
        <f>-Receitas!X119</f>
        <v>-2928220.4759324305</v>
      </c>
      <c r="Y12" s="383">
        <f>-Receitas!Y119</f>
        <v>-2931345.0309041371</v>
      </c>
      <c r="Z12" s="383">
        <f>-Receitas!Z119</f>
        <v>-2934478.5059635746</v>
      </c>
      <c r="AA12" s="383">
        <f>-Receitas!AA119</f>
        <v>-2937611.9810230127</v>
      </c>
      <c r="AB12" s="383">
        <f>-Receitas!AB119</f>
        <v>-2940745.4560824502</v>
      </c>
      <c r="AC12" s="383">
        <f>-Receitas!AC119</f>
        <v>-2943878.9311418878</v>
      </c>
      <c r="AD12" s="383">
        <f>-Receitas!AD119</f>
        <v>-2947012.4062013249</v>
      </c>
      <c r="AE12" s="383">
        <f>-Receitas!AE119</f>
        <v>-2950145.881260762</v>
      </c>
      <c r="AF12" s="383">
        <f>-Receitas!AF119</f>
        <v>-2953279.3563202</v>
      </c>
      <c r="AG12" s="383">
        <f>-Receitas!AG119</f>
        <v>-2956412.8313796381</v>
      </c>
      <c r="AH12" s="383">
        <f>-Receitas!AH119</f>
        <v>-2959546.3064390747</v>
      </c>
    </row>
    <row r="13" spans="2:34" s="77" customFormat="1" x14ac:dyDescent="0.35">
      <c r="B13" s="186" t="s">
        <v>409</v>
      </c>
      <c r="C13" s="122"/>
      <c r="D13" s="191"/>
      <c r="E13" s="381">
        <f>SUM(E14:E18)</f>
        <v>-5293505.1597336251</v>
      </c>
      <c r="F13" s="381">
        <f t="shared" ref="F13:AH13" si="2">SUM(F14:F18)</f>
        <v>-5661678.4059094852</v>
      </c>
      <c r="G13" s="381">
        <f t="shared" si="2"/>
        <v>-5785487.5351213226</v>
      </c>
      <c r="H13" s="381">
        <f t="shared" si="2"/>
        <v>-5863222.666626309</v>
      </c>
      <c r="I13" s="381">
        <f t="shared" si="2"/>
        <v>-3302760.2318695281</v>
      </c>
      <c r="J13" s="381">
        <f t="shared" si="2"/>
        <v>-3325366.7293206509</v>
      </c>
      <c r="K13" s="381">
        <f t="shared" si="2"/>
        <v>-3343380.7634532079</v>
      </c>
      <c r="L13" s="381">
        <f t="shared" si="2"/>
        <v>-3356178.6983402707</v>
      </c>
      <c r="M13" s="381">
        <f t="shared" si="2"/>
        <v>-3647334.4623311027</v>
      </c>
      <c r="N13" s="381">
        <f t="shared" si="2"/>
        <v>-3620435.1337791695</v>
      </c>
      <c r="O13" s="381">
        <f t="shared" si="2"/>
        <v>-3394568.7747612754</v>
      </c>
      <c r="P13" s="381">
        <f t="shared" si="2"/>
        <v>-3401885.7379682651</v>
      </c>
      <c r="Q13" s="381">
        <f t="shared" si="2"/>
        <v>-3409202.7011752552</v>
      </c>
      <c r="R13" s="381">
        <f t="shared" si="2"/>
        <v>-3416519.6643822445</v>
      </c>
      <c r="S13" s="381">
        <f t="shared" si="2"/>
        <v>-3423836.6275892342</v>
      </c>
      <c r="T13" s="381">
        <f t="shared" si="2"/>
        <v>-3431191.3559296988</v>
      </c>
      <c r="U13" s="381">
        <f t="shared" si="2"/>
        <v>-3699130.7121420419</v>
      </c>
      <c r="V13" s="381">
        <f t="shared" si="2"/>
        <v>-3436647.7643272001</v>
      </c>
      <c r="W13" s="381">
        <f t="shared" si="2"/>
        <v>-3439375.9685259508</v>
      </c>
      <c r="X13" s="381">
        <f t="shared" si="2"/>
        <v>-3493986.9043909563</v>
      </c>
      <c r="Y13" s="381">
        <f t="shared" si="2"/>
        <v>-3444830.5512058334</v>
      </c>
      <c r="Z13" s="381">
        <f t="shared" si="2"/>
        <v>-3447558.7554045841</v>
      </c>
      <c r="AA13" s="381">
        <f t="shared" si="2"/>
        <v>-3450286.9596033352</v>
      </c>
      <c r="AB13" s="381">
        <f t="shared" si="2"/>
        <v>-3453015.1638020859</v>
      </c>
      <c r="AC13" s="381">
        <f t="shared" si="2"/>
        <v>-3720954.5200144304</v>
      </c>
      <c r="AD13" s="381">
        <f t="shared" si="2"/>
        <v>-6150582.0667551821</v>
      </c>
      <c r="AE13" s="381">
        <f t="shared" si="2"/>
        <v>-6156623.4667024706</v>
      </c>
      <c r="AF13" s="381">
        <f t="shared" si="2"/>
        <v>-6162664.8666497571</v>
      </c>
      <c r="AG13" s="381">
        <f t="shared" si="2"/>
        <v>-3466656.1847958402</v>
      </c>
      <c r="AH13" s="381">
        <f t="shared" si="2"/>
        <v>-6174747.6665443312</v>
      </c>
    </row>
    <row r="14" spans="2:34" x14ac:dyDescent="0.35">
      <c r="B14" s="185" t="s">
        <v>408</v>
      </c>
      <c r="C14" s="287" t="s">
        <v>131</v>
      </c>
      <c r="D14" s="126"/>
      <c r="E14" s="382">
        <f>IF('Tributos-LP'!G39="LP",-'Tributos-LP'!G7,-'Tributos-LR'!G9)</f>
        <v>-772905.53645492857</v>
      </c>
      <c r="F14" s="382">
        <f>IF('Tributos-LP'!H39="LP",-'Tributos-LP'!H7,-'Tributos-LR'!H9)</f>
        <v>-837564.95674576226</v>
      </c>
      <c r="G14" s="382">
        <f>IF('Tributos-LP'!I39="LP",-'Tributos-LP'!I7,-'Tributos-LR'!I9)</f>
        <v>-858635.10211868945</v>
      </c>
      <c r="H14" s="382">
        <f>IF('Tributos-LP'!J39="LP",-'Tributos-LP'!J7,-'Tributos-LR'!J9)</f>
        <v>-871486.64249525941</v>
      </c>
      <c r="I14" s="382">
        <f>IF('Tributos-LP'!K39="LP",-'Tributos-LP'!K7,-'Tributos-LR'!K9)</f>
        <v>-346698.0110839124</v>
      </c>
      <c r="J14" s="382">
        <f>IF('Tributos-LP'!L39="LP",-'Tributos-LP'!L7,-'Tributos-LR'!L9)</f>
        <v>-349708.8393847383</v>
      </c>
      <c r="K14" s="382">
        <f>IF('Tributos-LP'!M39="LP",-'Tributos-LP'!M7,-'Tributos-LR'!M9)</f>
        <v>-352090.0436154083</v>
      </c>
      <c r="L14" s="382">
        <f>IF('Tributos-LP'!N39="LP",-'Tributos-LP'!N7,-'Tributos-LR'!N9)</f>
        <v>-353542.35345989442</v>
      </c>
      <c r="M14" s="382">
        <f>IF('Tributos-LP'!O39="LP",-'Tributos-LP'!O7,-'Tributos-LR'!O9)</f>
        <v>-404565.23561053106</v>
      </c>
      <c r="N14" s="382">
        <f>IF('Tributos-LP'!P39="LP",-'Tributos-LP'!P7,-'Tributos-LR'!P9)</f>
        <v>-398948.16977409995</v>
      </c>
      <c r="O14" s="382">
        <f>IF('Tributos-LP'!Q39="LP",-'Tributos-LP'!Q7,-'Tributos-LR'!Q9)</f>
        <v>-357898.79882633628</v>
      </c>
      <c r="P14" s="382">
        <f>IF('Tributos-LP'!R39="LP",-'Tributos-LP'!R7,-'Tributos-LR'!R9)</f>
        <v>-358769.55574443081</v>
      </c>
      <c r="Q14" s="382">
        <f>IF('Tributos-LP'!S39="LP",-'Tributos-LP'!S7,-'Tributos-LR'!S9)</f>
        <v>-359640.31266252528</v>
      </c>
      <c r="R14" s="382">
        <f>IF('Tributos-LP'!T39="LP",-'Tributos-LP'!T7,-'Tributos-LR'!T9)</f>
        <v>-360511.06958061963</v>
      </c>
      <c r="S14" s="382">
        <f>IF('Tributos-LP'!U39="LP",-'Tributos-LP'!U7,-'Tributos-LR'!U9)</f>
        <v>-361381.82649871404</v>
      </c>
      <c r="T14" s="382">
        <f>IF('Tributos-LP'!V39="LP",-'Tributos-LP'!V7,-'Tributos-LR'!V9)</f>
        <v>-362257.31017169915</v>
      </c>
      <c r="U14" s="382">
        <f>IF('Tributos-LP'!W39="LP",-'Tributos-LP'!W7,-'Tributos-LR'!W9)</f>
        <v>-409871.26077066589</v>
      </c>
      <c r="V14" s="382">
        <f>IF('Tributos-LP'!X39="LP",-'Tributos-LP'!X7,-'Tributos-LR'!X9)</f>
        <v>-363026.44489903789</v>
      </c>
      <c r="W14" s="382">
        <f>IF('Tributos-LP'!Y39="LP",-'Tributos-LP'!Y7,-'Tributos-LR'!Y9)</f>
        <v>-363411.01226270729</v>
      </c>
      <c r="X14" s="382">
        <f>IF('Tributos-LP'!Z39="LP",-'Tributos-LP'!Z7,-'Tributos-LR'!Z9)</f>
        <v>-373034.97019707959</v>
      </c>
      <c r="Y14" s="382">
        <f>IF('Tributos-LP'!AA39="LP",-'Tributos-LP'!AA7,-'Tributos-LR'!AA9)</f>
        <v>-364179.18654540565</v>
      </c>
      <c r="Z14" s="382">
        <f>IF('Tributos-LP'!AB39="LP",-'Tributos-LP'!AB7,-'Tributos-LR'!AB9)</f>
        <v>-364563.75390907511</v>
      </c>
      <c r="AA14" s="382">
        <f>IF('Tributos-LP'!AC39="LP",-'Tributos-LP'!AC7,-'Tributos-LR'!AC9)</f>
        <v>-364948.32127274451</v>
      </c>
      <c r="AB14" s="382">
        <f>IF('Tributos-LP'!AD39="LP",-'Tributos-LP'!AD7,-'Tributos-LR'!AD9)</f>
        <v>-365332.88863641396</v>
      </c>
      <c r="AC14" s="382">
        <f>IF('Tributos-LP'!AE39="LP",-'Tributos-LP'!AE7,-'Tributos-LR'!AE9)</f>
        <v>-412946.83923538082</v>
      </c>
      <c r="AD14" s="382">
        <f>IF('Tributos-LP'!AF39="LP",-'Tributos-LP'!AF7,-'Tributos-LR'!AF9)</f>
        <v>-929335.90546183405</v>
      </c>
      <c r="AE14" s="382">
        <f>IF('Tributos-LP'!AG39="LP",-'Tributos-LP'!AG7,-'Tributos-LR'!AG9)</f>
        <v>-930312.11492345622</v>
      </c>
      <c r="AF14" s="382">
        <f>IF('Tributos-LP'!AH39="LP",-'Tributos-LP'!AH7,-'Tributos-LR'!AH9)</f>
        <v>-931288.32438507862</v>
      </c>
      <c r="AG14" s="382">
        <f>IF('Tributos-LP'!AI39="LP",-'Tributos-LP'!AI7,-'Tributos-LR'!AI9)</f>
        <v>-367255.72545476101</v>
      </c>
      <c r="AH14" s="382">
        <f>IF('Tributos-LP'!AJ39="LP",-'Tributos-LP'!AJ7,-'Tributos-LR'!AJ9)</f>
        <v>-933240.74330832332</v>
      </c>
    </row>
    <row r="15" spans="2:34" x14ac:dyDescent="0.35">
      <c r="B15" s="185" t="s">
        <v>408</v>
      </c>
      <c r="C15" s="116" t="s">
        <v>133</v>
      </c>
      <c r="D15" s="130"/>
      <c r="E15" s="383">
        <f>IF('Tributos-LP'!G39="LP",-'Tributos-LP'!G8,-'Tributos-LR'!G10)</f>
        <v>-3560049.7436711858</v>
      </c>
      <c r="F15" s="383">
        <f>IF('Tributos-LP'!H39="LP",-'Tributos-LP'!H8,-'Tributos-LR'!H10)</f>
        <v>-3857874.9522835109</v>
      </c>
      <c r="G15" s="383">
        <f>IF('Tributos-LP'!I39="LP",-'Tributos-LP'!I8,-'Tributos-LR'!I10)</f>
        <v>-3954925.318849721</v>
      </c>
      <c r="H15" s="383">
        <f>IF('Tributos-LP'!J39="LP",-'Tributos-LP'!J8,-'Tributos-LR'!J10)</f>
        <v>-4014120.2927054372</v>
      </c>
      <c r="I15" s="383">
        <f>IF('Tributos-LP'!K39="LP",-'Tributos-LP'!K8,-'Tributos-LR'!K10)</f>
        <v>-1600144.6665411342</v>
      </c>
      <c r="J15" s="383">
        <f>IF('Tributos-LP'!L39="LP",-'Tributos-LP'!L8,-'Tributos-LR'!L10)</f>
        <v>-1614040.7971603305</v>
      </c>
      <c r="K15" s="383">
        <f>IF('Tributos-LP'!M39="LP",-'Tributos-LP'!M8,-'Tributos-LR'!M10)</f>
        <v>-1625030.9705326539</v>
      </c>
      <c r="L15" s="383">
        <f>IF('Tributos-LP'!N39="LP",-'Tributos-LP'!N8,-'Tributos-LR'!N10)</f>
        <v>-1631733.9390456665</v>
      </c>
      <c r="M15" s="383">
        <f>IF('Tributos-LP'!O39="LP",-'Tributos-LP'!O8,-'Tributos-LR'!O10)</f>
        <v>-1867224.1643562973</v>
      </c>
      <c r="N15" s="383">
        <f>IF('Tributos-LP'!P39="LP",-'Tributos-LP'!P8,-'Tributos-LR'!P10)</f>
        <v>-1841299.2451112308</v>
      </c>
      <c r="O15" s="383">
        <f>IF('Tributos-LP'!Q39="LP",-'Tributos-LP'!Q8,-'Tributos-LR'!Q10)</f>
        <v>-1651840.6099677058</v>
      </c>
      <c r="P15" s="383">
        <f>IF('Tributos-LP'!R39="LP",-'Tributos-LP'!R8,-'Tributos-LR'!R10)</f>
        <v>-1655859.4880512191</v>
      </c>
      <c r="Q15" s="383">
        <f>IF('Tributos-LP'!S39="LP",-'Tributos-LP'!S8,-'Tributos-LR'!S10)</f>
        <v>-1659878.366134732</v>
      </c>
      <c r="R15" s="383">
        <f>IF('Tributos-LP'!T39="LP",-'Tributos-LP'!T8,-'Tributos-LR'!T10)</f>
        <v>-1663897.2442182445</v>
      </c>
      <c r="S15" s="383">
        <f>IF('Tributos-LP'!U39="LP",-'Tributos-LP'!U8,-'Tributos-LR'!U10)</f>
        <v>-1667916.1223017571</v>
      </c>
      <c r="T15" s="383">
        <f>IF('Tributos-LP'!V39="LP",-'Tributos-LP'!V8,-'Tributos-LR'!V10)</f>
        <v>-1671956.8161770729</v>
      </c>
      <c r="U15" s="383">
        <f>IF('Tributos-LP'!W39="LP",-'Tributos-LP'!W8,-'Tributos-LR'!W10)</f>
        <v>-1891713.5112492272</v>
      </c>
      <c r="V15" s="383">
        <f>IF('Tributos-LP'!X39="LP",-'Tributos-LP'!X8,-'Tributos-LR'!X10)</f>
        <v>-1675506.6687647903</v>
      </c>
      <c r="W15" s="383">
        <f>IF('Tributos-LP'!Y39="LP",-'Tributos-LP'!Y8,-'Tributos-LR'!Y10)</f>
        <v>-1677281.5950586491</v>
      </c>
      <c r="X15" s="383">
        <f>IF('Tributos-LP'!Z39="LP",-'Tributos-LP'!Z8,-'Tributos-LR'!Z10)</f>
        <v>-1721699.8624480597</v>
      </c>
      <c r="Y15" s="383">
        <f>IF('Tributos-LP'!AA39="LP",-'Tributos-LP'!AA8,-'Tributos-LR'!AA10)</f>
        <v>-1680827.0148249492</v>
      </c>
      <c r="Z15" s="383">
        <f>IF('Tributos-LP'!AB39="LP",-'Tributos-LP'!AB8,-'Tributos-LR'!AB10)</f>
        <v>-1682601.9411188082</v>
      </c>
      <c r="AA15" s="383">
        <f>IF('Tributos-LP'!AC39="LP",-'Tributos-LP'!AC8,-'Tributos-LR'!AC10)</f>
        <v>-1684376.867412667</v>
      </c>
      <c r="AB15" s="383">
        <f>IF('Tributos-LP'!AD39="LP",-'Tributos-LP'!AD8,-'Tributos-LR'!AD10)</f>
        <v>-1686151.793706526</v>
      </c>
      <c r="AC15" s="383">
        <f>IF('Tributos-LP'!AE39="LP",-'Tributos-LP'!AE8,-'Tributos-LR'!AE10)</f>
        <v>-1905908.4887786806</v>
      </c>
      <c r="AD15" s="383">
        <f>IF('Tributos-LP'!AF39="LP",-'Tributos-LP'!AF8,-'Tributos-LR'!AF10)</f>
        <v>-4280577.5039454168</v>
      </c>
      <c r="AE15" s="383">
        <f>IF('Tributos-LP'!AG39="LP",-'Tributos-LP'!AG8,-'Tributos-LR'!AG10)</f>
        <v>-4285073.9838898592</v>
      </c>
      <c r="AF15" s="383">
        <f>IF('Tributos-LP'!AH39="LP",-'Tributos-LP'!AH8,-'Tributos-LR'!AH10)</f>
        <v>-4289570.4638343016</v>
      </c>
      <c r="AG15" s="383">
        <f>IF('Tributos-LP'!AI39="LP",-'Tributos-LP'!AI8,-'Tributos-LR'!AI10)</f>
        <v>-1695026.4251758202</v>
      </c>
      <c r="AH15" s="383">
        <f>IF('Tributos-LP'!AJ39="LP",-'Tributos-LP'!AJ8,-'Tributos-LR'!AJ10)</f>
        <v>-4298563.4237231854</v>
      </c>
    </row>
    <row r="16" spans="2:34" x14ac:dyDescent="0.35">
      <c r="B16" s="185" t="s">
        <v>408</v>
      </c>
      <c r="C16" s="116" t="s">
        <v>134</v>
      </c>
      <c r="D16" s="130"/>
      <c r="E16" s="383">
        <f>IF('Tributos-LP'!G39="LP",-'Tributos-LP'!G20,-'Tributos-LR'!G12)</f>
        <v>-1333163.0851536803</v>
      </c>
      <c r="F16" s="383">
        <f>IF('Tributos-LP'!H39="LP",-'Tributos-LP'!H20,-'Tributos-LR'!H12)</f>
        <v>-1338851.7024263809</v>
      </c>
      <c r="G16" s="383">
        <f>IF('Tributos-LP'!I39="LP",-'Tributos-LP'!I20,-'Tributos-LR'!I12)</f>
        <v>-1344540.3196990814</v>
      </c>
      <c r="H16" s="383">
        <f>IF('Tributos-LP'!J39="LP",-'Tributos-LP'!J20,-'Tributos-LR'!J12)</f>
        <v>-1350228.9369717818</v>
      </c>
      <c r="I16" s="383">
        <f>IF('Tributos-LP'!K39="LP",-'Tributos-LP'!K20,-'Tributos-LR'!K12)</f>
        <v>-1355917.5542444817</v>
      </c>
      <c r="J16" s="383">
        <f>IF('Tributos-LP'!L39="LP",-'Tributos-LP'!L20,-'Tributos-LR'!L12)</f>
        <v>-1361617.0927755821</v>
      </c>
      <c r="K16" s="383">
        <f>IF('Tributos-LP'!M39="LP",-'Tributos-LP'!M20,-'Tributos-LR'!M12)</f>
        <v>-1366259.749305146</v>
      </c>
      <c r="L16" s="383">
        <f>IF('Tributos-LP'!N39="LP",-'Tributos-LP'!N20,-'Tributos-LR'!N12)</f>
        <v>-1370902.40583471</v>
      </c>
      <c r="M16" s="383">
        <f>IF('Tributos-LP'!O39="LP",-'Tributos-LP'!O20,-'Tributos-LR'!O12)</f>
        <v>-1375545.0623642742</v>
      </c>
      <c r="N16" s="383">
        <f>IF('Tributos-LP'!P39="LP",-'Tributos-LP'!P20,-'Tributos-LR'!P12)</f>
        <v>-1380187.7188938386</v>
      </c>
      <c r="O16" s="383">
        <f>IF('Tributos-LP'!Q39="LP",-'Tributos-LP'!Q20,-'Tributos-LR'!Q12)</f>
        <v>-1384829.3659672332</v>
      </c>
      <c r="P16" s="383">
        <f>IF('Tributos-LP'!R39="LP",-'Tributos-LP'!R20,-'Tributos-LR'!R12)</f>
        <v>-1387256.6941726154</v>
      </c>
      <c r="Q16" s="383">
        <f>IF('Tributos-LP'!S39="LP",-'Tributos-LP'!S20,-'Tributos-LR'!S12)</f>
        <v>-1389684.0223779979</v>
      </c>
      <c r="R16" s="383">
        <f>IF('Tributos-LP'!T39="LP",-'Tributos-LP'!T20,-'Tributos-LR'!T12)</f>
        <v>-1392111.3505833806</v>
      </c>
      <c r="S16" s="383">
        <f>IF('Tributos-LP'!U39="LP",-'Tributos-LP'!U20,-'Tributos-LR'!U12)</f>
        <v>-1394538.6787887628</v>
      </c>
      <c r="T16" s="383">
        <f>IF('Tributos-LP'!V39="LP",-'Tributos-LP'!V20,-'Tributos-LR'!V12)</f>
        <v>-1396977.2295809265</v>
      </c>
      <c r="U16" s="383">
        <f>IF('Tributos-LP'!W39="LP",-'Tributos-LP'!W20,-'Tributos-LR'!W12)</f>
        <v>-1397545.940122149</v>
      </c>
      <c r="V16" s="383">
        <f>IF('Tributos-LP'!X39="LP",-'Tributos-LP'!X20,-'Tributos-LR'!X12)</f>
        <v>-1398114.6506633717</v>
      </c>
      <c r="W16" s="383">
        <f>IF('Tributos-LP'!Y39="LP",-'Tributos-LP'!Y20,-'Tributos-LR'!Y12)</f>
        <v>-1398683.3612045941</v>
      </c>
      <c r="X16" s="383">
        <f>IF('Tributos-LP'!Z39="LP",-'Tributos-LP'!Z20,-'Tributos-LR'!Z12)</f>
        <v>-1399252.0717458171</v>
      </c>
      <c r="Y16" s="383">
        <f>IF('Tributos-LP'!AA39="LP",-'Tributos-LP'!AA20,-'Tributos-LR'!AA12)</f>
        <v>-1399824.3498354787</v>
      </c>
      <c r="Z16" s="383">
        <f>IF('Tributos-LP'!AB39="LP",-'Tributos-LP'!AB20,-'Tributos-LR'!AB12)</f>
        <v>-1400393.0603767009</v>
      </c>
      <c r="AA16" s="383">
        <f>IF('Tributos-LP'!AC39="LP",-'Tributos-LP'!AC20,-'Tributos-LR'!AC12)</f>
        <v>-1400961.7709179237</v>
      </c>
      <c r="AB16" s="383">
        <f>IF('Tributos-LP'!AD39="LP",-'Tributos-LP'!AD20,-'Tributos-LR'!AD12)</f>
        <v>-1401530.4814591459</v>
      </c>
      <c r="AC16" s="383">
        <f>IF('Tributos-LP'!AE39="LP",-'Tributos-LP'!AE20,-'Tributos-LR'!AE12)</f>
        <v>-1402099.1920003691</v>
      </c>
      <c r="AD16" s="383">
        <f>IF('Tributos-LP'!AF39="LP",-'Tributos-LP'!AF20,-'Tributos-LR'!AF12)</f>
        <v>-1402667.9025415913</v>
      </c>
      <c r="AE16" s="383">
        <f>IF('Tributos-LP'!AG39="LP",-'Tributos-LP'!AG20,-'Tributos-LR'!AG12)</f>
        <v>-1403236.613082814</v>
      </c>
      <c r="AF16" s="383">
        <f>IF('Tributos-LP'!AH39="LP",-'Tributos-LP'!AH20,-'Tributos-LR'!AH12)</f>
        <v>-1403805.3236240363</v>
      </c>
      <c r="AG16" s="383">
        <f>IF('Tributos-LP'!AI39="LP",-'Tributos-LP'!AI20,-'Tributos-LR'!AI12)</f>
        <v>-1404374.034165259</v>
      </c>
      <c r="AH16" s="383">
        <f>IF('Tributos-LP'!AJ39="LP",-'Tributos-LP'!AJ20,-'Tributos-LR'!AJ12)</f>
        <v>-1404942.7447064815</v>
      </c>
    </row>
    <row r="17" spans="2:34" x14ac:dyDescent="0.35">
      <c r="B17" s="185" t="s">
        <v>403</v>
      </c>
      <c r="C17" s="116" t="s">
        <v>410</v>
      </c>
      <c r="D17" s="130"/>
      <c r="E17" s="383">
        <f>IF('Tributos-LP'!G39="LP",0,'Tributos-LR'!G30+'Tributos-LR'!G31)</f>
        <v>372613.20554616989</v>
      </c>
      <c r="F17" s="383">
        <f>IF('Tributos-LP'!H39="LP",0,'Tributos-LR'!H30+'Tributos-LR'!H31)</f>
        <v>372613.20554616989</v>
      </c>
      <c r="G17" s="383">
        <f>IF('Tributos-LP'!I39="LP",0,'Tributos-LR'!I30+'Tributos-LR'!I31)</f>
        <v>372613.20554616989</v>
      </c>
      <c r="H17" s="383">
        <f>IF('Tributos-LP'!J39="LP",0,'Tributos-LR'!J30+'Tributos-LR'!J31)</f>
        <v>372613.20554616989</v>
      </c>
      <c r="I17" s="383">
        <f>IF('Tributos-LP'!K39="LP",0,'Tributos-LR'!K30+'Tributos-LR'!K31)</f>
        <v>0</v>
      </c>
      <c r="J17" s="383">
        <f>IF('Tributos-LP'!L39="LP",0,'Tributos-LR'!L30+'Tributos-LR'!L31)</f>
        <v>0</v>
      </c>
      <c r="K17" s="383">
        <f>IF('Tributos-LP'!M39="LP",0,'Tributos-LR'!M30+'Tributos-LR'!M31)</f>
        <v>0</v>
      </c>
      <c r="L17" s="383">
        <f>IF('Tributos-LP'!N39="LP",0,'Tributos-LR'!N30+'Tributos-LR'!N31)</f>
        <v>0</v>
      </c>
      <c r="M17" s="383">
        <f>IF('Tributos-LP'!O39="LP",0,'Tributos-LR'!O30+'Tributos-LR'!O31)</f>
        <v>0</v>
      </c>
      <c r="N17" s="383">
        <f>IF('Tributos-LP'!P39="LP",0,'Tributos-LR'!P30+'Tributos-LR'!P31)</f>
        <v>0</v>
      </c>
      <c r="O17" s="383">
        <f>IF('Tributos-LP'!Q39="LP",0,'Tributos-LR'!Q30+'Tributos-LR'!Q31)</f>
        <v>0</v>
      </c>
      <c r="P17" s="383">
        <f>IF('Tributos-LP'!R39="LP",0,'Tributos-LR'!R30+'Tributos-LR'!R31)</f>
        <v>0</v>
      </c>
      <c r="Q17" s="383">
        <f>IF('Tributos-LP'!S39="LP",0,'Tributos-LR'!S30+'Tributos-LR'!S31)</f>
        <v>0</v>
      </c>
      <c r="R17" s="383">
        <f>IF('Tributos-LP'!T39="LP",0,'Tributos-LR'!T30+'Tributos-LR'!T31)</f>
        <v>0</v>
      </c>
      <c r="S17" s="383">
        <f>IF('Tributos-LP'!U39="LP",0,'Tributos-LR'!U30+'Tributos-LR'!U31)</f>
        <v>0</v>
      </c>
      <c r="T17" s="383">
        <f>IF('Tributos-LP'!V39="LP",0,'Tributos-LR'!V30+'Tributos-LR'!V31)</f>
        <v>0</v>
      </c>
      <c r="U17" s="383">
        <f>IF('Tributos-LP'!W39="LP",0,'Tributos-LR'!W30+'Tributos-LR'!W31)</f>
        <v>0</v>
      </c>
      <c r="V17" s="383">
        <f>IF('Tributos-LP'!X39="LP",0,'Tributos-LR'!X30+'Tributos-LR'!X31)</f>
        <v>0</v>
      </c>
      <c r="W17" s="383">
        <f>IF('Tributos-LP'!Y39="LP",0,'Tributos-LR'!Y30+'Tributos-LR'!Y31)</f>
        <v>0</v>
      </c>
      <c r="X17" s="383">
        <f>IF('Tributos-LP'!Z39="LP",0,'Tributos-LR'!Z30+'Tributos-LR'!Z31)</f>
        <v>0</v>
      </c>
      <c r="Y17" s="383">
        <f>IF('Tributos-LP'!AA39="LP",0,'Tributos-LR'!AA30+'Tributos-LR'!AA31)</f>
        <v>0</v>
      </c>
      <c r="Z17" s="383">
        <f>IF('Tributos-LP'!AB39="LP",0,'Tributos-LR'!AB30+'Tributos-LR'!AB31)</f>
        <v>0</v>
      </c>
      <c r="AA17" s="383">
        <f>IF('Tributos-LP'!AC39="LP",0,'Tributos-LR'!AC30+'Tributos-LR'!AC31)</f>
        <v>0</v>
      </c>
      <c r="AB17" s="383">
        <f>IF('Tributos-LP'!AD39="LP",0,'Tributos-LR'!AD30+'Tributos-LR'!AD31)</f>
        <v>0</v>
      </c>
      <c r="AC17" s="383">
        <f>IF('Tributos-LP'!AE39="LP",0,'Tributos-LR'!AE30+'Tributos-LR'!AE31)</f>
        <v>0</v>
      </c>
      <c r="AD17" s="383">
        <f>IF('Tributos-LP'!AF39="LP",0,'Tributos-LR'!AF30+'Tributos-LR'!AF31)</f>
        <v>461999.24519365904</v>
      </c>
      <c r="AE17" s="383">
        <f>IF('Tributos-LP'!AG39="LP",0,'Tributos-LR'!AG30+'Tributos-LR'!AG31)</f>
        <v>461999.24519365904</v>
      </c>
      <c r="AF17" s="383">
        <f>IF('Tributos-LP'!AH39="LP",0,'Tributos-LR'!AH30+'Tributos-LR'!AH31)</f>
        <v>461999.24519365904</v>
      </c>
      <c r="AG17" s="383">
        <f>IF('Tributos-LP'!AI39="LP",0,'Tributos-LR'!AI30+'Tributos-LR'!AI31)</f>
        <v>0</v>
      </c>
      <c r="AH17" s="383">
        <f>IF('Tributos-LP'!AJ39="LP",0,'Tributos-LR'!AJ30+'Tributos-LR'!AJ31)</f>
        <v>461999.24519365904</v>
      </c>
    </row>
    <row r="18" spans="2:34" ht="6.75" customHeight="1" x14ac:dyDescent="0.35">
      <c r="B18" s="187"/>
      <c r="C18" s="127"/>
      <c r="D18" s="128"/>
      <c r="E18" s="384"/>
      <c r="F18" s="384"/>
      <c r="G18" s="384"/>
      <c r="H18" s="384"/>
      <c r="I18" s="384"/>
      <c r="J18" s="384"/>
      <c r="K18" s="384"/>
      <c r="L18" s="384"/>
      <c r="M18" s="384"/>
      <c r="N18" s="384"/>
      <c r="O18" s="384"/>
      <c r="P18" s="384"/>
      <c r="Q18" s="384"/>
      <c r="R18" s="384"/>
      <c r="S18" s="384"/>
      <c r="T18" s="384"/>
      <c r="U18" s="384"/>
      <c r="V18" s="384"/>
      <c r="W18" s="384"/>
      <c r="X18" s="384"/>
      <c r="Y18" s="384"/>
      <c r="Z18" s="384"/>
      <c r="AA18" s="384"/>
      <c r="AB18" s="384"/>
      <c r="AC18" s="384"/>
      <c r="AD18" s="384"/>
      <c r="AE18" s="384"/>
      <c r="AF18" s="384"/>
      <c r="AG18" s="384"/>
      <c r="AH18" s="384"/>
    </row>
    <row r="19" spans="2:34" ht="4.5" customHeight="1" x14ac:dyDescent="0.35">
      <c r="B19" s="114"/>
      <c r="C19" s="129"/>
      <c r="D19" s="129"/>
      <c r="E19" s="385"/>
      <c r="F19" s="385"/>
      <c r="G19" s="385"/>
      <c r="H19" s="385"/>
      <c r="I19" s="385"/>
      <c r="J19" s="385"/>
      <c r="K19" s="385"/>
      <c r="L19" s="385"/>
      <c r="M19" s="385"/>
      <c r="N19" s="385"/>
      <c r="O19" s="385"/>
      <c r="P19" s="385"/>
      <c r="Q19" s="385"/>
      <c r="R19" s="385"/>
      <c r="S19" s="385"/>
      <c r="T19" s="385"/>
      <c r="U19" s="385"/>
      <c r="V19" s="385"/>
      <c r="W19" s="385"/>
      <c r="X19" s="385"/>
      <c r="Y19" s="385"/>
      <c r="Z19" s="385"/>
      <c r="AA19" s="385"/>
      <c r="AB19" s="385"/>
      <c r="AC19" s="385"/>
      <c r="AD19" s="385"/>
      <c r="AE19" s="385"/>
      <c r="AF19" s="385"/>
      <c r="AG19" s="385"/>
      <c r="AH19" s="385"/>
    </row>
    <row r="20" spans="2:34" s="77" customFormat="1" x14ac:dyDescent="0.35">
      <c r="B20" s="131" t="s">
        <v>411</v>
      </c>
      <c r="C20" s="131"/>
      <c r="D20" s="192"/>
      <c r="E20" s="386">
        <f>E7+E13</f>
        <v>41549254.625413559</v>
      </c>
      <c r="F20" s="386">
        <f t="shared" ref="F20:AH20" si="3">F7+F13</f>
        <v>45099834.124136716</v>
      </c>
      <c r="G20" s="386">
        <f t="shared" si="3"/>
        <v>46253003.502375007</v>
      </c>
      <c r="H20" s="386">
        <f t="shared" si="3"/>
        <v>46954149.605813652</v>
      </c>
      <c r="I20" s="386">
        <f t="shared" si="3"/>
        <v>50035395.319501616</v>
      </c>
      <c r="J20" s="386">
        <f t="shared" si="3"/>
        <v>50475993.176023699</v>
      </c>
      <c r="K20" s="386">
        <f t="shared" si="3"/>
        <v>50824318.254301928</v>
      </c>
      <c r="L20" s="386">
        <f t="shared" si="3"/>
        <v>51034952.603181943</v>
      </c>
      <c r="M20" s="386">
        <f t="shared" si="3"/>
        <v>58593471.016212143</v>
      </c>
      <c r="N20" s="386">
        <f t="shared" si="3"/>
        <v>57756206.369928524</v>
      </c>
      <c r="O20" s="386">
        <f t="shared" si="3"/>
        <v>51666784.890828922</v>
      </c>
      <c r="P20" s="386">
        <f t="shared" si="3"/>
        <v>51793430.530405708</v>
      </c>
      <c r="Q20" s="386">
        <f t="shared" si="3"/>
        <v>51920076.169982478</v>
      </c>
      <c r="R20" s="386">
        <f t="shared" si="3"/>
        <v>52046721.809559241</v>
      </c>
      <c r="S20" s="386">
        <f t="shared" si="3"/>
        <v>52173367.449136004</v>
      </c>
      <c r="T20" s="386">
        <f t="shared" si="3"/>
        <v>52300702.516639397</v>
      </c>
      <c r="U20" s="386">
        <f t="shared" si="3"/>
        <v>59357986.329498865</v>
      </c>
      <c r="V20" s="386">
        <f t="shared" si="3"/>
        <v>52413574.527832478</v>
      </c>
      <c r="W20" s="386">
        <f t="shared" si="3"/>
        <v>52470010.533429019</v>
      </c>
      <c r="X20" s="386">
        <f t="shared" si="3"/>
        <v>53896008.510544367</v>
      </c>
      <c r="Y20" s="386">
        <f t="shared" si="3"/>
        <v>52582736.609625809</v>
      </c>
      <c r="Z20" s="386">
        <f t="shared" si="3"/>
        <v>52639172.615222357</v>
      </c>
      <c r="AA20" s="386">
        <f t="shared" si="3"/>
        <v>52695608.620818906</v>
      </c>
      <c r="AB20" s="386">
        <f t="shared" si="3"/>
        <v>52752044.626415446</v>
      </c>
      <c r="AC20" s="386">
        <f t="shared" si="3"/>
        <v>59809328.439274929</v>
      </c>
      <c r="AD20" s="386">
        <f t="shared" si="3"/>
        <v>50172806.143052936</v>
      </c>
      <c r="AE20" s="386">
        <f t="shared" si="3"/>
        <v>50225928.952900946</v>
      </c>
      <c r="AF20" s="386">
        <f t="shared" si="3"/>
        <v>50279051.762748949</v>
      </c>
      <c r="AG20" s="386">
        <f t="shared" si="3"/>
        <v>53034224.654398166</v>
      </c>
      <c r="AH20" s="386">
        <f t="shared" si="3"/>
        <v>50385297.382444955</v>
      </c>
    </row>
    <row r="21" spans="2:34" ht="5.25" customHeight="1" x14ac:dyDescent="0.35">
      <c r="B21" s="114"/>
      <c r="C21" s="129"/>
      <c r="D21" s="129"/>
      <c r="E21" s="383"/>
      <c r="F21" s="383"/>
      <c r="G21" s="383"/>
      <c r="H21" s="383"/>
      <c r="I21" s="383"/>
      <c r="J21" s="383"/>
      <c r="K21" s="383"/>
      <c r="L21" s="383"/>
      <c r="M21" s="383"/>
      <c r="N21" s="383"/>
      <c r="O21" s="383"/>
      <c r="P21" s="383"/>
      <c r="Q21" s="383"/>
      <c r="R21" s="383"/>
      <c r="S21" s="383"/>
      <c r="T21" s="383"/>
      <c r="U21" s="383"/>
      <c r="V21" s="383"/>
      <c r="W21" s="383"/>
      <c r="X21" s="383"/>
      <c r="Y21" s="383"/>
      <c r="Z21" s="383"/>
      <c r="AA21" s="383"/>
      <c r="AB21" s="383"/>
      <c r="AC21" s="383"/>
      <c r="AD21" s="383"/>
      <c r="AE21" s="383"/>
      <c r="AF21" s="383"/>
      <c r="AG21" s="383"/>
      <c r="AH21" s="383"/>
    </row>
    <row r="22" spans="2:34" x14ac:dyDescent="0.35">
      <c r="B22" s="122" t="s">
        <v>412</v>
      </c>
      <c r="C22" s="123"/>
      <c r="D22" s="124"/>
      <c r="E22" s="381">
        <f>SUM(E23:E23)</f>
        <v>-52367357.719465069</v>
      </c>
      <c r="F22" s="381">
        <f t="shared" ref="F22:AH22" si="4">SUM(F23:F23)</f>
        <v>-44665486.699304253</v>
      </c>
      <c r="G22" s="381">
        <f t="shared" si="4"/>
        <v>-40939721.789811641</v>
      </c>
      <c r="H22" s="381">
        <f t="shared" si="4"/>
        <v>-40918567.17024941</v>
      </c>
      <c r="I22" s="381">
        <f t="shared" si="4"/>
        <v>-29805874.488303609</v>
      </c>
      <c r="J22" s="381">
        <f t="shared" si="4"/>
        <v>-29543409.96420994</v>
      </c>
      <c r="K22" s="381">
        <f t="shared" si="4"/>
        <v>-29551248.484402429</v>
      </c>
      <c r="L22" s="381">
        <f t="shared" si="4"/>
        <v>-32869329.43549275</v>
      </c>
      <c r="M22" s="381">
        <f t="shared" si="4"/>
        <v>-32379767.671068929</v>
      </c>
      <c r="N22" s="381">
        <f t="shared" si="4"/>
        <v>-32494469.184645817</v>
      </c>
      <c r="O22" s="381">
        <f t="shared" si="4"/>
        <v>-34073961.235838518</v>
      </c>
      <c r="P22" s="381">
        <f t="shared" si="4"/>
        <v>-34014613.183910578</v>
      </c>
      <c r="Q22" s="381">
        <f t="shared" si="4"/>
        <v>-34023099.693472944</v>
      </c>
      <c r="R22" s="381">
        <f t="shared" si="4"/>
        <v>-34038041.770653635</v>
      </c>
      <c r="S22" s="381">
        <f t="shared" si="4"/>
        <v>-34196298.173812643</v>
      </c>
      <c r="T22" s="381">
        <f t="shared" si="4"/>
        <v>-34049356.348610476</v>
      </c>
      <c r="U22" s="381">
        <f t="shared" si="4"/>
        <v>-34104796.764545985</v>
      </c>
      <c r="V22" s="381">
        <f t="shared" si="4"/>
        <v>-34059625.536734246</v>
      </c>
      <c r="W22" s="381">
        <f t="shared" si="4"/>
        <v>-34053181.778054267</v>
      </c>
      <c r="X22" s="381">
        <f t="shared" si="4"/>
        <v>-34210015.629112035</v>
      </c>
      <c r="Y22" s="381">
        <f t="shared" si="4"/>
        <v>-34080356.711504951</v>
      </c>
      <c r="Z22" s="381">
        <f t="shared" si="4"/>
        <v>-34057770.281908281</v>
      </c>
      <c r="AA22" s="381">
        <f t="shared" si="4"/>
        <v>-34076527.807672366</v>
      </c>
      <c r="AB22" s="381">
        <f t="shared" si="4"/>
        <v>-34069630.071329206</v>
      </c>
      <c r="AC22" s="381">
        <f t="shared" si="4"/>
        <v>-34256020.917757809</v>
      </c>
      <c r="AD22" s="381">
        <f t="shared" si="4"/>
        <v>-34070241.934339166</v>
      </c>
      <c r="AE22" s="381">
        <f t="shared" si="4"/>
        <v>-34065345.706586286</v>
      </c>
      <c r="AF22" s="381">
        <f t="shared" si="4"/>
        <v>-34066851.446869157</v>
      </c>
      <c r="AG22" s="381">
        <f t="shared" si="4"/>
        <v>-34074253.98226779</v>
      </c>
      <c r="AH22" s="381">
        <f t="shared" si="4"/>
        <v>-34222741.420069173</v>
      </c>
    </row>
    <row r="23" spans="2:34" x14ac:dyDescent="0.35">
      <c r="B23" s="185" t="s">
        <v>408</v>
      </c>
      <c r="C23" s="126" t="s">
        <v>413</v>
      </c>
      <c r="D23" s="126"/>
      <c r="E23" s="382">
        <f>-'CAPEX E OPEX'!F256-'CAPEX E OPEX'!F33</f>
        <v>-52367357.719465069</v>
      </c>
      <c r="F23" s="382">
        <f>-'CAPEX E OPEX'!G256-'CAPEX E OPEX'!G33</f>
        <v>-44665486.699304253</v>
      </c>
      <c r="G23" s="382">
        <f>-'CAPEX E OPEX'!H256-'CAPEX E OPEX'!H33</f>
        <v>-40939721.789811641</v>
      </c>
      <c r="H23" s="382">
        <f>-'CAPEX E OPEX'!I256-'CAPEX E OPEX'!I33</f>
        <v>-40918567.17024941</v>
      </c>
      <c r="I23" s="382">
        <f>-'CAPEX E OPEX'!J256-'CAPEX E OPEX'!J33</f>
        <v>-29805874.488303609</v>
      </c>
      <c r="J23" s="382">
        <f>-'CAPEX E OPEX'!K256-'CAPEX E OPEX'!K33</f>
        <v>-29543409.96420994</v>
      </c>
      <c r="K23" s="382">
        <f>-'CAPEX E OPEX'!L256-'CAPEX E OPEX'!L33</f>
        <v>-29551248.484402429</v>
      </c>
      <c r="L23" s="382">
        <f>-'CAPEX E OPEX'!M256-'CAPEX E OPEX'!M33</f>
        <v>-32869329.43549275</v>
      </c>
      <c r="M23" s="382">
        <f>-'CAPEX E OPEX'!N256-'CAPEX E OPEX'!N33</f>
        <v>-32379767.671068929</v>
      </c>
      <c r="N23" s="382">
        <f>-'CAPEX E OPEX'!O256-'CAPEX E OPEX'!O33</f>
        <v>-32494469.184645817</v>
      </c>
      <c r="O23" s="382">
        <f>-'CAPEX E OPEX'!P256-'CAPEX E OPEX'!P33</f>
        <v>-34073961.235838518</v>
      </c>
      <c r="P23" s="382">
        <f>-'CAPEX E OPEX'!Q256-'CAPEX E OPEX'!Q33</f>
        <v>-34014613.183910578</v>
      </c>
      <c r="Q23" s="382">
        <f>-'CAPEX E OPEX'!R256-'CAPEX E OPEX'!R33</f>
        <v>-34023099.693472944</v>
      </c>
      <c r="R23" s="382">
        <f>-'CAPEX E OPEX'!S256-'CAPEX E OPEX'!S33</f>
        <v>-34038041.770653635</v>
      </c>
      <c r="S23" s="382">
        <f>-'CAPEX E OPEX'!T256-'CAPEX E OPEX'!T33</f>
        <v>-34196298.173812643</v>
      </c>
      <c r="T23" s="382">
        <f>-'CAPEX E OPEX'!U256-'CAPEX E OPEX'!U33</f>
        <v>-34049356.348610476</v>
      </c>
      <c r="U23" s="382">
        <f>-'CAPEX E OPEX'!V256-'CAPEX E OPEX'!V33</f>
        <v>-34104796.764545985</v>
      </c>
      <c r="V23" s="382">
        <f>-'CAPEX E OPEX'!W256-'CAPEX E OPEX'!W33</f>
        <v>-34059625.536734246</v>
      </c>
      <c r="W23" s="382">
        <f>-'CAPEX E OPEX'!X256-'CAPEX E OPEX'!X33</f>
        <v>-34053181.778054267</v>
      </c>
      <c r="X23" s="382">
        <f>-'CAPEX E OPEX'!Y256-'CAPEX E OPEX'!Y33</f>
        <v>-34210015.629112035</v>
      </c>
      <c r="Y23" s="382">
        <f>-'CAPEX E OPEX'!Z256-'CAPEX E OPEX'!Z33</f>
        <v>-34080356.711504951</v>
      </c>
      <c r="Z23" s="382">
        <f>-'CAPEX E OPEX'!AA256-'CAPEX E OPEX'!AA33</f>
        <v>-34057770.281908281</v>
      </c>
      <c r="AA23" s="382">
        <f>-'CAPEX E OPEX'!AB256-'CAPEX E OPEX'!AB33</f>
        <v>-34076527.807672366</v>
      </c>
      <c r="AB23" s="382">
        <f>-'CAPEX E OPEX'!AC256-'CAPEX E OPEX'!AC33</f>
        <v>-34069630.071329206</v>
      </c>
      <c r="AC23" s="382">
        <f>-'CAPEX E OPEX'!AD256-'CAPEX E OPEX'!AD33</f>
        <v>-34256020.917757809</v>
      </c>
      <c r="AD23" s="382">
        <f>-'CAPEX E OPEX'!AE256-'CAPEX E OPEX'!AE33</f>
        <v>-34070241.934339166</v>
      </c>
      <c r="AE23" s="382">
        <f>-'CAPEX E OPEX'!AF256-'CAPEX E OPEX'!AF33</f>
        <v>-34065345.706586286</v>
      </c>
      <c r="AF23" s="382">
        <f>-'CAPEX E OPEX'!AG256-'CAPEX E OPEX'!AG33</f>
        <v>-34066851.446869157</v>
      </c>
      <c r="AG23" s="382">
        <f>-'CAPEX E OPEX'!AH256-'CAPEX E OPEX'!AH33</f>
        <v>-34074253.98226779</v>
      </c>
      <c r="AH23" s="382">
        <f>-'CAPEX E OPEX'!AI256-'CAPEX E OPEX'!AI33</f>
        <v>-34222741.420069173</v>
      </c>
    </row>
    <row r="24" spans="2:34" ht="6" customHeight="1" x14ac:dyDescent="0.35">
      <c r="B24" s="129"/>
      <c r="C24" s="129"/>
      <c r="D24" s="134"/>
      <c r="E24" s="383"/>
      <c r="F24" s="383"/>
      <c r="G24" s="383"/>
      <c r="H24" s="383"/>
      <c r="I24" s="383"/>
      <c r="J24" s="383"/>
      <c r="K24" s="383"/>
      <c r="L24" s="383"/>
      <c r="M24" s="383"/>
      <c r="N24" s="383"/>
      <c r="O24" s="383"/>
      <c r="P24" s="383"/>
      <c r="Q24" s="383"/>
      <c r="R24" s="383"/>
      <c r="S24" s="383"/>
      <c r="T24" s="383"/>
      <c r="U24" s="383"/>
      <c r="V24" s="383"/>
      <c r="W24" s="383"/>
      <c r="X24" s="383"/>
      <c r="Y24" s="383"/>
      <c r="Z24" s="383"/>
      <c r="AA24" s="383"/>
      <c r="AB24" s="383"/>
      <c r="AC24" s="383"/>
      <c r="AD24" s="383"/>
      <c r="AE24" s="383"/>
      <c r="AF24" s="383"/>
      <c r="AG24" s="383"/>
      <c r="AH24" s="383"/>
    </row>
    <row r="25" spans="2:34" x14ac:dyDescent="0.35">
      <c r="B25" s="131" t="s">
        <v>414</v>
      </c>
      <c r="C25" s="132"/>
      <c r="D25" s="133"/>
      <c r="E25" s="386">
        <f>E20+E22</f>
        <v>-10818103.09405151</v>
      </c>
      <c r="F25" s="386">
        <f t="shared" ref="F25:AH25" si="5">F20+F22</f>
        <v>434347.42483246326</v>
      </c>
      <c r="G25" s="386">
        <f t="shared" si="5"/>
        <v>5313281.7125633657</v>
      </c>
      <c r="H25" s="386">
        <f t="shared" si="5"/>
        <v>6035582.4355642423</v>
      </c>
      <c r="I25" s="386">
        <f t="shared" si="5"/>
        <v>20229520.831198007</v>
      </c>
      <c r="J25" s="386">
        <f t="shared" si="5"/>
        <v>20932583.211813759</v>
      </c>
      <c r="K25" s="386">
        <f t="shared" si="5"/>
        <v>21273069.769899499</v>
      </c>
      <c r="L25" s="386">
        <f t="shared" si="5"/>
        <v>18165623.167689193</v>
      </c>
      <c r="M25" s="386">
        <f t="shared" si="5"/>
        <v>26213703.345143214</v>
      </c>
      <c r="N25" s="386">
        <f t="shared" si="5"/>
        <v>25261737.185282707</v>
      </c>
      <c r="O25" s="386">
        <f t="shared" si="5"/>
        <v>17592823.654990405</v>
      </c>
      <c r="P25" s="386">
        <f t="shared" si="5"/>
        <v>17778817.346495129</v>
      </c>
      <c r="Q25" s="386">
        <f t="shared" si="5"/>
        <v>17896976.476509534</v>
      </c>
      <c r="R25" s="386">
        <f t="shared" si="5"/>
        <v>18008680.038905606</v>
      </c>
      <c r="S25" s="386">
        <f t="shared" si="5"/>
        <v>17977069.275323361</v>
      </c>
      <c r="T25" s="386">
        <f t="shared" si="5"/>
        <v>18251346.168028921</v>
      </c>
      <c r="U25" s="386">
        <f t="shared" si="5"/>
        <v>25253189.56495288</v>
      </c>
      <c r="V25" s="386">
        <f t="shared" si="5"/>
        <v>18353948.991098233</v>
      </c>
      <c r="W25" s="386">
        <f t="shared" si="5"/>
        <v>18416828.755374752</v>
      </c>
      <c r="X25" s="386">
        <f t="shared" si="5"/>
        <v>19685992.881432332</v>
      </c>
      <c r="Y25" s="386">
        <f t="shared" si="5"/>
        <v>18502379.898120858</v>
      </c>
      <c r="Z25" s="386">
        <f t="shared" si="5"/>
        <v>18581402.333314076</v>
      </c>
      <c r="AA25" s="386">
        <f t="shared" si="5"/>
        <v>18619080.813146539</v>
      </c>
      <c r="AB25" s="386">
        <f t="shared" si="5"/>
        <v>18682414.55508624</v>
      </c>
      <c r="AC25" s="386">
        <f t="shared" si="5"/>
        <v>25553307.52151712</v>
      </c>
      <c r="AD25" s="386">
        <f t="shared" si="5"/>
        <v>16102564.20871377</v>
      </c>
      <c r="AE25" s="386">
        <f t="shared" si="5"/>
        <v>16160583.24631466</v>
      </c>
      <c r="AF25" s="386">
        <f t="shared" si="5"/>
        <v>16212200.315879792</v>
      </c>
      <c r="AG25" s="386">
        <f t="shared" si="5"/>
        <v>18959970.672130376</v>
      </c>
      <c r="AH25" s="386">
        <f t="shared" si="5"/>
        <v>16162555.962375782</v>
      </c>
    </row>
    <row r="26" spans="2:34" x14ac:dyDescent="0.35">
      <c r="B26" s="185" t="s">
        <v>408</v>
      </c>
      <c r="C26" s="126" t="s">
        <v>415</v>
      </c>
      <c r="D26" s="126"/>
      <c r="E26" s="387">
        <f>IF('Tributos-LP'!G39="LP",'Tributos-LP'!G28,'Tributos-LR'!G50)</f>
        <v>0</v>
      </c>
      <c r="F26" s="387">
        <f>IF('Tributos-LP'!H39="LP",'Tributos-LP'!H28,'Tributos-LR'!H50)</f>
        <v>0</v>
      </c>
      <c r="G26" s="387">
        <f>IF('Tributos-LP'!I39="LP",'Tributos-LP'!I28,'Tributos-LR'!I50)</f>
        <v>-596310.02563960268</v>
      </c>
      <c r="H26" s="387">
        <f>IF('Tributos-LP'!J39="LP",'Tributos-LP'!J28,'Tributos-LR'!J50)</f>
        <v>-718406.12383172614</v>
      </c>
      <c r="I26" s="387">
        <f>IF('Tributos-LP'!K39="LP",'Tributos-LP'!K28,'Tributos-LR'!K50)</f>
        <v>-4243052.4441096913</v>
      </c>
      <c r="J26" s="387">
        <f>IF('Tributos-LP'!L39="LP",'Tributos-LP'!L28,'Tributos-LR'!L50)</f>
        <v>-4280108.7924275482</v>
      </c>
      <c r="K26" s="387">
        <f>IF('Tributos-LP'!M39="LP",'Tributos-LP'!M28,'Tributos-LR'!M50)</f>
        <v>-4309415.9214204103</v>
      </c>
      <c r="L26" s="387">
        <f>IF('Tributos-LP'!N39="LP",'Tributos-LP'!N28,'Tributos-LR'!N50)</f>
        <v>-4327290.5041217776</v>
      </c>
      <c r="M26" s="387">
        <f>IF('Tributos-LP'!O39="LP",'Tributos-LP'!O28,'Tributos-LR'!O50)</f>
        <v>-4955264.4382834593</v>
      </c>
      <c r="N26" s="387">
        <f>IF('Tributos-LP'!P39="LP",'Tributos-LP'!P28,'Tributos-LR'!P50)</f>
        <v>-4886131.3202966154</v>
      </c>
      <c r="O26" s="387">
        <f>IF('Tributos-LP'!Q39="LP",'Tributos-LP'!Q28,'Tributos-LR'!Q50)</f>
        <v>-4380908.2932472154</v>
      </c>
      <c r="P26" s="387">
        <f>IF('Tributos-LP'!R39="LP",'Tributos-LP'!R28,'Tributos-LR'!R50)</f>
        <v>-4391625.3014699183</v>
      </c>
      <c r="Q26" s="387">
        <f>IF('Tributos-LP'!S39="LP",'Tributos-LP'!S28,'Tributos-LR'!S50)</f>
        <v>-4402342.3096926194</v>
      </c>
      <c r="R26" s="387">
        <f>IF('Tributos-LP'!T39="LP",'Tributos-LP'!T28,'Tributos-LR'!T50)</f>
        <v>-4413059.3179153185</v>
      </c>
      <c r="S26" s="387">
        <f>IF('Tributos-LP'!U39="LP",'Tributos-LP'!U28,'Tributos-LR'!U50)</f>
        <v>-4423776.3261380186</v>
      </c>
      <c r="T26" s="387">
        <f>IF('Tributos-LP'!V39="LP",'Tributos-LP'!V28,'Tributos-LR'!V50)</f>
        <v>-4434551.5098055284</v>
      </c>
      <c r="U26" s="387">
        <f>IF('Tributos-LP'!W39="LP",'Tributos-LP'!W28,'Tributos-LR'!W50)</f>
        <v>-5020569.3633312723</v>
      </c>
      <c r="V26" s="387">
        <f>IF('Tributos-LP'!X39="LP",'Tributos-LP'!X28,'Tributos-LR'!X50)</f>
        <v>-4444017.7833727738</v>
      </c>
      <c r="W26" s="387">
        <f>IF('Tributos-LP'!Y39="LP",'Tributos-LP'!Y28,'Tributos-LR'!Y50)</f>
        <v>-4448750.9201563979</v>
      </c>
      <c r="X26" s="387">
        <f>IF('Tributos-LP'!Z39="LP",'Tributos-LP'!Z28,'Tributos-LR'!Z50)</f>
        <v>-4567199.6331948265</v>
      </c>
      <c r="Y26" s="387">
        <f>IF('Tributos-LP'!AA39="LP",'Tributos-LP'!AA28,'Tributos-LR'!AA50)</f>
        <v>-4458205.3728665318</v>
      </c>
      <c r="Z26" s="387">
        <f>IF('Tributos-LP'!AB39="LP",'Tributos-LP'!AB28,'Tributos-LR'!AB50)</f>
        <v>-4462938.509650155</v>
      </c>
      <c r="AA26" s="387">
        <f>IF('Tributos-LP'!AC39="LP",'Tributos-LP'!AC28,'Tributos-LR'!AC50)</f>
        <v>-4467671.646433779</v>
      </c>
      <c r="AB26" s="387">
        <f>IF('Tributos-LP'!AD39="LP",'Tributos-LP'!AD28,'Tributos-LR'!AD50)</f>
        <v>-4472404.7832174031</v>
      </c>
      <c r="AC26" s="387">
        <f>IF('Tributos-LP'!AE39="LP",'Tributos-LP'!AE28,'Tributos-LR'!AE50)</f>
        <v>-5058422.6367431488</v>
      </c>
      <c r="AD26" s="387">
        <f>IF('Tributos-LP'!AF39="LP",'Tributos-LP'!AF28,'Tributos-LR'!AF50)</f>
        <v>-2370619.5702723833</v>
      </c>
      <c r="AE26" s="387">
        <f>IF('Tributos-LP'!AG39="LP",'Tributos-LP'!AG28,'Tributos-LR'!AG50)</f>
        <v>-2440279.6454858524</v>
      </c>
      <c r="AF26" s="387">
        <f>IF('Tributos-LP'!AH39="LP",'Tributos-LP'!AH28,'Tributos-LR'!AH50)</f>
        <v>-2506474.0730831735</v>
      </c>
      <c r="AG26" s="387">
        <f>IF('Tributos-LP'!AI39="LP",'Tributos-LP'!AI28,'Tributos-LR'!AI50)</f>
        <v>-4496070.4671355207</v>
      </c>
      <c r="AH26" s="387">
        <f>IF('Tributos-LP'!AJ39="LP",'Tributos-LP'!AJ28,'Tributos-LR'!AJ50)</f>
        <v>-2008097.4764775035</v>
      </c>
    </row>
    <row r="27" spans="2:34" x14ac:dyDescent="0.35">
      <c r="B27" s="187" t="s">
        <v>408</v>
      </c>
      <c r="C27" s="188" t="s">
        <v>147</v>
      </c>
      <c r="D27" s="128"/>
      <c r="E27" s="388">
        <f>IF('Tributos-LP'!G39="LP",'Tributos-LP'!G31,'Tributos-LR'!G64)</f>
        <v>0</v>
      </c>
      <c r="F27" s="388">
        <f>IF('Tributos-LP'!H39="LP",'Tributos-LP'!H31,'Tributos-LR'!H64)</f>
        <v>0</v>
      </c>
      <c r="G27" s="388">
        <f>IF('Tributos-LP'!I39="LP",'Tributos-LP'!I31,'Tributos-LR'!I64)</f>
        <v>-223311.60923025696</v>
      </c>
      <c r="H27" s="388">
        <f>IF('Tributos-LP'!J39="LP",'Tributos-LP'!J31,'Tributos-LR'!J64)</f>
        <v>-267266.20457942138</v>
      </c>
      <c r="I27" s="388">
        <f>IF('Tributos-LP'!K39="LP",'Tributos-LP'!K31,'Tributos-LR'!K64)</f>
        <v>-1536138.8798794888</v>
      </c>
      <c r="J27" s="388">
        <f>IF('Tributos-LP'!L39="LP",'Tributos-LP'!L31,'Tributos-LR'!L64)</f>
        <v>-1549479.1652739174</v>
      </c>
      <c r="K27" s="388">
        <f>IF('Tributos-LP'!M39="LP",'Tributos-LP'!M31,'Tributos-LR'!M64)</f>
        <v>-1560029.7317113476</v>
      </c>
      <c r="L27" s="388">
        <f>IF('Tributos-LP'!N39="LP",'Tributos-LP'!N31,'Tributos-LR'!N64)</f>
        <v>-1566464.5814838398</v>
      </c>
      <c r="M27" s="388">
        <f>IF('Tributos-LP'!O39="LP",'Tributos-LP'!O31,'Tributos-LR'!O64)</f>
        <v>-1792535.1977820452</v>
      </c>
      <c r="N27" s="388">
        <f>IF('Tributos-LP'!P39="LP",'Tributos-LP'!P31,'Tributos-LR'!P64)</f>
        <v>-1767647.2753067815</v>
      </c>
      <c r="O27" s="388">
        <f>IF('Tributos-LP'!Q39="LP",'Tributos-LP'!Q31,'Tributos-LR'!Q64)</f>
        <v>-1585766.9855689975</v>
      </c>
      <c r="P27" s="388">
        <f>IF('Tributos-LP'!R39="LP",'Tributos-LP'!R31,'Tributos-LR'!R64)</f>
        <v>-1589625.1085291705</v>
      </c>
      <c r="Q27" s="388">
        <f>IF('Tributos-LP'!S39="LP",'Tributos-LP'!S31,'Tributos-LR'!S64)</f>
        <v>-1593483.2314893429</v>
      </c>
      <c r="R27" s="388">
        <f>IF('Tributos-LP'!T39="LP",'Tributos-LP'!T31,'Tributos-LR'!T64)</f>
        <v>-1597341.3544495145</v>
      </c>
      <c r="S27" s="388">
        <f>IF('Tributos-LP'!U39="LP",'Tributos-LP'!U31,'Tributos-LR'!U64)</f>
        <v>-1601199.4774096867</v>
      </c>
      <c r="T27" s="388">
        <f>IF('Tributos-LP'!V39="LP",'Tributos-LP'!V31,'Tributos-LR'!V64)</f>
        <v>-1605078.5435299901</v>
      </c>
      <c r="U27" s="388">
        <f>IF('Tributos-LP'!W39="LP",'Tributos-LP'!W31,'Tributos-LR'!W64)</f>
        <v>-1816044.970799258</v>
      </c>
      <c r="V27" s="388">
        <f>IF('Tributos-LP'!X39="LP",'Tributos-LP'!X31,'Tributos-LR'!X64)</f>
        <v>-1608486.4020141985</v>
      </c>
      <c r="W27" s="388">
        <f>IF('Tributos-LP'!Y39="LP",'Tributos-LP'!Y31,'Tributos-LR'!Y64)</f>
        <v>-1610190.3312563032</v>
      </c>
      <c r="X27" s="388">
        <f>IF('Tributos-LP'!Z39="LP",'Tributos-LP'!Z31,'Tributos-LR'!Z64)</f>
        <v>-1652831.8679501375</v>
      </c>
      <c r="Y27" s="388">
        <f>IF('Tributos-LP'!AA39="LP",'Tributos-LP'!AA31,'Tributos-LR'!AA64)</f>
        <v>-1613593.9342319514</v>
      </c>
      <c r="Z27" s="388">
        <f>IF('Tributos-LP'!AB39="LP",'Tributos-LP'!AB31,'Tributos-LR'!AB64)</f>
        <v>-1615297.8634740557</v>
      </c>
      <c r="AA27" s="388">
        <f>IF('Tributos-LP'!AC39="LP",'Tributos-LP'!AC31,'Tributos-LR'!AC64)</f>
        <v>-1617001.7927161604</v>
      </c>
      <c r="AB27" s="388">
        <f>IF('Tributos-LP'!AD39="LP",'Tributos-LP'!AD31,'Tributos-LR'!AD64)</f>
        <v>-1618705.7219582652</v>
      </c>
      <c r="AC27" s="388">
        <f>IF('Tributos-LP'!AE39="LP",'Tributos-LP'!AE31,'Tributos-LR'!AE64)</f>
        <v>-1829672.1492275335</v>
      </c>
      <c r="AD27" s="388">
        <f>IF('Tributos-LP'!AF39="LP",'Tributos-LP'!AF31,'Tributos-LR'!AF64)</f>
        <v>-862063.04529805796</v>
      </c>
      <c r="AE27" s="388">
        <f>IF('Tributos-LP'!AG39="LP",'Tributos-LP'!AG31,'Tributos-LR'!AG64)</f>
        <v>-887140.67237490683</v>
      </c>
      <c r="AF27" s="388">
        <f>IF('Tributos-LP'!AH39="LP",'Tributos-LP'!AH31,'Tributos-LR'!AH64)</f>
        <v>-910970.66630994237</v>
      </c>
      <c r="AG27" s="388">
        <f>IF('Tributos-LP'!AI39="LP",'Tributos-LP'!AI31,'Tributos-LR'!AI64)</f>
        <v>-1627225.3681687873</v>
      </c>
      <c r="AH27" s="388">
        <f>IF('Tributos-LP'!AJ39="LP",'Tributos-LP'!AJ31,'Tributos-LR'!AJ64)</f>
        <v>-731555.09153190127</v>
      </c>
    </row>
    <row r="28" spans="2:34" ht="8.25" customHeight="1" x14ac:dyDescent="0.35">
      <c r="B28" s="129"/>
      <c r="C28" s="129"/>
      <c r="D28" s="129"/>
      <c r="E28" s="383"/>
      <c r="F28" s="383"/>
      <c r="G28" s="383"/>
      <c r="H28" s="383"/>
      <c r="I28" s="383"/>
      <c r="J28" s="383"/>
      <c r="K28" s="383"/>
      <c r="L28" s="383"/>
      <c r="M28" s="383"/>
      <c r="N28" s="383"/>
      <c r="O28" s="383"/>
      <c r="P28" s="383"/>
      <c r="Q28" s="383"/>
      <c r="R28" s="383"/>
      <c r="S28" s="383"/>
      <c r="T28" s="383"/>
      <c r="U28" s="383"/>
      <c r="V28" s="383"/>
      <c r="W28" s="383"/>
      <c r="X28" s="383"/>
      <c r="Y28" s="383"/>
      <c r="Z28" s="383"/>
      <c r="AA28" s="383"/>
      <c r="AB28" s="383"/>
      <c r="AC28" s="383"/>
      <c r="AD28" s="383"/>
      <c r="AE28" s="383"/>
      <c r="AF28" s="383"/>
      <c r="AG28" s="383"/>
      <c r="AH28" s="383"/>
    </row>
    <row r="29" spans="2:34" x14ac:dyDescent="0.35">
      <c r="B29" s="131" t="s">
        <v>416</v>
      </c>
      <c r="C29" s="132"/>
      <c r="D29" s="133"/>
      <c r="E29" s="389">
        <f>E25+E26+E27</f>
        <v>-10818103.09405151</v>
      </c>
      <c r="F29" s="389">
        <f t="shared" ref="F29:AH29" si="6">F25+F26+F27</f>
        <v>434347.42483246326</v>
      </c>
      <c r="G29" s="389">
        <f t="shared" si="6"/>
        <v>4493660.0776935061</v>
      </c>
      <c r="H29" s="389">
        <f t="shared" si="6"/>
        <v>5049910.1071530944</v>
      </c>
      <c r="I29" s="389">
        <f t="shared" si="6"/>
        <v>14450329.507208826</v>
      </c>
      <c r="J29" s="389">
        <f t="shared" si="6"/>
        <v>15102995.254112294</v>
      </c>
      <c r="K29" s="389">
        <f t="shared" si="6"/>
        <v>15403624.116767742</v>
      </c>
      <c r="L29" s="389">
        <f t="shared" si="6"/>
        <v>12271868.082083577</v>
      </c>
      <c r="M29" s="389">
        <f t="shared" si="6"/>
        <v>19465903.709077708</v>
      </c>
      <c r="N29" s="389">
        <f t="shared" si="6"/>
        <v>18607958.589679312</v>
      </c>
      <c r="O29" s="389">
        <f t="shared" si="6"/>
        <v>11626148.376174193</v>
      </c>
      <c r="P29" s="389">
        <f t="shared" si="6"/>
        <v>11797566.93649604</v>
      </c>
      <c r="Q29" s="389">
        <f t="shared" si="6"/>
        <v>11901150.935327571</v>
      </c>
      <c r="R29" s="389">
        <f t="shared" si="6"/>
        <v>11998279.366540773</v>
      </c>
      <c r="S29" s="389">
        <f t="shared" si="6"/>
        <v>11952093.471775655</v>
      </c>
      <c r="T29" s="389">
        <f t="shared" si="6"/>
        <v>12211716.114693403</v>
      </c>
      <c r="U29" s="389">
        <f t="shared" si="6"/>
        <v>18416575.230822347</v>
      </c>
      <c r="V29" s="389">
        <f t="shared" si="6"/>
        <v>12301444.80571126</v>
      </c>
      <c r="W29" s="389">
        <f t="shared" si="6"/>
        <v>12357887.503962051</v>
      </c>
      <c r="X29" s="389">
        <f t="shared" si="6"/>
        <v>13465961.380287368</v>
      </c>
      <c r="Y29" s="389">
        <f t="shared" si="6"/>
        <v>12430580.591022374</v>
      </c>
      <c r="Z29" s="389">
        <f t="shared" si="6"/>
        <v>12503165.960189864</v>
      </c>
      <c r="AA29" s="389">
        <f t="shared" si="6"/>
        <v>12534407.373996601</v>
      </c>
      <c r="AB29" s="389">
        <f t="shared" si="6"/>
        <v>12591304.049910571</v>
      </c>
      <c r="AC29" s="389">
        <f t="shared" si="6"/>
        <v>18665212.735546436</v>
      </c>
      <c r="AD29" s="389">
        <f t="shared" si="6"/>
        <v>12869881.593143329</v>
      </c>
      <c r="AE29" s="389">
        <f t="shared" si="6"/>
        <v>12833162.928453902</v>
      </c>
      <c r="AF29" s="389">
        <f t="shared" si="6"/>
        <v>12794755.576486677</v>
      </c>
      <c r="AG29" s="389">
        <f t="shared" si="6"/>
        <v>12836674.836826067</v>
      </c>
      <c r="AH29" s="389">
        <f t="shared" si="6"/>
        <v>13422903.394366378</v>
      </c>
    </row>
    <row r="30" spans="2:34" x14ac:dyDescent="0.35">
      <c r="B30" s="136" t="s">
        <v>417</v>
      </c>
      <c r="C30" s="137" t="s">
        <v>148</v>
      </c>
      <c r="D30" s="137"/>
      <c r="E30" s="390">
        <f>-'Capital de Giro'!G16</f>
        <v>-2509042.5639457121</v>
      </c>
      <c r="F30" s="390">
        <f>-'Capital de Giro'!H16</f>
        <v>-503273.36103779916</v>
      </c>
      <c r="G30" s="390">
        <f>-'Capital de Giro'!I16</f>
        <v>-271245.39360325644</v>
      </c>
      <c r="H30" s="390">
        <f>-'Capital de Giro'!J16</f>
        <v>-74956.131039541215</v>
      </c>
      <c r="I30" s="390">
        <f>-'Capital de Giro'!K16</f>
        <v>-455631.6570603149</v>
      </c>
      <c r="J30" s="390">
        <f>-'Capital de Giro'!L16</f>
        <v>-62607.246253728401</v>
      </c>
      <c r="K30" s="390">
        <f>-'Capital de Giro'!M16</f>
        <v>-38149.155170022976</v>
      </c>
      <c r="L30" s="390">
        <f>-'Capital de Giro'!N16</f>
        <v>149667.88921182975</v>
      </c>
      <c r="M30" s="390">
        <f>-'Capital de Giro'!O16</f>
        <v>43008.34508834593</v>
      </c>
      <c r="N30" s="390">
        <f>-'Capital de Giro'!P16</f>
        <v>-29676.216347221751</v>
      </c>
      <c r="O30" s="390">
        <f>-'Capital de Giro'!Q16</f>
        <v>-18701.961977268569</v>
      </c>
      <c r="P30" s="390">
        <f>-'Capital de Giro'!R16</f>
        <v>-16728.020364399068</v>
      </c>
      <c r="Q30" s="390">
        <f>-'Capital de Giro'!S16</f>
        <v>-13205.286240888759</v>
      </c>
      <c r="R30" s="390">
        <f>-'Capital de Giro'!T16</f>
        <v>-12870.040492466185</v>
      </c>
      <c r="S30" s="390">
        <f>-'Capital de Giro'!U16</f>
        <v>-5427.5472350474447</v>
      </c>
      <c r="T30" s="390">
        <f>-'Capital de Giro'!V16</f>
        <v>-21351.837274168152</v>
      </c>
      <c r="U30" s="390">
        <f>-'Capital de Giro'!W16</f>
        <v>83543.153151203413</v>
      </c>
      <c r="V30" s="390">
        <f>-'Capital de Giro'!X16</f>
        <v>-95231.05665908847</v>
      </c>
      <c r="W30" s="390">
        <f>-'Capital de Giro'!Y16</f>
        <v>-6445.2301790071651</v>
      </c>
      <c r="X30" s="390">
        <f>-'Capital de Giro'!Z16</f>
        <v>19009.536208801437</v>
      </c>
      <c r="Y30" s="390">
        <f>-'Capital de Giro'!AA16</f>
        <v>-29801.4349573371</v>
      </c>
      <c r="Z30" s="390">
        <f>-'Capital de Giro'!AB16</f>
        <v>-7283.5393894370645</v>
      </c>
      <c r="AA30" s="390">
        <f>-'Capital de Giro'!AC16</f>
        <v>-5136.4957711054012</v>
      </c>
      <c r="AB30" s="390">
        <f>-'Capital de Giro'!AD16</f>
        <v>-6468.8058102233335</v>
      </c>
      <c r="AC30" s="390">
        <f>-'Capital de Giro'!AE16</f>
        <v>90343.57376057189</v>
      </c>
      <c r="AD30" s="390">
        <f>-'Capital de Giro'!AF16</f>
        <v>-117261.06503251335</v>
      </c>
      <c r="AE30" s="390">
        <f>-'Capital de Giro'!AG16</f>
        <v>1165.0390501250513</v>
      </c>
      <c r="AF30" s="390">
        <f>-'Capital de Giro'!AH16</f>
        <v>1110.1083657797426</v>
      </c>
      <c r="AG30" s="390">
        <f>-'Capital de Giro'!AI16</f>
        <v>-5670.5190494526178</v>
      </c>
      <c r="AH30" s="390">
        <f>-'Capital de Giro'!AJ16</f>
        <v>3918316.9200533424</v>
      </c>
    </row>
    <row r="31" spans="2:34" ht="6" customHeight="1" x14ac:dyDescent="0.35">
      <c r="B31" s="114"/>
      <c r="C31" s="114"/>
      <c r="D31" s="135"/>
      <c r="E31" s="391"/>
      <c r="F31" s="391"/>
      <c r="G31" s="391"/>
      <c r="H31" s="391"/>
      <c r="I31" s="391"/>
      <c r="J31" s="391"/>
      <c r="K31" s="391"/>
      <c r="L31" s="391"/>
      <c r="M31" s="391"/>
      <c r="N31" s="391"/>
      <c r="O31" s="391"/>
      <c r="P31" s="391"/>
      <c r="Q31" s="391"/>
      <c r="R31" s="391"/>
      <c r="S31" s="391"/>
      <c r="T31" s="391"/>
      <c r="U31" s="391"/>
      <c r="V31" s="391"/>
      <c r="W31" s="391"/>
      <c r="X31" s="391"/>
      <c r="Y31" s="391"/>
      <c r="Z31" s="391"/>
      <c r="AA31" s="391"/>
      <c r="AB31" s="391"/>
      <c r="AC31" s="391"/>
      <c r="AD31" s="391"/>
      <c r="AE31" s="391"/>
      <c r="AF31" s="391"/>
      <c r="AG31" s="391"/>
      <c r="AH31" s="391"/>
    </row>
    <row r="32" spans="2:34" x14ac:dyDescent="0.35">
      <c r="B32" s="131" t="s">
        <v>418</v>
      </c>
      <c r="C32" s="133"/>
      <c r="D32" s="138"/>
      <c r="E32" s="386">
        <f>E29+E30</f>
        <v>-13327145.657997223</v>
      </c>
      <c r="F32" s="386">
        <f t="shared" ref="F32:AG32" si="7">F29+F30</f>
        <v>-68925.936205335893</v>
      </c>
      <c r="G32" s="386">
        <f t="shared" si="7"/>
        <v>4222414.6840902492</v>
      </c>
      <c r="H32" s="386">
        <f t="shared" si="7"/>
        <v>4974953.9761135532</v>
      </c>
      <c r="I32" s="386">
        <f t="shared" si="7"/>
        <v>13994697.85014851</v>
      </c>
      <c r="J32" s="386">
        <f t="shared" si="7"/>
        <v>15040388.007858565</v>
      </c>
      <c r="K32" s="386">
        <f t="shared" si="7"/>
        <v>15365474.961597718</v>
      </c>
      <c r="L32" s="386">
        <f t="shared" si="7"/>
        <v>12421535.971295407</v>
      </c>
      <c r="M32" s="386">
        <f t="shared" si="7"/>
        <v>19508912.054166056</v>
      </c>
      <c r="N32" s="386">
        <f t="shared" si="7"/>
        <v>18578282.373332091</v>
      </c>
      <c r="O32" s="386">
        <f t="shared" si="7"/>
        <v>11607446.414196923</v>
      </c>
      <c r="P32" s="386">
        <f t="shared" si="7"/>
        <v>11780838.916131642</v>
      </c>
      <c r="Q32" s="386">
        <f t="shared" si="7"/>
        <v>11887945.649086682</v>
      </c>
      <c r="R32" s="386">
        <f t="shared" si="7"/>
        <v>11985409.326048307</v>
      </c>
      <c r="S32" s="386">
        <f t="shared" si="7"/>
        <v>11946665.924540607</v>
      </c>
      <c r="T32" s="386">
        <f t="shared" si="7"/>
        <v>12190364.277419236</v>
      </c>
      <c r="U32" s="386">
        <f t="shared" si="7"/>
        <v>18500118.38397355</v>
      </c>
      <c r="V32" s="386">
        <f t="shared" si="7"/>
        <v>12206213.749052171</v>
      </c>
      <c r="W32" s="386">
        <f t="shared" si="7"/>
        <v>12351442.273783043</v>
      </c>
      <c r="X32" s="386">
        <f t="shared" si="7"/>
        <v>13484970.916496169</v>
      </c>
      <c r="Y32" s="386">
        <f t="shared" si="7"/>
        <v>12400779.156065037</v>
      </c>
      <c r="Z32" s="386">
        <f t="shared" si="7"/>
        <v>12495882.420800427</v>
      </c>
      <c r="AA32" s="386">
        <f t="shared" si="7"/>
        <v>12529270.878225494</v>
      </c>
      <c r="AB32" s="386">
        <f t="shared" si="7"/>
        <v>12584835.244100347</v>
      </c>
      <c r="AC32" s="386">
        <f t="shared" si="7"/>
        <v>18755556.309307009</v>
      </c>
      <c r="AD32" s="386">
        <f t="shared" si="7"/>
        <v>12752620.528110815</v>
      </c>
      <c r="AE32" s="386">
        <f t="shared" si="7"/>
        <v>12834327.967504026</v>
      </c>
      <c r="AF32" s="386">
        <f t="shared" si="7"/>
        <v>12795865.684852457</v>
      </c>
      <c r="AG32" s="386">
        <f t="shared" si="7"/>
        <v>12831004.317776615</v>
      </c>
      <c r="AH32" s="386">
        <f>AH29+AH30</f>
        <v>17341220.31441972</v>
      </c>
    </row>
    <row r="33" spans="2:34" x14ac:dyDescent="0.35">
      <c r="B33" s="189" t="s">
        <v>408</v>
      </c>
      <c r="C33" s="137" t="s">
        <v>419</v>
      </c>
      <c r="D33" s="137"/>
      <c r="E33" s="390">
        <f>-'CAPEX E OPEX'!F88</f>
        <v>-44794164.494999997</v>
      </c>
      <c r="F33" s="390">
        <f>-'CAPEX E OPEX'!G88</f>
        <v>-6904933.4850000003</v>
      </c>
      <c r="G33" s="390">
        <f>-'CAPEX E OPEX'!H88</f>
        <v>-4052790.21</v>
      </c>
      <c r="H33" s="390">
        <f>-'CAPEX E OPEX'!I88</f>
        <v>-2279292.8819999998</v>
      </c>
      <c r="I33" s="390">
        <f>-'CAPEX E OPEX'!J88</f>
        <v>-69509.200000000012</v>
      </c>
      <c r="J33" s="390">
        <f>-'CAPEX E OPEX'!K88</f>
        <v>-144335.12</v>
      </c>
      <c r="K33" s="390">
        <f>-'CAPEX E OPEX'!L88</f>
        <v>-3238943.16</v>
      </c>
      <c r="L33" s="390">
        <f>-'CAPEX E OPEX'!M88</f>
        <v>-80011.86</v>
      </c>
      <c r="M33" s="390">
        <f>-'CAPEX E OPEX'!N88</f>
        <v>-13938778.340000002</v>
      </c>
      <c r="N33" s="390">
        <f>-'CAPEX E OPEX'!O88</f>
        <v>-1353217.01</v>
      </c>
      <c r="O33" s="390">
        <f>-'CAPEX E OPEX'!P88</f>
        <v>-17697629.191999998</v>
      </c>
      <c r="P33" s="390">
        <f>-'CAPEX E OPEX'!Q88</f>
        <v>0</v>
      </c>
      <c r="Q33" s="390">
        <f>-'CAPEX E OPEX'!R88</f>
        <v>0</v>
      </c>
      <c r="R33" s="390">
        <f>-'CAPEX E OPEX'!S88</f>
        <v>-160773.79999999996</v>
      </c>
      <c r="S33" s="390">
        <f>-'CAPEX E OPEX'!T88</f>
        <v>-3308452.3600000003</v>
      </c>
      <c r="T33" s="390">
        <f>-'CAPEX E OPEX'!U88</f>
        <v>-224346.97999999998</v>
      </c>
      <c r="U33" s="390">
        <f>-'CAPEX E OPEX'!V88</f>
        <v>-13938778.340000002</v>
      </c>
      <c r="V33" s="390">
        <f>-'CAPEX E OPEX'!W88</f>
        <v>-2279292.8819999998</v>
      </c>
      <c r="W33" s="390">
        <f>-'CAPEX E OPEX'!X88</f>
        <v>0</v>
      </c>
      <c r="X33" s="390">
        <f>-'CAPEX E OPEX'!Y88</f>
        <v>-1353217.01</v>
      </c>
      <c r="Y33" s="390">
        <f>-'CAPEX E OPEX'!Z88</f>
        <v>-6888816.9100000001</v>
      </c>
      <c r="Z33" s="390">
        <f>-'CAPEX E OPEX'!AA88</f>
        <v>0</v>
      </c>
      <c r="AA33" s="390">
        <f>-'CAPEX E OPEX'!AB88</f>
        <v>-3238943.16</v>
      </c>
      <c r="AB33" s="390">
        <f>-'CAPEX E OPEX'!AC88</f>
        <v>-2520078.5419999999</v>
      </c>
      <c r="AC33" s="390">
        <f>-'CAPEX E OPEX'!AD88</f>
        <v>-14008287.540000001</v>
      </c>
      <c r="AD33" s="390">
        <f>-'CAPEX E OPEX'!AE88</f>
        <v>-144335.12</v>
      </c>
      <c r="AE33" s="390">
        <f>-'CAPEX E OPEX'!AF88</f>
        <v>0</v>
      </c>
      <c r="AF33" s="390">
        <f>-'CAPEX E OPEX'!AG88</f>
        <v>0</v>
      </c>
      <c r="AG33" s="390">
        <f>-'CAPEX E OPEX'!AH88</f>
        <v>0</v>
      </c>
      <c r="AH33" s="390">
        <f>-'CAPEX E OPEX'!AI88</f>
        <v>-2348802.0819999999</v>
      </c>
    </row>
    <row r="34" spans="2:34" ht="4.5" customHeight="1" x14ac:dyDescent="0.35">
      <c r="B34" s="129"/>
      <c r="C34" s="129"/>
      <c r="D34" s="135"/>
      <c r="E34" s="150"/>
      <c r="F34" s="150"/>
      <c r="G34" s="150"/>
      <c r="H34" s="150"/>
      <c r="I34" s="150"/>
      <c r="J34" s="150"/>
      <c r="K34" s="150"/>
      <c r="L34" s="150"/>
      <c r="M34" s="150"/>
      <c r="N34" s="150"/>
      <c r="O34" s="150"/>
      <c r="P34" s="150"/>
      <c r="Q34" s="150"/>
      <c r="R34" s="150"/>
      <c r="S34" s="150"/>
      <c r="T34" s="150"/>
      <c r="U34" s="150"/>
      <c r="V34" s="150"/>
      <c r="W34" s="150"/>
      <c r="X34" s="150"/>
      <c r="Y34" s="150"/>
      <c r="Z34" s="150"/>
      <c r="AA34" s="150"/>
      <c r="AB34" s="150"/>
      <c r="AC34" s="150"/>
      <c r="AD34" s="150"/>
      <c r="AE34" s="150"/>
      <c r="AF34" s="150"/>
      <c r="AG34" s="150"/>
      <c r="AH34" s="150"/>
    </row>
    <row r="35" spans="2:34" x14ac:dyDescent="0.35">
      <c r="B35" s="630" t="s">
        <v>420</v>
      </c>
      <c r="C35" s="631"/>
      <c r="D35" s="1122"/>
      <c r="E35" s="1123">
        <f>E32+E33</f>
        <v>-58121310.152997218</v>
      </c>
      <c r="F35" s="1123">
        <f t="shared" ref="F35:AH35" si="8">F32+F33</f>
        <v>-6973859.4212053362</v>
      </c>
      <c r="G35" s="1123">
        <f t="shared" si="8"/>
        <v>169624.47409024928</v>
      </c>
      <c r="H35" s="1123">
        <f t="shared" si="8"/>
        <v>2695661.0941135534</v>
      </c>
      <c r="I35" s="1123">
        <f t="shared" si="8"/>
        <v>13925188.650148511</v>
      </c>
      <c r="J35" s="1123">
        <f t="shared" si="8"/>
        <v>14896052.887858566</v>
      </c>
      <c r="K35" s="1123">
        <f t="shared" si="8"/>
        <v>12126531.801597718</v>
      </c>
      <c r="L35" s="1123">
        <f t="shared" si="8"/>
        <v>12341524.111295408</v>
      </c>
      <c r="M35" s="1123">
        <f t="shared" si="8"/>
        <v>5570133.7141660545</v>
      </c>
      <c r="N35" s="1123">
        <f t="shared" si="8"/>
        <v>17225065.363332089</v>
      </c>
      <c r="O35" s="1123">
        <f t="shared" si="8"/>
        <v>-6090182.7778030746</v>
      </c>
      <c r="P35" s="1123">
        <f t="shared" si="8"/>
        <v>11780838.916131642</v>
      </c>
      <c r="Q35" s="1123">
        <f t="shared" si="8"/>
        <v>11887945.649086682</v>
      </c>
      <c r="R35" s="1123">
        <f t="shared" si="8"/>
        <v>11824635.526048306</v>
      </c>
      <c r="S35" s="1123">
        <f t="shared" si="8"/>
        <v>8638213.564540606</v>
      </c>
      <c r="T35" s="1123">
        <f t="shared" si="8"/>
        <v>11966017.297419235</v>
      </c>
      <c r="U35" s="1123">
        <f t="shared" si="8"/>
        <v>4561340.0439735483</v>
      </c>
      <c r="V35" s="1123">
        <f t="shared" si="8"/>
        <v>9926920.8670521714</v>
      </c>
      <c r="W35" s="1123">
        <f t="shared" si="8"/>
        <v>12351442.273783043</v>
      </c>
      <c r="X35" s="1123">
        <f t="shared" si="8"/>
        <v>12131753.906496169</v>
      </c>
      <c r="Y35" s="1123">
        <f t="shared" si="8"/>
        <v>5511962.2460650373</v>
      </c>
      <c r="Z35" s="1123">
        <f t="shared" si="8"/>
        <v>12495882.420800427</v>
      </c>
      <c r="AA35" s="1123">
        <f t="shared" si="8"/>
        <v>9290327.718225494</v>
      </c>
      <c r="AB35" s="1123">
        <f t="shared" si="8"/>
        <v>10064756.702100348</v>
      </c>
      <c r="AC35" s="1123">
        <f t="shared" si="8"/>
        <v>4747268.769307008</v>
      </c>
      <c r="AD35" s="1123">
        <f t="shared" si="8"/>
        <v>12608285.408110816</v>
      </c>
      <c r="AE35" s="1123">
        <f t="shared" si="8"/>
        <v>12834327.967504026</v>
      </c>
      <c r="AF35" s="1123">
        <f t="shared" si="8"/>
        <v>12795865.684852457</v>
      </c>
      <c r="AG35" s="1123">
        <f t="shared" si="8"/>
        <v>12831004.317776615</v>
      </c>
      <c r="AH35" s="1124">
        <f t="shared" si="8"/>
        <v>14992418.23241972</v>
      </c>
    </row>
    <row r="36" spans="2:34" hidden="1" x14ac:dyDescent="0.35">
      <c r="B36" s="131" t="s">
        <v>421</v>
      </c>
      <c r="C36" s="132"/>
      <c r="D36" s="133"/>
      <c r="E36" s="392">
        <f>E35</f>
        <v>-58121310.152997218</v>
      </c>
      <c r="F36" s="392">
        <f>IF(F5&gt;'Premissas Gerais'!$E$7,0,F35+E36)</f>
        <v>-65095169.574202552</v>
      </c>
      <c r="G36" s="392">
        <f>IF(G5&gt;'Premissas Gerais'!$E$7,0,G35+F36)</f>
        <v>-64925545.100112304</v>
      </c>
      <c r="H36" s="392">
        <f>IF(H5&gt;'Premissas Gerais'!$E$7,0,H35+G36)</f>
        <v>-62229884.005998753</v>
      </c>
      <c r="I36" s="392">
        <f>IF(I5&gt;'Premissas Gerais'!$E$7,0,I35+H36)</f>
        <v>-48304695.355850242</v>
      </c>
      <c r="J36" s="392">
        <f>IF(J5&gt;'Premissas Gerais'!$E$7,0,J35+I36)</f>
        <v>-33408642.467991676</v>
      </c>
      <c r="K36" s="392">
        <f>IF(K5&gt;'Premissas Gerais'!$E$7,0,K35+J36)</f>
        <v>-21282110.666393958</v>
      </c>
      <c r="L36" s="392">
        <f>IF(L5&gt;'Premissas Gerais'!$E$7,0,L35+K36)</f>
        <v>-8940586.5550985504</v>
      </c>
      <c r="M36" s="392">
        <f>IF(M5&gt;'Premissas Gerais'!$E$7,0,M35+L36)</f>
        <v>-3370452.8409324959</v>
      </c>
      <c r="N36" s="392">
        <f>IF(N5&gt;'Premissas Gerais'!$E$7,0,N35+M36)</f>
        <v>13854612.522399593</v>
      </c>
      <c r="O36" s="392">
        <f>IF(O5&gt;'Premissas Gerais'!$E$7,0,O35+N36)</f>
        <v>7764429.7445965186</v>
      </c>
      <c r="P36" s="392">
        <f>IF(P5&gt;'Premissas Gerais'!$E$7,0,P35+O36)</f>
        <v>19545268.66072816</v>
      </c>
      <c r="Q36" s="392">
        <f>IF(Q5&gt;'Premissas Gerais'!$E$7,0,Q35+P36)</f>
        <v>31433214.309814841</v>
      </c>
      <c r="R36" s="392">
        <f>IF(R5&gt;'Premissas Gerais'!$E$7,0,R35+Q36)</f>
        <v>43257849.835863143</v>
      </c>
      <c r="S36" s="392">
        <f>IF(S5&gt;'Premissas Gerais'!$E$7,0,S35+R36)</f>
        <v>51896063.400403753</v>
      </c>
      <c r="T36" s="392">
        <f>IF(T5&gt;'Premissas Gerais'!$E$7,0,T35+S36)</f>
        <v>63862080.697822988</v>
      </c>
      <c r="U36" s="392">
        <f>IF(U5&gt;'Premissas Gerais'!$E$7,0,U35+T36)</f>
        <v>68423420.741796538</v>
      </c>
      <c r="V36" s="392">
        <f>IF(V5&gt;'Premissas Gerais'!$E$7,0,V35+U36)</f>
        <v>78350341.608848706</v>
      </c>
      <c r="W36" s="392">
        <f>IF(W5&gt;'Premissas Gerais'!$E$7,0,W35+V36)</f>
        <v>90701783.882631749</v>
      </c>
      <c r="X36" s="392">
        <f>IF(X5&gt;'Premissas Gerais'!$E$7,0,X35+W36)</f>
        <v>102833537.78912792</v>
      </c>
      <c r="Y36" s="392">
        <f>IF(Y5&gt;'Premissas Gerais'!$E$7,0,Y35+X36)</f>
        <v>108345500.03519295</v>
      </c>
      <c r="Z36" s="392">
        <f>IF(Z5&gt;'Premissas Gerais'!$E$7,0,Z35+Y36)</f>
        <v>120841382.45599338</v>
      </c>
      <c r="AA36" s="392">
        <f>IF(AA5&gt;'Premissas Gerais'!$E$7,0,AA35+Z36)</f>
        <v>130131710.17421888</v>
      </c>
      <c r="AB36" s="392">
        <f>IF(AB5&gt;'Premissas Gerais'!$E$7,0,AB35+AA36)</f>
        <v>140196466.87631923</v>
      </c>
      <c r="AC36" s="392">
        <f>IF(AC5&gt;'Premissas Gerais'!$E$7,0,AC35+AB36)</f>
        <v>144943735.64562625</v>
      </c>
      <c r="AD36" s="392">
        <f>IF(AD5&gt;'Premissas Gerais'!$E$7,0,AD35+AC36)</f>
        <v>157552021.05373707</v>
      </c>
      <c r="AE36" s="392">
        <f>IF(AE5&gt;'Premissas Gerais'!$E$7,0,AE35+AD36)</f>
        <v>170386349.0212411</v>
      </c>
      <c r="AF36" s="392">
        <f>IF(AF5&gt;'Premissas Gerais'!$E$7,0,AF35+AE36)</f>
        <v>183182214.70609355</v>
      </c>
      <c r="AG36" s="392">
        <f>IF(AG5&gt;'Premissas Gerais'!$E$7,0,AG35+AF36)</f>
        <v>196013219.02387017</v>
      </c>
      <c r="AH36" s="389">
        <f>IF(AH5&gt;'Premissas Gerais'!$E$7,0,AH35+AG36)</f>
        <v>211005637.2562899</v>
      </c>
    </row>
    <row r="37" spans="2:34" ht="3.75" customHeight="1" x14ac:dyDescent="0.35">
      <c r="B37" s="125"/>
      <c r="C37" s="125"/>
      <c r="D37" s="125"/>
      <c r="E37" s="1119"/>
      <c r="F37" s="1119"/>
      <c r="G37" s="1119"/>
      <c r="H37" s="1119"/>
      <c r="I37" s="1119"/>
      <c r="J37" s="1119"/>
      <c r="K37" s="1119"/>
      <c r="L37" s="1119"/>
      <c r="M37" s="1119"/>
      <c r="N37" s="1119"/>
      <c r="O37" s="1119"/>
      <c r="P37" s="1119"/>
      <c r="Q37" s="1119"/>
      <c r="R37" s="1119"/>
      <c r="S37" s="1119"/>
      <c r="T37" s="1119"/>
      <c r="U37" s="1119"/>
      <c r="V37" s="1119"/>
      <c r="W37" s="1119"/>
      <c r="X37" s="1119"/>
      <c r="Y37" s="1119"/>
      <c r="Z37" s="1119"/>
      <c r="AA37" s="1119"/>
      <c r="AB37" s="1119"/>
      <c r="AC37" s="1119"/>
      <c r="AD37" s="1119"/>
      <c r="AE37" s="1119"/>
      <c r="AF37" s="1119"/>
      <c r="AG37" s="1119"/>
      <c r="AH37" s="1119"/>
    </row>
    <row r="38" spans="2:34" hidden="1" x14ac:dyDescent="0.35">
      <c r="B38" s="127"/>
      <c r="C38" s="127"/>
      <c r="D38" s="127"/>
      <c r="E38" s="1120"/>
      <c r="F38" s="1121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</row>
    <row r="39" spans="2:34" hidden="1" x14ac:dyDescent="0.35">
      <c r="B39" s="214"/>
      <c r="C39" s="214" t="s">
        <v>422</v>
      </c>
      <c r="D39" s="214"/>
      <c r="E39" s="214"/>
      <c r="F39" s="214" t="str">
        <f>IF(AND(F36&gt;0,E36&lt;0),1,"")</f>
        <v/>
      </c>
      <c r="G39" s="214" t="str">
        <f t="shared" ref="G39:AH39" si="9">IF(AND(G36&gt;0,F36&lt;0),1,"")</f>
        <v/>
      </c>
      <c r="H39" s="214" t="str">
        <f t="shared" si="9"/>
        <v/>
      </c>
      <c r="I39" s="214" t="str">
        <f t="shared" si="9"/>
        <v/>
      </c>
      <c r="J39" s="214" t="str">
        <f t="shared" si="9"/>
        <v/>
      </c>
      <c r="K39" s="214" t="str">
        <f t="shared" si="9"/>
        <v/>
      </c>
      <c r="L39" s="214" t="str">
        <f t="shared" si="9"/>
        <v/>
      </c>
      <c r="M39" s="214" t="str">
        <f t="shared" si="9"/>
        <v/>
      </c>
      <c r="N39" s="214">
        <f t="shared" si="9"/>
        <v>1</v>
      </c>
      <c r="O39" s="214" t="str">
        <f t="shared" si="9"/>
        <v/>
      </c>
      <c r="P39" s="214" t="str">
        <f t="shared" si="9"/>
        <v/>
      </c>
      <c r="Q39" s="214" t="str">
        <f t="shared" si="9"/>
        <v/>
      </c>
      <c r="R39" s="214" t="str">
        <f t="shared" si="9"/>
        <v/>
      </c>
      <c r="S39" s="214" t="str">
        <f t="shared" si="9"/>
        <v/>
      </c>
      <c r="T39" s="214" t="str">
        <f t="shared" si="9"/>
        <v/>
      </c>
      <c r="U39" s="214" t="str">
        <f t="shared" si="9"/>
        <v/>
      </c>
      <c r="V39" s="214" t="str">
        <f t="shared" si="9"/>
        <v/>
      </c>
      <c r="W39" s="214" t="str">
        <f t="shared" si="9"/>
        <v/>
      </c>
      <c r="X39" s="214" t="str">
        <f t="shared" si="9"/>
        <v/>
      </c>
      <c r="Y39" s="214" t="str">
        <f t="shared" si="9"/>
        <v/>
      </c>
      <c r="Z39" s="214" t="str">
        <f t="shared" si="9"/>
        <v/>
      </c>
      <c r="AA39" s="214" t="str">
        <f t="shared" si="9"/>
        <v/>
      </c>
      <c r="AB39" s="214" t="str">
        <f t="shared" si="9"/>
        <v/>
      </c>
      <c r="AC39" s="214" t="str">
        <f t="shared" si="9"/>
        <v/>
      </c>
      <c r="AD39" s="214" t="str">
        <f t="shared" si="9"/>
        <v/>
      </c>
      <c r="AE39" s="214" t="str">
        <f t="shared" si="9"/>
        <v/>
      </c>
      <c r="AF39" s="214" t="str">
        <f t="shared" si="9"/>
        <v/>
      </c>
      <c r="AG39" s="214" t="str">
        <f t="shared" si="9"/>
        <v/>
      </c>
      <c r="AH39" s="214" t="str">
        <f t="shared" si="9"/>
        <v/>
      </c>
    </row>
    <row r="40" spans="2:34" hidden="1" x14ac:dyDescent="0.35">
      <c r="B40" s="215"/>
      <c r="C40" s="215" t="s">
        <v>423</v>
      </c>
      <c r="D40" s="215"/>
      <c r="E40" s="216">
        <f>E5</f>
        <v>1</v>
      </c>
      <c r="F40" s="216">
        <f t="shared" ref="F40:AH40" si="10">F5</f>
        <v>2</v>
      </c>
      <c r="G40" s="216">
        <f t="shared" si="10"/>
        <v>3</v>
      </c>
      <c r="H40" s="216">
        <f t="shared" si="10"/>
        <v>4</v>
      </c>
      <c r="I40" s="216">
        <f t="shared" si="10"/>
        <v>5</v>
      </c>
      <c r="J40" s="216">
        <f t="shared" si="10"/>
        <v>6</v>
      </c>
      <c r="K40" s="216">
        <f t="shared" si="10"/>
        <v>7</v>
      </c>
      <c r="L40" s="216">
        <f t="shared" si="10"/>
        <v>8</v>
      </c>
      <c r="M40" s="216">
        <f t="shared" si="10"/>
        <v>9</v>
      </c>
      <c r="N40" s="216">
        <f t="shared" si="10"/>
        <v>10</v>
      </c>
      <c r="O40" s="216">
        <f t="shared" si="10"/>
        <v>11</v>
      </c>
      <c r="P40" s="216">
        <f t="shared" si="10"/>
        <v>12</v>
      </c>
      <c r="Q40" s="216">
        <f t="shared" si="10"/>
        <v>13</v>
      </c>
      <c r="R40" s="216">
        <f t="shared" si="10"/>
        <v>14</v>
      </c>
      <c r="S40" s="216">
        <f t="shared" si="10"/>
        <v>15</v>
      </c>
      <c r="T40" s="216">
        <f t="shared" si="10"/>
        <v>16</v>
      </c>
      <c r="U40" s="216">
        <f t="shared" si="10"/>
        <v>17</v>
      </c>
      <c r="V40" s="216">
        <f t="shared" si="10"/>
        <v>18</v>
      </c>
      <c r="W40" s="216">
        <f t="shared" si="10"/>
        <v>19</v>
      </c>
      <c r="X40" s="216">
        <f t="shared" si="10"/>
        <v>20</v>
      </c>
      <c r="Y40" s="216">
        <f t="shared" si="10"/>
        <v>21</v>
      </c>
      <c r="Z40" s="216">
        <f t="shared" si="10"/>
        <v>22</v>
      </c>
      <c r="AA40" s="216">
        <f t="shared" si="10"/>
        <v>23</v>
      </c>
      <c r="AB40" s="216">
        <f t="shared" si="10"/>
        <v>24</v>
      </c>
      <c r="AC40" s="216">
        <f t="shared" si="10"/>
        <v>25</v>
      </c>
      <c r="AD40" s="216">
        <f t="shared" si="10"/>
        <v>26</v>
      </c>
      <c r="AE40" s="216">
        <f t="shared" si="10"/>
        <v>27</v>
      </c>
      <c r="AF40" s="216">
        <f t="shared" si="10"/>
        <v>28</v>
      </c>
      <c r="AG40" s="216">
        <f t="shared" si="10"/>
        <v>29</v>
      </c>
      <c r="AH40" s="216">
        <f t="shared" si="10"/>
        <v>30</v>
      </c>
    </row>
    <row r="41" spans="2:34" hidden="1" x14ac:dyDescent="0.35">
      <c r="B41" s="334"/>
      <c r="C41" s="334"/>
      <c r="D41" s="334"/>
      <c r="E41" s="219"/>
      <c r="F41" s="219"/>
      <c r="G41" s="219"/>
      <c r="H41" s="219"/>
      <c r="I41" s="219"/>
      <c r="J41" s="219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/>
      <c r="X41" s="219"/>
      <c r="Y41" s="219"/>
      <c r="Z41" s="219"/>
      <c r="AA41" s="219"/>
      <c r="AB41" s="219"/>
      <c r="AC41" s="219"/>
      <c r="AD41" s="219"/>
      <c r="AE41" s="219"/>
      <c r="AF41" s="219"/>
      <c r="AG41" s="219"/>
      <c r="AH41" s="219"/>
    </row>
    <row r="42" spans="2:34" x14ac:dyDescent="0.35">
      <c r="B42" s="1133" t="s">
        <v>403</v>
      </c>
      <c r="C42" s="287" t="s">
        <v>424</v>
      </c>
      <c r="D42" s="1125"/>
      <c r="E42" s="1142">
        <f>'Instrumentos Financeiros'!G20</f>
        <v>22397082.247499999</v>
      </c>
      <c r="F42" s="1142">
        <f>'Instrumentos Financeiros'!H20</f>
        <v>9497383.094243519</v>
      </c>
      <c r="G42" s="1142">
        <f>'Instrumentos Financeiros'!I20</f>
        <v>7781110.9140391182</v>
      </c>
      <c r="H42" s="1142">
        <f>'Instrumentos Financeiros'!J20</f>
        <v>23380755.498117354</v>
      </c>
      <c r="I42" s="1142">
        <f>'Instrumentos Financeiros'!K20</f>
        <v>112268.26800000001</v>
      </c>
      <c r="J42" s="1142">
        <f>'Instrumentos Financeiros'!L20</f>
        <v>0</v>
      </c>
      <c r="K42" s="1142">
        <f>'Instrumentos Financeiros'!M20</f>
        <v>0</v>
      </c>
      <c r="L42" s="1142">
        <f>'Instrumentos Financeiros'!N20</f>
        <v>0</v>
      </c>
      <c r="M42" s="1142">
        <f>'Instrumentos Financeiros'!O20</f>
        <v>0</v>
      </c>
      <c r="N42" s="1142">
        <f>'Instrumentos Financeiros'!P20</f>
        <v>3097085.1085999995</v>
      </c>
      <c r="O42" s="1142">
        <f>'Instrumentos Financeiros'!Q20</f>
        <v>9291255.3257999979</v>
      </c>
      <c r="P42" s="1142">
        <f>'Instrumentos Financeiros'!R20</f>
        <v>0</v>
      </c>
      <c r="Q42" s="1142">
        <f>'Instrumentos Financeiros'!S20</f>
        <v>0</v>
      </c>
      <c r="R42" s="1142">
        <f>'Instrumentos Financeiros'!T20</f>
        <v>0</v>
      </c>
      <c r="S42" s="1142">
        <f>'Instrumentos Financeiros'!U20</f>
        <v>0</v>
      </c>
      <c r="T42" s="1142">
        <f>'Instrumentos Financeiros'!V20</f>
        <v>0</v>
      </c>
      <c r="U42" s="1142">
        <f>'Instrumentos Financeiros'!W20</f>
        <v>0</v>
      </c>
      <c r="V42" s="1142">
        <f>'Instrumentos Financeiros'!X20</f>
        <v>0</v>
      </c>
      <c r="W42" s="1142">
        <f>'Instrumentos Financeiros'!Y20</f>
        <v>0</v>
      </c>
      <c r="X42" s="1142">
        <f>'Instrumentos Financeiros'!Z20</f>
        <v>0</v>
      </c>
      <c r="Y42" s="1142">
        <f>'Instrumentos Financeiros'!AA20</f>
        <v>0</v>
      </c>
      <c r="Z42" s="1142">
        <f>'Instrumentos Financeiros'!AB20</f>
        <v>0</v>
      </c>
      <c r="AA42" s="1142">
        <f>'Instrumentos Financeiros'!AC20</f>
        <v>0</v>
      </c>
      <c r="AB42" s="1142">
        <f>'Instrumentos Financeiros'!AD20</f>
        <v>0</v>
      </c>
      <c r="AC42" s="1142">
        <f>'Instrumentos Financeiros'!AE20</f>
        <v>0</v>
      </c>
      <c r="AD42" s="1142">
        <f>'Instrumentos Financeiros'!AF20</f>
        <v>0</v>
      </c>
      <c r="AE42" s="1142">
        <f>'Instrumentos Financeiros'!AG20</f>
        <v>0</v>
      </c>
      <c r="AF42" s="1142">
        <f>'Instrumentos Financeiros'!AH20</f>
        <v>0</v>
      </c>
      <c r="AG42" s="1142">
        <f>'Instrumentos Financeiros'!AI20</f>
        <v>0</v>
      </c>
      <c r="AH42" s="1142">
        <f>'Instrumentos Financeiros'!AJ20</f>
        <v>0</v>
      </c>
    </row>
    <row r="43" spans="2:34" x14ac:dyDescent="0.35">
      <c r="B43" s="1134" t="s">
        <v>408</v>
      </c>
      <c r="C43" s="1126" t="s">
        <v>425</v>
      </c>
      <c r="D43" s="1127"/>
      <c r="E43" s="1143">
        <f>SUM(E44:E45)</f>
        <v>0</v>
      </c>
      <c r="F43" s="1143">
        <f>SUM(F44:F45)</f>
        <v>-25519923.427800044</v>
      </c>
      <c r="G43" s="1143">
        <f t="shared" ref="G43:AH43" si="11">SUM(G44:G45)</f>
        <v>0</v>
      </c>
      <c r="H43" s="1143">
        <f t="shared" si="11"/>
        <v>0</v>
      </c>
      <c r="I43" s="1143">
        <f t="shared" si="11"/>
        <v>0</v>
      </c>
      <c r="J43" s="1143">
        <f t="shared" si="11"/>
        <v>-550611.53781540075</v>
      </c>
      <c r="K43" s="1143">
        <f t="shared" si="11"/>
        <v>-1101223.0756308017</v>
      </c>
      <c r="L43" s="1143">
        <f t="shared" si="11"/>
        <v>-3400322.9062917717</v>
      </c>
      <c r="M43" s="1143">
        <f t="shared" si="11"/>
        <v>-4790840.1784917824</v>
      </c>
      <c r="N43" s="1143">
        <f t="shared" si="11"/>
        <v>-4797474.6027738387</v>
      </c>
      <c r="O43" s="1143">
        <f t="shared" si="11"/>
        <v>-4797474.6027738396</v>
      </c>
      <c r="P43" s="1143">
        <f t="shared" si="11"/>
        <v>-4797474.6027738396</v>
      </c>
      <c r="Q43" s="1143">
        <f t="shared" si="11"/>
        <v>-4797474.6027738387</v>
      </c>
      <c r="R43" s="1143">
        <f t="shared" si="11"/>
        <v>-4797474.6027738396</v>
      </c>
      <c r="S43" s="1143">
        <f t="shared" si="11"/>
        <v>-5712576.3057810087</v>
      </c>
      <c r="T43" s="1143">
        <f t="shared" si="11"/>
        <v>-6261637.3275853097</v>
      </c>
      <c r="U43" s="1143">
        <f t="shared" si="11"/>
        <v>-6261637.3275853116</v>
      </c>
      <c r="V43" s="1143">
        <f t="shared" si="11"/>
        <v>-6261637.3275853097</v>
      </c>
      <c r="W43" s="1143">
        <f t="shared" si="11"/>
        <v>-6261637.3275853097</v>
      </c>
      <c r="X43" s="1143">
        <f t="shared" si="11"/>
        <v>-6261637.3275853107</v>
      </c>
      <c r="Y43" s="1143">
        <f t="shared" si="11"/>
        <v>-5711025.7897699093</v>
      </c>
      <c r="Z43" s="1143">
        <f t="shared" si="11"/>
        <v>-5160414.251954508</v>
      </c>
      <c r="AA43" s="1143">
        <f t="shared" si="11"/>
        <v>-2861314.421293539</v>
      </c>
      <c r="AB43" s="1143">
        <f t="shared" si="11"/>
        <v>-1470797.1490935278</v>
      </c>
      <c r="AC43" s="1143">
        <f t="shared" si="11"/>
        <v>-1464162.7248114708</v>
      </c>
      <c r="AD43" s="1143">
        <f t="shared" si="11"/>
        <v>-1464162.7248114711</v>
      </c>
      <c r="AE43" s="1143">
        <f t="shared" si="11"/>
        <v>-1464162.7248114713</v>
      </c>
      <c r="AF43" s="1143">
        <f t="shared" si="11"/>
        <v>-1464162.7248114711</v>
      </c>
      <c r="AG43" s="1143">
        <f t="shared" si="11"/>
        <v>-1464162.7248114708</v>
      </c>
      <c r="AH43" s="1143">
        <f t="shared" si="11"/>
        <v>-549061.02180430153</v>
      </c>
    </row>
    <row r="44" spans="2:34" x14ac:dyDescent="0.35">
      <c r="B44" s="116"/>
      <c r="C44" s="116"/>
      <c r="D44" s="1128" t="s">
        <v>426</v>
      </c>
      <c r="E44" s="1144">
        <f>-'Instrumentos Financeiros'!G25</f>
        <v>0</v>
      </c>
      <c r="F44" s="1144">
        <f>-'Instrumentos Financeiros'!H25</f>
        <v>-22397082.247499999</v>
      </c>
      <c r="G44" s="1144">
        <f>-'Instrumentos Financeiros'!I25</f>
        <v>0</v>
      </c>
      <c r="H44" s="1144">
        <f>-'Instrumentos Financeiros'!J25</f>
        <v>0</v>
      </c>
      <c r="I44" s="1144">
        <f>-'Instrumentos Financeiros'!K25</f>
        <v>0</v>
      </c>
      <c r="J44" s="1144">
        <f>-'Instrumentos Financeiros'!L25</f>
        <v>-267203.0363215988</v>
      </c>
      <c r="K44" s="1144">
        <f>-'Instrumentos Financeiros'!M25</f>
        <v>-554403.12658393302</v>
      </c>
      <c r="L44" s="1144">
        <f>-'Instrumentos Financeiros'!N25</f>
        <v>-1658146.6910060332</v>
      </c>
      <c r="M44" s="1144">
        <f>-'Instrumentos Financeiros'!O25</f>
        <v>-2406459.5565890037</v>
      </c>
      <c r="N44" s="1144">
        <f>-'Instrumentos Financeiros'!P25</f>
        <v>-2535637.0926546128</v>
      </c>
      <c r="O44" s="1144">
        <f>-'Instrumentos Financeiros'!Q25</f>
        <v>-2668427.0990728913</v>
      </c>
      <c r="P44" s="1144">
        <f>-'Instrumentos Financeiros'!R25</f>
        <v>-2808175.691332445</v>
      </c>
      <c r="Q44" s="1144">
        <f>-'Instrumentos Financeiros'!S25</f>
        <v>-2955247.7455302849</v>
      </c>
      <c r="R44" s="1144">
        <f>-'Instrumentos Financeiros'!T25</f>
        <v>-3110027.2816506932</v>
      </c>
      <c r="S44" s="1144">
        <f>-'Instrumentos Financeiros'!U25</f>
        <v>-3701182.5934480149</v>
      </c>
      <c r="T44" s="1144">
        <f>-'Instrumentos Financeiros'!V25</f>
        <v>-4156790.7381392168</v>
      </c>
      <c r="U44" s="1144">
        <f>-'Instrumentos Financeiros'!W25</f>
        <v>-4375063.019321017</v>
      </c>
      <c r="V44" s="1144">
        <f>-'Instrumentos Financeiros'!X25</f>
        <v>-4604803.0591940871</v>
      </c>
      <c r="W44" s="1144">
        <f>-'Instrumentos Financeiros'!Y25</f>
        <v>-4846613.6803476447</v>
      </c>
      <c r="X44" s="1144">
        <f>-'Instrumentos Financeiros'!Z25</f>
        <v>-5101129.4100273037</v>
      </c>
      <c r="Y44" s="1144">
        <f>-'Instrumentos Financeiros'!AA25</f>
        <v>-4812757.2213081978</v>
      </c>
      <c r="Z44" s="1144">
        <f>-'Instrumentos Financeiros'!AB25</f>
        <v>-4496831.3798185093</v>
      </c>
      <c r="AA44" s="1144">
        <f>-'Instrumentos Financeiros'!AC25</f>
        <v>-2396458.6214541807</v>
      </c>
      <c r="AB44" s="1144">
        <f>-'Instrumentos Financeiros'!AD25</f>
        <v>-1084573.8518603025</v>
      </c>
      <c r="AC44" s="1144">
        <f>-'Instrumentos Financeiros'!AE25</f>
        <v>-1135340.4232393762</v>
      </c>
      <c r="AD44" s="1144">
        <f>-'Instrumentos Financeiros'!AF25</f>
        <v>-1195672.523025044</v>
      </c>
      <c r="AE44" s="1144">
        <f>-'Instrumentos Financeiros'!AG25</f>
        <v>-1259210.6764225108</v>
      </c>
      <c r="AF44" s="1144">
        <f>-'Instrumentos Financeiros'!AH25</f>
        <v>-1326125.2534304706</v>
      </c>
      <c r="AG44" s="1144">
        <f>-'Instrumentos Financeiros'!AI25</f>
        <v>-1396595.6775258097</v>
      </c>
      <c r="AH44" s="1144">
        <f>-'Instrumentos Financeiros'!AJ25</f>
        <v>-539694.6315399633</v>
      </c>
    </row>
    <row r="45" spans="2:34" x14ac:dyDescent="0.35">
      <c r="B45" s="1129"/>
      <c r="C45" s="1129"/>
      <c r="D45" s="1130" t="s">
        <v>427</v>
      </c>
      <c r="E45" s="1144">
        <f>-'Instrumentos Financeiros'!G26</f>
        <v>0</v>
      </c>
      <c r="F45" s="1144">
        <f>-'Instrumentos Financeiros'!H26</f>
        <v>-3122841.1803000458</v>
      </c>
      <c r="G45" s="1144">
        <f>-'Instrumentos Financeiros'!I26</f>
        <v>0</v>
      </c>
      <c r="H45" s="1144">
        <f>-'Instrumentos Financeiros'!J26</f>
        <v>0</v>
      </c>
      <c r="I45" s="1144">
        <f>-'Instrumentos Financeiros'!K26</f>
        <v>0</v>
      </c>
      <c r="J45" s="1144">
        <f>-'Instrumentos Financeiros'!L26</f>
        <v>-283408.50149380194</v>
      </c>
      <c r="K45" s="1144">
        <f>-'Instrumentos Financeiros'!M26</f>
        <v>-546819.9490468686</v>
      </c>
      <c r="L45" s="1144">
        <f>-'Instrumentos Financeiros'!N26</f>
        <v>-1742176.2152857387</v>
      </c>
      <c r="M45" s="1144">
        <f>-'Instrumentos Financeiros'!O26</f>
        <v>-2384380.6219027787</v>
      </c>
      <c r="N45" s="1144">
        <f>-'Instrumentos Financeiros'!P26</f>
        <v>-2261837.5101192258</v>
      </c>
      <c r="O45" s="1144">
        <f>-'Instrumentos Financeiros'!Q26</f>
        <v>-2129047.5037009483</v>
      </c>
      <c r="P45" s="1144">
        <f>-'Instrumentos Financeiros'!R26</f>
        <v>-1989298.9114413941</v>
      </c>
      <c r="Q45" s="1144">
        <f>-'Instrumentos Financeiros'!S26</f>
        <v>-1842226.8572435535</v>
      </c>
      <c r="R45" s="1144">
        <f>-'Instrumentos Financeiros'!T26</f>
        <v>-1687447.3211231465</v>
      </c>
      <c r="S45" s="1144">
        <f>-'Instrumentos Financeiros'!U26</f>
        <v>-2011393.7123329933</v>
      </c>
      <c r="T45" s="1144">
        <f>-'Instrumentos Financeiros'!V26</f>
        <v>-2104846.589446093</v>
      </c>
      <c r="U45" s="1144">
        <f>-'Instrumentos Financeiros'!W26</f>
        <v>-1886574.3082642942</v>
      </c>
      <c r="V45" s="1144">
        <f>-'Instrumentos Financeiros'!X26</f>
        <v>-1656834.2683912227</v>
      </c>
      <c r="W45" s="1144">
        <f>-'Instrumentos Financeiros'!Y26</f>
        <v>-1415023.6472376655</v>
      </c>
      <c r="X45" s="1144">
        <f>-'Instrumentos Financeiros'!Z26</f>
        <v>-1160507.9175580072</v>
      </c>
      <c r="Y45" s="1144">
        <f>-'Instrumentos Financeiros'!AA26</f>
        <v>-898268.56846171152</v>
      </c>
      <c r="Z45" s="1144">
        <f>-'Instrumentos Financeiros'!AB26</f>
        <v>-663582.87213599891</v>
      </c>
      <c r="AA45" s="1144">
        <f>-'Instrumentos Financeiros'!AC26</f>
        <v>-464855.79983935819</v>
      </c>
      <c r="AB45" s="1144">
        <f>-'Instrumentos Financeiros'!AD26</f>
        <v>-386223.29723322543</v>
      </c>
      <c r="AC45" s="1144">
        <f>-'Instrumentos Financeiros'!AE26</f>
        <v>-328822.30157209473</v>
      </c>
      <c r="AD45" s="1144">
        <f>-'Instrumentos Financeiros'!AF26</f>
        <v>-268490.20178642694</v>
      </c>
      <c r="AE45" s="1144">
        <f>-'Instrumentos Financeiros'!AG26</f>
        <v>-204952.04838896045</v>
      </c>
      <c r="AF45" s="1144">
        <f>-'Instrumentos Financeiros'!AH26</f>
        <v>-138037.47138100053</v>
      </c>
      <c r="AG45" s="1144">
        <f>-'Instrumentos Financeiros'!AI26</f>
        <v>-67567.047285661087</v>
      </c>
      <c r="AH45" s="1144">
        <f>-'Instrumentos Financeiros'!AJ26</f>
        <v>-9366.3902643381734</v>
      </c>
    </row>
    <row r="46" spans="2:34" x14ac:dyDescent="0.35">
      <c r="B46" s="1135" t="s">
        <v>408</v>
      </c>
      <c r="C46" s="1131" t="s">
        <v>428</v>
      </c>
      <c r="D46" s="1132"/>
      <c r="E46" s="1145">
        <f>-'Instrumentos Financeiros'!G36</f>
        <v>-421065.14625300001</v>
      </c>
      <c r="F46" s="1145">
        <f>-'Instrumentos Financeiros'!H36</f>
        <v>-1063690.34290752</v>
      </c>
      <c r="G46" s="1145">
        <f>-'Instrumentos Financeiros'!I36</f>
        <v>0</v>
      </c>
      <c r="H46" s="1145">
        <f>-'Instrumentos Financeiros'!J36</f>
        <v>-302814.19125119998</v>
      </c>
      <c r="I46" s="1145">
        <f>-'Instrumentos Financeiros'!K36</f>
        <v>0</v>
      </c>
      <c r="J46" s="1145">
        <f>-'Instrumentos Financeiros'!L36</f>
        <v>-275305.76890770043</v>
      </c>
      <c r="K46" s="1145">
        <f>-'Instrumentos Financeiros'!M36</f>
        <v>0</v>
      </c>
      <c r="L46" s="1145">
        <f>-'Instrumentos Financeiros'!N36</f>
        <v>-919639.93226438784</v>
      </c>
      <c r="M46" s="1145">
        <f>-'Instrumentos Financeiros'!O36</f>
        <v>-4422.9495213716291</v>
      </c>
      <c r="N46" s="1145">
        <f>-'Instrumentos Financeiros'!P36</f>
        <v>-532900.80016671994</v>
      </c>
      <c r="O46" s="1145">
        <f>-'Instrumentos Financeiros'!Q36</f>
        <v>0</v>
      </c>
      <c r="P46" s="1145">
        <f>-'Instrumentos Financeiros'!R36</f>
        <v>0</v>
      </c>
      <c r="Q46" s="1145">
        <f>-'Instrumentos Financeiros'!S36</f>
        <v>0</v>
      </c>
      <c r="R46" s="1145">
        <f>-'Instrumentos Financeiros'!T36</f>
        <v>0</v>
      </c>
      <c r="S46" s="1145">
        <f>-'Instrumentos Financeiros'!U36</f>
        <v>-366040.68120286753</v>
      </c>
      <c r="T46" s="1145">
        <f>-'Instrumentos Financeiros'!V36</f>
        <v>0</v>
      </c>
      <c r="U46" s="1145">
        <f>-'Instrumentos Financeiros'!W36</f>
        <v>0</v>
      </c>
      <c r="V46" s="1145">
        <f>-'Instrumentos Financeiros'!X36</f>
        <v>0</v>
      </c>
      <c r="W46" s="1145">
        <f>-'Instrumentos Financeiros'!Y36</f>
        <v>0</v>
      </c>
      <c r="X46" s="1145">
        <f>-'Instrumentos Financeiros'!Z36</f>
        <v>0</v>
      </c>
      <c r="Y46" s="1145">
        <f>-'Instrumentos Financeiros'!AA36</f>
        <v>275305.7689077002</v>
      </c>
      <c r="Z46" s="1145">
        <f>-'Instrumentos Financeiros'!AB36</f>
        <v>0</v>
      </c>
      <c r="AA46" s="1145">
        <f>-'Instrumentos Financeiros'!AC36</f>
        <v>919639.93226438819</v>
      </c>
      <c r="AB46" s="1145">
        <f>-'Instrumentos Financeiros'!AD36</f>
        <v>4422.9495213712798</v>
      </c>
      <c r="AC46" s="1145">
        <f>-'Instrumentos Financeiros'!AE36</f>
        <v>0</v>
      </c>
      <c r="AD46" s="1145">
        <f>-'Instrumentos Financeiros'!AF36</f>
        <v>0</v>
      </c>
      <c r="AE46" s="1145">
        <f>-'Instrumentos Financeiros'!AG36</f>
        <v>0</v>
      </c>
      <c r="AF46" s="1145">
        <f>-'Instrumentos Financeiros'!AH36</f>
        <v>0</v>
      </c>
      <c r="AG46" s="1145">
        <f>-'Instrumentos Financeiros'!AI36</f>
        <v>0</v>
      </c>
      <c r="AH46" s="1145">
        <f>-'Instrumentos Financeiros'!AJ36</f>
        <v>366040.68120286777</v>
      </c>
    </row>
    <row r="47" spans="2:34" x14ac:dyDescent="0.35">
      <c r="B47" s="1139" t="s">
        <v>403</v>
      </c>
      <c r="C47" s="1138" t="s">
        <v>429</v>
      </c>
      <c r="D47" s="1137"/>
      <c r="E47" s="1146">
        <f>IF('Tributos-LP'!G39="LR",'Tributos-LR'!G68-'Tributos-LR'!G104,0)</f>
        <v>0</v>
      </c>
      <c r="F47" s="1146">
        <f>IF('Tributos-LP'!H39="LR",'Tributos-LR'!H68-'Tributos-LR'!H104,0)</f>
        <v>0</v>
      </c>
      <c r="G47" s="1146">
        <f>IF('Tributos-LP'!I39="LR",'Tributos-LR'!I68-'Tributos-LR'!I104,0)</f>
        <v>16800</v>
      </c>
      <c r="H47" s="1146">
        <f>IF('Tributos-LP'!J39="LR",'Tributos-LR'!J68-'Tributos-LR'!J104,0)</f>
        <v>61616.500305178575</v>
      </c>
      <c r="I47" s="1146">
        <f>IF('Tributos-LP'!K39="LR",'Tributos-LR'!K68-'Tributos-LR'!K104,0)</f>
        <v>0</v>
      </c>
      <c r="J47" s="1146">
        <f>IF('Tributos-LP'!L39="LR",'Tributos-LR'!L68-'Tributos-LR'!L104,0)</f>
        <v>0</v>
      </c>
      <c r="K47" s="1146">
        <f>IF('Tributos-LP'!M39="LR",'Tributos-LR'!M68-'Tributos-LR'!M104,0)</f>
        <v>0</v>
      </c>
      <c r="L47" s="1146">
        <f>IF('Tributos-LP'!N39="LR",'Tributos-LR'!N68-'Tributos-LR'!N104,0)</f>
        <v>0</v>
      </c>
      <c r="M47" s="1146">
        <f>IF('Tributos-LP'!O39="LR",'Tributos-LR'!O68-'Tributos-LR'!O104,0)</f>
        <v>0</v>
      </c>
      <c r="N47" s="1146">
        <f>IF('Tributos-LP'!P39="LR",'Tributos-LR'!P68-'Tributos-LR'!P104,0)</f>
        <v>0</v>
      </c>
      <c r="O47" s="1146">
        <f>IF('Tributos-LP'!Q39="LR",'Tributos-LR'!Q68-'Tributos-LR'!Q104,0)</f>
        <v>0</v>
      </c>
      <c r="P47" s="1146">
        <f>IF('Tributos-LP'!R39="LR",'Tributos-LR'!R68-'Tributos-LR'!R104,0)</f>
        <v>0</v>
      </c>
      <c r="Q47" s="1146">
        <f>IF('Tributos-LP'!S39="LR",'Tributos-LR'!S68-'Tributos-LR'!S104,0)</f>
        <v>0</v>
      </c>
      <c r="R47" s="1146">
        <f>IF('Tributos-LP'!T39="LR",'Tributos-LR'!T68-'Tributos-LR'!T104,0)</f>
        <v>0</v>
      </c>
      <c r="S47" s="1146">
        <f>IF('Tributos-LP'!U39="LR",'Tributos-LR'!U68-'Tributos-LR'!U104,0)</f>
        <v>0</v>
      </c>
      <c r="T47" s="1146">
        <f>IF('Tributos-LP'!V39="LR",'Tributos-LR'!V68-'Tributos-LR'!V104,0)</f>
        <v>0</v>
      </c>
      <c r="U47" s="1146">
        <f>IF('Tributos-LP'!W39="LR",'Tributos-LR'!W68-'Tributos-LR'!W104,0)</f>
        <v>0</v>
      </c>
      <c r="V47" s="1146">
        <f>IF('Tributos-LP'!X39="LR",'Tributos-LR'!X68-'Tributos-LR'!X104,0)</f>
        <v>0</v>
      </c>
      <c r="W47" s="1146">
        <f>IF('Tributos-LP'!Y39="LR",'Tributos-LR'!Y68-'Tributos-LR'!Y104,0)</f>
        <v>0</v>
      </c>
      <c r="X47" s="1146">
        <f>IF('Tributos-LP'!Z39="LR",'Tributos-LR'!Z68-'Tributos-LR'!Z104,0)</f>
        <v>0</v>
      </c>
      <c r="Y47" s="1146">
        <f>IF('Tributos-LP'!AA39="LR",'Tributos-LR'!AA68-'Tributos-LR'!AA104,0)</f>
        <v>0</v>
      </c>
      <c r="Z47" s="1146">
        <f>IF('Tributos-LP'!AB39="LR",'Tributos-LR'!AB68-'Tributos-LR'!AB104,0)</f>
        <v>0</v>
      </c>
      <c r="AA47" s="1146">
        <f>IF('Tributos-LP'!AC39="LR",'Tributos-LR'!AC68-'Tributos-LR'!AC104,0)</f>
        <v>0</v>
      </c>
      <c r="AB47" s="1146">
        <f>IF('Tributos-LP'!AD39="LR",'Tributos-LR'!AD68-'Tributos-LR'!AD104,0)</f>
        <v>0</v>
      </c>
      <c r="AC47" s="1146">
        <f>IF('Tributos-LP'!AE39="LR",'Tributos-LR'!AE68-'Tributos-LR'!AE104,0)</f>
        <v>0</v>
      </c>
      <c r="AD47" s="1146">
        <f>IF('Tributos-LP'!AF39="LR",'Tributos-LR'!AF68-'Tributos-LR'!AF104,0)</f>
        <v>67122.550446607172</v>
      </c>
      <c r="AE47" s="1146">
        <f>IF('Tributos-LP'!AG39="LR",'Tributos-LR'!AG68-'Tributos-LR'!AG104,0)</f>
        <v>51238.012097239494</v>
      </c>
      <c r="AF47" s="1146">
        <f>IF('Tributos-LP'!AH39="LR",'Tributos-LR'!AH68-'Tributos-LR'!AH104,0)</f>
        <v>34509.367845252156</v>
      </c>
      <c r="AG47" s="1146">
        <f>IF('Tributos-LP'!AI39="LR",'Tributos-LR'!AI68-'Tributos-LR'!AI104,0)</f>
        <v>0</v>
      </c>
      <c r="AH47" s="1146">
        <f>IF('Tributos-LP'!AJ39="LR",'Tributos-LR'!AJ68-'Tributos-LR'!AJ104,0)</f>
        <v>-89168.572734631598</v>
      </c>
    </row>
    <row r="48" spans="2:34" ht="3.75" customHeight="1" x14ac:dyDescent="0.35">
      <c r="B48" s="129"/>
      <c r="C48" s="129"/>
      <c r="D48" s="129"/>
      <c r="E48" s="1136"/>
      <c r="F48" s="219"/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</row>
    <row r="49" spans="2:34" x14ac:dyDescent="0.35">
      <c r="B49" s="630" t="s">
        <v>430</v>
      </c>
      <c r="C49" s="630"/>
      <c r="D49" s="630"/>
      <c r="E49" s="1140">
        <f>E35+E42+E43+E46+E47</f>
        <v>-36145293.05175022</v>
      </c>
      <c r="F49" s="1140">
        <f>F35+F42+F43+F46+F47</f>
        <v>-24060090.097669378</v>
      </c>
      <c r="G49" s="1140">
        <f t="shared" ref="G49:AH49" si="12">G35+G42+G43+G46+G47</f>
        <v>7967535.3881293675</v>
      </c>
      <c r="H49" s="1140">
        <f t="shared" si="12"/>
        <v>25835218.901284888</v>
      </c>
      <c r="I49" s="1140">
        <f t="shared" si="12"/>
        <v>14037456.91814851</v>
      </c>
      <c r="J49" s="1140">
        <f t="shared" si="12"/>
        <v>14070135.581135465</v>
      </c>
      <c r="K49" s="1140">
        <f t="shared" si="12"/>
        <v>11025308.725966915</v>
      </c>
      <c r="L49" s="1140">
        <f t="shared" si="12"/>
        <v>8021561.2727392484</v>
      </c>
      <c r="M49" s="1140">
        <f t="shared" si="12"/>
        <v>774870.58615290048</v>
      </c>
      <c r="N49" s="1140">
        <f t="shared" si="12"/>
        <v>14991775.068991529</v>
      </c>
      <c r="O49" s="1140">
        <f t="shared" si="12"/>
        <v>-1596402.0547769163</v>
      </c>
      <c r="P49" s="1140">
        <f t="shared" si="12"/>
        <v>6983364.3133578021</v>
      </c>
      <c r="Q49" s="1140">
        <f t="shared" si="12"/>
        <v>7090471.0463128434</v>
      </c>
      <c r="R49" s="1140">
        <f t="shared" si="12"/>
        <v>7027160.9232744668</v>
      </c>
      <c r="S49" s="1140">
        <f t="shared" si="12"/>
        <v>2559596.5775567298</v>
      </c>
      <c r="T49" s="1140">
        <f t="shared" si="12"/>
        <v>5704379.9698339254</v>
      </c>
      <c r="U49" s="1140">
        <f t="shared" si="12"/>
        <v>-1700297.2836117633</v>
      </c>
      <c r="V49" s="1140">
        <f t="shared" si="12"/>
        <v>3665283.5394668616</v>
      </c>
      <c r="W49" s="1140">
        <f t="shared" si="12"/>
        <v>6089804.9461977333</v>
      </c>
      <c r="X49" s="1140">
        <f t="shared" si="12"/>
        <v>5870116.5789108584</v>
      </c>
      <c r="Y49" s="1140">
        <f t="shared" si="12"/>
        <v>76242.22520282818</v>
      </c>
      <c r="Z49" s="1140">
        <f t="shared" si="12"/>
        <v>7335468.168845919</v>
      </c>
      <c r="AA49" s="1140">
        <f t="shared" si="12"/>
        <v>7348653.2291963436</v>
      </c>
      <c r="AB49" s="1140">
        <f t="shared" si="12"/>
        <v>8598382.5025281925</v>
      </c>
      <c r="AC49" s="1140">
        <f t="shared" si="12"/>
        <v>3283106.0444955369</v>
      </c>
      <c r="AD49" s="1140">
        <f t="shared" si="12"/>
        <v>11211245.233745951</v>
      </c>
      <c r="AE49" s="1140">
        <f t="shared" si="12"/>
        <v>11421403.254789794</v>
      </c>
      <c r="AF49" s="1140">
        <f t="shared" si="12"/>
        <v>11366212.327886239</v>
      </c>
      <c r="AG49" s="1140">
        <f t="shared" si="12"/>
        <v>11366841.592965145</v>
      </c>
      <c r="AH49" s="1140">
        <f t="shared" si="12"/>
        <v>14720229.319083655</v>
      </c>
    </row>
    <row r="50" spans="2:34" x14ac:dyDescent="0.35">
      <c r="B50" s="115"/>
      <c r="C50" s="334"/>
      <c r="D50" s="334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</row>
    <row r="51" spans="2:34" ht="15" thickBot="1" x14ac:dyDescent="0.4">
      <c r="B51" s="115"/>
      <c r="C51" s="334"/>
      <c r="D51" s="334"/>
      <c r="E51" s="219"/>
      <c r="F51" s="219"/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</row>
    <row r="52" spans="2:34" x14ac:dyDescent="0.35">
      <c r="B52" s="139"/>
      <c r="C52" s="139"/>
      <c r="D52" s="140"/>
      <c r="E52" s="139" t="s">
        <v>431</v>
      </c>
      <c r="F52" s="139"/>
    </row>
    <row r="53" spans="2:34" x14ac:dyDescent="0.35">
      <c r="B53" s="141" t="s">
        <v>432</v>
      </c>
      <c r="C53" s="142"/>
      <c r="D53" s="142"/>
      <c r="E53" s="377">
        <f>IRR(E35:AH35,0.7%)</f>
        <v>0.11686498859823247</v>
      </c>
      <c r="F53" s="152"/>
    </row>
    <row r="54" spans="2:34" x14ac:dyDescent="0.35">
      <c r="B54" s="143" t="s">
        <v>433</v>
      </c>
      <c r="C54" s="144"/>
      <c r="D54" s="144"/>
      <c r="E54" s="378">
        <f>(1+E53)^(1/12)-1</f>
        <v>9.2530171673383954E-3</v>
      </c>
      <c r="F54" s="153"/>
    </row>
    <row r="55" spans="2:34" x14ac:dyDescent="0.35">
      <c r="B55" s="145" t="s">
        <v>434</v>
      </c>
      <c r="C55" s="146"/>
      <c r="D55" s="146"/>
      <c r="E55" s="379">
        <f>NPV(WACC!$E$39,'Fluxo de Caixa'!F35:AH35)+E35</f>
        <v>0</v>
      </c>
      <c r="F55" s="154"/>
      <c r="H55" s="96"/>
    </row>
    <row r="56" spans="2:34" x14ac:dyDescent="0.35">
      <c r="B56" s="147" t="s">
        <v>435</v>
      </c>
      <c r="C56" s="148"/>
      <c r="D56" s="148"/>
      <c r="E56" s="380">
        <f>HLOOKUP(1,E39:AH40,2,TRUE)</f>
        <v>10</v>
      </c>
      <c r="F56" s="155"/>
    </row>
  </sheetData>
  <sheetProtection algorithmName="SHA-512" hashValue="AGhz4Anc4G3PTCXEGLFXwwfZCMQhesiun26jR5M5xEw+ACpOtxTysQVYgngFQ0P2bf0ohqq5v8szkQGQK247Iw==" saltValue="5hxSIt5UF7rjGLxOYvmXLQ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CA950-C224-43B5-8992-53A4F23E8FC8}">
  <sheetPr codeName="Planilha26">
    <tabColor theme="3"/>
  </sheetPr>
  <dimension ref="B2:AH33"/>
  <sheetViews>
    <sheetView showGridLines="0" topLeftCell="A46" workbookViewId="0">
      <selection activeCell="L37" sqref="L37"/>
    </sheetView>
  </sheetViews>
  <sheetFormatPr defaultColWidth="8.81640625" defaultRowHeight="14.5" x14ac:dyDescent="0.35"/>
  <cols>
    <col min="1" max="1" width="6.81640625" customWidth="1"/>
    <col min="2" max="2" width="5.453125" customWidth="1"/>
    <col min="3" max="3" width="4.08984375" customWidth="1"/>
    <col min="4" max="4" width="30.6328125" customWidth="1"/>
    <col min="5" max="24" width="14.36328125" customWidth="1"/>
    <col min="25" max="34" width="14.36328125" bestFit="1" customWidth="1"/>
  </cols>
  <sheetData>
    <row r="2" spans="2:34" ht="18.5" x14ac:dyDescent="0.45">
      <c r="B2" s="113" t="s">
        <v>436</v>
      </c>
      <c r="C2" s="114"/>
      <c r="D2" s="115"/>
    </row>
    <row r="3" spans="2:34" x14ac:dyDescent="0.35">
      <c r="B3" s="114"/>
      <c r="C3" s="114"/>
      <c r="D3" s="115"/>
    </row>
    <row r="4" spans="2:34" x14ac:dyDescent="0.35">
      <c r="B4" s="116" t="s">
        <v>401</v>
      </c>
      <c r="C4" s="114"/>
      <c r="D4" s="114"/>
    </row>
    <row r="5" spans="2:34" x14ac:dyDescent="0.35">
      <c r="B5" s="117" t="s">
        <v>96</v>
      </c>
      <c r="C5" s="118"/>
      <c r="D5" s="119"/>
      <c r="E5" s="190">
        <v>1</v>
      </c>
      <c r="F5" s="190">
        <f>E5+1</f>
        <v>2</v>
      </c>
      <c r="G5" s="190">
        <f t="shared" ref="G5:AH5" si="0">F5+1</f>
        <v>3</v>
      </c>
      <c r="H5" s="190">
        <f t="shared" si="0"/>
        <v>4</v>
      </c>
      <c r="I5" s="190">
        <f t="shared" si="0"/>
        <v>5</v>
      </c>
      <c r="J5" s="190">
        <f t="shared" si="0"/>
        <v>6</v>
      </c>
      <c r="K5" s="190">
        <f t="shared" si="0"/>
        <v>7</v>
      </c>
      <c r="L5" s="190">
        <f t="shared" si="0"/>
        <v>8</v>
      </c>
      <c r="M5" s="190">
        <f t="shared" si="0"/>
        <v>9</v>
      </c>
      <c r="N5" s="190">
        <f t="shared" si="0"/>
        <v>10</v>
      </c>
      <c r="O5" s="190">
        <f t="shared" si="0"/>
        <v>11</v>
      </c>
      <c r="P5" s="190">
        <f t="shared" si="0"/>
        <v>12</v>
      </c>
      <c r="Q5" s="190">
        <f t="shared" si="0"/>
        <v>13</v>
      </c>
      <c r="R5" s="190">
        <f t="shared" si="0"/>
        <v>14</v>
      </c>
      <c r="S5" s="190">
        <f t="shared" si="0"/>
        <v>15</v>
      </c>
      <c r="T5" s="190">
        <f t="shared" si="0"/>
        <v>16</v>
      </c>
      <c r="U5" s="190">
        <f t="shared" si="0"/>
        <v>17</v>
      </c>
      <c r="V5" s="190">
        <f t="shared" si="0"/>
        <v>18</v>
      </c>
      <c r="W5" s="190">
        <f t="shared" si="0"/>
        <v>19</v>
      </c>
      <c r="X5" s="190">
        <f t="shared" si="0"/>
        <v>20</v>
      </c>
      <c r="Y5" s="190">
        <f t="shared" si="0"/>
        <v>21</v>
      </c>
      <c r="Z5" s="190">
        <f t="shared" si="0"/>
        <v>22</v>
      </c>
      <c r="AA5" s="190">
        <f t="shared" si="0"/>
        <v>23</v>
      </c>
      <c r="AB5" s="190">
        <f t="shared" si="0"/>
        <v>24</v>
      </c>
      <c r="AC5" s="190">
        <f t="shared" si="0"/>
        <v>25</v>
      </c>
      <c r="AD5" s="190">
        <f t="shared" si="0"/>
        <v>26</v>
      </c>
      <c r="AE5" s="190">
        <f t="shared" si="0"/>
        <v>27</v>
      </c>
      <c r="AF5" s="190">
        <f t="shared" si="0"/>
        <v>28</v>
      </c>
      <c r="AG5" s="190">
        <f t="shared" si="0"/>
        <v>29</v>
      </c>
      <c r="AH5" s="190">
        <f t="shared" si="0"/>
        <v>30</v>
      </c>
    </row>
    <row r="6" spans="2:34" ht="7.5" customHeight="1" x14ac:dyDescent="0.35">
      <c r="B6" s="120"/>
      <c r="C6" s="120"/>
      <c r="D6" s="121"/>
      <c r="E6" s="326"/>
      <c r="F6" s="326"/>
    </row>
    <row r="7" spans="2:34" x14ac:dyDescent="0.35">
      <c r="B7" s="65" t="s">
        <v>403</v>
      </c>
      <c r="C7" t="s">
        <v>437</v>
      </c>
      <c r="E7" s="479">
        <f>Receitas!E118</f>
        <v>51715006.65991614</v>
      </c>
      <c r="F7" s="479">
        <f>Receitas!F118</f>
        <v>51963422.328385524</v>
      </c>
      <c r="G7" s="479">
        <f>Receitas!G118</f>
        <v>52211837.996854901</v>
      </c>
      <c r="H7" s="479">
        <f>Receitas!H118</f>
        <v>52460253.665324286</v>
      </c>
      <c r="I7" s="479">
        <f>Receitas!I118</f>
        <v>52708669.333793662</v>
      </c>
      <c r="J7" s="479">
        <f>Receitas!J118</f>
        <v>52957039.343395494</v>
      </c>
      <c r="K7" s="479">
        <f>Receitas!K118</f>
        <v>53177177.205672622</v>
      </c>
      <c r="L7" s="479">
        <f>Receitas!L118</f>
        <v>53397315.06794972</v>
      </c>
      <c r="M7" s="479">
        <f>Receitas!M118</f>
        <v>53617452.930226848</v>
      </c>
      <c r="N7" s="479">
        <f>Receitas!N118</f>
        <v>53837590.792503953</v>
      </c>
      <c r="O7" s="479">
        <f>Receitas!O118</f>
        <v>54057679.117923476</v>
      </c>
      <c r="P7" s="479">
        <f>Receitas!P118</f>
        <v>54190009.111614235</v>
      </c>
      <c r="Q7" s="479">
        <f>Receitas!Q118</f>
        <v>54322339.105304986</v>
      </c>
      <c r="R7" s="479">
        <f>Receitas!R118</f>
        <v>54454669.098995715</v>
      </c>
      <c r="S7" s="479">
        <f>Receitas!S118</f>
        <v>54586999.092686452</v>
      </c>
      <c r="T7" s="479">
        <f>Receitas!T118</f>
        <v>54720053.641424127</v>
      </c>
      <c r="U7" s="479">
        <f>Receitas!U118</f>
        <v>54778861.033400267</v>
      </c>
      <c r="V7" s="479">
        <f>Receitas!V118</f>
        <v>54837668.42537643</v>
      </c>
      <c r="W7" s="479">
        <f>Receitas!W118</f>
        <v>54896475.817352578</v>
      </c>
      <c r="X7" s="479">
        <f>Receitas!X118</f>
        <v>54955283.209328733</v>
      </c>
      <c r="Y7" s="479">
        <f>Receitas!Y118</f>
        <v>55013923.193846487</v>
      </c>
      <c r="Z7" s="479">
        <f>Receitas!Z118</f>
        <v>55072730.585822642</v>
      </c>
      <c r="AA7" s="479">
        <f>Receitas!AA118</f>
        <v>55131537.977798805</v>
      </c>
      <c r="AB7" s="479">
        <f>Receitas!AB118</f>
        <v>55190345.36977496</v>
      </c>
      <c r="AC7" s="479">
        <f>Receitas!AC118</f>
        <v>55249152.761751115</v>
      </c>
      <c r="AD7" s="479">
        <f>Receitas!AD118</f>
        <v>55307960.153727263</v>
      </c>
      <c r="AE7" s="479">
        <f>Receitas!AE118</f>
        <v>55366767.545703411</v>
      </c>
      <c r="AF7" s="479">
        <f>Receitas!AF118</f>
        <v>55425574.937679566</v>
      </c>
      <c r="AG7" s="479">
        <f>Receitas!AG118</f>
        <v>55484382.329655729</v>
      </c>
      <c r="AH7" s="479">
        <f>Receitas!AH118</f>
        <v>55543189.72163187</v>
      </c>
    </row>
    <row r="8" spans="2:34" x14ac:dyDescent="0.35">
      <c r="B8" s="65" t="s">
        <v>438</v>
      </c>
      <c r="C8" t="s">
        <v>19</v>
      </c>
      <c r="E8" s="480">
        <f>-Receitas!E119</f>
        <v>-8594781.9077279568</v>
      </c>
      <c r="F8" s="480">
        <f>-Receitas!F119</f>
        <v>-4941735.428743775</v>
      </c>
      <c r="G8" s="480">
        <f>-Receitas!G119</f>
        <v>-3930463.1872084667</v>
      </c>
      <c r="H8" s="480">
        <f>-Receitas!H119</f>
        <v>-3417288.2181796688</v>
      </c>
      <c r="I8" s="480">
        <f>-Receitas!I119</f>
        <v>-3162211.2051633047</v>
      </c>
      <c r="J8" s="480">
        <f>-Receitas!J119</f>
        <v>-2964653.4905509069</v>
      </c>
      <c r="K8" s="480">
        <f>-Receitas!K119</f>
        <v>-2833476.4203254096</v>
      </c>
      <c r="L8" s="480">
        <f>-Receitas!L119</f>
        <v>-2845206.1787435841</v>
      </c>
      <c r="M8" s="480">
        <f>-Receitas!M119</f>
        <v>-2856935.9371617604</v>
      </c>
      <c r="N8" s="480">
        <f>-Receitas!N119</f>
        <v>-2868665.6955799353</v>
      </c>
      <c r="O8" s="480">
        <f>-Receitas!O119</f>
        <v>-2880392.8144913656</v>
      </c>
      <c r="P8" s="480">
        <f>-Receitas!P119</f>
        <v>-2887443.8453381965</v>
      </c>
      <c r="Q8" s="480">
        <f>-Receitas!Q119</f>
        <v>-2894494.8761850265</v>
      </c>
      <c r="R8" s="480">
        <f>-Receitas!R119</f>
        <v>-2901545.9070318555</v>
      </c>
      <c r="S8" s="480">
        <f>-Receitas!S119</f>
        <v>-2908596.9378786851</v>
      </c>
      <c r="T8" s="480">
        <f>-Receitas!T119</f>
        <v>-2915686.5756946807</v>
      </c>
      <c r="U8" s="480">
        <f>-Receitas!U119</f>
        <v>-2918820.0507541173</v>
      </c>
      <c r="V8" s="480">
        <f>-Receitas!V119</f>
        <v>-2921953.5258135553</v>
      </c>
      <c r="W8" s="480">
        <f>-Receitas!W119</f>
        <v>-2925087.0008729929</v>
      </c>
      <c r="X8" s="480">
        <f>-Receitas!X119</f>
        <v>-2928220.4759324305</v>
      </c>
      <c r="Y8" s="480">
        <f>-Receitas!Y119</f>
        <v>-2931345.0309041371</v>
      </c>
      <c r="Z8" s="480">
        <f>-Receitas!Z119</f>
        <v>-2934478.5059635746</v>
      </c>
      <c r="AA8" s="480">
        <f>-Receitas!AA119</f>
        <v>-2937611.9810230127</v>
      </c>
      <c r="AB8" s="480">
        <f>-Receitas!AB119</f>
        <v>-2940745.4560824502</v>
      </c>
      <c r="AC8" s="480">
        <f>-Receitas!AC119</f>
        <v>-2943878.9311418878</v>
      </c>
      <c r="AD8" s="480">
        <f>-Receitas!AD119</f>
        <v>-2947012.4062013249</v>
      </c>
      <c r="AE8" s="480">
        <f>-Receitas!AE119</f>
        <v>-2950145.881260762</v>
      </c>
      <c r="AF8" s="480">
        <f>-Receitas!AF119</f>
        <v>-2953279.3563202</v>
      </c>
      <c r="AG8" s="480">
        <f>-Receitas!AG119</f>
        <v>-2956412.8313796381</v>
      </c>
      <c r="AH8" s="480">
        <f>-Receitas!AH119</f>
        <v>-2959546.3064390747</v>
      </c>
    </row>
    <row r="9" spans="2:34" x14ac:dyDescent="0.35">
      <c r="B9" s="65" t="s">
        <v>403</v>
      </c>
      <c r="C9" t="s">
        <v>405</v>
      </c>
      <c r="E9" s="480">
        <f>Receitas!E135</f>
        <v>3722535.0329589979</v>
      </c>
      <c r="F9" s="480">
        <f>Receitas!F135</f>
        <v>3739825.6304044463</v>
      </c>
      <c r="G9" s="480">
        <f>Receitas!G135</f>
        <v>3757116.2278498942</v>
      </c>
      <c r="H9" s="480">
        <f>Receitas!H135</f>
        <v>3774406.8252953421</v>
      </c>
      <c r="I9" s="480">
        <f>Receitas!I135</f>
        <v>3791697.4227407905</v>
      </c>
      <c r="J9" s="480">
        <f>Receitas!J135</f>
        <v>3808974.0524997604</v>
      </c>
      <c r="K9" s="480">
        <f>Receitas!K135</f>
        <v>3823998.2324079219</v>
      </c>
      <c r="L9" s="480">
        <f>Receitas!L135</f>
        <v>3839022.4123160834</v>
      </c>
      <c r="M9" s="480">
        <f>Receitas!M135</f>
        <v>3854046.5922242445</v>
      </c>
      <c r="N9" s="480">
        <f>Receitas!N135</f>
        <v>3869070.7721324065</v>
      </c>
      <c r="O9" s="480">
        <f>Receitas!O135</f>
        <v>3884067.3621580903</v>
      </c>
      <c r="P9" s="480">
        <f>Receitas!P135</f>
        <v>3892751.0020979359</v>
      </c>
      <c r="Q9" s="480">
        <f>Receitas!Q135</f>
        <v>3901434.6420377814</v>
      </c>
      <c r="R9" s="480">
        <f>Receitas!R135</f>
        <v>3910118.281977626</v>
      </c>
      <c r="S9" s="480">
        <f>Receitas!S135</f>
        <v>3918801.9219174716</v>
      </c>
      <c r="T9" s="480">
        <f>Receitas!T135</f>
        <v>3927526.8068396491</v>
      </c>
      <c r="U9" s="480">
        <f>Receitas!U135</f>
        <v>3931017.0997182275</v>
      </c>
      <c r="V9" s="480">
        <f>Receitas!V135</f>
        <v>3934507.392596805</v>
      </c>
      <c r="W9" s="480">
        <f>Receitas!W135</f>
        <v>3937997.6854753834</v>
      </c>
      <c r="X9" s="480">
        <f>Receitas!X135</f>
        <v>3941487.9783539609</v>
      </c>
      <c r="Y9" s="480">
        <f>Receitas!Y135</f>
        <v>3944988.997889292</v>
      </c>
      <c r="Z9" s="480">
        <f>Receitas!Z135</f>
        <v>3948479.2907678699</v>
      </c>
      <c r="AA9" s="480">
        <f>Receitas!AA135</f>
        <v>3951969.5836464483</v>
      </c>
      <c r="AB9" s="480">
        <f>Receitas!AB135</f>
        <v>3955459.8765250253</v>
      </c>
      <c r="AC9" s="480">
        <f>Receitas!AC135</f>
        <v>3958950.1694036052</v>
      </c>
      <c r="AD9" s="480">
        <f>Receitas!AD135</f>
        <v>3962440.4622821826</v>
      </c>
      <c r="AE9" s="480">
        <f>Receitas!AE135</f>
        <v>3965930.7551607601</v>
      </c>
      <c r="AF9" s="480">
        <f>Receitas!AF135</f>
        <v>3969421.0480393381</v>
      </c>
      <c r="AG9" s="480">
        <f>Receitas!AG135</f>
        <v>3972911.340917916</v>
      </c>
      <c r="AH9" s="480">
        <f>Receitas!AH135</f>
        <v>3976401.633796494</v>
      </c>
    </row>
    <row r="10" spans="2:34" x14ac:dyDescent="0.35">
      <c r="B10" s="65" t="s">
        <v>403</v>
      </c>
      <c r="C10" t="s">
        <v>439</v>
      </c>
      <c r="E10" s="480">
        <f>'Venda dos Caminhões'!F38</f>
        <v>0</v>
      </c>
      <c r="F10" s="480">
        <f>'Venda dos Caminhões'!G38</f>
        <v>0</v>
      </c>
      <c r="G10" s="480">
        <f>'Venda dos Caminhões'!H38</f>
        <v>0</v>
      </c>
      <c r="H10" s="480">
        <f>'Venda dos Caminhões'!I38</f>
        <v>0</v>
      </c>
      <c r="I10" s="480">
        <f>'Venda dos Caminhões'!J38</f>
        <v>0</v>
      </c>
      <c r="J10" s="480">
        <f>'Venda dos Caminhões'!K38</f>
        <v>0</v>
      </c>
      <c r="K10" s="480">
        <f>'Venda dos Caminhões'!L38</f>
        <v>0</v>
      </c>
      <c r="L10" s="480">
        <f>'Venda dos Caminhões'!M38</f>
        <v>0</v>
      </c>
      <c r="M10" s="480">
        <f>'Venda dos Caminhões'!N38</f>
        <v>7626241.8932539076</v>
      </c>
      <c r="N10" s="480">
        <f>'Venda dos Caminhões'!O38</f>
        <v>6538645.6346512754</v>
      </c>
      <c r="O10" s="480">
        <f>'Venda dos Caminhões'!P38</f>
        <v>0</v>
      </c>
      <c r="P10" s="480">
        <f>'Venda dos Caminhões'!Q38</f>
        <v>0</v>
      </c>
      <c r="Q10" s="480">
        <f>'Venda dos Caminhões'!R38</f>
        <v>0</v>
      </c>
      <c r="R10" s="480">
        <f>'Venda dos Caminhões'!S38</f>
        <v>0</v>
      </c>
      <c r="S10" s="480">
        <f>'Venda dos Caminhões'!T38</f>
        <v>0</v>
      </c>
      <c r="T10" s="480">
        <f>'Venda dos Caminhões'!U38</f>
        <v>0</v>
      </c>
      <c r="U10" s="480">
        <f>'Venda dos Caminhões'!V38</f>
        <v>7266058.9592765272</v>
      </c>
      <c r="V10" s="480">
        <f>'Venda dos Caminhões'!W38</f>
        <v>0</v>
      </c>
      <c r="W10" s="480">
        <f>'Venda dos Caminhões'!X38</f>
        <v>0</v>
      </c>
      <c r="X10" s="480">
        <f>'Venda dos Caminhões'!Y38</f>
        <v>1421444.7031850598</v>
      </c>
      <c r="Y10" s="480">
        <f>'Venda dos Caminhões'!Z38</f>
        <v>0</v>
      </c>
      <c r="Z10" s="480">
        <f>'Venda dos Caminhões'!AA38</f>
        <v>0</v>
      </c>
      <c r="AA10" s="480">
        <f>'Venda dos Caminhões'!AB38</f>
        <v>0</v>
      </c>
      <c r="AB10" s="480">
        <f>'Venda dos Caminhões'!AC38</f>
        <v>0</v>
      </c>
      <c r="AC10" s="480">
        <f>'Venda dos Caminhões'!AD38</f>
        <v>7266058.9592765272</v>
      </c>
      <c r="AD10" s="480">
        <f>'Venda dos Caminhões'!AE38</f>
        <v>0</v>
      </c>
      <c r="AE10" s="480">
        <f>'Venda dos Caminhões'!AF38</f>
        <v>0</v>
      </c>
      <c r="AF10" s="480">
        <f>'Venda dos Caminhões'!AG38</f>
        <v>0</v>
      </c>
      <c r="AG10" s="480">
        <f>'Venda dos Caminhões'!AH38</f>
        <v>0</v>
      </c>
      <c r="AH10" s="480">
        <f>'Venda dos Caminhões'!AI38</f>
        <v>0</v>
      </c>
    </row>
    <row r="11" spans="2:34" x14ac:dyDescent="0.35">
      <c r="E11" s="481"/>
      <c r="F11" s="481"/>
      <c r="G11" s="481"/>
      <c r="H11" s="481"/>
      <c r="I11" s="481"/>
      <c r="J11" s="481"/>
      <c r="K11" s="481"/>
      <c r="L11" s="481"/>
      <c r="M11" s="481"/>
      <c r="N11" s="481"/>
      <c r="O11" s="481"/>
      <c r="P11" s="481"/>
      <c r="Q11" s="481"/>
      <c r="R11" s="481"/>
      <c r="S11" s="481"/>
      <c r="T11" s="481"/>
      <c r="U11" s="481"/>
      <c r="V11" s="481"/>
      <c r="W11" s="481"/>
      <c r="X11" s="481"/>
      <c r="Y11" s="481"/>
      <c r="Z11" s="481"/>
      <c r="AA11" s="481"/>
      <c r="AB11" s="481"/>
      <c r="AC11" s="481"/>
      <c r="AD11" s="481"/>
      <c r="AE11" s="481"/>
      <c r="AF11" s="481"/>
      <c r="AG11" s="481"/>
      <c r="AH11" s="481"/>
    </row>
    <row r="12" spans="2:34" s="77" customFormat="1" x14ac:dyDescent="0.35">
      <c r="B12" s="327" t="s">
        <v>440</v>
      </c>
      <c r="C12" s="328"/>
      <c r="D12" s="328"/>
      <c r="E12" s="482">
        <f>SUM(E7:E10)</f>
        <v>46842759.785147183</v>
      </c>
      <c r="F12" s="482">
        <f t="shared" ref="F12:AH12" si="1">SUM(F7:F10)</f>
        <v>50761512.530046195</v>
      </c>
      <c r="G12" s="482">
        <f t="shared" si="1"/>
        <v>52038491.037496328</v>
      </c>
      <c r="H12" s="482">
        <f t="shared" si="1"/>
        <v>52817372.272439964</v>
      </c>
      <c r="I12" s="482">
        <f t="shared" si="1"/>
        <v>53338155.551371142</v>
      </c>
      <c r="J12" s="482">
        <f t="shared" si="1"/>
        <v>53801359.905344352</v>
      </c>
      <c r="K12" s="482">
        <f t="shared" si="1"/>
        <v>54167699.017755128</v>
      </c>
      <c r="L12" s="482">
        <f t="shared" si="1"/>
        <v>54391131.301522218</v>
      </c>
      <c r="M12" s="482">
        <f t="shared" si="1"/>
        <v>62240805.478543244</v>
      </c>
      <c r="N12" s="482">
        <f t="shared" si="1"/>
        <v>61376641.503707692</v>
      </c>
      <c r="O12" s="482">
        <f t="shared" si="1"/>
        <v>55061353.665590197</v>
      </c>
      <c r="P12" s="482">
        <f t="shared" si="1"/>
        <v>55195316.268373974</v>
      </c>
      <c r="Q12" s="482">
        <f t="shared" si="1"/>
        <v>55329278.871157736</v>
      </c>
      <c r="R12" s="482">
        <f t="shared" si="1"/>
        <v>55463241.473941483</v>
      </c>
      <c r="S12" s="482">
        <f t="shared" si="1"/>
        <v>55597204.076725237</v>
      </c>
      <c r="T12" s="482">
        <f t="shared" si="1"/>
        <v>55731893.872569099</v>
      </c>
      <c r="U12" s="482">
        <f t="shared" si="1"/>
        <v>63057117.041640908</v>
      </c>
      <c r="V12" s="482">
        <f t="shared" si="1"/>
        <v>55850222.292159677</v>
      </c>
      <c r="W12" s="482">
        <f t="shared" si="1"/>
        <v>55909386.501954973</v>
      </c>
      <c r="X12" s="482">
        <f t="shared" si="1"/>
        <v>57389995.414935328</v>
      </c>
      <c r="Y12" s="482">
        <f t="shared" si="1"/>
        <v>56027567.160831645</v>
      </c>
      <c r="Z12" s="482">
        <f t="shared" si="1"/>
        <v>56086731.370626941</v>
      </c>
      <c r="AA12" s="482">
        <f t="shared" si="1"/>
        <v>56145895.580422238</v>
      </c>
      <c r="AB12" s="482">
        <f t="shared" si="1"/>
        <v>56205059.790217534</v>
      </c>
      <c r="AC12" s="482">
        <f t="shared" si="1"/>
        <v>63530282.959289357</v>
      </c>
      <c r="AD12" s="482">
        <f t="shared" si="1"/>
        <v>56323388.209808119</v>
      </c>
      <c r="AE12" s="482">
        <f t="shared" si="1"/>
        <v>56382552.419603407</v>
      </c>
      <c r="AF12" s="482">
        <f t="shared" si="1"/>
        <v>56441716.629398704</v>
      </c>
      <c r="AG12" s="482">
        <f t="shared" si="1"/>
        <v>56500880.839194007</v>
      </c>
      <c r="AH12" s="482">
        <f t="shared" si="1"/>
        <v>56560045.048989289</v>
      </c>
    </row>
    <row r="13" spans="2:34" x14ac:dyDescent="0.35">
      <c r="B13" s="77"/>
      <c r="E13" s="476"/>
      <c r="F13" s="476"/>
      <c r="G13" s="476"/>
      <c r="H13" s="476"/>
      <c r="I13" s="476"/>
      <c r="J13" s="476"/>
      <c r="K13" s="476"/>
      <c r="L13" s="476"/>
      <c r="M13" s="476"/>
      <c r="N13" s="476"/>
      <c r="O13" s="476"/>
      <c r="P13" s="476"/>
      <c r="Q13" s="476"/>
      <c r="R13" s="476"/>
      <c r="S13" s="476"/>
      <c r="T13" s="476"/>
      <c r="U13" s="476"/>
      <c r="V13" s="476"/>
      <c r="W13" s="476"/>
      <c r="X13" s="476"/>
      <c r="Y13" s="476"/>
      <c r="Z13" s="476"/>
      <c r="AA13" s="476"/>
      <c r="AB13" s="476"/>
      <c r="AC13" s="476"/>
      <c r="AD13" s="476"/>
      <c r="AE13" s="476"/>
      <c r="AF13" s="476"/>
      <c r="AG13" s="476"/>
      <c r="AH13" s="476"/>
    </row>
    <row r="14" spans="2:34" x14ac:dyDescent="0.35">
      <c r="B14" s="65" t="s">
        <v>408</v>
      </c>
      <c r="C14" t="s">
        <v>441</v>
      </c>
      <c r="E14" s="480">
        <f>IF('Tributos-LP'!G39="LP",-'Tributos-LP'!G7,-'Tributos-LR'!G9)+IF('Tributos-LP'!G39="LP",-'Tributos-LP'!G8,-'Tributos-LR'!G10)+IF('Tributos-LP'!G39="LP",-'Tributos-LP'!G20,-'Tributos-LR'!G12)</f>
        <v>-5666118.3652797947</v>
      </c>
      <c r="F14" s="480">
        <f>IF('Tributos-LP'!H39="LP",-'Tributos-LP'!H7,-'Tributos-LR'!H9)+IF('Tributos-LP'!H39="LP",-'Tributos-LP'!H8,-'Tributos-LR'!H10)+IF('Tributos-LP'!H39="LP",-'Tributos-LP'!H20,-'Tributos-LR'!H12)</f>
        <v>-6034291.6114556547</v>
      </c>
      <c r="G14" s="480">
        <f>IF('Tributos-LP'!I39="LP",-'Tributos-LP'!I7,-'Tributos-LR'!I9)+IF('Tributos-LP'!I39="LP",-'Tributos-LP'!I8,-'Tributos-LR'!I10)+IF('Tributos-LP'!I39="LP",-'Tributos-LP'!I20,-'Tributos-LR'!I12)</f>
        <v>-6158100.7406674922</v>
      </c>
      <c r="H14" s="480">
        <f>IF('Tributos-LP'!J39="LP",-'Tributos-LP'!J7,-'Tributos-LR'!J9)+IF('Tributos-LP'!J39="LP",-'Tributos-LP'!J8,-'Tributos-LR'!J10)+IF('Tributos-LP'!J39="LP",-'Tributos-LP'!J20,-'Tributos-LR'!J12)</f>
        <v>-6235835.8721724786</v>
      </c>
      <c r="I14" s="480">
        <f>IF('Tributos-LP'!K39="LP",-'Tributos-LP'!K7,-'Tributos-LR'!K9)+IF('Tributos-LP'!K39="LP",-'Tributos-LP'!K8,-'Tributos-LR'!K10)+IF('Tributos-LP'!K39="LP",-'Tributos-LP'!K20,-'Tributos-LR'!K12)</f>
        <v>-3302760.2318695281</v>
      </c>
      <c r="J14" s="480">
        <f>IF('Tributos-LP'!L39="LP",-'Tributos-LP'!L7,-'Tributos-LR'!L9)+IF('Tributos-LP'!L39="LP",-'Tributos-LP'!L8,-'Tributos-LR'!L10)+IF('Tributos-LP'!L39="LP",-'Tributos-LP'!L20,-'Tributos-LR'!L12)</f>
        <v>-3325366.7293206509</v>
      </c>
      <c r="K14" s="480">
        <f>IF('Tributos-LP'!M39="LP",-'Tributos-LP'!M7,-'Tributos-LR'!M9)+IF('Tributos-LP'!M39="LP",-'Tributos-LP'!M8,-'Tributos-LR'!M10)+IF('Tributos-LP'!M39="LP",-'Tributos-LP'!M20,-'Tributos-LR'!M12)</f>
        <v>-3343380.7634532079</v>
      </c>
      <c r="L14" s="480">
        <f>IF('Tributos-LP'!N39="LP",-'Tributos-LP'!N7,-'Tributos-LR'!N9)+IF('Tributos-LP'!N39="LP",-'Tributos-LP'!N8,-'Tributos-LR'!N10)+IF('Tributos-LP'!N39="LP",-'Tributos-LP'!N20,-'Tributos-LR'!N12)</f>
        <v>-3356178.6983402707</v>
      </c>
      <c r="M14" s="480">
        <f>IF('Tributos-LP'!O39="LP",-'Tributos-LP'!O7,-'Tributos-LR'!O9)+IF('Tributos-LP'!O39="LP",-'Tributos-LP'!O8,-'Tributos-LR'!O10)+IF('Tributos-LP'!O39="LP",-'Tributos-LP'!O20,-'Tributos-LR'!O12)</f>
        <v>-3647334.4623311027</v>
      </c>
      <c r="N14" s="480">
        <f>IF('Tributos-LP'!P39="LP",-'Tributos-LP'!P7,-'Tributos-LR'!P9)+IF('Tributos-LP'!P39="LP",-'Tributos-LP'!P8,-'Tributos-LR'!P10)+IF('Tributos-LP'!P39="LP",-'Tributos-LP'!P20,-'Tributos-LR'!P12)</f>
        <v>-3620435.1337791695</v>
      </c>
      <c r="O14" s="480">
        <f>IF('Tributos-LP'!Q39="LP",-'Tributos-LP'!Q7,-'Tributos-LR'!Q9)+IF('Tributos-LP'!Q39="LP",-'Tributos-LP'!Q8,-'Tributos-LR'!Q10)+IF('Tributos-LP'!Q39="LP",-'Tributos-LP'!Q20,-'Tributos-LR'!Q12)</f>
        <v>-3394568.7747612754</v>
      </c>
      <c r="P14" s="480">
        <f>IF('Tributos-LP'!R39="LP",-'Tributos-LP'!R7,-'Tributos-LR'!R9)+IF('Tributos-LP'!R39="LP",-'Tributos-LP'!R8,-'Tributos-LR'!R10)+IF('Tributos-LP'!R39="LP",-'Tributos-LP'!R20,-'Tributos-LR'!R12)</f>
        <v>-3401885.7379682651</v>
      </c>
      <c r="Q14" s="480">
        <f>IF('Tributos-LP'!S39="LP",-'Tributos-LP'!S7,-'Tributos-LR'!S9)+IF('Tributos-LP'!S39="LP",-'Tributos-LP'!S8,-'Tributos-LR'!S10)+IF('Tributos-LP'!S39="LP",-'Tributos-LP'!S20,-'Tributos-LR'!S12)</f>
        <v>-3409202.7011752552</v>
      </c>
      <c r="R14" s="480">
        <f>IF('Tributos-LP'!T39="LP",-'Tributos-LP'!T7,-'Tributos-LR'!T9)+IF('Tributos-LP'!T39="LP",-'Tributos-LP'!T8,-'Tributos-LR'!T10)+IF('Tributos-LP'!T39="LP",-'Tributos-LP'!T20,-'Tributos-LR'!T12)</f>
        <v>-3416519.6643822445</v>
      </c>
      <c r="S14" s="480">
        <f>IF('Tributos-LP'!U39="LP",-'Tributos-LP'!U7,-'Tributos-LR'!U9)+IF('Tributos-LP'!U39="LP",-'Tributos-LP'!U8,-'Tributos-LR'!U10)+IF('Tributos-LP'!U39="LP",-'Tributos-LP'!U20,-'Tributos-LR'!U12)</f>
        <v>-3423836.6275892342</v>
      </c>
      <c r="T14" s="480">
        <f>IF('Tributos-LP'!V39="LP",-'Tributos-LP'!V7,-'Tributos-LR'!V9)+IF('Tributos-LP'!V39="LP",-'Tributos-LP'!V8,-'Tributos-LR'!V10)+IF('Tributos-LP'!V39="LP",-'Tributos-LP'!V20,-'Tributos-LR'!V12)</f>
        <v>-3431191.3559296988</v>
      </c>
      <c r="U14" s="480">
        <f>IF('Tributos-LP'!W39="LP",-'Tributos-LP'!W7,-'Tributos-LR'!W9)+IF('Tributos-LP'!W39="LP",-'Tributos-LP'!W8,-'Tributos-LR'!W10)+IF('Tributos-LP'!W39="LP",-'Tributos-LP'!W20,-'Tributos-LR'!W12)</f>
        <v>-3699130.7121420419</v>
      </c>
      <c r="V14" s="480">
        <f>IF('Tributos-LP'!X39="LP",-'Tributos-LP'!X7,-'Tributos-LR'!X9)+IF('Tributos-LP'!X39="LP",-'Tributos-LP'!X8,-'Tributos-LR'!X10)+IF('Tributos-LP'!X39="LP",-'Tributos-LP'!X20,-'Tributos-LR'!X12)</f>
        <v>-3436647.7643272001</v>
      </c>
      <c r="W14" s="480">
        <f>IF('Tributos-LP'!Y39="LP",-'Tributos-LP'!Y7,-'Tributos-LR'!Y9)+IF('Tributos-LP'!Y39="LP",-'Tributos-LP'!Y8,-'Tributos-LR'!Y10)+IF('Tributos-LP'!Y39="LP",-'Tributos-LP'!Y20,-'Tributos-LR'!Y12)</f>
        <v>-3439375.9685259508</v>
      </c>
      <c r="X14" s="480">
        <f>IF('Tributos-LP'!Z39="LP",-'Tributos-LP'!Z7,-'Tributos-LR'!Z9)+IF('Tributos-LP'!Z39="LP",-'Tributos-LP'!Z8,-'Tributos-LR'!Z10)+IF('Tributos-LP'!Z39="LP",-'Tributos-LP'!Z20,-'Tributos-LR'!Z12)</f>
        <v>-3493986.9043909563</v>
      </c>
      <c r="Y14" s="480">
        <f>IF('Tributos-LP'!AA39="LP",-'Tributos-LP'!AA7,-'Tributos-LR'!AA9)+IF('Tributos-LP'!AA39="LP",-'Tributos-LP'!AA8,-'Tributos-LR'!AA10)+IF('Tributos-LP'!AA39="LP",-'Tributos-LP'!AA20,-'Tributos-LR'!AA12)</f>
        <v>-3444830.5512058334</v>
      </c>
      <c r="Z14" s="480">
        <f>IF('Tributos-LP'!AB39="LP",-'Tributos-LP'!AB7,-'Tributos-LR'!AB9)+IF('Tributos-LP'!AB39="LP",-'Tributos-LP'!AB8,-'Tributos-LR'!AB10)+IF('Tributos-LP'!AB39="LP",-'Tributos-LP'!AB20,-'Tributos-LR'!AB12)</f>
        <v>-3447558.7554045841</v>
      </c>
      <c r="AA14" s="480">
        <f>IF('Tributos-LP'!AC39="LP",-'Tributos-LP'!AC7,-'Tributos-LR'!AC9)+IF('Tributos-LP'!AC39="LP",-'Tributos-LP'!AC8,-'Tributos-LR'!AC10)+IF('Tributos-LP'!AC39="LP",-'Tributos-LP'!AC20,-'Tributos-LR'!AC12)</f>
        <v>-3450286.9596033352</v>
      </c>
      <c r="AB14" s="480">
        <f>IF('Tributos-LP'!AD39="LP",-'Tributos-LP'!AD7,-'Tributos-LR'!AD9)+IF('Tributos-LP'!AD39="LP",-'Tributos-LP'!AD8,-'Tributos-LR'!AD10)+IF('Tributos-LP'!AD39="LP",-'Tributos-LP'!AD20,-'Tributos-LR'!AD12)</f>
        <v>-3453015.1638020859</v>
      </c>
      <c r="AC14" s="480">
        <f>IF('Tributos-LP'!AE39="LP",-'Tributos-LP'!AE7,-'Tributos-LR'!AE9)+IF('Tributos-LP'!AE39="LP",-'Tributos-LP'!AE8,-'Tributos-LR'!AE10)+IF('Tributos-LP'!AE39="LP",-'Tributos-LP'!AE20,-'Tributos-LR'!AE12)</f>
        <v>-3720954.5200144304</v>
      </c>
      <c r="AD14" s="480">
        <f>IF('Tributos-LP'!AF39="LP",-'Tributos-LP'!AF7,-'Tributos-LR'!AF9)+IF('Tributos-LP'!AF39="LP",-'Tributos-LP'!AF8,-'Tributos-LR'!AF10)+IF('Tributos-LP'!AF39="LP",-'Tributos-LP'!AF20,-'Tributos-LR'!AF12)</f>
        <v>-6612581.3119488414</v>
      </c>
      <c r="AE14" s="480">
        <f>IF('Tributos-LP'!AG39="LP",-'Tributos-LP'!AG7,-'Tributos-LR'!AG9)+IF('Tributos-LP'!AG39="LP",-'Tributos-LP'!AG8,-'Tributos-LR'!AG10)+IF('Tributos-LP'!AG39="LP",-'Tributos-LP'!AG20,-'Tributos-LR'!AG12)</f>
        <v>-6618622.7118961299</v>
      </c>
      <c r="AF14" s="480">
        <f>IF('Tributos-LP'!AH39="LP",-'Tributos-LP'!AH7,-'Tributos-LR'!AH9)+IF('Tributos-LP'!AH39="LP",-'Tributos-LP'!AH8,-'Tributos-LR'!AH10)+IF('Tributos-LP'!AH39="LP",-'Tributos-LP'!AH20,-'Tributos-LR'!AH12)</f>
        <v>-6624664.1118434165</v>
      </c>
      <c r="AG14" s="480">
        <f>IF('Tributos-LP'!AI39="LP",-'Tributos-LP'!AI7,-'Tributos-LR'!AI9)+IF('Tributos-LP'!AI39="LP",-'Tributos-LP'!AI8,-'Tributos-LR'!AI10)+IF('Tributos-LP'!AI39="LP",-'Tributos-LP'!AI20,-'Tributos-LR'!AI12)</f>
        <v>-3466656.1847958402</v>
      </c>
      <c r="AH14" s="480">
        <f>IF('Tributos-LP'!AJ39="LP",-'Tributos-LP'!AJ7,-'Tributos-LR'!AJ9)+IF('Tributos-LP'!AJ39="LP",-'Tributos-LP'!AJ8,-'Tributos-LR'!AJ10)+IF('Tributos-LP'!AJ39="LP",-'Tributos-LP'!AJ20,-'Tributos-LR'!AJ12)</f>
        <v>-6636746.9117379906</v>
      </c>
    </row>
    <row r="15" spans="2:34" x14ac:dyDescent="0.35">
      <c r="B15" s="65" t="s">
        <v>403</v>
      </c>
      <c r="C15" t="s">
        <v>442</v>
      </c>
      <c r="E15" s="480">
        <f>IF('Tributos-LP'!G39="LP",0,'Tributos-LR'!G30+'Tributos-LR'!G31)</f>
        <v>372613.20554616989</v>
      </c>
      <c r="F15" s="480">
        <f>IF('Tributos-LP'!H39="LP",0,'Tributos-LR'!H30+'Tributos-LR'!H31)</f>
        <v>372613.20554616989</v>
      </c>
      <c r="G15" s="480">
        <f>IF('Tributos-LP'!I39="LP",0,'Tributos-LR'!I30+'Tributos-LR'!I31)</f>
        <v>372613.20554616989</v>
      </c>
      <c r="H15" s="480">
        <f>IF('Tributos-LP'!J39="LP",0,'Tributos-LR'!J30+'Tributos-LR'!J31)</f>
        <v>372613.20554616989</v>
      </c>
      <c r="I15" s="480">
        <f>IF('Tributos-LP'!K39="LP",0,'Tributos-LR'!K30+'Tributos-LR'!K31)</f>
        <v>0</v>
      </c>
      <c r="J15" s="480">
        <f>IF('Tributos-LP'!L39="LP",0,'Tributos-LR'!L30+'Tributos-LR'!L31)</f>
        <v>0</v>
      </c>
      <c r="K15" s="480">
        <f>IF('Tributos-LP'!M39="LP",0,'Tributos-LR'!M30+'Tributos-LR'!M31)</f>
        <v>0</v>
      </c>
      <c r="L15" s="480">
        <f>IF('Tributos-LP'!N39="LP",0,'Tributos-LR'!N30+'Tributos-LR'!N31)</f>
        <v>0</v>
      </c>
      <c r="M15" s="480">
        <f>IF('Tributos-LP'!O39="LP",0,'Tributos-LR'!O30+'Tributos-LR'!O31)</f>
        <v>0</v>
      </c>
      <c r="N15" s="480">
        <f>IF('Tributos-LP'!P39="LP",0,'Tributos-LR'!P30+'Tributos-LR'!P31)</f>
        <v>0</v>
      </c>
      <c r="O15" s="480">
        <f>IF('Tributos-LP'!Q39="LP",0,'Tributos-LR'!Q30+'Tributos-LR'!Q31)</f>
        <v>0</v>
      </c>
      <c r="P15" s="480">
        <f>IF('Tributos-LP'!R39="LP",0,'Tributos-LR'!R30+'Tributos-LR'!R31)</f>
        <v>0</v>
      </c>
      <c r="Q15" s="480">
        <f>IF('Tributos-LP'!S39="LP",0,'Tributos-LR'!S30+'Tributos-LR'!S31)</f>
        <v>0</v>
      </c>
      <c r="R15" s="480">
        <f>IF('Tributos-LP'!T39="LP",0,'Tributos-LR'!T30+'Tributos-LR'!T31)</f>
        <v>0</v>
      </c>
      <c r="S15" s="480">
        <f>IF('Tributos-LP'!U39="LP",0,'Tributos-LR'!U30+'Tributos-LR'!U31)</f>
        <v>0</v>
      </c>
      <c r="T15" s="480">
        <f>IF('Tributos-LP'!V39="LP",0,'Tributos-LR'!V30+'Tributos-LR'!V31)</f>
        <v>0</v>
      </c>
      <c r="U15" s="480">
        <f>IF('Tributos-LP'!W39="LP",0,'Tributos-LR'!W30+'Tributos-LR'!W31)</f>
        <v>0</v>
      </c>
      <c r="V15" s="480">
        <f>IF('Tributos-LP'!X39="LP",0,'Tributos-LR'!X30+'Tributos-LR'!X31)</f>
        <v>0</v>
      </c>
      <c r="W15" s="480">
        <f>IF('Tributos-LP'!Y39="LP",0,'Tributos-LR'!Y30+'Tributos-LR'!Y31)</f>
        <v>0</v>
      </c>
      <c r="X15" s="480">
        <f>IF('Tributos-LP'!Z39="LP",0,'Tributos-LR'!Z30+'Tributos-LR'!Z31)</f>
        <v>0</v>
      </c>
      <c r="Y15" s="480">
        <f>IF('Tributos-LP'!AA39="LP",0,'Tributos-LR'!AA30+'Tributos-LR'!AA31)</f>
        <v>0</v>
      </c>
      <c r="Z15" s="480">
        <f>IF('Tributos-LP'!AB39="LP",0,'Tributos-LR'!AB30+'Tributos-LR'!AB31)</f>
        <v>0</v>
      </c>
      <c r="AA15" s="480">
        <f>IF('Tributos-LP'!AC39="LP",0,'Tributos-LR'!AC30+'Tributos-LR'!AC31)</f>
        <v>0</v>
      </c>
      <c r="AB15" s="480">
        <f>IF('Tributos-LP'!AD39="LP",0,'Tributos-LR'!AD30+'Tributos-LR'!AD31)</f>
        <v>0</v>
      </c>
      <c r="AC15" s="480">
        <f>IF('Tributos-LP'!AE39="LP",0,'Tributos-LR'!AE30+'Tributos-LR'!AE31)</f>
        <v>0</v>
      </c>
      <c r="AD15" s="480">
        <f>IF('Tributos-LP'!AF39="LP",0,'Tributos-LR'!AF30+'Tributos-LR'!AF31)</f>
        <v>461999.24519365904</v>
      </c>
      <c r="AE15" s="480">
        <f>IF('Tributos-LP'!AG39="LP",0,'Tributos-LR'!AG30+'Tributos-LR'!AG31)</f>
        <v>461999.24519365904</v>
      </c>
      <c r="AF15" s="480">
        <f>IF('Tributos-LP'!AH39="LP",0,'Tributos-LR'!AH30+'Tributos-LR'!AH31)</f>
        <v>461999.24519365904</v>
      </c>
      <c r="AG15" s="480">
        <f>IF('Tributos-LP'!AI39="LP",0,'Tributos-LR'!AI30+'Tributos-LR'!AI31)</f>
        <v>0</v>
      </c>
      <c r="AH15" s="480">
        <f>IF('Tributos-LP'!AJ39="LP",0,'Tributos-LR'!AJ30+'Tributos-LR'!AJ31)</f>
        <v>461999.24519365904</v>
      </c>
    </row>
    <row r="16" spans="2:34" x14ac:dyDescent="0.35">
      <c r="B16" s="65"/>
      <c r="E16" s="476"/>
      <c r="F16" s="476"/>
      <c r="G16" s="476"/>
      <c r="H16" s="476"/>
      <c r="I16" s="476"/>
      <c r="J16" s="476"/>
      <c r="K16" s="476"/>
      <c r="L16" s="476"/>
      <c r="M16" s="476"/>
      <c r="N16" s="476"/>
      <c r="O16" s="476"/>
      <c r="P16" s="476"/>
      <c r="Q16" s="476"/>
      <c r="R16" s="476"/>
      <c r="S16" s="476"/>
      <c r="T16" s="476"/>
      <c r="U16" s="476"/>
      <c r="V16" s="476"/>
      <c r="W16" s="476"/>
      <c r="X16" s="476"/>
      <c r="Y16" s="476"/>
      <c r="Z16" s="476"/>
      <c r="AA16" s="476"/>
      <c r="AB16" s="476"/>
      <c r="AC16" s="476"/>
      <c r="AD16" s="476"/>
      <c r="AE16" s="476"/>
      <c r="AF16" s="476"/>
      <c r="AG16" s="476"/>
      <c r="AH16" s="476"/>
    </row>
    <row r="17" spans="2:34" x14ac:dyDescent="0.35">
      <c r="B17" s="329" t="s">
        <v>443</v>
      </c>
      <c r="C17" s="328"/>
      <c r="D17" s="328"/>
      <c r="E17" s="482">
        <f>E12+E14+E15</f>
        <v>41549254.625413559</v>
      </c>
      <c r="F17" s="482">
        <f t="shared" ref="F17:AH17" si="2">F12+F14+F15</f>
        <v>45099834.124136709</v>
      </c>
      <c r="G17" s="482">
        <f t="shared" si="2"/>
        <v>46253003.502375007</v>
      </c>
      <c r="H17" s="482">
        <f t="shared" si="2"/>
        <v>46954149.605813652</v>
      </c>
      <c r="I17" s="482">
        <f t="shared" si="2"/>
        <v>50035395.319501616</v>
      </c>
      <c r="J17" s="482">
        <f t="shared" si="2"/>
        <v>50475993.176023699</v>
      </c>
      <c r="K17" s="482">
        <f t="shared" si="2"/>
        <v>50824318.254301921</v>
      </c>
      <c r="L17" s="482">
        <f t="shared" si="2"/>
        <v>51034952.603181943</v>
      </c>
      <c r="M17" s="482">
        <f t="shared" si="2"/>
        <v>58593471.016212143</v>
      </c>
      <c r="N17" s="482">
        <f t="shared" si="2"/>
        <v>57756206.369928524</v>
      </c>
      <c r="O17" s="482">
        <f t="shared" si="2"/>
        <v>51666784.890828922</v>
      </c>
      <c r="P17" s="482">
        <f t="shared" si="2"/>
        <v>51793430.530405708</v>
      </c>
      <c r="Q17" s="482">
        <f t="shared" si="2"/>
        <v>51920076.169982478</v>
      </c>
      <c r="R17" s="482">
        <f t="shared" si="2"/>
        <v>52046721.809559241</v>
      </c>
      <c r="S17" s="482">
        <f t="shared" si="2"/>
        <v>52173367.449136004</v>
      </c>
      <c r="T17" s="482">
        <f t="shared" si="2"/>
        <v>52300702.516639397</v>
      </c>
      <c r="U17" s="482">
        <f t="shared" si="2"/>
        <v>59357986.329498865</v>
      </c>
      <c r="V17" s="482">
        <f t="shared" si="2"/>
        <v>52413574.527832478</v>
      </c>
      <c r="W17" s="482">
        <f t="shared" si="2"/>
        <v>52470010.533429019</v>
      </c>
      <c r="X17" s="482">
        <f t="shared" si="2"/>
        <v>53896008.510544375</v>
      </c>
      <c r="Y17" s="482">
        <f t="shared" si="2"/>
        <v>52582736.609625809</v>
      </c>
      <c r="Z17" s="482">
        <f t="shared" si="2"/>
        <v>52639172.615222357</v>
      </c>
      <c r="AA17" s="482">
        <f t="shared" si="2"/>
        <v>52695608.620818906</v>
      </c>
      <c r="AB17" s="482">
        <f t="shared" si="2"/>
        <v>52752044.626415446</v>
      </c>
      <c r="AC17" s="482">
        <f t="shared" si="2"/>
        <v>59809328.439274929</v>
      </c>
      <c r="AD17" s="482">
        <f t="shared" si="2"/>
        <v>50172806.143052936</v>
      </c>
      <c r="AE17" s="482">
        <f t="shared" si="2"/>
        <v>50225928.952900939</v>
      </c>
      <c r="AF17" s="482">
        <f t="shared" si="2"/>
        <v>50279051.762748949</v>
      </c>
      <c r="AG17" s="482">
        <f t="shared" si="2"/>
        <v>53034224.654398166</v>
      </c>
      <c r="AH17" s="482">
        <f t="shared" si="2"/>
        <v>50385297.382444955</v>
      </c>
    </row>
    <row r="18" spans="2:34" s="77" customFormat="1" ht="8.25" customHeight="1" x14ac:dyDescent="0.35">
      <c r="B18" s="330"/>
      <c r="C18"/>
      <c r="D18"/>
      <c r="E18" s="356"/>
      <c r="F18" s="356"/>
      <c r="G18" s="356"/>
      <c r="H18" s="356"/>
      <c r="I18" s="356"/>
      <c r="J18" s="356"/>
      <c r="K18" s="356"/>
      <c r="L18" s="356"/>
      <c r="M18" s="356"/>
      <c r="N18" s="356"/>
      <c r="O18" s="356"/>
      <c r="P18" s="356"/>
      <c r="Q18" s="356"/>
      <c r="R18" s="356"/>
      <c r="S18" s="356"/>
      <c r="T18" s="356"/>
      <c r="U18" s="356"/>
      <c r="V18" s="356"/>
      <c r="W18" s="356"/>
      <c r="X18" s="356"/>
      <c r="Y18" s="356"/>
      <c r="Z18" s="356"/>
      <c r="AA18" s="356"/>
      <c r="AB18" s="356"/>
      <c r="AC18" s="356"/>
      <c r="AD18" s="356"/>
      <c r="AE18" s="356"/>
      <c r="AF18" s="356"/>
      <c r="AG18" s="356"/>
      <c r="AH18" s="356"/>
    </row>
    <row r="19" spans="2:34" x14ac:dyDescent="0.35">
      <c r="B19" s="65" t="s">
        <v>408</v>
      </c>
      <c r="C19" t="s">
        <v>444</v>
      </c>
      <c r="E19" s="480">
        <f>-'CAPEX E OPEX'!F256-'CAPEX E OPEX'!F33</f>
        <v>-52367357.719465069</v>
      </c>
      <c r="F19" s="480">
        <f>-'CAPEX E OPEX'!G256-'CAPEX E OPEX'!G33</f>
        <v>-44665486.699304253</v>
      </c>
      <c r="G19" s="480">
        <f>-'CAPEX E OPEX'!H256-'CAPEX E OPEX'!H33</f>
        <v>-40939721.789811641</v>
      </c>
      <c r="H19" s="480">
        <f>-'CAPEX E OPEX'!I256-'CAPEX E OPEX'!I33</f>
        <v>-40918567.17024941</v>
      </c>
      <c r="I19" s="480">
        <f>-'CAPEX E OPEX'!J256-'CAPEX E OPEX'!J33</f>
        <v>-29805874.488303609</v>
      </c>
      <c r="J19" s="480">
        <f>-'CAPEX E OPEX'!K256-'CAPEX E OPEX'!K33</f>
        <v>-29543409.96420994</v>
      </c>
      <c r="K19" s="480">
        <f>-'CAPEX E OPEX'!L256-'CAPEX E OPEX'!L33</f>
        <v>-29551248.484402429</v>
      </c>
      <c r="L19" s="480">
        <f>-'CAPEX E OPEX'!M256-'CAPEX E OPEX'!M33</f>
        <v>-32869329.43549275</v>
      </c>
      <c r="M19" s="480">
        <f>-'CAPEX E OPEX'!N256-'CAPEX E OPEX'!N33</f>
        <v>-32379767.671068929</v>
      </c>
      <c r="N19" s="480">
        <f>-'CAPEX E OPEX'!O256-'CAPEX E OPEX'!O33</f>
        <v>-32494469.184645817</v>
      </c>
      <c r="O19" s="480">
        <f>-'CAPEX E OPEX'!P256-'CAPEX E OPEX'!P33</f>
        <v>-34073961.235838518</v>
      </c>
      <c r="P19" s="480">
        <f>-'CAPEX E OPEX'!Q256-'CAPEX E OPEX'!Q33</f>
        <v>-34014613.183910578</v>
      </c>
      <c r="Q19" s="480">
        <f>-'CAPEX E OPEX'!R256-'CAPEX E OPEX'!R33</f>
        <v>-34023099.693472944</v>
      </c>
      <c r="R19" s="480">
        <f>-'CAPEX E OPEX'!S256-'CAPEX E OPEX'!S33</f>
        <v>-34038041.770653635</v>
      </c>
      <c r="S19" s="480">
        <f>-'CAPEX E OPEX'!T256-'CAPEX E OPEX'!T33</f>
        <v>-34196298.173812643</v>
      </c>
      <c r="T19" s="480">
        <f>-'CAPEX E OPEX'!U256-'CAPEX E OPEX'!U33</f>
        <v>-34049356.348610476</v>
      </c>
      <c r="U19" s="480">
        <f>-'CAPEX E OPEX'!V256-'CAPEX E OPEX'!V33</f>
        <v>-34104796.764545985</v>
      </c>
      <c r="V19" s="480">
        <f>-'CAPEX E OPEX'!W256-'CAPEX E OPEX'!W33</f>
        <v>-34059625.536734246</v>
      </c>
      <c r="W19" s="480">
        <f>-'CAPEX E OPEX'!X256-'CAPEX E OPEX'!X33</f>
        <v>-34053181.778054267</v>
      </c>
      <c r="X19" s="480">
        <f>-'CAPEX E OPEX'!Y256-'CAPEX E OPEX'!Y33</f>
        <v>-34210015.629112035</v>
      </c>
      <c r="Y19" s="480">
        <f>-'CAPEX E OPEX'!Z256-'CAPEX E OPEX'!Z33</f>
        <v>-34080356.711504951</v>
      </c>
      <c r="Z19" s="480">
        <f>-'CAPEX E OPEX'!AA256-'CAPEX E OPEX'!AA33</f>
        <v>-34057770.281908281</v>
      </c>
      <c r="AA19" s="480">
        <f>-'CAPEX E OPEX'!AB256-'CAPEX E OPEX'!AB33</f>
        <v>-34076527.807672366</v>
      </c>
      <c r="AB19" s="480">
        <f>-'CAPEX E OPEX'!AC256-'CAPEX E OPEX'!AC33</f>
        <v>-34069630.071329206</v>
      </c>
      <c r="AC19" s="480">
        <f>-'CAPEX E OPEX'!AD256-'CAPEX E OPEX'!AD33</f>
        <v>-34256020.917757809</v>
      </c>
      <c r="AD19" s="480">
        <f>-'CAPEX E OPEX'!AE256-'CAPEX E OPEX'!AE33</f>
        <v>-34070241.934339166</v>
      </c>
      <c r="AE19" s="480">
        <f>-'CAPEX E OPEX'!AF256-'CAPEX E OPEX'!AF33</f>
        <v>-34065345.706586286</v>
      </c>
      <c r="AF19" s="480">
        <f>-'CAPEX E OPEX'!AG256-'CAPEX E OPEX'!AG33</f>
        <v>-34066851.446869157</v>
      </c>
      <c r="AG19" s="480">
        <f>-'CAPEX E OPEX'!AH256-'CAPEX E OPEX'!AH33</f>
        <v>-34074253.98226779</v>
      </c>
      <c r="AH19" s="480">
        <f>-'CAPEX E OPEX'!AI256-'CAPEX E OPEX'!AI33</f>
        <v>-34222741.420069173</v>
      </c>
    </row>
    <row r="20" spans="2:34" x14ac:dyDescent="0.35">
      <c r="E20" s="476"/>
      <c r="F20" s="476"/>
      <c r="G20" s="476"/>
      <c r="H20" s="476"/>
      <c r="I20" s="476"/>
      <c r="J20" s="476"/>
      <c r="K20" s="476"/>
      <c r="L20" s="476"/>
      <c r="M20" s="476"/>
      <c r="N20" s="476"/>
      <c r="O20" s="476"/>
      <c r="P20" s="476"/>
      <c r="Q20" s="476"/>
      <c r="R20" s="476"/>
      <c r="S20" s="476"/>
      <c r="T20" s="476"/>
      <c r="U20" s="476"/>
      <c r="V20" s="476"/>
      <c r="W20" s="476"/>
      <c r="X20" s="476"/>
      <c r="Y20" s="476"/>
      <c r="Z20" s="476"/>
      <c r="AA20" s="476"/>
      <c r="AB20" s="476"/>
      <c r="AC20" s="476"/>
      <c r="AD20" s="476"/>
      <c r="AE20" s="476"/>
      <c r="AF20" s="476"/>
      <c r="AG20" s="476"/>
      <c r="AH20" s="476"/>
    </row>
    <row r="21" spans="2:34" x14ac:dyDescent="0.35">
      <c r="B21" s="327" t="s">
        <v>445</v>
      </c>
      <c r="C21" s="328"/>
      <c r="D21" s="328"/>
      <c r="E21" s="478">
        <f>E17+E19</f>
        <v>-10818103.09405151</v>
      </c>
      <c r="F21" s="478">
        <f t="shared" ref="F21:AH21" si="3">F17+F19</f>
        <v>434347.42483245581</v>
      </c>
      <c r="G21" s="478">
        <f t="shared" si="3"/>
        <v>5313281.7125633657</v>
      </c>
      <c r="H21" s="478">
        <f t="shared" si="3"/>
        <v>6035582.4355642423</v>
      </c>
      <c r="I21" s="478">
        <f t="shared" si="3"/>
        <v>20229520.831198007</v>
      </c>
      <c r="J21" s="478">
        <f t="shared" si="3"/>
        <v>20932583.211813759</v>
      </c>
      <c r="K21" s="478">
        <f t="shared" si="3"/>
        <v>21273069.769899491</v>
      </c>
      <c r="L21" s="478">
        <f t="shared" si="3"/>
        <v>18165623.167689193</v>
      </c>
      <c r="M21" s="478">
        <f t="shared" si="3"/>
        <v>26213703.345143214</v>
      </c>
      <c r="N21" s="478">
        <f t="shared" si="3"/>
        <v>25261737.185282707</v>
      </c>
      <c r="O21" s="478">
        <f t="shared" si="3"/>
        <v>17592823.654990405</v>
      </c>
      <c r="P21" s="478">
        <f t="shared" si="3"/>
        <v>17778817.346495129</v>
      </c>
      <c r="Q21" s="478">
        <f t="shared" si="3"/>
        <v>17896976.476509534</v>
      </c>
      <c r="R21" s="478">
        <f t="shared" si="3"/>
        <v>18008680.038905606</v>
      </c>
      <c r="S21" s="478">
        <f t="shared" si="3"/>
        <v>17977069.275323361</v>
      </c>
      <c r="T21" s="478">
        <f t="shared" si="3"/>
        <v>18251346.168028921</v>
      </c>
      <c r="U21" s="478">
        <f t="shared" si="3"/>
        <v>25253189.56495288</v>
      </c>
      <c r="V21" s="478">
        <f t="shared" si="3"/>
        <v>18353948.991098233</v>
      </c>
      <c r="W21" s="478">
        <f t="shared" si="3"/>
        <v>18416828.755374752</v>
      </c>
      <c r="X21" s="478">
        <f t="shared" si="3"/>
        <v>19685992.88143234</v>
      </c>
      <c r="Y21" s="478">
        <f t="shared" si="3"/>
        <v>18502379.898120858</v>
      </c>
      <c r="Z21" s="478">
        <f t="shared" si="3"/>
        <v>18581402.333314076</v>
      </c>
      <c r="AA21" s="478">
        <f t="shared" si="3"/>
        <v>18619080.813146539</v>
      </c>
      <c r="AB21" s="478">
        <f t="shared" si="3"/>
        <v>18682414.55508624</v>
      </c>
      <c r="AC21" s="478">
        <f t="shared" si="3"/>
        <v>25553307.52151712</v>
      </c>
      <c r="AD21" s="478">
        <f t="shared" si="3"/>
        <v>16102564.20871377</v>
      </c>
      <c r="AE21" s="478">
        <f t="shared" si="3"/>
        <v>16160583.246314652</v>
      </c>
      <c r="AF21" s="478">
        <f t="shared" si="3"/>
        <v>16212200.315879792</v>
      </c>
      <c r="AG21" s="478">
        <f t="shared" si="3"/>
        <v>18959970.672130376</v>
      </c>
      <c r="AH21" s="478">
        <f t="shared" si="3"/>
        <v>16162555.962375782</v>
      </c>
    </row>
    <row r="22" spans="2:34" x14ac:dyDescent="0.35">
      <c r="B22" s="331" t="s">
        <v>446</v>
      </c>
      <c r="C22" s="331"/>
      <c r="D22" s="331"/>
      <c r="E22" s="483">
        <f>IF(E17=0,0,E21/E17)</f>
        <v>-0.26036816283665959</v>
      </c>
      <c r="F22" s="483">
        <f t="shared" ref="F22:AH22" si="4">IF(F17=0,0,F21/F17)</f>
        <v>9.6307987217185802E-3</v>
      </c>
      <c r="G22" s="483">
        <f t="shared" si="4"/>
        <v>0.11487430675265312</v>
      </c>
      <c r="H22" s="483">
        <f t="shared" si="4"/>
        <v>0.12854204551107329</v>
      </c>
      <c r="I22" s="483">
        <f t="shared" si="4"/>
        <v>0.40430420709224257</v>
      </c>
      <c r="J22" s="483">
        <f t="shared" si="4"/>
        <v>0.41470374121844561</v>
      </c>
      <c r="K22" s="483">
        <f t="shared" si="4"/>
        <v>0.41856084843988783</v>
      </c>
      <c r="L22" s="483">
        <f t="shared" si="4"/>
        <v>0.35594474455447223</v>
      </c>
      <c r="M22" s="483">
        <f t="shared" si="4"/>
        <v>0.44738266722396736</v>
      </c>
      <c r="N22" s="483">
        <f t="shared" si="4"/>
        <v>0.43738567286572239</v>
      </c>
      <c r="O22" s="483">
        <f t="shared" si="4"/>
        <v>0.34050548514221962</v>
      </c>
      <c r="P22" s="483">
        <f t="shared" si="4"/>
        <v>0.343263946111041</v>
      </c>
      <c r="Q22" s="483">
        <f t="shared" si="4"/>
        <v>0.34470243105800075</v>
      </c>
      <c r="R22" s="483">
        <f t="shared" si="4"/>
        <v>0.34600988136774474</v>
      </c>
      <c r="S22" s="483">
        <f t="shared" si="4"/>
        <v>0.34456409762795681</v>
      </c>
      <c r="T22" s="483">
        <f t="shared" si="4"/>
        <v>0.34896942660038421</v>
      </c>
      <c r="U22" s="483">
        <f t="shared" si="4"/>
        <v>0.42543878467795865</v>
      </c>
      <c r="V22" s="483">
        <f t="shared" si="4"/>
        <v>0.35017548710309732</v>
      </c>
      <c r="W22" s="483">
        <f t="shared" si="4"/>
        <v>0.35099723762474294</v>
      </c>
      <c r="X22" s="483">
        <f t="shared" si="4"/>
        <v>0.36525882761022854</v>
      </c>
      <c r="Y22" s="483">
        <f t="shared" si="4"/>
        <v>0.3518717566086853</v>
      </c>
      <c r="Z22" s="483">
        <f t="shared" si="4"/>
        <v>0.35299571422102194</v>
      </c>
      <c r="AA22" s="483">
        <f t="shared" si="4"/>
        <v>0.35333268369900828</v>
      </c>
      <c r="AB22" s="483">
        <f t="shared" si="4"/>
        <v>0.35415526900223826</v>
      </c>
      <c r="AC22" s="483">
        <f t="shared" si="4"/>
        <v>0.42724618698004069</v>
      </c>
      <c r="AD22" s="483">
        <f t="shared" si="4"/>
        <v>0.32094206895269251</v>
      </c>
      <c r="AE22" s="483">
        <f t="shared" si="4"/>
        <v>0.32175777697350588</v>
      </c>
      <c r="AF22" s="483">
        <f t="shared" si="4"/>
        <v>0.32244443257164179</v>
      </c>
      <c r="AG22" s="483">
        <f t="shared" si="4"/>
        <v>0.35750443785469788</v>
      </c>
      <c r="AH22" s="483">
        <f t="shared" si="4"/>
        <v>0.32077921143732446</v>
      </c>
    </row>
    <row r="23" spans="2:34" x14ac:dyDescent="0.35">
      <c r="E23" s="476"/>
      <c r="F23" s="476"/>
      <c r="G23" s="476"/>
      <c r="H23" s="476"/>
      <c r="I23" s="476"/>
      <c r="J23" s="476"/>
      <c r="K23" s="476"/>
      <c r="L23" s="476"/>
      <c r="M23" s="476"/>
      <c r="N23" s="476"/>
      <c r="O23" s="476"/>
      <c r="P23" s="476"/>
      <c r="Q23" s="476"/>
      <c r="R23" s="476"/>
      <c r="S23" s="476"/>
      <c r="T23" s="476"/>
      <c r="U23" s="476"/>
      <c r="V23" s="476"/>
      <c r="W23" s="476"/>
      <c r="X23" s="476"/>
      <c r="Y23" s="476"/>
      <c r="Z23" s="476"/>
      <c r="AA23" s="476"/>
      <c r="AB23" s="476"/>
      <c r="AC23" s="476"/>
      <c r="AD23" s="476"/>
      <c r="AE23" s="476"/>
      <c r="AF23" s="476"/>
      <c r="AG23" s="476"/>
      <c r="AH23" s="476"/>
    </row>
    <row r="24" spans="2:34" x14ac:dyDescent="0.35">
      <c r="B24" t="s">
        <v>438</v>
      </c>
      <c r="C24" t="s">
        <v>447</v>
      </c>
      <c r="E24" s="477">
        <f>-Amortização!F19</f>
        <v>-1493138.8165</v>
      </c>
      <c r="F24" s="477">
        <f>-Amortização!G19</f>
        <v>-1680747.3541720808</v>
      </c>
      <c r="G24" s="477">
        <f>-Amortização!H19</f>
        <v>-1768652.9946227835</v>
      </c>
      <c r="H24" s="477">
        <f>-Amortização!I19</f>
        <v>-1793261.7279543802</v>
      </c>
      <c r="I24" s="477">
        <f>-Amortização!J19</f>
        <v>-1735293.4577782939</v>
      </c>
      <c r="J24" s="477">
        <f>-Amortização!K19</f>
        <v>-1682385.441300767</v>
      </c>
      <c r="K24" s="477">
        <f>-Amortização!L19</f>
        <v>-1760449.1450007411</v>
      </c>
      <c r="L24" s="477">
        <f>-Amortização!M19</f>
        <v>-1704395.8248316343</v>
      </c>
      <c r="M24" s="477">
        <f>-Amortização!N19</f>
        <v>-2280340.0846814211</v>
      </c>
      <c r="N24" s="477">
        <f>-Amortização!O19</f>
        <v>-2267666.0401959904</v>
      </c>
      <c r="O24" s="477">
        <f>-Amortização!P19</f>
        <v>-3075863.1409487831</v>
      </c>
      <c r="P24" s="477">
        <f>-Amortização!Q19</f>
        <v>-2971848.445361143</v>
      </c>
      <c r="Q24" s="477">
        <f>-Amortização!R19</f>
        <v>-2871351.1549383025</v>
      </c>
      <c r="R24" s="477">
        <f>-Amortização!S19</f>
        <v>-2783709.6059648278</v>
      </c>
      <c r="S24" s="477">
        <f>-Amortização!T19</f>
        <v>-2896352.7710167421</v>
      </c>
      <c r="T24" s="477">
        <f>-Amortização!U19</f>
        <v>-2813364.9397456446</v>
      </c>
      <c r="U24" s="477">
        <f>-Amortização!V19</f>
        <v>-3713854.0192090427</v>
      </c>
      <c r="V24" s="477">
        <f>-Amortização!W19</f>
        <v>-3763594.9745512865</v>
      </c>
      <c r="W24" s="477">
        <f>-Amortização!X19</f>
        <v>-3636323.6469094558</v>
      </c>
      <c r="X24" s="477">
        <f>-Amortização!Y19</f>
        <v>-3636375.9087706646</v>
      </c>
      <c r="Y24" s="477">
        <f>-Amortização!Z19</f>
        <v>-4202288.3661407391</v>
      </c>
      <c r="Z24" s="477">
        <f>-Amortização!AA19</f>
        <v>-4060181.9962712456</v>
      </c>
      <c r="AA24" s="477">
        <f>-Amortização!AB19</f>
        <v>-4327749.0508176293</v>
      </c>
      <c r="AB24" s="477">
        <f>-Amortização!AC19</f>
        <v>-4541411.269384874</v>
      </c>
      <c r="AC24" s="477">
        <f>-Amortização!AD19</f>
        <v>-6722551.5652510868</v>
      </c>
      <c r="AD24" s="477">
        <f>-Amortização!AE19</f>
        <v>-6524085.9276242396</v>
      </c>
      <c r="AE24" s="477">
        <f>-Amortização!AF19</f>
        <v>-6303464.6643712465</v>
      </c>
      <c r="AF24" s="477">
        <f>-Amortização!AG19</f>
        <v>-6090304.023547098</v>
      </c>
      <c r="AG24" s="477">
        <f>-Amortização!AH19</f>
        <v>-5884351.7135720765</v>
      </c>
      <c r="AH24" s="477">
        <f>-Amortização!AI19</f>
        <v>-8034166.0564657757</v>
      </c>
    </row>
    <row r="25" spans="2:34" x14ac:dyDescent="0.35">
      <c r="E25" s="476"/>
      <c r="F25" s="476"/>
      <c r="G25" s="476"/>
      <c r="H25" s="476"/>
      <c r="I25" s="476"/>
      <c r="J25" s="476"/>
      <c r="K25" s="476"/>
      <c r="L25" s="476"/>
      <c r="M25" s="476"/>
      <c r="N25" s="476"/>
      <c r="O25" s="476"/>
      <c r="P25" s="476"/>
      <c r="Q25" s="476"/>
      <c r="R25" s="476"/>
      <c r="S25" s="476"/>
      <c r="T25" s="476"/>
      <c r="U25" s="476"/>
      <c r="V25" s="476"/>
      <c r="W25" s="476"/>
      <c r="X25" s="476"/>
      <c r="Y25" s="476"/>
      <c r="Z25" s="476"/>
      <c r="AA25" s="476"/>
      <c r="AB25" s="476"/>
      <c r="AC25" s="476"/>
      <c r="AD25" s="476"/>
      <c r="AE25" s="476"/>
      <c r="AF25" s="476"/>
      <c r="AG25" s="476"/>
      <c r="AH25" s="476"/>
    </row>
    <row r="26" spans="2:34" x14ac:dyDescent="0.35">
      <c r="B26" s="327" t="s">
        <v>448</v>
      </c>
      <c r="C26" s="328"/>
      <c r="D26" s="328"/>
      <c r="E26" s="484">
        <f>E21+E24</f>
        <v>-12311241.910551511</v>
      </c>
      <c r="F26" s="484">
        <f t="shared" ref="F26:AH26" si="5">F21+F24</f>
        <v>-1246399.9293396249</v>
      </c>
      <c r="G26" s="484">
        <f t="shared" si="5"/>
        <v>3544628.717940582</v>
      </c>
      <c r="H26" s="484">
        <f t="shared" si="5"/>
        <v>4242320.7076098621</v>
      </c>
      <c r="I26" s="484">
        <f t="shared" si="5"/>
        <v>18494227.373419713</v>
      </c>
      <c r="J26" s="484">
        <f t="shared" si="5"/>
        <v>19250197.770512991</v>
      </c>
      <c r="K26" s="484">
        <f t="shared" si="5"/>
        <v>19512620.62489875</v>
      </c>
      <c r="L26" s="484">
        <f t="shared" si="5"/>
        <v>16461227.342857558</v>
      </c>
      <c r="M26" s="484">
        <f t="shared" si="5"/>
        <v>23933363.260461792</v>
      </c>
      <c r="N26" s="484">
        <f t="shared" si="5"/>
        <v>22994071.145086717</v>
      </c>
      <c r="O26" s="484">
        <f t="shared" si="5"/>
        <v>14516960.514041621</v>
      </c>
      <c r="P26" s="484">
        <f t="shared" si="5"/>
        <v>14806968.901133986</v>
      </c>
      <c r="Q26" s="484">
        <f t="shared" si="5"/>
        <v>15025625.321571231</v>
      </c>
      <c r="R26" s="484">
        <f t="shared" si="5"/>
        <v>15224970.432940777</v>
      </c>
      <c r="S26" s="484">
        <f t="shared" si="5"/>
        <v>15080716.504306618</v>
      </c>
      <c r="T26" s="484">
        <f t="shared" si="5"/>
        <v>15437981.228283277</v>
      </c>
      <c r="U26" s="484">
        <f t="shared" si="5"/>
        <v>21539335.545743838</v>
      </c>
      <c r="V26" s="484">
        <f t="shared" si="5"/>
        <v>14590354.016546946</v>
      </c>
      <c r="W26" s="484">
        <f t="shared" si="5"/>
        <v>14780505.108465295</v>
      </c>
      <c r="X26" s="484">
        <f t="shared" si="5"/>
        <v>16049616.972661674</v>
      </c>
      <c r="Y26" s="484">
        <f t="shared" si="5"/>
        <v>14300091.53198012</v>
      </c>
      <c r="Z26" s="484">
        <f t="shared" si="5"/>
        <v>14521220.337042831</v>
      </c>
      <c r="AA26" s="484">
        <f t="shared" si="5"/>
        <v>14291331.76232891</v>
      </c>
      <c r="AB26" s="484">
        <f t="shared" si="5"/>
        <v>14141003.285701366</v>
      </c>
      <c r="AC26" s="484">
        <f t="shared" si="5"/>
        <v>18830755.956266034</v>
      </c>
      <c r="AD26" s="484">
        <f t="shared" si="5"/>
        <v>9578478.2810895294</v>
      </c>
      <c r="AE26" s="484">
        <f t="shared" si="5"/>
        <v>9857118.5819434058</v>
      </c>
      <c r="AF26" s="484">
        <f t="shared" si="5"/>
        <v>10121896.292332694</v>
      </c>
      <c r="AG26" s="484">
        <f t="shared" si="5"/>
        <v>13075618.958558299</v>
      </c>
      <c r="AH26" s="484">
        <f t="shared" si="5"/>
        <v>8128389.9059100067</v>
      </c>
    </row>
    <row r="27" spans="2:34" x14ac:dyDescent="0.35">
      <c r="E27" s="476"/>
      <c r="F27" s="476"/>
      <c r="G27" s="476"/>
      <c r="H27" s="476"/>
      <c r="I27" s="476"/>
      <c r="J27" s="476"/>
      <c r="K27" s="476"/>
      <c r="L27" s="476"/>
      <c r="M27" s="476"/>
      <c r="N27" s="476"/>
      <c r="O27" s="476"/>
      <c r="P27" s="476"/>
      <c r="Q27" s="476"/>
      <c r="R27" s="476"/>
      <c r="S27" s="476"/>
      <c r="T27" s="476"/>
      <c r="U27" s="476"/>
      <c r="V27" s="476"/>
      <c r="W27" s="476"/>
      <c r="X27" s="476"/>
      <c r="Y27" s="476"/>
      <c r="Z27" s="476"/>
      <c r="AA27" s="476"/>
      <c r="AB27" s="476"/>
      <c r="AC27" s="476"/>
      <c r="AD27" s="476"/>
      <c r="AE27" s="476"/>
      <c r="AF27" s="476"/>
      <c r="AG27" s="476"/>
      <c r="AH27" s="476"/>
    </row>
    <row r="28" spans="2:34" x14ac:dyDescent="0.35">
      <c r="B28" t="s">
        <v>408</v>
      </c>
      <c r="C28" t="s">
        <v>415</v>
      </c>
      <c r="E28" s="475">
        <f>IF('Tributos-LP'!G39="LP",'Tributos-LP'!G28,'Tributos-LR'!G50)</f>
        <v>0</v>
      </c>
      <c r="F28" s="475">
        <f>IF('Tributos-LP'!H39="LP",'Tributos-LP'!H28,'Tributos-LR'!H50)</f>
        <v>0</v>
      </c>
      <c r="G28" s="475">
        <f>IF('Tributos-LP'!I39="LP",'Tributos-LP'!I28,'Tributos-LR'!I50)</f>
        <v>-596310.02563960268</v>
      </c>
      <c r="H28" s="475">
        <f>IF('Tributos-LP'!J39="LP",'Tributos-LP'!J28,'Tributos-LR'!J50)</f>
        <v>-718406.12383172614</v>
      </c>
      <c r="I28" s="475">
        <f>IF('Tributos-LP'!K39="LP",'Tributos-LP'!K28,'Tributos-LR'!K50)</f>
        <v>-4243052.4441096913</v>
      </c>
      <c r="J28" s="475">
        <f>IF('Tributos-LP'!L39="LP",'Tributos-LP'!L28,'Tributos-LR'!L50)</f>
        <v>-4280108.7924275482</v>
      </c>
      <c r="K28" s="475">
        <f>IF('Tributos-LP'!M39="LP",'Tributos-LP'!M28,'Tributos-LR'!M50)</f>
        <v>-4309415.9214204103</v>
      </c>
      <c r="L28" s="475">
        <f>IF('Tributos-LP'!N39="LP",'Tributos-LP'!N28,'Tributos-LR'!N50)</f>
        <v>-4327290.5041217776</v>
      </c>
      <c r="M28" s="475">
        <f>IF('Tributos-LP'!O39="LP",'Tributos-LP'!O28,'Tributos-LR'!O50)</f>
        <v>-4955264.4382834593</v>
      </c>
      <c r="N28" s="475">
        <f>IF('Tributos-LP'!P39="LP",'Tributos-LP'!P28,'Tributos-LR'!P50)</f>
        <v>-4886131.3202966154</v>
      </c>
      <c r="O28" s="475">
        <f>IF('Tributos-LP'!Q39="LP",'Tributos-LP'!Q28,'Tributos-LR'!Q50)</f>
        <v>-4380908.2932472154</v>
      </c>
      <c r="P28" s="475">
        <f>IF('Tributos-LP'!R39="LP",'Tributos-LP'!R28,'Tributos-LR'!R50)</f>
        <v>-4391625.3014699183</v>
      </c>
      <c r="Q28" s="475">
        <f>IF('Tributos-LP'!S39="LP",'Tributos-LP'!S28,'Tributos-LR'!S50)</f>
        <v>-4402342.3096926194</v>
      </c>
      <c r="R28" s="475">
        <f>IF('Tributos-LP'!T39="LP",'Tributos-LP'!T28,'Tributos-LR'!T50)</f>
        <v>-4413059.3179153185</v>
      </c>
      <c r="S28" s="475">
        <f>IF('Tributos-LP'!U39="LP",'Tributos-LP'!U28,'Tributos-LR'!U50)</f>
        <v>-4423776.3261380186</v>
      </c>
      <c r="T28" s="475">
        <f>IF('Tributos-LP'!V39="LP",'Tributos-LP'!V28,'Tributos-LR'!V50)</f>
        <v>-4434551.5098055284</v>
      </c>
      <c r="U28" s="475">
        <f>IF('Tributos-LP'!W39="LP",'Tributos-LP'!W28,'Tributos-LR'!W50)</f>
        <v>-5020569.3633312723</v>
      </c>
      <c r="V28" s="475">
        <f>IF('Tributos-LP'!X39="LP",'Tributos-LP'!X28,'Tributos-LR'!X50)</f>
        <v>-4444017.7833727738</v>
      </c>
      <c r="W28" s="475">
        <f>IF('Tributos-LP'!Y39="LP",'Tributos-LP'!Y28,'Tributos-LR'!Y50)</f>
        <v>-4448750.9201563979</v>
      </c>
      <c r="X28" s="475">
        <f>IF('Tributos-LP'!Z39="LP",'Tributos-LP'!Z28,'Tributos-LR'!Z50)</f>
        <v>-4567199.6331948265</v>
      </c>
      <c r="Y28" s="475">
        <f>IF('Tributos-LP'!AA39="LP",'Tributos-LP'!AA28,'Tributos-LR'!AA50)</f>
        <v>-4458205.3728665318</v>
      </c>
      <c r="Z28" s="475">
        <f>IF('Tributos-LP'!AB39="LP",'Tributos-LP'!AB28,'Tributos-LR'!AB50)</f>
        <v>-4462938.509650155</v>
      </c>
      <c r="AA28" s="475">
        <f>IF('Tributos-LP'!AC39="LP",'Tributos-LP'!AC28,'Tributos-LR'!AC50)</f>
        <v>-4467671.646433779</v>
      </c>
      <c r="AB28" s="475">
        <f>IF('Tributos-LP'!AD39="LP",'Tributos-LP'!AD28,'Tributos-LR'!AD50)</f>
        <v>-4472404.7832174031</v>
      </c>
      <c r="AC28" s="475">
        <f>IF('Tributos-LP'!AE39="LP",'Tributos-LP'!AE28,'Tributos-LR'!AE50)</f>
        <v>-5058422.6367431488</v>
      </c>
      <c r="AD28" s="475">
        <f>IF('Tributos-LP'!AF39="LP",'Tributos-LP'!AF28,'Tributos-LR'!AF50)</f>
        <v>-2370619.5702723833</v>
      </c>
      <c r="AE28" s="475">
        <f>IF('Tributos-LP'!AG39="LP",'Tributos-LP'!AG28,'Tributos-LR'!AG50)</f>
        <v>-2440279.6454858524</v>
      </c>
      <c r="AF28" s="475">
        <f>IF('Tributos-LP'!AH39="LP",'Tributos-LP'!AH28,'Tributos-LR'!AH50)</f>
        <v>-2506474.0730831735</v>
      </c>
      <c r="AG28" s="475">
        <f>IF('Tributos-LP'!AI39="LP",'Tributos-LP'!AI28,'Tributos-LR'!AI50)</f>
        <v>-4496070.4671355207</v>
      </c>
      <c r="AH28" s="475">
        <f>IF('Tributos-LP'!AJ39="LP",'Tributos-LP'!AJ28,'Tributos-LR'!AJ50)</f>
        <v>-2008097.4764775035</v>
      </c>
    </row>
    <row r="29" spans="2:34" x14ac:dyDescent="0.35">
      <c r="B29" t="s">
        <v>408</v>
      </c>
      <c r="C29" t="s">
        <v>449</v>
      </c>
      <c r="E29" s="475">
        <f>IF('Tributos-LP'!G39="LP",'Tributos-LP'!G31,'Tributos-LR'!G64)</f>
        <v>0</v>
      </c>
      <c r="F29" s="475">
        <f>IF('Tributos-LP'!H39="LP",'Tributos-LP'!H31,'Tributos-LR'!H64)</f>
        <v>0</v>
      </c>
      <c r="G29" s="475">
        <f>IF('Tributos-LP'!I39="LP",'Tributos-LP'!I31,'Tributos-LR'!I64)</f>
        <v>-223311.60923025696</v>
      </c>
      <c r="H29" s="475">
        <f>IF('Tributos-LP'!J39="LP",'Tributos-LP'!J31,'Tributos-LR'!J64)</f>
        <v>-267266.20457942138</v>
      </c>
      <c r="I29" s="475">
        <f>IF('Tributos-LP'!K39="LP",'Tributos-LP'!K31,'Tributos-LR'!K64)</f>
        <v>-1536138.8798794888</v>
      </c>
      <c r="J29" s="475">
        <f>IF('Tributos-LP'!L39="LP",'Tributos-LP'!L31,'Tributos-LR'!L64)</f>
        <v>-1549479.1652739174</v>
      </c>
      <c r="K29" s="475">
        <f>IF('Tributos-LP'!M39="LP",'Tributos-LP'!M31,'Tributos-LR'!M64)</f>
        <v>-1560029.7317113476</v>
      </c>
      <c r="L29" s="475">
        <f>IF('Tributos-LP'!N39="LP",'Tributos-LP'!N31,'Tributos-LR'!N64)</f>
        <v>-1566464.5814838398</v>
      </c>
      <c r="M29" s="475">
        <f>IF('Tributos-LP'!O39="LP",'Tributos-LP'!O31,'Tributos-LR'!O64)</f>
        <v>-1792535.1977820452</v>
      </c>
      <c r="N29" s="475">
        <f>IF('Tributos-LP'!P39="LP",'Tributos-LP'!P31,'Tributos-LR'!P64)</f>
        <v>-1767647.2753067815</v>
      </c>
      <c r="O29" s="475">
        <f>IF('Tributos-LP'!Q39="LP",'Tributos-LP'!Q31,'Tributos-LR'!Q64)</f>
        <v>-1585766.9855689975</v>
      </c>
      <c r="P29" s="475">
        <f>IF('Tributos-LP'!R39="LP",'Tributos-LP'!R31,'Tributos-LR'!R64)</f>
        <v>-1589625.1085291705</v>
      </c>
      <c r="Q29" s="475">
        <f>IF('Tributos-LP'!S39="LP",'Tributos-LP'!S31,'Tributos-LR'!S64)</f>
        <v>-1593483.2314893429</v>
      </c>
      <c r="R29" s="475">
        <f>IF('Tributos-LP'!T39="LP",'Tributos-LP'!T31,'Tributos-LR'!T64)</f>
        <v>-1597341.3544495145</v>
      </c>
      <c r="S29" s="475">
        <f>IF('Tributos-LP'!U39="LP",'Tributos-LP'!U31,'Tributos-LR'!U64)</f>
        <v>-1601199.4774096867</v>
      </c>
      <c r="T29" s="475">
        <f>IF('Tributos-LP'!V39="LP",'Tributos-LP'!V31,'Tributos-LR'!V64)</f>
        <v>-1605078.5435299901</v>
      </c>
      <c r="U29" s="475">
        <f>IF('Tributos-LP'!W39="LP",'Tributos-LP'!W31,'Tributos-LR'!W64)</f>
        <v>-1816044.970799258</v>
      </c>
      <c r="V29" s="475">
        <f>IF('Tributos-LP'!X39="LP",'Tributos-LP'!X31,'Tributos-LR'!X64)</f>
        <v>-1608486.4020141985</v>
      </c>
      <c r="W29" s="475">
        <f>IF('Tributos-LP'!Y39="LP",'Tributos-LP'!Y31,'Tributos-LR'!Y64)</f>
        <v>-1610190.3312563032</v>
      </c>
      <c r="X29" s="475">
        <f>IF('Tributos-LP'!Z39="LP",'Tributos-LP'!Z31,'Tributos-LR'!Z64)</f>
        <v>-1652831.8679501375</v>
      </c>
      <c r="Y29" s="475">
        <f>IF('Tributos-LP'!AA39="LP",'Tributos-LP'!AA31,'Tributos-LR'!AA64)</f>
        <v>-1613593.9342319514</v>
      </c>
      <c r="Z29" s="475">
        <f>IF('Tributos-LP'!AB39="LP",'Tributos-LP'!AB31,'Tributos-LR'!AB64)</f>
        <v>-1615297.8634740557</v>
      </c>
      <c r="AA29" s="475">
        <f>IF('Tributos-LP'!AC39="LP",'Tributos-LP'!AC31,'Tributos-LR'!AC64)</f>
        <v>-1617001.7927161604</v>
      </c>
      <c r="AB29" s="475">
        <f>IF('Tributos-LP'!AD39="LP",'Tributos-LP'!AD31,'Tributos-LR'!AD64)</f>
        <v>-1618705.7219582652</v>
      </c>
      <c r="AC29" s="475">
        <f>IF('Tributos-LP'!AE39="LP",'Tributos-LP'!AE31,'Tributos-LR'!AE64)</f>
        <v>-1829672.1492275335</v>
      </c>
      <c r="AD29" s="475">
        <f>IF('Tributos-LP'!AF39="LP",'Tributos-LP'!AF31,'Tributos-LR'!AF64)</f>
        <v>-862063.04529805796</v>
      </c>
      <c r="AE29" s="475">
        <f>IF('Tributos-LP'!AG39="LP",'Tributos-LP'!AG31,'Tributos-LR'!AG64)</f>
        <v>-887140.67237490683</v>
      </c>
      <c r="AF29" s="475">
        <f>IF('Tributos-LP'!AH39="LP",'Tributos-LP'!AH31,'Tributos-LR'!AH64)</f>
        <v>-910970.66630994237</v>
      </c>
      <c r="AG29" s="475">
        <f>IF('Tributos-LP'!AI39="LP",'Tributos-LP'!AI31,'Tributos-LR'!AI64)</f>
        <v>-1627225.3681687873</v>
      </c>
      <c r="AH29" s="475">
        <f>IF('Tributos-LP'!AJ39="LP",'Tributos-LP'!AJ31,'Tributos-LR'!AJ64)</f>
        <v>-731555.09153190127</v>
      </c>
    </row>
    <row r="30" spans="2:34" x14ac:dyDescent="0.35">
      <c r="E30" s="476"/>
      <c r="F30" s="476"/>
      <c r="G30" s="476"/>
      <c r="H30" s="476"/>
      <c r="I30" s="476"/>
      <c r="J30" s="476"/>
      <c r="K30" s="476"/>
      <c r="L30" s="476"/>
      <c r="M30" s="476"/>
      <c r="N30" s="476"/>
      <c r="O30" s="476"/>
      <c r="P30" s="476"/>
      <c r="Q30" s="476"/>
      <c r="R30" s="476"/>
      <c r="S30" s="476"/>
      <c r="T30" s="476"/>
      <c r="U30" s="476"/>
      <c r="V30" s="476"/>
      <c r="W30" s="476"/>
      <c r="X30" s="476"/>
      <c r="Y30" s="476"/>
      <c r="Z30" s="476"/>
      <c r="AA30" s="476"/>
      <c r="AB30" s="476"/>
      <c r="AC30" s="476"/>
      <c r="AD30" s="476"/>
      <c r="AE30" s="476"/>
      <c r="AF30" s="476"/>
      <c r="AG30" s="476"/>
      <c r="AH30" s="476"/>
    </row>
    <row r="31" spans="2:34" x14ac:dyDescent="0.35">
      <c r="B31" s="332" t="s">
        <v>450</v>
      </c>
      <c r="C31" s="333"/>
      <c r="D31" s="333"/>
      <c r="E31" s="485">
        <f>E26+E28+E29</f>
        <v>-12311241.910551511</v>
      </c>
      <c r="F31" s="485">
        <f>F26+F28+F29</f>
        <v>-1246399.9293396249</v>
      </c>
      <c r="G31" s="485">
        <f>G26+G28+G29</f>
        <v>2725007.0830707219</v>
      </c>
      <c r="H31" s="485">
        <f>H26+H28+H29</f>
        <v>3256648.3791987146</v>
      </c>
      <c r="I31" s="485">
        <f>I26+I28+I29</f>
        <v>12715036.049430532</v>
      </c>
      <c r="J31" s="485">
        <f t="shared" ref="J31:AH31" si="6">J26+J28+J29</f>
        <v>13420609.812811526</v>
      </c>
      <c r="K31" s="485">
        <f t="shared" si="6"/>
        <v>13643174.971766993</v>
      </c>
      <c r="L31" s="485">
        <f t="shared" si="6"/>
        <v>10567472.257251943</v>
      </c>
      <c r="M31" s="485">
        <f t="shared" si="6"/>
        <v>17185563.624396287</v>
      </c>
      <c r="N31" s="485">
        <f t="shared" si="6"/>
        <v>16340292.54948332</v>
      </c>
      <c r="O31" s="485">
        <f t="shared" si="6"/>
        <v>8550285.2352254093</v>
      </c>
      <c r="P31" s="485">
        <f t="shared" si="6"/>
        <v>8825718.4911348969</v>
      </c>
      <c r="Q31" s="485">
        <f t="shared" si="6"/>
        <v>9029799.780389268</v>
      </c>
      <c r="R31" s="485">
        <f t="shared" si="6"/>
        <v>9214569.7605759446</v>
      </c>
      <c r="S31" s="485">
        <f t="shared" si="6"/>
        <v>9055740.7007589117</v>
      </c>
      <c r="T31" s="485">
        <f t="shared" si="6"/>
        <v>9398351.1749477573</v>
      </c>
      <c r="U31" s="485">
        <f t="shared" si="6"/>
        <v>14702721.211613307</v>
      </c>
      <c r="V31" s="485">
        <f t="shared" si="6"/>
        <v>8537849.8311599735</v>
      </c>
      <c r="W31" s="485">
        <f t="shared" si="6"/>
        <v>8721563.8570525944</v>
      </c>
      <c r="X31" s="485">
        <f t="shared" si="6"/>
        <v>9829585.4715167098</v>
      </c>
      <c r="Y31" s="485">
        <f t="shared" si="6"/>
        <v>8228292.224881636</v>
      </c>
      <c r="Z31" s="485">
        <f t="shared" si="6"/>
        <v>8442983.9639186189</v>
      </c>
      <c r="AA31" s="485">
        <f t="shared" si="6"/>
        <v>8206658.3231789693</v>
      </c>
      <c r="AB31" s="485">
        <f t="shared" si="6"/>
        <v>8049892.7805256993</v>
      </c>
      <c r="AC31" s="485">
        <f t="shared" si="6"/>
        <v>11942661.170295352</v>
      </c>
      <c r="AD31" s="485">
        <f t="shared" si="6"/>
        <v>6345795.6655190885</v>
      </c>
      <c r="AE31" s="485">
        <f t="shared" si="6"/>
        <v>6529698.2640826469</v>
      </c>
      <c r="AF31" s="485">
        <f t="shared" si="6"/>
        <v>6704451.552939578</v>
      </c>
      <c r="AG31" s="485">
        <f t="shared" si="6"/>
        <v>6952323.1232539909</v>
      </c>
      <c r="AH31" s="485">
        <f t="shared" si="6"/>
        <v>5388737.3379006013</v>
      </c>
    </row>
    <row r="32" spans="2:34" hidden="1" x14ac:dyDescent="0.35">
      <c r="B32" s="332" t="s">
        <v>451</v>
      </c>
      <c r="C32" s="333"/>
      <c r="D32" s="333"/>
      <c r="E32" s="341">
        <f>E31</f>
        <v>-12311241.910551511</v>
      </c>
      <c r="F32" s="341">
        <f>IF(F5&gt;'Premissas Gerais'!$E$7,0,DRE!E32+DRE!F31)</f>
        <v>-13557641.839891136</v>
      </c>
      <c r="G32" s="341">
        <f>IF(G5&gt;'Premissas Gerais'!$E$7,0,DRE!F32+DRE!G31)</f>
        <v>-10832634.756820414</v>
      </c>
      <c r="H32" s="341">
        <f>IF(H5&gt;'Premissas Gerais'!$E$7,0,DRE!G32+DRE!H31)</f>
        <v>-7575986.3776216991</v>
      </c>
      <c r="I32" s="341">
        <f>IF(I5&gt;'Premissas Gerais'!$E$7,0,DRE!H32+DRE!I31)</f>
        <v>5139049.6718088333</v>
      </c>
      <c r="J32" s="341">
        <f>IF(J5&gt;'Premissas Gerais'!$E$7,0,DRE!I32+DRE!J31)</f>
        <v>18559659.484620359</v>
      </c>
      <c r="K32" s="341">
        <f>IF(K5&gt;'Premissas Gerais'!$E$7,0,DRE!J32+DRE!K31)</f>
        <v>32202834.456387352</v>
      </c>
      <c r="L32" s="341">
        <f>IF(L5&gt;'Premissas Gerais'!$E$7,0,DRE!K32+DRE!L31)</f>
        <v>42770306.713639297</v>
      </c>
      <c r="M32" s="341">
        <f>IF(M5&gt;'Premissas Gerais'!$E$7,0,DRE!L32+DRE!M31)</f>
        <v>59955870.338035583</v>
      </c>
      <c r="N32" s="341">
        <f>IF(N5&gt;'Premissas Gerais'!$E$7,0,DRE!M32+DRE!N31)</f>
        <v>76296162.887518898</v>
      </c>
      <c r="O32" s="341">
        <f>IF(O5&gt;'Premissas Gerais'!$E$7,0,DRE!N32+DRE!O31)</f>
        <v>84846448.122744307</v>
      </c>
      <c r="P32" s="341">
        <f>IF(P5&gt;'Premissas Gerais'!$E$7,0,DRE!O32+DRE!P31)</f>
        <v>93672166.613879204</v>
      </c>
      <c r="Q32" s="341">
        <f>IF(Q5&gt;'Premissas Gerais'!$E$7,0,DRE!P32+DRE!Q31)</f>
        <v>102701966.39426847</v>
      </c>
      <c r="R32" s="341">
        <f>IF(R5&gt;'Premissas Gerais'!$E$7,0,DRE!Q32+DRE!R31)</f>
        <v>111916536.15484442</v>
      </c>
      <c r="S32" s="341">
        <f>IF(S5&gt;'Premissas Gerais'!$E$7,0,DRE!R32+DRE!S31)</f>
        <v>120972276.85560334</v>
      </c>
      <c r="T32" s="341">
        <f>IF(T5&gt;'Premissas Gerais'!$E$7,0,DRE!S32+DRE!T31)</f>
        <v>130370628.03055109</v>
      </c>
      <c r="U32" s="341">
        <f>IF(U5&gt;'Premissas Gerais'!$E$7,0,DRE!T32+DRE!U31)</f>
        <v>145073349.2421644</v>
      </c>
      <c r="V32" s="341">
        <f>IF(V5&gt;'Premissas Gerais'!$E$7,0,DRE!U32+DRE!V31)</f>
        <v>153611199.07332438</v>
      </c>
      <c r="W32" s="341">
        <f>IF(W5&gt;'Premissas Gerais'!$E$7,0,DRE!V32+DRE!W31)</f>
        <v>162332762.93037698</v>
      </c>
      <c r="X32" s="341">
        <f>IF(X5&gt;'Premissas Gerais'!$E$7,0,DRE!W32+DRE!X31)</f>
        <v>172162348.40189368</v>
      </c>
      <c r="Y32" s="341">
        <f>IF(Y5&gt;'Premissas Gerais'!$E$7,0,DRE!X32+DRE!Y31)</f>
        <v>180390640.62677532</v>
      </c>
      <c r="Z32" s="341">
        <f>IF(Z5&gt;'Premissas Gerais'!$E$7,0,DRE!Y32+DRE!Z31)</f>
        <v>188833624.59069395</v>
      </c>
      <c r="AA32" s="341">
        <f>IF(AA5&gt;'Premissas Gerais'!$E$7,0,DRE!Z32+DRE!AA31)</f>
        <v>197040282.91387293</v>
      </c>
      <c r="AB32" s="341">
        <f>IF(AB5&gt;'Premissas Gerais'!$E$7,0,DRE!AA32+DRE!AB31)</f>
        <v>205090175.69439864</v>
      </c>
      <c r="AC32" s="341">
        <f>IF(AC5&gt;'Premissas Gerais'!$E$7,0,DRE!AB32+DRE!AC31)</f>
        <v>217032836.864694</v>
      </c>
      <c r="AD32" s="341">
        <f>IF(AD5&gt;'Premissas Gerais'!$E$7,0,DRE!AC32+DRE!AD31)</f>
        <v>223378632.53021309</v>
      </c>
      <c r="AE32" s="341">
        <f>IF(AE5&gt;'Premissas Gerais'!$E$7,0,DRE!AD32+DRE!AE31)</f>
        <v>229908330.79429573</v>
      </c>
      <c r="AF32" s="341">
        <f>IF(AF5&gt;'Premissas Gerais'!$E$7,0,DRE!AE32+DRE!AF31)</f>
        <v>236612782.34723529</v>
      </c>
      <c r="AG32" s="341">
        <f>IF(AG5&gt;'Premissas Gerais'!$E$7,0,DRE!AF32+DRE!AG31)</f>
        <v>243565105.47048929</v>
      </c>
      <c r="AH32" s="341">
        <f>IF(AH5&gt;'Premissas Gerais'!$E$7,0,DRE!AG32+DRE!AH31)</f>
        <v>248953842.8083899</v>
      </c>
    </row>
    <row r="33" spans="2:4" x14ac:dyDescent="0.35">
      <c r="B33" s="129"/>
      <c r="C33" s="129"/>
      <c r="D33" s="129"/>
    </row>
  </sheetData>
  <sheetProtection algorithmName="SHA-512" hashValue="hXVtfw0IxqGjLKE1bDoBThOozxDn7fM/xTyqTkUhyErhkhklVqBP5kB+PS1UupNapxQjRv6UqTi6OCR1vej++A==" saltValue="0ewHFJ+YmccA7TuN67nY6Q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FDE23-9BA4-4BAC-A4AF-2034C64B3455}">
  <sheetPr codeName="Planilha9">
    <tabColor theme="4" tint="0.79998168889431442"/>
  </sheetPr>
  <dimension ref="C2:AI294"/>
  <sheetViews>
    <sheetView showGridLines="0" topLeftCell="A292" zoomScale="85" zoomScaleNormal="85" workbookViewId="0">
      <selection activeCell="D284" sqref="D284"/>
    </sheetView>
  </sheetViews>
  <sheetFormatPr defaultColWidth="8.81640625" defaultRowHeight="14.5" outlineLevelRow="1" x14ac:dyDescent="0.35"/>
  <cols>
    <col min="1" max="1" width="1.6328125" customWidth="1"/>
    <col min="2" max="2" width="3.36328125" customWidth="1"/>
    <col min="3" max="3" width="5.81640625" customWidth="1"/>
    <col min="4" max="4" width="43" customWidth="1"/>
    <col min="5" max="5" width="16.81640625" hidden="1" customWidth="1"/>
    <col min="6" max="6" width="14.453125" hidden="1" customWidth="1"/>
    <col min="7" max="20" width="14.36328125" hidden="1" customWidth="1"/>
    <col min="21" max="35" width="14.36328125" bestFit="1" customWidth="1"/>
  </cols>
  <sheetData>
    <row r="2" spans="3:35" ht="21" x14ac:dyDescent="0.5">
      <c r="C2" s="98" t="s">
        <v>452</v>
      </c>
      <c r="D2" s="76"/>
      <c r="E2" s="76"/>
      <c r="F2" s="76"/>
      <c r="G2" s="76"/>
      <c r="H2" s="76"/>
      <c r="I2" s="76"/>
      <c r="J2" s="76"/>
      <c r="K2" s="76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</row>
    <row r="3" spans="3:35" x14ac:dyDescent="0.35">
      <c r="D3" t="s">
        <v>102</v>
      </c>
      <c r="E3" s="486">
        <f t="shared" ref="E3:E32" si="0">SUM(F3:AI3)</f>
        <v>3011407.33</v>
      </c>
      <c r="F3" s="477">
        <f>'Premissas Gerais'!G77</f>
        <v>3011407.33</v>
      </c>
      <c r="G3" s="477">
        <v>0</v>
      </c>
      <c r="H3" s="477">
        <v>0</v>
      </c>
      <c r="I3" s="477">
        <v>0</v>
      </c>
      <c r="J3" s="477">
        <v>0</v>
      </c>
      <c r="K3" s="477">
        <v>0</v>
      </c>
      <c r="L3" s="477">
        <v>0</v>
      </c>
      <c r="M3" s="477">
        <v>0</v>
      </c>
      <c r="N3" s="477">
        <v>0</v>
      </c>
      <c r="O3" s="477">
        <v>0</v>
      </c>
      <c r="P3" s="477">
        <v>0</v>
      </c>
      <c r="Q3" s="477">
        <v>0</v>
      </c>
      <c r="R3" s="477">
        <v>0</v>
      </c>
      <c r="S3" s="477">
        <v>0</v>
      </c>
      <c r="T3" s="477">
        <v>0</v>
      </c>
      <c r="U3" s="477">
        <v>0</v>
      </c>
      <c r="V3" s="477">
        <v>0</v>
      </c>
      <c r="W3" s="477">
        <v>0</v>
      </c>
      <c r="X3" s="477">
        <v>0</v>
      </c>
      <c r="Y3" s="477">
        <v>0</v>
      </c>
      <c r="Z3" s="477">
        <v>0</v>
      </c>
      <c r="AA3" s="477">
        <v>0</v>
      </c>
      <c r="AB3" s="477">
        <v>0</v>
      </c>
      <c r="AC3" s="477">
        <v>0</v>
      </c>
      <c r="AD3" s="477">
        <v>0</v>
      </c>
      <c r="AE3" s="477">
        <v>0</v>
      </c>
      <c r="AF3" s="477">
        <v>0</v>
      </c>
      <c r="AG3" s="477">
        <v>0</v>
      </c>
      <c r="AH3" s="477">
        <v>0</v>
      </c>
      <c r="AI3" s="477">
        <v>0</v>
      </c>
    </row>
    <row r="4" spans="3:35" hidden="1" outlineLevel="1" x14ac:dyDescent="0.35">
      <c r="C4" s="1020"/>
      <c r="D4" s="1021" t="s">
        <v>1</v>
      </c>
      <c r="E4" s="1022">
        <f t="shared" si="0"/>
        <v>20559.399997715478</v>
      </c>
      <c r="F4" s="1023">
        <f>F3*'Premissas Gerais'!$G$165</f>
        <v>20559.399997715478</v>
      </c>
      <c r="G4" s="1023">
        <f>G3*'Premissas Gerais'!$G$165</f>
        <v>0</v>
      </c>
      <c r="H4" s="1023">
        <f>H3*'Premissas Gerais'!$G$165</f>
        <v>0</v>
      </c>
      <c r="I4" s="1023">
        <f>I3*'Premissas Gerais'!$G$165</f>
        <v>0</v>
      </c>
      <c r="J4" s="1023">
        <f>J3*'Premissas Gerais'!$G$165</f>
        <v>0</v>
      </c>
      <c r="K4" s="1023">
        <f>K3*'Premissas Gerais'!$G$165</f>
        <v>0</v>
      </c>
      <c r="L4" s="1023">
        <f>L3*'Premissas Gerais'!$G$165</f>
        <v>0</v>
      </c>
      <c r="M4" s="1023">
        <f>M3*'Premissas Gerais'!$G$165</f>
        <v>0</v>
      </c>
      <c r="N4" s="1023">
        <f>N3*'Premissas Gerais'!$G$165</f>
        <v>0</v>
      </c>
      <c r="O4" s="1023">
        <f>O3*'Premissas Gerais'!$G$165</f>
        <v>0</v>
      </c>
      <c r="P4" s="1023">
        <f>P3*'Premissas Gerais'!$G$165</f>
        <v>0</v>
      </c>
      <c r="Q4" s="1023">
        <f>Q3*'Premissas Gerais'!$G$165</f>
        <v>0</v>
      </c>
      <c r="R4" s="1023">
        <f>R3*'Premissas Gerais'!$G$165</f>
        <v>0</v>
      </c>
      <c r="S4" s="1023">
        <f>S3*'Premissas Gerais'!$G$165</f>
        <v>0</v>
      </c>
      <c r="T4" s="1023">
        <f>T3*'Premissas Gerais'!$G$165</f>
        <v>0</v>
      </c>
      <c r="U4" s="1023">
        <f>U3*'Premissas Gerais'!$G$165</f>
        <v>0</v>
      </c>
      <c r="V4" s="1023">
        <f>V3*'Premissas Gerais'!$G$165</f>
        <v>0</v>
      </c>
      <c r="W4" s="1023">
        <f>W3*'Premissas Gerais'!$G$165</f>
        <v>0</v>
      </c>
      <c r="X4" s="1023">
        <f>X3*'Premissas Gerais'!$G$165</f>
        <v>0</v>
      </c>
      <c r="Y4" s="1023">
        <f>Y3*'Premissas Gerais'!$G$165</f>
        <v>0</v>
      </c>
      <c r="Z4" s="1023">
        <f>Z3*'Premissas Gerais'!$G$165</f>
        <v>0</v>
      </c>
      <c r="AA4" s="1023">
        <f>AA3*'Premissas Gerais'!$G$165</f>
        <v>0</v>
      </c>
      <c r="AB4" s="1023">
        <f>AB3*'Premissas Gerais'!$G$165</f>
        <v>0</v>
      </c>
      <c r="AC4" s="1023">
        <f>AC3*'Premissas Gerais'!$G$165</f>
        <v>0</v>
      </c>
      <c r="AD4" s="1023">
        <f>AD3*'Premissas Gerais'!$G$165</f>
        <v>0</v>
      </c>
      <c r="AE4" s="1023">
        <f>AE3*'Premissas Gerais'!$G$165</f>
        <v>0</v>
      </c>
      <c r="AF4" s="1023">
        <f>AF3*'Premissas Gerais'!$G$165</f>
        <v>0</v>
      </c>
      <c r="AG4" s="1023">
        <f>AG3*'Premissas Gerais'!$G$165</f>
        <v>0</v>
      </c>
      <c r="AH4" s="1023">
        <f>AH3*'Premissas Gerais'!$G$165</f>
        <v>0</v>
      </c>
      <c r="AI4" s="1023">
        <f>AI3*'Premissas Gerais'!$G$165</f>
        <v>0</v>
      </c>
    </row>
    <row r="5" spans="3:35" hidden="1" outlineLevel="1" x14ac:dyDescent="0.35">
      <c r="C5" s="1024"/>
      <c r="D5" s="1025" t="s">
        <v>2</v>
      </c>
      <c r="E5" s="1026">
        <f t="shared" si="0"/>
        <v>260377.43935893296</v>
      </c>
      <c r="F5" s="1027">
        <f>F3*'Premissas Gerais'!$G$166</f>
        <v>260377.43935893296</v>
      </c>
      <c r="G5" s="1027">
        <f>G3*'Premissas Gerais'!$G$166</f>
        <v>0</v>
      </c>
      <c r="H5" s="1027">
        <f>H3*'Premissas Gerais'!$G$166</f>
        <v>0</v>
      </c>
      <c r="I5" s="1027">
        <f>I3*'Premissas Gerais'!$G$166</f>
        <v>0</v>
      </c>
      <c r="J5" s="1027">
        <f>J3*'Premissas Gerais'!$G$166</f>
        <v>0</v>
      </c>
      <c r="K5" s="1027">
        <f>K3*'Premissas Gerais'!$G$166</f>
        <v>0</v>
      </c>
      <c r="L5" s="1027">
        <f>L3*'Premissas Gerais'!$G$166</f>
        <v>0</v>
      </c>
      <c r="M5" s="1027">
        <f>M3*'Premissas Gerais'!$G$166</f>
        <v>0</v>
      </c>
      <c r="N5" s="1027">
        <f>N3*'Premissas Gerais'!$G$166</f>
        <v>0</v>
      </c>
      <c r="O5" s="1027">
        <f>O3*'Premissas Gerais'!$G$166</f>
        <v>0</v>
      </c>
      <c r="P5" s="1027">
        <f>P3*'Premissas Gerais'!$G$166</f>
        <v>0</v>
      </c>
      <c r="Q5" s="1027">
        <f>Q3*'Premissas Gerais'!$G$166</f>
        <v>0</v>
      </c>
      <c r="R5" s="1027">
        <f>R3*'Premissas Gerais'!$G$166</f>
        <v>0</v>
      </c>
      <c r="S5" s="1027">
        <f>S3*'Premissas Gerais'!$G$166</f>
        <v>0</v>
      </c>
      <c r="T5" s="1027">
        <f>T3*'Premissas Gerais'!$G$166</f>
        <v>0</v>
      </c>
      <c r="U5" s="1027">
        <f>U3*'Premissas Gerais'!$G$166</f>
        <v>0</v>
      </c>
      <c r="V5" s="1027">
        <f>V3*'Premissas Gerais'!$G$166</f>
        <v>0</v>
      </c>
      <c r="W5" s="1027">
        <f>W3*'Premissas Gerais'!$G$166</f>
        <v>0</v>
      </c>
      <c r="X5" s="1027">
        <f>X3*'Premissas Gerais'!$G$166</f>
        <v>0</v>
      </c>
      <c r="Y5" s="1027">
        <f>Y3*'Premissas Gerais'!$G$166</f>
        <v>0</v>
      </c>
      <c r="Z5" s="1027">
        <f>Z3*'Premissas Gerais'!$G$166</f>
        <v>0</v>
      </c>
      <c r="AA5" s="1027">
        <f>AA3*'Premissas Gerais'!$G$166</f>
        <v>0</v>
      </c>
      <c r="AB5" s="1027">
        <f>AB3*'Premissas Gerais'!$G$166</f>
        <v>0</v>
      </c>
      <c r="AC5" s="1027">
        <f>AC3*'Premissas Gerais'!$G$166</f>
        <v>0</v>
      </c>
      <c r="AD5" s="1027">
        <f>AD3*'Premissas Gerais'!$G$166</f>
        <v>0</v>
      </c>
      <c r="AE5" s="1027">
        <f>AE3*'Premissas Gerais'!$G$166</f>
        <v>0</v>
      </c>
      <c r="AF5" s="1027">
        <f>AF3*'Premissas Gerais'!$G$166</f>
        <v>0</v>
      </c>
      <c r="AG5" s="1027">
        <f>AG3*'Premissas Gerais'!$G$166</f>
        <v>0</v>
      </c>
      <c r="AH5" s="1027">
        <f>AH3*'Premissas Gerais'!$G$166</f>
        <v>0</v>
      </c>
      <c r="AI5" s="1027">
        <f>AI3*'Premissas Gerais'!$G$166</f>
        <v>0</v>
      </c>
    </row>
    <row r="6" spans="3:35" hidden="1" outlineLevel="1" x14ac:dyDescent="0.35">
      <c r="C6" s="1024"/>
      <c r="D6" s="1025" t="s">
        <v>3</v>
      </c>
      <c r="E6" s="1026">
        <f t="shared" si="0"/>
        <v>31191.579342427744</v>
      </c>
      <c r="F6" s="1027">
        <f>F3*'Premissas Gerais'!$G$167</f>
        <v>31191.579342427744</v>
      </c>
      <c r="G6" s="1027">
        <f>G3*'Premissas Gerais'!$G$167</f>
        <v>0</v>
      </c>
      <c r="H6" s="1027">
        <f>H3*'Premissas Gerais'!$G$167</f>
        <v>0</v>
      </c>
      <c r="I6" s="1027">
        <f>I3*'Premissas Gerais'!$G$167</f>
        <v>0</v>
      </c>
      <c r="J6" s="1027">
        <f>J3*'Premissas Gerais'!$G$167</f>
        <v>0</v>
      </c>
      <c r="K6" s="1027">
        <f>K3*'Premissas Gerais'!$G$167</f>
        <v>0</v>
      </c>
      <c r="L6" s="1027">
        <f>L3*'Premissas Gerais'!$G$167</f>
        <v>0</v>
      </c>
      <c r="M6" s="1027">
        <f>M3*'Premissas Gerais'!$G$167</f>
        <v>0</v>
      </c>
      <c r="N6" s="1027">
        <f>N3*'Premissas Gerais'!$G$167</f>
        <v>0</v>
      </c>
      <c r="O6" s="1027">
        <f>O3*'Premissas Gerais'!$G$167</f>
        <v>0</v>
      </c>
      <c r="P6" s="1027">
        <f>P3*'Premissas Gerais'!$G$167</f>
        <v>0</v>
      </c>
      <c r="Q6" s="1027">
        <f>Q3*'Premissas Gerais'!$G$167</f>
        <v>0</v>
      </c>
      <c r="R6" s="1027">
        <f>R3*'Premissas Gerais'!$G$167</f>
        <v>0</v>
      </c>
      <c r="S6" s="1027">
        <f>S3*'Premissas Gerais'!$G$167</f>
        <v>0</v>
      </c>
      <c r="T6" s="1027">
        <f>T3*'Premissas Gerais'!$G$167</f>
        <v>0</v>
      </c>
      <c r="U6" s="1027">
        <f>U3*'Premissas Gerais'!$G$167</f>
        <v>0</v>
      </c>
      <c r="V6" s="1027">
        <f>V3*'Premissas Gerais'!$G$167</f>
        <v>0</v>
      </c>
      <c r="W6" s="1027">
        <f>W3*'Premissas Gerais'!$G$167</f>
        <v>0</v>
      </c>
      <c r="X6" s="1027">
        <f>X3*'Premissas Gerais'!$G$167</f>
        <v>0</v>
      </c>
      <c r="Y6" s="1027">
        <f>Y3*'Premissas Gerais'!$G$167</f>
        <v>0</v>
      </c>
      <c r="Z6" s="1027">
        <f>Z3*'Premissas Gerais'!$G$167</f>
        <v>0</v>
      </c>
      <c r="AA6" s="1027">
        <f>AA3*'Premissas Gerais'!$G$167</f>
        <v>0</v>
      </c>
      <c r="AB6" s="1027">
        <f>AB3*'Premissas Gerais'!$G$167</f>
        <v>0</v>
      </c>
      <c r="AC6" s="1027">
        <f>AC3*'Premissas Gerais'!$G$167</f>
        <v>0</v>
      </c>
      <c r="AD6" s="1027">
        <f>AD3*'Premissas Gerais'!$G$167</f>
        <v>0</v>
      </c>
      <c r="AE6" s="1027">
        <f>AE3*'Premissas Gerais'!$G$167</f>
        <v>0</v>
      </c>
      <c r="AF6" s="1027">
        <f>AF3*'Premissas Gerais'!$G$167</f>
        <v>0</v>
      </c>
      <c r="AG6" s="1027">
        <f>AG3*'Premissas Gerais'!$G$167</f>
        <v>0</v>
      </c>
      <c r="AH6" s="1027">
        <f>AH3*'Premissas Gerais'!$G$167</f>
        <v>0</v>
      </c>
      <c r="AI6" s="1027">
        <f>AI3*'Premissas Gerais'!$G$167</f>
        <v>0</v>
      </c>
    </row>
    <row r="7" spans="3:35" hidden="1" outlineLevel="1" x14ac:dyDescent="0.35">
      <c r="C7" s="1024"/>
      <c r="D7" s="1025" t="s">
        <v>4</v>
      </c>
      <c r="E7" s="1026">
        <f t="shared" si="0"/>
        <v>83227.260838470131</v>
      </c>
      <c r="F7" s="1027">
        <f>F3*'Premissas Gerais'!$G$168</f>
        <v>83227.260838470131</v>
      </c>
      <c r="G7" s="1027">
        <f>G3*'Premissas Gerais'!$G$168</f>
        <v>0</v>
      </c>
      <c r="H7" s="1027">
        <f>H3*'Premissas Gerais'!$G$168</f>
        <v>0</v>
      </c>
      <c r="I7" s="1027">
        <f>I3*'Premissas Gerais'!$G$168</f>
        <v>0</v>
      </c>
      <c r="J7" s="1027">
        <f>J3*'Premissas Gerais'!$G$168</f>
        <v>0</v>
      </c>
      <c r="K7" s="1027">
        <f>K3*'Premissas Gerais'!$G$168</f>
        <v>0</v>
      </c>
      <c r="L7" s="1027">
        <f>L3*'Premissas Gerais'!$G$168</f>
        <v>0</v>
      </c>
      <c r="M7" s="1027">
        <f>M3*'Premissas Gerais'!$G$168</f>
        <v>0</v>
      </c>
      <c r="N7" s="1027">
        <f>N3*'Premissas Gerais'!$G$168</f>
        <v>0</v>
      </c>
      <c r="O7" s="1027">
        <f>O3*'Premissas Gerais'!$G$168</f>
        <v>0</v>
      </c>
      <c r="P7" s="1027">
        <f>P3*'Premissas Gerais'!$G$168</f>
        <v>0</v>
      </c>
      <c r="Q7" s="1027">
        <f>Q3*'Premissas Gerais'!$G$168</f>
        <v>0</v>
      </c>
      <c r="R7" s="1027">
        <f>R3*'Premissas Gerais'!$G$168</f>
        <v>0</v>
      </c>
      <c r="S7" s="1027">
        <f>S3*'Premissas Gerais'!$G$168</f>
        <v>0</v>
      </c>
      <c r="T7" s="1027">
        <f>T3*'Premissas Gerais'!$G$168</f>
        <v>0</v>
      </c>
      <c r="U7" s="1027">
        <f>U3*'Premissas Gerais'!$G$168</f>
        <v>0</v>
      </c>
      <c r="V7" s="1027">
        <f>V3*'Premissas Gerais'!$G$168</f>
        <v>0</v>
      </c>
      <c r="W7" s="1027">
        <f>W3*'Premissas Gerais'!$G$168</f>
        <v>0</v>
      </c>
      <c r="X7" s="1027">
        <f>X3*'Premissas Gerais'!$G$168</f>
        <v>0</v>
      </c>
      <c r="Y7" s="1027">
        <f>Y3*'Premissas Gerais'!$G$168</f>
        <v>0</v>
      </c>
      <c r="Z7" s="1027">
        <f>Z3*'Premissas Gerais'!$G$168</f>
        <v>0</v>
      </c>
      <c r="AA7" s="1027">
        <f>AA3*'Premissas Gerais'!$G$168</f>
        <v>0</v>
      </c>
      <c r="AB7" s="1027">
        <f>AB3*'Premissas Gerais'!$G$168</f>
        <v>0</v>
      </c>
      <c r="AC7" s="1027">
        <f>AC3*'Premissas Gerais'!$G$168</f>
        <v>0</v>
      </c>
      <c r="AD7" s="1027">
        <f>AD3*'Premissas Gerais'!$G$168</f>
        <v>0</v>
      </c>
      <c r="AE7" s="1027">
        <f>AE3*'Premissas Gerais'!$G$168</f>
        <v>0</v>
      </c>
      <c r="AF7" s="1027">
        <f>AF3*'Premissas Gerais'!$G$168</f>
        <v>0</v>
      </c>
      <c r="AG7" s="1027">
        <f>AG3*'Premissas Gerais'!$G$168</f>
        <v>0</v>
      </c>
      <c r="AH7" s="1027">
        <f>AH3*'Premissas Gerais'!$G$168</f>
        <v>0</v>
      </c>
      <c r="AI7" s="1027">
        <f>AI3*'Premissas Gerais'!$G$168</f>
        <v>0</v>
      </c>
    </row>
    <row r="8" spans="3:35" hidden="1" outlineLevel="1" x14ac:dyDescent="0.35">
      <c r="C8" s="1024"/>
      <c r="D8" s="1025" t="s">
        <v>5</v>
      </c>
      <c r="E8" s="1026">
        <f t="shared" si="0"/>
        <v>180754.33097591423</v>
      </c>
      <c r="F8" s="1027">
        <f>F3*'Premissas Gerais'!$G$169</f>
        <v>180754.33097591423</v>
      </c>
      <c r="G8" s="1027">
        <f>G3*'Premissas Gerais'!$G$169</f>
        <v>0</v>
      </c>
      <c r="H8" s="1027">
        <f>H3*'Premissas Gerais'!$G$169</f>
        <v>0</v>
      </c>
      <c r="I8" s="1027">
        <f>I3*'Premissas Gerais'!$G$169</f>
        <v>0</v>
      </c>
      <c r="J8" s="1027">
        <f>J3*'Premissas Gerais'!$G$169</f>
        <v>0</v>
      </c>
      <c r="K8" s="1027">
        <f>K3*'Premissas Gerais'!$G$169</f>
        <v>0</v>
      </c>
      <c r="L8" s="1027">
        <f>L3*'Premissas Gerais'!$G$169</f>
        <v>0</v>
      </c>
      <c r="M8" s="1027">
        <f>M3*'Premissas Gerais'!$G$169</f>
        <v>0</v>
      </c>
      <c r="N8" s="1027">
        <f>N3*'Premissas Gerais'!$G$169</f>
        <v>0</v>
      </c>
      <c r="O8" s="1027">
        <f>O3*'Premissas Gerais'!$G$169</f>
        <v>0</v>
      </c>
      <c r="P8" s="1027">
        <f>P3*'Premissas Gerais'!$G$169</f>
        <v>0</v>
      </c>
      <c r="Q8" s="1027">
        <f>Q3*'Premissas Gerais'!$G$169</f>
        <v>0</v>
      </c>
      <c r="R8" s="1027">
        <f>R3*'Premissas Gerais'!$G$169</f>
        <v>0</v>
      </c>
      <c r="S8" s="1027">
        <f>S3*'Premissas Gerais'!$G$169</f>
        <v>0</v>
      </c>
      <c r="T8" s="1027">
        <f>T3*'Premissas Gerais'!$G$169</f>
        <v>0</v>
      </c>
      <c r="U8" s="1027">
        <f>U3*'Premissas Gerais'!$G$169</f>
        <v>0</v>
      </c>
      <c r="V8" s="1027">
        <f>V3*'Premissas Gerais'!$G$169</f>
        <v>0</v>
      </c>
      <c r="W8" s="1027">
        <f>W3*'Premissas Gerais'!$G$169</f>
        <v>0</v>
      </c>
      <c r="X8" s="1027">
        <f>X3*'Premissas Gerais'!$G$169</f>
        <v>0</v>
      </c>
      <c r="Y8" s="1027">
        <f>Y3*'Premissas Gerais'!$G$169</f>
        <v>0</v>
      </c>
      <c r="Z8" s="1027">
        <f>Z3*'Premissas Gerais'!$G$169</f>
        <v>0</v>
      </c>
      <c r="AA8" s="1027">
        <f>AA3*'Premissas Gerais'!$G$169</f>
        <v>0</v>
      </c>
      <c r="AB8" s="1027">
        <f>AB3*'Premissas Gerais'!$G$169</f>
        <v>0</v>
      </c>
      <c r="AC8" s="1027">
        <f>AC3*'Premissas Gerais'!$G$169</f>
        <v>0</v>
      </c>
      <c r="AD8" s="1027">
        <f>AD3*'Premissas Gerais'!$G$169</f>
        <v>0</v>
      </c>
      <c r="AE8" s="1027">
        <f>AE3*'Premissas Gerais'!$G$169</f>
        <v>0</v>
      </c>
      <c r="AF8" s="1027">
        <f>AF3*'Premissas Gerais'!$G$169</f>
        <v>0</v>
      </c>
      <c r="AG8" s="1027">
        <f>AG3*'Premissas Gerais'!$G$169</f>
        <v>0</v>
      </c>
      <c r="AH8" s="1027">
        <f>AH3*'Premissas Gerais'!$G$169</f>
        <v>0</v>
      </c>
      <c r="AI8" s="1027">
        <f>AI3*'Premissas Gerais'!$G$169</f>
        <v>0</v>
      </c>
    </row>
    <row r="9" spans="3:35" hidden="1" outlineLevel="1" x14ac:dyDescent="0.35">
      <c r="C9" s="1024"/>
      <c r="D9" s="1025" t="s">
        <v>6</v>
      </c>
      <c r="E9" s="1026">
        <f t="shared" si="0"/>
        <v>2000918.83124954</v>
      </c>
      <c r="F9" s="1027">
        <f>F3*'Premissas Gerais'!$G$170</f>
        <v>2000918.83124954</v>
      </c>
      <c r="G9" s="1027">
        <f>G3*'Premissas Gerais'!$G$170</f>
        <v>0</v>
      </c>
      <c r="H9" s="1027">
        <f>H3*'Premissas Gerais'!$G$170</f>
        <v>0</v>
      </c>
      <c r="I9" s="1027">
        <f>I3*'Premissas Gerais'!$G$170</f>
        <v>0</v>
      </c>
      <c r="J9" s="1027">
        <f>J3*'Premissas Gerais'!$G$170</f>
        <v>0</v>
      </c>
      <c r="K9" s="1027">
        <f>K3*'Premissas Gerais'!$G$170</f>
        <v>0</v>
      </c>
      <c r="L9" s="1027">
        <f>L3*'Premissas Gerais'!$G$170</f>
        <v>0</v>
      </c>
      <c r="M9" s="1027">
        <f>M3*'Premissas Gerais'!$G$170</f>
        <v>0</v>
      </c>
      <c r="N9" s="1027">
        <f>N3*'Premissas Gerais'!$G$170</f>
        <v>0</v>
      </c>
      <c r="O9" s="1027">
        <f>O3*'Premissas Gerais'!$G$170</f>
        <v>0</v>
      </c>
      <c r="P9" s="1027">
        <f>P3*'Premissas Gerais'!$G$170</f>
        <v>0</v>
      </c>
      <c r="Q9" s="1027">
        <f>Q3*'Premissas Gerais'!$G$170</f>
        <v>0</v>
      </c>
      <c r="R9" s="1027">
        <f>R3*'Premissas Gerais'!$G$170</f>
        <v>0</v>
      </c>
      <c r="S9" s="1027">
        <f>S3*'Premissas Gerais'!$G$170</f>
        <v>0</v>
      </c>
      <c r="T9" s="1027">
        <f>T3*'Premissas Gerais'!$G$170</f>
        <v>0</v>
      </c>
      <c r="U9" s="1027">
        <f>U3*'Premissas Gerais'!$G$170</f>
        <v>0</v>
      </c>
      <c r="V9" s="1027">
        <f>V3*'Premissas Gerais'!$G$170</f>
        <v>0</v>
      </c>
      <c r="W9" s="1027">
        <f>W3*'Premissas Gerais'!$G$170</f>
        <v>0</v>
      </c>
      <c r="X9" s="1027">
        <f>X3*'Premissas Gerais'!$G$170</f>
        <v>0</v>
      </c>
      <c r="Y9" s="1027">
        <f>Y3*'Premissas Gerais'!$G$170</f>
        <v>0</v>
      </c>
      <c r="Z9" s="1027">
        <f>Z3*'Premissas Gerais'!$G$170</f>
        <v>0</v>
      </c>
      <c r="AA9" s="1027">
        <f>AA3*'Premissas Gerais'!$G$170</f>
        <v>0</v>
      </c>
      <c r="AB9" s="1027">
        <f>AB3*'Premissas Gerais'!$G$170</f>
        <v>0</v>
      </c>
      <c r="AC9" s="1027">
        <f>AC3*'Premissas Gerais'!$G$170</f>
        <v>0</v>
      </c>
      <c r="AD9" s="1027">
        <f>AD3*'Premissas Gerais'!$G$170</f>
        <v>0</v>
      </c>
      <c r="AE9" s="1027">
        <f>AE3*'Premissas Gerais'!$G$170</f>
        <v>0</v>
      </c>
      <c r="AF9" s="1027">
        <f>AF3*'Premissas Gerais'!$G$170</f>
        <v>0</v>
      </c>
      <c r="AG9" s="1027">
        <f>AG3*'Premissas Gerais'!$G$170</f>
        <v>0</v>
      </c>
      <c r="AH9" s="1027">
        <f>AH3*'Premissas Gerais'!$G$170</f>
        <v>0</v>
      </c>
      <c r="AI9" s="1027">
        <f>AI3*'Premissas Gerais'!$G$170</f>
        <v>0</v>
      </c>
    </row>
    <row r="10" spans="3:35" hidden="1" outlineLevel="1" x14ac:dyDescent="0.35">
      <c r="C10" s="1024"/>
      <c r="D10" s="1025" t="s">
        <v>7</v>
      </c>
      <c r="E10" s="1026">
        <f t="shared" si="0"/>
        <v>163386.07435405147</v>
      </c>
      <c r="F10" s="1027">
        <f>F3*'Premissas Gerais'!$G$171</f>
        <v>163386.07435405147</v>
      </c>
      <c r="G10" s="1027">
        <f>G3*'Premissas Gerais'!$G$171</f>
        <v>0</v>
      </c>
      <c r="H10" s="1027">
        <f>H3*'Premissas Gerais'!$G$171</f>
        <v>0</v>
      </c>
      <c r="I10" s="1027">
        <f>I3*'Premissas Gerais'!$G$171</f>
        <v>0</v>
      </c>
      <c r="J10" s="1027">
        <f>J3*'Premissas Gerais'!$G$171</f>
        <v>0</v>
      </c>
      <c r="K10" s="1027">
        <f>K3*'Premissas Gerais'!$G$171</f>
        <v>0</v>
      </c>
      <c r="L10" s="1027">
        <f>L3*'Premissas Gerais'!$G$171</f>
        <v>0</v>
      </c>
      <c r="M10" s="1027">
        <f>M3*'Premissas Gerais'!$G$171</f>
        <v>0</v>
      </c>
      <c r="N10" s="1027">
        <f>N3*'Premissas Gerais'!$G$171</f>
        <v>0</v>
      </c>
      <c r="O10" s="1027">
        <f>O3*'Premissas Gerais'!$G$171</f>
        <v>0</v>
      </c>
      <c r="P10" s="1027">
        <f>P3*'Premissas Gerais'!$G$171</f>
        <v>0</v>
      </c>
      <c r="Q10" s="1027">
        <f>Q3*'Premissas Gerais'!$G$171</f>
        <v>0</v>
      </c>
      <c r="R10" s="1027">
        <f>R3*'Premissas Gerais'!$G$171</f>
        <v>0</v>
      </c>
      <c r="S10" s="1027">
        <f>S3*'Premissas Gerais'!$G$171</f>
        <v>0</v>
      </c>
      <c r="T10" s="1027">
        <f>T3*'Premissas Gerais'!$G$171</f>
        <v>0</v>
      </c>
      <c r="U10" s="1027">
        <f>U3*'Premissas Gerais'!$G$171</f>
        <v>0</v>
      </c>
      <c r="V10" s="1027">
        <f>V3*'Premissas Gerais'!$G$171</f>
        <v>0</v>
      </c>
      <c r="W10" s="1027">
        <f>W3*'Premissas Gerais'!$G$171</f>
        <v>0</v>
      </c>
      <c r="X10" s="1027">
        <f>X3*'Premissas Gerais'!$G$171</f>
        <v>0</v>
      </c>
      <c r="Y10" s="1027">
        <f>Y3*'Premissas Gerais'!$G$171</f>
        <v>0</v>
      </c>
      <c r="Z10" s="1027">
        <f>Z3*'Premissas Gerais'!$G$171</f>
        <v>0</v>
      </c>
      <c r="AA10" s="1027">
        <f>AA3*'Premissas Gerais'!$G$171</f>
        <v>0</v>
      </c>
      <c r="AB10" s="1027">
        <f>AB3*'Premissas Gerais'!$G$171</f>
        <v>0</v>
      </c>
      <c r="AC10" s="1027">
        <f>AC3*'Premissas Gerais'!$G$171</f>
        <v>0</v>
      </c>
      <c r="AD10" s="1027">
        <f>AD3*'Premissas Gerais'!$G$171</f>
        <v>0</v>
      </c>
      <c r="AE10" s="1027">
        <f>AE3*'Premissas Gerais'!$G$171</f>
        <v>0</v>
      </c>
      <c r="AF10" s="1027">
        <f>AF3*'Premissas Gerais'!$G$171</f>
        <v>0</v>
      </c>
      <c r="AG10" s="1027">
        <f>AG3*'Premissas Gerais'!$G$171</f>
        <v>0</v>
      </c>
      <c r="AH10" s="1027">
        <f>AH3*'Premissas Gerais'!$G$171</f>
        <v>0</v>
      </c>
      <c r="AI10" s="1027">
        <f>AI3*'Premissas Gerais'!$G$171</f>
        <v>0</v>
      </c>
    </row>
    <row r="11" spans="3:35" hidden="1" outlineLevel="1" x14ac:dyDescent="0.35">
      <c r="C11" s="1024"/>
      <c r="D11" s="1025" t="s">
        <v>8</v>
      </c>
      <c r="E11" s="1026">
        <f t="shared" si="0"/>
        <v>148853.24093382678</v>
      </c>
      <c r="F11" s="1027">
        <f>F3*'Premissas Gerais'!$G$172</f>
        <v>148853.24093382678</v>
      </c>
      <c r="G11" s="1027">
        <f>G3*'Premissas Gerais'!$G$172</f>
        <v>0</v>
      </c>
      <c r="H11" s="1027">
        <f>H3*'Premissas Gerais'!$G$172</f>
        <v>0</v>
      </c>
      <c r="I11" s="1027">
        <f>I3*'Premissas Gerais'!$G$172</f>
        <v>0</v>
      </c>
      <c r="J11" s="1027">
        <f>J3*'Premissas Gerais'!$G$172</f>
        <v>0</v>
      </c>
      <c r="K11" s="1027">
        <f>K3*'Premissas Gerais'!$G$172</f>
        <v>0</v>
      </c>
      <c r="L11" s="1027">
        <f>L3*'Premissas Gerais'!$G$172</f>
        <v>0</v>
      </c>
      <c r="M11" s="1027">
        <f>M3*'Premissas Gerais'!$G$172</f>
        <v>0</v>
      </c>
      <c r="N11" s="1027">
        <f>N3*'Premissas Gerais'!$G$172</f>
        <v>0</v>
      </c>
      <c r="O11" s="1027">
        <f>O3*'Premissas Gerais'!$G$172</f>
        <v>0</v>
      </c>
      <c r="P11" s="1027">
        <f>P3*'Premissas Gerais'!$G$172</f>
        <v>0</v>
      </c>
      <c r="Q11" s="1027">
        <f>Q3*'Premissas Gerais'!$G$172</f>
        <v>0</v>
      </c>
      <c r="R11" s="1027">
        <f>R3*'Premissas Gerais'!$G$172</f>
        <v>0</v>
      </c>
      <c r="S11" s="1027">
        <f>S3*'Premissas Gerais'!$G$172</f>
        <v>0</v>
      </c>
      <c r="T11" s="1027">
        <f>T3*'Premissas Gerais'!$G$172</f>
        <v>0</v>
      </c>
      <c r="U11" s="1027">
        <f>U3*'Premissas Gerais'!$G$172</f>
        <v>0</v>
      </c>
      <c r="V11" s="1027">
        <f>V3*'Premissas Gerais'!$G$172</f>
        <v>0</v>
      </c>
      <c r="W11" s="1027">
        <f>W3*'Premissas Gerais'!$G$172</f>
        <v>0</v>
      </c>
      <c r="X11" s="1027">
        <f>X3*'Premissas Gerais'!$G$172</f>
        <v>0</v>
      </c>
      <c r="Y11" s="1027">
        <f>Y3*'Premissas Gerais'!$G$172</f>
        <v>0</v>
      </c>
      <c r="Z11" s="1027">
        <f>Z3*'Premissas Gerais'!$G$172</f>
        <v>0</v>
      </c>
      <c r="AA11" s="1027">
        <f>AA3*'Premissas Gerais'!$G$172</f>
        <v>0</v>
      </c>
      <c r="AB11" s="1027">
        <f>AB3*'Premissas Gerais'!$G$172</f>
        <v>0</v>
      </c>
      <c r="AC11" s="1027">
        <f>AC3*'Premissas Gerais'!$G$172</f>
        <v>0</v>
      </c>
      <c r="AD11" s="1027">
        <f>AD3*'Premissas Gerais'!$G$172</f>
        <v>0</v>
      </c>
      <c r="AE11" s="1027">
        <f>AE3*'Premissas Gerais'!$G$172</f>
        <v>0</v>
      </c>
      <c r="AF11" s="1027">
        <f>AF3*'Premissas Gerais'!$G$172</f>
        <v>0</v>
      </c>
      <c r="AG11" s="1027">
        <f>AG3*'Premissas Gerais'!$G$172</f>
        <v>0</v>
      </c>
      <c r="AH11" s="1027">
        <f>AH3*'Premissas Gerais'!$G$172</f>
        <v>0</v>
      </c>
      <c r="AI11" s="1027">
        <f>AI3*'Premissas Gerais'!$G$172</f>
        <v>0</v>
      </c>
    </row>
    <row r="12" spans="3:35" hidden="1" outlineLevel="1" x14ac:dyDescent="0.35">
      <c r="C12" s="1024"/>
      <c r="D12" s="1025" t="s">
        <v>9</v>
      </c>
      <c r="E12" s="1026">
        <f t="shared" si="0"/>
        <v>122139.17294912167</v>
      </c>
      <c r="F12" s="1027">
        <f>F3*'Premissas Gerais'!$G$173</f>
        <v>122139.17294912167</v>
      </c>
      <c r="G12" s="1027">
        <f>G3*'Premissas Gerais'!$G$173</f>
        <v>0</v>
      </c>
      <c r="H12" s="1027">
        <f>H3*'Premissas Gerais'!$G$173</f>
        <v>0</v>
      </c>
      <c r="I12" s="1027">
        <f>I3*'Premissas Gerais'!$G$173</f>
        <v>0</v>
      </c>
      <c r="J12" s="1027">
        <f>J3*'Premissas Gerais'!$G$173</f>
        <v>0</v>
      </c>
      <c r="K12" s="1027">
        <f>K3*'Premissas Gerais'!$G$173</f>
        <v>0</v>
      </c>
      <c r="L12" s="1027">
        <f>L3*'Premissas Gerais'!$G$173</f>
        <v>0</v>
      </c>
      <c r="M12" s="1027">
        <f>M3*'Premissas Gerais'!$G$173</f>
        <v>0</v>
      </c>
      <c r="N12" s="1027">
        <f>N3*'Premissas Gerais'!$G$173</f>
        <v>0</v>
      </c>
      <c r="O12" s="1027">
        <f>O3*'Premissas Gerais'!$G$173</f>
        <v>0</v>
      </c>
      <c r="P12" s="1027">
        <f>P3*'Premissas Gerais'!$G$173</f>
        <v>0</v>
      </c>
      <c r="Q12" s="1027">
        <f>Q3*'Premissas Gerais'!$G$173</f>
        <v>0</v>
      </c>
      <c r="R12" s="1027">
        <f>R3*'Premissas Gerais'!$G$173</f>
        <v>0</v>
      </c>
      <c r="S12" s="1027">
        <f>S3*'Premissas Gerais'!$G$173</f>
        <v>0</v>
      </c>
      <c r="T12" s="1027">
        <f>T3*'Premissas Gerais'!$G$173</f>
        <v>0</v>
      </c>
      <c r="U12" s="1027">
        <f>U3*'Premissas Gerais'!$G$173</f>
        <v>0</v>
      </c>
      <c r="V12" s="1027">
        <f>V3*'Premissas Gerais'!$G$173</f>
        <v>0</v>
      </c>
      <c r="W12" s="1027">
        <f>W3*'Premissas Gerais'!$G$173</f>
        <v>0</v>
      </c>
      <c r="X12" s="1027">
        <f>X3*'Premissas Gerais'!$G$173</f>
        <v>0</v>
      </c>
      <c r="Y12" s="1027">
        <f>Y3*'Premissas Gerais'!$G$173</f>
        <v>0</v>
      </c>
      <c r="Z12" s="1027">
        <f>Z3*'Premissas Gerais'!$G$173</f>
        <v>0</v>
      </c>
      <c r="AA12" s="1027">
        <f>AA3*'Premissas Gerais'!$G$173</f>
        <v>0</v>
      </c>
      <c r="AB12" s="1027">
        <f>AB3*'Premissas Gerais'!$G$173</f>
        <v>0</v>
      </c>
      <c r="AC12" s="1027">
        <f>AC3*'Premissas Gerais'!$G$173</f>
        <v>0</v>
      </c>
      <c r="AD12" s="1027">
        <f>AD3*'Premissas Gerais'!$G$173</f>
        <v>0</v>
      </c>
      <c r="AE12" s="1027">
        <f>AE3*'Premissas Gerais'!$G$173</f>
        <v>0</v>
      </c>
      <c r="AF12" s="1027">
        <f>AF3*'Premissas Gerais'!$G$173</f>
        <v>0</v>
      </c>
      <c r="AG12" s="1027">
        <f>AG3*'Premissas Gerais'!$G$173</f>
        <v>0</v>
      </c>
      <c r="AH12" s="1027">
        <f>AH3*'Premissas Gerais'!$G$173</f>
        <v>0</v>
      </c>
      <c r="AI12" s="1027">
        <f>AI3*'Premissas Gerais'!$G$173</f>
        <v>0</v>
      </c>
    </row>
    <row r="13" spans="3:35" collapsed="1" x14ac:dyDescent="0.35">
      <c r="D13" t="s">
        <v>104</v>
      </c>
      <c r="E13" s="486">
        <f t="shared" si="0"/>
        <v>512268.4</v>
      </c>
      <c r="F13" s="477">
        <f>'Premissas Gerais'!G78</f>
        <v>512268.4</v>
      </c>
      <c r="G13" s="477">
        <f>SUM(G14:G22)</f>
        <v>0</v>
      </c>
      <c r="H13" s="477">
        <f t="shared" ref="H13:AI13" si="1">SUM(H14:H22)</f>
        <v>0</v>
      </c>
      <c r="I13" s="477">
        <f t="shared" si="1"/>
        <v>0</v>
      </c>
      <c r="J13" s="477">
        <f t="shared" si="1"/>
        <v>0</v>
      </c>
      <c r="K13" s="477">
        <f t="shared" si="1"/>
        <v>0</v>
      </c>
      <c r="L13" s="477">
        <f t="shared" si="1"/>
        <v>0</v>
      </c>
      <c r="M13" s="477">
        <f t="shared" si="1"/>
        <v>0</v>
      </c>
      <c r="N13" s="477">
        <f t="shared" si="1"/>
        <v>0</v>
      </c>
      <c r="O13" s="477">
        <f t="shared" si="1"/>
        <v>0</v>
      </c>
      <c r="P13" s="477">
        <f t="shared" si="1"/>
        <v>0</v>
      </c>
      <c r="Q13" s="477">
        <f t="shared" si="1"/>
        <v>0</v>
      </c>
      <c r="R13" s="477">
        <f t="shared" si="1"/>
        <v>0</v>
      </c>
      <c r="S13" s="477">
        <f t="shared" si="1"/>
        <v>0</v>
      </c>
      <c r="T13" s="477">
        <f t="shared" si="1"/>
        <v>0</v>
      </c>
      <c r="U13" s="477">
        <f t="shared" si="1"/>
        <v>0</v>
      </c>
      <c r="V13" s="477">
        <f t="shared" si="1"/>
        <v>0</v>
      </c>
      <c r="W13" s="477">
        <f t="shared" si="1"/>
        <v>0</v>
      </c>
      <c r="X13" s="477">
        <f t="shared" si="1"/>
        <v>0</v>
      </c>
      <c r="Y13" s="477">
        <f t="shared" si="1"/>
        <v>0</v>
      </c>
      <c r="Z13" s="477">
        <f t="shared" si="1"/>
        <v>0</v>
      </c>
      <c r="AA13" s="477">
        <f t="shared" si="1"/>
        <v>0</v>
      </c>
      <c r="AB13" s="477">
        <f t="shared" si="1"/>
        <v>0</v>
      </c>
      <c r="AC13" s="477">
        <f t="shared" si="1"/>
        <v>0</v>
      </c>
      <c r="AD13" s="477">
        <f t="shared" si="1"/>
        <v>0</v>
      </c>
      <c r="AE13" s="477">
        <f t="shared" si="1"/>
        <v>0</v>
      </c>
      <c r="AF13" s="477">
        <f t="shared" si="1"/>
        <v>0</v>
      </c>
      <c r="AG13" s="477">
        <f t="shared" si="1"/>
        <v>0</v>
      </c>
      <c r="AH13" s="477">
        <f t="shared" si="1"/>
        <v>0</v>
      </c>
      <c r="AI13" s="477">
        <f t="shared" si="1"/>
        <v>0</v>
      </c>
    </row>
    <row r="14" spans="3:35" hidden="1" outlineLevel="1" x14ac:dyDescent="0.35">
      <c r="C14" s="1020"/>
      <c r="D14" s="1021" t="s">
        <v>1</v>
      </c>
      <c r="E14" s="1022">
        <f t="shared" si="0"/>
        <v>3497.3451903597879</v>
      </c>
      <c r="F14" s="1023">
        <f>F13*'Premissas Gerais'!$G$165</f>
        <v>3497.3451903597879</v>
      </c>
      <c r="G14" s="1023">
        <v>0</v>
      </c>
      <c r="H14" s="1023">
        <v>0</v>
      </c>
      <c r="I14" s="1023">
        <v>0</v>
      </c>
      <c r="J14" s="1023">
        <v>0</v>
      </c>
      <c r="K14" s="1023">
        <v>0</v>
      </c>
      <c r="L14" s="1023">
        <v>0</v>
      </c>
      <c r="M14" s="1023">
        <v>0</v>
      </c>
      <c r="N14" s="1023">
        <v>0</v>
      </c>
      <c r="O14" s="1023">
        <v>0</v>
      </c>
      <c r="P14" s="1023">
        <v>0</v>
      </c>
      <c r="Q14" s="1023">
        <v>0</v>
      </c>
      <c r="R14" s="1023">
        <v>0</v>
      </c>
      <c r="S14" s="1023">
        <v>0</v>
      </c>
      <c r="T14" s="1023">
        <v>0</v>
      </c>
      <c r="U14" s="1023">
        <v>0</v>
      </c>
      <c r="V14" s="1023">
        <v>0</v>
      </c>
      <c r="W14" s="1023">
        <v>0</v>
      </c>
      <c r="X14" s="1023">
        <v>0</v>
      </c>
      <c r="Y14" s="1023">
        <v>0</v>
      </c>
      <c r="Z14" s="1023">
        <v>0</v>
      </c>
      <c r="AA14" s="1023">
        <v>0</v>
      </c>
      <c r="AB14" s="1023">
        <v>0</v>
      </c>
      <c r="AC14" s="1023">
        <v>0</v>
      </c>
      <c r="AD14" s="1023">
        <v>0</v>
      </c>
      <c r="AE14" s="1023">
        <v>0</v>
      </c>
      <c r="AF14" s="1023">
        <v>0</v>
      </c>
      <c r="AG14" s="1023">
        <v>0</v>
      </c>
      <c r="AH14" s="1023">
        <v>0</v>
      </c>
      <c r="AI14" s="1023">
        <v>0</v>
      </c>
    </row>
    <row r="15" spans="3:35" hidden="1" outlineLevel="1" x14ac:dyDescent="0.35">
      <c r="C15" s="1024"/>
      <c r="D15" s="1025" t="s">
        <v>2</v>
      </c>
      <c r="E15" s="1026">
        <f t="shared" si="0"/>
        <v>44292.6245572025</v>
      </c>
      <c r="F15" s="1027">
        <f>F13*'Premissas Gerais'!$G$166</f>
        <v>44292.6245572025</v>
      </c>
      <c r="G15" s="1027">
        <v>0</v>
      </c>
      <c r="H15" s="1027">
        <v>0</v>
      </c>
      <c r="I15" s="1027">
        <v>0</v>
      </c>
      <c r="J15" s="1027">
        <v>0</v>
      </c>
      <c r="K15" s="1027">
        <v>0</v>
      </c>
      <c r="L15" s="1027">
        <v>0</v>
      </c>
      <c r="M15" s="1027">
        <v>0</v>
      </c>
      <c r="N15" s="1027">
        <v>0</v>
      </c>
      <c r="O15" s="1027">
        <v>0</v>
      </c>
      <c r="P15" s="1027">
        <v>0</v>
      </c>
      <c r="Q15" s="1027">
        <v>0</v>
      </c>
      <c r="R15" s="1027">
        <v>0</v>
      </c>
      <c r="S15" s="1027">
        <v>0</v>
      </c>
      <c r="T15" s="1027">
        <v>0</v>
      </c>
      <c r="U15" s="1027">
        <v>0</v>
      </c>
      <c r="V15" s="1027">
        <v>0</v>
      </c>
      <c r="W15" s="1027">
        <v>0</v>
      </c>
      <c r="X15" s="1027">
        <v>0</v>
      </c>
      <c r="Y15" s="1027">
        <v>0</v>
      </c>
      <c r="Z15" s="1027">
        <v>0</v>
      </c>
      <c r="AA15" s="1027">
        <v>0</v>
      </c>
      <c r="AB15" s="1027">
        <v>0</v>
      </c>
      <c r="AC15" s="1027">
        <v>0</v>
      </c>
      <c r="AD15" s="1027">
        <v>0</v>
      </c>
      <c r="AE15" s="1027">
        <v>0</v>
      </c>
      <c r="AF15" s="1027">
        <v>0</v>
      </c>
      <c r="AG15" s="1027">
        <v>0</v>
      </c>
      <c r="AH15" s="1027">
        <v>0</v>
      </c>
      <c r="AI15" s="1027">
        <v>0</v>
      </c>
    </row>
    <row r="16" spans="3:35" hidden="1" outlineLevel="1" x14ac:dyDescent="0.35">
      <c r="C16" s="1024"/>
      <c r="D16" s="1025" t="s">
        <v>3</v>
      </c>
      <c r="E16" s="1026">
        <f t="shared" si="0"/>
        <v>5305.9778011560174</v>
      </c>
      <c r="F16" s="1027">
        <f>F13*'Premissas Gerais'!$G$167</f>
        <v>5305.9778011560174</v>
      </c>
      <c r="G16" s="1027">
        <v>0</v>
      </c>
      <c r="H16" s="1027">
        <v>0</v>
      </c>
      <c r="I16" s="1027">
        <v>0</v>
      </c>
      <c r="J16" s="1027">
        <v>0</v>
      </c>
      <c r="K16" s="1027">
        <v>0</v>
      </c>
      <c r="L16" s="1027">
        <v>0</v>
      </c>
      <c r="M16" s="1027">
        <v>0</v>
      </c>
      <c r="N16" s="1027">
        <v>0</v>
      </c>
      <c r="O16" s="1027">
        <v>0</v>
      </c>
      <c r="P16" s="1027">
        <v>0</v>
      </c>
      <c r="Q16" s="1027">
        <v>0</v>
      </c>
      <c r="R16" s="1027">
        <v>0</v>
      </c>
      <c r="S16" s="1027">
        <v>0</v>
      </c>
      <c r="T16" s="1027">
        <v>0</v>
      </c>
      <c r="U16" s="1027">
        <v>0</v>
      </c>
      <c r="V16" s="1027">
        <v>0</v>
      </c>
      <c r="W16" s="1027">
        <v>0</v>
      </c>
      <c r="X16" s="1027">
        <v>0</v>
      </c>
      <c r="Y16" s="1027">
        <v>0</v>
      </c>
      <c r="Z16" s="1027">
        <v>0</v>
      </c>
      <c r="AA16" s="1027">
        <v>0</v>
      </c>
      <c r="AB16" s="1027">
        <v>0</v>
      </c>
      <c r="AC16" s="1027">
        <v>0</v>
      </c>
      <c r="AD16" s="1027">
        <v>0</v>
      </c>
      <c r="AE16" s="1027">
        <v>0</v>
      </c>
      <c r="AF16" s="1027">
        <v>0</v>
      </c>
      <c r="AG16" s="1027">
        <v>0</v>
      </c>
      <c r="AH16" s="1027">
        <v>0</v>
      </c>
      <c r="AI16" s="1027">
        <v>0</v>
      </c>
    </row>
    <row r="17" spans="3:35" hidden="1" outlineLevel="1" x14ac:dyDescent="0.35">
      <c r="C17" s="1024"/>
      <c r="D17" s="1025" t="s">
        <v>4</v>
      </c>
      <c r="E17" s="1026">
        <f t="shared" si="0"/>
        <v>14157.731277789562</v>
      </c>
      <c r="F17" s="1027">
        <f>F13*'Premissas Gerais'!$G$168</f>
        <v>14157.731277789562</v>
      </c>
      <c r="G17" s="1027">
        <v>0</v>
      </c>
      <c r="H17" s="1027">
        <v>0</v>
      </c>
      <c r="I17" s="1027">
        <v>0</v>
      </c>
      <c r="J17" s="1027">
        <v>0</v>
      </c>
      <c r="K17" s="1027">
        <v>0</v>
      </c>
      <c r="L17" s="1027">
        <v>0</v>
      </c>
      <c r="M17" s="1027">
        <v>0</v>
      </c>
      <c r="N17" s="1027">
        <v>0</v>
      </c>
      <c r="O17" s="1027">
        <v>0</v>
      </c>
      <c r="P17" s="1027">
        <v>0</v>
      </c>
      <c r="Q17" s="1027">
        <v>0</v>
      </c>
      <c r="R17" s="1027">
        <v>0</v>
      </c>
      <c r="S17" s="1027">
        <v>0</v>
      </c>
      <c r="T17" s="1027">
        <v>0</v>
      </c>
      <c r="U17" s="1027">
        <v>0</v>
      </c>
      <c r="V17" s="1027">
        <v>0</v>
      </c>
      <c r="W17" s="1027">
        <v>0</v>
      </c>
      <c r="X17" s="1027">
        <v>0</v>
      </c>
      <c r="Y17" s="1027">
        <v>0</v>
      </c>
      <c r="Z17" s="1027">
        <v>0</v>
      </c>
      <c r="AA17" s="1027">
        <v>0</v>
      </c>
      <c r="AB17" s="1027">
        <v>0</v>
      </c>
      <c r="AC17" s="1027">
        <v>0</v>
      </c>
      <c r="AD17" s="1027">
        <v>0</v>
      </c>
      <c r="AE17" s="1027">
        <v>0</v>
      </c>
      <c r="AF17" s="1027">
        <v>0</v>
      </c>
      <c r="AG17" s="1027">
        <v>0</v>
      </c>
      <c r="AH17" s="1027">
        <v>0</v>
      </c>
      <c r="AI17" s="1027">
        <v>0</v>
      </c>
    </row>
    <row r="18" spans="3:35" hidden="1" outlineLevel="1" x14ac:dyDescent="0.35">
      <c r="C18" s="1024"/>
      <c r="D18" s="1025" t="s">
        <v>5</v>
      </c>
      <c r="E18" s="1026">
        <f t="shared" si="0"/>
        <v>30747.993139175236</v>
      </c>
      <c r="F18" s="1027">
        <f>F13*'Premissas Gerais'!$G$169</f>
        <v>30747.993139175236</v>
      </c>
      <c r="G18" s="1027">
        <v>0</v>
      </c>
      <c r="H18" s="1027">
        <v>0</v>
      </c>
      <c r="I18" s="1027">
        <v>0</v>
      </c>
      <c r="J18" s="1027">
        <v>0</v>
      </c>
      <c r="K18" s="1027">
        <v>0</v>
      </c>
      <c r="L18" s="1027">
        <v>0</v>
      </c>
      <c r="M18" s="1027">
        <v>0</v>
      </c>
      <c r="N18" s="1027">
        <v>0</v>
      </c>
      <c r="O18" s="1027">
        <v>0</v>
      </c>
      <c r="P18" s="1027">
        <v>0</v>
      </c>
      <c r="Q18" s="1027">
        <v>0</v>
      </c>
      <c r="R18" s="1027">
        <v>0</v>
      </c>
      <c r="S18" s="1027">
        <v>0</v>
      </c>
      <c r="T18" s="1027">
        <v>0</v>
      </c>
      <c r="U18" s="1027">
        <v>0</v>
      </c>
      <c r="V18" s="1027">
        <v>0</v>
      </c>
      <c r="W18" s="1027">
        <v>0</v>
      </c>
      <c r="X18" s="1027">
        <v>0</v>
      </c>
      <c r="Y18" s="1027">
        <v>0</v>
      </c>
      <c r="Z18" s="1027">
        <v>0</v>
      </c>
      <c r="AA18" s="1027">
        <v>0</v>
      </c>
      <c r="AB18" s="1027">
        <v>0</v>
      </c>
      <c r="AC18" s="1027">
        <v>0</v>
      </c>
      <c r="AD18" s="1027">
        <v>0</v>
      </c>
      <c r="AE18" s="1027">
        <v>0</v>
      </c>
      <c r="AF18" s="1027">
        <v>0</v>
      </c>
      <c r="AG18" s="1027">
        <v>0</v>
      </c>
      <c r="AH18" s="1027">
        <v>0</v>
      </c>
      <c r="AI18" s="1027">
        <v>0</v>
      </c>
    </row>
    <row r="19" spans="3:35" hidden="1" outlineLevel="1" x14ac:dyDescent="0.35">
      <c r="C19" s="1024"/>
      <c r="D19" s="1025" t="s">
        <v>6</v>
      </c>
      <c r="E19" s="1026">
        <f t="shared" si="0"/>
        <v>340374.90644418128</v>
      </c>
      <c r="F19" s="1027">
        <f>F13*'Premissas Gerais'!$G$170</f>
        <v>340374.90644418128</v>
      </c>
      <c r="G19" s="1027">
        <v>0</v>
      </c>
      <c r="H19" s="1027">
        <v>0</v>
      </c>
      <c r="I19" s="1027">
        <v>0</v>
      </c>
      <c r="J19" s="1027">
        <v>0</v>
      </c>
      <c r="K19" s="1027">
        <v>0</v>
      </c>
      <c r="L19" s="1027">
        <v>0</v>
      </c>
      <c r="M19" s="1027">
        <v>0</v>
      </c>
      <c r="N19" s="1027">
        <v>0</v>
      </c>
      <c r="O19" s="1027">
        <v>0</v>
      </c>
      <c r="P19" s="1027">
        <v>0</v>
      </c>
      <c r="Q19" s="1027">
        <v>0</v>
      </c>
      <c r="R19" s="1027">
        <v>0</v>
      </c>
      <c r="S19" s="1027">
        <v>0</v>
      </c>
      <c r="T19" s="1027">
        <v>0</v>
      </c>
      <c r="U19" s="1027">
        <v>0</v>
      </c>
      <c r="V19" s="1027">
        <v>0</v>
      </c>
      <c r="W19" s="1027">
        <v>0</v>
      </c>
      <c r="X19" s="1027">
        <v>0</v>
      </c>
      <c r="Y19" s="1027">
        <v>0</v>
      </c>
      <c r="Z19" s="1027">
        <v>0</v>
      </c>
      <c r="AA19" s="1027">
        <v>0</v>
      </c>
      <c r="AB19" s="1027">
        <v>0</v>
      </c>
      <c r="AC19" s="1027">
        <v>0</v>
      </c>
      <c r="AD19" s="1027">
        <v>0</v>
      </c>
      <c r="AE19" s="1027">
        <v>0</v>
      </c>
      <c r="AF19" s="1027">
        <v>0</v>
      </c>
      <c r="AG19" s="1027">
        <v>0</v>
      </c>
      <c r="AH19" s="1027">
        <v>0</v>
      </c>
      <c r="AI19" s="1027">
        <v>0</v>
      </c>
    </row>
    <row r="20" spans="3:35" hidden="1" outlineLevel="1" x14ac:dyDescent="0.35">
      <c r="C20" s="1024"/>
      <c r="D20" s="1025" t="s">
        <v>7</v>
      </c>
      <c r="E20" s="1026">
        <f t="shared" si="0"/>
        <v>27793.491122182724</v>
      </c>
      <c r="F20" s="1027">
        <f>F13*'Premissas Gerais'!$G$171</f>
        <v>27793.491122182724</v>
      </c>
      <c r="G20" s="1027">
        <v>0</v>
      </c>
      <c r="H20" s="1027">
        <v>0</v>
      </c>
      <c r="I20" s="1027">
        <v>0</v>
      </c>
      <c r="J20" s="1027">
        <v>0</v>
      </c>
      <c r="K20" s="1027">
        <v>0</v>
      </c>
      <c r="L20" s="1027">
        <v>0</v>
      </c>
      <c r="M20" s="1027">
        <v>0</v>
      </c>
      <c r="N20" s="1027">
        <v>0</v>
      </c>
      <c r="O20" s="1027">
        <v>0</v>
      </c>
      <c r="P20" s="1027">
        <v>0</v>
      </c>
      <c r="Q20" s="1027">
        <v>0</v>
      </c>
      <c r="R20" s="1027">
        <v>0</v>
      </c>
      <c r="S20" s="1027">
        <v>0</v>
      </c>
      <c r="T20" s="1027">
        <v>0</v>
      </c>
      <c r="U20" s="1027">
        <v>0</v>
      </c>
      <c r="V20" s="1027">
        <v>0</v>
      </c>
      <c r="W20" s="1027">
        <v>0</v>
      </c>
      <c r="X20" s="1027">
        <v>0</v>
      </c>
      <c r="Y20" s="1027">
        <v>0</v>
      </c>
      <c r="Z20" s="1027">
        <v>0</v>
      </c>
      <c r="AA20" s="1027">
        <v>0</v>
      </c>
      <c r="AB20" s="1027">
        <v>0</v>
      </c>
      <c r="AC20" s="1027">
        <v>0</v>
      </c>
      <c r="AD20" s="1027">
        <v>0</v>
      </c>
      <c r="AE20" s="1027">
        <v>0</v>
      </c>
      <c r="AF20" s="1027">
        <v>0</v>
      </c>
      <c r="AG20" s="1027">
        <v>0</v>
      </c>
      <c r="AH20" s="1027">
        <v>0</v>
      </c>
      <c r="AI20" s="1027">
        <v>0</v>
      </c>
    </row>
    <row r="21" spans="3:35" hidden="1" outlineLevel="1" x14ac:dyDescent="0.35">
      <c r="C21" s="1024"/>
      <c r="D21" s="1025" t="s">
        <v>8</v>
      </c>
      <c r="E21" s="1026">
        <f t="shared" si="0"/>
        <v>25321.320967889769</v>
      </c>
      <c r="F21" s="1027">
        <f>F13*'Premissas Gerais'!$G$172</f>
        <v>25321.320967889769</v>
      </c>
      <c r="G21" s="1027">
        <v>0</v>
      </c>
      <c r="H21" s="1027">
        <v>0</v>
      </c>
      <c r="I21" s="1027">
        <v>0</v>
      </c>
      <c r="J21" s="1027">
        <v>0</v>
      </c>
      <c r="K21" s="1027">
        <v>0</v>
      </c>
      <c r="L21" s="1027">
        <v>0</v>
      </c>
      <c r="M21" s="1027">
        <v>0</v>
      </c>
      <c r="N21" s="1027">
        <v>0</v>
      </c>
      <c r="O21" s="1027">
        <v>0</v>
      </c>
      <c r="P21" s="1027">
        <v>0</v>
      </c>
      <c r="Q21" s="1027">
        <v>0</v>
      </c>
      <c r="R21" s="1027">
        <v>0</v>
      </c>
      <c r="S21" s="1027">
        <v>0</v>
      </c>
      <c r="T21" s="1027">
        <v>0</v>
      </c>
      <c r="U21" s="1027">
        <v>0</v>
      </c>
      <c r="V21" s="1027">
        <v>0</v>
      </c>
      <c r="W21" s="1027">
        <v>0</v>
      </c>
      <c r="X21" s="1027">
        <v>0</v>
      </c>
      <c r="Y21" s="1027">
        <v>0</v>
      </c>
      <c r="Z21" s="1027">
        <v>0</v>
      </c>
      <c r="AA21" s="1027">
        <v>0</v>
      </c>
      <c r="AB21" s="1027">
        <v>0</v>
      </c>
      <c r="AC21" s="1027">
        <v>0</v>
      </c>
      <c r="AD21" s="1027">
        <v>0</v>
      </c>
      <c r="AE21" s="1027">
        <v>0</v>
      </c>
      <c r="AF21" s="1027">
        <v>0</v>
      </c>
      <c r="AG21" s="1027">
        <v>0</v>
      </c>
      <c r="AH21" s="1027">
        <v>0</v>
      </c>
      <c r="AI21" s="1027">
        <v>0</v>
      </c>
    </row>
    <row r="22" spans="3:35" hidden="1" outlineLevel="1" x14ac:dyDescent="0.35">
      <c r="C22" s="1024"/>
      <c r="D22" s="1025" t="s">
        <v>9</v>
      </c>
      <c r="E22" s="1026">
        <f t="shared" si="0"/>
        <v>20777.009500063159</v>
      </c>
      <c r="F22" s="1027">
        <f>F13*'Premissas Gerais'!$G$173</f>
        <v>20777.009500063159</v>
      </c>
      <c r="G22" s="1027">
        <v>0</v>
      </c>
      <c r="H22" s="1027">
        <v>0</v>
      </c>
      <c r="I22" s="1027">
        <v>0</v>
      </c>
      <c r="J22" s="1027">
        <v>0</v>
      </c>
      <c r="K22" s="1027">
        <v>0</v>
      </c>
      <c r="L22" s="1027">
        <v>0</v>
      </c>
      <c r="M22" s="1027">
        <v>0</v>
      </c>
      <c r="N22" s="1027">
        <v>0</v>
      </c>
      <c r="O22" s="1027">
        <v>0</v>
      </c>
      <c r="P22" s="1027">
        <v>0</v>
      </c>
      <c r="Q22" s="1027">
        <v>0</v>
      </c>
      <c r="R22" s="1027">
        <v>0</v>
      </c>
      <c r="S22" s="1027">
        <v>0</v>
      </c>
      <c r="T22" s="1027">
        <v>0</v>
      </c>
      <c r="U22" s="1027">
        <v>0</v>
      </c>
      <c r="V22" s="1027">
        <v>0</v>
      </c>
      <c r="W22" s="1027">
        <v>0</v>
      </c>
      <c r="X22" s="1027">
        <v>0</v>
      </c>
      <c r="Y22" s="1027">
        <v>0</v>
      </c>
      <c r="Z22" s="1027">
        <v>0</v>
      </c>
      <c r="AA22" s="1027">
        <v>0</v>
      </c>
      <c r="AB22" s="1027">
        <v>0</v>
      </c>
      <c r="AC22" s="1027">
        <v>0</v>
      </c>
      <c r="AD22" s="1027">
        <v>0</v>
      </c>
      <c r="AE22" s="1027">
        <v>0</v>
      </c>
      <c r="AF22" s="1027">
        <v>0</v>
      </c>
      <c r="AG22" s="1027">
        <v>0</v>
      </c>
      <c r="AH22" s="1027">
        <v>0</v>
      </c>
      <c r="AI22" s="1027">
        <v>0</v>
      </c>
    </row>
    <row r="23" spans="3:35" collapsed="1" x14ac:dyDescent="0.35">
      <c r="D23" t="s">
        <v>453</v>
      </c>
      <c r="E23" s="486">
        <f t="shared" si="0"/>
        <v>3166627.4000000004</v>
      </c>
      <c r="F23" s="477">
        <f>CAPEX_SPE!E26</f>
        <v>3166627.4000000004</v>
      </c>
      <c r="G23" s="477">
        <f>CAPEX_SPE!F26</f>
        <v>0</v>
      </c>
      <c r="H23" s="477">
        <f>CAPEX_SPE!G26</f>
        <v>0</v>
      </c>
      <c r="I23" s="477">
        <f>CAPEX_SPE!H26</f>
        <v>0</v>
      </c>
      <c r="J23" s="477">
        <f>CAPEX_SPE!I26</f>
        <v>0</v>
      </c>
      <c r="K23" s="477">
        <f>CAPEX_SPE!J26</f>
        <v>0</v>
      </c>
      <c r="L23" s="477">
        <f>CAPEX_SPE!K26</f>
        <v>0</v>
      </c>
      <c r="M23" s="477">
        <f>CAPEX_SPE!L26</f>
        <v>0</v>
      </c>
      <c r="N23" s="477">
        <f>CAPEX_SPE!M26</f>
        <v>0</v>
      </c>
      <c r="O23" s="477">
        <f>CAPEX_SPE!N26</f>
        <v>0</v>
      </c>
      <c r="P23" s="477">
        <f>CAPEX_SPE!O26</f>
        <v>0</v>
      </c>
      <c r="Q23" s="477">
        <f>CAPEX_SPE!P26</f>
        <v>0</v>
      </c>
      <c r="R23" s="477">
        <f>CAPEX_SPE!Q26</f>
        <v>0</v>
      </c>
      <c r="S23" s="477">
        <f>CAPEX_SPE!R26</f>
        <v>0</v>
      </c>
      <c r="T23" s="477">
        <f>CAPEX_SPE!S26</f>
        <v>0</v>
      </c>
      <c r="U23" s="477">
        <f>CAPEX_SPE!T26</f>
        <v>0</v>
      </c>
      <c r="V23" s="477">
        <f>CAPEX_SPE!U26</f>
        <v>0</v>
      </c>
      <c r="W23" s="477">
        <f>CAPEX_SPE!V26</f>
        <v>0</v>
      </c>
      <c r="X23" s="477">
        <f>CAPEX_SPE!W26</f>
        <v>0</v>
      </c>
      <c r="Y23" s="477">
        <f>CAPEX_SPE!X26</f>
        <v>0</v>
      </c>
      <c r="Z23" s="477">
        <f>CAPEX_SPE!Y26</f>
        <v>0</v>
      </c>
      <c r="AA23" s="477">
        <f>CAPEX_SPE!Z26</f>
        <v>0</v>
      </c>
      <c r="AB23" s="477">
        <f>CAPEX_SPE!AA26</f>
        <v>0</v>
      </c>
      <c r="AC23" s="477">
        <f>CAPEX_SPE!AB26</f>
        <v>0</v>
      </c>
      <c r="AD23" s="477">
        <f>CAPEX_SPE!AC26</f>
        <v>0</v>
      </c>
      <c r="AE23" s="477">
        <f>CAPEX_SPE!AD26</f>
        <v>0</v>
      </c>
      <c r="AF23" s="477">
        <f>CAPEX_SPE!AE26</f>
        <v>0</v>
      </c>
      <c r="AG23" s="477">
        <f>CAPEX_SPE!AF26</f>
        <v>0</v>
      </c>
      <c r="AH23" s="477">
        <f>CAPEX_SPE!AG26</f>
        <v>0</v>
      </c>
      <c r="AI23" s="477">
        <f>CAPEX_SPE!AH26</f>
        <v>0</v>
      </c>
    </row>
    <row r="24" spans="3:35" s="77" customFormat="1" hidden="1" outlineLevel="1" x14ac:dyDescent="0.35">
      <c r="C24" s="1020"/>
      <c r="D24" s="1021" t="s">
        <v>1</v>
      </c>
      <c r="E24" s="1022">
        <f t="shared" si="0"/>
        <v>21619.114329620024</v>
      </c>
      <c r="F24" s="1032">
        <f>CAPEX_SPE!E31</f>
        <v>21619.114329620024</v>
      </c>
      <c r="G24" s="1023">
        <f>CAPEX_SPE!F31</f>
        <v>0</v>
      </c>
      <c r="H24" s="1023">
        <f>CAPEX_SPE!G31</f>
        <v>0</v>
      </c>
      <c r="I24" s="1023">
        <f>CAPEX_SPE!H31</f>
        <v>0</v>
      </c>
      <c r="J24" s="1023">
        <f>CAPEX_SPE!I31</f>
        <v>0</v>
      </c>
      <c r="K24" s="1023">
        <f>CAPEX_SPE!J31</f>
        <v>0</v>
      </c>
      <c r="L24" s="1023">
        <f>CAPEX_SPE!K31</f>
        <v>0</v>
      </c>
      <c r="M24" s="1023">
        <f>CAPEX_SPE!L31</f>
        <v>0</v>
      </c>
      <c r="N24" s="1023">
        <f>CAPEX_SPE!M31</f>
        <v>0</v>
      </c>
      <c r="O24" s="1023">
        <f>CAPEX_SPE!N31</f>
        <v>0</v>
      </c>
      <c r="P24" s="1023">
        <f>CAPEX_SPE!O31</f>
        <v>0</v>
      </c>
      <c r="Q24" s="1023">
        <f>CAPEX_SPE!P31</f>
        <v>0</v>
      </c>
      <c r="R24" s="1023">
        <f>CAPEX_SPE!Q31</f>
        <v>0</v>
      </c>
      <c r="S24" s="1023">
        <f>CAPEX_SPE!R31</f>
        <v>0</v>
      </c>
      <c r="T24" s="1023">
        <f>CAPEX_SPE!S31</f>
        <v>0</v>
      </c>
      <c r="U24" s="1023">
        <f>CAPEX_SPE!T31</f>
        <v>0</v>
      </c>
      <c r="V24" s="1023">
        <f>CAPEX_SPE!U31</f>
        <v>0</v>
      </c>
      <c r="W24" s="1023">
        <f>CAPEX_SPE!V31</f>
        <v>0</v>
      </c>
      <c r="X24" s="1023">
        <f>CAPEX_SPE!W31</f>
        <v>0</v>
      </c>
      <c r="Y24" s="1023">
        <f>CAPEX_SPE!X31</f>
        <v>0</v>
      </c>
      <c r="Z24" s="1023">
        <f>CAPEX_SPE!Y31</f>
        <v>0</v>
      </c>
      <c r="AA24" s="1023">
        <f>CAPEX_SPE!Z31</f>
        <v>0</v>
      </c>
      <c r="AB24" s="1023">
        <f>CAPEX_SPE!AA31</f>
        <v>0</v>
      </c>
      <c r="AC24" s="1023">
        <f>CAPEX_SPE!AB31</f>
        <v>0</v>
      </c>
      <c r="AD24" s="1023">
        <f>CAPEX_SPE!AC31</f>
        <v>0</v>
      </c>
      <c r="AE24" s="1023">
        <f>CAPEX_SPE!AD31</f>
        <v>0</v>
      </c>
      <c r="AF24" s="1023">
        <f>CAPEX_SPE!AE31</f>
        <v>0</v>
      </c>
      <c r="AG24" s="1023">
        <f>CAPEX_SPE!AF31</f>
        <v>0</v>
      </c>
      <c r="AH24" s="1023">
        <f>CAPEX_SPE!AG31</f>
        <v>0</v>
      </c>
      <c r="AI24" s="1023">
        <f>CAPEX_SPE!AH31</f>
        <v>0</v>
      </c>
    </row>
    <row r="25" spans="3:35" s="77" customFormat="1" hidden="1" outlineLevel="1" x14ac:dyDescent="0.35">
      <c r="C25" s="1024"/>
      <c r="D25" s="1025" t="s">
        <v>2</v>
      </c>
      <c r="E25" s="1026">
        <f t="shared" si="0"/>
        <v>273798.34192534676</v>
      </c>
      <c r="F25" s="1033">
        <f>CAPEX_SPE!E32</f>
        <v>273798.34192534676</v>
      </c>
      <c r="G25" s="1027">
        <f>CAPEX_SPE!F32</f>
        <v>0</v>
      </c>
      <c r="H25" s="1027">
        <f>CAPEX_SPE!G32</f>
        <v>0</v>
      </c>
      <c r="I25" s="1027">
        <f>CAPEX_SPE!H32</f>
        <v>0</v>
      </c>
      <c r="J25" s="1027">
        <f>CAPEX_SPE!I32</f>
        <v>0</v>
      </c>
      <c r="K25" s="1027">
        <f>CAPEX_SPE!J32</f>
        <v>0</v>
      </c>
      <c r="L25" s="1027">
        <f>CAPEX_SPE!K32</f>
        <v>0</v>
      </c>
      <c r="M25" s="1027">
        <f>CAPEX_SPE!L32</f>
        <v>0</v>
      </c>
      <c r="N25" s="1027">
        <f>CAPEX_SPE!M32</f>
        <v>0</v>
      </c>
      <c r="O25" s="1027">
        <f>CAPEX_SPE!N32</f>
        <v>0</v>
      </c>
      <c r="P25" s="1027">
        <f>CAPEX_SPE!O32</f>
        <v>0</v>
      </c>
      <c r="Q25" s="1027">
        <f>CAPEX_SPE!P32</f>
        <v>0</v>
      </c>
      <c r="R25" s="1027">
        <f>CAPEX_SPE!Q32</f>
        <v>0</v>
      </c>
      <c r="S25" s="1027">
        <f>CAPEX_SPE!R32</f>
        <v>0</v>
      </c>
      <c r="T25" s="1027">
        <f>CAPEX_SPE!S32</f>
        <v>0</v>
      </c>
      <c r="U25" s="1027">
        <f>CAPEX_SPE!T32</f>
        <v>0</v>
      </c>
      <c r="V25" s="1027">
        <f>CAPEX_SPE!U32</f>
        <v>0</v>
      </c>
      <c r="W25" s="1027">
        <f>CAPEX_SPE!V32</f>
        <v>0</v>
      </c>
      <c r="X25" s="1027">
        <f>CAPEX_SPE!W32</f>
        <v>0</v>
      </c>
      <c r="Y25" s="1027">
        <f>CAPEX_SPE!X32</f>
        <v>0</v>
      </c>
      <c r="Z25" s="1027">
        <f>CAPEX_SPE!Y32</f>
        <v>0</v>
      </c>
      <c r="AA25" s="1027">
        <f>CAPEX_SPE!Z32</f>
        <v>0</v>
      </c>
      <c r="AB25" s="1027">
        <f>CAPEX_SPE!AA32</f>
        <v>0</v>
      </c>
      <c r="AC25" s="1027">
        <f>CAPEX_SPE!AB32</f>
        <v>0</v>
      </c>
      <c r="AD25" s="1027">
        <f>CAPEX_SPE!AC32</f>
        <v>0</v>
      </c>
      <c r="AE25" s="1027">
        <f>CAPEX_SPE!AD32</f>
        <v>0</v>
      </c>
      <c r="AF25" s="1027">
        <f>CAPEX_SPE!AE32</f>
        <v>0</v>
      </c>
      <c r="AG25" s="1027">
        <f>CAPEX_SPE!AF32</f>
        <v>0</v>
      </c>
      <c r="AH25" s="1027">
        <f>CAPEX_SPE!AG32</f>
        <v>0</v>
      </c>
      <c r="AI25" s="1027">
        <f>CAPEX_SPE!AH32</f>
        <v>0</v>
      </c>
    </row>
    <row r="26" spans="3:35" s="77" customFormat="1" hidden="1" outlineLevel="1" x14ac:dyDescent="0.35">
      <c r="C26" s="1024"/>
      <c r="D26" s="1025" t="s">
        <v>3</v>
      </c>
      <c r="E26" s="1026">
        <f t="shared" si="0"/>
        <v>32799.319046289791</v>
      </c>
      <c r="F26" s="1033">
        <f>CAPEX_SPE!E33</f>
        <v>32799.319046289791</v>
      </c>
      <c r="G26" s="1027">
        <f>CAPEX_SPE!F33</f>
        <v>0</v>
      </c>
      <c r="H26" s="1027">
        <f>CAPEX_SPE!G33</f>
        <v>0</v>
      </c>
      <c r="I26" s="1027">
        <f>CAPEX_SPE!H33</f>
        <v>0</v>
      </c>
      <c r="J26" s="1027">
        <f>CAPEX_SPE!I33</f>
        <v>0</v>
      </c>
      <c r="K26" s="1027">
        <f>CAPEX_SPE!J33</f>
        <v>0</v>
      </c>
      <c r="L26" s="1027">
        <f>CAPEX_SPE!K33</f>
        <v>0</v>
      </c>
      <c r="M26" s="1027">
        <f>CAPEX_SPE!L33</f>
        <v>0</v>
      </c>
      <c r="N26" s="1027">
        <f>CAPEX_SPE!M33</f>
        <v>0</v>
      </c>
      <c r="O26" s="1027">
        <f>CAPEX_SPE!N33</f>
        <v>0</v>
      </c>
      <c r="P26" s="1027">
        <f>CAPEX_SPE!O33</f>
        <v>0</v>
      </c>
      <c r="Q26" s="1027">
        <f>CAPEX_SPE!P33</f>
        <v>0</v>
      </c>
      <c r="R26" s="1027">
        <f>CAPEX_SPE!Q33</f>
        <v>0</v>
      </c>
      <c r="S26" s="1027">
        <f>CAPEX_SPE!R33</f>
        <v>0</v>
      </c>
      <c r="T26" s="1027">
        <f>CAPEX_SPE!S33</f>
        <v>0</v>
      </c>
      <c r="U26" s="1027">
        <f>CAPEX_SPE!T33</f>
        <v>0</v>
      </c>
      <c r="V26" s="1027">
        <f>CAPEX_SPE!U33</f>
        <v>0</v>
      </c>
      <c r="W26" s="1027">
        <f>CAPEX_SPE!V33</f>
        <v>0</v>
      </c>
      <c r="X26" s="1027">
        <f>CAPEX_SPE!W33</f>
        <v>0</v>
      </c>
      <c r="Y26" s="1027">
        <f>CAPEX_SPE!X33</f>
        <v>0</v>
      </c>
      <c r="Z26" s="1027">
        <f>CAPEX_SPE!Y33</f>
        <v>0</v>
      </c>
      <c r="AA26" s="1027">
        <f>CAPEX_SPE!Z33</f>
        <v>0</v>
      </c>
      <c r="AB26" s="1027">
        <f>CAPEX_SPE!AA33</f>
        <v>0</v>
      </c>
      <c r="AC26" s="1027">
        <f>CAPEX_SPE!AB33</f>
        <v>0</v>
      </c>
      <c r="AD26" s="1027">
        <f>CAPEX_SPE!AC33</f>
        <v>0</v>
      </c>
      <c r="AE26" s="1027">
        <f>CAPEX_SPE!AD33</f>
        <v>0</v>
      </c>
      <c r="AF26" s="1027">
        <f>CAPEX_SPE!AE33</f>
        <v>0</v>
      </c>
      <c r="AG26" s="1027">
        <f>CAPEX_SPE!AF33</f>
        <v>0</v>
      </c>
      <c r="AH26" s="1027">
        <f>CAPEX_SPE!AG33</f>
        <v>0</v>
      </c>
      <c r="AI26" s="1027">
        <f>CAPEX_SPE!AH33</f>
        <v>0</v>
      </c>
    </row>
    <row r="27" spans="3:35" s="77" customFormat="1" hidden="1" outlineLevel="1" x14ac:dyDescent="0.35">
      <c r="C27" s="1024"/>
      <c r="D27" s="1025" t="s">
        <v>4</v>
      </c>
      <c r="E27" s="1026">
        <f t="shared" si="0"/>
        <v>87517.129274586216</v>
      </c>
      <c r="F27" s="1033">
        <f>CAPEX_SPE!E34</f>
        <v>87517.129274586216</v>
      </c>
      <c r="G27" s="1027">
        <f>CAPEX_SPE!F34</f>
        <v>0</v>
      </c>
      <c r="H27" s="1027">
        <f>CAPEX_SPE!G34</f>
        <v>0</v>
      </c>
      <c r="I27" s="1027">
        <f>CAPEX_SPE!H34</f>
        <v>0</v>
      </c>
      <c r="J27" s="1027">
        <f>CAPEX_SPE!I34</f>
        <v>0</v>
      </c>
      <c r="K27" s="1027">
        <f>CAPEX_SPE!J34</f>
        <v>0</v>
      </c>
      <c r="L27" s="1027">
        <f>CAPEX_SPE!K34</f>
        <v>0</v>
      </c>
      <c r="M27" s="1027">
        <f>CAPEX_SPE!L34</f>
        <v>0</v>
      </c>
      <c r="N27" s="1027">
        <f>CAPEX_SPE!M34</f>
        <v>0</v>
      </c>
      <c r="O27" s="1027">
        <f>CAPEX_SPE!N34</f>
        <v>0</v>
      </c>
      <c r="P27" s="1027">
        <f>CAPEX_SPE!O34</f>
        <v>0</v>
      </c>
      <c r="Q27" s="1027">
        <f>CAPEX_SPE!P34</f>
        <v>0</v>
      </c>
      <c r="R27" s="1027">
        <f>CAPEX_SPE!Q34</f>
        <v>0</v>
      </c>
      <c r="S27" s="1027">
        <f>CAPEX_SPE!R34</f>
        <v>0</v>
      </c>
      <c r="T27" s="1027">
        <f>CAPEX_SPE!S34</f>
        <v>0</v>
      </c>
      <c r="U27" s="1027">
        <f>CAPEX_SPE!T34</f>
        <v>0</v>
      </c>
      <c r="V27" s="1027">
        <f>CAPEX_SPE!U34</f>
        <v>0</v>
      </c>
      <c r="W27" s="1027">
        <f>CAPEX_SPE!V34</f>
        <v>0</v>
      </c>
      <c r="X27" s="1027">
        <f>CAPEX_SPE!W34</f>
        <v>0</v>
      </c>
      <c r="Y27" s="1027">
        <f>CAPEX_SPE!X34</f>
        <v>0</v>
      </c>
      <c r="Z27" s="1027">
        <f>CAPEX_SPE!Y34</f>
        <v>0</v>
      </c>
      <c r="AA27" s="1027">
        <f>CAPEX_SPE!Z34</f>
        <v>0</v>
      </c>
      <c r="AB27" s="1027">
        <f>CAPEX_SPE!AA34</f>
        <v>0</v>
      </c>
      <c r="AC27" s="1027">
        <f>CAPEX_SPE!AB34</f>
        <v>0</v>
      </c>
      <c r="AD27" s="1027">
        <f>CAPEX_SPE!AC34</f>
        <v>0</v>
      </c>
      <c r="AE27" s="1027">
        <f>CAPEX_SPE!AD34</f>
        <v>0</v>
      </c>
      <c r="AF27" s="1027">
        <f>CAPEX_SPE!AE34</f>
        <v>0</v>
      </c>
      <c r="AG27" s="1027">
        <f>CAPEX_SPE!AF34</f>
        <v>0</v>
      </c>
      <c r="AH27" s="1027">
        <f>CAPEX_SPE!AG34</f>
        <v>0</v>
      </c>
      <c r="AI27" s="1027">
        <f>CAPEX_SPE!AH34</f>
        <v>0</v>
      </c>
    </row>
    <row r="28" spans="3:35" s="77" customFormat="1" hidden="1" outlineLevel="1" x14ac:dyDescent="0.35">
      <c r="C28" s="1024"/>
      <c r="D28" s="1025" t="s">
        <v>5</v>
      </c>
      <c r="E28" s="1026">
        <f t="shared" si="0"/>
        <v>190071.13764878787</v>
      </c>
      <c r="F28" s="1033">
        <f>CAPEX_SPE!E35</f>
        <v>190071.13764878787</v>
      </c>
      <c r="G28" s="1027">
        <f>CAPEX_SPE!F35</f>
        <v>0</v>
      </c>
      <c r="H28" s="1027">
        <f>CAPEX_SPE!G35</f>
        <v>0</v>
      </c>
      <c r="I28" s="1027">
        <f>CAPEX_SPE!H35</f>
        <v>0</v>
      </c>
      <c r="J28" s="1027">
        <f>CAPEX_SPE!I35</f>
        <v>0</v>
      </c>
      <c r="K28" s="1027">
        <f>CAPEX_SPE!J35</f>
        <v>0</v>
      </c>
      <c r="L28" s="1027">
        <f>CAPEX_SPE!K35</f>
        <v>0</v>
      </c>
      <c r="M28" s="1027">
        <f>CAPEX_SPE!L35</f>
        <v>0</v>
      </c>
      <c r="N28" s="1027">
        <f>CAPEX_SPE!M35</f>
        <v>0</v>
      </c>
      <c r="O28" s="1027">
        <f>CAPEX_SPE!N35</f>
        <v>0</v>
      </c>
      <c r="P28" s="1027">
        <f>CAPEX_SPE!O35</f>
        <v>0</v>
      </c>
      <c r="Q28" s="1027">
        <f>CAPEX_SPE!P35</f>
        <v>0</v>
      </c>
      <c r="R28" s="1027">
        <f>CAPEX_SPE!Q35</f>
        <v>0</v>
      </c>
      <c r="S28" s="1027">
        <f>CAPEX_SPE!R35</f>
        <v>0</v>
      </c>
      <c r="T28" s="1027">
        <f>CAPEX_SPE!S35</f>
        <v>0</v>
      </c>
      <c r="U28" s="1027">
        <f>CAPEX_SPE!T35</f>
        <v>0</v>
      </c>
      <c r="V28" s="1027">
        <f>CAPEX_SPE!U35</f>
        <v>0</v>
      </c>
      <c r="W28" s="1027">
        <f>CAPEX_SPE!V35</f>
        <v>0</v>
      </c>
      <c r="X28" s="1027">
        <f>CAPEX_SPE!W35</f>
        <v>0</v>
      </c>
      <c r="Y28" s="1027">
        <f>CAPEX_SPE!X35</f>
        <v>0</v>
      </c>
      <c r="Z28" s="1027">
        <f>CAPEX_SPE!Y35</f>
        <v>0</v>
      </c>
      <c r="AA28" s="1027">
        <f>CAPEX_SPE!Z35</f>
        <v>0</v>
      </c>
      <c r="AB28" s="1027">
        <f>CAPEX_SPE!AA35</f>
        <v>0</v>
      </c>
      <c r="AC28" s="1027">
        <f>CAPEX_SPE!AB35</f>
        <v>0</v>
      </c>
      <c r="AD28" s="1027">
        <f>CAPEX_SPE!AC35</f>
        <v>0</v>
      </c>
      <c r="AE28" s="1027">
        <f>CAPEX_SPE!AD35</f>
        <v>0</v>
      </c>
      <c r="AF28" s="1027">
        <f>CAPEX_SPE!AE35</f>
        <v>0</v>
      </c>
      <c r="AG28" s="1027">
        <f>CAPEX_SPE!AF35</f>
        <v>0</v>
      </c>
      <c r="AH28" s="1027">
        <f>CAPEX_SPE!AG35</f>
        <v>0</v>
      </c>
      <c r="AI28" s="1027">
        <f>CAPEX_SPE!AH35</f>
        <v>0</v>
      </c>
    </row>
    <row r="29" spans="3:35" s="77" customFormat="1" hidden="1" outlineLevel="1" x14ac:dyDescent="0.35">
      <c r="C29" s="1024"/>
      <c r="D29" s="1025" t="s">
        <v>6</v>
      </c>
      <c r="E29" s="1026">
        <f t="shared" si="0"/>
        <v>2104054.2516746712</v>
      </c>
      <c r="F29" s="1033">
        <f>CAPEX_SPE!E36</f>
        <v>2104054.2516746712</v>
      </c>
      <c r="G29" s="1027">
        <f>CAPEX_SPE!F36</f>
        <v>0</v>
      </c>
      <c r="H29" s="1027">
        <f>CAPEX_SPE!G36</f>
        <v>0</v>
      </c>
      <c r="I29" s="1027">
        <f>CAPEX_SPE!H36</f>
        <v>0</v>
      </c>
      <c r="J29" s="1027">
        <f>CAPEX_SPE!I36</f>
        <v>0</v>
      </c>
      <c r="K29" s="1027">
        <f>CAPEX_SPE!J36</f>
        <v>0</v>
      </c>
      <c r="L29" s="1027">
        <f>CAPEX_SPE!K36</f>
        <v>0</v>
      </c>
      <c r="M29" s="1027">
        <f>CAPEX_SPE!L36</f>
        <v>0</v>
      </c>
      <c r="N29" s="1027">
        <f>CAPEX_SPE!M36</f>
        <v>0</v>
      </c>
      <c r="O29" s="1027">
        <f>CAPEX_SPE!N36</f>
        <v>0</v>
      </c>
      <c r="P29" s="1027">
        <f>CAPEX_SPE!O36</f>
        <v>0</v>
      </c>
      <c r="Q29" s="1027">
        <f>CAPEX_SPE!P36</f>
        <v>0</v>
      </c>
      <c r="R29" s="1027">
        <f>CAPEX_SPE!Q36</f>
        <v>0</v>
      </c>
      <c r="S29" s="1027">
        <f>CAPEX_SPE!R36</f>
        <v>0</v>
      </c>
      <c r="T29" s="1027">
        <f>CAPEX_SPE!S36</f>
        <v>0</v>
      </c>
      <c r="U29" s="1027">
        <f>CAPEX_SPE!T36</f>
        <v>0</v>
      </c>
      <c r="V29" s="1027">
        <f>CAPEX_SPE!U36</f>
        <v>0</v>
      </c>
      <c r="W29" s="1027">
        <f>CAPEX_SPE!V36</f>
        <v>0</v>
      </c>
      <c r="X29" s="1027">
        <f>CAPEX_SPE!W36</f>
        <v>0</v>
      </c>
      <c r="Y29" s="1027">
        <f>CAPEX_SPE!X36</f>
        <v>0</v>
      </c>
      <c r="Z29" s="1027">
        <f>CAPEX_SPE!Y36</f>
        <v>0</v>
      </c>
      <c r="AA29" s="1027">
        <f>CAPEX_SPE!Z36</f>
        <v>0</v>
      </c>
      <c r="AB29" s="1027">
        <f>CAPEX_SPE!AA36</f>
        <v>0</v>
      </c>
      <c r="AC29" s="1027">
        <f>CAPEX_SPE!AB36</f>
        <v>0</v>
      </c>
      <c r="AD29" s="1027">
        <f>CAPEX_SPE!AC36</f>
        <v>0</v>
      </c>
      <c r="AE29" s="1027">
        <f>CAPEX_SPE!AD36</f>
        <v>0</v>
      </c>
      <c r="AF29" s="1027">
        <f>CAPEX_SPE!AE36</f>
        <v>0</v>
      </c>
      <c r="AG29" s="1027">
        <f>CAPEX_SPE!AF36</f>
        <v>0</v>
      </c>
      <c r="AH29" s="1027">
        <f>CAPEX_SPE!AG36</f>
        <v>0</v>
      </c>
      <c r="AI29" s="1027">
        <f>CAPEX_SPE!AH36</f>
        <v>0</v>
      </c>
    </row>
    <row r="30" spans="3:35" s="77" customFormat="1" hidden="1" outlineLevel="1" x14ac:dyDescent="0.35">
      <c r="C30" s="1024"/>
      <c r="D30" s="1025" t="s">
        <v>7</v>
      </c>
      <c r="E30" s="1026">
        <f t="shared" si="0"/>
        <v>171807.65108517444</v>
      </c>
      <c r="F30" s="1033">
        <f>CAPEX_SPE!E37</f>
        <v>171807.65108517444</v>
      </c>
      <c r="G30" s="1027">
        <f>CAPEX_SPE!F37</f>
        <v>0</v>
      </c>
      <c r="H30" s="1027">
        <f>CAPEX_SPE!G37</f>
        <v>0</v>
      </c>
      <c r="I30" s="1027">
        <f>CAPEX_SPE!H37</f>
        <v>0</v>
      </c>
      <c r="J30" s="1027">
        <f>CAPEX_SPE!I37</f>
        <v>0</v>
      </c>
      <c r="K30" s="1027">
        <f>CAPEX_SPE!J37</f>
        <v>0</v>
      </c>
      <c r="L30" s="1027">
        <f>CAPEX_SPE!K37</f>
        <v>0</v>
      </c>
      <c r="M30" s="1027">
        <f>CAPEX_SPE!L37</f>
        <v>0</v>
      </c>
      <c r="N30" s="1027">
        <f>CAPEX_SPE!M37</f>
        <v>0</v>
      </c>
      <c r="O30" s="1027">
        <f>CAPEX_SPE!N37</f>
        <v>0</v>
      </c>
      <c r="P30" s="1027">
        <f>CAPEX_SPE!O37</f>
        <v>0</v>
      </c>
      <c r="Q30" s="1027">
        <f>CAPEX_SPE!P37</f>
        <v>0</v>
      </c>
      <c r="R30" s="1027">
        <f>CAPEX_SPE!Q37</f>
        <v>0</v>
      </c>
      <c r="S30" s="1027">
        <f>CAPEX_SPE!R37</f>
        <v>0</v>
      </c>
      <c r="T30" s="1027">
        <f>CAPEX_SPE!S37</f>
        <v>0</v>
      </c>
      <c r="U30" s="1027">
        <f>CAPEX_SPE!T37</f>
        <v>0</v>
      </c>
      <c r="V30" s="1027">
        <f>CAPEX_SPE!U37</f>
        <v>0</v>
      </c>
      <c r="W30" s="1027">
        <f>CAPEX_SPE!V37</f>
        <v>0</v>
      </c>
      <c r="X30" s="1027">
        <f>CAPEX_SPE!W37</f>
        <v>0</v>
      </c>
      <c r="Y30" s="1027">
        <f>CAPEX_SPE!X37</f>
        <v>0</v>
      </c>
      <c r="Z30" s="1027">
        <f>CAPEX_SPE!Y37</f>
        <v>0</v>
      </c>
      <c r="AA30" s="1027">
        <f>CAPEX_SPE!Z37</f>
        <v>0</v>
      </c>
      <c r="AB30" s="1027">
        <f>CAPEX_SPE!AA37</f>
        <v>0</v>
      </c>
      <c r="AC30" s="1027">
        <f>CAPEX_SPE!AB37</f>
        <v>0</v>
      </c>
      <c r="AD30" s="1027">
        <f>CAPEX_SPE!AC37</f>
        <v>0</v>
      </c>
      <c r="AE30" s="1027">
        <f>CAPEX_SPE!AD37</f>
        <v>0</v>
      </c>
      <c r="AF30" s="1027">
        <f>CAPEX_SPE!AE37</f>
        <v>0</v>
      </c>
      <c r="AG30" s="1027">
        <f>CAPEX_SPE!AF37</f>
        <v>0</v>
      </c>
      <c r="AH30" s="1027">
        <f>CAPEX_SPE!AG37</f>
        <v>0</v>
      </c>
      <c r="AI30" s="1027">
        <f>CAPEX_SPE!AH37</f>
        <v>0</v>
      </c>
    </row>
    <row r="31" spans="3:35" s="77" customFormat="1" hidden="1" outlineLevel="1" x14ac:dyDescent="0.35">
      <c r="C31" s="1024"/>
      <c r="D31" s="1025" t="s">
        <v>8</v>
      </c>
      <c r="E31" s="1026">
        <f t="shared" si="0"/>
        <v>156525.73686199318</v>
      </c>
      <c r="F31" s="1033">
        <f>CAPEX_SPE!E38</f>
        <v>156525.73686199318</v>
      </c>
      <c r="G31" s="1027">
        <f>CAPEX_SPE!F38</f>
        <v>0</v>
      </c>
      <c r="H31" s="1027">
        <f>CAPEX_SPE!G38</f>
        <v>0</v>
      </c>
      <c r="I31" s="1027">
        <f>CAPEX_SPE!H38</f>
        <v>0</v>
      </c>
      <c r="J31" s="1027">
        <f>CAPEX_SPE!I38</f>
        <v>0</v>
      </c>
      <c r="K31" s="1027">
        <f>CAPEX_SPE!J38</f>
        <v>0</v>
      </c>
      <c r="L31" s="1027">
        <f>CAPEX_SPE!K38</f>
        <v>0</v>
      </c>
      <c r="M31" s="1027">
        <f>CAPEX_SPE!L38</f>
        <v>0</v>
      </c>
      <c r="N31" s="1027">
        <f>CAPEX_SPE!M38</f>
        <v>0</v>
      </c>
      <c r="O31" s="1027">
        <f>CAPEX_SPE!N38</f>
        <v>0</v>
      </c>
      <c r="P31" s="1027">
        <f>CAPEX_SPE!O38</f>
        <v>0</v>
      </c>
      <c r="Q31" s="1027">
        <f>CAPEX_SPE!P38</f>
        <v>0</v>
      </c>
      <c r="R31" s="1027">
        <f>CAPEX_SPE!Q38</f>
        <v>0</v>
      </c>
      <c r="S31" s="1027">
        <f>CAPEX_SPE!R38</f>
        <v>0</v>
      </c>
      <c r="T31" s="1027">
        <f>CAPEX_SPE!S38</f>
        <v>0</v>
      </c>
      <c r="U31" s="1027">
        <f>CAPEX_SPE!T38</f>
        <v>0</v>
      </c>
      <c r="V31" s="1027">
        <f>CAPEX_SPE!U38</f>
        <v>0</v>
      </c>
      <c r="W31" s="1027">
        <f>CAPEX_SPE!V38</f>
        <v>0</v>
      </c>
      <c r="X31" s="1027">
        <f>CAPEX_SPE!W38</f>
        <v>0</v>
      </c>
      <c r="Y31" s="1027">
        <f>CAPEX_SPE!X38</f>
        <v>0</v>
      </c>
      <c r="Z31" s="1027">
        <f>CAPEX_SPE!Y38</f>
        <v>0</v>
      </c>
      <c r="AA31" s="1027">
        <f>CAPEX_SPE!Z38</f>
        <v>0</v>
      </c>
      <c r="AB31" s="1027">
        <f>CAPEX_SPE!AA38</f>
        <v>0</v>
      </c>
      <c r="AC31" s="1027">
        <f>CAPEX_SPE!AB38</f>
        <v>0</v>
      </c>
      <c r="AD31" s="1027">
        <f>CAPEX_SPE!AC38</f>
        <v>0</v>
      </c>
      <c r="AE31" s="1027">
        <f>CAPEX_SPE!AD38</f>
        <v>0</v>
      </c>
      <c r="AF31" s="1027">
        <f>CAPEX_SPE!AE38</f>
        <v>0</v>
      </c>
      <c r="AG31" s="1027">
        <f>CAPEX_SPE!AF38</f>
        <v>0</v>
      </c>
      <c r="AH31" s="1027">
        <f>CAPEX_SPE!AG38</f>
        <v>0</v>
      </c>
      <c r="AI31" s="1027">
        <f>CAPEX_SPE!AH38</f>
        <v>0</v>
      </c>
    </row>
    <row r="32" spans="3:35" s="77" customFormat="1" hidden="1" outlineLevel="1" x14ac:dyDescent="0.35">
      <c r="C32" s="1024"/>
      <c r="D32" s="1025" t="s">
        <v>9</v>
      </c>
      <c r="E32" s="1026">
        <f t="shared" si="0"/>
        <v>128434.71815353107</v>
      </c>
      <c r="F32" s="1033">
        <f>CAPEX_SPE!E39</f>
        <v>128434.71815353107</v>
      </c>
      <c r="G32" s="1027">
        <f>CAPEX_SPE!F39</f>
        <v>0</v>
      </c>
      <c r="H32" s="1027">
        <f>CAPEX_SPE!G39</f>
        <v>0</v>
      </c>
      <c r="I32" s="1027">
        <f>CAPEX_SPE!H39</f>
        <v>0</v>
      </c>
      <c r="J32" s="1027">
        <f>CAPEX_SPE!I39</f>
        <v>0</v>
      </c>
      <c r="K32" s="1027">
        <f>CAPEX_SPE!J39</f>
        <v>0</v>
      </c>
      <c r="L32" s="1027">
        <f>CAPEX_SPE!K39</f>
        <v>0</v>
      </c>
      <c r="M32" s="1027">
        <f>CAPEX_SPE!L39</f>
        <v>0</v>
      </c>
      <c r="N32" s="1027">
        <f>CAPEX_SPE!M39</f>
        <v>0</v>
      </c>
      <c r="O32" s="1027">
        <f>CAPEX_SPE!N39</f>
        <v>0</v>
      </c>
      <c r="P32" s="1027">
        <f>CAPEX_SPE!O39</f>
        <v>0</v>
      </c>
      <c r="Q32" s="1027">
        <f>CAPEX_SPE!P39</f>
        <v>0</v>
      </c>
      <c r="R32" s="1027">
        <f>CAPEX_SPE!Q39</f>
        <v>0</v>
      </c>
      <c r="S32" s="1027">
        <f>CAPEX_SPE!R39</f>
        <v>0</v>
      </c>
      <c r="T32" s="1027">
        <f>CAPEX_SPE!S39</f>
        <v>0</v>
      </c>
      <c r="U32" s="1027">
        <f>CAPEX_SPE!T39</f>
        <v>0</v>
      </c>
      <c r="V32" s="1027">
        <f>CAPEX_SPE!U39</f>
        <v>0</v>
      </c>
      <c r="W32" s="1027">
        <f>CAPEX_SPE!V39</f>
        <v>0</v>
      </c>
      <c r="X32" s="1027">
        <f>CAPEX_SPE!W39</f>
        <v>0</v>
      </c>
      <c r="Y32" s="1027">
        <f>CAPEX_SPE!X39</f>
        <v>0</v>
      </c>
      <c r="Z32" s="1027">
        <f>CAPEX_SPE!Y39</f>
        <v>0</v>
      </c>
      <c r="AA32" s="1027">
        <f>CAPEX_SPE!Z39</f>
        <v>0</v>
      </c>
      <c r="AB32" s="1027">
        <f>CAPEX_SPE!AA39</f>
        <v>0</v>
      </c>
      <c r="AC32" s="1027">
        <f>CAPEX_SPE!AB39</f>
        <v>0</v>
      </c>
      <c r="AD32" s="1027">
        <f>CAPEX_SPE!AC39</f>
        <v>0</v>
      </c>
      <c r="AE32" s="1027">
        <f>CAPEX_SPE!AD39</f>
        <v>0</v>
      </c>
      <c r="AF32" s="1027">
        <f>CAPEX_SPE!AE39</f>
        <v>0</v>
      </c>
      <c r="AG32" s="1027">
        <f>CAPEX_SPE!AF39</f>
        <v>0</v>
      </c>
      <c r="AH32" s="1027">
        <f>CAPEX_SPE!AG39</f>
        <v>0</v>
      </c>
      <c r="AI32" s="1027">
        <f>CAPEX_SPE!AH39</f>
        <v>0</v>
      </c>
    </row>
    <row r="33" spans="3:35" collapsed="1" x14ac:dyDescent="0.35">
      <c r="C33" s="230" t="s">
        <v>200</v>
      </c>
      <c r="D33" s="231"/>
      <c r="E33" s="487">
        <f>E3+E23+E13</f>
        <v>6690303.1300000008</v>
      </c>
      <c r="F33" s="488">
        <f>F3+F23+F13</f>
        <v>6690303.1300000008</v>
      </c>
      <c r="G33" s="488">
        <f t="shared" ref="G33:AI33" si="2">G3+G23+G13</f>
        <v>0</v>
      </c>
      <c r="H33" s="488">
        <f t="shared" si="2"/>
        <v>0</v>
      </c>
      <c r="I33" s="488">
        <f t="shared" si="2"/>
        <v>0</v>
      </c>
      <c r="J33" s="488">
        <f t="shared" si="2"/>
        <v>0</v>
      </c>
      <c r="K33" s="488">
        <f t="shared" si="2"/>
        <v>0</v>
      </c>
      <c r="L33" s="488">
        <f t="shared" si="2"/>
        <v>0</v>
      </c>
      <c r="M33" s="488">
        <f t="shared" si="2"/>
        <v>0</v>
      </c>
      <c r="N33" s="488">
        <f t="shared" si="2"/>
        <v>0</v>
      </c>
      <c r="O33" s="488">
        <f t="shared" si="2"/>
        <v>0</v>
      </c>
      <c r="P33" s="488">
        <f t="shared" si="2"/>
        <v>0</v>
      </c>
      <c r="Q33" s="488">
        <f t="shared" si="2"/>
        <v>0</v>
      </c>
      <c r="R33" s="488">
        <f t="shared" si="2"/>
        <v>0</v>
      </c>
      <c r="S33" s="488">
        <f t="shared" si="2"/>
        <v>0</v>
      </c>
      <c r="T33" s="488">
        <f t="shared" si="2"/>
        <v>0</v>
      </c>
      <c r="U33" s="488">
        <f t="shared" si="2"/>
        <v>0</v>
      </c>
      <c r="V33" s="488">
        <f t="shared" si="2"/>
        <v>0</v>
      </c>
      <c r="W33" s="488">
        <f t="shared" si="2"/>
        <v>0</v>
      </c>
      <c r="X33" s="488">
        <f t="shared" si="2"/>
        <v>0</v>
      </c>
      <c r="Y33" s="488">
        <f t="shared" si="2"/>
        <v>0</v>
      </c>
      <c r="Z33" s="488">
        <f t="shared" si="2"/>
        <v>0</v>
      </c>
      <c r="AA33" s="488">
        <f t="shared" si="2"/>
        <v>0</v>
      </c>
      <c r="AB33" s="488">
        <f t="shared" si="2"/>
        <v>0</v>
      </c>
      <c r="AC33" s="488">
        <f t="shared" si="2"/>
        <v>0</v>
      </c>
      <c r="AD33" s="488">
        <f t="shared" si="2"/>
        <v>0</v>
      </c>
      <c r="AE33" s="488">
        <f t="shared" si="2"/>
        <v>0</v>
      </c>
      <c r="AF33" s="488">
        <f t="shared" si="2"/>
        <v>0</v>
      </c>
      <c r="AG33" s="488">
        <f t="shared" si="2"/>
        <v>0</v>
      </c>
      <c r="AH33" s="488">
        <f t="shared" si="2"/>
        <v>0</v>
      </c>
      <c r="AI33" s="488">
        <f t="shared" si="2"/>
        <v>0</v>
      </c>
    </row>
    <row r="35" spans="3:35" ht="21" x14ac:dyDescent="0.5">
      <c r="C35" s="98" t="s">
        <v>454</v>
      </c>
      <c r="D35" s="76"/>
      <c r="E35" s="76"/>
      <c r="F35" s="76"/>
      <c r="G35" s="76"/>
      <c r="H35" s="76"/>
      <c r="I35" s="76"/>
      <c r="J35" s="76"/>
      <c r="K35" s="76"/>
      <c r="L35" s="75"/>
      <c r="M35" s="75"/>
      <c r="N35" s="75"/>
      <c r="O35" s="75"/>
      <c r="P35" s="75"/>
      <c r="Q35" s="75"/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  <c r="AH35" s="75"/>
      <c r="AI35" s="75"/>
    </row>
    <row r="36" spans="3:35" ht="8.25" customHeight="1" x14ac:dyDescent="0.35"/>
    <row r="37" spans="3:35" ht="19.5" customHeight="1" x14ac:dyDescent="0.35">
      <c r="C37" s="87"/>
      <c r="D37" s="87"/>
      <c r="E37" s="234" t="s">
        <v>455</v>
      </c>
      <c r="F37" s="89">
        <v>1</v>
      </c>
      <c r="G37" s="89">
        <f>F37+1</f>
        <v>2</v>
      </c>
      <c r="H37" s="89">
        <f t="shared" ref="H37" si="3">G37+1</f>
        <v>3</v>
      </c>
      <c r="I37" s="89">
        <f t="shared" ref="I37" si="4">H37+1</f>
        <v>4</v>
      </c>
      <c r="J37" s="89">
        <f t="shared" ref="J37" si="5">I37+1</f>
        <v>5</v>
      </c>
      <c r="K37" s="89">
        <f t="shared" ref="K37" si="6">J37+1</f>
        <v>6</v>
      </c>
      <c r="L37" s="89">
        <f t="shared" ref="L37" si="7">K37+1</f>
        <v>7</v>
      </c>
      <c r="M37" s="89">
        <f t="shared" ref="M37" si="8">L37+1</f>
        <v>8</v>
      </c>
      <c r="N37" s="89">
        <f t="shared" ref="N37" si="9">M37+1</f>
        <v>9</v>
      </c>
      <c r="O37" s="89">
        <f t="shared" ref="O37" si="10">N37+1</f>
        <v>10</v>
      </c>
      <c r="P37" s="89">
        <f t="shared" ref="P37" si="11">O37+1</f>
        <v>11</v>
      </c>
      <c r="Q37" s="89">
        <f t="shared" ref="Q37" si="12">P37+1</f>
        <v>12</v>
      </c>
      <c r="R37" s="89">
        <f t="shared" ref="R37" si="13">Q37+1</f>
        <v>13</v>
      </c>
      <c r="S37" s="89">
        <f t="shared" ref="S37" si="14">R37+1</f>
        <v>14</v>
      </c>
      <c r="T37" s="89">
        <f t="shared" ref="T37" si="15">S37+1</f>
        <v>15</v>
      </c>
      <c r="U37" s="89">
        <f t="shared" ref="U37" si="16">T37+1</f>
        <v>16</v>
      </c>
      <c r="V37" s="89">
        <f t="shared" ref="V37" si="17">U37+1</f>
        <v>17</v>
      </c>
      <c r="W37" s="89">
        <f t="shared" ref="W37" si="18">V37+1</f>
        <v>18</v>
      </c>
      <c r="X37" s="89">
        <f t="shared" ref="X37" si="19">W37+1</f>
        <v>19</v>
      </c>
      <c r="Y37" s="89">
        <f t="shared" ref="Y37" si="20">X37+1</f>
        <v>20</v>
      </c>
      <c r="Z37" s="89">
        <f t="shared" ref="Z37" si="21">Y37+1</f>
        <v>21</v>
      </c>
      <c r="AA37" s="89">
        <f t="shared" ref="AA37" si="22">Z37+1</f>
        <v>22</v>
      </c>
      <c r="AB37" s="89">
        <f t="shared" ref="AB37" si="23">AA37+1</f>
        <v>23</v>
      </c>
      <c r="AC37" s="89">
        <f t="shared" ref="AC37" si="24">AB37+1</f>
        <v>24</v>
      </c>
      <c r="AD37" s="89">
        <f t="shared" ref="AD37" si="25">AC37+1</f>
        <v>25</v>
      </c>
      <c r="AE37" s="89">
        <f t="shared" ref="AE37" si="26">AD37+1</f>
        <v>26</v>
      </c>
      <c r="AF37" s="89">
        <f t="shared" ref="AF37" si="27">AE37+1</f>
        <v>27</v>
      </c>
      <c r="AG37" s="89">
        <f t="shared" ref="AG37" si="28">AF37+1</f>
        <v>28</v>
      </c>
      <c r="AH37" s="89">
        <f t="shared" ref="AH37" si="29">AG37+1</f>
        <v>29</v>
      </c>
      <c r="AI37" s="89">
        <f t="shared" ref="AI37" si="30">AH37+1</f>
        <v>30</v>
      </c>
    </row>
    <row r="38" spans="3:35" s="77" customFormat="1" x14ac:dyDescent="0.35">
      <c r="C38" s="77" t="s">
        <v>366</v>
      </c>
      <c r="E38" s="489">
        <f t="shared" ref="E38:E69" si="31">SUM(F38:AI38)</f>
        <v>67352434.410000011</v>
      </c>
      <c r="F38" s="490">
        <f t="shared" ref="F38:AI38" si="32">SUM(F39:F47)</f>
        <v>14857558.729999997</v>
      </c>
      <c r="G38" s="490">
        <f t="shared" si="32"/>
        <v>0</v>
      </c>
      <c r="H38" s="490">
        <f t="shared" si="32"/>
        <v>0</v>
      </c>
      <c r="I38" s="490">
        <f t="shared" si="32"/>
        <v>0</v>
      </c>
      <c r="J38" s="490">
        <f t="shared" si="32"/>
        <v>0</v>
      </c>
      <c r="K38" s="490">
        <f t="shared" si="32"/>
        <v>144335.12</v>
      </c>
      <c r="L38" s="490">
        <f t="shared" si="32"/>
        <v>3238943.16</v>
      </c>
      <c r="M38" s="490">
        <f t="shared" si="32"/>
        <v>80011.86</v>
      </c>
      <c r="N38" s="490">
        <f t="shared" si="32"/>
        <v>13938778.340000002</v>
      </c>
      <c r="O38" s="490">
        <f t="shared" si="32"/>
        <v>0</v>
      </c>
      <c r="P38" s="490">
        <f t="shared" si="32"/>
        <v>144335.12</v>
      </c>
      <c r="Q38" s="490">
        <f t="shared" si="32"/>
        <v>0</v>
      </c>
      <c r="R38" s="490">
        <f t="shared" si="32"/>
        <v>0</v>
      </c>
      <c r="S38" s="490">
        <f t="shared" si="32"/>
        <v>0</v>
      </c>
      <c r="T38" s="490">
        <f t="shared" si="32"/>
        <v>3238943.16</v>
      </c>
      <c r="U38" s="490">
        <f t="shared" si="32"/>
        <v>224346.97999999998</v>
      </c>
      <c r="V38" s="490">
        <f t="shared" si="32"/>
        <v>13938778.340000002</v>
      </c>
      <c r="W38" s="490">
        <f t="shared" si="32"/>
        <v>0</v>
      </c>
      <c r="X38" s="490">
        <f t="shared" si="32"/>
        <v>0</v>
      </c>
      <c r="Y38" s="490">
        <f t="shared" si="32"/>
        <v>0</v>
      </c>
      <c r="Z38" s="490">
        <f t="shared" si="32"/>
        <v>144335.12</v>
      </c>
      <c r="AA38" s="490">
        <f t="shared" si="32"/>
        <v>0</v>
      </c>
      <c r="AB38" s="490">
        <f t="shared" si="32"/>
        <v>3238943.16</v>
      </c>
      <c r="AC38" s="490">
        <f t="shared" si="32"/>
        <v>80011.86</v>
      </c>
      <c r="AD38" s="490">
        <f t="shared" si="32"/>
        <v>13938778.340000002</v>
      </c>
      <c r="AE38" s="490">
        <f t="shared" si="32"/>
        <v>144335.12</v>
      </c>
      <c r="AF38" s="490">
        <f t="shared" si="32"/>
        <v>0</v>
      </c>
      <c r="AG38" s="490">
        <f t="shared" si="32"/>
        <v>0</v>
      </c>
      <c r="AH38" s="490">
        <f t="shared" si="32"/>
        <v>0</v>
      </c>
      <c r="AI38" s="490">
        <f t="shared" si="32"/>
        <v>0</v>
      </c>
    </row>
    <row r="39" spans="3:35" s="77" customFormat="1" hidden="1" outlineLevel="1" x14ac:dyDescent="0.35">
      <c r="C39" s="1020"/>
      <c r="D39" s="1021" t="s">
        <v>1</v>
      </c>
      <c r="E39" s="1022">
        <f t="shared" si="31"/>
        <v>500580.14285693539</v>
      </c>
      <c r="F39" s="1023">
        <f>CAPEX_Coleta!E121</f>
        <v>106980.59603654359</v>
      </c>
      <c r="G39" s="1023">
        <f>CAPEX_Coleta!F121</f>
        <v>0</v>
      </c>
      <c r="H39" s="1023">
        <f>CAPEX_Coleta!G121</f>
        <v>0</v>
      </c>
      <c r="I39" s="1023">
        <f>CAPEX_Coleta!H121</f>
        <v>0</v>
      </c>
      <c r="J39" s="1023">
        <f>CAPEX_Coleta!I121</f>
        <v>0</v>
      </c>
      <c r="K39" s="1023">
        <f>CAPEX_Coleta!J121</f>
        <v>2475.0966712976647</v>
      </c>
      <c r="L39" s="1023">
        <f>CAPEX_Coleta!K121</f>
        <v>22569.188456055224</v>
      </c>
      <c r="M39" s="1023">
        <f>CAPEX_Coleta!L121</f>
        <v>557.5283843695197</v>
      </c>
      <c r="N39" s="1023">
        <f>CAPEX_Coleta!M121</f>
        <v>103947.9709808764</v>
      </c>
      <c r="O39" s="1023">
        <f>CAPEX_Coleta!N121</f>
        <v>0</v>
      </c>
      <c r="P39" s="1023">
        <f>CAPEX_Coleta!O121</f>
        <v>2475.0966712976647</v>
      </c>
      <c r="Q39" s="1023">
        <f>CAPEX_Coleta!P121</f>
        <v>0</v>
      </c>
      <c r="R39" s="1023">
        <f>CAPEX_Coleta!Q121</f>
        <v>0</v>
      </c>
      <c r="S39" s="1023">
        <f>CAPEX_Coleta!R121</f>
        <v>0</v>
      </c>
      <c r="T39" s="1023">
        <f>CAPEX_Coleta!S121</f>
        <v>22569.188456055224</v>
      </c>
      <c r="U39" s="1023">
        <f>CAPEX_Coleta!T121</f>
        <v>3032.6250556671844</v>
      </c>
      <c r="V39" s="1023">
        <f>CAPEX_Coleta!U121</f>
        <v>103947.9709808764</v>
      </c>
      <c r="W39" s="1023">
        <f>CAPEX_Coleta!V121</f>
        <v>0</v>
      </c>
      <c r="X39" s="1023">
        <f>CAPEX_Coleta!W121</f>
        <v>0</v>
      </c>
      <c r="Y39" s="1023">
        <f>CAPEX_Coleta!X121</f>
        <v>0</v>
      </c>
      <c r="Z39" s="1023">
        <f>CAPEX_Coleta!Y121</f>
        <v>2475.0966712976647</v>
      </c>
      <c r="AA39" s="1023">
        <f>CAPEX_Coleta!Z121</f>
        <v>0</v>
      </c>
      <c r="AB39" s="1023">
        <f>CAPEX_Coleta!AA121</f>
        <v>22569.188456055224</v>
      </c>
      <c r="AC39" s="1023">
        <f>CAPEX_Coleta!AB121</f>
        <v>557.5283843695197</v>
      </c>
      <c r="AD39" s="1023">
        <f>CAPEX_Coleta!AC121</f>
        <v>103947.9709808764</v>
      </c>
      <c r="AE39" s="1023">
        <f>CAPEX_Coleta!AD121</f>
        <v>2475.0966712976647</v>
      </c>
      <c r="AF39" s="1023">
        <f>CAPEX_Coleta!AE121</f>
        <v>0</v>
      </c>
      <c r="AG39" s="1023">
        <f>CAPEX_Coleta!AF121</f>
        <v>0</v>
      </c>
      <c r="AH39" s="1023">
        <f>CAPEX_Coleta!AG121</f>
        <v>0</v>
      </c>
      <c r="AI39" s="1023">
        <f>CAPEX_Coleta!AH121</f>
        <v>0</v>
      </c>
    </row>
    <row r="40" spans="3:35" s="77" customFormat="1" hidden="1" outlineLevel="1" x14ac:dyDescent="0.35">
      <c r="C40" s="1024"/>
      <c r="D40" s="1025" t="s">
        <v>2</v>
      </c>
      <c r="E40" s="1026">
        <f t="shared" si="31"/>
        <v>7684524.8074834608</v>
      </c>
      <c r="F40" s="1027">
        <f>CAPEX_Coleta!E122</f>
        <v>1682445.3194753448</v>
      </c>
      <c r="G40" s="1027">
        <f>CAPEX_Coleta!F122</f>
        <v>0</v>
      </c>
      <c r="H40" s="1027">
        <f>CAPEX_Coleta!G122</f>
        <v>0</v>
      </c>
      <c r="I40" s="1027">
        <f>CAPEX_Coleta!H122</f>
        <v>0</v>
      </c>
      <c r="J40" s="1027">
        <f>CAPEX_Coleta!I122</f>
        <v>0</v>
      </c>
      <c r="K40" s="1027">
        <f>CAPEX_Coleta!J122</f>
        <v>23532.899999999998</v>
      </c>
      <c r="L40" s="1027">
        <f>CAPEX_Coleta!K122</f>
        <v>302559.24319402676</v>
      </c>
      <c r="M40" s="1027">
        <f>CAPEX_Coleta!L122</f>
        <v>7474.1440686925862</v>
      </c>
      <c r="N40" s="1027">
        <f>CAPEX_Coleta!M122</f>
        <v>1651438.2754066521</v>
      </c>
      <c r="O40" s="1027">
        <f>CAPEX_Coleta!N122</f>
        <v>0</v>
      </c>
      <c r="P40" s="1027">
        <f>CAPEX_Coleta!O122</f>
        <v>23532.899999999998</v>
      </c>
      <c r="Q40" s="1027">
        <f>CAPEX_Coleta!P122</f>
        <v>0</v>
      </c>
      <c r="R40" s="1027">
        <f>CAPEX_Coleta!Q122</f>
        <v>0</v>
      </c>
      <c r="S40" s="1027">
        <f>CAPEX_Coleta!R122</f>
        <v>0</v>
      </c>
      <c r="T40" s="1027">
        <f>CAPEX_Coleta!S122</f>
        <v>302559.24319402676</v>
      </c>
      <c r="U40" s="1027">
        <f>CAPEX_Coleta!T122</f>
        <v>31007.044068692583</v>
      </c>
      <c r="V40" s="1027">
        <f>CAPEX_Coleta!U122</f>
        <v>1651438.2754066521</v>
      </c>
      <c r="W40" s="1027">
        <f>CAPEX_Coleta!V122</f>
        <v>0</v>
      </c>
      <c r="X40" s="1027">
        <f>CAPEX_Coleta!W122</f>
        <v>0</v>
      </c>
      <c r="Y40" s="1027">
        <f>CAPEX_Coleta!X122</f>
        <v>0</v>
      </c>
      <c r="Z40" s="1027">
        <f>CAPEX_Coleta!Y122</f>
        <v>23532.899999999998</v>
      </c>
      <c r="AA40" s="1027">
        <f>CAPEX_Coleta!Z122</f>
        <v>0</v>
      </c>
      <c r="AB40" s="1027">
        <f>CAPEX_Coleta!AA122</f>
        <v>302559.24319402676</v>
      </c>
      <c r="AC40" s="1027">
        <f>CAPEX_Coleta!AB122</f>
        <v>7474.1440686925862</v>
      </c>
      <c r="AD40" s="1027">
        <f>CAPEX_Coleta!AC122</f>
        <v>1651438.2754066521</v>
      </c>
      <c r="AE40" s="1027">
        <f>CAPEX_Coleta!AD122</f>
        <v>23532.899999999998</v>
      </c>
      <c r="AF40" s="1027">
        <f>CAPEX_Coleta!AE122</f>
        <v>0</v>
      </c>
      <c r="AG40" s="1027">
        <f>CAPEX_Coleta!AF122</f>
        <v>0</v>
      </c>
      <c r="AH40" s="1027">
        <f>CAPEX_Coleta!AG122</f>
        <v>0</v>
      </c>
      <c r="AI40" s="1027">
        <f>CAPEX_Coleta!AH122</f>
        <v>0</v>
      </c>
    </row>
    <row r="41" spans="3:35" s="77" customFormat="1" hidden="1" outlineLevel="1" x14ac:dyDescent="0.35">
      <c r="C41" s="1024"/>
      <c r="D41" s="1025" t="s">
        <v>3</v>
      </c>
      <c r="E41" s="1026">
        <f t="shared" si="31"/>
        <v>981026.86827394681</v>
      </c>
      <c r="F41" s="1027">
        <f>CAPEX_Coleta!E123</f>
        <v>217453.56431715674</v>
      </c>
      <c r="G41" s="1027">
        <f>CAPEX_Coleta!F123</f>
        <v>0</v>
      </c>
      <c r="H41" s="1027">
        <f>CAPEX_Coleta!G123</f>
        <v>0</v>
      </c>
      <c r="I41" s="1027">
        <f>CAPEX_Coleta!H123</f>
        <v>0</v>
      </c>
      <c r="J41" s="1027">
        <f>CAPEX_Coleta!I123</f>
        <v>0</v>
      </c>
      <c r="K41" s="1027">
        <f>CAPEX_Coleta!J123</f>
        <v>3309.8161770755073</v>
      </c>
      <c r="L41" s="1027">
        <f>CAPEX_Coleta!K123</f>
        <v>34864.326217056332</v>
      </c>
      <c r="M41" s="1027">
        <f>CAPEX_Coleta!L123</f>
        <v>861.25611054978833</v>
      </c>
      <c r="N41" s="1027">
        <f>CAPEX_Coleta!M123</f>
        <v>213282.49202953142</v>
      </c>
      <c r="O41" s="1027">
        <f>CAPEX_Coleta!N123</f>
        <v>0</v>
      </c>
      <c r="P41" s="1027">
        <f>CAPEX_Coleta!O123</f>
        <v>3309.8161770755073</v>
      </c>
      <c r="Q41" s="1027">
        <f>CAPEX_Coleta!P123</f>
        <v>0</v>
      </c>
      <c r="R41" s="1027">
        <f>CAPEX_Coleta!Q123</f>
        <v>0</v>
      </c>
      <c r="S41" s="1027">
        <f>CAPEX_Coleta!R123</f>
        <v>0</v>
      </c>
      <c r="T41" s="1027">
        <f>CAPEX_Coleta!S123</f>
        <v>34864.326217056332</v>
      </c>
      <c r="U41" s="1027">
        <f>CAPEX_Coleta!T123</f>
        <v>4171.0722876252958</v>
      </c>
      <c r="V41" s="1027">
        <f>CAPEX_Coleta!U123</f>
        <v>213282.49202953142</v>
      </c>
      <c r="W41" s="1027">
        <f>CAPEX_Coleta!V123</f>
        <v>0</v>
      </c>
      <c r="X41" s="1027">
        <f>CAPEX_Coleta!W123</f>
        <v>0</v>
      </c>
      <c r="Y41" s="1027">
        <f>CAPEX_Coleta!X123</f>
        <v>0</v>
      </c>
      <c r="Z41" s="1027">
        <f>CAPEX_Coleta!Y123</f>
        <v>3309.8161770755073</v>
      </c>
      <c r="AA41" s="1027">
        <f>CAPEX_Coleta!Z123</f>
        <v>0</v>
      </c>
      <c r="AB41" s="1027">
        <f>CAPEX_Coleta!AA123</f>
        <v>34864.326217056332</v>
      </c>
      <c r="AC41" s="1027">
        <f>CAPEX_Coleta!AB123</f>
        <v>861.25611054978833</v>
      </c>
      <c r="AD41" s="1027">
        <f>CAPEX_Coleta!AC123</f>
        <v>213282.49202953142</v>
      </c>
      <c r="AE41" s="1027">
        <f>CAPEX_Coleta!AD123</f>
        <v>3309.8161770755073</v>
      </c>
      <c r="AF41" s="1027">
        <f>CAPEX_Coleta!AE123</f>
        <v>0</v>
      </c>
      <c r="AG41" s="1027">
        <f>CAPEX_Coleta!AF123</f>
        <v>0</v>
      </c>
      <c r="AH41" s="1027">
        <f>CAPEX_Coleta!AG123</f>
        <v>0</v>
      </c>
      <c r="AI41" s="1027">
        <f>CAPEX_Coleta!AH123</f>
        <v>0</v>
      </c>
    </row>
    <row r="42" spans="3:35" s="77" customFormat="1" hidden="1" outlineLevel="1" x14ac:dyDescent="0.35">
      <c r="C42" s="1024"/>
      <c r="D42" s="1025" t="s">
        <v>4</v>
      </c>
      <c r="E42" s="1026">
        <f t="shared" si="31"/>
        <v>2629623.4906913135</v>
      </c>
      <c r="F42" s="1027">
        <f>CAPEX_Coleta!E124</f>
        <v>581868.39826622256</v>
      </c>
      <c r="G42" s="1027">
        <f>CAPEX_Coleta!F124</f>
        <v>0</v>
      </c>
      <c r="H42" s="1027">
        <f>CAPEX_Coleta!G124</f>
        <v>0</v>
      </c>
      <c r="I42" s="1027">
        <f>CAPEX_Coleta!H124</f>
        <v>0</v>
      </c>
      <c r="J42" s="1027">
        <f>CAPEX_Coleta!I124</f>
        <v>0</v>
      </c>
      <c r="K42" s="1027">
        <f>CAPEX_Coleta!J124</f>
        <v>8831.4519528721885</v>
      </c>
      <c r="L42" s="1027">
        <f>CAPEX_Coleta!K124</f>
        <v>94828.997906892968</v>
      </c>
      <c r="M42" s="1027">
        <f>CAPEX_Coleta!L124</f>
        <v>2342.5679703704996</v>
      </c>
      <c r="N42" s="1027">
        <f>CAPEX_Coleta!M124</f>
        <v>570694.37834297994</v>
      </c>
      <c r="O42" s="1027">
        <f>CAPEX_Coleta!N124</f>
        <v>0</v>
      </c>
      <c r="P42" s="1027">
        <f>CAPEX_Coleta!O124</f>
        <v>8831.4519528721885</v>
      </c>
      <c r="Q42" s="1027">
        <f>CAPEX_Coleta!P124</f>
        <v>0</v>
      </c>
      <c r="R42" s="1027">
        <f>CAPEX_Coleta!Q124</f>
        <v>0</v>
      </c>
      <c r="S42" s="1027">
        <f>CAPEX_Coleta!R124</f>
        <v>0</v>
      </c>
      <c r="T42" s="1027">
        <f>CAPEX_Coleta!S124</f>
        <v>94828.997906892968</v>
      </c>
      <c r="U42" s="1027">
        <f>CAPEX_Coleta!T124</f>
        <v>11174.019923242688</v>
      </c>
      <c r="V42" s="1027">
        <f>CAPEX_Coleta!U124</f>
        <v>570694.37834297994</v>
      </c>
      <c r="W42" s="1027">
        <f>CAPEX_Coleta!V124</f>
        <v>0</v>
      </c>
      <c r="X42" s="1027">
        <f>CAPEX_Coleta!W124</f>
        <v>0</v>
      </c>
      <c r="Y42" s="1027">
        <f>CAPEX_Coleta!X124</f>
        <v>0</v>
      </c>
      <c r="Z42" s="1027">
        <f>CAPEX_Coleta!Y124</f>
        <v>8831.4519528721885</v>
      </c>
      <c r="AA42" s="1027">
        <f>CAPEX_Coleta!Z124</f>
        <v>0</v>
      </c>
      <c r="AB42" s="1027">
        <f>CAPEX_Coleta!AA124</f>
        <v>94828.997906892968</v>
      </c>
      <c r="AC42" s="1027">
        <f>CAPEX_Coleta!AB124</f>
        <v>2342.5679703704996</v>
      </c>
      <c r="AD42" s="1027">
        <f>CAPEX_Coleta!AC124</f>
        <v>570694.37834297994</v>
      </c>
      <c r="AE42" s="1027">
        <f>CAPEX_Coleta!AD124</f>
        <v>8831.4519528721885</v>
      </c>
      <c r="AF42" s="1027">
        <f>CAPEX_Coleta!AE124</f>
        <v>0</v>
      </c>
      <c r="AG42" s="1027">
        <f>CAPEX_Coleta!AF124</f>
        <v>0</v>
      </c>
      <c r="AH42" s="1027">
        <f>CAPEX_Coleta!AG124</f>
        <v>0</v>
      </c>
      <c r="AI42" s="1027">
        <f>CAPEX_Coleta!AH124</f>
        <v>0</v>
      </c>
    </row>
    <row r="43" spans="3:35" s="77" customFormat="1" hidden="1" outlineLevel="1" x14ac:dyDescent="0.35">
      <c r="C43" s="1024"/>
      <c r="D43" s="1025" t="s">
        <v>5</v>
      </c>
      <c r="E43" s="1026">
        <f t="shared" si="31"/>
        <v>3969097.7635267675</v>
      </c>
      <c r="F43" s="1027">
        <f>CAPEX_Coleta!E125</f>
        <v>879665.99671594682</v>
      </c>
      <c r="G43" s="1027">
        <f>CAPEX_Coleta!F125</f>
        <v>0</v>
      </c>
      <c r="H43" s="1027">
        <f>CAPEX_Coleta!G125</f>
        <v>0</v>
      </c>
      <c r="I43" s="1027">
        <f>CAPEX_Coleta!H125</f>
        <v>0</v>
      </c>
      <c r="J43" s="1027">
        <f>CAPEX_Coleta!I125</f>
        <v>0</v>
      </c>
      <c r="K43" s="1027">
        <f>CAPEX_Coleta!J125</f>
        <v>6239.1359718927761</v>
      </c>
      <c r="L43" s="1027">
        <f>CAPEX_Coleta!K125</f>
        <v>203519.83869597517</v>
      </c>
      <c r="M43" s="1027">
        <f>CAPEX_Coleta!L125</f>
        <v>5027.5661030633664</v>
      </c>
      <c r="N43" s="1027">
        <f>CAPEX_Coleta!M125</f>
        <v>810864.62418474699</v>
      </c>
      <c r="O43" s="1027">
        <f>CAPEX_Coleta!N125</f>
        <v>0</v>
      </c>
      <c r="P43" s="1027">
        <f>CAPEX_Coleta!O125</f>
        <v>6239.1359718927761</v>
      </c>
      <c r="Q43" s="1027">
        <f>CAPEX_Coleta!P125</f>
        <v>0</v>
      </c>
      <c r="R43" s="1027">
        <f>CAPEX_Coleta!Q125</f>
        <v>0</v>
      </c>
      <c r="S43" s="1027">
        <f>CAPEX_Coleta!R125</f>
        <v>0</v>
      </c>
      <c r="T43" s="1027">
        <f>CAPEX_Coleta!S125</f>
        <v>203519.83869597517</v>
      </c>
      <c r="U43" s="1027">
        <f>CAPEX_Coleta!T125</f>
        <v>11266.702074956142</v>
      </c>
      <c r="V43" s="1027">
        <f>CAPEX_Coleta!U125</f>
        <v>810864.62418474699</v>
      </c>
      <c r="W43" s="1027">
        <f>CAPEX_Coleta!V125</f>
        <v>0</v>
      </c>
      <c r="X43" s="1027">
        <f>CAPEX_Coleta!W125</f>
        <v>0</v>
      </c>
      <c r="Y43" s="1027">
        <f>CAPEX_Coleta!X125</f>
        <v>0</v>
      </c>
      <c r="Z43" s="1027">
        <f>CAPEX_Coleta!Y125</f>
        <v>6239.1359718927761</v>
      </c>
      <c r="AA43" s="1027">
        <f>CAPEX_Coleta!Z125</f>
        <v>0</v>
      </c>
      <c r="AB43" s="1027">
        <f>CAPEX_Coleta!AA125</f>
        <v>203519.83869597517</v>
      </c>
      <c r="AC43" s="1027">
        <f>CAPEX_Coleta!AB125</f>
        <v>5027.5661030633664</v>
      </c>
      <c r="AD43" s="1027">
        <f>CAPEX_Coleta!AC125</f>
        <v>810864.62418474699</v>
      </c>
      <c r="AE43" s="1027">
        <f>CAPEX_Coleta!AD125</f>
        <v>6239.1359718927761</v>
      </c>
      <c r="AF43" s="1027">
        <f>CAPEX_Coleta!AE125</f>
        <v>0</v>
      </c>
      <c r="AG43" s="1027">
        <f>CAPEX_Coleta!AF125</f>
        <v>0</v>
      </c>
      <c r="AH43" s="1027">
        <f>CAPEX_Coleta!AG125</f>
        <v>0</v>
      </c>
      <c r="AI43" s="1027">
        <f>CAPEX_Coleta!AH125</f>
        <v>0</v>
      </c>
    </row>
    <row r="44" spans="3:35" s="77" customFormat="1" hidden="1" outlineLevel="1" x14ac:dyDescent="0.35">
      <c r="C44" s="1024"/>
      <c r="D44" s="1025" t="s">
        <v>6</v>
      </c>
      <c r="E44" s="1026">
        <f t="shared" si="31"/>
        <v>44025015.069242671</v>
      </c>
      <c r="F44" s="1027">
        <f>CAPEX_Coleta!E126</f>
        <v>9749800.7064840421</v>
      </c>
      <c r="G44" s="1027">
        <f>CAPEX_Coleta!F126</f>
        <v>0</v>
      </c>
      <c r="H44" s="1027">
        <f>CAPEX_Coleta!G126</f>
        <v>0</v>
      </c>
      <c r="I44" s="1027">
        <f>CAPEX_Coleta!H126</f>
        <v>0</v>
      </c>
      <c r="J44" s="1027">
        <f>CAPEX_Coleta!I126</f>
        <v>0</v>
      </c>
      <c r="K44" s="1027">
        <f>CAPEX_Coleta!J126</f>
        <v>69066.144028107228</v>
      </c>
      <c r="L44" s="1027">
        <f>CAPEX_Coleta!K126</f>
        <v>2266125.3912938512</v>
      </c>
      <c r="M44" s="1027">
        <f>CAPEX_Coleta!L126</f>
        <v>55980.268437513689</v>
      </c>
      <c r="N44" s="1027">
        <f>CAPEX_Coleta!M126</f>
        <v>8987855.5544746667</v>
      </c>
      <c r="O44" s="1027">
        <f>CAPEX_Coleta!N126</f>
        <v>0</v>
      </c>
      <c r="P44" s="1027">
        <f>CAPEX_Coleta!O126</f>
        <v>69066.144028107228</v>
      </c>
      <c r="Q44" s="1027">
        <f>CAPEX_Coleta!P126</f>
        <v>0</v>
      </c>
      <c r="R44" s="1027">
        <f>CAPEX_Coleta!Q126</f>
        <v>0</v>
      </c>
      <c r="S44" s="1027">
        <f>CAPEX_Coleta!R126</f>
        <v>0</v>
      </c>
      <c r="T44" s="1027">
        <f>CAPEX_Coleta!S126</f>
        <v>2266125.3912938512</v>
      </c>
      <c r="U44" s="1027">
        <f>CAPEX_Coleta!T126</f>
        <v>125046.41246562092</v>
      </c>
      <c r="V44" s="1027">
        <f>CAPEX_Coleta!U126</f>
        <v>8987855.5544746667</v>
      </c>
      <c r="W44" s="1027">
        <f>CAPEX_Coleta!V126</f>
        <v>0</v>
      </c>
      <c r="X44" s="1027">
        <f>CAPEX_Coleta!W126</f>
        <v>0</v>
      </c>
      <c r="Y44" s="1027">
        <f>CAPEX_Coleta!X126</f>
        <v>0</v>
      </c>
      <c r="Z44" s="1027">
        <f>CAPEX_Coleta!Y126</f>
        <v>69066.144028107228</v>
      </c>
      <c r="AA44" s="1027">
        <f>CAPEX_Coleta!Z126</f>
        <v>0</v>
      </c>
      <c r="AB44" s="1027">
        <f>CAPEX_Coleta!AA126</f>
        <v>2266125.3912938512</v>
      </c>
      <c r="AC44" s="1027">
        <f>CAPEX_Coleta!AB126</f>
        <v>55980.268437513689</v>
      </c>
      <c r="AD44" s="1027">
        <f>CAPEX_Coleta!AC126</f>
        <v>8987855.5544746667</v>
      </c>
      <c r="AE44" s="1027">
        <f>CAPEX_Coleta!AD126</f>
        <v>69066.144028107228</v>
      </c>
      <c r="AF44" s="1027">
        <f>CAPEX_Coleta!AE126</f>
        <v>0</v>
      </c>
      <c r="AG44" s="1027">
        <f>CAPEX_Coleta!AF126</f>
        <v>0</v>
      </c>
      <c r="AH44" s="1027">
        <f>CAPEX_Coleta!AG126</f>
        <v>0</v>
      </c>
      <c r="AI44" s="1027">
        <f>CAPEX_Coleta!AH126</f>
        <v>0</v>
      </c>
    </row>
    <row r="45" spans="3:35" s="77" customFormat="1" hidden="1" outlineLevel="1" x14ac:dyDescent="0.35">
      <c r="C45" s="1024"/>
      <c r="D45" s="1025" t="s">
        <v>7</v>
      </c>
      <c r="E45" s="1026">
        <f t="shared" si="31"/>
        <v>0</v>
      </c>
      <c r="F45" s="1027">
        <f>CAPEX_Coleta!E127</f>
        <v>0</v>
      </c>
      <c r="G45" s="1027">
        <f>CAPEX_Coleta!F127</f>
        <v>0</v>
      </c>
      <c r="H45" s="1027">
        <f>CAPEX_Coleta!G127</f>
        <v>0</v>
      </c>
      <c r="I45" s="1027">
        <f>CAPEX_Coleta!H127</f>
        <v>0</v>
      </c>
      <c r="J45" s="1027">
        <f>CAPEX_Coleta!I127</f>
        <v>0</v>
      </c>
      <c r="K45" s="1027">
        <f>CAPEX_Coleta!J127</f>
        <v>0</v>
      </c>
      <c r="L45" s="1027">
        <f>CAPEX_Coleta!K127</f>
        <v>0</v>
      </c>
      <c r="M45" s="1027">
        <f>CAPEX_Coleta!L127</f>
        <v>0</v>
      </c>
      <c r="N45" s="1027">
        <f>CAPEX_Coleta!M127</f>
        <v>0</v>
      </c>
      <c r="O45" s="1027">
        <f>CAPEX_Coleta!N127</f>
        <v>0</v>
      </c>
      <c r="P45" s="1027">
        <f>CAPEX_Coleta!O127</f>
        <v>0</v>
      </c>
      <c r="Q45" s="1027">
        <f>CAPEX_Coleta!P127</f>
        <v>0</v>
      </c>
      <c r="R45" s="1027">
        <f>CAPEX_Coleta!Q127</f>
        <v>0</v>
      </c>
      <c r="S45" s="1027">
        <f>CAPEX_Coleta!R127</f>
        <v>0</v>
      </c>
      <c r="T45" s="1027">
        <f>CAPEX_Coleta!S127</f>
        <v>0</v>
      </c>
      <c r="U45" s="1027">
        <f>CAPEX_Coleta!T127</f>
        <v>0</v>
      </c>
      <c r="V45" s="1027">
        <f>CAPEX_Coleta!U127</f>
        <v>0</v>
      </c>
      <c r="W45" s="1027">
        <f>CAPEX_Coleta!V127</f>
        <v>0</v>
      </c>
      <c r="X45" s="1027">
        <f>CAPEX_Coleta!W127</f>
        <v>0</v>
      </c>
      <c r="Y45" s="1027">
        <f>CAPEX_Coleta!X127</f>
        <v>0</v>
      </c>
      <c r="Z45" s="1027">
        <f>CAPEX_Coleta!Y127</f>
        <v>0</v>
      </c>
      <c r="AA45" s="1027">
        <f>CAPEX_Coleta!Z127</f>
        <v>0</v>
      </c>
      <c r="AB45" s="1027">
        <f>CAPEX_Coleta!AA127</f>
        <v>0</v>
      </c>
      <c r="AC45" s="1027">
        <f>CAPEX_Coleta!AB127</f>
        <v>0</v>
      </c>
      <c r="AD45" s="1027">
        <f>CAPEX_Coleta!AC127</f>
        <v>0</v>
      </c>
      <c r="AE45" s="1027">
        <f>CAPEX_Coleta!AD127</f>
        <v>0</v>
      </c>
      <c r="AF45" s="1027">
        <f>CAPEX_Coleta!AE127</f>
        <v>0</v>
      </c>
      <c r="AG45" s="1027">
        <f>CAPEX_Coleta!AF127</f>
        <v>0</v>
      </c>
      <c r="AH45" s="1027">
        <f>CAPEX_Coleta!AG127</f>
        <v>0</v>
      </c>
      <c r="AI45" s="1027">
        <f>CAPEX_Coleta!AH127</f>
        <v>0</v>
      </c>
    </row>
    <row r="46" spans="3:35" s="77" customFormat="1" hidden="1" outlineLevel="1" x14ac:dyDescent="0.35">
      <c r="C46" s="1024"/>
      <c r="D46" s="1025" t="s">
        <v>8</v>
      </c>
      <c r="E46" s="1026">
        <f t="shared" si="31"/>
        <v>3704981.514882559</v>
      </c>
      <c r="F46" s="1027">
        <f>CAPEX_Coleta!E128</f>
        <v>785634.36025587528</v>
      </c>
      <c r="G46" s="1027">
        <f>CAPEX_Coleta!F128</f>
        <v>0</v>
      </c>
      <c r="H46" s="1027">
        <f>CAPEX_Coleta!G128</f>
        <v>0</v>
      </c>
      <c r="I46" s="1027">
        <f>CAPEX_Coleta!H128</f>
        <v>0</v>
      </c>
      <c r="J46" s="1027">
        <f>CAPEX_Coleta!I128</f>
        <v>0</v>
      </c>
      <c r="K46" s="1027">
        <f>CAPEX_Coleta!J128</f>
        <v>17920.083328702334</v>
      </c>
      <c r="L46" s="1027">
        <f>CAPEX_Coleta!K128</f>
        <v>175534.63573388424</v>
      </c>
      <c r="M46" s="1027">
        <f>CAPEX_Coleta!L128</f>
        <v>4336.2454991308159</v>
      </c>
      <c r="N46" s="1027">
        <f>CAPEX_Coleta!M128</f>
        <v>763378.0314280421</v>
      </c>
      <c r="O46" s="1027">
        <f>CAPEX_Coleta!N128</f>
        <v>0</v>
      </c>
      <c r="P46" s="1027">
        <f>CAPEX_Coleta!O128</f>
        <v>17920.083328702334</v>
      </c>
      <c r="Q46" s="1027">
        <f>CAPEX_Coleta!P128</f>
        <v>0</v>
      </c>
      <c r="R46" s="1027">
        <f>CAPEX_Coleta!Q128</f>
        <v>0</v>
      </c>
      <c r="S46" s="1027">
        <f>CAPEX_Coleta!R128</f>
        <v>0</v>
      </c>
      <c r="T46" s="1027">
        <f>CAPEX_Coleta!S128</f>
        <v>175534.63573388424</v>
      </c>
      <c r="U46" s="1027">
        <f>CAPEX_Coleta!T128</f>
        <v>22256.328827833149</v>
      </c>
      <c r="V46" s="1027">
        <f>CAPEX_Coleta!U128</f>
        <v>763378.0314280421</v>
      </c>
      <c r="W46" s="1027">
        <f>CAPEX_Coleta!V128</f>
        <v>0</v>
      </c>
      <c r="X46" s="1027">
        <f>CAPEX_Coleta!W128</f>
        <v>0</v>
      </c>
      <c r="Y46" s="1027">
        <f>CAPEX_Coleta!X128</f>
        <v>0</v>
      </c>
      <c r="Z46" s="1027">
        <f>CAPEX_Coleta!Y128</f>
        <v>17920.083328702334</v>
      </c>
      <c r="AA46" s="1027">
        <f>CAPEX_Coleta!Z128</f>
        <v>0</v>
      </c>
      <c r="AB46" s="1027">
        <f>CAPEX_Coleta!AA128</f>
        <v>175534.63573388424</v>
      </c>
      <c r="AC46" s="1027">
        <f>CAPEX_Coleta!AB128</f>
        <v>4336.2454991308159</v>
      </c>
      <c r="AD46" s="1027">
        <f>CAPEX_Coleta!AC128</f>
        <v>763378.0314280421</v>
      </c>
      <c r="AE46" s="1027">
        <f>CAPEX_Coleta!AD128</f>
        <v>17920.083328702334</v>
      </c>
      <c r="AF46" s="1027">
        <f>CAPEX_Coleta!AE128</f>
        <v>0</v>
      </c>
      <c r="AG46" s="1027">
        <f>CAPEX_Coleta!AF128</f>
        <v>0</v>
      </c>
      <c r="AH46" s="1027">
        <f>CAPEX_Coleta!AG128</f>
        <v>0</v>
      </c>
      <c r="AI46" s="1027">
        <f>CAPEX_Coleta!AH128</f>
        <v>0</v>
      </c>
    </row>
    <row r="47" spans="3:35" s="77" customFormat="1" hidden="1" outlineLevel="1" x14ac:dyDescent="0.35">
      <c r="C47" s="1024"/>
      <c r="D47" s="1025" t="s">
        <v>9</v>
      </c>
      <c r="E47" s="1026">
        <f t="shared" si="31"/>
        <v>3857584.7530423463</v>
      </c>
      <c r="F47" s="1027">
        <f>CAPEX_Coleta!E129</f>
        <v>853709.78844886669</v>
      </c>
      <c r="G47" s="1027">
        <f>CAPEX_Coleta!F129</f>
        <v>0</v>
      </c>
      <c r="H47" s="1027">
        <f>CAPEX_Coleta!G129</f>
        <v>0</v>
      </c>
      <c r="I47" s="1027">
        <f>CAPEX_Coleta!H129</f>
        <v>0</v>
      </c>
      <c r="J47" s="1027">
        <f>CAPEX_Coleta!I129</f>
        <v>0</v>
      </c>
      <c r="K47" s="1027">
        <f>CAPEX_Coleta!J129</f>
        <v>12960.491870052303</v>
      </c>
      <c r="L47" s="1027">
        <f>CAPEX_Coleta!K129</f>
        <v>138941.53850225807</v>
      </c>
      <c r="M47" s="1027">
        <f>CAPEX_Coleta!L129</f>
        <v>3432.2834263097357</v>
      </c>
      <c r="N47" s="1027">
        <f>CAPEX_Coleta!M129</f>
        <v>837317.01315250469</v>
      </c>
      <c r="O47" s="1027">
        <f>CAPEX_Coleta!N129</f>
        <v>0</v>
      </c>
      <c r="P47" s="1027">
        <f>CAPEX_Coleta!O129</f>
        <v>12960.491870052303</v>
      </c>
      <c r="Q47" s="1027">
        <f>CAPEX_Coleta!P129</f>
        <v>0</v>
      </c>
      <c r="R47" s="1027">
        <f>CAPEX_Coleta!Q129</f>
        <v>0</v>
      </c>
      <c r="S47" s="1027">
        <f>CAPEX_Coleta!R129</f>
        <v>0</v>
      </c>
      <c r="T47" s="1027">
        <f>CAPEX_Coleta!S129</f>
        <v>138941.53850225807</v>
      </c>
      <c r="U47" s="1027">
        <f>CAPEX_Coleta!T129</f>
        <v>16392.775296362037</v>
      </c>
      <c r="V47" s="1027">
        <f>CAPEX_Coleta!U129</f>
        <v>837317.01315250469</v>
      </c>
      <c r="W47" s="1027">
        <f>CAPEX_Coleta!V129</f>
        <v>0</v>
      </c>
      <c r="X47" s="1027">
        <f>CAPEX_Coleta!W129</f>
        <v>0</v>
      </c>
      <c r="Y47" s="1027">
        <f>CAPEX_Coleta!X129</f>
        <v>0</v>
      </c>
      <c r="Z47" s="1027">
        <f>CAPEX_Coleta!Y129</f>
        <v>12960.491870052303</v>
      </c>
      <c r="AA47" s="1027">
        <f>CAPEX_Coleta!Z129</f>
        <v>0</v>
      </c>
      <c r="AB47" s="1027">
        <f>CAPEX_Coleta!AA129</f>
        <v>138941.53850225807</v>
      </c>
      <c r="AC47" s="1027">
        <f>CAPEX_Coleta!AB129</f>
        <v>3432.2834263097357</v>
      </c>
      <c r="AD47" s="1027">
        <f>CAPEX_Coleta!AC129</f>
        <v>837317.01315250469</v>
      </c>
      <c r="AE47" s="1027">
        <f>CAPEX_Coleta!AD129</f>
        <v>12960.491870052303</v>
      </c>
      <c r="AF47" s="1027">
        <f>CAPEX_Coleta!AE129</f>
        <v>0</v>
      </c>
      <c r="AG47" s="1027">
        <f>CAPEX_Coleta!AF129</f>
        <v>0</v>
      </c>
      <c r="AH47" s="1027">
        <f>CAPEX_Coleta!AG129</f>
        <v>0</v>
      </c>
      <c r="AI47" s="1027">
        <f>CAPEX_Coleta!AH129</f>
        <v>0</v>
      </c>
    </row>
    <row r="48" spans="3:35" s="77" customFormat="1" collapsed="1" x14ac:dyDescent="0.35">
      <c r="C48" s="77" t="s">
        <v>456</v>
      </c>
      <c r="E48" s="489">
        <f t="shared" si="31"/>
        <v>30562130.840000004</v>
      </c>
      <c r="F48" s="490">
        <f t="shared" ref="F48:AI48" si="33">SUM(F49:F57)</f>
        <v>20962235.109999999</v>
      </c>
      <c r="G48" s="490">
        <f t="shared" si="33"/>
        <v>0</v>
      </c>
      <c r="H48" s="490">
        <f t="shared" si="33"/>
        <v>200967.25</v>
      </c>
      <c r="I48" s="490">
        <f t="shared" si="33"/>
        <v>0</v>
      </c>
      <c r="J48" s="490">
        <f t="shared" si="33"/>
        <v>0</v>
      </c>
      <c r="K48" s="490">
        <f t="shared" si="33"/>
        <v>0</v>
      </c>
      <c r="L48" s="490">
        <f t="shared" si="33"/>
        <v>0</v>
      </c>
      <c r="M48" s="490">
        <f t="shared" si="33"/>
        <v>0</v>
      </c>
      <c r="N48" s="490">
        <f t="shared" si="33"/>
        <v>0</v>
      </c>
      <c r="O48" s="490">
        <f t="shared" si="33"/>
        <v>347975.43999999994</v>
      </c>
      <c r="P48" s="490">
        <f t="shared" si="33"/>
        <v>4190715</v>
      </c>
      <c r="Q48" s="490">
        <f t="shared" si="33"/>
        <v>0</v>
      </c>
      <c r="R48" s="490">
        <f t="shared" si="33"/>
        <v>0</v>
      </c>
      <c r="S48" s="490">
        <f t="shared" si="33"/>
        <v>160773.79999999996</v>
      </c>
      <c r="T48" s="490">
        <f t="shared" si="33"/>
        <v>0</v>
      </c>
      <c r="U48" s="490">
        <f t="shared" si="33"/>
        <v>0</v>
      </c>
      <c r="V48" s="490">
        <f t="shared" si="33"/>
        <v>0</v>
      </c>
      <c r="W48" s="490">
        <f t="shared" si="33"/>
        <v>0</v>
      </c>
      <c r="X48" s="490">
        <f t="shared" si="33"/>
        <v>0</v>
      </c>
      <c r="Y48" s="490">
        <f t="shared" si="33"/>
        <v>347975.43999999994</v>
      </c>
      <c r="Z48" s="490">
        <f t="shared" si="33"/>
        <v>4190715</v>
      </c>
      <c r="AA48" s="490">
        <f t="shared" si="33"/>
        <v>0</v>
      </c>
      <c r="AB48" s="490">
        <f t="shared" si="33"/>
        <v>0</v>
      </c>
      <c r="AC48" s="490">
        <f t="shared" si="33"/>
        <v>160773.79999999996</v>
      </c>
      <c r="AD48" s="490">
        <f t="shared" si="33"/>
        <v>0</v>
      </c>
      <c r="AE48" s="490">
        <f t="shared" si="33"/>
        <v>0</v>
      </c>
      <c r="AF48" s="490">
        <f t="shared" si="33"/>
        <v>0</v>
      </c>
      <c r="AG48" s="490">
        <f t="shared" si="33"/>
        <v>0</v>
      </c>
      <c r="AH48" s="490">
        <f t="shared" si="33"/>
        <v>0</v>
      </c>
      <c r="AI48" s="490">
        <f t="shared" si="33"/>
        <v>0</v>
      </c>
    </row>
    <row r="49" spans="3:35" s="77" customFormat="1" hidden="1" outlineLevel="1" x14ac:dyDescent="0.35">
      <c r="C49" s="1020"/>
      <c r="D49" s="1021" t="s">
        <v>1</v>
      </c>
      <c r="E49" s="1022">
        <f t="shared" si="31"/>
        <v>250313.82588671902</v>
      </c>
      <c r="F49" s="1023">
        <f>CAPEX_Transbordo!F124</f>
        <v>171096.53697276354</v>
      </c>
      <c r="G49" s="1023">
        <f>CAPEX_Transbordo!G124</f>
        <v>0</v>
      </c>
      <c r="H49" s="1023">
        <f>CAPEX_Transbordo!H124</f>
        <v>4877.7541704936721</v>
      </c>
      <c r="I49" s="1023">
        <f>CAPEX_Transbordo!I124</f>
        <v>0</v>
      </c>
      <c r="J49" s="1023">
        <f>CAPEX_Transbordo!J124</f>
        <v>0</v>
      </c>
      <c r="K49" s="1023">
        <f>CAPEX_Transbordo!K124</f>
        <v>0</v>
      </c>
      <c r="L49" s="1023">
        <f>CAPEX_Transbordo!L124</f>
        <v>0</v>
      </c>
      <c r="M49" s="1023">
        <f>CAPEX_Transbordo!M124</f>
        <v>0</v>
      </c>
      <c r="N49" s="1023">
        <f>CAPEX_Transbordo!N124</f>
        <v>0</v>
      </c>
      <c r="O49" s="1023">
        <f>CAPEX_Transbordo!O124</f>
        <v>8445.8470406962842</v>
      </c>
      <c r="P49" s="1023">
        <f>CAPEX_Transbordo!P124</f>
        <v>24821.71699463969</v>
      </c>
      <c r="Q49" s="1023">
        <f>CAPEX_Transbordo!Q124</f>
        <v>0</v>
      </c>
      <c r="R49" s="1023">
        <f>CAPEX_Transbordo!R124</f>
        <v>0</v>
      </c>
      <c r="S49" s="1023">
        <f>CAPEX_Transbordo!S124</f>
        <v>3902.2033363949372</v>
      </c>
      <c r="T49" s="1023">
        <f>CAPEX_Transbordo!T124</f>
        <v>0</v>
      </c>
      <c r="U49" s="1023">
        <f>CAPEX_Transbordo!U124</f>
        <v>0</v>
      </c>
      <c r="V49" s="1023">
        <f>CAPEX_Transbordo!V124</f>
        <v>0</v>
      </c>
      <c r="W49" s="1023">
        <f>CAPEX_Transbordo!W124</f>
        <v>0</v>
      </c>
      <c r="X49" s="1023">
        <f>CAPEX_Transbordo!X124</f>
        <v>0</v>
      </c>
      <c r="Y49" s="1023">
        <f>CAPEX_Transbordo!Y124</f>
        <v>8445.8470406962842</v>
      </c>
      <c r="Z49" s="1023">
        <f>CAPEX_Transbordo!Z124</f>
        <v>24821.71699463969</v>
      </c>
      <c r="AA49" s="1023">
        <f>CAPEX_Transbordo!AA124</f>
        <v>0</v>
      </c>
      <c r="AB49" s="1023">
        <f>CAPEX_Transbordo!AB124</f>
        <v>0</v>
      </c>
      <c r="AC49" s="1023">
        <f>CAPEX_Transbordo!AC124</f>
        <v>3902.2033363949372</v>
      </c>
      <c r="AD49" s="1023">
        <f>CAPEX_Transbordo!AD124</f>
        <v>0</v>
      </c>
      <c r="AE49" s="1023">
        <f>CAPEX_Transbordo!AE124</f>
        <v>0</v>
      </c>
      <c r="AF49" s="1023">
        <f>CAPEX_Transbordo!AF124</f>
        <v>0</v>
      </c>
      <c r="AG49" s="1023">
        <f>CAPEX_Transbordo!AG124</f>
        <v>0</v>
      </c>
      <c r="AH49" s="1023">
        <f>CAPEX_Transbordo!AH124</f>
        <v>0</v>
      </c>
      <c r="AI49" s="1023">
        <f>CAPEX_Transbordo!AI124</f>
        <v>0</v>
      </c>
    </row>
    <row r="50" spans="3:35" s="77" customFormat="1" hidden="1" outlineLevel="1" x14ac:dyDescent="0.35">
      <c r="C50" s="1024"/>
      <c r="D50" s="1025" t="s">
        <v>2</v>
      </c>
      <c r="E50" s="1026">
        <f t="shared" si="31"/>
        <v>3196147.2448388939</v>
      </c>
      <c r="F50" s="1027">
        <f>CAPEX_Transbordo!F125</f>
        <v>2191734.14</v>
      </c>
      <c r="G50" s="1027">
        <f>CAPEX_Transbordo!G125</f>
        <v>0</v>
      </c>
      <c r="H50" s="1027">
        <f>CAPEX_Transbordo!H125</f>
        <v>40193.449999999997</v>
      </c>
      <c r="I50" s="1027">
        <f>CAPEX_Transbordo!I125</f>
        <v>0</v>
      </c>
      <c r="J50" s="1027">
        <f>CAPEX_Transbordo!J125</f>
        <v>0</v>
      </c>
      <c r="K50" s="1027">
        <f>CAPEX_Transbordo!K125</f>
        <v>0</v>
      </c>
      <c r="L50" s="1027">
        <f>CAPEX_Transbordo!L125</f>
        <v>0</v>
      </c>
      <c r="M50" s="1027">
        <f>CAPEX_Transbordo!M125</f>
        <v>0</v>
      </c>
      <c r="N50" s="1027">
        <f>CAPEX_Transbordo!N125</f>
        <v>0</v>
      </c>
      <c r="O50" s="1027">
        <f>CAPEX_Transbordo!O125</f>
        <v>69595.088000000003</v>
      </c>
      <c r="P50" s="1027">
        <f>CAPEX_Transbordo!P125</f>
        <v>380359.97941944702</v>
      </c>
      <c r="Q50" s="1027">
        <f>CAPEX_Transbordo!Q125</f>
        <v>0</v>
      </c>
      <c r="R50" s="1027">
        <f>CAPEX_Transbordo!R125</f>
        <v>0</v>
      </c>
      <c r="S50" s="1027">
        <f>CAPEX_Transbordo!S125</f>
        <v>32154.759999999995</v>
      </c>
      <c r="T50" s="1027">
        <f>CAPEX_Transbordo!T125</f>
        <v>0</v>
      </c>
      <c r="U50" s="1027">
        <f>CAPEX_Transbordo!U125</f>
        <v>0</v>
      </c>
      <c r="V50" s="1027">
        <f>CAPEX_Transbordo!V125</f>
        <v>0</v>
      </c>
      <c r="W50" s="1027">
        <f>CAPEX_Transbordo!W125</f>
        <v>0</v>
      </c>
      <c r="X50" s="1027">
        <f>CAPEX_Transbordo!X125</f>
        <v>0</v>
      </c>
      <c r="Y50" s="1027">
        <f>CAPEX_Transbordo!Y125</f>
        <v>69595.088000000003</v>
      </c>
      <c r="Z50" s="1027">
        <f>CAPEX_Transbordo!Z125</f>
        <v>380359.97941944702</v>
      </c>
      <c r="AA50" s="1027">
        <f>CAPEX_Transbordo!AA125</f>
        <v>0</v>
      </c>
      <c r="AB50" s="1027">
        <f>CAPEX_Transbordo!AB125</f>
        <v>0</v>
      </c>
      <c r="AC50" s="1027">
        <f>CAPEX_Transbordo!AC125</f>
        <v>32154.759999999995</v>
      </c>
      <c r="AD50" s="1027">
        <f>CAPEX_Transbordo!AD125</f>
        <v>0</v>
      </c>
      <c r="AE50" s="1027">
        <f>CAPEX_Transbordo!AE125</f>
        <v>0</v>
      </c>
      <c r="AF50" s="1027">
        <f>CAPEX_Transbordo!AF125</f>
        <v>0</v>
      </c>
      <c r="AG50" s="1027">
        <f>CAPEX_Transbordo!AG125</f>
        <v>0</v>
      </c>
      <c r="AH50" s="1027">
        <f>CAPEX_Transbordo!AH125</f>
        <v>0</v>
      </c>
      <c r="AI50" s="1027">
        <f>CAPEX_Transbordo!AI125</f>
        <v>0</v>
      </c>
    </row>
    <row r="51" spans="3:35" s="77" customFormat="1" hidden="1" outlineLevel="1" x14ac:dyDescent="0.35">
      <c r="C51" s="1024"/>
      <c r="D51" s="1025" t="s">
        <v>3</v>
      </c>
      <c r="E51" s="1026">
        <f t="shared" si="31"/>
        <v>421431.00146296847</v>
      </c>
      <c r="F51" s="1027">
        <f>CAPEX_Transbordo!F126</f>
        <v>288993.16671104636</v>
      </c>
      <c r="G51" s="1027">
        <f>CAPEX_Transbordo!G126</f>
        <v>0</v>
      </c>
      <c r="H51" s="1027">
        <f>CAPEX_Transbordo!H126</f>
        <v>5299.7451582070562</v>
      </c>
      <c r="I51" s="1027">
        <f>CAPEX_Transbordo!I126</f>
        <v>0</v>
      </c>
      <c r="J51" s="1027">
        <f>CAPEX_Transbordo!J126</f>
        <v>0</v>
      </c>
      <c r="K51" s="1027">
        <f>CAPEX_Transbordo!K126</f>
        <v>0</v>
      </c>
      <c r="L51" s="1027">
        <f>CAPEX_Transbordo!L126</f>
        <v>0</v>
      </c>
      <c r="M51" s="1027">
        <f>CAPEX_Transbordo!M126</f>
        <v>0</v>
      </c>
      <c r="N51" s="1027">
        <f>CAPEX_Transbordo!N126</f>
        <v>0</v>
      </c>
      <c r="O51" s="1027">
        <f>CAPEX_Transbordo!O126</f>
        <v>9176.5257937050446</v>
      </c>
      <c r="P51" s="1027">
        <f>CAPEX_Transbordo!P126</f>
        <v>50152.722876586857</v>
      </c>
      <c r="Q51" s="1027">
        <f>CAPEX_Transbordo!Q126</f>
        <v>0</v>
      </c>
      <c r="R51" s="1027">
        <f>CAPEX_Transbordo!R126</f>
        <v>0</v>
      </c>
      <c r="S51" s="1027">
        <f>CAPEX_Transbordo!S126</f>
        <v>4239.796126565645</v>
      </c>
      <c r="T51" s="1027">
        <f>CAPEX_Transbordo!T126</f>
        <v>0</v>
      </c>
      <c r="U51" s="1027">
        <f>CAPEX_Transbordo!U126</f>
        <v>0</v>
      </c>
      <c r="V51" s="1027">
        <f>CAPEX_Transbordo!V126</f>
        <v>0</v>
      </c>
      <c r="W51" s="1027">
        <f>CAPEX_Transbordo!W126</f>
        <v>0</v>
      </c>
      <c r="X51" s="1027">
        <f>CAPEX_Transbordo!X126</f>
        <v>0</v>
      </c>
      <c r="Y51" s="1027">
        <f>CAPEX_Transbordo!Y126</f>
        <v>9176.5257937050446</v>
      </c>
      <c r="Z51" s="1027">
        <f>CAPEX_Transbordo!Z126</f>
        <v>50152.722876586857</v>
      </c>
      <c r="AA51" s="1027">
        <f>CAPEX_Transbordo!AA126</f>
        <v>0</v>
      </c>
      <c r="AB51" s="1027">
        <f>CAPEX_Transbordo!AB126</f>
        <v>0</v>
      </c>
      <c r="AC51" s="1027">
        <f>CAPEX_Transbordo!AC126</f>
        <v>4239.796126565645</v>
      </c>
      <c r="AD51" s="1027">
        <f>CAPEX_Transbordo!AD126</f>
        <v>0</v>
      </c>
      <c r="AE51" s="1027">
        <f>CAPEX_Transbordo!AE126</f>
        <v>0</v>
      </c>
      <c r="AF51" s="1027">
        <f>CAPEX_Transbordo!AF126</f>
        <v>0</v>
      </c>
      <c r="AG51" s="1027">
        <f>CAPEX_Transbordo!AG126</f>
        <v>0</v>
      </c>
      <c r="AH51" s="1027">
        <f>CAPEX_Transbordo!AH126</f>
        <v>0</v>
      </c>
      <c r="AI51" s="1027">
        <f>CAPEX_Transbordo!AI126</f>
        <v>0</v>
      </c>
    </row>
    <row r="52" spans="3:35" s="77" customFormat="1" hidden="1" outlineLevel="1" x14ac:dyDescent="0.35">
      <c r="C52" s="1024"/>
      <c r="D52" s="1025" t="s">
        <v>4</v>
      </c>
      <c r="E52" s="1026">
        <f t="shared" si="31"/>
        <v>1124487.7182755121</v>
      </c>
      <c r="F52" s="1027">
        <f>CAPEX_Transbordo!F127</f>
        <v>771109.06768607651</v>
      </c>
      <c r="G52" s="1027">
        <f>CAPEX_Transbordo!G127</f>
        <v>0</v>
      </c>
      <c r="H52" s="1027">
        <f>CAPEX_Transbordo!H127</f>
        <v>14141.100962449273</v>
      </c>
      <c r="I52" s="1027">
        <f>CAPEX_Transbordo!I127</f>
        <v>0</v>
      </c>
      <c r="J52" s="1027">
        <f>CAPEX_Transbordo!J127</f>
        <v>0</v>
      </c>
      <c r="K52" s="1027">
        <f>CAPEX_Transbordo!K127</f>
        <v>0</v>
      </c>
      <c r="L52" s="1027">
        <f>CAPEX_Transbordo!L127</f>
        <v>0</v>
      </c>
      <c r="M52" s="1027">
        <f>CAPEX_Transbordo!M127</f>
        <v>0</v>
      </c>
      <c r="N52" s="1027">
        <f>CAPEX_Transbordo!N127</f>
        <v>0</v>
      </c>
      <c r="O52" s="1027">
        <f>CAPEX_Transbordo!O127</f>
        <v>24485.361816379085</v>
      </c>
      <c r="P52" s="1027">
        <f>CAPEX_Transbordo!P127</f>
        <v>133820.53222715462</v>
      </c>
      <c r="Q52" s="1027">
        <f>CAPEX_Transbordo!Q127</f>
        <v>0</v>
      </c>
      <c r="R52" s="1027">
        <f>CAPEX_Transbordo!R127</f>
        <v>0</v>
      </c>
      <c r="S52" s="1027">
        <f>CAPEX_Transbordo!S127</f>
        <v>11312.880769959416</v>
      </c>
      <c r="T52" s="1027">
        <f>CAPEX_Transbordo!T127</f>
        <v>0</v>
      </c>
      <c r="U52" s="1027">
        <f>CAPEX_Transbordo!U127</f>
        <v>0</v>
      </c>
      <c r="V52" s="1027">
        <f>CAPEX_Transbordo!V127</f>
        <v>0</v>
      </c>
      <c r="W52" s="1027">
        <f>CAPEX_Transbordo!W127</f>
        <v>0</v>
      </c>
      <c r="X52" s="1027">
        <f>CAPEX_Transbordo!X127</f>
        <v>0</v>
      </c>
      <c r="Y52" s="1027">
        <f>CAPEX_Transbordo!Y127</f>
        <v>24485.361816379085</v>
      </c>
      <c r="Z52" s="1027">
        <f>CAPEX_Transbordo!Z127</f>
        <v>133820.53222715462</v>
      </c>
      <c r="AA52" s="1027">
        <f>CAPEX_Transbordo!AA127</f>
        <v>0</v>
      </c>
      <c r="AB52" s="1027">
        <f>CAPEX_Transbordo!AB127</f>
        <v>0</v>
      </c>
      <c r="AC52" s="1027">
        <f>CAPEX_Transbordo!AC127</f>
        <v>11312.880769959416</v>
      </c>
      <c r="AD52" s="1027">
        <f>CAPEX_Transbordo!AD127</f>
        <v>0</v>
      </c>
      <c r="AE52" s="1027">
        <f>CAPEX_Transbordo!AE127</f>
        <v>0</v>
      </c>
      <c r="AF52" s="1027">
        <f>CAPEX_Transbordo!AF127</f>
        <v>0</v>
      </c>
      <c r="AG52" s="1027">
        <f>CAPEX_Transbordo!AG127</f>
        <v>0</v>
      </c>
      <c r="AH52" s="1027">
        <f>CAPEX_Transbordo!AH127</f>
        <v>0</v>
      </c>
      <c r="AI52" s="1027">
        <f>CAPEX_Transbordo!AI127</f>
        <v>0</v>
      </c>
    </row>
    <row r="53" spans="3:35" s="77" customFormat="1" hidden="1" outlineLevel="1" x14ac:dyDescent="0.35">
      <c r="C53" s="1024"/>
      <c r="D53" s="1025" t="s">
        <v>5</v>
      </c>
      <c r="E53" s="1026">
        <f t="shared" si="31"/>
        <v>1571632.9658218103</v>
      </c>
      <c r="F53" s="1027">
        <f>CAPEX_Transbordo!F128</f>
        <v>1078504.7881406872</v>
      </c>
      <c r="G53" s="1027">
        <f>CAPEX_Transbordo!G128</f>
        <v>0</v>
      </c>
      <c r="H53" s="1027">
        <f>CAPEX_Transbordo!H128</f>
        <v>3330.0772499547656</v>
      </c>
      <c r="I53" s="1027">
        <f>CAPEX_Transbordo!I128</f>
        <v>0</v>
      </c>
      <c r="J53" s="1027">
        <f>CAPEX_Transbordo!J128</f>
        <v>0</v>
      </c>
      <c r="K53" s="1027">
        <f>CAPEX_Transbordo!K128</f>
        <v>0</v>
      </c>
      <c r="L53" s="1027">
        <f>CAPEX_Transbordo!L128</f>
        <v>0</v>
      </c>
      <c r="M53" s="1027">
        <f>CAPEX_Transbordo!M128</f>
        <v>0</v>
      </c>
      <c r="N53" s="1027">
        <f>CAPEX_Transbordo!N128</f>
        <v>0</v>
      </c>
      <c r="O53" s="1027">
        <f>CAPEX_Transbordo!O128</f>
        <v>5766.0394730335402</v>
      </c>
      <c r="P53" s="1027">
        <f>CAPEX_Transbordo!P128</f>
        <v>236468.94894258695</v>
      </c>
      <c r="Q53" s="1027">
        <f>CAPEX_Transbordo!Q128</f>
        <v>0</v>
      </c>
      <c r="R53" s="1027">
        <f>CAPEX_Transbordo!R128</f>
        <v>0</v>
      </c>
      <c r="S53" s="1027">
        <f>CAPEX_Transbordo!S128</f>
        <v>2664.0617999638125</v>
      </c>
      <c r="T53" s="1027">
        <f>CAPEX_Transbordo!T128</f>
        <v>0</v>
      </c>
      <c r="U53" s="1027">
        <f>CAPEX_Transbordo!U128</f>
        <v>0</v>
      </c>
      <c r="V53" s="1027">
        <f>CAPEX_Transbordo!V128</f>
        <v>0</v>
      </c>
      <c r="W53" s="1027">
        <f>CAPEX_Transbordo!W128</f>
        <v>0</v>
      </c>
      <c r="X53" s="1027">
        <f>CAPEX_Transbordo!X128</f>
        <v>0</v>
      </c>
      <c r="Y53" s="1027">
        <f>CAPEX_Transbordo!Y128</f>
        <v>5766.0394730335402</v>
      </c>
      <c r="Z53" s="1027">
        <f>CAPEX_Transbordo!Z128</f>
        <v>236468.94894258695</v>
      </c>
      <c r="AA53" s="1027">
        <f>CAPEX_Transbordo!AA128</f>
        <v>0</v>
      </c>
      <c r="AB53" s="1027">
        <f>CAPEX_Transbordo!AB128</f>
        <v>0</v>
      </c>
      <c r="AC53" s="1027">
        <f>CAPEX_Transbordo!AC128</f>
        <v>2664.0617999638125</v>
      </c>
      <c r="AD53" s="1027">
        <f>CAPEX_Transbordo!AD128</f>
        <v>0</v>
      </c>
      <c r="AE53" s="1027">
        <f>CAPEX_Transbordo!AE128</f>
        <v>0</v>
      </c>
      <c r="AF53" s="1027">
        <f>CAPEX_Transbordo!AF128</f>
        <v>0</v>
      </c>
      <c r="AG53" s="1027">
        <f>CAPEX_Transbordo!AG128</f>
        <v>0</v>
      </c>
      <c r="AH53" s="1027">
        <f>CAPEX_Transbordo!AH128</f>
        <v>0</v>
      </c>
      <c r="AI53" s="1027">
        <f>CAPEX_Transbordo!AI128</f>
        <v>0</v>
      </c>
    </row>
    <row r="54" spans="3:35" s="77" customFormat="1" hidden="1" outlineLevel="1" x14ac:dyDescent="0.35">
      <c r="C54" s="1024"/>
      <c r="D54" s="1025" t="s">
        <v>6</v>
      </c>
      <c r="E54" s="1026">
        <f t="shared" si="31"/>
        <v>17397702.064159464</v>
      </c>
      <c r="F54" s="1027">
        <f>CAPEX_Transbordo!F129</f>
        <v>11938859.381859312</v>
      </c>
      <c r="G54" s="1027">
        <f>CAPEX_Transbordo!G129</f>
        <v>0</v>
      </c>
      <c r="H54" s="1027">
        <f>CAPEX_Transbordo!H129</f>
        <v>36863.37275004523</v>
      </c>
      <c r="I54" s="1027">
        <f>CAPEX_Transbordo!I129</f>
        <v>0</v>
      </c>
      <c r="J54" s="1027">
        <f>CAPEX_Transbordo!J129</f>
        <v>0</v>
      </c>
      <c r="K54" s="1027">
        <f>CAPEX_Transbordo!K129</f>
        <v>0</v>
      </c>
      <c r="L54" s="1027">
        <f>CAPEX_Transbordo!L129</f>
        <v>0</v>
      </c>
      <c r="M54" s="1027">
        <f>CAPEX_Transbordo!M129</f>
        <v>0</v>
      </c>
      <c r="N54" s="1027">
        <f>CAPEX_Transbordo!N129</f>
        <v>0</v>
      </c>
      <c r="O54" s="1027">
        <f>CAPEX_Transbordo!O129</f>
        <v>63829.048526966457</v>
      </c>
      <c r="P54" s="1027">
        <f>CAPEX_Transbordo!P129</f>
        <v>2617669.9080480505</v>
      </c>
      <c r="Q54" s="1027">
        <f>CAPEX_Transbordo!Q129</f>
        <v>0</v>
      </c>
      <c r="R54" s="1027">
        <f>CAPEX_Transbordo!R129</f>
        <v>0</v>
      </c>
      <c r="S54" s="1027">
        <f>CAPEX_Transbordo!S129</f>
        <v>29490.698200036179</v>
      </c>
      <c r="T54" s="1027">
        <f>CAPEX_Transbordo!T129</f>
        <v>0</v>
      </c>
      <c r="U54" s="1027">
        <f>CAPEX_Transbordo!U129</f>
        <v>0</v>
      </c>
      <c r="V54" s="1027">
        <f>CAPEX_Transbordo!V129</f>
        <v>0</v>
      </c>
      <c r="W54" s="1027">
        <f>CAPEX_Transbordo!W129</f>
        <v>0</v>
      </c>
      <c r="X54" s="1027">
        <f>CAPEX_Transbordo!X129</f>
        <v>0</v>
      </c>
      <c r="Y54" s="1027">
        <f>CAPEX_Transbordo!Y129</f>
        <v>63829.048526966457</v>
      </c>
      <c r="Z54" s="1027">
        <f>CAPEX_Transbordo!Z129</f>
        <v>2617669.9080480505</v>
      </c>
      <c r="AA54" s="1027">
        <f>CAPEX_Transbordo!AA129</f>
        <v>0</v>
      </c>
      <c r="AB54" s="1027">
        <f>CAPEX_Transbordo!AB129</f>
        <v>0</v>
      </c>
      <c r="AC54" s="1027">
        <f>CAPEX_Transbordo!AC129</f>
        <v>29490.698200036179</v>
      </c>
      <c r="AD54" s="1027">
        <f>CAPEX_Transbordo!AD129</f>
        <v>0</v>
      </c>
      <c r="AE54" s="1027">
        <f>CAPEX_Transbordo!AE129</f>
        <v>0</v>
      </c>
      <c r="AF54" s="1027">
        <f>CAPEX_Transbordo!AF129</f>
        <v>0</v>
      </c>
      <c r="AG54" s="1027">
        <f>CAPEX_Transbordo!AG129</f>
        <v>0</v>
      </c>
      <c r="AH54" s="1027">
        <f>CAPEX_Transbordo!AH129</f>
        <v>0</v>
      </c>
      <c r="AI54" s="1027">
        <f>CAPEX_Transbordo!AI129</f>
        <v>0</v>
      </c>
    </row>
    <row r="55" spans="3:35" s="77" customFormat="1" hidden="1" outlineLevel="1" x14ac:dyDescent="0.35">
      <c r="C55" s="1024"/>
      <c r="D55" s="1025" t="s">
        <v>7</v>
      </c>
      <c r="E55" s="1026">
        <f t="shared" si="31"/>
        <v>3137876.6177786323</v>
      </c>
      <c r="F55" s="1027">
        <f>CAPEX_Transbordo!F130</f>
        <v>2151540.69</v>
      </c>
      <c r="G55" s="1027">
        <f>CAPEX_Transbordo!G130</f>
        <v>0</v>
      </c>
      <c r="H55" s="1027">
        <f>CAPEX_Transbordo!H130</f>
        <v>40193.449999999997</v>
      </c>
      <c r="I55" s="1027">
        <f>CAPEX_Transbordo!I130</f>
        <v>0</v>
      </c>
      <c r="J55" s="1027">
        <f>CAPEX_Transbordo!J130</f>
        <v>0</v>
      </c>
      <c r="K55" s="1027">
        <f>CAPEX_Transbordo!K130</f>
        <v>0</v>
      </c>
      <c r="L55" s="1027">
        <f>CAPEX_Transbordo!L130</f>
        <v>0</v>
      </c>
      <c r="M55" s="1027">
        <f>CAPEX_Transbordo!M130</f>
        <v>0</v>
      </c>
      <c r="N55" s="1027">
        <f>CAPEX_Transbordo!N130</f>
        <v>0</v>
      </c>
      <c r="O55" s="1027">
        <f>CAPEX_Transbordo!O130</f>
        <v>69595.088000000003</v>
      </c>
      <c r="P55" s="1027">
        <f>CAPEX_Transbordo!P130</f>
        <v>371321.39088931651</v>
      </c>
      <c r="Q55" s="1027">
        <f>CAPEX_Transbordo!Q130</f>
        <v>0</v>
      </c>
      <c r="R55" s="1027">
        <f>CAPEX_Transbordo!R130</f>
        <v>0</v>
      </c>
      <c r="S55" s="1027">
        <f>CAPEX_Transbordo!S130</f>
        <v>32154.759999999995</v>
      </c>
      <c r="T55" s="1027">
        <f>CAPEX_Transbordo!T130</f>
        <v>0</v>
      </c>
      <c r="U55" s="1027">
        <f>CAPEX_Transbordo!U130</f>
        <v>0</v>
      </c>
      <c r="V55" s="1027">
        <f>CAPEX_Transbordo!V130</f>
        <v>0</v>
      </c>
      <c r="W55" s="1027">
        <f>CAPEX_Transbordo!W130</f>
        <v>0</v>
      </c>
      <c r="X55" s="1027">
        <f>CAPEX_Transbordo!X130</f>
        <v>0</v>
      </c>
      <c r="Y55" s="1027">
        <f>CAPEX_Transbordo!Y130</f>
        <v>69595.088000000003</v>
      </c>
      <c r="Z55" s="1027">
        <f>CAPEX_Transbordo!Z130</f>
        <v>371321.39088931651</v>
      </c>
      <c r="AA55" s="1027">
        <f>CAPEX_Transbordo!AA130</f>
        <v>0</v>
      </c>
      <c r="AB55" s="1027">
        <f>CAPEX_Transbordo!AB130</f>
        <v>0</v>
      </c>
      <c r="AC55" s="1027">
        <f>CAPEX_Transbordo!AC130</f>
        <v>32154.759999999995</v>
      </c>
      <c r="AD55" s="1027">
        <f>CAPEX_Transbordo!AD130</f>
        <v>0</v>
      </c>
      <c r="AE55" s="1027">
        <f>CAPEX_Transbordo!AE130</f>
        <v>0</v>
      </c>
      <c r="AF55" s="1027">
        <f>CAPEX_Transbordo!AF130</f>
        <v>0</v>
      </c>
      <c r="AG55" s="1027">
        <f>CAPEX_Transbordo!AG130</f>
        <v>0</v>
      </c>
      <c r="AH55" s="1027">
        <f>CAPEX_Transbordo!AH130</f>
        <v>0</v>
      </c>
      <c r="AI55" s="1027">
        <f>CAPEX_Transbordo!AI130</f>
        <v>0</v>
      </c>
    </row>
    <row r="56" spans="3:35" s="77" customFormat="1" hidden="1" outlineLevel="1" x14ac:dyDescent="0.35">
      <c r="C56" s="1024"/>
      <c r="D56" s="1025" t="s">
        <v>8</v>
      </c>
      <c r="E56" s="1026">
        <f t="shared" si="31"/>
        <v>1812310.8766755853</v>
      </c>
      <c r="F56" s="1027">
        <f>CAPEX_Transbordo!F131</f>
        <v>1238765.4330272365</v>
      </c>
      <c r="G56" s="1027">
        <f>CAPEX_Transbordo!G131</f>
        <v>0</v>
      </c>
      <c r="H56" s="1027">
        <f>CAPEX_Transbordo!H131</f>
        <v>35315.695829506323</v>
      </c>
      <c r="I56" s="1027">
        <f>CAPEX_Transbordo!I131</f>
        <v>0</v>
      </c>
      <c r="J56" s="1027">
        <f>CAPEX_Transbordo!J131</f>
        <v>0</v>
      </c>
      <c r="K56" s="1027">
        <f>CAPEX_Transbordo!K131</f>
        <v>0</v>
      </c>
      <c r="L56" s="1027">
        <f>CAPEX_Transbordo!L131</f>
        <v>0</v>
      </c>
      <c r="M56" s="1027">
        <f>CAPEX_Transbordo!M131</f>
        <v>0</v>
      </c>
      <c r="N56" s="1027">
        <f>CAPEX_Transbordo!N131</f>
        <v>0</v>
      </c>
      <c r="O56" s="1027">
        <f>CAPEX_Transbordo!O131</f>
        <v>61149.240959303715</v>
      </c>
      <c r="P56" s="1027">
        <f>CAPEX_Transbordo!P131</f>
        <v>179713.0762865124</v>
      </c>
      <c r="Q56" s="1027">
        <f>CAPEX_Transbordo!Q131</f>
        <v>0</v>
      </c>
      <c r="R56" s="1027">
        <f>CAPEX_Transbordo!R131</f>
        <v>0</v>
      </c>
      <c r="S56" s="1027">
        <f>CAPEX_Transbordo!S131</f>
        <v>28252.556663605057</v>
      </c>
      <c r="T56" s="1027">
        <f>CAPEX_Transbordo!T131</f>
        <v>0</v>
      </c>
      <c r="U56" s="1027">
        <f>CAPEX_Transbordo!U131</f>
        <v>0</v>
      </c>
      <c r="V56" s="1027">
        <f>CAPEX_Transbordo!V131</f>
        <v>0</v>
      </c>
      <c r="W56" s="1027">
        <f>CAPEX_Transbordo!W131</f>
        <v>0</v>
      </c>
      <c r="X56" s="1027">
        <f>CAPEX_Transbordo!X131</f>
        <v>0</v>
      </c>
      <c r="Y56" s="1027">
        <f>CAPEX_Transbordo!Y131</f>
        <v>61149.240959303715</v>
      </c>
      <c r="Z56" s="1027">
        <f>CAPEX_Transbordo!Z131</f>
        <v>179713.0762865124</v>
      </c>
      <c r="AA56" s="1027">
        <f>CAPEX_Transbordo!AA131</f>
        <v>0</v>
      </c>
      <c r="AB56" s="1027">
        <f>CAPEX_Transbordo!AB131</f>
        <v>0</v>
      </c>
      <c r="AC56" s="1027">
        <f>CAPEX_Transbordo!AC131</f>
        <v>28252.556663605057</v>
      </c>
      <c r="AD56" s="1027">
        <f>CAPEX_Transbordo!AD131</f>
        <v>0</v>
      </c>
      <c r="AE56" s="1027">
        <f>CAPEX_Transbordo!AE131</f>
        <v>0</v>
      </c>
      <c r="AF56" s="1027">
        <f>CAPEX_Transbordo!AF131</f>
        <v>0</v>
      </c>
      <c r="AG56" s="1027">
        <f>CAPEX_Transbordo!AG131</f>
        <v>0</v>
      </c>
      <c r="AH56" s="1027">
        <f>CAPEX_Transbordo!AH131</f>
        <v>0</v>
      </c>
      <c r="AI56" s="1027">
        <f>CAPEX_Transbordo!AI131</f>
        <v>0</v>
      </c>
    </row>
    <row r="57" spans="3:35" s="77" customFormat="1" hidden="1" outlineLevel="1" x14ac:dyDescent="0.35">
      <c r="C57" s="1024"/>
      <c r="D57" s="1025" t="s">
        <v>9</v>
      </c>
      <c r="E57" s="1026">
        <f t="shared" si="31"/>
        <v>1650228.5251004132</v>
      </c>
      <c r="F57" s="1027">
        <f>CAPEX_Transbordo!F132</f>
        <v>1131631.905602877</v>
      </c>
      <c r="G57" s="1027">
        <f>CAPEX_Transbordo!G132</f>
        <v>0</v>
      </c>
      <c r="H57" s="1027">
        <f>CAPEX_Transbordo!H132</f>
        <v>20752.603879343664</v>
      </c>
      <c r="I57" s="1027">
        <f>CAPEX_Transbordo!I132</f>
        <v>0</v>
      </c>
      <c r="J57" s="1027">
        <f>CAPEX_Transbordo!J132</f>
        <v>0</v>
      </c>
      <c r="K57" s="1027">
        <f>CAPEX_Transbordo!K132</f>
        <v>0</v>
      </c>
      <c r="L57" s="1027">
        <f>CAPEX_Transbordo!L132</f>
        <v>0</v>
      </c>
      <c r="M57" s="1027">
        <f>CAPEX_Transbordo!M132</f>
        <v>0</v>
      </c>
      <c r="N57" s="1027">
        <f>CAPEX_Transbordo!N132</f>
        <v>0</v>
      </c>
      <c r="O57" s="1027">
        <f>CAPEX_Transbordo!O132</f>
        <v>35933.200389915866</v>
      </c>
      <c r="P57" s="1027">
        <f>CAPEX_Transbordo!P132</f>
        <v>196386.72431570551</v>
      </c>
      <c r="Q57" s="1027">
        <f>CAPEX_Transbordo!Q132</f>
        <v>0</v>
      </c>
      <c r="R57" s="1027">
        <f>CAPEX_Transbordo!R132</f>
        <v>0</v>
      </c>
      <c r="S57" s="1027">
        <f>CAPEX_Transbordo!S132</f>
        <v>16602.083103474928</v>
      </c>
      <c r="T57" s="1027">
        <f>CAPEX_Transbordo!T132</f>
        <v>0</v>
      </c>
      <c r="U57" s="1027">
        <f>CAPEX_Transbordo!U132</f>
        <v>0</v>
      </c>
      <c r="V57" s="1027">
        <f>CAPEX_Transbordo!V132</f>
        <v>0</v>
      </c>
      <c r="W57" s="1027">
        <f>CAPEX_Transbordo!W132</f>
        <v>0</v>
      </c>
      <c r="X57" s="1027">
        <f>CAPEX_Transbordo!X132</f>
        <v>0</v>
      </c>
      <c r="Y57" s="1027">
        <f>CAPEX_Transbordo!Y132</f>
        <v>35933.200389915866</v>
      </c>
      <c r="Z57" s="1027">
        <f>CAPEX_Transbordo!Z132</f>
        <v>196386.72431570551</v>
      </c>
      <c r="AA57" s="1027">
        <f>CAPEX_Transbordo!AA132</f>
        <v>0</v>
      </c>
      <c r="AB57" s="1027">
        <f>CAPEX_Transbordo!AB132</f>
        <v>0</v>
      </c>
      <c r="AC57" s="1027">
        <f>CAPEX_Transbordo!AC132</f>
        <v>16602.083103474928</v>
      </c>
      <c r="AD57" s="1027">
        <f>CAPEX_Transbordo!AD132</f>
        <v>0</v>
      </c>
      <c r="AE57" s="1027">
        <f>CAPEX_Transbordo!AE132</f>
        <v>0</v>
      </c>
      <c r="AF57" s="1027">
        <f>CAPEX_Transbordo!AF132</f>
        <v>0</v>
      </c>
      <c r="AG57" s="1027">
        <f>CAPEX_Transbordo!AG132</f>
        <v>0</v>
      </c>
      <c r="AH57" s="1027">
        <f>CAPEX_Transbordo!AH132</f>
        <v>0</v>
      </c>
      <c r="AI57" s="1027">
        <f>CAPEX_Transbordo!AI132</f>
        <v>0</v>
      </c>
    </row>
    <row r="58" spans="3:35" s="77" customFormat="1" collapsed="1" x14ac:dyDescent="0.35">
      <c r="C58" s="77" t="s">
        <v>457</v>
      </c>
      <c r="E58" s="489">
        <f t="shared" si="31"/>
        <v>12127398.24</v>
      </c>
      <c r="F58" s="490">
        <f>CAPEX_Tratamento!F41</f>
        <v>5540379.915</v>
      </c>
      <c r="G58" s="490">
        <f>CAPEX_Tratamento!G41</f>
        <v>5404933.4850000003</v>
      </c>
      <c r="H58" s="490">
        <f>CAPEX_Tratamento!H41</f>
        <v>0</v>
      </c>
      <c r="I58" s="490">
        <f>CAPEX_Tratamento!I41</f>
        <v>0</v>
      </c>
      <c r="J58" s="490">
        <f>CAPEX_Tratamento!J41</f>
        <v>0</v>
      </c>
      <c r="K58" s="490">
        <f>CAPEX_Tratamento!K41</f>
        <v>0</v>
      </c>
      <c r="L58" s="490">
        <f>CAPEX_Tratamento!L41</f>
        <v>0</v>
      </c>
      <c r="M58" s="490">
        <f>CAPEX_Tratamento!M41</f>
        <v>0</v>
      </c>
      <c r="N58" s="490">
        <f>CAPEX_Tratamento!N41</f>
        <v>0</v>
      </c>
      <c r="O58" s="490">
        <f>CAPEX_Tratamento!O41</f>
        <v>455595.99</v>
      </c>
      <c r="P58" s="490">
        <f>CAPEX_Tratamento!P41</f>
        <v>135446.43</v>
      </c>
      <c r="Q58" s="490">
        <f>CAPEX_Tratamento!Q41</f>
        <v>0</v>
      </c>
      <c r="R58" s="490">
        <f>CAPEX_Tratamento!R41</f>
        <v>0</v>
      </c>
      <c r="S58" s="490">
        <f>CAPEX_Tratamento!S41</f>
        <v>0</v>
      </c>
      <c r="T58" s="490">
        <f>CAPEX_Tratamento!T41</f>
        <v>0</v>
      </c>
      <c r="U58" s="490">
        <f>CAPEX_Tratamento!U41</f>
        <v>0</v>
      </c>
      <c r="V58" s="490">
        <f>CAPEX_Tratamento!V41</f>
        <v>0</v>
      </c>
      <c r="W58" s="490">
        <f>CAPEX_Tratamento!W41</f>
        <v>0</v>
      </c>
      <c r="X58" s="490">
        <f>CAPEX_Tratamento!X41</f>
        <v>0</v>
      </c>
      <c r="Y58" s="490">
        <f>CAPEX_Tratamento!Y41</f>
        <v>455595.99</v>
      </c>
      <c r="Z58" s="490">
        <f>CAPEX_Tratamento!Z41</f>
        <v>135446.43</v>
      </c>
      <c r="AA58" s="490">
        <f>CAPEX_Tratamento!AA41</f>
        <v>0</v>
      </c>
      <c r="AB58" s="490">
        <f>CAPEX_Tratamento!AB41</f>
        <v>0</v>
      </c>
      <c r="AC58" s="490">
        <f>CAPEX_Tratamento!AC41</f>
        <v>0</v>
      </c>
      <c r="AD58" s="490">
        <f>CAPEX_Tratamento!AD41</f>
        <v>0</v>
      </c>
      <c r="AE58" s="490">
        <f>CAPEX_Tratamento!AE41</f>
        <v>0</v>
      </c>
      <c r="AF58" s="490">
        <f>CAPEX_Tratamento!AF41</f>
        <v>0</v>
      </c>
      <c r="AG58" s="490">
        <f>CAPEX_Tratamento!AG41</f>
        <v>0</v>
      </c>
      <c r="AH58" s="490">
        <f>CAPEX_Tratamento!AH41</f>
        <v>0</v>
      </c>
      <c r="AI58" s="490">
        <f>CAPEX_Tratamento!AI41</f>
        <v>0</v>
      </c>
    </row>
    <row r="59" spans="3:35" s="77" customFormat="1" hidden="1" outlineLevel="1" x14ac:dyDescent="0.35">
      <c r="C59" s="1020"/>
      <c r="D59" s="1021" t="s">
        <v>1</v>
      </c>
      <c r="E59" s="1022">
        <f t="shared" si="31"/>
        <v>82795.850585829146</v>
      </c>
      <c r="F59" s="1032">
        <f>CAPEX_Tratamento!F46</f>
        <v>37825.134340691759</v>
      </c>
      <c r="G59" s="1023">
        <f>CAPEX_Tratamento!G46</f>
        <v>36900.418077670452</v>
      </c>
      <c r="H59" s="1023">
        <f>CAPEX_Tratamento!H46</f>
        <v>0</v>
      </c>
      <c r="I59" s="1023">
        <f>CAPEX_Tratamento!I46</f>
        <v>0</v>
      </c>
      <c r="J59" s="1023">
        <f>CAPEX_Tratamento!J46</f>
        <v>0</v>
      </c>
      <c r="K59" s="1023">
        <f>CAPEX_Tratamento!K46</f>
        <v>0</v>
      </c>
      <c r="L59" s="1023">
        <f>CAPEX_Tratamento!L46</f>
        <v>0</v>
      </c>
      <c r="M59" s="1023">
        <f>CAPEX_Tratamento!M46</f>
        <v>0</v>
      </c>
      <c r="N59" s="1023">
        <f>CAPEX_Tratamento!N46</f>
        <v>0</v>
      </c>
      <c r="O59" s="1023">
        <f>CAPEX_Tratamento!O46</f>
        <v>3110.4328207121621</v>
      </c>
      <c r="P59" s="1023">
        <f>CAPEX_Tratamento!P46</f>
        <v>924.71626302130619</v>
      </c>
      <c r="Q59" s="1023">
        <f>CAPEX_Tratamento!Q46</f>
        <v>0</v>
      </c>
      <c r="R59" s="1023">
        <f>CAPEX_Tratamento!R46</f>
        <v>0</v>
      </c>
      <c r="S59" s="1023">
        <f>CAPEX_Tratamento!S46</f>
        <v>0</v>
      </c>
      <c r="T59" s="1023">
        <f>CAPEX_Tratamento!T46</f>
        <v>0</v>
      </c>
      <c r="U59" s="1023">
        <f>CAPEX_Tratamento!U46</f>
        <v>0</v>
      </c>
      <c r="V59" s="1023">
        <f>CAPEX_Tratamento!V46</f>
        <v>0</v>
      </c>
      <c r="W59" s="1023">
        <f>CAPEX_Tratamento!W46</f>
        <v>0</v>
      </c>
      <c r="X59" s="1023">
        <f>CAPEX_Tratamento!X46</f>
        <v>0</v>
      </c>
      <c r="Y59" s="1023">
        <f>CAPEX_Tratamento!Y46</f>
        <v>3110.4328207121621</v>
      </c>
      <c r="Z59" s="1023">
        <f>CAPEX_Tratamento!Z46</f>
        <v>924.71626302130619</v>
      </c>
      <c r="AA59" s="1023">
        <f>CAPEX_Tratamento!AA46</f>
        <v>0</v>
      </c>
      <c r="AB59" s="1023">
        <f>CAPEX_Tratamento!AB46</f>
        <v>0</v>
      </c>
      <c r="AC59" s="1023">
        <f>CAPEX_Tratamento!AC46</f>
        <v>0</v>
      </c>
      <c r="AD59" s="1023">
        <f>CAPEX_Tratamento!AD46</f>
        <v>0</v>
      </c>
      <c r="AE59" s="1023">
        <f>CAPEX_Tratamento!AE46</f>
        <v>0</v>
      </c>
      <c r="AF59" s="1023">
        <f>CAPEX_Tratamento!AF46</f>
        <v>0</v>
      </c>
      <c r="AG59" s="1023">
        <f>CAPEX_Tratamento!AG46</f>
        <v>0</v>
      </c>
      <c r="AH59" s="1023">
        <f>CAPEX_Tratamento!AH46</f>
        <v>0</v>
      </c>
      <c r="AI59" s="1023">
        <f>CAPEX_Tratamento!AI46</f>
        <v>0</v>
      </c>
    </row>
    <row r="60" spans="3:35" s="77" customFormat="1" hidden="1" outlineLevel="1" x14ac:dyDescent="0.35">
      <c r="C60" s="1024"/>
      <c r="D60" s="1025" t="s">
        <v>2</v>
      </c>
      <c r="E60" s="1026">
        <f t="shared" si="31"/>
        <v>1048579.8013307056</v>
      </c>
      <c r="F60" s="1033">
        <f>CAPEX_Tratamento!F47</f>
        <v>479041.78254868049</v>
      </c>
      <c r="G60" s="1027">
        <f>CAPEX_Tratamento!G47</f>
        <v>467330.58218651998</v>
      </c>
      <c r="H60" s="1027">
        <f>CAPEX_Tratamento!H47</f>
        <v>0</v>
      </c>
      <c r="I60" s="1027">
        <f>CAPEX_Tratamento!I47</f>
        <v>0</v>
      </c>
      <c r="J60" s="1027">
        <f>CAPEX_Tratamento!J47</f>
        <v>0</v>
      </c>
      <c r="K60" s="1027">
        <f>CAPEX_Tratamento!K47</f>
        <v>0</v>
      </c>
      <c r="L60" s="1027">
        <f>CAPEX_Tratamento!L47</f>
        <v>0</v>
      </c>
      <c r="M60" s="1027">
        <f>CAPEX_Tratamento!M47</f>
        <v>0</v>
      </c>
      <c r="N60" s="1027">
        <f>CAPEX_Tratamento!N47</f>
        <v>0</v>
      </c>
      <c r="O60" s="1027">
        <f>CAPEX_Tratamento!O47</f>
        <v>39392.517935591932</v>
      </c>
      <c r="P60" s="1027">
        <f>CAPEX_Tratamento!P47</f>
        <v>11711.200362160556</v>
      </c>
      <c r="Q60" s="1027">
        <f>CAPEX_Tratamento!Q47</f>
        <v>0</v>
      </c>
      <c r="R60" s="1027">
        <f>CAPEX_Tratamento!R47</f>
        <v>0</v>
      </c>
      <c r="S60" s="1027">
        <f>CAPEX_Tratamento!S47</f>
        <v>0</v>
      </c>
      <c r="T60" s="1027">
        <f>CAPEX_Tratamento!T47</f>
        <v>0</v>
      </c>
      <c r="U60" s="1027">
        <f>CAPEX_Tratamento!U47</f>
        <v>0</v>
      </c>
      <c r="V60" s="1027">
        <f>CAPEX_Tratamento!V47</f>
        <v>0</v>
      </c>
      <c r="W60" s="1027">
        <f>CAPEX_Tratamento!W47</f>
        <v>0</v>
      </c>
      <c r="X60" s="1027">
        <f>CAPEX_Tratamento!X47</f>
        <v>0</v>
      </c>
      <c r="Y60" s="1027">
        <f>CAPEX_Tratamento!Y47</f>
        <v>39392.517935591932</v>
      </c>
      <c r="Z60" s="1027">
        <f>CAPEX_Tratamento!Z47</f>
        <v>11711.200362160556</v>
      </c>
      <c r="AA60" s="1027">
        <f>CAPEX_Tratamento!AA47</f>
        <v>0</v>
      </c>
      <c r="AB60" s="1027">
        <f>CAPEX_Tratamento!AB47</f>
        <v>0</v>
      </c>
      <c r="AC60" s="1027">
        <f>CAPEX_Tratamento!AC47</f>
        <v>0</v>
      </c>
      <c r="AD60" s="1027">
        <f>CAPEX_Tratamento!AD47</f>
        <v>0</v>
      </c>
      <c r="AE60" s="1027">
        <f>CAPEX_Tratamento!AE47</f>
        <v>0</v>
      </c>
      <c r="AF60" s="1027">
        <f>CAPEX_Tratamento!AF47</f>
        <v>0</v>
      </c>
      <c r="AG60" s="1027">
        <f>CAPEX_Tratamento!AG47</f>
        <v>0</v>
      </c>
      <c r="AH60" s="1027">
        <f>CAPEX_Tratamento!AH47</f>
        <v>0</v>
      </c>
      <c r="AI60" s="1027">
        <f>CAPEX_Tratamento!AI47</f>
        <v>0</v>
      </c>
    </row>
    <row r="61" spans="3:35" s="77" customFormat="1" hidden="1" outlineLevel="1" x14ac:dyDescent="0.35">
      <c r="C61" s="1024"/>
      <c r="D61" s="1025" t="s">
        <v>3</v>
      </c>
      <c r="E61" s="1026">
        <f t="shared" si="31"/>
        <v>125613.26415453022</v>
      </c>
      <c r="F61" s="1033">
        <f>CAPEX_Tratamento!F48</f>
        <v>57386.192158174621</v>
      </c>
      <c r="G61" s="1027">
        <f>CAPEX_Tratamento!G48</f>
        <v>55983.264023575983</v>
      </c>
      <c r="H61" s="1027">
        <f>CAPEX_Tratamento!H48</f>
        <v>0</v>
      </c>
      <c r="I61" s="1027">
        <f>CAPEX_Tratamento!I48</f>
        <v>0</v>
      </c>
      <c r="J61" s="1027">
        <f>CAPEX_Tratamento!J48</f>
        <v>0</v>
      </c>
      <c r="K61" s="1027">
        <f>CAPEX_Tratamento!K48</f>
        <v>0</v>
      </c>
      <c r="L61" s="1027">
        <f>CAPEX_Tratamento!L48</f>
        <v>0</v>
      </c>
      <c r="M61" s="1027">
        <f>CAPEX_Tratamento!M48</f>
        <v>0</v>
      </c>
      <c r="N61" s="1027">
        <f>CAPEX_Tratamento!N48</f>
        <v>0</v>
      </c>
      <c r="O61" s="1027">
        <f>CAPEX_Tratamento!O48</f>
        <v>4718.9758517911678</v>
      </c>
      <c r="P61" s="1027">
        <f>CAPEX_Tratamento!P48</f>
        <v>1402.9281345986446</v>
      </c>
      <c r="Q61" s="1027">
        <f>CAPEX_Tratamento!Q48</f>
        <v>0</v>
      </c>
      <c r="R61" s="1027">
        <f>CAPEX_Tratamento!R48</f>
        <v>0</v>
      </c>
      <c r="S61" s="1027">
        <f>CAPEX_Tratamento!S48</f>
        <v>0</v>
      </c>
      <c r="T61" s="1027">
        <f>CAPEX_Tratamento!T48</f>
        <v>0</v>
      </c>
      <c r="U61" s="1027">
        <f>CAPEX_Tratamento!U48</f>
        <v>0</v>
      </c>
      <c r="V61" s="1027">
        <f>CAPEX_Tratamento!V48</f>
        <v>0</v>
      </c>
      <c r="W61" s="1027">
        <f>CAPEX_Tratamento!W48</f>
        <v>0</v>
      </c>
      <c r="X61" s="1027">
        <f>CAPEX_Tratamento!X48</f>
        <v>0</v>
      </c>
      <c r="Y61" s="1027">
        <f>CAPEX_Tratamento!Y48</f>
        <v>4718.9758517911678</v>
      </c>
      <c r="Z61" s="1027">
        <f>CAPEX_Tratamento!Z48</f>
        <v>1402.9281345986446</v>
      </c>
      <c r="AA61" s="1027">
        <f>CAPEX_Tratamento!AA48</f>
        <v>0</v>
      </c>
      <c r="AB61" s="1027">
        <f>CAPEX_Tratamento!AB48</f>
        <v>0</v>
      </c>
      <c r="AC61" s="1027">
        <f>CAPEX_Tratamento!AC48</f>
        <v>0</v>
      </c>
      <c r="AD61" s="1027">
        <f>CAPEX_Tratamento!AD48</f>
        <v>0</v>
      </c>
      <c r="AE61" s="1027">
        <f>CAPEX_Tratamento!AE48</f>
        <v>0</v>
      </c>
      <c r="AF61" s="1027">
        <f>CAPEX_Tratamento!AF48</f>
        <v>0</v>
      </c>
      <c r="AG61" s="1027">
        <f>CAPEX_Tratamento!AG48</f>
        <v>0</v>
      </c>
      <c r="AH61" s="1027">
        <f>CAPEX_Tratamento!AH48</f>
        <v>0</v>
      </c>
      <c r="AI61" s="1027">
        <f>CAPEX_Tratamento!AI48</f>
        <v>0</v>
      </c>
    </row>
    <row r="62" spans="3:35" s="77" customFormat="1" hidden="1" outlineLevel="1" x14ac:dyDescent="0.35">
      <c r="C62" s="1024"/>
      <c r="D62" s="1025" t="s">
        <v>4</v>
      </c>
      <c r="E62" s="1026">
        <f t="shared" si="31"/>
        <v>335168.91805283725</v>
      </c>
      <c r="F62" s="1033">
        <f>CAPEX_Tratamento!F49</f>
        <v>153121.31299418933</v>
      </c>
      <c r="G62" s="1027">
        <f>CAPEX_Tratamento!G49</f>
        <v>149377.93518974943</v>
      </c>
      <c r="H62" s="1027">
        <f>CAPEX_Tratamento!H49</f>
        <v>0</v>
      </c>
      <c r="I62" s="1027">
        <f>CAPEX_Tratamento!I49</f>
        <v>0</v>
      </c>
      <c r="J62" s="1027">
        <f>CAPEX_Tratamento!J49</f>
        <v>0</v>
      </c>
      <c r="K62" s="1027">
        <f>CAPEX_Tratamento!K49</f>
        <v>0</v>
      </c>
      <c r="L62" s="1027">
        <f>CAPEX_Tratamento!L49</f>
        <v>0</v>
      </c>
      <c r="M62" s="1027">
        <f>CAPEX_Tratamento!M49</f>
        <v>0</v>
      </c>
      <c r="N62" s="1027">
        <f>CAPEX_Tratamento!N49</f>
        <v>0</v>
      </c>
      <c r="O62" s="1027">
        <f>CAPEX_Tratamento!O49</f>
        <v>12591.457130009385</v>
      </c>
      <c r="P62" s="1027">
        <f>CAPEX_Tratamento!P49</f>
        <v>3743.3778044398878</v>
      </c>
      <c r="Q62" s="1027">
        <f>CAPEX_Tratamento!Q49</f>
        <v>0</v>
      </c>
      <c r="R62" s="1027">
        <f>CAPEX_Tratamento!R49</f>
        <v>0</v>
      </c>
      <c r="S62" s="1027">
        <f>CAPEX_Tratamento!S49</f>
        <v>0</v>
      </c>
      <c r="T62" s="1027">
        <f>CAPEX_Tratamento!T49</f>
        <v>0</v>
      </c>
      <c r="U62" s="1027">
        <f>CAPEX_Tratamento!U49</f>
        <v>0</v>
      </c>
      <c r="V62" s="1027">
        <f>CAPEX_Tratamento!V49</f>
        <v>0</v>
      </c>
      <c r="W62" s="1027">
        <f>CAPEX_Tratamento!W49</f>
        <v>0</v>
      </c>
      <c r="X62" s="1027">
        <f>CAPEX_Tratamento!X49</f>
        <v>0</v>
      </c>
      <c r="Y62" s="1027">
        <f>CAPEX_Tratamento!Y49</f>
        <v>12591.457130009385</v>
      </c>
      <c r="Z62" s="1027">
        <f>CAPEX_Tratamento!Z49</f>
        <v>3743.3778044398878</v>
      </c>
      <c r="AA62" s="1027">
        <f>CAPEX_Tratamento!AA49</f>
        <v>0</v>
      </c>
      <c r="AB62" s="1027">
        <f>CAPEX_Tratamento!AB49</f>
        <v>0</v>
      </c>
      <c r="AC62" s="1027">
        <f>CAPEX_Tratamento!AC49</f>
        <v>0</v>
      </c>
      <c r="AD62" s="1027">
        <f>CAPEX_Tratamento!AD49</f>
        <v>0</v>
      </c>
      <c r="AE62" s="1027">
        <f>CAPEX_Tratamento!AE49</f>
        <v>0</v>
      </c>
      <c r="AF62" s="1027">
        <f>CAPEX_Tratamento!AF49</f>
        <v>0</v>
      </c>
      <c r="AG62" s="1027">
        <f>CAPEX_Tratamento!AG49</f>
        <v>0</v>
      </c>
      <c r="AH62" s="1027">
        <f>CAPEX_Tratamento!AH49</f>
        <v>0</v>
      </c>
      <c r="AI62" s="1027">
        <f>CAPEX_Tratamento!AI49</f>
        <v>0</v>
      </c>
    </row>
    <row r="63" spans="3:35" s="77" customFormat="1" hidden="1" outlineLevel="1" x14ac:dyDescent="0.35">
      <c r="C63" s="1024"/>
      <c r="D63" s="1025" t="s">
        <v>5</v>
      </c>
      <c r="E63" s="1026">
        <f t="shared" si="31"/>
        <v>727925.3568628591</v>
      </c>
      <c r="F63" s="1033">
        <f>CAPEX_Tratamento!F50</f>
        <v>332551.38051623775</v>
      </c>
      <c r="G63" s="1027">
        <f>CAPEX_Tratamento!G50</f>
        <v>324421.45116598741</v>
      </c>
      <c r="H63" s="1027">
        <f>CAPEX_Tratamento!H50</f>
        <v>0</v>
      </c>
      <c r="I63" s="1027">
        <f>CAPEX_Tratamento!I50</f>
        <v>0</v>
      </c>
      <c r="J63" s="1027">
        <f>CAPEX_Tratamento!J50</f>
        <v>0</v>
      </c>
      <c r="K63" s="1027">
        <f>CAPEX_Tratamento!K50</f>
        <v>0</v>
      </c>
      <c r="L63" s="1027">
        <f>CAPEX_Tratamento!L50</f>
        <v>0</v>
      </c>
      <c r="M63" s="1027">
        <f>CAPEX_Tratamento!M50</f>
        <v>0</v>
      </c>
      <c r="N63" s="1027">
        <f>CAPEX_Tratamento!N50</f>
        <v>0</v>
      </c>
      <c r="O63" s="1027">
        <f>CAPEX_Tratamento!O50</f>
        <v>27346.33324006663</v>
      </c>
      <c r="P63" s="1027">
        <f>CAPEX_Tratamento!P50</f>
        <v>8129.9293502503351</v>
      </c>
      <c r="Q63" s="1027">
        <f>CAPEX_Tratamento!Q50</f>
        <v>0</v>
      </c>
      <c r="R63" s="1027">
        <f>CAPEX_Tratamento!R50</f>
        <v>0</v>
      </c>
      <c r="S63" s="1027">
        <f>CAPEX_Tratamento!S50</f>
        <v>0</v>
      </c>
      <c r="T63" s="1027">
        <f>CAPEX_Tratamento!T50</f>
        <v>0</v>
      </c>
      <c r="U63" s="1027">
        <f>CAPEX_Tratamento!U50</f>
        <v>0</v>
      </c>
      <c r="V63" s="1027">
        <f>CAPEX_Tratamento!V50</f>
        <v>0</v>
      </c>
      <c r="W63" s="1027">
        <f>CAPEX_Tratamento!W50</f>
        <v>0</v>
      </c>
      <c r="X63" s="1027">
        <f>CAPEX_Tratamento!X50</f>
        <v>0</v>
      </c>
      <c r="Y63" s="1027">
        <f>CAPEX_Tratamento!Y50</f>
        <v>27346.33324006663</v>
      </c>
      <c r="Z63" s="1027">
        <f>CAPEX_Tratamento!Z50</f>
        <v>8129.9293502503351</v>
      </c>
      <c r="AA63" s="1027">
        <f>CAPEX_Tratamento!AA50</f>
        <v>0</v>
      </c>
      <c r="AB63" s="1027">
        <f>CAPEX_Tratamento!AB50</f>
        <v>0</v>
      </c>
      <c r="AC63" s="1027">
        <f>CAPEX_Tratamento!AC50</f>
        <v>0</v>
      </c>
      <c r="AD63" s="1027">
        <f>CAPEX_Tratamento!AD50</f>
        <v>0</v>
      </c>
      <c r="AE63" s="1027">
        <f>CAPEX_Tratamento!AE50</f>
        <v>0</v>
      </c>
      <c r="AF63" s="1027">
        <f>CAPEX_Tratamento!AF50</f>
        <v>0</v>
      </c>
      <c r="AG63" s="1027">
        <f>CAPEX_Tratamento!AG50</f>
        <v>0</v>
      </c>
      <c r="AH63" s="1027">
        <f>CAPEX_Tratamento!AH50</f>
        <v>0</v>
      </c>
      <c r="AI63" s="1027">
        <f>CAPEX_Tratamento!AI50</f>
        <v>0</v>
      </c>
    </row>
    <row r="64" spans="3:35" s="77" customFormat="1" hidden="1" outlineLevel="1" x14ac:dyDescent="0.35">
      <c r="C64" s="1024"/>
      <c r="D64" s="1025" t="s">
        <v>6</v>
      </c>
      <c r="E64" s="1026">
        <f t="shared" si="31"/>
        <v>8058006.3914762819</v>
      </c>
      <c r="F64" s="1033">
        <f>CAPEX_Tratamento!F51</f>
        <v>3681285.6214307696</v>
      </c>
      <c r="G64" s="1027">
        <f>CAPEX_Tratamento!G51</f>
        <v>3591288.7253906308</v>
      </c>
      <c r="H64" s="1027">
        <f>CAPEX_Tratamento!H51</f>
        <v>0</v>
      </c>
      <c r="I64" s="1027">
        <f>CAPEX_Tratamento!I51</f>
        <v>0</v>
      </c>
      <c r="J64" s="1027">
        <f>CAPEX_Tratamento!J51</f>
        <v>0</v>
      </c>
      <c r="K64" s="1027">
        <f>CAPEX_Tratamento!K51</f>
        <v>0</v>
      </c>
      <c r="L64" s="1027">
        <f>CAPEX_Tratamento!L51</f>
        <v>0</v>
      </c>
      <c r="M64" s="1027">
        <f>CAPEX_Tratamento!M51</f>
        <v>0</v>
      </c>
      <c r="N64" s="1027">
        <f>CAPEX_Tratamento!N51</f>
        <v>0</v>
      </c>
      <c r="O64" s="1027">
        <f>CAPEX_Tratamento!O51</f>
        <v>302719.126287302</v>
      </c>
      <c r="P64" s="1027">
        <f>CAPEX_Tratamento!P51</f>
        <v>89996.896040139007</v>
      </c>
      <c r="Q64" s="1027">
        <f>CAPEX_Tratamento!Q51</f>
        <v>0</v>
      </c>
      <c r="R64" s="1027">
        <f>CAPEX_Tratamento!R51</f>
        <v>0</v>
      </c>
      <c r="S64" s="1027">
        <f>CAPEX_Tratamento!S51</f>
        <v>0</v>
      </c>
      <c r="T64" s="1027">
        <f>CAPEX_Tratamento!T51</f>
        <v>0</v>
      </c>
      <c r="U64" s="1027">
        <f>CAPEX_Tratamento!U51</f>
        <v>0</v>
      </c>
      <c r="V64" s="1027">
        <f>CAPEX_Tratamento!V51</f>
        <v>0</v>
      </c>
      <c r="W64" s="1027">
        <f>CAPEX_Tratamento!W51</f>
        <v>0</v>
      </c>
      <c r="X64" s="1027">
        <f>CAPEX_Tratamento!X51</f>
        <v>0</v>
      </c>
      <c r="Y64" s="1027">
        <f>CAPEX_Tratamento!Y51</f>
        <v>302719.126287302</v>
      </c>
      <c r="Z64" s="1027">
        <f>CAPEX_Tratamento!Z51</f>
        <v>89996.896040139007</v>
      </c>
      <c r="AA64" s="1027">
        <f>CAPEX_Tratamento!AA51</f>
        <v>0</v>
      </c>
      <c r="AB64" s="1027">
        <f>CAPEX_Tratamento!AB51</f>
        <v>0</v>
      </c>
      <c r="AC64" s="1027">
        <f>CAPEX_Tratamento!AC51</f>
        <v>0</v>
      </c>
      <c r="AD64" s="1027">
        <f>CAPEX_Tratamento!AD51</f>
        <v>0</v>
      </c>
      <c r="AE64" s="1027">
        <f>CAPEX_Tratamento!AE51</f>
        <v>0</v>
      </c>
      <c r="AF64" s="1027">
        <f>CAPEX_Tratamento!AF51</f>
        <v>0</v>
      </c>
      <c r="AG64" s="1027">
        <f>CAPEX_Tratamento!AG51</f>
        <v>0</v>
      </c>
      <c r="AH64" s="1027">
        <f>CAPEX_Tratamento!AH51</f>
        <v>0</v>
      </c>
      <c r="AI64" s="1027">
        <f>CAPEX_Tratamento!AI51</f>
        <v>0</v>
      </c>
    </row>
    <row r="65" spans="3:35" s="77" customFormat="1" hidden="1" outlineLevel="1" x14ac:dyDescent="0.35">
      <c r="C65" s="1024"/>
      <c r="D65" s="1025" t="s">
        <v>7</v>
      </c>
      <c r="E65" s="1026">
        <f t="shared" si="31"/>
        <v>657980.72908384446</v>
      </c>
      <c r="F65" s="1033">
        <f>CAPEX_Tratamento!F52</f>
        <v>300597.30403255788</v>
      </c>
      <c r="G65" s="1027">
        <f>CAPEX_Tratamento!G52</f>
        <v>293248.56038618746</v>
      </c>
      <c r="H65" s="1027">
        <f>CAPEX_Tratamento!H52</f>
        <v>0</v>
      </c>
      <c r="I65" s="1027">
        <f>CAPEX_Tratamento!I52</f>
        <v>0</v>
      </c>
      <c r="J65" s="1027">
        <f>CAPEX_Tratamento!J52</f>
        <v>0</v>
      </c>
      <c r="K65" s="1027">
        <f>CAPEX_Tratamento!K52</f>
        <v>0</v>
      </c>
      <c r="L65" s="1027">
        <f>CAPEX_Tratamento!L52</f>
        <v>0</v>
      </c>
      <c r="M65" s="1027">
        <f>CAPEX_Tratamento!M52</f>
        <v>0</v>
      </c>
      <c r="N65" s="1027">
        <f>CAPEX_Tratamento!N52</f>
        <v>0</v>
      </c>
      <c r="O65" s="1027">
        <f>CAPEX_Tratamento!O52</f>
        <v>24718.688686179059</v>
      </c>
      <c r="P65" s="1027">
        <f>CAPEX_Tratamento!P52</f>
        <v>7348.7436463704253</v>
      </c>
      <c r="Q65" s="1027">
        <f>CAPEX_Tratamento!Q52</f>
        <v>0</v>
      </c>
      <c r="R65" s="1027">
        <f>CAPEX_Tratamento!R52</f>
        <v>0</v>
      </c>
      <c r="S65" s="1027">
        <f>CAPEX_Tratamento!S52</f>
        <v>0</v>
      </c>
      <c r="T65" s="1027">
        <f>CAPEX_Tratamento!T52</f>
        <v>0</v>
      </c>
      <c r="U65" s="1027">
        <f>CAPEX_Tratamento!U52</f>
        <v>0</v>
      </c>
      <c r="V65" s="1027">
        <f>CAPEX_Tratamento!V52</f>
        <v>0</v>
      </c>
      <c r="W65" s="1027">
        <f>CAPEX_Tratamento!W52</f>
        <v>0</v>
      </c>
      <c r="X65" s="1027">
        <f>CAPEX_Tratamento!X52</f>
        <v>0</v>
      </c>
      <c r="Y65" s="1027">
        <f>CAPEX_Tratamento!Y52</f>
        <v>24718.688686179059</v>
      </c>
      <c r="Z65" s="1027">
        <f>CAPEX_Tratamento!Z52</f>
        <v>7348.7436463704253</v>
      </c>
      <c r="AA65" s="1027">
        <f>CAPEX_Tratamento!AA52</f>
        <v>0</v>
      </c>
      <c r="AB65" s="1027">
        <f>CAPEX_Tratamento!AB52</f>
        <v>0</v>
      </c>
      <c r="AC65" s="1027">
        <f>CAPEX_Tratamento!AC52</f>
        <v>0</v>
      </c>
      <c r="AD65" s="1027">
        <f>CAPEX_Tratamento!AD52</f>
        <v>0</v>
      </c>
      <c r="AE65" s="1027">
        <f>CAPEX_Tratamento!AE52</f>
        <v>0</v>
      </c>
      <c r="AF65" s="1027">
        <f>CAPEX_Tratamento!AF52</f>
        <v>0</v>
      </c>
      <c r="AG65" s="1027">
        <f>CAPEX_Tratamento!AG52</f>
        <v>0</v>
      </c>
      <c r="AH65" s="1027">
        <f>CAPEX_Tratamento!AH52</f>
        <v>0</v>
      </c>
      <c r="AI65" s="1027">
        <f>CAPEX_Tratamento!AI52</f>
        <v>0</v>
      </c>
    </row>
    <row r="66" spans="3:35" s="77" customFormat="1" hidden="1" outlineLevel="1" x14ac:dyDescent="0.35">
      <c r="C66" s="1024"/>
      <c r="D66" s="1025" t="s">
        <v>8</v>
      </c>
      <c r="E66" s="1026">
        <f t="shared" si="31"/>
        <v>599454.78452401422</v>
      </c>
      <c r="F66" s="1033">
        <f>CAPEX_Tratamento!F53</f>
        <v>273859.83229058213</v>
      </c>
      <c r="G66" s="1027">
        <f>CAPEX_Tratamento!G53</f>
        <v>267164.74329429655</v>
      </c>
      <c r="H66" s="1027">
        <f>CAPEX_Tratamento!H53</f>
        <v>0</v>
      </c>
      <c r="I66" s="1027">
        <f>CAPEX_Tratamento!I53</f>
        <v>0</v>
      </c>
      <c r="J66" s="1027">
        <f>CAPEX_Tratamento!J53</f>
        <v>0</v>
      </c>
      <c r="K66" s="1027">
        <f>CAPEX_Tratamento!K53</f>
        <v>0</v>
      </c>
      <c r="L66" s="1027">
        <f>CAPEX_Tratamento!L53</f>
        <v>0</v>
      </c>
      <c r="M66" s="1027">
        <f>CAPEX_Tratamento!M53</f>
        <v>0</v>
      </c>
      <c r="N66" s="1027">
        <f>CAPEX_Tratamento!N53</f>
        <v>0</v>
      </c>
      <c r="O66" s="1027">
        <f>CAPEX_Tratamento!O53</f>
        <v>22520.015473282165</v>
      </c>
      <c r="P66" s="1027">
        <f>CAPEX_Tratamento!P53</f>
        <v>6695.0889962855672</v>
      </c>
      <c r="Q66" s="1027">
        <f>CAPEX_Tratamento!Q53</f>
        <v>0</v>
      </c>
      <c r="R66" s="1027">
        <f>CAPEX_Tratamento!R53</f>
        <v>0</v>
      </c>
      <c r="S66" s="1027">
        <f>CAPEX_Tratamento!S53</f>
        <v>0</v>
      </c>
      <c r="T66" s="1027">
        <f>CAPEX_Tratamento!T53</f>
        <v>0</v>
      </c>
      <c r="U66" s="1027">
        <f>CAPEX_Tratamento!U53</f>
        <v>0</v>
      </c>
      <c r="V66" s="1027">
        <f>CAPEX_Tratamento!V53</f>
        <v>0</v>
      </c>
      <c r="W66" s="1027">
        <f>CAPEX_Tratamento!W53</f>
        <v>0</v>
      </c>
      <c r="X66" s="1027">
        <f>CAPEX_Tratamento!X53</f>
        <v>0</v>
      </c>
      <c r="Y66" s="1027">
        <f>CAPEX_Tratamento!Y53</f>
        <v>22520.015473282165</v>
      </c>
      <c r="Z66" s="1027">
        <f>CAPEX_Tratamento!Z53</f>
        <v>6695.0889962855672</v>
      </c>
      <c r="AA66" s="1027">
        <f>CAPEX_Tratamento!AA53</f>
        <v>0</v>
      </c>
      <c r="AB66" s="1027">
        <f>CAPEX_Tratamento!AB53</f>
        <v>0</v>
      </c>
      <c r="AC66" s="1027">
        <f>CAPEX_Tratamento!AC53</f>
        <v>0</v>
      </c>
      <c r="AD66" s="1027">
        <f>CAPEX_Tratamento!AD53</f>
        <v>0</v>
      </c>
      <c r="AE66" s="1027">
        <f>CAPEX_Tratamento!AE53</f>
        <v>0</v>
      </c>
      <c r="AF66" s="1027">
        <f>CAPEX_Tratamento!AF53</f>
        <v>0</v>
      </c>
      <c r="AG66" s="1027">
        <f>CAPEX_Tratamento!AG53</f>
        <v>0</v>
      </c>
      <c r="AH66" s="1027">
        <f>CAPEX_Tratamento!AH53</f>
        <v>0</v>
      </c>
      <c r="AI66" s="1027">
        <f>CAPEX_Tratamento!AI53</f>
        <v>0</v>
      </c>
    </row>
    <row r="67" spans="3:35" s="77" customFormat="1" hidden="1" outlineLevel="1" x14ac:dyDescent="0.35">
      <c r="C67" s="1024"/>
      <c r="D67" s="1025" t="s">
        <v>9</v>
      </c>
      <c r="E67" s="1026">
        <f t="shared" si="31"/>
        <v>491873.14392909897</v>
      </c>
      <c r="F67" s="1033">
        <f>CAPEX_Tratamento!F54</f>
        <v>224711.35468811684</v>
      </c>
      <c r="G67" s="1027">
        <f>CAPEX_Tratamento!G54</f>
        <v>219217.80528538261</v>
      </c>
      <c r="H67" s="1027">
        <f>CAPEX_Tratamento!H54</f>
        <v>0</v>
      </c>
      <c r="I67" s="1027">
        <f>CAPEX_Tratamento!I54</f>
        <v>0</v>
      </c>
      <c r="J67" s="1027">
        <f>CAPEX_Tratamento!J54</f>
        <v>0</v>
      </c>
      <c r="K67" s="1027">
        <f>CAPEX_Tratamento!K54</f>
        <v>0</v>
      </c>
      <c r="L67" s="1027">
        <f>CAPEX_Tratamento!L54</f>
        <v>0</v>
      </c>
      <c r="M67" s="1027">
        <f>CAPEX_Tratamento!M54</f>
        <v>0</v>
      </c>
      <c r="N67" s="1027">
        <f>CAPEX_Tratamento!N54</f>
        <v>0</v>
      </c>
      <c r="O67" s="1027">
        <f>CAPEX_Tratamento!O54</f>
        <v>18478.442575065492</v>
      </c>
      <c r="P67" s="1027">
        <f>CAPEX_Tratamento!P54</f>
        <v>5493.5494027342693</v>
      </c>
      <c r="Q67" s="1027">
        <f>CAPEX_Tratamento!Q54</f>
        <v>0</v>
      </c>
      <c r="R67" s="1027">
        <f>CAPEX_Tratamento!R54</f>
        <v>0</v>
      </c>
      <c r="S67" s="1027">
        <f>CAPEX_Tratamento!S54</f>
        <v>0</v>
      </c>
      <c r="T67" s="1027">
        <f>CAPEX_Tratamento!T54</f>
        <v>0</v>
      </c>
      <c r="U67" s="1027">
        <f>CAPEX_Tratamento!U54</f>
        <v>0</v>
      </c>
      <c r="V67" s="1027">
        <f>CAPEX_Tratamento!V54</f>
        <v>0</v>
      </c>
      <c r="W67" s="1027">
        <f>CAPEX_Tratamento!W54</f>
        <v>0</v>
      </c>
      <c r="X67" s="1027">
        <f>CAPEX_Tratamento!X54</f>
        <v>0</v>
      </c>
      <c r="Y67" s="1027">
        <f>CAPEX_Tratamento!Y54</f>
        <v>18478.442575065492</v>
      </c>
      <c r="Z67" s="1027">
        <f>CAPEX_Tratamento!Z54</f>
        <v>5493.5494027342693</v>
      </c>
      <c r="AA67" s="1027">
        <f>CAPEX_Tratamento!AA54</f>
        <v>0</v>
      </c>
      <c r="AB67" s="1027">
        <f>CAPEX_Tratamento!AB54</f>
        <v>0</v>
      </c>
      <c r="AC67" s="1027">
        <f>CAPEX_Tratamento!AC54</f>
        <v>0</v>
      </c>
      <c r="AD67" s="1027">
        <f>CAPEX_Tratamento!AD54</f>
        <v>0</v>
      </c>
      <c r="AE67" s="1027">
        <f>CAPEX_Tratamento!AE54</f>
        <v>0</v>
      </c>
      <c r="AF67" s="1027">
        <f>CAPEX_Tratamento!AF54</f>
        <v>0</v>
      </c>
      <c r="AG67" s="1027">
        <f>CAPEX_Tratamento!AG54</f>
        <v>0</v>
      </c>
      <c r="AH67" s="1027">
        <f>CAPEX_Tratamento!AH54</f>
        <v>0</v>
      </c>
      <c r="AI67" s="1027">
        <f>CAPEX_Tratamento!AI54</f>
        <v>0</v>
      </c>
    </row>
    <row r="68" spans="3:35" s="77" customFormat="1" collapsed="1" x14ac:dyDescent="0.35">
      <c r="C68" s="77" t="s">
        <v>458</v>
      </c>
      <c r="E68" s="489">
        <f t="shared" si="31"/>
        <v>32532767.849999994</v>
      </c>
      <c r="F68" s="490">
        <f>'CAPEX_Disposição Final'!E57</f>
        <v>2418320.36</v>
      </c>
      <c r="G68" s="490">
        <f>'CAPEX_Disposição Final'!F57</f>
        <v>1500000</v>
      </c>
      <c r="H68" s="490">
        <f>'CAPEX_Disposição Final'!G57</f>
        <v>3851822.96</v>
      </c>
      <c r="I68" s="490">
        <f>'CAPEX_Disposição Final'!H57</f>
        <v>2279292.8819999998</v>
      </c>
      <c r="J68" s="490">
        <f>'CAPEX_Disposição Final'!I57</f>
        <v>0</v>
      </c>
      <c r="K68" s="490">
        <f>'CAPEX_Disposição Final'!J57</f>
        <v>0</v>
      </c>
      <c r="L68" s="490">
        <f>'CAPEX_Disposição Final'!K57</f>
        <v>0</v>
      </c>
      <c r="M68" s="490">
        <f>'CAPEX_Disposição Final'!L57</f>
        <v>0</v>
      </c>
      <c r="N68" s="490">
        <f>'CAPEX_Disposição Final'!M57</f>
        <v>0</v>
      </c>
      <c r="O68" s="490">
        <f>'CAPEX_Disposição Final'!N57</f>
        <v>0</v>
      </c>
      <c r="P68" s="490">
        <f>'CAPEX_Disposição Final'!O57</f>
        <v>13227132.641999999</v>
      </c>
      <c r="Q68" s="490">
        <f>'CAPEX_Disposição Final'!P57</f>
        <v>0</v>
      </c>
      <c r="R68" s="490">
        <f>'CAPEX_Disposição Final'!Q57</f>
        <v>0</v>
      </c>
      <c r="S68" s="490">
        <f>'CAPEX_Disposição Final'!R57</f>
        <v>0</v>
      </c>
      <c r="T68" s="490">
        <f>'CAPEX_Disposição Final'!S57</f>
        <v>0</v>
      </c>
      <c r="U68" s="490">
        <f>'CAPEX_Disposição Final'!T57</f>
        <v>0</v>
      </c>
      <c r="V68" s="490">
        <f>'CAPEX_Disposição Final'!U57</f>
        <v>0</v>
      </c>
      <c r="W68" s="490">
        <f>'CAPEX_Disposição Final'!V57</f>
        <v>2279292.8819999998</v>
      </c>
      <c r="X68" s="490">
        <f>'CAPEX_Disposição Final'!W57</f>
        <v>0</v>
      </c>
      <c r="Y68" s="490">
        <f>'CAPEX_Disposição Final'!X57</f>
        <v>0</v>
      </c>
      <c r="Z68" s="490">
        <f>'CAPEX_Disposição Final'!Y57</f>
        <v>2418320.36</v>
      </c>
      <c r="AA68" s="490">
        <f>'CAPEX_Disposição Final'!Z57</f>
        <v>0</v>
      </c>
      <c r="AB68" s="490">
        <f>'CAPEX_Disposição Final'!AA57</f>
        <v>0</v>
      </c>
      <c r="AC68" s="490">
        <f>'CAPEX_Disposição Final'!AB57</f>
        <v>2279292.8819999998</v>
      </c>
      <c r="AD68" s="490">
        <f>'CAPEX_Disposição Final'!AC57</f>
        <v>0</v>
      </c>
      <c r="AE68" s="490">
        <f>'CAPEX_Disposição Final'!AD57</f>
        <v>0</v>
      </c>
      <c r="AF68" s="490">
        <f>'CAPEX_Disposição Final'!AE57</f>
        <v>0</v>
      </c>
      <c r="AG68" s="490">
        <f>'CAPEX_Disposição Final'!AF57</f>
        <v>0</v>
      </c>
      <c r="AH68" s="490">
        <f>'CAPEX_Disposição Final'!AG57</f>
        <v>0</v>
      </c>
      <c r="AI68" s="490">
        <f>'CAPEX_Disposição Final'!AH57</f>
        <v>2279292.8819999998</v>
      </c>
    </row>
    <row r="69" spans="3:35" s="77" customFormat="1" hidden="1" outlineLevel="1" x14ac:dyDescent="0.35">
      <c r="C69" s="1020"/>
      <c r="D69" s="1021" t="s">
        <v>1</v>
      </c>
      <c r="E69" s="1022">
        <f t="shared" si="31"/>
        <v>222106.84705378869</v>
      </c>
      <c r="F69" s="1032">
        <f>'CAPEX_Disposição Final'!E62</f>
        <v>16510.292416622127</v>
      </c>
      <c r="G69" s="1023">
        <f>'CAPEX_Disposição Final'!F62</f>
        <v>10240.760088929323</v>
      </c>
      <c r="H69" s="1023">
        <f>'CAPEX_Disposição Final'!G62</f>
        <v>26297.063225593072</v>
      </c>
      <c r="I69" s="1023">
        <f>'CAPEX_Disposição Final'!H62</f>
        <v>15561.127717977526</v>
      </c>
      <c r="J69" s="1023">
        <f>'CAPEX_Disposição Final'!I62</f>
        <v>0</v>
      </c>
      <c r="K69" s="1023">
        <f>'CAPEX_Disposição Final'!J62</f>
        <v>0</v>
      </c>
      <c r="L69" s="1023">
        <f>'CAPEX_Disposição Final'!K62</f>
        <v>0</v>
      </c>
      <c r="M69" s="1023">
        <f>'CAPEX_Disposição Final'!L62</f>
        <v>0</v>
      </c>
      <c r="N69" s="1023">
        <f>'CAPEX_Disposição Final'!M62</f>
        <v>0</v>
      </c>
      <c r="O69" s="1023">
        <f>'CAPEX_Disposição Final'!N62</f>
        <v>0</v>
      </c>
      <c r="P69" s="1023">
        <f>'CAPEX_Disposição Final'!O62</f>
        <v>90303.928034111901</v>
      </c>
      <c r="Q69" s="1023">
        <f>'CAPEX_Disposição Final'!P62</f>
        <v>0</v>
      </c>
      <c r="R69" s="1023">
        <f>'CAPEX_Disposição Final'!Q62</f>
        <v>0</v>
      </c>
      <c r="S69" s="1023">
        <f>'CAPEX_Disposição Final'!R62</f>
        <v>0</v>
      </c>
      <c r="T69" s="1023">
        <f>'CAPEX_Disposição Final'!S62</f>
        <v>0</v>
      </c>
      <c r="U69" s="1023">
        <f>'CAPEX_Disposição Final'!T62</f>
        <v>0</v>
      </c>
      <c r="V69" s="1023">
        <f>'CAPEX_Disposição Final'!U62</f>
        <v>0</v>
      </c>
      <c r="W69" s="1023">
        <f>'CAPEX_Disposição Final'!V62</f>
        <v>15561.127717977526</v>
      </c>
      <c r="X69" s="1023">
        <f>'CAPEX_Disposição Final'!W62</f>
        <v>0</v>
      </c>
      <c r="Y69" s="1023">
        <f>'CAPEX_Disposição Final'!X62</f>
        <v>0</v>
      </c>
      <c r="Z69" s="1023">
        <f>'CAPEX_Disposição Final'!Y62</f>
        <v>16510.292416622127</v>
      </c>
      <c r="AA69" s="1023">
        <f>'CAPEX_Disposição Final'!Z62</f>
        <v>0</v>
      </c>
      <c r="AB69" s="1023">
        <f>'CAPEX_Disposição Final'!AA62</f>
        <v>0</v>
      </c>
      <c r="AC69" s="1023">
        <f>'CAPEX_Disposição Final'!AB62</f>
        <v>15561.127717977526</v>
      </c>
      <c r="AD69" s="1023">
        <f>'CAPEX_Disposição Final'!AC62</f>
        <v>0</v>
      </c>
      <c r="AE69" s="1023">
        <f>'CAPEX_Disposição Final'!AD62</f>
        <v>0</v>
      </c>
      <c r="AF69" s="1023">
        <f>'CAPEX_Disposição Final'!AE62</f>
        <v>0</v>
      </c>
      <c r="AG69" s="1023">
        <f>'CAPEX_Disposição Final'!AF62</f>
        <v>0</v>
      </c>
      <c r="AH69" s="1023">
        <f>'CAPEX_Disposição Final'!AG62</f>
        <v>0</v>
      </c>
      <c r="AI69" s="1023">
        <f>'CAPEX_Disposição Final'!AH62</f>
        <v>15561.127717977526</v>
      </c>
    </row>
    <row r="70" spans="3:35" s="77" customFormat="1" hidden="1" outlineLevel="1" x14ac:dyDescent="0.35">
      <c r="C70" s="1024"/>
      <c r="D70" s="1025" t="s">
        <v>2</v>
      </c>
      <c r="E70" s="1026">
        <f t="shared" ref="E70:E87" si="34">SUM(F70:AI70)</f>
        <v>2812903.6891338173</v>
      </c>
      <c r="F70" s="1033">
        <f>'CAPEX_Disposição Final'!E63</f>
        <v>209096.94169017411</v>
      </c>
      <c r="G70" s="1027">
        <f>'CAPEX_Disposição Final'!F63</f>
        <v>129695.55966326197</v>
      </c>
      <c r="H70" s="1027">
        <f>'CAPEX_Disposição Final'!G63</f>
        <v>333042.88968066819</v>
      </c>
      <c r="I70" s="1027">
        <f>'CAPEX_Disposição Final'!H63</f>
        <v>197076.11064498618</v>
      </c>
      <c r="J70" s="1027">
        <f>'CAPEX_Disposição Final'!I63</f>
        <v>0</v>
      </c>
      <c r="K70" s="1027">
        <f>'CAPEX_Disposição Final'!J63</f>
        <v>0</v>
      </c>
      <c r="L70" s="1027">
        <f>'CAPEX_Disposição Final'!K63</f>
        <v>0</v>
      </c>
      <c r="M70" s="1027">
        <f>'CAPEX_Disposição Final'!L63</f>
        <v>0</v>
      </c>
      <c r="N70" s="1027">
        <f>'CAPEX_Disposição Final'!M63</f>
        <v>0</v>
      </c>
      <c r="O70" s="1027">
        <f>'CAPEX_Disposição Final'!N63</f>
        <v>0</v>
      </c>
      <c r="P70" s="1027">
        <f>'CAPEX_Disposição Final'!O63</f>
        <v>1143666.9138295939</v>
      </c>
      <c r="Q70" s="1027">
        <f>'CAPEX_Disposição Final'!P63</f>
        <v>0</v>
      </c>
      <c r="R70" s="1027">
        <f>'CAPEX_Disposição Final'!Q63</f>
        <v>0</v>
      </c>
      <c r="S70" s="1027">
        <f>'CAPEX_Disposição Final'!R63</f>
        <v>0</v>
      </c>
      <c r="T70" s="1027">
        <f>'CAPEX_Disposição Final'!S63</f>
        <v>0</v>
      </c>
      <c r="U70" s="1027">
        <f>'CAPEX_Disposição Final'!T63</f>
        <v>0</v>
      </c>
      <c r="V70" s="1027">
        <f>'CAPEX_Disposição Final'!U63</f>
        <v>0</v>
      </c>
      <c r="W70" s="1027">
        <f>'CAPEX_Disposição Final'!V63</f>
        <v>197076.11064498618</v>
      </c>
      <c r="X70" s="1027">
        <f>'CAPEX_Disposição Final'!W63</f>
        <v>0</v>
      </c>
      <c r="Y70" s="1027">
        <f>'CAPEX_Disposição Final'!X63</f>
        <v>0</v>
      </c>
      <c r="Z70" s="1027">
        <f>'CAPEX_Disposição Final'!Y63</f>
        <v>209096.94169017411</v>
      </c>
      <c r="AA70" s="1027">
        <f>'CAPEX_Disposição Final'!Z63</f>
        <v>0</v>
      </c>
      <c r="AB70" s="1027">
        <f>'CAPEX_Disposição Final'!AA63</f>
        <v>0</v>
      </c>
      <c r="AC70" s="1027">
        <f>'CAPEX_Disposição Final'!AB63</f>
        <v>197076.11064498618</v>
      </c>
      <c r="AD70" s="1027">
        <f>'CAPEX_Disposição Final'!AC63</f>
        <v>0</v>
      </c>
      <c r="AE70" s="1027">
        <f>'CAPEX_Disposição Final'!AD63</f>
        <v>0</v>
      </c>
      <c r="AF70" s="1027">
        <f>'CAPEX_Disposição Final'!AE63</f>
        <v>0</v>
      </c>
      <c r="AG70" s="1027">
        <f>'CAPEX_Disposição Final'!AF63</f>
        <v>0</v>
      </c>
      <c r="AH70" s="1027">
        <f>'CAPEX_Disposição Final'!AG63</f>
        <v>0</v>
      </c>
      <c r="AI70" s="1027">
        <f>'CAPEX_Disposição Final'!AH63</f>
        <v>197076.11064498618</v>
      </c>
    </row>
    <row r="71" spans="3:35" s="77" customFormat="1" hidden="1" outlineLevel="1" x14ac:dyDescent="0.35">
      <c r="C71" s="1024"/>
      <c r="D71" s="1025" t="s">
        <v>3</v>
      </c>
      <c r="E71" s="1026">
        <f t="shared" si="34"/>
        <v>336968.16751191783</v>
      </c>
      <c r="F71" s="1033">
        <f>'CAPEX_Disposição Final'!E64</f>
        <v>25048.49829941419</v>
      </c>
      <c r="G71" s="1027">
        <f>'CAPEX_Disposição Final'!F64</f>
        <v>15536.712203473855</v>
      </c>
      <c r="H71" s="1027">
        <f>'CAPEX_Disposição Final'!G64</f>
        <v>39896.443192168525</v>
      </c>
      <c r="I71" s="1027">
        <f>'CAPEX_Disposição Final'!H64</f>
        <v>23608.478356706994</v>
      </c>
      <c r="J71" s="1027">
        <f>'CAPEX_Disposição Final'!I64</f>
        <v>0</v>
      </c>
      <c r="K71" s="1027">
        <f>'CAPEX_Disposição Final'!J64</f>
        <v>0</v>
      </c>
      <c r="L71" s="1027">
        <f>'CAPEX_Disposição Final'!K64</f>
        <v>0</v>
      </c>
      <c r="M71" s="1027">
        <f>'CAPEX_Disposição Final'!L64</f>
        <v>0</v>
      </c>
      <c r="N71" s="1027">
        <f>'CAPEX_Disposição Final'!M64</f>
        <v>0</v>
      </c>
      <c r="O71" s="1027">
        <f>'CAPEX_Disposição Final'!N64</f>
        <v>0</v>
      </c>
      <c r="P71" s="1027">
        <f>'CAPEX_Disposição Final'!O64</f>
        <v>137004.10209061916</v>
      </c>
      <c r="Q71" s="1027">
        <f>'CAPEX_Disposição Final'!P64</f>
        <v>0</v>
      </c>
      <c r="R71" s="1027">
        <f>'CAPEX_Disposição Final'!Q64</f>
        <v>0</v>
      </c>
      <c r="S71" s="1027">
        <f>'CAPEX_Disposição Final'!R64</f>
        <v>0</v>
      </c>
      <c r="T71" s="1027">
        <f>'CAPEX_Disposição Final'!S64</f>
        <v>0</v>
      </c>
      <c r="U71" s="1027">
        <f>'CAPEX_Disposição Final'!T64</f>
        <v>0</v>
      </c>
      <c r="V71" s="1027">
        <f>'CAPEX_Disposição Final'!U64</f>
        <v>0</v>
      </c>
      <c r="W71" s="1027">
        <f>'CAPEX_Disposição Final'!V64</f>
        <v>23608.478356706994</v>
      </c>
      <c r="X71" s="1027">
        <f>'CAPEX_Disposição Final'!W64</f>
        <v>0</v>
      </c>
      <c r="Y71" s="1027">
        <f>'CAPEX_Disposição Final'!X64</f>
        <v>0</v>
      </c>
      <c r="Z71" s="1027">
        <f>'CAPEX_Disposição Final'!Y64</f>
        <v>25048.49829941419</v>
      </c>
      <c r="AA71" s="1027">
        <f>'CAPEX_Disposição Final'!Z64</f>
        <v>0</v>
      </c>
      <c r="AB71" s="1027">
        <f>'CAPEX_Disposição Final'!AA64</f>
        <v>0</v>
      </c>
      <c r="AC71" s="1027">
        <f>'CAPEX_Disposição Final'!AB64</f>
        <v>23608.478356706994</v>
      </c>
      <c r="AD71" s="1027">
        <f>'CAPEX_Disposição Final'!AC64</f>
        <v>0</v>
      </c>
      <c r="AE71" s="1027">
        <f>'CAPEX_Disposição Final'!AD64</f>
        <v>0</v>
      </c>
      <c r="AF71" s="1027">
        <f>'CAPEX_Disposição Final'!AE64</f>
        <v>0</v>
      </c>
      <c r="AG71" s="1027">
        <f>'CAPEX_Disposição Final'!AF64</f>
        <v>0</v>
      </c>
      <c r="AH71" s="1027">
        <f>'CAPEX_Disposição Final'!AG64</f>
        <v>0</v>
      </c>
      <c r="AI71" s="1027">
        <f>'CAPEX_Disposição Final'!AH64</f>
        <v>23608.478356706994</v>
      </c>
    </row>
    <row r="72" spans="3:35" s="77" customFormat="1" hidden="1" outlineLevel="1" x14ac:dyDescent="0.35">
      <c r="C72" s="1024"/>
      <c r="D72" s="1025" t="s">
        <v>4</v>
      </c>
      <c r="E72" s="1026">
        <f t="shared" si="34"/>
        <v>899118.86999668845</v>
      </c>
      <c r="F72" s="1033">
        <f>'CAPEX_Disposição Final'!E65</f>
        <v>66835.919999139733</v>
      </c>
      <c r="G72" s="1027">
        <f>'CAPEX_Disposição Final'!F65</f>
        <v>41455.996342316532</v>
      </c>
      <c r="H72" s="1027">
        <f>'CAPEX_Disposição Final'!G65</f>
        <v>106454.10569400722</v>
      </c>
      <c r="I72" s="1027">
        <f>'CAPEX_Disposição Final'!H65</f>
        <v>62993.571586173399</v>
      </c>
      <c r="J72" s="1027">
        <f>'CAPEX_Disposição Final'!I65</f>
        <v>0</v>
      </c>
      <c r="K72" s="1027">
        <f>'CAPEX_Disposição Final'!J65</f>
        <v>0</v>
      </c>
      <c r="L72" s="1027">
        <f>'CAPEX_Disposição Final'!K65</f>
        <v>0</v>
      </c>
      <c r="M72" s="1027">
        <f>'CAPEX_Disposição Final'!L65</f>
        <v>0</v>
      </c>
      <c r="N72" s="1027">
        <f>'CAPEX_Disposição Final'!M65</f>
        <v>0</v>
      </c>
      <c r="O72" s="1027">
        <f>'CAPEX_Disposição Final'!N65</f>
        <v>0</v>
      </c>
      <c r="P72" s="1027">
        <f>'CAPEX_Disposição Final'!O65</f>
        <v>365562.64161739172</v>
      </c>
      <c r="Q72" s="1027">
        <f>'CAPEX_Disposição Final'!P65</f>
        <v>0</v>
      </c>
      <c r="R72" s="1027">
        <f>'CAPEX_Disposição Final'!Q65</f>
        <v>0</v>
      </c>
      <c r="S72" s="1027">
        <f>'CAPEX_Disposição Final'!R65</f>
        <v>0</v>
      </c>
      <c r="T72" s="1027">
        <f>'CAPEX_Disposição Final'!S65</f>
        <v>0</v>
      </c>
      <c r="U72" s="1027">
        <f>'CAPEX_Disposição Final'!T65</f>
        <v>0</v>
      </c>
      <c r="V72" s="1027">
        <f>'CAPEX_Disposição Final'!U65</f>
        <v>0</v>
      </c>
      <c r="W72" s="1027">
        <f>'CAPEX_Disposição Final'!V65</f>
        <v>62993.571586173399</v>
      </c>
      <c r="X72" s="1027">
        <f>'CAPEX_Disposição Final'!W65</f>
        <v>0</v>
      </c>
      <c r="Y72" s="1027">
        <f>'CAPEX_Disposição Final'!X65</f>
        <v>0</v>
      </c>
      <c r="Z72" s="1027">
        <f>'CAPEX_Disposição Final'!Y65</f>
        <v>66835.919999139733</v>
      </c>
      <c r="AA72" s="1027">
        <f>'CAPEX_Disposição Final'!Z65</f>
        <v>0</v>
      </c>
      <c r="AB72" s="1027">
        <f>'CAPEX_Disposição Final'!AA65</f>
        <v>0</v>
      </c>
      <c r="AC72" s="1027">
        <f>'CAPEX_Disposição Final'!AB65</f>
        <v>62993.571586173399</v>
      </c>
      <c r="AD72" s="1027">
        <f>'CAPEX_Disposição Final'!AC65</f>
        <v>0</v>
      </c>
      <c r="AE72" s="1027">
        <f>'CAPEX_Disposição Final'!AD65</f>
        <v>0</v>
      </c>
      <c r="AF72" s="1027">
        <f>'CAPEX_Disposição Final'!AE65</f>
        <v>0</v>
      </c>
      <c r="AG72" s="1027">
        <f>'CAPEX_Disposição Final'!AF65</f>
        <v>0</v>
      </c>
      <c r="AH72" s="1027">
        <f>'CAPEX_Disposição Final'!AG65</f>
        <v>0</v>
      </c>
      <c r="AI72" s="1027">
        <f>'CAPEX_Disposição Final'!AH65</f>
        <v>62993.571586173399</v>
      </c>
    </row>
    <row r="73" spans="3:35" s="77" customFormat="1" hidden="1" outlineLevel="1" x14ac:dyDescent="0.35">
      <c r="C73" s="1024"/>
      <c r="D73" s="1025" t="s">
        <v>5</v>
      </c>
      <c r="E73" s="1026">
        <f t="shared" si="34"/>
        <v>1952721.1177776742</v>
      </c>
      <c r="F73" s="1033">
        <f>'CAPEX_Disposição Final'!E66</f>
        <v>145155.3479340279</v>
      </c>
      <c r="G73" s="1027">
        <f>'CAPEX_Disposição Final'!F66</f>
        <v>90034.813212688605</v>
      </c>
      <c r="H73" s="1027">
        <f>'CAPEX_Disposição Final'!G66</f>
        <v>231198.7738212969</v>
      </c>
      <c r="I73" s="1027">
        <f>'CAPEX_Disposição Final'!H66</f>
        <v>136810.47259192044</v>
      </c>
      <c r="J73" s="1027">
        <f>'CAPEX_Disposição Final'!I66</f>
        <v>0</v>
      </c>
      <c r="K73" s="1027">
        <f>'CAPEX_Disposição Final'!J66</f>
        <v>0</v>
      </c>
      <c r="L73" s="1027">
        <f>'CAPEX_Disposição Final'!K66</f>
        <v>0</v>
      </c>
      <c r="M73" s="1027">
        <f>'CAPEX_Disposição Final'!L66</f>
        <v>0</v>
      </c>
      <c r="N73" s="1027">
        <f>'CAPEX_Disposição Final'!M66</f>
        <v>0</v>
      </c>
      <c r="O73" s="1027">
        <f>'CAPEX_Disposição Final'!N66</f>
        <v>0</v>
      </c>
      <c r="P73" s="1027">
        <f>'CAPEX_Disposição Final'!O66</f>
        <v>793934.94450795092</v>
      </c>
      <c r="Q73" s="1027">
        <f>'CAPEX_Disposição Final'!P66</f>
        <v>0</v>
      </c>
      <c r="R73" s="1027">
        <f>'CAPEX_Disposição Final'!Q66</f>
        <v>0</v>
      </c>
      <c r="S73" s="1027">
        <f>'CAPEX_Disposição Final'!R66</f>
        <v>0</v>
      </c>
      <c r="T73" s="1027">
        <f>'CAPEX_Disposição Final'!S66</f>
        <v>0</v>
      </c>
      <c r="U73" s="1027">
        <f>'CAPEX_Disposição Final'!T66</f>
        <v>0</v>
      </c>
      <c r="V73" s="1027">
        <f>'CAPEX_Disposição Final'!U66</f>
        <v>0</v>
      </c>
      <c r="W73" s="1027">
        <f>'CAPEX_Disposição Final'!V66</f>
        <v>136810.47259192044</v>
      </c>
      <c r="X73" s="1027">
        <f>'CAPEX_Disposição Final'!W66</f>
        <v>0</v>
      </c>
      <c r="Y73" s="1027">
        <f>'CAPEX_Disposição Final'!X66</f>
        <v>0</v>
      </c>
      <c r="Z73" s="1027">
        <f>'CAPEX_Disposição Final'!Y66</f>
        <v>145155.3479340279</v>
      </c>
      <c r="AA73" s="1027">
        <f>'CAPEX_Disposição Final'!Z66</f>
        <v>0</v>
      </c>
      <c r="AB73" s="1027">
        <f>'CAPEX_Disposição Final'!AA66</f>
        <v>0</v>
      </c>
      <c r="AC73" s="1027">
        <f>'CAPEX_Disposição Final'!AB66</f>
        <v>136810.47259192044</v>
      </c>
      <c r="AD73" s="1027">
        <f>'CAPEX_Disposição Final'!AC66</f>
        <v>0</v>
      </c>
      <c r="AE73" s="1027">
        <f>'CAPEX_Disposição Final'!AD66</f>
        <v>0</v>
      </c>
      <c r="AF73" s="1027">
        <f>'CAPEX_Disposição Final'!AE66</f>
        <v>0</v>
      </c>
      <c r="AG73" s="1027">
        <f>'CAPEX_Disposição Final'!AF66</f>
        <v>0</v>
      </c>
      <c r="AH73" s="1027">
        <f>'CAPEX_Disposição Final'!AG66</f>
        <v>0</v>
      </c>
      <c r="AI73" s="1027">
        <f>'CAPEX_Disposição Final'!AH66</f>
        <v>136810.47259192044</v>
      </c>
    </row>
    <row r="74" spans="3:35" s="77" customFormat="1" hidden="1" outlineLevel="1" x14ac:dyDescent="0.35">
      <c r="C74" s="1024"/>
      <c r="D74" s="1025" t="s">
        <v>6</v>
      </c>
      <c r="E74" s="1026">
        <f t="shared" si="34"/>
        <v>21616281.256688915</v>
      </c>
      <c r="F74" s="1033">
        <f>'CAPEX_Disposição Final'!E67</f>
        <v>1606844.3149861649</v>
      </c>
      <c r="G74" s="1027">
        <f>'CAPEX_Disposição Final'!F67</f>
        <v>996669.63581253879</v>
      </c>
      <c r="H74" s="1027">
        <f>'CAPEX_Disposição Final'!G67</f>
        <v>2559329.9911717167</v>
      </c>
      <c r="I74" s="1027">
        <f>'CAPEX_Disposição Final'!H67</f>
        <v>1514468.0044087011</v>
      </c>
      <c r="J74" s="1027">
        <f>'CAPEX_Disposição Final'!I67</f>
        <v>0</v>
      </c>
      <c r="K74" s="1027">
        <f>'CAPEX_Disposição Final'!J67</f>
        <v>0</v>
      </c>
      <c r="L74" s="1027">
        <f>'CAPEX_Disposição Final'!K67</f>
        <v>0</v>
      </c>
      <c r="M74" s="1027">
        <f>'CAPEX_Disposição Final'!L67</f>
        <v>0</v>
      </c>
      <c r="N74" s="1027">
        <f>'CAPEX_Disposição Final'!M67</f>
        <v>0</v>
      </c>
      <c r="O74" s="1027">
        <f>'CAPEX_Disposição Final'!N67</f>
        <v>0</v>
      </c>
      <c r="P74" s="1027">
        <f>'CAPEX_Disposição Final'!O67</f>
        <v>8788720.9820975214</v>
      </c>
      <c r="Q74" s="1027">
        <f>'CAPEX_Disposição Final'!P67</f>
        <v>0</v>
      </c>
      <c r="R74" s="1027">
        <f>'CAPEX_Disposição Final'!Q67</f>
        <v>0</v>
      </c>
      <c r="S74" s="1027">
        <f>'CAPEX_Disposição Final'!R67</f>
        <v>0</v>
      </c>
      <c r="T74" s="1027">
        <f>'CAPEX_Disposição Final'!S67</f>
        <v>0</v>
      </c>
      <c r="U74" s="1027">
        <f>'CAPEX_Disposição Final'!T67</f>
        <v>0</v>
      </c>
      <c r="V74" s="1027">
        <f>'CAPEX_Disposição Final'!U67</f>
        <v>0</v>
      </c>
      <c r="W74" s="1027">
        <f>'CAPEX_Disposição Final'!V67</f>
        <v>1514468.0044087011</v>
      </c>
      <c r="X74" s="1027">
        <f>'CAPEX_Disposição Final'!W67</f>
        <v>0</v>
      </c>
      <c r="Y74" s="1027">
        <f>'CAPEX_Disposição Final'!X67</f>
        <v>0</v>
      </c>
      <c r="Z74" s="1027">
        <f>'CAPEX_Disposição Final'!Y67</f>
        <v>1606844.3149861649</v>
      </c>
      <c r="AA74" s="1027">
        <f>'CAPEX_Disposição Final'!Z67</f>
        <v>0</v>
      </c>
      <c r="AB74" s="1027">
        <f>'CAPEX_Disposição Final'!AA67</f>
        <v>0</v>
      </c>
      <c r="AC74" s="1027">
        <f>'CAPEX_Disposição Final'!AB67</f>
        <v>1514468.0044087011</v>
      </c>
      <c r="AD74" s="1027">
        <f>'CAPEX_Disposição Final'!AC67</f>
        <v>0</v>
      </c>
      <c r="AE74" s="1027">
        <f>'CAPEX_Disposição Final'!AD67</f>
        <v>0</v>
      </c>
      <c r="AF74" s="1027">
        <f>'CAPEX_Disposição Final'!AE67</f>
        <v>0</v>
      </c>
      <c r="AG74" s="1027">
        <f>'CAPEX_Disposição Final'!AF67</f>
        <v>0</v>
      </c>
      <c r="AH74" s="1027">
        <f>'CAPEX_Disposição Final'!AG67</f>
        <v>0</v>
      </c>
      <c r="AI74" s="1027">
        <f>'CAPEX_Disposição Final'!AH67</f>
        <v>1514468.0044087011</v>
      </c>
    </row>
    <row r="75" spans="3:35" s="77" customFormat="1" hidden="1" outlineLevel="1" x14ac:dyDescent="0.35">
      <c r="C75" s="1024"/>
      <c r="D75" s="1025" t="s">
        <v>7</v>
      </c>
      <c r="E75" s="1026">
        <f t="shared" si="34"/>
        <v>1765088.7589767522</v>
      </c>
      <c r="F75" s="1033">
        <f>'CAPEX_Disposição Final'!E68</f>
        <v>131207.71348819041</v>
      </c>
      <c r="G75" s="1027">
        <f>'CAPEX_Disposição Final'!F68</f>
        <v>81383.580723062521</v>
      </c>
      <c r="H75" s="1027">
        <f>'CAPEX_Disposição Final'!G68</f>
        <v>208983.42986407044</v>
      </c>
      <c r="I75" s="1027">
        <f>'CAPEX_Disposição Final'!H68</f>
        <v>123664.67750249921</v>
      </c>
      <c r="J75" s="1027">
        <f>'CAPEX_Disposição Final'!I68</f>
        <v>0</v>
      </c>
      <c r="K75" s="1027">
        <f>'CAPEX_Disposição Final'!J68</f>
        <v>0</v>
      </c>
      <c r="L75" s="1027">
        <f>'CAPEX_Disposição Final'!K68</f>
        <v>0</v>
      </c>
      <c r="M75" s="1027">
        <f>'CAPEX_Disposição Final'!L68</f>
        <v>0</v>
      </c>
      <c r="N75" s="1027">
        <f>'CAPEX_Disposição Final'!M68</f>
        <v>0</v>
      </c>
      <c r="O75" s="1027">
        <f>'CAPEX_Disposição Final'!N68</f>
        <v>0</v>
      </c>
      <c r="P75" s="1027">
        <f>'CAPEX_Disposição Final'!O68</f>
        <v>717647.61140324152</v>
      </c>
      <c r="Q75" s="1027">
        <f>'CAPEX_Disposição Final'!P68</f>
        <v>0</v>
      </c>
      <c r="R75" s="1027">
        <f>'CAPEX_Disposição Final'!Q68</f>
        <v>0</v>
      </c>
      <c r="S75" s="1027">
        <f>'CAPEX_Disposição Final'!R68</f>
        <v>0</v>
      </c>
      <c r="T75" s="1027">
        <f>'CAPEX_Disposição Final'!S68</f>
        <v>0</v>
      </c>
      <c r="U75" s="1027">
        <f>'CAPEX_Disposição Final'!T68</f>
        <v>0</v>
      </c>
      <c r="V75" s="1027">
        <f>'CAPEX_Disposição Final'!U68</f>
        <v>0</v>
      </c>
      <c r="W75" s="1027">
        <f>'CAPEX_Disposição Final'!V68</f>
        <v>123664.67750249921</v>
      </c>
      <c r="X75" s="1027">
        <f>'CAPEX_Disposição Final'!W68</f>
        <v>0</v>
      </c>
      <c r="Y75" s="1027">
        <f>'CAPEX_Disposição Final'!X68</f>
        <v>0</v>
      </c>
      <c r="Z75" s="1027">
        <f>'CAPEX_Disposição Final'!Y68</f>
        <v>131207.71348819041</v>
      </c>
      <c r="AA75" s="1027">
        <f>'CAPEX_Disposição Final'!Z68</f>
        <v>0</v>
      </c>
      <c r="AB75" s="1027">
        <f>'CAPEX_Disposição Final'!AA68</f>
        <v>0</v>
      </c>
      <c r="AC75" s="1027">
        <f>'CAPEX_Disposição Final'!AB68</f>
        <v>123664.67750249921</v>
      </c>
      <c r="AD75" s="1027">
        <f>'CAPEX_Disposição Final'!AC68</f>
        <v>0</v>
      </c>
      <c r="AE75" s="1027">
        <f>'CAPEX_Disposição Final'!AD68</f>
        <v>0</v>
      </c>
      <c r="AF75" s="1027">
        <f>'CAPEX_Disposição Final'!AE68</f>
        <v>0</v>
      </c>
      <c r="AG75" s="1027">
        <f>'CAPEX_Disposição Final'!AF68</f>
        <v>0</v>
      </c>
      <c r="AH75" s="1027">
        <f>'CAPEX_Disposição Final'!AG68</f>
        <v>0</v>
      </c>
      <c r="AI75" s="1027">
        <f>'CAPEX_Disposição Final'!AH68</f>
        <v>123664.67750249921</v>
      </c>
    </row>
    <row r="76" spans="3:35" s="77" customFormat="1" hidden="1" outlineLevel="1" x14ac:dyDescent="0.35">
      <c r="C76" s="1024"/>
      <c r="D76" s="1025" t="s">
        <v>8</v>
      </c>
      <c r="E76" s="1026">
        <f t="shared" si="34"/>
        <v>1608087.9802535062</v>
      </c>
      <c r="F76" s="1033">
        <f>'CAPEX_Disposição Final'!E69</f>
        <v>119537.07478099904</v>
      </c>
      <c r="G76" s="1027">
        <f>'CAPEX_Disposição Final'!F69</f>
        <v>74144.689486672709</v>
      </c>
      <c r="H76" s="1027">
        <f>'CAPEX_Disposição Final'!G69</f>
        <v>190394.81155122438</v>
      </c>
      <c r="I76" s="1027">
        <f>'CAPEX_Disposição Final'!H69</f>
        <v>112664.97532338221</v>
      </c>
      <c r="J76" s="1027">
        <f>'CAPEX_Disposição Final'!I69</f>
        <v>0</v>
      </c>
      <c r="K76" s="1027">
        <f>'CAPEX_Disposição Final'!J69</f>
        <v>0</v>
      </c>
      <c r="L76" s="1027">
        <f>'CAPEX_Disposição Final'!K69</f>
        <v>0</v>
      </c>
      <c r="M76" s="1027">
        <f>'CAPEX_Disposição Final'!L69</f>
        <v>0</v>
      </c>
      <c r="N76" s="1027">
        <f>'CAPEX_Disposição Final'!M69</f>
        <v>0</v>
      </c>
      <c r="O76" s="1027">
        <f>'CAPEX_Disposição Final'!N69</f>
        <v>0</v>
      </c>
      <c r="P76" s="1027">
        <f>'CAPEX_Disposição Final'!O69</f>
        <v>653814.42836008186</v>
      </c>
      <c r="Q76" s="1027">
        <f>'CAPEX_Disposição Final'!P69</f>
        <v>0</v>
      </c>
      <c r="R76" s="1027">
        <f>'CAPEX_Disposição Final'!Q69</f>
        <v>0</v>
      </c>
      <c r="S76" s="1027">
        <f>'CAPEX_Disposição Final'!R69</f>
        <v>0</v>
      </c>
      <c r="T76" s="1027">
        <f>'CAPEX_Disposição Final'!S69</f>
        <v>0</v>
      </c>
      <c r="U76" s="1027">
        <f>'CAPEX_Disposição Final'!T69</f>
        <v>0</v>
      </c>
      <c r="V76" s="1027">
        <f>'CAPEX_Disposição Final'!U69</f>
        <v>0</v>
      </c>
      <c r="W76" s="1027">
        <f>'CAPEX_Disposição Final'!V69</f>
        <v>112664.97532338221</v>
      </c>
      <c r="X76" s="1027">
        <f>'CAPEX_Disposição Final'!W69</f>
        <v>0</v>
      </c>
      <c r="Y76" s="1027">
        <f>'CAPEX_Disposição Final'!X69</f>
        <v>0</v>
      </c>
      <c r="Z76" s="1027">
        <f>'CAPEX_Disposição Final'!Y69</f>
        <v>119537.07478099904</v>
      </c>
      <c r="AA76" s="1027">
        <f>'CAPEX_Disposição Final'!Z69</f>
        <v>0</v>
      </c>
      <c r="AB76" s="1027">
        <f>'CAPEX_Disposição Final'!AA69</f>
        <v>0</v>
      </c>
      <c r="AC76" s="1027">
        <f>'CAPEX_Disposição Final'!AB69</f>
        <v>112664.97532338221</v>
      </c>
      <c r="AD76" s="1027">
        <f>'CAPEX_Disposição Final'!AC69</f>
        <v>0</v>
      </c>
      <c r="AE76" s="1027">
        <f>'CAPEX_Disposição Final'!AD69</f>
        <v>0</v>
      </c>
      <c r="AF76" s="1027">
        <f>'CAPEX_Disposição Final'!AE69</f>
        <v>0</v>
      </c>
      <c r="AG76" s="1027">
        <f>'CAPEX_Disposição Final'!AF69</f>
        <v>0</v>
      </c>
      <c r="AH76" s="1027">
        <f>'CAPEX_Disposição Final'!AG69</f>
        <v>0</v>
      </c>
      <c r="AI76" s="1027">
        <f>'CAPEX_Disposição Final'!AH69</f>
        <v>112664.97532338221</v>
      </c>
    </row>
    <row r="77" spans="3:35" s="77" customFormat="1" hidden="1" outlineLevel="1" x14ac:dyDescent="0.35">
      <c r="C77" s="1024"/>
      <c r="D77" s="1025" t="s">
        <v>9</v>
      </c>
      <c r="E77" s="1026">
        <f t="shared" si="34"/>
        <v>1319491.1626069446</v>
      </c>
      <c r="F77" s="1033">
        <f>'CAPEX_Disposição Final'!E70</f>
        <v>98084.256405267544</v>
      </c>
      <c r="G77" s="1027">
        <f>'CAPEX_Disposição Final'!F70</f>
        <v>60838.252467055827</v>
      </c>
      <c r="H77" s="1027">
        <f>'CAPEX_Disposição Final'!G70</f>
        <v>156225.45179925484</v>
      </c>
      <c r="I77" s="1027">
        <f>'CAPEX_Disposição Final'!H70</f>
        <v>92445.463867652841</v>
      </c>
      <c r="J77" s="1027">
        <f>'CAPEX_Disposição Final'!I70</f>
        <v>0</v>
      </c>
      <c r="K77" s="1027">
        <f>'CAPEX_Disposição Final'!J70</f>
        <v>0</v>
      </c>
      <c r="L77" s="1027">
        <f>'CAPEX_Disposição Final'!K70</f>
        <v>0</v>
      </c>
      <c r="M77" s="1027">
        <f>'CAPEX_Disposição Final'!L70</f>
        <v>0</v>
      </c>
      <c r="N77" s="1027">
        <f>'CAPEX_Disposição Final'!M70</f>
        <v>0</v>
      </c>
      <c r="O77" s="1027">
        <f>'CAPEX_Disposição Final'!N70</f>
        <v>0</v>
      </c>
      <c r="P77" s="1027">
        <f>'CAPEX_Disposição Final'!O70</f>
        <v>536477.09005948738</v>
      </c>
      <c r="Q77" s="1027">
        <f>'CAPEX_Disposição Final'!P70</f>
        <v>0</v>
      </c>
      <c r="R77" s="1027">
        <f>'CAPEX_Disposição Final'!Q70</f>
        <v>0</v>
      </c>
      <c r="S77" s="1027">
        <f>'CAPEX_Disposição Final'!R70</f>
        <v>0</v>
      </c>
      <c r="T77" s="1027">
        <f>'CAPEX_Disposição Final'!S70</f>
        <v>0</v>
      </c>
      <c r="U77" s="1027">
        <f>'CAPEX_Disposição Final'!T70</f>
        <v>0</v>
      </c>
      <c r="V77" s="1027">
        <f>'CAPEX_Disposição Final'!U70</f>
        <v>0</v>
      </c>
      <c r="W77" s="1027">
        <f>'CAPEX_Disposição Final'!V70</f>
        <v>92445.463867652841</v>
      </c>
      <c r="X77" s="1027">
        <f>'CAPEX_Disposição Final'!W70</f>
        <v>0</v>
      </c>
      <c r="Y77" s="1027">
        <f>'CAPEX_Disposição Final'!X70</f>
        <v>0</v>
      </c>
      <c r="Z77" s="1027">
        <f>'CAPEX_Disposição Final'!Y70</f>
        <v>98084.256405267544</v>
      </c>
      <c r="AA77" s="1027">
        <f>'CAPEX_Disposição Final'!Z70</f>
        <v>0</v>
      </c>
      <c r="AB77" s="1027">
        <f>'CAPEX_Disposição Final'!AA70</f>
        <v>0</v>
      </c>
      <c r="AC77" s="1027">
        <f>'CAPEX_Disposição Final'!AB70</f>
        <v>92445.463867652841</v>
      </c>
      <c r="AD77" s="1027">
        <f>'CAPEX_Disposição Final'!AC70</f>
        <v>0</v>
      </c>
      <c r="AE77" s="1027">
        <f>'CAPEX_Disposição Final'!AD70</f>
        <v>0</v>
      </c>
      <c r="AF77" s="1027">
        <f>'CAPEX_Disposição Final'!AE70</f>
        <v>0</v>
      </c>
      <c r="AG77" s="1027">
        <f>'CAPEX_Disposição Final'!AF70</f>
        <v>0</v>
      </c>
      <c r="AH77" s="1027">
        <f>'CAPEX_Disposição Final'!AG70</f>
        <v>0</v>
      </c>
      <c r="AI77" s="1027">
        <f>'CAPEX_Disposição Final'!AH70</f>
        <v>92445.463867652841</v>
      </c>
    </row>
    <row r="78" spans="3:35" s="77" customFormat="1" collapsed="1" x14ac:dyDescent="0.35">
      <c r="C78" s="77" t="s">
        <v>459</v>
      </c>
      <c r="E78" s="489">
        <f t="shared" si="34"/>
        <v>2392998.3400000008</v>
      </c>
      <c r="F78" s="490">
        <f t="shared" ref="F78:AI78" si="35">SUM(F79:F87)</f>
        <v>1015670.3800000001</v>
      </c>
      <c r="G78" s="490">
        <f t="shared" si="35"/>
        <v>0</v>
      </c>
      <c r="H78" s="490">
        <f t="shared" si="35"/>
        <v>0</v>
      </c>
      <c r="I78" s="490">
        <f t="shared" si="35"/>
        <v>0</v>
      </c>
      <c r="J78" s="490">
        <f t="shared" si="35"/>
        <v>69509.200000000012</v>
      </c>
      <c r="K78" s="490">
        <f t="shared" si="35"/>
        <v>0</v>
      </c>
      <c r="L78" s="490">
        <f t="shared" si="35"/>
        <v>0</v>
      </c>
      <c r="M78" s="490">
        <f t="shared" si="35"/>
        <v>0</v>
      </c>
      <c r="N78" s="490">
        <f t="shared" si="35"/>
        <v>0</v>
      </c>
      <c r="O78" s="490">
        <f t="shared" si="35"/>
        <v>549645.58000000007</v>
      </c>
      <c r="P78" s="490">
        <f t="shared" si="35"/>
        <v>0</v>
      </c>
      <c r="Q78" s="490">
        <f t="shared" si="35"/>
        <v>0</v>
      </c>
      <c r="R78" s="490">
        <f t="shared" si="35"/>
        <v>0</v>
      </c>
      <c r="S78" s="490">
        <f t="shared" si="35"/>
        <v>0</v>
      </c>
      <c r="T78" s="490">
        <f t="shared" si="35"/>
        <v>69509.200000000012</v>
      </c>
      <c r="U78" s="490">
        <f t="shared" si="35"/>
        <v>0</v>
      </c>
      <c r="V78" s="490">
        <f t="shared" si="35"/>
        <v>0</v>
      </c>
      <c r="W78" s="490">
        <f t="shared" si="35"/>
        <v>0</v>
      </c>
      <c r="X78" s="490">
        <f t="shared" si="35"/>
        <v>0</v>
      </c>
      <c r="Y78" s="490">
        <f t="shared" si="35"/>
        <v>549645.58000000007</v>
      </c>
      <c r="Z78" s="490">
        <f t="shared" si="35"/>
        <v>0</v>
      </c>
      <c r="AA78" s="490">
        <f t="shared" si="35"/>
        <v>0</v>
      </c>
      <c r="AB78" s="490">
        <f t="shared" si="35"/>
        <v>0</v>
      </c>
      <c r="AC78" s="490">
        <f t="shared" si="35"/>
        <v>0</v>
      </c>
      <c r="AD78" s="490">
        <f t="shared" si="35"/>
        <v>69509.200000000012</v>
      </c>
      <c r="AE78" s="490">
        <f t="shared" si="35"/>
        <v>0</v>
      </c>
      <c r="AF78" s="490">
        <f t="shared" si="35"/>
        <v>0</v>
      </c>
      <c r="AG78" s="490">
        <f t="shared" si="35"/>
        <v>0</v>
      </c>
      <c r="AH78" s="490">
        <f t="shared" si="35"/>
        <v>0</v>
      </c>
      <c r="AI78" s="490">
        <f t="shared" si="35"/>
        <v>69509.200000000012</v>
      </c>
    </row>
    <row r="79" spans="3:35" s="77" customFormat="1" hidden="1" outlineLevel="1" x14ac:dyDescent="0.35">
      <c r="C79" s="1020"/>
      <c r="D79" s="1021" t="s">
        <v>1</v>
      </c>
      <c r="E79" s="1022">
        <f t="shared" si="34"/>
        <v>16337.414595430746</v>
      </c>
      <c r="F79" s="1032">
        <f>'CAPEX_Inclusão Catador'!E53</f>
        <v>6934.1577940077859</v>
      </c>
      <c r="G79" s="1023">
        <f>'CAPEX_Inclusão Catador'!F53</f>
        <v>0</v>
      </c>
      <c r="H79" s="1023">
        <f>'CAPEX_Inclusão Catador'!G53</f>
        <v>0</v>
      </c>
      <c r="I79" s="1023">
        <f>'CAPEX_Inclusão Catador'!H53</f>
        <v>0</v>
      </c>
      <c r="J79" s="1023">
        <f>'CAPEX_Inclusão Catador'!I53</f>
        <v>474.55136078227071</v>
      </c>
      <c r="K79" s="1023">
        <f>'CAPEX_Inclusão Catador'!J53</f>
        <v>0</v>
      </c>
      <c r="L79" s="1023">
        <f>'CAPEX_Inclusão Catador'!K53</f>
        <v>0</v>
      </c>
      <c r="M79" s="1023">
        <f>'CAPEX_Inclusão Catador'!L53</f>
        <v>0</v>
      </c>
      <c r="N79" s="1023">
        <f>'CAPEX_Inclusão Catador'!M53</f>
        <v>0</v>
      </c>
      <c r="O79" s="1023">
        <f>'CAPEX_Inclusão Catador'!N53</f>
        <v>3752.5256791469392</v>
      </c>
      <c r="P79" s="1023">
        <f>'CAPEX_Inclusão Catador'!O53</f>
        <v>0</v>
      </c>
      <c r="Q79" s="1023">
        <f>'CAPEX_Inclusão Catador'!P53</f>
        <v>0</v>
      </c>
      <c r="R79" s="1023">
        <f>'CAPEX_Inclusão Catador'!Q53</f>
        <v>0</v>
      </c>
      <c r="S79" s="1023">
        <f>'CAPEX_Inclusão Catador'!R53</f>
        <v>0</v>
      </c>
      <c r="T79" s="1023">
        <f>'CAPEX_Inclusão Catador'!S53</f>
        <v>474.55136078227071</v>
      </c>
      <c r="U79" s="1023">
        <f>'CAPEX_Inclusão Catador'!T53</f>
        <v>0</v>
      </c>
      <c r="V79" s="1023">
        <f>'CAPEX_Inclusão Catador'!U53</f>
        <v>0</v>
      </c>
      <c r="W79" s="1023">
        <f>'CAPEX_Inclusão Catador'!V53</f>
        <v>0</v>
      </c>
      <c r="X79" s="1023">
        <f>'CAPEX_Inclusão Catador'!W53</f>
        <v>0</v>
      </c>
      <c r="Y79" s="1023">
        <f>'CAPEX_Inclusão Catador'!X53</f>
        <v>3752.5256791469392</v>
      </c>
      <c r="Z79" s="1023">
        <f>'CAPEX_Inclusão Catador'!Y53</f>
        <v>0</v>
      </c>
      <c r="AA79" s="1023">
        <f>'CAPEX_Inclusão Catador'!Z53</f>
        <v>0</v>
      </c>
      <c r="AB79" s="1023">
        <f>'CAPEX_Inclusão Catador'!AA53</f>
        <v>0</v>
      </c>
      <c r="AC79" s="1023">
        <f>'CAPEX_Inclusão Catador'!AB53</f>
        <v>0</v>
      </c>
      <c r="AD79" s="1023">
        <f>'CAPEX_Inclusão Catador'!AC53</f>
        <v>474.55136078227071</v>
      </c>
      <c r="AE79" s="1023">
        <f>'CAPEX_Inclusão Catador'!AD53</f>
        <v>0</v>
      </c>
      <c r="AF79" s="1023">
        <f>'CAPEX_Inclusão Catador'!AE53</f>
        <v>0</v>
      </c>
      <c r="AG79" s="1023">
        <f>'CAPEX_Inclusão Catador'!AF53</f>
        <v>0</v>
      </c>
      <c r="AH79" s="1023">
        <f>'CAPEX_Inclusão Catador'!AG53</f>
        <v>0</v>
      </c>
      <c r="AI79" s="1023">
        <f>'CAPEX_Inclusão Catador'!AH53</f>
        <v>474.55136078227071</v>
      </c>
    </row>
    <row r="80" spans="3:35" s="77" customFormat="1" hidden="1" outlineLevel="1" x14ac:dyDescent="0.35">
      <c r="C80" s="1024"/>
      <c r="D80" s="1025" t="s">
        <v>2</v>
      </c>
      <c r="E80" s="1026">
        <f t="shared" si="34"/>
        <v>206907.50598637119</v>
      </c>
      <c r="F80" s="1033">
        <f>'CAPEX_Inclusão Catador'!E54</f>
        <v>87818.625578331965</v>
      </c>
      <c r="G80" s="1027">
        <f>'CAPEX_Inclusão Catador'!F54</f>
        <v>0</v>
      </c>
      <c r="H80" s="1027">
        <f>'CAPEX_Inclusão Catador'!G54</f>
        <v>0</v>
      </c>
      <c r="I80" s="1027">
        <f>'CAPEX_Inclusão Catador'!H54</f>
        <v>0</v>
      </c>
      <c r="J80" s="1027">
        <f>'CAPEX_Inclusão Catador'!I54</f>
        <v>6010.0230638304056</v>
      </c>
      <c r="K80" s="1027">
        <f>'CAPEX_Inclusão Catador'!J54</f>
        <v>0</v>
      </c>
      <c r="L80" s="1027">
        <f>'CAPEX_Inclusão Catador'!K54</f>
        <v>0</v>
      </c>
      <c r="M80" s="1027">
        <f>'CAPEX_Inclusão Catador'!L54</f>
        <v>0</v>
      </c>
      <c r="N80" s="1027">
        <f>'CAPEX_Inclusão Catador'!M54</f>
        <v>0</v>
      </c>
      <c r="O80" s="1027">
        <f>'CAPEX_Inclusão Catador'!N54</f>
        <v>47524.394076358818</v>
      </c>
      <c r="P80" s="1027">
        <f>'CAPEX_Inclusão Catador'!O54</f>
        <v>0</v>
      </c>
      <c r="Q80" s="1027">
        <f>'CAPEX_Inclusão Catador'!P54</f>
        <v>0</v>
      </c>
      <c r="R80" s="1027">
        <f>'CAPEX_Inclusão Catador'!Q54</f>
        <v>0</v>
      </c>
      <c r="S80" s="1027">
        <f>'CAPEX_Inclusão Catador'!R54</f>
        <v>0</v>
      </c>
      <c r="T80" s="1027">
        <f>'CAPEX_Inclusão Catador'!S54</f>
        <v>6010.0230638304056</v>
      </c>
      <c r="U80" s="1027">
        <f>'CAPEX_Inclusão Catador'!T54</f>
        <v>0</v>
      </c>
      <c r="V80" s="1027">
        <f>'CAPEX_Inclusão Catador'!U54</f>
        <v>0</v>
      </c>
      <c r="W80" s="1027">
        <f>'CAPEX_Inclusão Catador'!V54</f>
        <v>0</v>
      </c>
      <c r="X80" s="1027">
        <f>'CAPEX_Inclusão Catador'!W54</f>
        <v>0</v>
      </c>
      <c r="Y80" s="1027">
        <f>'CAPEX_Inclusão Catador'!X54</f>
        <v>47524.394076358818</v>
      </c>
      <c r="Z80" s="1027">
        <f>'CAPEX_Inclusão Catador'!Y54</f>
        <v>0</v>
      </c>
      <c r="AA80" s="1027">
        <f>'CAPEX_Inclusão Catador'!Z54</f>
        <v>0</v>
      </c>
      <c r="AB80" s="1027">
        <f>'CAPEX_Inclusão Catador'!AA54</f>
        <v>0</v>
      </c>
      <c r="AC80" s="1027">
        <f>'CAPEX_Inclusão Catador'!AB54</f>
        <v>0</v>
      </c>
      <c r="AD80" s="1027">
        <f>'CAPEX_Inclusão Catador'!AC54</f>
        <v>6010.0230638304056</v>
      </c>
      <c r="AE80" s="1027">
        <f>'CAPEX_Inclusão Catador'!AD54</f>
        <v>0</v>
      </c>
      <c r="AF80" s="1027">
        <f>'CAPEX_Inclusão Catador'!AE54</f>
        <v>0</v>
      </c>
      <c r="AG80" s="1027">
        <f>'CAPEX_Inclusão Catador'!AF54</f>
        <v>0</v>
      </c>
      <c r="AH80" s="1027">
        <f>'CAPEX_Inclusão Catador'!AG54</f>
        <v>0</v>
      </c>
      <c r="AI80" s="1027">
        <f>'CAPEX_Inclusão Catador'!AH54</f>
        <v>6010.0230638304056</v>
      </c>
    </row>
    <row r="81" spans="3:35" s="77" customFormat="1" hidden="1" outlineLevel="1" x14ac:dyDescent="0.35">
      <c r="C81" s="1024"/>
      <c r="D81" s="1025" t="s">
        <v>3</v>
      </c>
      <c r="E81" s="1026">
        <f t="shared" si="34"/>
        <v>24786.217674647116</v>
      </c>
      <c r="F81" s="1033">
        <f>'CAPEX_Inclusão Catador'!E55</f>
        <v>10520.118925101951</v>
      </c>
      <c r="G81" s="1027">
        <f>'CAPEX_Inclusão Catador'!F55</f>
        <v>0</v>
      </c>
      <c r="H81" s="1027">
        <f>'CAPEX_Inclusão Catador'!G55</f>
        <v>0</v>
      </c>
      <c r="I81" s="1027">
        <f>'CAPEX_Inclusão Catador'!H55</f>
        <v>0</v>
      </c>
      <c r="J81" s="1027">
        <f>'CAPEX_Inclusão Catador'!I55</f>
        <v>719.9629572624699</v>
      </c>
      <c r="K81" s="1027">
        <f>'CAPEX_Inclusão Catador'!J55</f>
        <v>0</v>
      </c>
      <c r="L81" s="1027">
        <f>'CAPEX_Inclusão Catador'!K55</f>
        <v>0</v>
      </c>
      <c r="M81" s="1027">
        <f>'CAPEX_Inclusão Catador'!L55</f>
        <v>0</v>
      </c>
      <c r="N81" s="1027">
        <f>'CAPEX_Inclusão Catador'!M55</f>
        <v>0</v>
      </c>
      <c r="O81" s="1027">
        <f>'CAPEX_Inclusão Catador'!N55</f>
        <v>5693.1234602476425</v>
      </c>
      <c r="P81" s="1027">
        <f>'CAPEX_Inclusão Catador'!O55</f>
        <v>0</v>
      </c>
      <c r="Q81" s="1027">
        <f>'CAPEX_Inclusão Catador'!P55</f>
        <v>0</v>
      </c>
      <c r="R81" s="1027">
        <f>'CAPEX_Inclusão Catador'!Q55</f>
        <v>0</v>
      </c>
      <c r="S81" s="1027">
        <f>'CAPEX_Inclusão Catador'!R55</f>
        <v>0</v>
      </c>
      <c r="T81" s="1027">
        <f>'CAPEX_Inclusão Catador'!S55</f>
        <v>719.9629572624699</v>
      </c>
      <c r="U81" s="1027">
        <f>'CAPEX_Inclusão Catador'!T55</f>
        <v>0</v>
      </c>
      <c r="V81" s="1027">
        <f>'CAPEX_Inclusão Catador'!U55</f>
        <v>0</v>
      </c>
      <c r="W81" s="1027">
        <f>'CAPEX_Inclusão Catador'!V55</f>
        <v>0</v>
      </c>
      <c r="X81" s="1027">
        <f>'CAPEX_Inclusão Catador'!W55</f>
        <v>0</v>
      </c>
      <c r="Y81" s="1027">
        <f>'CAPEX_Inclusão Catador'!X55</f>
        <v>5693.1234602476425</v>
      </c>
      <c r="Z81" s="1027">
        <f>'CAPEX_Inclusão Catador'!Y55</f>
        <v>0</v>
      </c>
      <c r="AA81" s="1027">
        <f>'CAPEX_Inclusão Catador'!Z55</f>
        <v>0</v>
      </c>
      <c r="AB81" s="1027">
        <f>'CAPEX_Inclusão Catador'!AA55</f>
        <v>0</v>
      </c>
      <c r="AC81" s="1027">
        <f>'CAPEX_Inclusão Catador'!AB55</f>
        <v>0</v>
      </c>
      <c r="AD81" s="1027">
        <f>'CAPEX_Inclusão Catador'!AC55</f>
        <v>719.9629572624699</v>
      </c>
      <c r="AE81" s="1027">
        <f>'CAPEX_Inclusão Catador'!AD55</f>
        <v>0</v>
      </c>
      <c r="AF81" s="1027">
        <f>'CAPEX_Inclusão Catador'!AE55</f>
        <v>0</v>
      </c>
      <c r="AG81" s="1027">
        <f>'CAPEX_Inclusão Catador'!AF55</f>
        <v>0</v>
      </c>
      <c r="AH81" s="1027">
        <f>'CAPEX_Inclusão Catador'!AG55</f>
        <v>0</v>
      </c>
      <c r="AI81" s="1027">
        <f>'CAPEX_Inclusão Catador'!AH55</f>
        <v>719.9629572624699</v>
      </c>
    </row>
    <row r="82" spans="3:35" s="77" customFormat="1" hidden="1" outlineLevel="1" x14ac:dyDescent="0.35">
      <c r="C82" s="1024"/>
      <c r="D82" s="1025" t="s">
        <v>4</v>
      </c>
      <c r="E82" s="1026">
        <f t="shared" si="34"/>
        <v>66136.086953473015</v>
      </c>
      <c r="F82" s="1033">
        <f>'CAPEX_Inclusão Catador'!E56</f>
        <v>28070.418372186163</v>
      </c>
      <c r="G82" s="1027">
        <f>'CAPEX_Inclusão Catador'!F56</f>
        <v>0</v>
      </c>
      <c r="H82" s="1027">
        <f>'CAPEX_Inclusão Catador'!G56</f>
        <v>0</v>
      </c>
      <c r="I82" s="1027">
        <f>'CAPEX_Inclusão Catador'!H56</f>
        <v>0</v>
      </c>
      <c r="J82" s="1027">
        <f>'CAPEX_Inclusão Catador'!I56</f>
        <v>1921.0487606382321</v>
      </c>
      <c r="K82" s="1027">
        <f>'CAPEX_Inclusão Catador'!J56</f>
        <v>0</v>
      </c>
      <c r="L82" s="1027">
        <f>'CAPEX_Inclusão Catador'!K56</f>
        <v>0</v>
      </c>
      <c r="M82" s="1027">
        <f>'CAPEX_Inclusão Catador'!L56</f>
        <v>0</v>
      </c>
      <c r="N82" s="1027">
        <f>'CAPEX_Inclusão Catador'!M56</f>
        <v>0</v>
      </c>
      <c r="O82" s="1027">
        <f>'CAPEX_Inclusão Catador'!N56</f>
        <v>15190.736769366964</v>
      </c>
      <c r="P82" s="1027">
        <f>'CAPEX_Inclusão Catador'!O56</f>
        <v>0</v>
      </c>
      <c r="Q82" s="1027">
        <f>'CAPEX_Inclusão Catador'!P56</f>
        <v>0</v>
      </c>
      <c r="R82" s="1027">
        <f>'CAPEX_Inclusão Catador'!Q56</f>
        <v>0</v>
      </c>
      <c r="S82" s="1027">
        <f>'CAPEX_Inclusão Catador'!R56</f>
        <v>0</v>
      </c>
      <c r="T82" s="1027">
        <f>'CAPEX_Inclusão Catador'!S56</f>
        <v>1921.0487606382321</v>
      </c>
      <c r="U82" s="1027">
        <f>'CAPEX_Inclusão Catador'!T56</f>
        <v>0</v>
      </c>
      <c r="V82" s="1027">
        <f>'CAPEX_Inclusão Catador'!U56</f>
        <v>0</v>
      </c>
      <c r="W82" s="1027">
        <f>'CAPEX_Inclusão Catador'!V56</f>
        <v>0</v>
      </c>
      <c r="X82" s="1027">
        <f>'CAPEX_Inclusão Catador'!W56</f>
        <v>0</v>
      </c>
      <c r="Y82" s="1027">
        <f>'CAPEX_Inclusão Catador'!X56</f>
        <v>15190.736769366964</v>
      </c>
      <c r="Z82" s="1027">
        <f>'CAPEX_Inclusão Catador'!Y56</f>
        <v>0</v>
      </c>
      <c r="AA82" s="1027">
        <f>'CAPEX_Inclusão Catador'!Z56</f>
        <v>0</v>
      </c>
      <c r="AB82" s="1027">
        <f>'CAPEX_Inclusão Catador'!AA56</f>
        <v>0</v>
      </c>
      <c r="AC82" s="1027">
        <f>'CAPEX_Inclusão Catador'!AB56</f>
        <v>0</v>
      </c>
      <c r="AD82" s="1027">
        <f>'CAPEX_Inclusão Catador'!AC56</f>
        <v>1921.0487606382321</v>
      </c>
      <c r="AE82" s="1027">
        <f>'CAPEX_Inclusão Catador'!AD56</f>
        <v>0</v>
      </c>
      <c r="AF82" s="1027">
        <f>'CAPEX_Inclusão Catador'!AE56</f>
        <v>0</v>
      </c>
      <c r="AG82" s="1027">
        <f>'CAPEX_Inclusão Catador'!AF56</f>
        <v>0</v>
      </c>
      <c r="AH82" s="1027">
        <f>'CAPEX_Inclusão Catador'!AG56</f>
        <v>0</v>
      </c>
      <c r="AI82" s="1027">
        <f>'CAPEX_Inclusão Catador'!AH56</f>
        <v>1921.0487606382321</v>
      </c>
    </row>
    <row r="83" spans="3:35" s="77" customFormat="1" hidden="1" outlineLevel="1" x14ac:dyDescent="0.35">
      <c r="C83" s="1024"/>
      <c r="D83" s="1025" t="s">
        <v>5</v>
      </c>
      <c r="E83" s="1026">
        <f t="shared" si="34"/>
        <v>143635.43904011592</v>
      </c>
      <c r="F83" s="1033">
        <f>'CAPEX_Inclusão Catador'!E57</f>
        <v>60963.79529930697</v>
      </c>
      <c r="G83" s="1027">
        <f>'CAPEX_Inclusão Catador'!F57</f>
        <v>0</v>
      </c>
      <c r="H83" s="1027">
        <f>'CAPEX_Inclusão Catador'!G57</f>
        <v>0</v>
      </c>
      <c r="I83" s="1027">
        <f>'CAPEX_Inclusão Catador'!H57</f>
        <v>0</v>
      </c>
      <c r="J83" s="1027">
        <f>'CAPEX_Inclusão Catador'!I57</f>
        <v>4172.1652257089436</v>
      </c>
      <c r="K83" s="1027">
        <f>'CAPEX_Inclusão Catador'!J57</f>
        <v>0</v>
      </c>
      <c r="L83" s="1027">
        <f>'CAPEX_Inclusão Catador'!K57</f>
        <v>0</v>
      </c>
      <c r="M83" s="1027">
        <f>'CAPEX_Inclusão Catador'!L57</f>
        <v>0</v>
      </c>
      <c r="N83" s="1027">
        <f>'CAPEX_Inclusão Catador'!M57</f>
        <v>0</v>
      </c>
      <c r="O83" s="1027">
        <f>'CAPEX_Inclusão Catador'!N57</f>
        <v>32991.491418986596</v>
      </c>
      <c r="P83" s="1027">
        <f>'CAPEX_Inclusão Catador'!O57</f>
        <v>0</v>
      </c>
      <c r="Q83" s="1027">
        <f>'CAPEX_Inclusão Catador'!P57</f>
        <v>0</v>
      </c>
      <c r="R83" s="1027">
        <f>'CAPEX_Inclusão Catador'!Q57</f>
        <v>0</v>
      </c>
      <c r="S83" s="1027">
        <f>'CAPEX_Inclusão Catador'!R57</f>
        <v>0</v>
      </c>
      <c r="T83" s="1027">
        <f>'CAPEX_Inclusão Catador'!S57</f>
        <v>4172.1652257089436</v>
      </c>
      <c r="U83" s="1027">
        <f>'CAPEX_Inclusão Catador'!T57</f>
        <v>0</v>
      </c>
      <c r="V83" s="1027">
        <f>'CAPEX_Inclusão Catador'!U57</f>
        <v>0</v>
      </c>
      <c r="W83" s="1027">
        <f>'CAPEX_Inclusão Catador'!V57</f>
        <v>0</v>
      </c>
      <c r="X83" s="1027">
        <f>'CAPEX_Inclusão Catador'!W57</f>
        <v>0</v>
      </c>
      <c r="Y83" s="1027">
        <f>'CAPEX_Inclusão Catador'!X57</f>
        <v>32991.491418986596</v>
      </c>
      <c r="Z83" s="1027">
        <f>'CAPEX_Inclusão Catador'!Y57</f>
        <v>0</v>
      </c>
      <c r="AA83" s="1027">
        <f>'CAPEX_Inclusão Catador'!Z57</f>
        <v>0</v>
      </c>
      <c r="AB83" s="1027">
        <f>'CAPEX_Inclusão Catador'!AA57</f>
        <v>0</v>
      </c>
      <c r="AC83" s="1027">
        <f>'CAPEX_Inclusão Catador'!AB57</f>
        <v>0</v>
      </c>
      <c r="AD83" s="1027">
        <f>'CAPEX_Inclusão Catador'!AC57</f>
        <v>4172.1652257089436</v>
      </c>
      <c r="AE83" s="1027">
        <f>'CAPEX_Inclusão Catador'!AD57</f>
        <v>0</v>
      </c>
      <c r="AF83" s="1027">
        <f>'CAPEX_Inclusão Catador'!AE57</f>
        <v>0</v>
      </c>
      <c r="AG83" s="1027">
        <f>'CAPEX_Inclusão Catador'!AF57</f>
        <v>0</v>
      </c>
      <c r="AH83" s="1027">
        <f>'CAPEX_Inclusão Catador'!AG57</f>
        <v>0</v>
      </c>
      <c r="AI83" s="1027">
        <f>'CAPEX_Inclusão Catador'!AH57</f>
        <v>4172.1652257089436</v>
      </c>
    </row>
    <row r="84" spans="3:35" s="77" customFormat="1" hidden="1" outlineLevel="1" x14ac:dyDescent="0.35">
      <c r="C84" s="1024"/>
      <c r="D84" s="1025" t="s">
        <v>6</v>
      </c>
      <c r="E84" s="1026">
        <f t="shared" si="34"/>
        <v>1590019.189351873</v>
      </c>
      <c r="F84" s="1033">
        <f>'CAPEX_Inclusão Catador'!E58</f>
        <v>674858.55182678858</v>
      </c>
      <c r="G84" s="1027">
        <f>'CAPEX_Inclusão Catador'!F58</f>
        <v>0</v>
      </c>
      <c r="H84" s="1027">
        <f>'CAPEX_Inclusão Catador'!G58</f>
        <v>0</v>
      </c>
      <c r="I84" s="1027">
        <f>'CAPEX_Inclusão Catador'!H58</f>
        <v>0</v>
      </c>
      <c r="J84" s="1027">
        <f>'CAPEX_Inclusão Catador'!I58</f>
        <v>46185.139366413947</v>
      </c>
      <c r="K84" s="1027">
        <f>'CAPEX_Inclusão Catador'!J58</f>
        <v>0</v>
      </c>
      <c r="L84" s="1027">
        <f>'CAPEX_Inclusão Catador'!K58</f>
        <v>0</v>
      </c>
      <c r="M84" s="1027">
        <f>'CAPEX_Inclusão Catador'!L58</f>
        <v>0</v>
      </c>
      <c r="N84" s="1027">
        <f>'CAPEX_Inclusão Catador'!M58</f>
        <v>0</v>
      </c>
      <c r="O84" s="1027">
        <f>'CAPEX_Inclusão Catador'!N58</f>
        <v>365210.04002971441</v>
      </c>
      <c r="P84" s="1027">
        <f>'CAPEX_Inclusão Catador'!O58</f>
        <v>0</v>
      </c>
      <c r="Q84" s="1027">
        <f>'CAPEX_Inclusão Catador'!P58</f>
        <v>0</v>
      </c>
      <c r="R84" s="1027">
        <f>'CAPEX_Inclusão Catador'!Q58</f>
        <v>0</v>
      </c>
      <c r="S84" s="1027">
        <f>'CAPEX_Inclusão Catador'!R58</f>
        <v>0</v>
      </c>
      <c r="T84" s="1027">
        <f>'CAPEX_Inclusão Catador'!S58</f>
        <v>46185.139366413947</v>
      </c>
      <c r="U84" s="1027">
        <f>'CAPEX_Inclusão Catador'!T58</f>
        <v>0</v>
      </c>
      <c r="V84" s="1027">
        <f>'CAPEX_Inclusão Catador'!U58</f>
        <v>0</v>
      </c>
      <c r="W84" s="1027">
        <f>'CAPEX_Inclusão Catador'!V58</f>
        <v>0</v>
      </c>
      <c r="X84" s="1027">
        <f>'CAPEX_Inclusão Catador'!W58</f>
        <v>0</v>
      </c>
      <c r="Y84" s="1027">
        <f>'CAPEX_Inclusão Catador'!X58</f>
        <v>365210.04002971441</v>
      </c>
      <c r="Z84" s="1027">
        <f>'CAPEX_Inclusão Catador'!Y58</f>
        <v>0</v>
      </c>
      <c r="AA84" s="1027">
        <f>'CAPEX_Inclusão Catador'!Z58</f>
        <v>0</v>
      </c>
      <c r="AB84" s="1027">
        <f>'CAPEX_Inclusão Catador'!AA58</f>
        <v>0</v>
      </c>
      <c r="AC84" s="1027">
        <f>'CAPEX_Inclusão Catador'!AB58</f>
        <v>0</v>
      </c>
      <c r="AD84" s="1027">
        <f>'CAPEX_Inclusão Catador'!AC58</f>
        <v>46185.139366413947</v>
      </c>
      <c r="AE84" s="1027">
        <f>'CAPEX_Inclusão Catador'!AD58</f>
        <v>0</v>
      </c>
      <c r="AF84" s="1027">
        <f>'CAPEX_Inclusão Catador'!AE58</f>
        <v>0</v>
      </c>
      <c r="AG84" s="1027">
        <f>'CAPEX_Inclusão Catador'!AF58</f>
        <v>0</v>
      </c>
      <c r="AH84" s="1027">
        <f>'CAPEX_Inclusão Catador'!AG58</f>
        <v>0</v>
      </c>
      <c r="AI84" s="1027">
        <f>'CAPEX_Inclusão Catador'!AH58</f>
        <v>46185.139366413947</v>
      </c>
    </row>
    <row r="85" spans="3:35" s="77" customFormat="1" hidden="1" outlineLevel="1" x14ac:dyDescent="0.35">
      <c r="C85" s="1024"/>
      <c r="D85" s="1025" t="s">
        <v>7</v>
      </c>
      <c r="E85" s="1026">
        <f t="shared" si="34"/>
        <v>129833.84904902976</v>
      </c>
      <c r="F85" s="1033">
        <f>'CAPEX_Inclusão Catador'!E59</f>
        <v>55105.928239169065</v>
      </c>
      <c r="G85" s="1027">
        <f>'CAPEX_Inclusão Catador'!F59</f>
        <v>0</v>
      </c>
      <c r="H85" s="1027">
        <f>'CAPEX_Inclusão Catador'!G59</f>
        <v>0</v>
      </c>
      <c r="I85" s="1027">
        <f>'CAPEX_Inclusão Catador'!H59</f>
        <v>0</v>
      </c>
      <c r="J85" s="1027">
        <f>'CAPEX_Inclusão Catador'!I59</f>
        <v>3771.2717261303319</v>
      </c>
      <c r="K85" s="1027">
        <f>'CAPEX_Inclusão Catador'!J59</f>
        <v>0</v>
      </c>
      <c r="L85" s="1027">
        <f>'CAPEX_Inclusão Catador'!K59</f>
        <v>0</v>
      </c>
      <c r="M85" s="1027">
        <f>'CAPEX_Inclusão Catador'!L59</f>
        <v>0</v>
      </c>
      <c r="N85" s="1027">
        <f>'CAPEX_Inclusão Catador'!M59</f>
        <v>0</v>
      </c>
      <c r="O85" s="1027">
        <f>'CAPEX_Inclusão Catador'!N59</f>
        <v>29821.416952669679</v>
      </c>
      <c r="P85" s="1027">
        <f>'CAPEX_Inclusão Catador'!O59</f>
        <v>0</v>
      </c>
      <c r="Q85" s="1027">
        <f>'CAPEX_Inclusão Catador'!P59</f>
        <v>0</v>
      </c>
      <c r="R85" s="1027">
        <f>'CAPEX_Inclusão Catador'!Q59</f>
        <v>0</v>
      </c>
      <c r="S85" s="1027">
        <f>'CAPEX_Inclusão Catador'!R59</f>
        <v>0</v>
      </c>
      <c r="T85" s="1027">
        <f>'CAPEX_Inclusão Catador'!S59</f>
        <v>3771.2717261303319</v>
      </c>
      <c r="U85" s="1027">
        <f>'CAPEX_Inclusão Catador'!T59</f>
        <v>0</v>
      </c>
      <c r="V85" s="1027">
        <f>'CAPEX_Inclusão Catador'!U59</f>
        <v>0</v>
      </c>
      <c r="W85" s="1027">
        <f>'CAPEX_Inclusão Catador'!V59</f>
        <v>0</v>
      </c>
      <c r="X85" s="1027">
        <f>'CAPEX_Inclusão Catador'!W59</f>
        <v>0</v>
      </c>
      <c r="Y85" s="1027">
        <f>'CAPEX_Inclusão Catador'!X59</f>
        <v>29821.416952669679</v>
      </c>
      <c r="Z85" s="1027">
        <f>'CAPEX_Inclusão Catador'!Y59</f>
        <v>0</v>
      </c>
      <c r="AA85" s="1027">
        <f>'CAPEX_Inclusão Catador'!Z59</f>
        <v>0</v>
      </c>
      <c r="AB85" s="1027">
        <f>'CAPEX_Inclusão Catador'!AA59</f>
        <v>0</v>
      </c>
      <c r="AC85" s="1027">
        <f>'CAPEX_Inclusão Catador'!AB59</f>
        <v>0</v>
      </c>
      <c r="AD85" s="1027">
        <f>'CAPEX_Inclusão Catador'!AC59</f>
        <v>3771.2717261303319</v>
      </c>
      <c r="AE85" s="1027">
        <f>'CAPEX_Inclusão Catador'!AD59</f>
        <v>0</v>
      </c>
      <c r="AF85" s="1027">
        <f>'CAPEX_Inclusão Catador'!AE59</f>
        <v>0</v>
      </c>
      <c r="AG85" s="1027">
        <f>'CAPEX_Inclusão Catador'!AF59</f>
        <v>0</v>
      </c>
      <c r="AH85" s="1027">
        <f>'CAPEX_Inclusão Catador'!AG59</f>
        <v>0</v>
      </c>
      <c r="AI85" s="1027">
        <f>'CAPEX_Inclusão Catador'!AH59</f>
        <v>3771.2717261303319</v>
      </c>
    </row>
    <row r="86" spans="3:35" s="77" customFormat="1" hidden="1" outlineLevel="1" x14ac:dyDescent="0.35">
      <c r="C86" s="1024"/>
      <c r="D86" s="1025" t="s">
        <v>8</v>
      </c>
      <c r="E86" s="1026">
        <f t="shared" si="34"/>
        <v>118285.41257428218</v>
      </c>
      <c r="F86" s="1033">
        <f>'CAPEX_Inclusão Catador'!E60</f>
        <v>50204.37663060725</v>
      </c>
      <c r="G86" s="1027">
        <f>'CAPEX_Inclusão Catador'!F60</f>
        <v>0</v>
      </c>
      <c r="H86" s="1027">
        <f>'CAPEX_Inclusão Catador'!G60</f>
        <v>0</v>
      </c>
      <c r="I86" s="1027">
        <f>'CAPEX_Inclusão Catador'!H60</f>
        <v>0</v>
      </c>
      <c r="J86" s="1027">
        <f>'CAPEX_Inclusão Catador'!I60</f>
        <v>3435.8253669780206</v>
      </c>
      <c r="K86" s="1027">
        <f>'CAPEX_Inclusão Catador'!J60</f>
        <v>0</v>
      </c>
      <c r="L86" s="1027">
        <f>'CAPEX_Inclusão Catador'!K60</f>
        <v>0</v>
      </c>
      <c r="M86" s="1027">
        <f>'CAPEX_Inclusão Catador'!L60</f>
        <v>0</v>
      </c>
      <c r="N86" s="1027">
        <f>'CAPEX_Inclusão Catador'!M60</f>
        <v>0</v>
      </c>
      <c r="O86" s="1027">
        <f>'CAPEX_Inclusão Catador'!N60</f>
        <v>27168.867237881415</v>
      </c>
      <c r="P86" s="1027">
        <f>'CAPEX_Inclusão Catador'!O60</f>
        <v>0</v>
      </c>
      <c r="Q86" s="1027">
        <f>'CAPEX_Inclusão Catador'!P60</f>
        <v>0</v>
      </c>
      <c r="R86" s="1027">
        <f>'CAPEX_Inclusão Catador'!Q60</f>
        <v>0</v>
      </c>
      <c r="S86" s="1027">
        <f>'CAPEX_Inclusão Catador'!R60</f>
        <v>0</v>
      </c>
      <c r="T86" s="1027">
        <f>'CAPEX_Inclusão Catador'!S60</f>
        <v>3435.8253669780206</v>
      </c>
      <c r="U86" s="1027">
        <f>'CAPEX_Inclusão Catador'!T60</f>
        <v>0</v>
      </c>
      <c r="V86" s="1027">
        <f>'CAPEX_Inclusão Catador'!U60</f>
        <v>0</v>
      </c>
      <c r="W86" s="1027">
        <f>'CAPEX_Inclusão Catador'!V60</f>
        <v>0</v>
      </c>
      <c r="X86" s="1027">
        <f>'CAPEX_Inclusão Catador'!W60</f>
        <v>0</v>
      </c>
      <c r="Y86" s="1027">
        <f>'CAPEX_Inclusão Catador'!X60</f>
        <v>27168.867237881415</v>
      </c>
      <c r="Z86" s="1027">
        <f>'CAPEX_Inclusão Catador'!Y60</f>
        <v>0</v>
      </c>
      <c r="AA86" s="1027">
        <f>'CAPEX_Inclusão Catador'!Z60</f>
        <v>0</v>
      </c>
      <c r="AB86" s="1027">
        <f>'CAPEX_Inclusão Catador'!AA60</f>
        <v>0</v>
      </c>
      <c r="AC86" s="1027">
        <f>'CAPEX_Inclusão Catador'!AB60</f>
        <v>0</v>
      </c>
      <c r="AD86" s="1027">
        <f>'CAPEX_Inclusão Catador'!AC60</f>
        <v>3435.8253669780206</v>
      </c>
      <c r="AE86" s="1027">
        <f>'CAPEX_Inclusão Catador'!AD60</f>
        <v>0</v>
      </c>
      <c r="AF86" s="1027">
        <f>'CAPEX_Inclusão Catador'!AE60</f>
        <v>0</v>
      </c>
      <c r="AG86" s="1027">
        <f>'CAPEX_Inclusão Catador'!AF60</f>
        <v>0</v>
      </c>
      <c r="AH86" s="1027">
        <f>'CAPEX_Inclusão Catador'!AG60</f>
        <v>0</v>
      </c>
      <c r="AI86" s="1027">
        <f>'CAPEX_Inclusão Catador'!AH60</f>
        <v>3435.8253669780206</v>
      </c>
    </row>
    <row r="87" spans="3:35" s="77" customFormat="1" hidden="1" outlineLevel="1" x14ac:dyDescent="0.35">
      <c r="C87" s="1024"/>
      <c r="D87" s="1025" t="s">
        <v>9</v>
      </c>
      <c r="E87" s="1026">
        <f t="shared" si="34"/>
        <v>97057.224774777002</v>
      </c>
      <c r="F87" s="1033">
        <f>'CAPEX_Inclusão Catador'!E61</f>
        <v>41194.407334500349</v>
      </c>
      <c r="G87" s="1027">
        <f>'CAPEX_Inclusão Catador'!F61</f>
        <v>0</v>
      </c>
      <c r="H87" s="1027">
        <f>'CAPEX_Inclusão Catador'!G61</f>
        <v>0</v>
      </c>
      <c r="I87" s="1027">
        <f>'CAPEX_Inclusão Catador'!H61</f>
        <v>0</v>
      </c>
      <c r="J87" s="1027">
        <f>'CAPEX_Inclusão Catador'!I61</f>
        <v>2819.2121722553843</v>
      </c>
      <c r="K87" s="1027">
        <f>'CAPEX_Inclusão Catador'!J61</f>
        <v>0</v>
      </c>
      <c r="L87" s="1027">
        <f>'CAPEX_Inclusão Catador'!K61</f>
        <v>0</v>
      </c>
      <c r="M87" s="1027">
        <f>'CAPEX_Inclusão Catador'!L61</f>
        <v>0</v>
      </c>
      <c r="N87" s="1027">
        <f>'CAPEX_Inclusão Catador'!M61</f>
        <v>0</v>
      </c>
      <c r="O87" s="1027">
        <f>'CAPEX_Inclusão Catador'!N61</f>
        <v>22292.984375627551</v>
      </c>
      <c r="P87" s="1027">
        <f>'CAPEX_Inclusão Catador'!O61</f>
        <v>0</v>
      </c>
      <c r="Q87" s="1027">
        <f>'CAPEX_Inclusão Catador'!P61</f>
        <v>0</v>
      </c>
      <c r="R87" s="1027">
        <f>'CAPEX_Inclusão Catador'!Q61</f>
        <v>0</v>
      </c>
      <c r="S87" s="1027">
        <f>'CAPEX_Inclusão Catador'!R61</f>
        <v>0</v>
      </c>
      <c r="T87" s="1027">
        <f>'CAPEX_Inclusão Catador'!S61</f>
        <v>2819.2121722553843</v>
      </c>
      <c r="U87" s="1027">
        <f>'CAPEX_Inclusão Catador'!T61</f>
        <v>0</v>
      </c>
      <c r="V87" s="1027">
        <f>'CAPEX_Inclusão Catador'!U61</f>
        <v>0</v>
      </c>
      <c r="W87" s="1027">
        <f>'CAPEX_Inclusão Catador'!V61</f>
        <v>0</v>
      </c>
      <c r="X87" s="1027">
        <f>'CAPEX_Inclusão Catador'!W61</f>
        <v>0</v>
      </c>
      <c r="Y87" s="1027">
        <f>'CAPEX_Inclusão Catador'!X61</f>
        <v>22292.984375627551</v>
      </c>
      <c r="Z87" s="1027">
        <f>'CAPEX_Inclusão Catador'!Y61</f>
        <v>0</v>
      </c>
      <c r="AA87" s="1027">
        <f>'CAPEX_Inclusão Catador'!Z61</f>
        <v>0</v>
      </c>
      <c r="AB87" s="1027">
        <f>'CAPEX_Inclusão Catador'!AA61</f>
        <v>0</v>
      </c>
      <c r="AC87" s="1027">
        <f>'CAPEX_Inclusão Catador'!AB61</f>
        <v>0</v>
      </c>
      <c r="AD87" s="1027">
        <f>'CAPEX_Inclusão Catador'!AC61</f>
        <v>2819.2121722553843</v>
      </c>
      <c r="AE87" s="1027">
        <f>'CAPEX_Inclusão Catador'!AD61</f>
        <v>0</v>
      </c>
      <c r="AF87" s="1027">
        <f>'CAPEX_Inclusão Catador'!AE61</f>
        <v>0</v>
      </c>
      <c r="AG87" s="1027">
        <f>'CAPEX_Inclusão Catador'!AF61</f>
        <v>0</v>
      </c>
      <c r="AH87" s="1027">
        <f>'CAPEX_Inclusão Catador'!AG61</f>
        <v>0</v>
      </c>
      <c r="AI87" s="1027">
        <f>'CAPEX_Inclusão Catador'!AH61</f>
        <v>2819.2121722553843</v>
      </c>
    </row>
    <row r="88" spans="3:35" collapsed="1" x14ac:dyDescent="0.35">
      <c r="C88" s="230" t="s">
        <v>200</v>
      </c>
      <c r="D88" s="231"/>
      <c r="E88" s="487">
        <f t="shared" ref="E88:AI88" si="36">E38+E48+E58+E68+E78</f>
        <v>144967729.68000001</v>
      </c>
      <c r="F88" s="491">
        <f t="shared" si="36"/>
        <v>44794164.494999997</v>
      </c>
      <c r="G88" s="491">
        <f t="shared" si="36"/>
        <v>6904933.4850000003</v>
      </c>
      <c r="H88" s="491">
        <f t="shared" si="36"/>
        <v>4052790.21</v>
      </c>
      <c r="I88" s="491">
        <f t="shared" si="36"/>
        <v>2279292.8819999998</v>
      </c>
      <c r="J88" s="491">
        <f t="shared" si="36"/>
        <v>69509.200000000012</v>
      </c>
      <c r="K88" s="491">
        <f t="shared" si="36"/>
        <v>144335.12</v>
      </c>
      <c r="L88" s="491">
        <f t="shared" si="36"/>
        <v>3238943.16</v>
      </c>
      <c r="M88" s="491">
        <f t="shared" si="36"/>
        <v>80011.86</v>
      </c>
      <c r="N88" s="491">
        <f t="shared" si="36"/>
        <v>13938778.340000002</v>
      </c>
      <c r="O88" s="491">
        <f t="shared" si="36"/>
        <v>1353217.01</v>
      </c>
      <c r="P88" s="491">
        <f t="shared" si="36"/>
        <v>17697629.191999998</v>
      </c>
      <c r="Q88" s="491">
        <f t="shared" si="36"/>
        <v>0</v>
      </c>
      <c r="R88" s="491">
        <f t="shared" si="36"/>
        <v>0</v>
      </c>
      <c r="S88" s="491">
        <f t="shared" si="36"/>
        <v>160773.79999999996</v>
      </c>
      <c r="T88" s="491">
        <f t="shared" si="36"/>
        <v>3308452.3600000003</v>
      </c>
      <c r="U88" s="491">
        <f t="shared" si="36"/>
        <v>224346.97999999998</v>
      </c>
      <c r="V88" s="491">
        <f t="shared" si="36"/>
        <v>13938778.340000002</v>
      </c>
      <c r="W88" s="491">
        <f t="shared" si="36"/>
        <v>2279292.8819999998</v>
      </c>
      <c r="X88" s="491">
        <f t="shared" si="36"/>
        <v>0</v>
      </c>
      <c r="Y88" s="491">
        <f t="shared" si="36"/>
        <v>1353217.01</v>
      </c>
      <c r="Z88" s="491">
        <f t="shared" si="36"/>
        <v>6888816.9100000001</v>
      </c>
      <c r="AA88" s="491">
        <f t="shared" si="36"/>
        <v>0</v>
      </c>
      <c r="AB88" s="491">
        <f t="shared" si="36"/>
        <v>3238943.16</v>
      </c>
      <c r="AC88" s="491">
        <f t="shared" si="36"/>
        <v>2520078.5419999999</v>
      </c>
      <c r="AD88" s="491">
        <f t="shared" si="36"/>
        <v>14008287.540000001</v>
      </c>
      <c r="AE88" s="491">
        <f t="shared" si="36"/>
        <v>144335.12</v>
      </c>
      <c r="AF88" s="491">
        <f t="shared" si="36"/>
        <v>0</v>
      </c>
      <c r="AG88" s="491">
        <f t="shared" si="36"/>
        <v>0</v>
      </c>
      <c r="AH88" s="491">
        <f t="shared" si="36"/>
        <v>0</v>
      </c>
      <c r="AI88" s="491">
        <f t="shared" si="36"/>
        <v>2348802.0819999999</v>
      </c>
    </row>
    <row r="89" spans="3:35" x14ac:dyDescent="0.35">
      <c r="C89" s="235" t="s">
        <v>460</v>
      </c>
      <c r="D89" s="104"/>
      <c r="E89" s="492">
        <f>SUM(F89:AI89)</f>
        <v>1</v>
      </c>
      <c r="F89" s="493">
        <f>F88/$E$88</f>
        <v>0.308994040217627</v>
      </c>
      <c r="G89" s="493">
        <f t="shared" ref="G89:AI89" si="37">G88/$E$88</f>
        <v>4.7630831359792042E-2</v>
      </c>
      <c r="H89" s="493">
        <f t="shared" si="37"/>
        <v>2.7956499139126199E-2</v>
      </c>
      <c r="I89" s="493">
        <f t="shared" si="37"/>
        <v>1.5722760417309998E-2</v>
      </c>
      <c r="J89" s="493">
        <f t="shared" si="37"/>
        <v>4.7948050337432867E-4</v>
      </c>
      <c r="K89" s="493">
        <f t="shared" si="37"/>
        <v>9.9563620344061098E-4</v>
      </c>
      <c r="L89" s="493">
        <f t="shared" si="37"/>
        <v>2.2342511448234747E-2</v>
      </c>
      <c r="M89" s="493">
        <f t="shared" si="37"/>
        <v>5.5192876495077355E-4</v>
      </c>
      <c r="N89" s="493">
        <f t="shared" si="37"/>
        <v>9.6150904554884661E-2</v>
      </c>
      <c r="O89" s="493">
        <f t="shared" si="37"/>
        <v>9.3346085572773661E-3</v>
      </c>
      <c r="P89" s="493">
        <f t="shared" si="37"/>
        <v>0.12207978445317126</v>
      </c>
      <c r="Q89" s="493">
        <f t="shared" si="37"/>
        <v>0</v>
      </c>
      <c r="R89" s="493">
        <f t="shared" si="37"/>
        <v>0</v>
      </c>
      <c r="S89" s="493">
        <f t="shared" si="37"/>
        <v>1.1090316469388746E-3</v>
      </c>
      <c r="T89" s="493">
        <f t="shared" si="37"/>
        <v>2.2821991951609076E-2</v>
      </c>
      <c r="U89" s="493">
        <f t="shared" si="37"/>
        <v>1.5475649683913844E-3</v>
      </c>
      <c r="V89" s="493">
        <f t="shared" si="37"/>
        <v>9.6150904554884661E-2</v>
      </c>
      <c r="W89" s="493">
        <f t="shared" si="37"/>
        <v>1.5722760417309998E-2</v>
      </c>
      <c r="X89" s="493">
        <f t="shared" si="37"/>
        <v>0</v>
      </c>
      <c r="Y89" s="493">
        <f t="shared" si="37"/>
        <v>9.3346085572773661E-3</v>
      </c>
      <c r="Z89" s="493">
        <f t="shared" si="37"/>
        <v>4.7519657824581306E-2</v>
      </c>
      <c r="AA89" s="493">
        <f t="shared" si="37"/>
        <v>0</v>
      </c>
      <c r="AB89" s="493">
        <f t="shared" si="37"/>
        <v>2.2342511448234747E-2</v>
      </c>
      <c r="AC89" s="493">
        <f t="shared" si="37"/>
        <v>1.7383720829199645E-2</v>
      </c>
      <c r="AD89" s="493">
        <f t="shared" si="37"/>
        <v>9.6630385058258994E-2</v>
      </c>
      <c r="AE89" s="493">
        <f t="shared" si="37"/>
        <v>9.9563620344061098E-4</v>
      </c>
      <c r="AF89" s="493">
        <f t="shared" si="37"/>
        <v>0</v>
      </c>
      <c r="AG89" s="493">
        <f t="shared" si="37"/>
        <v>0</v>
      </c>
      <c r="AH89" s="493">
        <f t="shared" si="37"/>
        <v>0</v>
      </c>
      <c r="AI89" s="493">
        <f t="shared" si="37"/>
        <v>1.6202240920684327E-2</v>
      </c>
    </row>
    <row r="90" spans="3:35" x14ac:dyDescent="0.35"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97"/>
      <c r="Y90" s="97"/>
      <c r="Z90" s="97"/>
      <c r="AA90" s="97"/>
      <c r="AB90" s="97"/>
      <c r="AC90" s="97"/>
      <c r="AD90" s="97"/>
      <c r="AE90" s="97"/>
      <c r="AF90" s="97"/>
      <c r="AG90" s="97"/>
      <c r="AH90" s="97"/>
      <c r="AI90" s="97"/>
    </row>
    <row r="91" spans="3:35" ht="21" x14ac:dyDescent="0.5">
      <c r="C91" s="98" t="s">
        <v>461</v>
      </c>
      <c r="D91" s="76"/>
      <c r="E91" s="76"/>
      <c r="F91" s="1706"/>
      <c r="G91" s="1706"/>
      <c r="H91" s="1706"/>
      <c r="I91" s="1706"/>
      <c r="J91" s="1706"/>
      <c r="K91" s="1706"/>
      <c r="L91" s="1706"/>
      <c r="M91" s="1706"/>
      <c r="N91" s="1706"/>
      <c r="O91" s="1706"/>
      <c r="P91" s="1706"/>
      <c r="Q91" s="1706"/>
      <c r="R91" s="1706"/>
      <c r="S91" s="1706"/>
      <c r="T91" s="1706"/>
      <c r="U91" s="1706"/>
      <c r="V91" s="1706"/>
      <c r="W91" s="1706"/>
      <c r="X91" s="1706"/>
      <c r="Y91" s="1706"/>
      <c r="Z91" s="1706"/>
      <c r="AA91" s="1706"/>
      <c r="AB91" s="1706"/>
      <c r="AC91" s="1706"/>
      <c r="AD91" s="1706"/>
      <c r="AE91" s="1706"/>
      <c r="AF91" s="1706"/>
      <c r="AG91" s="1706"/>
      <c r="AH91" s="1706"/>
      <c r="AI91" s="1706"/>
    </row>
    <row r="92" spans="3:35" ht="5.25" customHeight="1" x14ac:dyDescent="0.35"/>
    <row r="93" spans="3:35" x14ac:dyDescent="0.35">
      <c r="C93" s="87"/>
      <c r="D93" s="87"/>
      <c r="E93" s="234" t="s">
        <v>455</v>
      </c>
      <c r="F93" s="89">
        <v>1</v>
      </c>
      <c r="G93" s="89">
        <f>F93+1</f>
        <v>2</v>
      </c>
      <c r="H93" s="89">
        <f t="shared" ref="H93" si="38">G93+1</f>
        <v>3</v>
      </c>
      <c r="I93" s="89">
        <f t="shared" ref="I93" si="39">H93+1</f>
        <v>4</v>
      </c>
      <c r="J93" s="89">
        <f t="shared" ref="J93" si="40">I93+1</f>
        <v>5</v>
      </c>
      <c r="K93" s="89">
        <f t="shared" ref="K93" si="41">J93+1</f>
        <v>6</v>
      </c>
      <c r="L93" s="89">
        <f t="shared" ref="L93" si="42">K93+1</f>
        <v>7</v>
      </c>
      <c r="M93" s="89">
        <f t="shared" ref="M93" si="43">L93+1</f>
        <v>8</v>
      </c>
      <c r="N93" s="89">
        <f t="shared" ref="N93" si="44">M93+1</f>
        <v>9</v>
      </c>
      <c r="O93" s="89">
        <f t="shared" ref="O93" si="45">N93+1</f>
        <v>10</v>
      </c>
      <c r="P93" s="89">
        <f t="shared" ref="P93" si="46">O93+1</f>
        <v>11</v>
      </c>
      <c r="Q93" s="89">
        <f t="shared" ref="Q93" si="47">P93+1</f>
        <v>12</v>
      </c>
      <c r="R93" s="89">
        <f t="shared" ref="R93" si="48">Q93+1</f>
        <v>13</v>
      </c>
      <c r="S93" s="89">
        <f t="shared" ref="S93" si="49">R93+1</f>
        <v>14</v>
      </c>
      <c r="T93" s="89">
        <f t="shared" ref="T93" si="50">S93+1</f>
        <v>15</v>
      </c>
      <c r="U93" s="89">
        <f t="shared" ref="U93" si="51">T93+1</f>
        <v>16</v>
      </c>
      <c r="V93" s="89">
        <f t="shared" ref="V93" si="52">U93+1</f>
        <v>17</v>
      </c>
      <c r="W93" s="89">
        <f t="shared" ref="W93" si="53">V93+1</f>
        <v>18</v>
      </c>
      <c r="X93" s="89">
        <f t="shared" ref="X93" si="54">W93+1</f>
        <v>19</v>
      </c>
      <c r="Y93" s="89">
        <f t="shared" ref="Y93" si="55">X93+1</f>
        <v>20</v>
      </c>
      <c r="Z93" s="89">
        <f t="shared" ref="Z93" si="56">Y93+1</f>
        <v>21</v>
      </c>
      <c r="AA93" s="89">
        <f t="shared" ref="AA93" si="57">Z93+1</f>
        <v>22</v>
      </c>
      <c r="AB93" s="89">
        <f t="shared" ref="AB93" si="58">AA93+1</f>
        <v>23</v>
      </c>
      <c r="AC93" s="89">
        <f t="shared" ref="AC93" si="59">AB93+1</f>
        <v>24</v>
      </c>
      <c r="AD93" s="89">
        <f t="shared" ref="AD93" si="60">AC93+1</f>
        <v>25</v>
      </c>
      <c r="AE93" s="89">
        <f t="shared" ref="AE93" si="61">AD93+1</f>
        <v>26</v>
      </c>
      <c r="AF93" s="89">
        <f t="shared" ref="AF93" si="62">AE93+1</f>
        <v>27</v>
      </c>
      <c r="AG93" s="89">
        <f t="shared" ref="AG93" si="63">AF93+1</f>
        <v>28</v>
      </c>
      <c r="AH93" s="89">
        <f t="shared" ref="AH93" si="64">AG93+1</f>
        <v>29</v>
      </c>
      <c r="AI93" s="89">
        <f t="shared" ref="AI93" si="65">AH93+1</f>
        <v>30</v>
      </c>
    </row>
    <row r="94" spans="3:35" s="77" customFormat="1" x14ac:dyDescent="0.35">
      <c r="C94" s="77" t="s">
        <v>366</v>
      </c>
      <c r="E94" s="489">
        <f t="shared" ref="E94:E125" si="66">SUM(F94:AI94)</f>
        <v>397334998.14443761</v>
      </c>
      <c r="F94" s="490">
        <f t="shared" ref="F94:AI94" si="67">SUM(F95:F103)</f>
        <v>9570445.3365399297</v>
      </c>
      <c r="G94" s="490">
        <f t="shared" si="67"/>
        <v>9570445.3365399297</v>
      </c>
      <c r="H94" s="490">
        <f t="shared" si="67"/>
        <v>11217954.005186999</v>
      </c>
      <c r="I94" s="490">
        <f t="shared" si="67"/>
        <v>11217954.005186999</v>
      </c>
      <c r="J94" s="490">
        <f t="shared" si="67"/>
        <v>11217954.005186999</v>
      </c>
      <c r="K94" s="490">
        <f t="shared" si="67"/>
        <v>11217954.005186999</v>
      </c>
      <c r="L94" s="490">
        <f t="shared" si="67"/>
        <v>11217954.005186999</v>
      </c>
      <c r="M94" s="490">
        <f t="shared" si="67"/>
        <v>14527060.325187</v>
      </c>
      <c r="N94" s="490">
        <f t="shared" si="67"/>
        <v>13980785.323647071</v>
      </c>
      <c r="O94" s="490">
        <f t="shared" si="67"/>
        <v>13980785.323647071</v>
      </c>
      <c r="P94" s="490">
        <f t="shared" si="67"/>
        <v>13980785.323647071</v>
      </c>
      <c r="Q94" s="490">
        <f t="shared" si="67"/>
        <v>13980785.323647071</v>
      </c>
      <c r="R94" s="490">
        <f t="shared" si="67"/>
        <v>13980785.323647071</v>
      </c>
      <c r="S94" s="490">
        <f t="shared" si="67"/>
        <v>13980785.323647071</v>
      </c>
      <c r="T94" s="490">
        <f t="shared" si="67"/>
        <v>13980785.323647071</v>
      </c>
      <c r="U94" s="490">
        <f t="shared" si="67"/>
        <v>13980785.323647071</v>
      </c>
      <c r="V94" s="490">
        <f t="shared" si="67"/>
        <v>13980785.323647071</v>
      </c>
      <c r="W94" s="490">
        <f t="shared" si="67"/>
        <v>13980785.323647071</v>
      </c>
      <c r="X94" s="490">
        <f t="shared" si="67"/>
        <v>13980785.323647071</v>
      </c>
      <c r="Y94" s="490">
        <f t="shared" si="67"/>
        <v>13980785.323647071</v>
      </c>
      <c r="Z94" s="490">
        <f t="shared" si="67"/>
        <v>13980785.323647071</v>
      </c>
      <c r="AA94" s="490">
        <f t="shared" si="67"/>
        <v>13980785.323647071</v>
      </c>
      <c r="AB94" s="490">
        <f t="shared" si="67"/>
        <v>13980785.323647071</v>
      </c>
      <c r="AC94" s="490">
        <f t="shared" si="67"/>
        <v>13980785.323647071</v>
      </c>
      <c r="AD94" s="490">
        <f t="shared" si="67"/>
        <v>13980785.323647071</v>
      </c>
      <c r="AE94" s="490">
        <f t="shared" si="67"/>
        <v>13980785.323647071</v>
      </c>
      <c r="AF94" s="490">
        <f t="shared" si="67"/>
        <v>13980785.323647071</v>
      </c>
      <c r="AG94" s="490">
        <f t="shared" si="67"/>
        <v>13980785.323647071</v>
      </c>
      <c r="AH94" s="490">
        <f t="shared" si="67"/>
        <v>13980785.323647071</v>
      </c>
      <c r="AI94" s="490">
        <f t="shared" si="67"/>
        <v>13980785.323647071</v>
      </c>
    </row>
    <row r="95" spans="3:35" s="77" customFormat="1" hidden="1" outlineLevel="1" x14ac:dyDescent="0.35">
      <c r="C95" s="1020"/>
      <c r="D95" s="1021" t="s">
        <v>1</v>
      </c>
      <c r="E95" s="1022">
        <f t="shared" si="66"/>
        <v>3214002.9179034997</v>
      </c>
      <c r="F95" s="1032">
        <f>'OPEX _Coleta'!G118+'OPEX _Coleta'!G131+'OPEX _Coleta'!G157+'OPEX _Coleta'!G144</f>
        <v>75227.515500000009</v>
      </c>
      <c r="G95" s="1023">
        <f>'OPEX _Coleta'!H118+'OPEX _Coleta'!H131+'OPEX _Coleta'!H157+'OPEX _Coleta'!H144</f>
        <v>75227.515500000009</v>
      </c>
      <c r="H95" s="1023">
        <f>'OPEX _Coleta'!I118+'OPEX _Coleta'!I131+'OPEX _Coleta'!I157+'OPEX _Coleta'!I144</f>
        <v>90845.32650000001</v>
      </c>
      <c r="I95" s="1023">
        <f>'OPEX _Coleta'!J118+'OPEX _Coleta'!J131+'OPEX _Coleta'!J157+'OPEX _Coleta'!J144</f>
        <v>90845.32650000001</v>
      </c>
      <c r="J95" s="1023">
        <f>'OPEX _Coleta'!K118+'OPEX _Coleta'!K131+'OPEX _Coleta'!K157+'OPEX _Coleta'!K144</f>
        <v>90845.32650000001</v>
      </c>
      <c r="K95" s="1023">
        <f>'OPEX _Coleta'!L118+'OPEX _Coleta'!L131+'OPEX _Coleta'!L157+'OPEX _Coleta'!L144</f>
        <v>90845.32650000001</v>
      </c>
      <c r="L95" s="1023">
        <f>'OPEX _Coleta'!M118+'OPEX _Coleta'!M131+'OPEX _Coleta'!M157+'OPEX _Coleta'!M144</f>
        <v>90845.32650000001</v>
      </c>
      <c r="M95" s="1023">
        <f>'OPEX _Coleta'!N118+'OPEX _Coleta'!N131+'OPEX _Coleta'!N157+'OPEX _Coleta'!N144</f>
        <v>117681.49752932003</v>
      </c>
      <c r="N95" s="1023">
        <f>'OPEX _Coleta'!O118+'OPEX _Coleta'!O131+'OPEX _Coleta'!O157+'OPEX _Coleta'!O144</f>
        <v>113256.35258518999</v>
      </c>
      <c r="O95" s="1023">
        <f>'OPEX _Coleta'!P118+'OPEX _Coleta'!P131+'OPEX _Coleta'!P157+'OPEX _Coleta'!P144</f>
        <v>113256.35258518999</v>
      </c>
      <c r="P95" s="1023">
        <f>'OPEX _Coleta'!Q118+'OPEX _Coleta'!Q131+'OPEX _Coleta'!Q157+'OPEX _Coleta'!Q144</f>
        <v>113256.35258518999</v>
      </c>
      <c r="Q95" s="1023">
        <f>'OPEX _Coleta'!R118+'OPEX _Coleta'!R131+'OPEX _Coleta'!R157+'OPEX _Coleta'!R144</f>
        <v>113256.35258518999</v>
      </c>
      <c r="R95" s="1023">
        <f>'OPEX _Coleta'!S118+'OPEX _Coleta'!S131+'OPEX _Coleta'!S157+'OPEX _Coleta'!S144</f>
        <v>113256.35258518999</v>
      </c>
      <c r="S95" s="1023">
        <f>'OPEX _Coleta'!T118+'OPEX _Coleta'!T131+'OPEX _Coleta'!T157+'OPEX _Coleta'!T144</f>
        <v>113256.35258518999</v>
      </c>
      <c r="T95" s="1023">
        <f>'OPEX _Coleta'!U118+'OPEX _Coleta'!U131+'OPEX _Coleta'!U157+'OPEX _Coleta'!U144</f>
        <v>113256.35258518999</v>
      </c>
      <c r="U95" s="1023">
        <f>'OPEX _Coleta'!V118+'OPEX _Coleta'!V131+'OPEX _Coleta'!V157+'OPEX _Coleta'!V144</f>
        <v>113256.35258518999</v>
      </c>
      <c r="V95" s="1023">
        <f>'OPEX _Coleta'!W118+'OPEX _Coleta'!W131+'OPEX _Coleta'!W157+'OPEX _Coleta'!W144</f>
        <v>113256.35258518999</v>
      </c>
      <c r="W95" s="1023">
        <f>'OPEX _Coleta'!X118+'OPEX _Coleta'!X131+'OPEX _Coleta'!X157+'OPEX _Coleta'!X144</f>
        <v>113256.35258518999</v>
      </c>
      <c r="X95" s="1023">
        <f>'OPEX _Coleta'!Y118+'OPEX _Coleta'!Y131+'OPEX _Coleta'!Y157+'OPEX _Coleta'!Y144</f>
        <v>113256.35258518999</v>
      </c>
      <c r="Y95" s="1023">
        <f>'OPEX _Coleta'!Z118+'OPEX _Coleta'!Z131+'OPEX _Coleta'!Z157+'OPEX _Coleta'!Z144</f>
        <v>113256.35258518999</v>
      </c>
      <c r="Z95" s="1023">
        <f>'OPEX _Coleta'!AA118+'OPEX _Coleta'!AA131+'OPEX _Coleta'!AA157+'OPEX _Coleta'!AA144</f>
        <v>113256.35258518999</v>
      </c>
      <c r="AA95" s="1023">
        <f>'OPEX _Coleta'!AB118+'OPEX _Coleta'!AB131+'OPEX _Coleta'!AB157+'OPEX _Coleta'!AB144</f>
        <v>113256.35258518999</v>
      </c>
      <c r="AB95" s="1023">
        <f>'OPEX _Coleta'!AC118+'OPEX _Coleta'!AC131+'OPEX _Coleta'!AC157+'OPEX _Coleta'!AC144</f>
        <v>113256.35258518999</v>
      </c>
      <c r="AC95" s="1023">
        <f>'OPEX _Coleta'!AD118+'OPEX _Coleta'!AD131+'OPEX _Coleta'!AD157+'OPEX _Coleta'!AD144</f>
        <v>113256.35258518999</v>
      </c>
      <c r="AD95" s="1023">
        <f>'OPEX _Coleta'!AE118+'OPEX _Coleta'!AE131+'OPEX _Coleta'!AE157+'OPEX _Coleta'!AE144</f>
        <v>113256.35258518999</v>
      </c>
      <c r="AE95" s="1023">
        <f>'OPEX _Coleta'!AF118+'OPEX _Coleta'!AF131+'OPEX _Coleta'!AF157+'OPEX _Coleta'!AF144</f>
        <v>113256.35258518999</v>
      </c>
      <c r="AF95" s="1023">
        <f>'OPEX _Coleta'!AG118+'OPEX _Coleta'!AG131+'OPEX _Coleta'!AG157+'OPEX _Coleta'!AG144</f>
        <v>113256.35258518999</v>
      </c>
      <c r="AG95" s="1023">
        <f>'OPEX _Coleta'!AH118+'OPEX _Coleta'!AH131+'OPEX _Coleta'!AH157+'OPEX _Coleta'!AH144</f>
        <v>113256.35258518999</v>
      </c>
      <c r="AH95" s="1023">
        <f>'OPEX _Coleta'!AI118+'OPEX _Coleta'!AI131+'OPEX _Coleta'!AI157+'OPEX _Coleta'!AI144</f>
        <v>113256.35258518999</v>
      </c>
      <c r="AI95" s="1023">
        <f>'OPEX _Coleta'!AJ118+'OPEX _Coleta'!AJ131+'OPEX _Coleta'!AJ157+'OPEX _Coleta'!AJ144</f>
        <v>113256.35258518999</v>
      </c>
    </row>
    <row r="96" spans="3:35" s="77" customFormat="1" hidden="1" outlineLevel="1" x14ac:dyDescent="0.35">
      <c r="C96" s="1024"/>
      <c r="D96" s="1025" t="s">
        <v>2</v>
      </c>
      <c r="E96" s="1026">
        <f t="shared" si="66"/>
        <v>38919205.288221702</v>
      </c>
      <c r="F96" s="1033">
        <f>'OPEX _Coleta'!G119+'OPEX _Coleta'!G132+'OPEX _Coleta'!G158+'OPEX _Coleta'!G145</f>
        <v>1089029.0159999998</v>
      </c>
      <c r="G96" s="1027">
        <f>'OPEX _Coleta'!H119+'OPEX _Coleta'!H132+'OPEX _Coleta'!H158+'OPEX _Coleta'!H145</f>
        <v>1089029.0159999998</v>
      </c>
      <c r="H96" s="1027">
        <f>'OPEX _Coleta'!I119+'OPEX _Coleta'!I132+'OPEX _Coleta'!I158+'OPEX _Coleta'!I145</f>
        <v>1089335.9999999998</v>
      </c>
      <c r="I96" s="1027">
        <f>'OPEX _Coleta'!J119+'OPEX _Coleta'!J132+'OPEX _Coleta'!J158+'OPEX _Coleta'!J145</f>
        <v>1089335.9999999998</v>
      </c>
      <c r="J96" s="1027">
        <f>'OPEX _Coleta'!K119+'OPEX _Coleta'!K132+'OPEX _Coleta'!K158+'OPEX _Coleta'!K145</f>
        <v>1089335.9999999998</v>
      </c>
      <c r="K96" s="1027">
        <f>'OPEX _Coleta'!L119+'OPEX _Coleta'!L132+'OPEX _Coleta'!L158+'OPEX _Coleta'!L145</f>
        <v>1089335.9999999998</v>
      </c>
      <c r="L96" s="1027">
        <f>'OPEX _Coleta'!M119+'OPEX _Coleta'!M132+'OPEX _Coleta'!M158+'OPEX _Coleta'!M145</f>
        <v>1089335.9999999998</v>
      </c>
      <c r="M96" s="1027">
        <f>'OPEX _Coleta'!N119+'OPEX _Coleta'!N132+'OPEX _Coleta'!N158+'OPEX _Coleta'!N145</f>
        <v>1411370.0523518401</v>
      </c>
      <c r="N96" s="1027">
        <f>'OPEX _Coleta'!O119+'OPEX _Coleta'!O132+'OPEX _Coleta'!O158+'OPEX _Coleta'!O145</f>
        <v>1358322.6001759039</v>
      </c>
      <c r="O96" s="1027">
        <f>'OPEX _Coleta'!P119+'OPEX _Coleta'!P132+'OPEX _Coleta'!P158+'OPEX _Coleta'!P145</f>
        <v>1358322.6001759039</v>
      </c>
      <c r="P96" s="1027">
        <f>'OPEX _Coleta'!Q119+'OPEX _Coleta'!Q132+'OPEX _Coleta'!Q158+'OPEX _Coleta'!Q145</f>
        <v>1358322.6001759039</v>
      </c>
      <c r="Q96" s="1027">
        <f>'OPEX _Coleta'!R119+'OPEX _Coleta'!R132+'OPEX _Coleta'!R158+'OPEX _Coleta'!R145</f>
        <v>1358322.6001759039</v>
      </c>
      <c r="R96" s="1027">
        <f>'OPEX _Coleta'!S119+'OPEX _Coleta'!S132+'OPEX _Coleta'!S158+'OPEX _Coleta'!S145</f>
        <v>1358322.6001759039</v>
      </c>
      <c r="S96" s="1027">
        <f>'OPEX _Coleta'!T119+'OPEX _Coleta'!T132+'OPEX _Coleta'!T158+'OPEX _Coleta'!T145</f>
        <v>1358322.6001759039</v>
      </c>
      <c r="T96" s="1027">
        <f>'OPEX _Coleta'!U119+'OPEX _Coleta'!U132+'OPEX _Coleta'!U158+'OPEX _Coleta'!U145</f>
        <v>1358322.6001759039</v>
      </c>
      <c r="U96" s="1027">
        <f>'OPEX _Coleta'!V119+'OPEX _Coleta'!V132+'OPEX _Coleta'!V158+'OPEX _Coleta'!V145</f>
        <v>1358322.6001759039</v>
      </c>
      <c r="V96" s="1027">
        <f>'OPEX _Coleta'!W119+'OPEX _Coleta'!W132+'OPEX _Coleta'!W158+'OPEX _Coleta'!W145</f>
        <v>1358322.6001759039</v>
      </c>
      <c r="W96" s="1027">
        <f>'OPEX _Coleta'!X119+'OPEX _Coleta'!X132+'OPEX _Coleta'!X158+'OPEX _Coleta'!X145</f>
        <v>1358322.6001759039</v>
      </c>
      <c r="X96" s="1027">
        <f>'OPEX _Coleta'!Y119+'OPEX _Coleta'!Y132+'OPEX _Coleta'!Y158+'OPEX _Coleta'!Y145</f>
        <v>1358322.6001759039</v>
      </c>
      <c r="Y96" s="1027">
        <f>'OPEX _Coleta'!Z119+'OPEX _Coleta'!Z132+'OPEX _Coleta'!Z158+'OPEX _Coleta'!Z145</f>
        <v>1358322.6001759039</v>
      </c>
      <c r="Z96" s="1027">
        <f>'OPEX _Coleta'!AA119+'OPEX _Coleta'!AA132+'OPEX _Coleta'!AA158+'OPEX _Coleta'!AA145</f>
        <v>1358322.6001759039</v>
      </c>
      <c r="AA96" s="1027">
        <f>'OPEX _Coleta'!AB119+'OPEX _Coleta'!AB132+'OPEX _Coleta'!AB158+'OPEX _Coleta'!AB145</f>
        <v>1358322.6001759039</v>
      </c>
      <c r="AB96" s="1027">
        <f>'OPEX _Coleta'!AC119+'OPEX _Coleta'!AC132+'OPEX _Coleta'!AC158+'OPEX _Coleta'!AC145</f>
        <v>1358322.6001759039</v>
      </c>
      <c r="AC96" s="1027">
        <f>'OPEX _Coleta'!AD119+'OPEX _Coleta'!AD132+'OPEX _Coleta'!AD158+'OPEX _Coleta'!AD145</f>
        <v>1358322.6001759039</v>
      </c>
      <c r="AD96" s="1027">
        <f>'OPEX _Coleta'!AE119+'OPEX _Coleta'!AE132+'OPEX _Coleta'!AE158+'OPEX _Coleta'!AE145</f>
        <v>1358322.6001759039</v>
      </c>
      <c r="AE96" s="1027">
        <f>'OPEX _Coleta'!AF119+'OPEX _Coleta'!AF132+'OPEX _Coleta'!AF158+'OPEX _Coleta'!AF145</f>
        <v>1358322.6001759039</v>
      </c>
      <c r="AF96" s="1027">
        <f>'OPEX _Coleta'!AG119+'OPEX _Coleta'!AG132+'OPEX _Coleta'!AG158+'OPEX _Coleta'!AG145</f>
        <v>1358322.6001759039</v>
      </c>
      <c r="AG96" s="1027">
        <f>'OPEX _Coleta'!AH119+'OPEX _Coleta'!AH132+'OPEX _Coleta'!AH158+'OPEX _Coleta'!AH145</f>
        <v>1358322.6001759039</v>
      </c>
      <c r="AH96" s="1027">
        <f>'OPEX _Coleta'!AI119+'OPEX _Coleta'!AI132+'OPEX _Coleta'!AI158+'OPEX _Coleta'!AI145</f>
        <v>1358322.6001759039</v>
      </c>
      <c r="AI96" s="1027">
        <f>'OPEX _Coleta'!AJ119+'OPEX _Coleta'!AJ132+'OPEX _Coleta'!AJ158+'OPEX _Coleta'!AJ145</f>
        <v>1358322.6001759039</v>
      </c>
    </row>
    <row r="97" spans="3:35" s="77" customFormat="1" hidden="1" outlineLevel="1" x14ac:dyDescent="0.35">
      <c r="C97" s="1024"/>
      <c r="D97" s="1025" t="s">
        <v>3</v>
      </c>
      <c r="E97" s="1026">
        <f t="shared" si="66"/>
        <v>4536013.8575616311</v>
      </c>
      <c r="F97" s="1033">
        <f>'OPEX _Coleta'!G120+'OPEX _Coleta'!G133+'OPEX _Coleta'!G159+'OPEX _Coleta'!G146</f>
        <v>106610.77349999998</v>
      </c>
      <c r="G97" s="1027">
        <f>'OPEX _Coleta'!H120+'OPEX _Coleta'!H133+'OPEX _Coleta'!H159+'OPEX _Coleta'!H146</f>
        <v>106610.77349999998</v>
      </c>
      <c r="H97" s="1027">
        <f>'OPEX _Coleta'!I120+'OPEX _Coleta'!I133+'OPEX _Coleta'!I159+'OPEX _Coleta'!I146</f>
        <v>128790.36749999998</v>
      </c>
      <c r="I97" s="1027">
        <f>'OPEX _Coleta'!J120+'OPEX _Coleta'!J133+'OPEX _Coleta'!J159+'OPEX _Coleta'!J146</f>
        <v>128790.36749999998</v>
      </c>
      <c r="J97" s="1027">
        <f>'OPEX _Coleta'!K120+'OPEX _Coleta'!K133+'OPEX _Coleta'!K159+'OPEX _Coleta'!K146</f>
        <v>128790.36749999998</v>
      </c>
      <c r="K97" s="1027">
        <f>'OPEX _Coleta'!L120+'OPEX _Coleta'!L133+'OPEX _Coleta'!L159+'OPEX _Coleta'!L146</f>
        <v>128790.36749999998</v>
      </c>
      <c r="L97" s="1027">
        <f>'OPEX _Coleta'!M120+'OPEX _Coleta'!M133+'OPEX _Coleta'!M159+'OPEX _Coleta'!M146</f>
        <v>128790.36749999998</v>
      </c>
      <c r="M97" s="1027">
        <f>'OPEX _Coleta'!N120+'OPEX _Coleta'!N133+'OPEX _Coleta'!N159+'OPEX _Coleta'!N146</f>
        <v>165948.14277136617</v>
      </c>
      <c r="N97" s="1027">
        <f>'OPEX _Coleta'!O120+'OPEX _Coleta'!O133+'OPEX _Coleta'!O159+'OPEX _Coleta'!O146</f>
        <v>159676.92410410303</v>
      </c>
      <c r="O97" s="1027">
        <f>'OPEX _Coleta'!P120+'OPEX _Coleta'!P133+'OPEX _Coleta'!P159+'OPEX _Coleta'!P146</f>
        <v>159676.92410410303</v>
      </c>
      <c r="P97" s="1027">
        <f>'OPEX _Coleta'!Q120+'OPEX _Coleta'!Q133+'OPEX _Coleta'!Q159+'OPEX _Coleta'!Q146</f>
        <v>159676.92410410303</v>
      </c>
      <c r="Q97" s="1027">
        <f>'OPEX _Coleta'!R120+'OPEX _Coleta'!R133+'OPEX _Coleta'!R159+'OPEX _Coleta'!R146</f>
        <v>159676.92410410303</v>
      </c>
      <c r="R97" s="1027">
        <f>'OPEX _Coleta'!S120+'OPEX _Coleta'!S133+'OPEX _Coleta'!S159+'OPEX _Coleta'!S146</f>
        <v>159676.92410410303</v>
      </c>
      <c r="S97" s="1027">
        <f>'OPEX _Coleta'!T120+'OPEX _Coleta'!T133+'OPEX _Coleta'!T159+'OPEX _Coleta'!T146</f>
        <v>159676.92410410303</v>
      </c>
      <c r="T97" s="1027">
        <f>'OPEX _Coleta'!U120+'OPEX _Coleta'!U133+'OPEX _Coleta'!U159+'OPEX _Coleta'!U146</f>
        <v>159676.92410410303</v>
      </c>
      <c r="U97" s="1027">
        <f>'OPEX _Coleta'!V120+'OPEX _Coleta'!V133+'OPEX _Coleta'!V159+'OPEX _Coleta'!V146</f>
        <v>159676.92410410303</v>
      </c>
      <c r="V97" s="1027">
        <f>'OPEX _Coleta'!W120+'OPEX _Coleta'!W133+'OPEX _Coleta'!W159+'OPEX _Coleta'!W146</f>
        <v>159676.92410410303</v>
      </c>
      <c r="W97" s="1027">
        <f>'OPEX _Coleta'!X120+'OPEX _Coleta'!X133+'OPEX _Coleta'!X159+'OPEX _Coleta'!X146</f>
        <v>159676.92410410303</v>
      </c>
      <c r="X97" s="1027">
        <f>'OPEX _Coleta'!Y120+'OPEX _Coleta'!Y133+'OPEX _Coleta'!Y159+'OPEX _Coleta'!Y146</f>
        <v>159676.92410410303</v>
      </c>
      <c r="Y97" s="1027">
        <f>'OPEX _Coleta'!Z120+'OPEX _Coleta'!Z133+'OPEX _Coleta'!Z159+'OPEX _Coleta'!Z146</f>
        <v>159676.92410410303</v>
      </c>
      <c r="Z97" s="1027">
        <f>'OPEX _Coleta'!AA120+'OPEX _Coleta'!AA133+'OPEX _Coleta'!AA159+'OPEX _Coleta'!AA146</f>
        <v>159676.92410410303</v>
      </c>
      <c r="AA97" s="1027">
        <f>'OPEX _Coleta'!AB120+'OPEX _Coleta'!AB133+'OPEX _Coleta'!AB159+'OPEX _Coleta'!AB146</f>
        <v>159676.92410410303</v>
      </c>
      <c r="AB97" s="1027">
        <f>'OPEX _Coleta'!AC120+'OPEX _Coleta'!AC133+'OPEX _Coleta'!AC159+'OPEX _Coleta'!AC146</f>
        <v>159676.92410410303</v>
      </c>
      <c r="AC97" s="1027">
        <f>'OPEX _Coleta'!AD120+'OPEX _Coleta'!AD133+'OPEX _Coleta'!AD159+'OPEX _Coleta'!AD146</f>
        <v>159676.92410410303</v>
      </c>
      <c r="AD97" s="1027">
        <f>'OPEX _Coleta'!AE120+'OPEX _Coleta'!AE133+'OPEX _Coleta'!AE159+'OPEX _Coleta'!AE146</f>
        <v>159676.92410410303</v>
      </c>
      <c r="AE97" s="1027">
        <f>'OPEX _Coleta'!AF120+'OPEX _Coleta'!AF133+'OPEX _Coleta'!AF159+'OPEX _Coleta'!AF146</f>
        <v>159676.92410410303</v>
      </c>
      <c r="AF97" s="1027">
        <f>'OPEX _Coleta'!AG120+'OPEX _Coleta'!AG133+'OPEX _Coleta'!AG159+'OPEX _Coleta'!AG146</f>
        <v>159676.92410410303</v>
      </c>
      <c r="AG97" s="1027">
        <f>'OPEX _Coleta'!AH120+'OPEX _Coleta'!AH133+'OPEX _Coleta'!AH159+'OPEX _Coleta'!AH146</f>
        <v>159676.92410410303</v>
      </c>
      <c r="AH97" s="1027">
        <f>'OPEX _Coleta'!AI120+'OPEX _Coleta'!AI133+'OPEX _Coleta'!AI159+'OPEX _Coleta'!AI146</f>
        <v>159676.92410410303</v>
      </c>
      <c r="AI97" s="1027">
        <f>'OPEX _Coleta'!AJ120+'OPEX _Coleta'!AJ133+'OPEX _Coleta'!AJ159+'OPEX _Coleta'!AJ146</f>
        <v>159676.92410410303</v>
      </c>
    </row>
    <row r="98" spans="3:35" s="77" customFormat="1" hidden="1" outlineLevel="1" x14ac:dyDescent="0.35">
      <c r="C98" s="1024"/>
      <c r="D98" s="1025" t="s">
        <v>4</v>
      </c>
      <c r="E98" s="1026">
        <f t="shared" si="66"/>
        <v>11219183.54675048</v>
      </c>
      <c r="F98" s="1033">
        <f>'OPEX _Coleta'!G121+'OPEX _Coleta'!G134+'OPEX _Coleta'!G160+'OPEX _Coleta'!G147</f>
        <v>263065.54500000004</v>
      </c>
      <c r="G98" s="1027">
        <f>'OPEX _Coleta'!H121+'OPEX _Coleta'!H134+'OPEX _Coleta'!H160+'OPEX _Coleta'!H147</f>
        <v>263065.54500000004</v>
      </c>
      <c r="H98" s="1027">
        <f>'OPEX _Coleta'!I121+'OPEX _Coleta'!I134+'OPEX _Coleta'!I160+'OPEX _Coleta'!I147</f>
        <v>317747.07000000007</v>
      </c>
      <c r="I98" s="1027">
        <f>'OPEX _Coleta'!J121+'OPEX _Coleta'!J134+'OPEX _Coleta'!J160+'OPEX _Coleta'!J147</f>
        <v>317747.07000000007</v>
      </c>
      <c r="J98" s="1027">
        <f>'OPEX _Coleta'!K121+'OPEX _Coleta'!K134+'OPEX _Coleta'!K160+'OPEX _Coleta'!K147</f>
        <v>317747.07000000007</v>
      </c>
      <c r="K98" s="1027">
        <f>'OPEX _Coleta'!L121+'OPEX _Coleta'!L134+'OPEX _Coleta'!L160+'OPEX _Coleta'!L147</f>
        <v>317747.07000000007</v>
      </c>
      <c r="L98" s="1027">
        <f>'OPEX _Coleta'!M121+'OPEX _Coleta'!M134+'OPEX _Coleta'!M160+'OPEX _Coleta'!M147</f>
        <v>317747.07000000007</v>
      </c>
      <c r="M98" s="1027">
        <f>'OPEX _Coleta'!N121+'OPEX _Coleta'!N134+'OPEX _Coleta'!N160+'OPEX _Coleta'!N147</f>
        <v>410641.50817841553</v>
      </c>
      <c r="N98" s="1027">
        <f>'OPEX _Coleta'!O121+'OPEX _Coleta'!O134+'OPEX _Coleta'!O160+'OPEX _Coleta'!O147</f>
        <v>395167.07266236632</v>
      </c>
      <c r="O98" s="1027">
        <f>'OPEX _Coleta'!P121+'OPEX _Coleta'!P134+'OPEX _Coleta'!P160+'OPEX _Coleta'!P147</f>
        <v>395167.07266236632</v>
      </c>
      <c r="P98" s="1027">
        <f>'OPEX _Coleta'!Q121+'OPEX _Coleta'!Q134+'OPEX _Coleta'!Q160+'OPEX _Coleta'!Q147</f>
        <v>395167.07266236632</v>
      </c>
      <c r="Q98" s="1027">
        <f>'OPEX _Coleta'!R121+'OPEX _Coleta'!R134+'OPEX _Coleta'!R160+'OPEX _Coleta'!R147</f>
        <v>395167.07266236632</v>
      </c>
      <c r="R98" s="1027">
        <f>'OPEX _Coleta'!S121+'OPEX _Coleta'!S134+'OPEX _Coleta'!S160+'OPEX _Coleta'!S147</f>
        <v>395167.07266236632</v>
      </c>
      <c r="S98" s="1027">
        <f>'OPEX _Coleta'!T121+'OPEX _Coleta'!T134+'OPEX _Coleta'!T160+'OPEX _Coleta'!T147</f>
        <v>395167.07266236632</v>
      </c>
      <c r="T98" s="1027">
        <f>'OPEX _Coleta'!U121+'OPEX _Coleta'!U134+'OPEX _Coleta'!U160+'OPEX _Coleta'!U147</f>
        <v>395167.07266236632</v>
      </c>
      <c r="U98" s="1027">
        <f>'OPEX _Coleta'!V121+'OPEX _Coleta'!V134+'OPEX _Coleta'!V160+'OPEX _Coleta'!V147</f>
        <v>395167.07266236632</v>
      </c>
      <c r="V98" s="1027">
        <f>'OPEX _Coleta'!W121+'OPEX _Coleta'!W134+'OPEX _Coleta'!W160+'OPEX _Coleta'!W147</f>
        <v>395167.07266236632</v>
      </c>
      <c r="W98" s="1027">
        <f>'OPEX _Coleta'!X121+'OPEX _Coleta'!X134+'OPEX _Coleta'!X160+'OPEX _Coleta'!X147</f>
        <v>395167.07266236632</v>
      </c>
      <c r="X98" s="1027">
        <f>'OPEX _Coleta'!Y121+'OPEX _Coleta'!Y134+'OPEX _Coleta'!Y160+'OPEX _Coleta'!Y147</f>
        <v>395167.07266236632</v>
      </c>
      <c r="Y98" s="1027">
        <f>'OPEX _Coleta'!Z121+'OPEX _Coleta'!Z134+'OPEX _Coleta'!Z160+'OPEX _Coleta'!Z147</f>
        <v>395167.07266236632</v>
      </c>
      <c r="Z98" s="1027">
        <f>'OPEX _Coleta'!AA121+'OPEX _Coleta'!AA134+'OPEX _Coleta'!AA160+'OPEX _Coleta'!AA147</f>
        <v>395167.07266236632</v>
      </c>
      <c r="AA98" s="1027">
        <f>'OPEX _Coleta'!AB121+'OPEX _Coleta'!AB134+'OPEX _Coleta'!AB160+'OPEX _Coleta'!AB147</f>
        <v>395167.07266236632</v>
      </c>
      <c r="AB98" s="1027">
        <f>'OPEX _Coleta'!AC121+'OPEX _Coleta'!AC134+'OPEX _Coleta'!AC160+'OPEX _Coleta'!AC147</f>
        <v>395167.07266236632</v>
      </c>
      <c r="AC98" s="1027">
        <f>'OPEX _Coleta'!AD121+'OPEX _Coleta'!AD134+'OPEX _Coleta'!AD160+'OPEX _Coleta'!AD147</f>
        <v>395167.07266236632</v>
      </c>
      <c r="AD98" s="1027">
        <f>'OPEX _Coleta'!AE121+'OPEX _Coleta'!AE134+'OPEX _Coleta'!AE160+'OPEX _Coleta'!AE147</f>
        <v>395167.07266236632</v>
      </c>
      <c r="AE98" s="1027">
        <f>'OPEX _Coleta'!AF121+'OPEX _Coleta'!AF134+'OPEX _Coleta'!AF160+'OPEX _Coleta'!AF147</f>
        <v>395167.07266236632</v>
      </c>
      <c r="AF98" s="1027">
        <f>'OPEX _Coleta'!AG121+'OPEX _Coleta'!AG134+'OPEX _Coleta'!AG160+'OPEX _Coleta'!AG147</f>
        <v>395167.07266236632</v>
      </c>
      <c r="AG98" s="1027">
        <f>'OPEX _Coleta'!AH121+'OPEX _Coleta'!AH134+'OPEX _Coleta'!AH160+'OPEX _Coleta'!AH147</f>
        <v>395167.07266236632</v>
      </c>
      <c r="AH98" s="1027">
        <f>'OPEX _Coleta'!AI121+'OPEX _Coleta'!AI134+'OPEX _Coleta'!AI160+'OPEX _Coleta'!AI147</f>
        <v>395167.07266236632</v>
      </c>
      <c r="AI98" s="1027">
        <f>'OPEX _Coleta'!AJ121+'OPEX _Coleta'!AJ134+'OPEX _Coleta'!AJ160+'OPEX _Coleta'!AJ147</f>
        <v>395167.07266236632</v>
      </c>
    </row>
    <row r="99" spans="3:35" s="77" customFormat="1" hidden="1" outlineLevel="1" x14ac:dyDescent="0.35">
      <c r="C99" s="1024"/>
      <c r="D99" s="1025" t="s">
        <v>5</v>
      </c>
      <c r="E99" s="1026">
        <f t="shared" si="66"/>
        <v>25670129.53656983</v>
      </c>
      <c r="F99" s="1033">
        <f>'OPEX _Coleta'!G122+'OPEX _Coleta'!G135+'OPEX _Coleta'!G161+'OPEX _Coleta'!G148</f>
        <v>600435.56849999994</v>
      </c>
      <c r="G99" s="1027">
        <f>'OPEX _Coleta'!H122+'OPEX _Coleta'!H135+'OPEX _Coleta'!H161+'OPEX _Coleta'!H148</f>
        <v>600435.56849999994</v>
      </c>
      <c r="H99" s="1027">
        <f>'OPEX _Coleta'!I122+'OPEX _Coleta'!I135+'OPEX _Coleta'!I161+'OPEX _Coleta'!I148</f>
        <v>725301.31049999991</v>
      </c>
      <c r="I99" s="1027">
        <f>'OPEX _Coleta'!J122+'OPEX _Coleta'!J135+'OPEX _Coleta'!J161+'OPEX _Coleta'!J148</f>
        <v>725301.31049999991</v>
      </c>
      <c r="J99" s="1027">
        <f>'OPEX _Coleta'!K122+'OPEX _Coleta'!K135+'OPEX _Coleta'!K161+'OPEX _Coleta'!K148</f>
        <v>725301.31049999991</v>
      </c>
      <c r="K99" s="1027">
        <f>'OPEX _Coleta'!L122+'OPEX _Coleta'!L135+'OPEX _Coleta'!L161+'OPEX _Coleta'!L148</f>
        <v>725301.31049999991</v>
      </c>
      <c r="L99" s="1027">
        <f>'OPEX _Coleta'!M122+'OPEX _Coleta'!M135+'OPEX _Coleta'!M161+'OPEX _Coleta'!M148</f>
        <v>725301.31049999991</v>
      </c>
      <c r="M99" s="1027">
        <f>'OPEX _Coleta'!N122+'OPEX _Coleta'!N135+'OPEX _Coleta'!N161+'OPEX _Coleta'!N148</f>
        <v>939990.67873456015</v>
      </c>
      <c r="N99" s="1027">
        <f>'OPEX _Coleta'!O122+'OPEX _Coleta'!O135+'OPEX _Coleta'!O161+'OPEX _Coleta'!O148</f>
        <v>904670.96219705732</v>
      </c>
      <c r="O99" s="1027">
        <f>'OPEX _Coleta'!P122+'OPEX _Coleta'!P135+'OPEX _Coleta'!P161+'OPEX _Coleta'!P148</f>
        <v>904670.96219705732</v>
      </c>
      <c r="P99" s="1027">
        <f>'OPEX _Coleta'!Q122+'OPEX _Coleta'!Q135+'OPEX _Coleta'!Q161+'OPEX _Coleta'!Q148</f>
        <v>904670.96219705732</v>
      </c>
      <c r="Q99" s="1027">
        <f>'OPEX _Coleta'!R122+'OPEX _Coleta'!R135+'OPEX _Coleta'!R161+'OPEX _Coleta'!R148</f>
        <v>904670.96219705732</v>
      </c>
      <c r="R99" s="1027">
        <f>'OPEX _Coleta'!S122+'OPEX _Coleta'!S135+'OPEX _Coleta'!S161+'OPEX _Coleta'!S148</f>
        <v>904670.96219705732</v>
      </c>
      <c r="S99" s="1027">
        <f>'OPEX _Coleta'!T122+'OPEX _Coleta'!T135+'OPEX _Coleta'!T161+'OPEX _Coleta'!T148</f>
        <v>904670.96219705732</v>
      </c>
      <c r="T99" s="1027">
        <f>'OPEX _Coleta'!U122+'OPEX _Coleta'!U135+'OPEX _Coleta'!U161+'OPEX _Coleta'!U148</f>
        <v>904670.96219705732</v>
      </c>
      <c r="U99" s="1027">
        <f>'OPEX _Coleta'!V122+'OPEX _Coleta'!V135+'OPEX _Coleta'!V161+'OPEX _Coleta'!V148</f>
        <v>904670.96219705732</v>
      </c>
      <c r="V99" s="1027">
        <f>'OPEX _Coleta'!W122+'OPEX _Coleta'!W135+'OPEX _Coleta'!W161+'OPEX _Coleta'!W148</f>
        <v>904670.96219705732</v>
      </c>
      <c r="W99" s="1027">
        <f>'OPEX _Coleta'!X122+'OPEX _Coleta'!X135+'OPEX _Coleta'!X161+'OPEX _Coleta'!X148</f>
        <v>904670.96219705732</v>
      </c>
      <c r="X99" s="1027">
        <f>'OPEX _Coleta'!Y122+'OPEX _Coleta'!Y135+'OPEX _Coleta'!Y161+'OPEX _Coleta'!Y148</f>
        <v>904670.96219705732</v>
      </c>
      <c r="Y99" s="1027">
        <f>'OPEX _Coleta'!Z122+'OPEX _Coleta'!Z135+'OPEX _Coleta'!Z161+'OPEX _Coleta'!Z148</f>
        <v>904670.96219705732</v>
      </c>
      <c r="Z99" s="1027">
        <f>'OPEX _Coleta'!AA122+'OPEX _Coleta'!AA135+'OPEX _Coleta'!AA161+'OPEX _Coleta'!AA148</f>
        <v>904670.96219705732</v>
      </c>
      <c r="AA99" s="1027">
        <f>'OPEX _Coleta'!AB122+'OPEX _Coleta'!AB135+'OPEX _Coleta'!AB161+'OPEX _Coleta'!AB148</f>
        <v>904670.96219705732</v>
      </c>
      <c r="AB99" s="1027">
        <f>'OPEX _Coleta'!AC122+'OPEX _Coleta'!AC135+'OPEX _Coleta'!AC161+'OPEX _Coleta'!AC148</f>
        <v>904670.96219705732</v>
      </c>
      <c r="AC99" s="1027">
        <f>'OPEX _Coleta'!AD122+'OPEX _Coleta'!AD135+'OPEX _Coleta'!AD161+'OPEX _Coleta'!AD148</f>
        <v>904670.96219705732</v>
      </c>
      <c r="AD99" s="1027">
        <f>'OPEX _Coleta'!AE122+'OPEX _Coleta'!AE135+'OPEX _Coleta'!AE161+'OPEX _Coleta'!AE148</f>
        <v>904670.96219705732</v>
      </c>
      <c r="AE99" s="1027">
        <f>'OPEX _Coleta'!AF122+'OPEX _Coleta'!AF135+'OPEX _Coleta'!AF161+'OPEX _Coleta'!AF148</f>
        <v>904670.96219705732</v>
      </c>
      <c r="AF99" s="1027">
        <f>'OPEX _Coleta'!AG122+'OPEX _Coleta'!AG135+'OPEX _Coleta'!AG161+'OPEX _Coleta'!AG148</f>
        <v>904670.96219705732</v>
      </c>
      <c r="AG99" s="1027">
        <f>'OPEX _Coleta'!AH122+'OPEX _Coleta'!AH135+'OPEX _Coleta'!AH161+'OPEX _Coleta'!AH148</f>
        <v>904670.96219705732</v>
      </c>
      <c r="AH99" s="1027">
        <f>'OPEX _Coleta'!AI122+'OPEX _Coleta'!AI135+'OPEX _Coleta'!AI161+'OPEX _Coleta'!AI148</f>
        <v>904670.96219705732</v>
      </c>
      <c r="AI99" s="1027">
        <f>'OPEX _Coleta'!AJ122+'OPEX _Coleta'!AJ135+'OPEX _Coleta'!AJ161+'OPEX _Coleta'!AJ148</f>
        <v>904670.96219705732</v>
      </c>
    </row>
    <row r="100" spans="3:35" s="77" customFormat="1" hidden="1" outlineLevel="1" x14ac:dyDescent="0.35">
      <c r="C100" s="1024"/>
      <c r="D100" s="1025" t="s">
        <v>6</v>
      </c>
      <c r="E100" s="1026">
        <f t="shared" si="66"/>
        <v>276645679.83857</v>
      </c>
      <c r="F100" s="1033">
        <f>'OPEX _Coleta'!G123+'OPEX _Coleta'!G136+'OPEX _Coleta'!G162+'OPEX _Coleta'!G149</f>
        <v>6474644.7810399299</v>
      </c>
      <c r="G100" s="1027">
        <f>'OPEX _Coleta'!H123+'OPEX _Coleta'!H136+'OPEX _Coleta'!H162+'OPEX _Coleta'!H149</f>
        <v>6474644.7810399299</v>
      </c>
      <c r="H100" s="1027">
        <f>'OPEX _Coleta'!I123+'OPEX _Coleta'!I136+'OPEX _Coleta'!I162+'OPEX _Coleta'!I149</f>
        <v>7821192.7060049996</v>
      </c>
      <c r="I100" s="1027">
        <f>'OPEX _Coleta'!J123+'OPEX _Coleta'!J136+'OPEX _Coleta'!J162+'OPEX _Coleta'!J149</f>
        <v>7821192.7060049996</v>
      </c>
      <c r="J100" s="1027">
        <f>'OPEX _Coleta'!K123+'OPEX _Coleta'!K136+'OPEX _Coleta'!K162+'OPEX _Coleta'!K149</f>
        <v>7821192.7060049996</v>
      </c>
      <c r="K100" s="1027">
        <f>'OPEX _Coleta'!L123+'OPEX _Coleta'!L136+'OPEX _Coleta'!L162+'OPEX _Coleta'!L149</f>
        <v>7821192.7060049996</v>
      </c>
      <c r="L100" s="1027">
        <f>'OPEX _Coleta'!M123+'OPEX _Coleta'!M136+'OPEX _Coleta'!M162+'OPEX _Coleta'!M149</f>
        <v>7821192.7060049996</v>
      </c>
      <c r="M100" s="1027">
        <f>'OPEX _Coleta'!N123+'OPEX _Coleta'!N136+'OPEX _Coleta'!N162+'OPEX _Coleta'!N149</f>
        <v>10129103.414526522</v>
      </c>
      <c r="N100" s="1027">
        <f>'OPEX _Coleta'!O123+'OPEX _Coleta'!O136+'OPEX _Coleta'!O162+'OPEX _Coleta'!O149</f>
        <v>9748241.9696335699</v>
      </c>
      <c r="O100" s="1027">
        <f>'OPEX _Coleta'!P123+'OPEX _Coleta'!P136+'OPEX _Coleta'!P162+'OPEX _Coleta'!P149</f>
        <v>9748241.9696335699</v>
      </c>
      <c r="P100" s="1027">
        <f>'OPEX _Coleta'!Q123+'OPEX _Coleta'!Q136+'OPEX _Coleta'!Q162+'OPEX _Coleta'!Q149</f>
        <v>9748241.9696335699</v>
      </c>
      <c r="Q100" s="1027">
        <f>'OPEX _Coleta'!R123+'OPEX _Coleta'!R136+'OPEX _Coleta'!R162+'OPEX _Coleta'!R149</f>
        <v>9748241.9696335699</v>
      </c>
      <c r="R100" s="1027">
        <f>'OPEX _Coleta'!S123+'OPEX _Coleta'!S136+'OPEX _Coleta'!S162+'OPEX _Coleta'!S149</f>
        <v>9748241.9696335699</v>
      </c>
      <c r="S100" s="1027">
        <f>'OPEX _Coleta'!T123+'OPEX _Coleta'!T136+'OPEX _Coleta'!T162+'OPEX _Coleta'!T149</f>
        <v>9748241.9696335699</v>
      </c>
      <c r="T100" s="1027">
        <f>'OPEX _Coleta'!U123+'OPEX _Coleta'!U136+'OPEX _Coleta'!U162+'OPEX _Coleta'!U149</f>
        <v>9748241.9696335699</v>
      </c>
      <c r="U100" s="1027">
        <f>'OPEX _Coleta'!V123+'OPEX _Coleta'!V136+'OPEX _Coleta'!V162+'OPEX _Coleta'!V149</f>
        <v>9748241.9696335699</v>
      </c>
      <c r="V100" s="1027">
        <f>'OPEX _Coleta'!W123+'OPEX _Coleta'!W136+'OPEX _Coleta'!W162+'OPEX _Coleta'!W149</f>
        <v>9748241.9696335699</v>
      </c>
      <c r="W100" s="1027">
        <f>'OPEX _Coleta'!X123+'OPEX _Coleta'!X136+'OPEX _Coleta'!X162+'OPEX _Coleta'!X149</f>
        <v>9748241.9696335699</v>
      </c>
      <c r="X100" s="1027">
        <f>'OPEX _Coleta'!Y123+'OPEX _Coleta'!Y136+'OPEX _Coleta'!Y162+'OPEX _Coleta'!Y149</f>
        <v>9748241.9696335699</v>
      </c>
      <c r="Y100" s="1027">
        <f>'OPEX _Coleta'!Z123+'OPEX _Coleta'!Z136+'OPEX _Coleta'!Z162+'OPEX _Coleta'!Z149</f>
        <v>9748241.9696335699</v>
      </c>
      <c r="Z100" s="1027">
        <f>'OPEX _Coleta'!AA123+'OPEX _Coleta'!AA136+'OPEX _Coleta'!AA162+'OPEX _Coleta'!AA149</f>
        <v>9748241.9696335699</v>
      </c>
      <c r="AA100" s="1027">
        <f>'OPEX _Coleta'!AB123+'OPEX _Coleta'!AB136+'OPEX _Coleta'!AB162+'OPEX _Coleta'!AB149</f>
        <v>9748241.9696335699</v>
      </c>
      <c r="AB100" s="1027">
        <f>'OPEX _Coleta'!AC123+'OPEX _Coleta'!AC136+'OPEX _Coleta'!AC162+'OPEX _Coleta'!AC149</f>
        <v>9748241.9696335699</v>
      </c>
      <c r="AC100" s="1027">
        <f>'OPEX _Coleta'!AD123+'OPEX _Coleta'!AD136+'OPEX _Coleta'!AD162+'OPEX _Coleta'!AD149</f>
        <v>9748241.9696335699</v>
      </c>
      <c r="AD100" s="1027">
        <f>'OPEX _Coleta'!AE123+'OPEX _Coleta'!AE136+'OPEX _Coleta'!AE162+'OPEX _Coleta'!AE149</f>
        <v>9748241.9696335699</v>
      </c>
      <c r="AE100" s="1027">
        <f>'OPEX _Coleta'!AF123+'OPEX _Coleta'!AF136+'OPEX _Coleta'!AF162+'OPEX _Coleta'!AF149</f>
        <v>9748241.9696335699</v>
      </c>
      <c r="AF100" s="1027">
        <f>'OPEX _Coleta'!AG123+'OPEX _Coleta'!AG136+'OPEX _Coleta'!AG162+'OPEX _Coleta'!AG149</f>
        <v>9748241.9696335699</v>
      </c>
      <c r="AG100" s="1027">
        <f>'OPEX _Coleta'!AH123+'OPEX _Coleta'!AH136+'OPEX _Coleta'!AH162+'OPEX _Coleta'!AH149</f>
        <v>9748241.9696335699</v>
      </c>
      <c r="AH100" s="1027">
        <f>'OPEX _Coleta'!AI123+'OPEX _Coleta'!AI136+'OPEX _Coleta'!AI162+'OPEX _Coleta'!AI149</f>
        <v>9748241.9696335699</v>
      </c>
      <c r="AI100" s="1027">
        <f>'OPEX _Coleta'!AJ123+'OPEX _Coleta'!AJ136+'OPEX _Coleta'!AJ162+'OPEX _Coleta'!AJ149</f>
        <v>9748241.9696335699</v>
      </c>
    </row>
    <row r="101" spans="3:35" s="77" customFormat="1" hidden="1" outlineLevel="1" x14ac:dyDescent="0.35">
      <c r="C101" s="1024"/>
      <c r="D101" s="1025" t="s">
        <v>7</v>
      </c>
      <c r="E101" s="1026">
        <f t="shared" si="66"/>
        <v>0</v>
      </c>
      <c r="F101" s="1033">
        <f>'OPEX _Coleta'!G124+'OPEX _Coleta'!G137+'OPEX _Coleta'!G163+'OPEX _Coleta'!G150</f>
        <v>0</v>
      </c>
      <c r="G101" s="1027">
        <f>'OPEX _Coleta'!H124+'OPEX _Coleta'!H137+'OPEX _Coleta'!H163+'OPEX _Coleta'!H150</f>
        <v>0</v>
      </c>
      <c r="H101" s="1027">
        <f>'OPEX _Coleta'!I124+'OPEX _Coleta'!I137+'OPEX _Coleta'!I163+'OPEX _Coleta'!I150</f>
        <v>0</v>
      </c>
      <c r="I101" s="1027">
        <f>'OPEX _Coleta'!J124+'OPEX _Coleta'!J137+'OPEX _Coleta'!J163+'OPEX _Coleta'!J150</f>
        <v>0</v>
      </c>
      <c r="J101" s="1027">
        <f>'OPEX _Coleta'!K124+'OPEX _Coleta'!K137+'OPEX _Coleta'!K163+'OPEX _Coleta'!K150</f>
        <v>0</v>
      </c>
      <c r="K101" s="1027">
        <f>'OPEX _Coleta'!L124+'OPEX _Coleta'!L137+'OPEX _Coleta'!L163+'OPEX _Coleta'!L150</f>
        <v>0</v>
      </c>
      <c r="L101" s="1027">
        <f>'OPEX _Coleta'!M124+'OPEX _Coleta'!M137+'OPEX _Coleta'!M163+'OPEX _Coleta'!M150</f>
        <v>0</v>
      </c>
      <c r="M101" s="1027">
        <f>'OPEX _Coleta'!N124+'OPEX _Coleta'!N137+'OPEX _Coleta'!N163+'OPEX _Coleta'!N150</f>
        <v>0</v>
      </c>
      <c r="N101" s="1027">
        <f>'OPEX _Coleta'!O124+'OPEX _Coleta'!O137+'OPEX _Coleta'!O163+'OPEX _Coleta'!O150</f>
        <v>0</v>
      </c>
      <c r="O101" s="1027">
        <f>'OPEX _Coleta'!P124+'OPEX _Coleta'!P137+'OPEX _Coleta'!P163+'OPEX _Coleta'!P150</f>
        <v>0</v>
      </c>
      <c r="P101" s="1027">
        <f>'OPEX _Coleta'!Q124+'OPEX _Coleta'!Q137+'OPEX _Coleta'!Q163+'OPEX _Coleta'!Q150</f>
        <v>0</v>
      </c>
      <c r="Q101" s="1027">
        <f>'OPEX _Coleta'!R124+'OPEX _Coleta'!R137+'OPEX _Coleta'!R163+'OPEX _Coleta'!R150</f>
        <v>0</v>
      </c>
      <c r="R101" s="1027">
        <f>'OPEX _Coleta'!S124+'OPEX _Coleta'!S137+'OPEX _Coleta'!S163+'OPEX _Coleta'!S150</f>
        <v>0</v>
      </c>
      <c r="S101" s="1027">
        <f>'OPEX _Coleta'!T124+'OPEX _Coleta'!T137+'OPEX _Coleta'!T163+'OPEX _Coleta'!T150</f>
        <v>0</v>
      </c>
      <c r="T101" s="1027">
        <f>'OPEX _Coleta'!U124+'OPEX _Coleta'!U137+'OPEX _Coleta'!U163+'OPEX _Coleta'!U150</f>
        <v>0</v>
      </c>
      <c r="U101" s="1027">
        <f>'OPEX _Coleta'!V124+'OPEX _Coleta'!V137+'OPEX _Coleta'!V163+'OPEX _Coleta'!V150</f>
        <v>0</v>
      </c>
      <c r="V101" s="1027">
        <f>'OPEX _Coleta'!W124+'OPEX _Coleta'!W137+'OPEX _Coleta'!W163+'OPEX _Coleta'!W150</f>
        <v>0</v>
      </c>
      <c r="W101" s="1027">
        <f>'OPEX _Coleta'!X124+'OPEX _Coleta'!X137+'OPEX _Coleta'!X163+'OPEX _Coleta'!X150</f>
        <v>0</v>
      </c>
      <c r="X101" s="1027">
        <f>'OPEX _Coleta'!Y124+'OPEX _Coleta'!Y137+'OPEX _Coleta'!Y163+'OPEX _Coleta'!Y150</f>
        <v>0</v>
      </c>
      <c r="Y101" s="1027">
        <f>'OPEX _Coleta'!Z124+'OPEX _Coleta'!Z137+'OPEX _Coleta'!Z163+'OPEX _Coleta'!Z150</f>
        <v>0</v>
      </c>
      <c r="Z101" s="1027">
        <f>'OPEX _Coleta'!AA124+'OPEX _Coleta'!AA137+'OPEX _Coleta'!AA163+'OPEX _Coleta'!AA150</f>
        <v>0</v>
      </c>
      <c r="AA101" s="1027">
        <f>'OPEX _Coleta'!AB124+'OPEX _Coleta'!AB137+'OPEX _Coleta'!AB163+'OPEX _Coleta'!AB150</f>
        <v>0</v>
      </c>
      <c r="AB101" s="1027">
        <f>'OPEX _Coleta'!AC124+'OPEX _Coleta'!AC137+'OPEX _Coleta'!AC163+'OPEX _Coleta'!AC150</f>
        <v>0</v>
      </c>
      <c r="AC101" s="1027">
        <f>'OPEX _Coleta'!AD124+'OPEX _Coleta'!AD137+'OPEX _Coleta'!AD163+'OPEX _Coleta'!AD150</f>
        <v>0</v>
      </c>
      <c r="AD101" s="1027">
        <f>'OPEX _Coleta'!AE124+'OPEX _Coleta'!AE137+'OPEX _Coleta'!AE163+'OPEX _Coleta'!AE150</f>
        <v>0</v>
      </c>
      <c r="AE101" s="1027">
        <f>'OPEX _Coleta'!AF124+'OPEX _Coleta'!AF137+'OPEX _Coleta'!AF163+'OPEX _Coleta'!AF150</f>
        <v>0</v>
      </c>
      <c r="AF101" s="1027">
        <f>'OPEX _Coleta'!AG124+'OPEX _Coleta'!AG137+'OPEX _Coleta'!AG163+'OPEX _Coleta'!AG150</f>
        <v>0</v>
      </c>
      <c r="AG101" s="1027">
        <f>'OPEX _Coleta'!AH124+'OPEX _Coleta'!AH137+'OPEX _Coleta'!AH163+'OPEX _Coleta'!AH150</f>
        <v>0</v>
      </c>
      <c r="AH101" s="1027">
        <f>'OPEX _Coleta'!AI124+'OPEX _Coleta'!AI137+'OPEX _Coleta'!AI163+'OPEX _Coleta'!AI150</f>
        <v>0</v>
      </c>
      <c r="AI101" s="1027">
        <f>'OPEX _Coleta'!AJ124+'OPEX _Coleta'!AJ137+'OPEX _Coleta'!AJ163+'OPEX _Coleta'!AJ150</f>
        <v>0</v>
      </c>
    </row>
    <row r="102" spans="3:35" s="77" customFormat="1" hidden="1" outlineLevel="1" x14ac:dyDescent="0.35">
      <c r="C102" s="1024"/>
      <c r="D102" s="1025" t="s">
        <v>8</v>
      </c>
      <c r="E102" s="1026">
        <f t="shared" si="66"/>
        <v>20531783.728421621</v>
      </c>
      <c r="F102" s="1033">
        <f>'OPEX _Coleta'!G125+'OPEX _Coleta'!G138+'OPEX _Coleta'!G164+'OPEX _Coleta'!G151</f>
        <v>572833.55999999994</v>
      </c>
      <c r="G102" s="1027">
        <f>'OPEX _Coleta'!H125+'OPEX _Coleta'!H138+'OPEX _Coleta'!H164+'OPEX _Coleta'!H151</f>
        <v>572833.55999999994</v>
      </c>
      <c r="H102" s="1027">
        <f>'OPEX _Coleta'!I125+'OPEX _Coleta'!I138+'OPEX _Coleta'!I164+'OPEX _Coleta'!I151</f>
        <v>575327.80499999993</v>
      </c>
      <c r="I102" s="1027">
        <f>'OPEX _Coleta'!J125+'OPEX _Coleta'!J138+'OPEX _Coleta'!J164+'OPEX _Coleta'!J151</f>
        <v>575327.80499999993</v>
      </c>
      <c r="J102" s="1027">
        <f>'OPEX _Coleta'!K125+'OPEX _Coleta'!K138+'OPEX _Coleta'!K164+'OPEX _Coleta'!K151</f>
        <v>575327.80499999993</v>
      </c>
      <c r="K102" s="1027">
        <f>'OPEX _Coleta'!L125+'OPEX _Coleta'!L138+'OPEX _Coleta'!L164+'OPEX _Coleta'!L151</f>
        <v>575327.80499999993</v>
      </c>
      <c r="L102" s="1027">
        <f>'OPEX _Coleta'!M125+'OPEX _Coleta'!M138+'OPEX _Coleta'!M164+'OPEX _Coleta'!M151</f>
        <v>575327.80499999993</v>
      </c>
      <c r="M102" s="1027">
        <f>'OPEX _Coleta'!N125+'OPEX _Coleta'!N138+'OPEX _Coleta'!N164+'OPEX _Coleta'!N151</f>
        <v>744602.11456955702</v>
      </c>
      <c r="N102" s="1027">
        <f>'OPEX _Coleta'!O125+'OPEX _Coleta'!O138+'OPEX _Coleta'!O164+'OPEX _Coleta'!O151</f>
        <v>716585.24858418526</v>
      </c>
      <c r="O102" s="1027">
        <f>'OPEX _Coleta'!P125+'OPEX _Coleta'!P138+'OPEX _Coleta'!P164+'OPEX _Coleta'!P151</f>
        <v>716585.24858418526</v>
      </c>
      <c r="P102" s="1027">
        <f>'OPEX _Coleta'!Q125+'OPEX _Coleta'!Q138+'OPEX _Coleta'!Q164+'OPEX _Coleta'!Q151</f>
        <v>716585.24858418526</v>
      </c>
      <c r="Q102" s="1027">
        <f>'OPEX _Coleta'!R125+'OPEX _Coleta'!R138+'OPEX _Coleta'!R164+'OPEX _Coleta'!R151</f>
        <v>716585.24858418526</v>
      </c>
      <c r="R102" s="1027">
        <f>'OPEX _Coleta'!S125+'OPEX _Coleta'!S138+'OPEX _Coleta'!S164+'OPEX _Coleta'!S151</f>
        <v>716585.24858418526</v>
      </c>
      <c r="S102" s="1027">
        <f>'OPEX _Coleta'!T125+'OPEX _Coleta'!T138+'OPEX _Coleta'!T164+'OPEX _Coleta'!T151</f>
        <v>716585.24858418526</v>
      </c>
      <c r="T102" s="1027">
        <f>'OPEX _Coleta'!U125+'OPEX _Coleta'!U138+'OPEX _Coleta'!U164+'OPEX _Coleta'!U151</f>
        <v>716585.24858418526</v>
      </c>
      <c r="U102" s="1027">
        <f>'OPEX _Coleta'!V125+'OPEX _Coleta'!V138+'OPEX _Coleta'!V164+'OPEX _Coleta'!V151</f>
        <v>716585.24858418526</v>
      </c>
      <c r="V102" s="1027">
        <f>'OPEX _Coleta'!W125+'OPEX _Coleta'!W138+'OPEX _Coleta'!W164+'OPEX _Coleta'!W151</f>
        <v>716585.24858418526</v>
      </c>
      <c r="W102" s="1027">
        <f>'OPEX _Coleta'!X125+'OPEX _Coleta'!X138+'OPEX _Coleta'!X164+'OPEX _Coleta'!X151</f>
        <v>716585.24858418526</v>
      </c>
      <c r="X102" s="1027">
        <f>'OPEX _Coleta'!Y125+'OPEX _Coleta'!Y138+'OPEX _Coleta'!Y164+'OPEX _Coleta'!Y151</f>
        <v>716585.24858418526</v>
      </c>
      <c r="Y102" s="1027">
        <f>'OPEX _Coleta'!Z125+'OPEX _Coleta'!Z138+'OPEX _Coleta'!Z164+'OPEX _Coleta'!Z151</f>
        <v>716585.24858418526</v>
      </c>
      <c r="Z102" s="1027">
        <f>'OPEX _Coleta'!AA125+'OPEX _Coleta'!AA138+'OPEX _Coleta'!AA164+'OPEX _Coleta'!AA151</f>
        <v>716585.24858418526</v>
      </c>
      <c r="AA102" s="1027">
        <f>'OPEX _Coleta'!AB125+'OPEX _Coleta'!AB138+'OPEX _Coleta'!AB164+'OPEX _Coleta'!AB151</f>
        <v>716585.24858418526</v>
      </c>
      <c r="AB102" s="1027">
        <f>'OPEX _Coleta'!AC125+'OPEX _Coleta'!AC138+'OPEX _Coleta'!AC164+'OPEX _Coleta'!AC151</f>
        <v>716585.24858418526</v>
      </c>
      <c r="AC102" s="1027">
        <f>'OPEX _Coleta'!AD125+'OPEX _Coleta'!AD138+'OPEX _Coleta'!AD164+'OPEX _Coleta'!AD151</f>
        <v>716585.24858418526</v>
      </c>
      <c r="AD102" s="1027">
        <f>'OPEX _Coleta'!AE125+'OPEX _Coleta'!AE138+'OPEX _Coleta'!AE164+'OPEX _Coleta'!AE151</f>
        <v>716585.24858418526</v>
      </c>
      <c r="AE102" s="1027">
        <f>'OPEX _Coleta'!AF125+'OPEX _Coleta'!AF138+'OPEX _Coleta'!AF164+'OPEX _Coleta'!AF151</f>
        <v>716585.24858418526</v>
      </c>
      <c r="AF102" s="1027">
        <f>'OPEX _Coleta'!AG125+'OPEX _Coleta'!AG138+'OPEX _Coleta'!AG164+'OPEX _Coleta'!AG151</f>
        <v>716585.24858418526</v>
      </c>
      <c r="AG102" s="1027">
        <f>'OPEX _Coleta'!AH125+'OPEX _Coleta'!AH138+'OPEX _Coleta'!AH164+'OPEX _Coleta'!AH151</f>
        <v>716585.24858418526</v>
      </c>
      <c r="AH102" s="1027">
        <f>'OPEX _Coleta'!AI125+'OPEX _Coleta'!AI138+'OPEX _Coleta'!AI164+'OPEX _Coleta'!AI151</f>
        <v>716585.24858418526</v>
      </c>
      <c r="AI102" s="1027">
        <f>'OPEX _Coleta'!AJ125+'OPEX _Coleta'!AJ138+'OPEX _Coleta'!AJ164+'OPEX _Coleta'!AJ151</f>
        <v>716585.24858418526</v>
      </c>
    </row>
    <row r="103" spans="3:35" s="77" customFormat="1" hidden="1" outlineLevel="1" x14ac:dyDescent="0.35">
      <c r="C103" s="1024"/>
      <c r="D103" s="1025" t="s">
        <v>9</v>
      </c>
      <c r="E103" s="1026">
        <f t="shared" si="66"/>
        <v>16598999.43043869</v>
      </c>
      <c r="F103" s="1033">
        <f>'OPEX _Coleta'!G126+'OPEX _Coleta'!G139+'OPEX _Coleta'!G165+'OPEX _Coleta'!G152</f>
        <v>388598.57699999999</v>
      </c>
      <c r="G103" s="1027">
        <f>'OPEX _Coleta'!H126+'OPEX _Coleta'!H139+'OPEX _Coleta'!H165+'OPEX _Coleta'!H152</f>
        <v>388598.57699999999</v>
      </c>
      <c r="H103" s="1027">
        <f>'OPEX _Coleta'!I126+'OPEX _Coleta'!I139+'OPEX _Coleta'!I165+'OPEX _Coleta'!I152</f>
        <v>469413.41968200001</v>
      </c>
      <c r="I103" s="1027">
        <f>'OPEX _Coleta'!J126+'OPEX _Coleta'!J139+'OPEX _Coleta'!J165+'OPEX _Coleta'!J152</f>
        <v>469413.41968200001</v>
      </c>
      <c r="J103" s="1027">
        <f>'OPEX _Coleta'!K126+'OPEX _Coleta'!K139+'OPEX _Coleta'!K165+'OPEX _Coleta'!K152</f>
        <v>469413.41968200001</v>
      </c>
      <c r="K103" s="1027">
        <f>'OPEX _Coleta'!L126+'OPEX _Coleta'!L139+'OPEX _Coleta'!L165+'OPEX _Coleta'!L152</f>
        <v>469413.41968200001</v>
      </c>
      <c r="L103" s="1027">
        <f>'OPEX _Coleta'!M126+'OPEX _Coleta'!M139+'OPEX _Coleta'!M165+'OPEX _Coleta'!M152</f>
        <v>469413.41968200001</v>
      </c>
      <c r="M103" s="1027">
        <f>'OPEX _Coleta'!N126+'OPEX _Coleta'!N139+'OPEX _Coleta'!N165+'OPEX _Coleta'!N152</f>
        <v>607722.91652541864</v>
      </c>
      <c r="N103" s="1027">
        <f>'OPEX _Coleta'!O126+'OPEX _Coleta'!O139+'OPEX _Coleta'!O165+'OPEX _Coleta'!O152</f>
        <v>584864.19370469381</v>
      </c>
      <c r="O103" s="1027">
        <f>'OPEX _Coleta'!P126+'OPEX _Coleta'!P139+'OPEX _Coleta'!P165+'OPEX _Coleta'!P152</f>
        <v>584864.19370469381</v>
      </c>
      <c r="P103" s="1027">
        <f>'OPEX _Coleta'!Q126+'OPEX _Coleta'!Q139+'OPEX _Coleta'!Q165+'OPEX _Coleta'!Q152</f>
        <v>584864.19370469381</v>
      </c>
      <c r="Q103" s="1027">
        <f>'OPEX _Coleta'!R126+'OPEX _Coleta'!R139+'OPEX _Coleta'!R165+'OPEX _Coleta'!R152</f>
        <v>584864.19370469381</v>
      </c>
      <c r="R103" s="1027">
        <f>'OPEX _Coleta'!S126+'OPEX _Coleta'!S139+'OPEX _Coleta'!S165+'OPEX _Coleta'!S152</f>
        <v>584864.19370469381</v>
      </c>
      <c r="S103" s="1027">
        <f>'OPEX _Coleta'!T126+'OPEX _Coleta'!T139+'OPEX _Coleta'!T165+'OPEX _Coleta'!T152</f>
        <v>584864.19370469381</v>
      </c>
      <c r="T103" s="1027">
        <f>'OPEX _Coleta'!U126+'OPEX _Coleta'!U139+'OPEX _Coleta'!U165+'OPEX _Coleta'!U152</f>
        <v>584864.19370469381</v>
      </c>
      <c r="U103" s="1027">
        <f>'OPEX _Coleta'!V126+'OPEX _Coleta'!V139+'OPEX _Coleta'!V165+'OPEX _Coleta'!V152</f>
        <v>584864.19370469381</v>
      </c>
      <c r="V103" s="1027">
        <f>'OPEX _Coleta'!W126+'OPEX _Coleta'!W139+'OPEX _Coleta'!W165+'OPEX _Coleta'!W152</f>
        <v>584864.19370469381</v>
      </c>
      <c r="W103" s="1027">
        <f>'OPEX _Coleta'!X126+'OPEX _Coleta'!X139+'OPEX _Coleta'!X165+'OPEX _Coleta'!X152</f>
        <v>584864.19370469381</v>
      </c>
      <c r="X103" s="1027">
        <f>'OPEX _Coleta'!Y126+'OPEX _Coleta'!Y139+'OPEX _Coleta'!Y165+'OPEX _Coleta'!Y152</f>
        <v>584864.19370469381</v>
      </c>
      <c r="Y103" s="1027">
        <f>'OPEX _Coleta'!Z126+'OPEX _Coleta'!Z139+'OPEX _Coleta'!Z165+'OPEX _Coleta'!Z152</f>
        <v>584864.19370469381</v>
      </c>
      <c r="Z103" s="1027">
        <f>'OPEX _Coleta'!AA126+'OPEX _Coleta'!AA139+'OPEX _Coleta'!AA165+'OPEX _Coleta'!AA152</f>
        <v>584864.19370469381</v>
      </c>
      <c r="AA103" s="1027">
        <f>'OPEX _Coleta'!AB126+'OPEX _Coleta'!AB139+'OPEX _Coleta'!AB165+'OPEX _Coleta'!AB152</f>
        <v>584864.19370469381</v>
      </c>
      <c r="AB103" s="1027">
        <f>'OPEX _Coleta'!AC126+'OPEX _Coleta'!AC139+'OPEX _Coleta'!AC165+'OPEX _Coleta'!AC152</f>
        <v>584864.19370469381</v>
      </c>
      <c r="AC103" s="1027">
        <f>'OPEX _Coleta'!AD126+'OPEX _Coleta'!AD139+'OPEX _Coleta'!AD165+'OPEX _Coleta'!AD152</f>
        <v>584864.19370469381</v>
      </c>
      <c r="AD103" s="1027">
        <f>'OPEX _Coleta'!AE126+'OPEX _Coleta'!AE139+'OPEX _Coleta'!AE165+'OPEX _Coleta'!AE152</f>
        <v>584864.19370469381</v>
      </c>
      <c r="AE103" s="1027">
        <f>'OPEX _Coleta'!AF126+'OPEX _Coleta'!AF139+'OPEX _Coleta'!AF165+'OPEX _Coleta'!AF152</f>
        <v>584864.19370469381</v>
      </c>
      <c r="AF103" s="1027">
        <f>'OPEX _Coleta'!AG126+'OPEX _Coleta'!AG139+'OPEX _Coleta'!AG165+'OPEX _Coleta'!AG152</f>
        <v>584864.19370469381</v>
      </c>
      <c r="AG103" s="1027">
        <f>'OPEX _Coleta'!AH126+'OPEX _Coleta'!AH139+'OPEX _Coleta'!AH165+'OPEX _Coleta'!AH152</f>
        <v>584864.19370469381</v>
      </c>
      <c r="AH103" s="1027">
        <f>'OPEX _Coleta'!AI126+'OPEX _Coleta'!AI139+'OPEX _Coleta'!AI165+'OPEX _Coleta'!AI152</f>
        <v>584864.19370469381</v>
      </c>
      <c r="AI103" s="1027">
        <f>'OPEX _Coleta'!AJ126+'OPEX _Coleta'!AJ139+'OPEX _Coleta'!AJ165+'OPEX _Coleta'!AJ152</f>
        <v>584864.19370469381</v>
      </c>
    </row>
    <row r="104" spans="3:35" s="77" customFormat="1" collapsed="1" x14ac:dyDescent="0.35">
      <c r="C104" s="77" t="s">
        <v>456</v>
      </c>
      <c r="E104" s="489">
        <f t="shared" si="66"/>
        <v>105968910.93999991</v>
      </c>
      <c r="F104" s="490">
        <f>'OPEX _Transbordo'!F34</f>
        <v>13531663.489999998</v>
      </c>
      <c r="G104" s="490">
        <f>'OPEX _Transbordo'!G34</f>
        <v>13531663.489999998</v>
      </c>
      <c r="H104" s="490">
        <f>'OPEX _Transbordo'!H34</f>
        <v>2818056.5700000003</v>
      </c>
      <c r="I104" s="490">
        <f>'OPEX _Transbordo'!I34</f>
        <v>2818056.5700000003</v>
      </c>
      <c r="J104" s="490">
        <f>'OPEX _Transbordo'!J34</f>
        <v>2818056.5700000003</v>
      </c>
      <c r="K104" s="490">
        <f>'OPEX _Transbordo'!K34</f>
        <v>2818056.5700000003</v>
      </c>
      <c r="L104" s="490">
        <f>'OPEX _Transbordo'!L34</f>
        <v>2818056.5700000003</v>
      </c>
      <c r="M104" s="490">
        <f>'OPEX _Transbordo'!M34</f>
        <v>2818056.5700000003</v>
      </c>
      <c r="N104" s="490">
        <f>'OPEX _Transbordo'!N34</f>
        <v>2818056.5700000003</v>
      </c>
      <c r="O104" s="490">
        <f>'OPEX _Transbordo'!O34</f>
        <v>2818056.5700000003</v>
      </c>
      <c r="P104" s="490">
        <f>'OPEX _Transbordo'!P34</f>
        <v>2818056.5700000003</v>
      </c>
      <c r="Q104" s="490">
        <f>'OPEX _Transbordo'!Q34</f>
        <v>2818056.5700000003</v>
      </c>
      <c r="R104" s="490">
        <f>'OPEX _Transbordo'!R34</f>
        <v>2818056.5700000003</v>
      </c>
      <c r="S104" s="490">
        <f>'OPEX _Transbordo'!S34</f>
        <v>2818056.5700000003</v>
      </c>
      <c r="T104" s="490">
        <f>'OPEX _Transbordo'!T34</f>
        <v>2818056.5700000003</v>
      </c>
      <c r="U104" s="490">
        <f>'OPEX _Transbordo'!U34</f>
        <v>2818056.5700000003</v>
      </c>
      <c r="V104" s="490">
        <f>'OPEX _Transbordo'!V34</f>
        <v>2818056.5700000003</v>
      </c>
      <c r="W104" s="490">
        <f>'OPEX _Transbordo'!W34</f>
        <v>2818056.5700000003</v>
      </c>
      <c r="X104" s="490">
        <f>'OPEX _Transbordo'!X34</f>
        <v>2818056.5700000003</v>
      </c>
      <c r="Y104" s="490">
        <f>'OPEX _Transbordo'!Y34</f>
        <v>2818056.5700000003</v>
      </c>
      <c r="Z104" s="490">
        <f>'OPEX _Transbordo'!Z34</f>
        <v>2818056.5700000003</v>
      </c>
      <c r="AA104" s="490">
        <f>'OPEX _Transbordo'!AA34</f>
        <v>2818056.5700000003</v>
      </c>
      <c r="AB104" s="490">
        <f>'OPEX _Transbordo'!AB34</f>
        <v>2818056.5700000003</v>
      </c>
      <c r="AC104" s="490">
        <f>'OPEX _Transbordo'!AC34</f>
        <v>2818056.5700000003</v>
      </c>
      <c r="AD104" s="490">
        <f>'OPEX _Transbordo'!AD34</f>
        <v>2818056.5700000003</v>
      </c>
      <c r="AE104" s="490">
        <f>'OPEX _Transbordo'!AE34</f>
        <v>2818056.5700000003</v>
      </c>
      <c r="AF104" s="490">
        <f>'OPEX _Transbordo'!AF34</f>
        <v>2818056.5700000003</v>
      </c>
      <c r="AG104" s="490">
        <f>'OPEX _Transbordo'!AG34</f>
        <v>2818056.5700000003</v>
      </c>
      <c r="AH104" s="490">
        <f>'OPEX _Transbordo'!AH34</f>
        <v>2818056.5700000003</v>
      </c>
      <c r="AI104" s="490">
        <f>'OPEX _Transbordo'!AI34</f>
        <v>2818056.5700000003</v>
      </c>
    </row>
    <row r="105" spans="3:35" s="77" customFormat="1" hidden="1" outlineLevel="1" x14ac:dyDescent="0.35">
      <c r="C105" s="1020"/>
      <c r="D105" s="1021" t="s">
        <v>1</v>
      </c>
      <c r="E105" s="1022">
        <f t="shared" si="66"/>
        <v>2973695.9378666771</v>
      </c>
      <c r="F105" s="1032">
        <f>'OPEX _Transbordo'!F65</f>
        <v>115607.50430706709</v>
      </c>
      <c r="G105" s="1023">
        <f>'OPEX _Transbordo'!G65</f>
        <v>115607.50430706709</v>
      </c>
      <c r="H105" s="1023">
        <f>'OPEX _Transbordo'!H65</f>
        <v>97945.747473305106</v>
      </c>
      <c r="I105" s="1023">
        <f>'OPEX _Transbordo'!I65</f>
        <v>97945.747473305106</v>
      </c>
      <c r="J105" s="1023">
        <f>'OPEX _Transbordo'!J65</f>
        <v>97945.747473305106</v>
      </c>
      <c r="K105" s="1023">
        <f>'OPEX _Transbordo'!K65</f>
        <v>97945.747473305106</v>
      </c>
      <c r="L105" s="1023">
        <f>'OPEX _Transbordo'!L65</f>
        <v>97945.747473305106</v>
      </c>
      <c r="M105" s="1023">
        <f>'OPEX _Transbordo'!M65</f>
        <v>97945.747473305106</v>
      </c>
      <c r="N105" s="1023">
        <f>'OPEX _Transbordo'!N65</f>
        <v>97945.747473305106</v>
      </c>
      <c r="O105" s="1023">
        <f>'OPEX _Transbordo'!O65</f>
        <v>97945.747473305106</v>
      </c>
      <c r="P105" s="1023">
        <f>'OPEX _Transbordo'!P65</f>
        <v>97945.747473305106</v>
      </c>
      <c r="Q105" s="1023">
        <f>'OPEX _Transbordo'!Q65</f>
        <v>97945.747473305106</v>
      </c>
      <c r="R105" s="1023">
        <f>'OPEX _Transbordo'!R65</f>
        <v>97945.747473305106</v>
      </c>
      <c r="S105" s="1023">
        <f>'OPEX _Transbordo'!S65</f>
        <v>97945.747473305106</v>
      </c>
      <c r="T105" s="1023">
        <f>'OPEX _Transbordo'!T65</f>
        <v>97945.747473305106</v>
      </c>
      <c r="U105" s="1023">
        <f>'OPEX _Transbordo'!U65</f>
        <v>97945.747473305106</v>
      </c>
      <c r="V105" s="1023">
        <f>'OPEX _Transbordo'!V65</f>
        <v>97945.747473305106</v>
      </c>
      <c r="W105" s="1023">
        <f>'OPEX _Transbordo'!W65</f>
        <v>97945.747473305106</v>
      </c>
      <c r="X105" s="1023">
        <f>'OPEX _Transbordo'!X65</f>
        <v>97945.747473305106</v>
      </c>
      <c r="Y105" s="1023">
        <f>'OPEX _Transbordo'!Y65</f>
        <v>97945.747473305106</v>
      </c>
      <c r="Z105" s="1023">
        <f>'OPEX _Transbordo'!Z65</f>
        <v>97945.747473305106</v>
      </c>
      <c r="AA105" s="1023">
        <f>'OPEX _Transbordo'!AA65</f>
        <v>97945.747473305106</v>
      </c>
      <c r="AB105" s="1023">
        <f>'OPEX _Transbordo'!AB65</f>
        <v>97945.747473305106</v>
      </c>
      <c r="AC105" s="1023">
        <f>'OPEX _Transbordo'!AC65</f>
        <v>97945.747473305106</v>
      </c>
      <c r="AD105" s="1023">
        <f>'OPEX _Transbordo'!AD65</f>
        <v>97945.747473305106</v>
      </c>
      <c r="AE105" s="1023">
        <f>'OPEX _Transbordo'!AE65</f>
        <v>97945.747473305106</v>
      </c>
      <c r="AF105" s="1023">
        <f>'OPEX _Transbordo'!AF65</f>
        <v>97945.747473305106</v>
      </c>
      <c r="AG105" s="1023">
        <f>'OPEX _Transbordo'!AG65</f>
        <v>97945.747473305106</v>
      </c>
      <c r="AH105" s="1023">
        <f>'OPEX _Transbordo'!AH65</f>
        <v>97945.747473305106</v>
      </c>
      <c r="AI105" s="1023">
        <f>'OPEX _Transbordo'!AI65</f>
        <v>97945.747473305106</v>
      </c>
    </row>
    <row r="106" spans="3:35" s="77" customFormat="1" hidden="1" outlineLevel="1" x14ac:dyDescent="0.35">
      <c r="C106" s="1024"/>
      <c r="D106" s="1025" t="s">
        <v>2</v>
      </c>
      <c r="E106" s="1026">
        <f t="shared" si="66"/>
        <v>29868885.560000017</v>
      </c>
      <c r="F106" s="1033">
        <f>'OPEX _Transbordo'!F66</f>
        <v>1263349.1200000001</v>
      </c>
      <c r="G106" s="1027">
        <f>'OPEX _Transbordo'!G66</f>
        <v>1263349.1200000001</v>
      </c>
      <c r="H106" s="1027">
        <f>'OPEX _Transbordo'!H66</f>
        <v>976506.69000000006</v>
      </c>
      <c r="I106" s="1027">
        <f>'OPEX _Transbordo'!I66</f>
        <v>976506.69000000006</v>
      </c>
      <c r="J106" s="1027">
        <f>'OPEX _Transbordo'!J66</f>
        <v>976506.69000000006</v>
      </c>
      <c r="K106" s="1027">
        <f>'OPEX _Transbordo'!K66</f>
        <v>976506.69000000006</v>
      </c>
      <c r="L106" s="1027">
        <f>'OPEX _Transbordo'!L66</f>
        <v>976506.69000000006</v>
      </c>
      <c r="M106" s="1027">
        <f>'OPEX _Transbordo'!M66</f>
        <v>976506.69000000006</v>
      </c>
      <c r="N106" s="1027">
        <f>'OPEX _Transbordo'!N66</f>
        <v>976506.69000000006</v>
      </c>
      <c r="O106" s="1027">
        <f>'OPEX _Transbordo'!O66</f>
        <v>976506.69000000006</v>
      </c>
      <c r="P106" s="1027">
        <f>'OPEX _Transbordo'!P66</f>
        <v>976506.69000000006</v>
      </c>
      <c r="Q106" s="1027">
        <f>'OPEX _Transbordo'!Q66</f>
        <v>976506.69000000006</v>
      </c>
      <c r="R106" s="1027">
        <f>'OPEX _Transbordo'!R66</f>
        <v>976506.69000000006</v>
      </c>
      <c r="S106" s="1027">
        <f>'OPEX _Transbordo'!S66</f>
        <v>976506.69000000006</v>
      </c>
      <c r="T106" s="1027">
        <f>'OPEX _Transbordo'!T66</f>
        <v>976506.69000000006</v>
      </c>
      <c r="U106" s="1027">
        <f>'OPEX _Transbordo'!U66</f>
        <v>976506.69000000006</v>
      </c>
      <c r="V106" s="1027">
        <f>'OPEX _Transbordo'!V66</f>
        <v>976506.69000000006</v>
      </c>
      <c r="W106" s="1027">
        <f>'OPEX _Transbordo'!W66</f>
        <v>976506.69000000006</v>
      </c>
      <c r="X106" s="1027">
        <f>'OPEX _Transbordo'!X66</f>
        <v>976506.69000000006</v>
      </c>
      <c r="Y106" s="1027">
        <f>'OPEX _Transbordo'!Y66</f>
        <v>976506.69000000006</v>
      </c>
      <c r="Z106" s="1027">
        <f>'OPEX _Transbordo'!Z66</f>
        <v>976506.69000000006</v>
      </c>
      <c r="AA106" s="1027">
        <f>'OPEX _Transbordo'!AA66</f>
        <v>976506.69000000006</v>
      </c>
      <c r="AB106" s="1027">
        <f>'OPEX _Transbordo'!AB66</f>
        <v>976506.69000000006</v>
      </c>
      <c r="AC106" s="1027">
        <f>'OPEX _Transbordo'!AC66</f>
        <v>976506.69000000006</v>
      </c>
      <c r="AD106" s="1027">
        <f>'OPEX _Transbordo'!AD66</f>
        <v>976506.69000000006</v>
      </c>
      <c r="AE106" s="1027">
        <f>'OPEX _Transbordo'!AE66</f>
        <v>976506.69000000006</v>
      </c>
      <c r="AF106" s="1027">
        <f>'OPEX _Transbordo'!AF66</f>
        <v>976506.69000000006</v>
      </c>
      <c r="AG106" s="1027">
        <f>'OPEX _Transbordo'!AG66</f>
        <v>976506.69000000006</v>
      </c>
      <c r="AH106" s="1027">
        <f>'OPEX _Transbordo'!AH66</f>
        <v>976506.69000000006</v>
      </c>
      <c r="AI106" s="1027">
        <f>'OPEX _Transbordo'!AI66</f>
        <v>976506.69000000006</v>
      </c>
    </row>
    <row r="107" spans="3:35" s="77" customFormat="1" hidden="1" outlineLevel="1" x14ac:dyDescent="0.35">
      <c r="C107" s="1024"/>
      <c r="D107" s="1025" t="s">
        <v>3</v>
      </c>
      <c r="E107" s="1026">
        <f t="shared" si="66"/>
        <v>2729903.251047208</v>
      </c>
      <c r="F107" s="1033">
        <f>'OPEX _Transbordo'!F67</f>
        <v>182925.99136567928</v>
      </c>
      <c r="G107" s="1027">
        <f>'OPEX _Transbordo'!G67</f>
        <v>182925.99136567928</v>
      </c>
      <c r="H107" s="1027">
        <f>'OPEX _Transbordo'!H67</f>
        <v>84430.402439851736</v>
      </c>
      <c r="I107" s="1027">
        <f>'OPEX _Transbordo'!I67</f>
        <v>84430.402439851736</v>
      </c>
      <c r="J107" s="1027">
        <f>'OPEX _Transbordo'!J67</f>
        <v>84430.402439851736</v>
      </c>
      <c r="K107" s="1027">
        <f>'OPEX _Transbordo'!K67</f>
        <v>84430.402439851736</v>
      </c>
      <c r="L107" s="1027">
        <f>'OPEX _Transbordo'!L67</f>
        <v>84430.402439851736</v>
      </c>
      <c r="M107" s="1027">
        <f>'OPEX _Transbordo'!M67</f>
        <v>84430.402439851736</v>
      </c>
      <c r="N107" s="1027">
        <f>'OPEX _Transbordo'!N67</f>
        <v>84430.402439851736</v>
      </c>
      <c r="O107" s="1027">
        <f>'OPEX _Transbordo'!O67</f>
        <v>84430.402439851736</v>
      </c>
      <c r="P107" s="1027">
        <f>'OPEX _Transbordo'!P67</f>
        <v>84430.402439851736</v>
      </c>
      <c r="Q107" s="1027">
        <f>'OPEX _Transbordo'!Q67</f>
        <v>84430.402439851736</v>
      </c>
      <c r="R107" s="1027">
        <f>'OPEX _Transbordo'!R67</f>
        <v>84430.402439851736</v>
      </c>
      <c r="S107" s="1027">
        <f>'OPEX _Transbordo'!S67</f>
        <v>84430.402439851736</v>
      </c>
      <c r="T107" s="1027">
        <f>'OPEX _Transbordo'!T67</f>
        <v>84430.402439851736</v>
      </c>
      <c r="U107" s="1027">
        <f>'OPEX _Transbordo'!U67</f>
        <v>84430.402439851736</v>
      </c>
      <c r="V107" s="1027">
        <f>'OPEX _Transbordo'!V67</f>
        <v>84430.402439851736</v>
      </c>
      <c r="W107" s="1027">
        <f>'OPEX _Transbordo'!W67</f>
        <v>84430.402439851736</v>
      </c>
      <c r="X107" s="1027">
        <f>'OPEX _Transbordo'!X67</f>
        <v>84430.402439851736</v>
      </c>
      <c r="Y107" s="1027">
        <f>'OPEX _Transbordo'!Y67</f>
        <v>84430.402439851736</v>
      </c>
      <c r="Z107" s="1027">
        <f>'OPEX _Transbordo'!Z67</f>
        <v>84430.402439851736</v>
      </c>
      <c r="AA107" s="1027">
        <f>'OPEX _Transbordo'!AA67</f>
        <v>84430.402439851736</v>
      </c>
      <c r="AB107" s="1027">
        <f>'OPEX _Transbordo'!AB67</f>
        <v>84430.402439851736</v>
      </c>
      <c r="AC107" s="1027">
        <f>'OPEX _Transbordo'!AC67</f>
        <v>84430.402439851736</v>
      </c>
      <c r="AD107" s="1027">
        <f>'OPEX _Transbordo'!AD67</f>
        <v>84430.402439851736</v>
      </c>
      <c r="AE107" s="1027">
        <f>'OPEX _Transbordo'!AE67</f>
        <v>84430.402439851736</v>
      </c>
      <c r="AF107" s="1027">
        <f>'OPEX _Transbordo'!AF67</f>
        <v>84430.402439851736</v>
      </c>
      <c r="AG107" s="1027">
        <f>'OPEX _Transbordo'!AG67</f>
        <v>84430.402439851736</v>
      </c>
      <c r="AH107" s="1027">
        <f>'OPEX _Transbordo'!AH67</f>
        <v>84430.402439851736</v>
      </c>
      <c r="AI107" s="1027">
        <f>'OPEX _Transbordo'!AI67</f>
        <v>84430.402439851736</v>
      </c>
    </row>
    <row r="108" spans="3:35" s="77" customFormat="1" hidden="1" outlineLevel="1" x14ac:dyDescent="0.35">
      <c r="C108" s="1024"/>
      <c r="D108" s="1025" t="s">
        <v>4</v>
      </c>
      <c r="E108" s="1026">
        <f t="shared" si="66"/>
        <v>6549142.3883715374</v>
      </c>
      <c r="F108" s="1033">
        <f>'OPEX _Transbordo'!F68</f>
        <v>438846.45491677889</v>
      </c>
      <c r="G108" s="1027">
        <f>'OPEX _Transbordo'!G68</f>
        <v>438846.45491677889</v>
      </c>
      <c r="H108" s="1027">
        <f>'OPEX _Transbordo'!H68</f>
        <v>202551.76709064218</v>
      </c>
      <c r="I108" s="1027">
        <f>'OPEX _Transbordo'!I68</f>
        <v>202551.76709064218</v>
      </c>
      <c r="J108" s="1027">
        <f>'OPEX _Transbordo'!J68</f>
        <v>202551.76709064218</v>
      </c>
      <c r="K108" s="1027">
        <f>'OPEX _Transbordo'!K68</f>
        <v>202551.76709064218</v>
      </c>
      <c r="L108" s="1027">
        <f>'OPEX _Transbordo'!L68</f>
        <v>202551.76709064218</v>
      </c>
      <c r="M108" s="1027">
        <f>'OPEX _Transbordo'!M68</f>
        <v>202551.76709064218</v>
      </c>
      <c r="N108" s="1027">
        <f>'OPEX _Transbordo'!N68</f>
        <v>202551.76709064218</v>
      </c>
      <c r="O108" s="1027">
        <f>'OPEX _Transbordo'!O68</f>
        <v>202551.76709064218</v>
      </c>
      <c r="P108" s="1027">
        <f>'OPEX _Transbordo'!P68</f>
        <v>202551.76709064218</v>
      </c>
      <c r="Q108" s="1027">
        <f>'OPEX _Transbordo'!Q68</f>
        <v>202551.76709064218</v>
      </c>
      <c r="R108" s="1027">
        <f>'OPEX _Transbordo'!R68</f>
        <v>202551.76709064218</v>
      </c>
      <c r="S108" s="1027">
        <f>'OPEX _Transbordo'!S68</f>
        <v>202551.76709064218</v>
      </c>
      <c r="T108" s="1027">
        <f>'OPEX _Transbordo'!T68</f>
        <v>202551.76709064218</v>
      </c>
      <c r="U108" s="1027">
        <f>'OPEX _Transbordo'!U68</f>
        <v>202551.76709064218</v>
      </c>
      <c r="V108" s="1027">
        <f>'OPEX _Transbordo'!V68</f>
        <v>202551.76709064218</v>
      </c>
      <c r="W108" s="1027">
        <f>'OPEX _Transbordo'!W68</f>
        <v>202551.76709064218</v>
      </c>
      <c r="X108" s="1027">
        <f>'OPEX _Transbordo'!X68</f>
        <v>202551.76709064218</v>
      </c>
      <c r="Y108" s="1027">
        <f>'OPEX _Transbordo'!Y68</f>
        <v>202551.76709064218</v>
      </c>
      <c r="Z108" s="1027">
        <f>'OPEX _Transbordo'!Z68</f>
        <v>202551.76709064218</v>
      </c>
      <c r="AA108" s="1027">
        <f>'OPEX _Transbordo'!AA68</f>
        <v>202551.76709064218</v>
      </c>
      <c r="AB108" s="1027">
        <f>'OPEX _Transbordo'!AB68</f>
        <v>202551.76709064218</v>
      </c>
      <c r="AC108" s="1027">
        <f>'OPEX _Transbordo'!AC68</f>
        <v>202551.76709064218</v>
      </c>
      <c r="AD108" s="1027">
        <f>'OPEX _Transbordo'!AD68</f>
        <v>202551.76709064218</v>
      </c>
      <c r="AE108" s="1027">
        <f>'OPEX _Transbordo'!AE68</f>
        <v>202551.76709064218</v>
      </c>
      <c r="AF108" s="1027">
        <f>'OPEX _Transbordo'!AF68</f>
        <v>202551.76709064218</v>
      </c>
      <c r="AG108" s="1027">
        <f>'OPEX _Transbordo'!AG68</f>
        <v>202551.76709064218</v>
      </c>
      <c r="AH108" s="1027">
        <f>'OPEX _Transbordo'!AH68</f>
        <v>202551.76709064218</v>
      </c>
      <c r="AI108" s="1027">
        <f>'OPEX _Transbordo'!AI68</f>
        <v>202551.76709064218</v>
      </c>
    </row>
    <row r="109" spans="3:35" s="77" customFormat="1" hidden="1" outlineLevel="1" x14ac:dyDescent="0.35">
      <c r="C109" s="1024"/>
      <c r="D109" s="1025" t="s">
        <v>5</v>
      </c>
      <c r="E109" s="1026">
        <f t="shared" si="66"/>
        <v>2795483.4777190913</v>
      </c>
      <c r="F109" s="1033">
        <f>'OPEX _Transbordo'!F69</f>
        <v>759581.47458450252</v>
      </c>
      <c r="G109" s="1027">
        <f>'OPEX _Transbordo'!G69</f>
        <v>759581.47458450252</v>
      </c>
      <c r="H109" s="1027">
        <f>'OPEX _Transbordo'!H69</f>
        <v>45582.876019645897</v>
      </c>
      <c r="I109" s="1027">
        <f>'OPEX _Transbordo'!I69</f>
        <v>45582.876019645897</v>
      </c>
      <c r="J109" s="1027">
        <f>'OPEX _Transbordo'!J69</f>
        <v>45582.876019645897</v>
      </c>
      <c r="K109" s="1027">
        <f>'OPEX _Transbordo'!K69</f>
        <v>45582.876019645897</v>
      </c>
      <c r="L109" s="1027">
        <f>'OPEX _Transbordo'!L69</f>
        <v>45582.876019645897</v>
      </c>
      <c r="M109" s="1027">
        <f>'OPEX _Transbordo'!M69</f>
        <v>45582.876019645897</v>
      </c>
      <c r="N109" s="1027">
        <f>'OPEX _Transbordo'!N69</f>
        <v>45582.876019645897</v>
      </c>
      <c r="O109" s="1027">
        <f>'OPEX _Transbordo'!O69</f>
        <v>45582.876019645897</v>
      </c>
      <c r="P109" s="1027">
        <f>'OPEX _Transbordo'!P69</f>
        <v>45582.876019645897</v>
      </c>
      <c r="Q109" s="1027">
        <f>'OPEX _Transbordo'!Q69</f>
        <v>45582.876019645897</v>
      </c>
      <c r="R109" s="1027">
        <f>'OPEX _Transbordo'!R69</f>
        <v>45582.876019645897</v>
      </c>
      <c r="S109" s="1027">
        <f>'OPEX _Transbordo'!S69</f>
        <v>45582.876019645897</v>
      </c>
      <c r="T109" s="1027">
        <f>'OPEX _Transbordo'!T69</f>
        <v>45582.876019645897</v>
      </c>
      <c r="U109" s="1027">
        <f>'OPEX _Transbordo'!U69</f>
        <v>45582.876019645897</v>
      </c>
      <c r="V109" s="1027">
        <f>'OPEX _Transbordo'!V69</f>
        <v>45582.876019645897</v>
      </c>
      <c r="W109" s="1027">
        <f>'OPEX _Transbordo'!W69</f>
        <v>45582.876019645897</v>
      </c>
      <c r="X109" s="1027">
        <f>'OPEX _Transbordo'!X69</f>
        <v>45582.876019645897</v>
      </c>
      <c r="Y109" s="1027">
        <f>'OPEX _Transbordo'!Y69</f>
        <v>45582.876019645897</v>
      </c>
      <c r="Z109" s="1027">
        <f>'OPEX _Transbordo'!Z69</f>
        <v>45582.876019645897</v>
      </c>
      <c r="AA109" s="1027">
        <f>'OPEX _Transbordo'!AA69</f>
        <v>45582.876019645897</v>
      </c>
      <c r="AB109" s="1027">
        <f>'OPEX _Transbordo'!AB69</f>
        <v>45582.876019645897</v>
      </c>
      <c r="AC109" s="1027">
        <f>'OPEX _Transbordo'!AC69</f>
        <v>45582.876019645897</v>
      </c>
      <c r="AD109" s="1027">
        <f>'OPEX _Transbordo'!AD69</f>
        <v>45582.876019645897</v>
      </c>
      <c r="AE109" s="1027">
        <f>'OPEX _Transbordo'!AE69</f>
        <v>45582.876019645897</v>
      </c>
      <c r="AF109" s="1027">
        <f>'OPEX _Transbordo'!AF69</f>
        <v>45582.876019645897</v>
      </c>
      <c r="AG109" s="1027">
        <f>'OPEX _Transbordo'!AG69</f>
        <v>45582.876019645897</v>
      </c>
      <c r="AH109" s="1027">
        <f>'OPEX _Transbordo'!AH69</f>
        <v>45582.876019645897</v>
      </c>
      <c r="AI109" s="1027">
        <f>'OPEX _Transbordo'!AI69</f>
        <v>45582.876019645897</v>
      </c>
    </row>
    <row r="110" spans="3:35" s="77" customFormat="1" hidden="1" outlineLevel="1" x14ac:dyDescent="0.35">
      <c r="C110" s="1024"/>
      <c r="D110" s="1025" t="s">
        <v>6</v>
      </c>
      <c r="E110" s="1026">
        <f t="shared" si="66"/>
        <v>30038201.062280938</v>
      </c>
      <c r="F110" s="1033">
        <f>'OPEX _Transbordo'!F70</f>
        <v>8161901.5954154963</v>
      </c>
      <c r="G110" s="1027">
        <f>'OPEX _Transbordo'!G70</f>
        <v>8161901.5954154963</v>
      </c>
      <c r="H110" s="1027">
        <f>'OPEX _Transbordo'!H70</f>
        <v>489799.92398035416</v>
      </c>
      <c r="I110" s="1027">
        <f>'OPEX _Transbordo'!I70</f>
        <v>489799.92398035416</v>
      </c>
      <c r="J110" s="1027">
        <f>'OPEX _Transbordo'!J70</f>
        <v>489799.92398035416</v>
      </c>
      <c r="K110" s="1027">
        <f>'OPEX _Transbordo'!K70</f>
        <v>489799.92398035416</v>
      </c>
      <c r="L110" s="1027">
        <f>'OPEX _Transbordo'!L70</f>
        <v>489799.92398035416</v>
      </c>
      <c r="M110" s="1027">
        <f>'OPEX _Transbordo'!M70</f>
        <v>489799.92398035416</v>
      </c>
      <c r="N110" s="1027">
        <f>'OPEX _Transbordo'!N70</f>
        <v>489799.92398035416</v>
      </c>
      <c r="O110" s="1027">
        <f>'OPEX _Transbordo'!O70</f>
        <v>489799.92398035416</v>
      </c>
      <c r="P110" s="1027">
        <f>'OPEX _Transbordo'!P70</f>
        <v>489799.92398035416</v>
      </c>
      <c r="Q110" s="1027">
        <f>'OPEX _Transbordo'!Q70</f>
        <v>489799.92398035416</v>
      </c>
      <c r="R110" s="1027">
        <f>'OPEX _Transbordo'!R70</f>
        <v>489799.92398035416</v>
      </c>
      <c r="S110" s="1027">
        <f>'OPEX _Transbordo'!S70</f>
        <v>489799.92398035416</v>
      </c>
      <c r="T110" s="1027">
        <f>'OPEX _Transbordo'!T70</f>
        <v>489799.92398035416</v>
      </c>
      <c r="U110" s="1027">
        <f>'OPEX _Transbordo'!U70</f>
        <v>489799.92398035416</v>
      </c>
      <c r="V110" s="1027">
        <f>'OPEX _Transbordo'!V70</f>
        <v>489799.92398035416</v>
      </c>
      <c r="W110" s="1027">
        <f>'OPEX _Transbordo'!W70</f>
        <v>489799.92398035416</v>
      </c>
      <c r="X110" s="1027">
        <f>'OPEX _Transbordo'!X70</f>
        <v>489799.92398035416</v>
      </c>
      <c r="Y110" s="1027">
        <f>'OPEX _Transbordo'!Y70</f>
        <v>489799.92398035416</v>
      </c>
      <c r="Z110" s="1027">
        <f>'OPEX _Transbordo'!Z70</f>
        <v>489799.92398035416</v>
      </c>
      <c r="AA110" s="1027">
        <f>'OPEX _Transbordo'!AA70</f>
        <v>489799.92398035416</v>
      </c>
      <c r="AB110" s="1027">
        <f>'OPEX _Transbordo'!AB70</f>
        <v>489799.92398035416</v>
      </c>
      <c r="AC110" s="1027">
        <f>'OPEX _Transbordo'!AC70</f>
        <v>489799.92398035416</v>
      </c>
      <c r="AD110" s="1027">
        <f>'OPEX _Transbordo'!AD70</f>
        <v>489799.92398035416</v>
      </c>
      <c r="AE110" s="1027">
        <f>'OPEX _Transbordo'!AE70</f>
        <v>489799.92398035416</v>
      </c>
      <c r="AF110" s="1027">
        <f>'OPEX _Transbordo'!AF70</f>
        <v>489799.92398035416</v>
      </c>
      <c r="AG110" s="1027">
        <f>'OPEX _Transbordo'!AG70</f>
        <v>489799.92398035416</v>
      </c>
      <c r="AH110" s="1027">
        <f>'OPEX _Transbordo'!AH70</f>
        <v>489799.92398035416</v>
      </c>
      <c r="AI110" s="1027">
        <f>'OPEX _Transbordo'!AI70</f>
        <v>489799.92398035416</v>
      </c>
    </row>
    <row r="111" spans="3:35" s="77" customFormat="1" hidden="1" outlineLevel="1" x14ac:dyDescent="0.35">
      <c r="C111" s="1024"/>
      <c r="D111" s="1025" t="s">
        <v>7</v>
      </c>
      <c r="E111" s="1026">
        <f t="shared" si="66"/>
        <v>3390039.3199999961</v>
      </c>
      <c r="F111" s="1033">
        <f>'OPEX _Transbordo'!F71</f>
        <v>1262838.4000000001</v>
      </c>
      <c r="G111" s="1027">
        <f>'OPEX _Transbordo'!G71</f>
        <v>1262838.4000000001</v>
      </c>
      <c r="H111" s="1027">
        <f>'OPEX _Transbordo'!H71</f>
        <v>30870.09</v>
      </c>
      <c r="I111" s="1027">
        <f>'OPEX _Transbordo'!I71</f>
        <v>30870.09</v>
      </c>
      <c r="J111" s="1027">
        <f>'OPEX _Transbordo'!J71</f>
        <v>30870.09</v>
      </c>
      <c r="K111" s="1027">
        <f>'OPEX _Transbordo'!K71</f>
        <v>30870.09</v>
      </c>
      <c r="L111" s="1027">
        <f>'OPEX _Transbordo'!L71</f>
        <v>30870.09</v>
      </c>
      <c r="M111" s="1027">
        <f>'OPEX _Transbordo'!M71</f>
        <v>30870.09</v>
      </c>
      <c r="N111" s="1027">
        <f>'OPEX _Transbordo'!N71</f>
        <v>30870.09</v>
      </c>
      <c r="O111" s="1027">
        <f>'OPEX _Transbordo'!O71</f>
        <v>30870.09</v>
      </c>
      <c r="P111" s="1027">
        <f>'OPEX _Transbordo'!P71</f>
        <v>30870.09</v>
      </c>
      <c r="Q111" s="1027">
        <f>'OPEX _Transbordo'!Q71</f>
        <v>30870.09</v>
      </c>
      <c r="R111" s="1027">
        <f>'OPEX _Transbordo'!R71</f>
        <v>30870.09</v>
      </c>
      <c r="S111" s="1027">
        <f>'OPEX _Transbordo'!S71</f>
        <v>30870.09</v>
      </c>
      <c r="T111" s="1027">
        <f>'OPEX _Transbordo'!T71</f>
        <v>30870.09</v>
      </c>
      <c r="U111" s="1027">
        <f>'OPEX _Transbordo'!U71</f>
        <v>30870.09</v>
      </c>
      <c r="V111" s="1027">
        <f>'OPEX _Transbordo'!V71</f>
        <v>30870.09</v>
      </c>
      <c r="W111" s="1027">
        <f>'OPEX _Transbordo'!W71</f>
        <v>30870.09</v>
      </c>
      <c r="X111" s="1027">
        <f>'OPEX _Transbordo'!X71</f>
        <v>30870.09</v>
      </c>
      <c r="Y111" s="1027">
        <f>'OPEX _Transbordo'!Y71</f>
        <v>30870.09</v>
      </c>
      <c r="Z111" s="1027">
        <f>'OPEX _Transbordo'!Z71</f>
        <v>30870.09</v>
      </c>
      <c r="AA111" s="1027">
        <f>'OPEX _Transbordo'!AA71</f>
        <v>30870.09</v>
      </c>
      <c r="AB111" s="1027">
        <f>'OPEX _Transbordo'!AB71</f>
        <v>30870.09</v>
      </c>
      <c r="AC111" s="1027">
        <f>'OPEX _Transbordo'!AC71</f>
        <v>30870.09</v>
      </c>
      <c r="AD111" s="1027">
        <f>'OPEX _Transbordo'!AD71</f>
        <v>30870.09</v>
      </c>
      <c r="AE111" s="1027">
        <f>'OPEX _Transbordo'!AE71</f>
        <v>30870.09</v>
      </c>
      <c r="AF111" s="1027">
        <f>'OPEX _Transbordo'!AF71</f>
        <v>30870.09</v>
      </c>
      <c r="AG111" s="1027">
        <f>'OPEX _Transbordo'!AG71</f>
        <v>30870.09</v>
      </c>
      <c r="AH111" s="1027">
        <f>'OPEX _Transbordo'!AH71</f>
        <v>30870.09</v>
      </c>
      <c r="AI111" s="1027">
        <f>'OPEX _Transbordo'!AI71</f>
        <v>30870.09</v>
      </c>
    </row>
    <row r="112" spans="3:35" s="77" customFormat="1" hidden="1" outlineLevel="1" x14ac:dyDescent="0.35">
      <c r="C112" s="1024"/>
      <c r="D112" s="1025" t="s">
        <v>8</v>
      </c>
      <c r="E112" s="1026">
        <f t="shared" si="66"/>
        <v>17929812.162133321</v>
      </c>
      <c r="F112" s="1033">
        <f>'OPEX _Transbordo'!F72</f>
        <v>697052.04569293302</v>
      </c>
      <c r="G112" s="1027">
        <f>'OPEX _Transbordo'!G72</f>
        <v>697052.04569293302</v>
      </c>
      <c r="H112" s="1027">
        <f>'OPEX _Transbordo'!H72</f>
        <v>590561.00252669491</v>
      </c>
      <c r="I112" s="1027">
        <f>'OPEX _Transbordo'!I72</f>
        <v>590561.00252669491</v>
      </c>
      <c r="J112" s="1027">
        <f>'OPEX _Transbordo'!J72</f>
        <v>590561.00252669491</v>
      </c>
      <c r="K112" s="1027">
        <f>'OPEX _Transbordo'!K72</f>
        <v>590561.00252669491</v>
      </c>
      <c r="L112" s="1027">
        <f>'OPEX _Transbordo'!L72</f>
        <v>590561.00252669491</v>
      </c>
      <c r="M112" s="1027">
        <f>'OPEX _Transbordo'!M72</f>
        <v>590561.00252669491</v>
      </c>
      <c r="N112" s="1027">
        <f>'OPEX _Transbordo'!N72</f>
        <v>590561.00252669491</v>
      </c>
      <c r="O112" s="1027">
        <f>'OPEX _Transbordo'!O72</f>
        <v>590561.00252669491</v>
      </c>
      <c r="P112" s="1027">
        <f>'OPEX _Transbordo'!P72</f>
        <v>590561.00252669491</v>
      </c>
      <c r="Q112" s="1027">
        <f>'OPEX _Transbordo'!Q72</f>
        <v>590561.00252669491</v>
      </c>
      <c r="R112" s="1027">
        <f>'OPEX _Transbordo'!R72</f>
        <v>590561.00252669491</v>
      </c>
      <c r="S112" s="1027">
        <f>'OPEX _Transbordo'!S72</f>
        <v>590561.00252669491</v>
      </c>
      <c r="T112" s="1027">
        <f>'OPEX _Transbordo'!T72</f>
        <v>590561.00252669491</v>
      </c>
      <c r="U112" s="1027">
        <f>'OPEX _Transbordo'!U72</f>
        <v>590561.00252669491</v>
      </c>
      <c r="V112" s="1027">
        <f>'OPEX _Transbordo'!V72</f>
        <v>590561.00252669491</v>
      </c>
      <c r="W112" s="1027">
        <f>'OPEX _Transbordo'!W72</f>
        <v>590561.00252669491</v>
      </c>
      <c r="X112" s="1027">
        <f>'OPEX _Transbordo'!X72</f>
        <v>590561.00252669491</v>
      </c>
      <c r="Y112" s="1027">
        <f>'OPEX _Transbordo'!Y72</f>
        <v>590561.00252669491</v>
      </c>
      <c r="Z112" s="1027">
        <f>'OPEX _Transbordo'!Z72</f>
        <v>590561.00252669491</v>
      </c>
      <c r="AA112" s="1027">
        <f>'OPEX _Transbordo'!AA72</f>
        <v>590561.00252669491</v>
      </c>
      <c r="AB112" s="1027">
        <f>'OPEX _Transbordo'!AB72</f>
        <v>590561.00252669491</v>
      </c>
      <c r="AC112" s="1027">
        <f>'OPEX _Transbordo'!AC72</f>
        <v>590561.00252669491</v>
      </c>
      <c r="AD112" s="1027">
        <f>'OPEX _Transbordo'!AD72</f>
        <v>590561.00252669491</v>
      </c>
      <c r="AE112" s="1027">
        <f>'OPEX _Transbordo'!AE72</f>
        <v>590561.00252669491</v>
      </c>
      <c r="AF112" s="1027">
        <f>'OPEX _Transbordo'!AF72</f>
        <v>590561.00252669491</v>
      </c>
      <c r="AG112" s="1027">
        <f>'OPEX _Transbordo'!AG72</f>
        <v>590561.00252669491</v>
      </c>
      <c r="AH112" s="1027">
        <f>'OPEX _Transbordo'!AH72</f>
        <v>590561.00252669491</v>
      </c>
      <c r="AI112" s="1027">
        <f>'OPEX _Transbordo'!AI72</f>
        <v>590561.00252669491</v>
      </c>
    </row>
    <row r="113" spans="3:35" s="77" customFormat="1" hidden="1" outlineLevel="1" x14ac:dyDescent="0.35">
      <c r="C113" s="1024"/>
      <c r="D113" s="1025" t="s">
        <v>9</v>
      </c>
      <c r="E113" s="1026">
        <f t="shared" si="66"/>
        <v>9693747.7805812545</v>
      </c>
      <c r="F113" s="1033">
        <f>'OPEX _Transbordo'!F73</f>
        <v>649560.90371754183</v>
      </c>
      <c r="G113" s="1027">
        <f>'OPEX _Transbordo'!G73</f>
        <v>649560.90371754183</v>
      </c>
      <c r="H113" s="1027">
        <f>'OPEX _Transbordo'!H73</f>
        <v>299808.07046950614</v>
      </c>
      <c r="I113" s="1027">
        <f>'OPEX _Transbordo'!I73</f>
        <v>299808.07046950614</v>
      </c>
      <c r="J113" s="1027">
        <f>'OPEX _Transbordo'!J73</f>
        <v>299808.07046950614</v>
      </c>
      <c r="K113" s="1027">
        <f>'OPEX _Transbordo'!K73</f>
        <v>299808.07046950614</v>
      </c>
      <c r="L113" s="1027">
        <f>'OPEX _Transbordo'!L73</f>
        <v>299808.07046950614</v>
      </c>
      <c r="M113" s="1027">
        <f>'OPEX _Transbordo'!M73</f>
        <v>299808.07046950614</v>
      </c>
      <c r="N113" s="1027">
        <f>'OPEX _Transbordo'!N73</f>
        <v>299808.07046950614</v>
      </c>
      <c r="O113" s="1027">
        <f>'OPEX _Transbordo'!O73</f>
        <v>299808.07046950614</v>
      </c>
      <c r="P113" s="1027">
        <f>'OPEX _Transbordo'!P73</f>
        <v>299808.07046950614</v>
      </c>
      <c r="Q113" s="1027">
        <f>'OPEX _Transbordo'!Q73</f>
        <v>299808.07046950614</v>
      </c>
      <c r="R113" s="1027">
        <f>'OPEX _Transbordo'!R73</f>
        <v>299808.07046950614</v>
      </c>
      <c r="S113" s="1027">
        <f>'OPEX _Transbordo'!S73</f>
        <v>299808.07046950614</v>
      </c>
      <c r="T113" s="1027">
        <f>'OPEX _Transbordo'!T73</f>
        <v>299808.07046950614</v>
      </c>
      <c r="U113" s="1027">
        <f>'OPEX _Transbordo'!U73</f>
        <v>299808.07046950614</v>
      </c>
      <c r="V113" s="1027">
        <f>'OPEX _Transbordo'!V73</f>
        <v>299808.07046950614</v>
      </c>
      <c r="W113" s="1027">
        <f>'OPEX _Transbordo'!W73</f>
        <v>299808.07046950614</v>
      </c>
      <c r="X113" s="1027">
        <f>'OPEX _Transbordo'!X73</f>
        <v>299808.07046950614</v>
      </c>
      <c r="Y113" s="1027">
        <f>'OPEX _Transbordo'!Y73</f>
        <v>299808.07046950614</v>
      </c>
      <c r="Z113" s="1027">
        <f>'OPEX _Transbordo'!Z73</f>
        <v>299808.07046950614</v>
      </c>
      <c r="AA113" s="1027">
        <f>'OPEX _Transbordo'!AA73</f>
        <v>299808.07046950614</v>
      </c>
      <c r="AB113" s="1027">
        <f>'OPEX _Transbordo'!AB73</f>
        <v>299808.07046950614</v>
      </c>
      <c r="AC113" s="1027">
        <f>'OPEX _Transbordo'!AC73</f>
        <v>299808.07046950614</v>
      </c>
      <c r="AD113" s="1027">
        <f>'OPEX _Transbordo'!AD73</f>
        <v>299808.07046950614</v>
      </c>
      <c r="AE113" s="1027">
        <f>'OPEX _Transbordo'!AE73</f>
        <v>299808.07046950614</v>
      </c>
      <c r="AF113" s="1027">
        <f>'OPEX _Transbordo'!AF73</f>
        <v>299808.07046950614</v>
      </c>
      <c r="AG113" s="1027">
        <f>'OPEX _Transbordo'!AG73</f>
        <v>299808.07046950614</v>
      </c>
      <c r="AH113" s="1027">
        <f>'OPEX _Transbordo'!AH73</f>
        <v>299808.07046950614</v>
      </c>
      <c r="AI113" s="1027">
        <f>'OPEX _Transbordo'!AI73</f>
        <v>299808.07046950614</v>
      </c>
    </row>
    <row r="114" spans="3:35" s="77" customFormat="1" collapsed="1" x14ac:dyDescent="0.35">
      <c r="C114" s="77" t="s">
        <v>457</v>
      </c>
      <c r="E114" s="489">
        <f t="shared" si="66"/>
        <v>67250307.88000001</v>
      </c>
      <c r="F114" s="1332">
        <f>OPEX_Tratamento!F29</f>
        <v>0</v>
      </c>
      <c r="G114" s="490">
        <f>OPEX_Tratamento!G29</f>
        <v>0</v>
      </c>
      <c r="H114" s="490">
        <f>OPEX_Tratamento!H29</f>
        <v>2401796.71</v>
      </c>
      <c r="I114" s="490">
        <f>OPEX_Tratamento!I29</f>
        <v>2401796.71</v>
      </c>
      <c r="J114" s="490">
        <f>OPEX_Tratamento!J29</f>
        <v>2401796.71</v>
      </c>
      <c r="K114" s="490">
        <f>OPEX_Tratamento!K29</f>
        <v>2401796.71</v>
      </c>
      <c r="L114" s="490">
        <f>OPEX_Tratamento!L29</f>
        <v>2401796.71</v>
      </c>
      <c r="M114" s="490">
        <f>OPEX_Tratamento!M29</f>
        <v>2401796.71</v>
      </c>
      <c r="N114" s="490">
        <f>OPEX_Tratamento!N29</f>
        <v>2401796.71</v>
      </c>
      <c r="O114" s="490">
        <f>OPEX_Tratamento!O29</f>
        <v>2401796.71</v>
      </c>
      <c r="P114" s="490">
        <f>OPEX_Tratamento!P29</f>
        <v>2401796.71</v>
      </c>
      <c r="Q114" s="490">
        <f>OPEX_Tratamento!Q29</f>
        <v>2401796.71</v>
      </c>
      <c r="R114" s="490">
        <f>OPEX_Tratamento!R29</f>
        <v>2401796.71</v>
      </c>
      <c r="S114" s="490">
        <f>OPEX_Tratamento!S29</f>
        <v>2401796.71</v>
      </c>
      <c r="T114" s="490">
        <f>OPEX_Tratamento!T29</f>
        <v>2401796.71</v>
      </c>
      <c r="U114" s="490">
        <f>OPEX_Tratamento!U29</f>
        <v>2401796.71</v>
      </c>
      <c r="V114" s="490">
        <f>OPEX_Tratamento!V29</f>
        <v>2401796.71</v>
      </c>
      <c r="W114" s="490">
        <f>OPEX_Tratamento!W29</f>
        <v>2401796.71</v>
      </c>
      <c r="X114" s="490">
        <f>OPEX_Tratamento!X29</f>
        <v>2401796.71</v>
      </c>
      <c r="Y114" s="490">
        <f>OPEX_Tratamento!Y29</f>
        <v>2401796.71</v>
      </c>
      <c r="Z114" s="490">
        <f>OPEX_Tratamento!Z29</f>
        <v>2401796.71</v>
      </c>
      <c r="AA114" s="490">
        <f>OPEX_Tratamento!AA29</f>
        <v>2401796.71</v>
      </c>
      <c r="AB114" s="490">
        <f>OPEX_Tratamento!AB29</f>
        <v>2401796.71</v>
      </c>
      <c r="AC114" s="490">
        <f>OPEX_Tratamento!AC29</f>
        <v>2401796.71</v>
      </c>
      <c r="AD114" s="490">
        <f>OPEX_Tratamento!AD29</f>
        <v>2401796.71</v>
      </c>
      <c r="AE114" s="490">
        <f>OPEX_Tratamento!AE29</f>
        <v>2401796.71</v>
      </c>
      <c r="AF114" s="490">
        <f>OPEX_Tratamento!AF29</f>
        <v>2401796.71</v>
      </c>
      <c r="AG114" s="490">
        <f>OPEX_Tratamento!AG29</f>
        <v>2401796.71</v>
      </c>
      <c r="AH114" s="490">
        <f>OPEX_Tratamento!AH29</f>
        <v>2401796.71</v>
      </c>
      <c r="AI114" s="490">
        <f>OPEX_Tratamento!AI29</f>
        <v>2401796.71</v>
      </c>
    </row>
    <row r="115" spans="3:35" s="77" customFormat="1" hidden="1" outlineLevel="1" x14ac:dyDescent="0.35">
      <c r="C115" s="1020"/>
      <c r="D115" s="1021" t="s">
        <v>1</v>
      </c>
      <c r="E115" s="1022">
        <f t="shared" si="66"/>
        <v>459129.51260380901</v>
      </c>
      <c r="F115" s="1661">
        <f>OPEX_Tratamento!F34</f>
        <v>0</v>
      </c>
      <c r="G115" s="1660">
        <f>OPEX_Tratamento!G34</f>
        <v>0</v>
      </c>
      <c r="H115" s="1660">
        <f>OPEX_Tratamento!H34</f>
        <v>16397.482592993169</v>
      </c>
      <c r="I115" s="1660">
        <f>OPEX_Tratamento!I34</f>
        <v>16397.482592993169</v>
      </c>
      <c r="J115" s="1660">
        <f>OPEX_Tratamento!J34</f>
        <v>16397.482592993169</v>
      </c>
      <c r="K115" s="1660">
        <f>OPEX_Tratamento!K34</f>
        <v>16397.482592993169</v>
      </c>
      <c r="L115" s="1660">
        <f>OPEX_Tratamento!L34</f>
        <v>16397.482592993169</v>
      </c>
      <c r="M115" s="1660">
        <f>OPEX_Tratamento!M34</f>
        <v>16397.482592993169</v>
      </c>
      <c r="N115" s="1660">
        <f>OPEX_Tratamento!N34</f>
        <v>16397.482592993169</v>
      </c>
      <c r="O115" s="1660">
        <f>OPEX_Tratamento!O34</f>
        <v>16397.482592993169</v>
      </c>
      <c r="P115" s="1660">
        <f>OPEX_Tratamento!P34</f>
        <v>16397.482592993169</v>
      </c>
      <c r="Q115" s="1660">
        <f>OPEX_Tratamento!Q34</f>
        <v>16397.482592993169</v>
      </c>
      <c r="R115" s="1660">
        <f>OPEX_Tratamento!R34</f>
        <v>16397.482592993169</v>
      </c>
      <c r="S115" s="1660">
        <f>OPEX_Tratamento!S34</f>
        <v>16397.482592993169</v>
      </c>
      <c r="T115" s="1660">
        <f>OPEX_Tratamento!T34</f>
        <v>16397.482592993169</v>
      </c>
      <c r="U115" s="1660">
        <f>OPEX_Tratamento!U34</f>
        <v>16397.482592993169</v>
      </c>
      <c r="V115" s="1660">
        <f>OPEX_Tratamento!V34</f>
        <v>16397.482592993169</v>
      </c>
      <c r="W115" s="1660">
        <f>OPEX_Tratamento!W34</f>
        <v>16397.482592993169</v>
      </c>
      <c r="X115" s="1660">
        <f>OPEX_Tratamento!X34</f>
        <v>16397.482592993169</v>
      </c>
      <c r="Y115" s="1660">
        <f>OPEX_Tratamento!Y34</f>
        <v>16397.482592993169</v>
      </c>
      <c r="Z115" s="1660">
        <f>OPEX_Tratamento!Z34</f>
        <v>16397.482592993169</v>
      </c>
      <c r="AA115" s="1660">
        <f>OPEX_Tratamento!AA34</f>
        <v>16397.482592993169</v>
      </c>
      <c r="AB115" s="1660">
        <f>OPEX_Tratamento!AB34</f>
        <v>16397.482592993169</v>
      </c>
      <c r="AC115" s="1660">
        <f>OPEX_Tratamento!AC34</f>
        <v>16397.482592993169</v>
      </c>
      <c r="AD115" s="1660">
        <f>OPEX_Tratamento!AD34</f>
        <v>16397.482592993169</v>
      </c>
      <c r="AE115" s="1660">
        <f>OPEX_Tratamento!AE34</f>
        <v>16397.482592993169</v>
      </c>
      <c r="AF115" s="1660">
        <f>OPEX_Tratamento!AF34</f>
        <v>16397.482592993169</v>
      </c>
      <c r="AG115" s="1660">
        <f>OPEX_Tratamento!AG34</f>
        <v>16397.482592993169</v>
      </c>
      <c r="AH115" s="1660">
        <f>OPEX_Tratamento!AH34</f>
        <v>16397.482592993169</v>
      </c>
      <c r="AI115" s="1660">
        <f>OPEX_Tratamento!AI34</f>
        <v>16397.482592993169</v>
      </c>
    </row>
    <row r="116" spans="3:35" s="77" customFormat="1" hidden="1" outlineLevel="1" x14ac:dyDescent="0.35">
      <c r="C116" s="1024"/>
      <c r="D116" s="1025" t="s">
        <v>2</v>
      </c>
      <c r="E116" s="1026">
        <f t="shared" si="66"/>
        <v>5814710.8786821868</v>
      </c>
      <c r="F116" s="1033">
        <f>OPEX_Tratamento!F35</f>
        <v>0</v>
      </c>
      <c r="G116" s="1027">
        <f>OPEX_Tratamento!G35</f>
        <v>0</v>
      </c>
      <c r="H116" s="1027">
        <f>OPEX_Tratamento!H35</f>
        <v>207668.24566722088</v>
      </c>
      <c r="I116" s="1027">
        <f>OPEX_Tratamento!I35</f>
        <v>207668.24566722088</v>
      </c>
      <c r="J116" s="1027">
        <f>OPEX_Tratamento!J35</f>
        <v>207668.24566722088</v>
      </c>
      <c r="K116" s="1027">
        <f>OPEX_Tratamento!K35</f>
        <v>207668.24566722088</v>
      </c>
      <c r="L116" s="1027">
        <f>OPEX_Tratamento!L35</f>
        <v>207668.24566722088</v>
      </c>
      <c r="M116" s="1027">
        <f>OPEX_Tratamento!M35</f>
        <v>207668.24566722088</v>
      </c>
      <c r="N116" s="1027">
        <f>OPEX_Tratamento!N35</f>
        <v>207668.24566722088</v>
      </c>
      <c r="O116" s="1027">
        <f>OPEX_Tratamento!O35</f>
        <v>207668.24566722088</v>
      </c>
      <c r="P116" s="1027">
        <f>OPEX_Tratamento!P35</f>
        <v>207668.24566722088</v>
      </c>
      <c r="Q116" s="1027">
        <f>OPEX_Tratamento!Q35</f>
        <v>207668.24566722088</v>
      </c>
      <c r="R116" s="1027">
        <f>OPEX_Tratamento!R35</f>
        <v>207668.24566722088</v>
      </c>
      <c r="S116" s="1027">
        <f>OPEX_Tratamento!S35</f>
        <v>207668.24566722088</v>
      </c>
      <c r="T116" s="1027">
        <f>OPEX_Tratamento!T35</f>
        <v>207668.24566722088</v>
      </c>
      <c r="U116" s="1027">
        <f>OPEX_Tratamento!U35</f>
        <v>207668.24566722088</v>
      </c>
      <c r="V116" s="1027">
        <f>OPEX_Tratamento!V35</f>
        <v>207668.24566722088</v>
      </c>
      <c r="W116" s="1027">
        <f>OPEX_Tratamento!W35</f>
        <v>207668.24566722088</v>
      </c>
      <c r="X116" s="1027">
        <f>OPEX_Tratamento!X35</f>
        <v>207668.24566722088</v>
      </c>
      <c r="Y116" s="1027">
        <f>OPEX_Tratamento!Y35</f>
        <v>207668.24566722088</v>
      </c>
      <c r="Z116" s="1027">
        <f>OPEX_Tratamento!Z35</f>
        <v>207668.24566722088</v>
      </c>
      <c r="AA116" s="1027">
        <f>OPEX_Tratamento!AA35</f>
        <v>207668.24566722088</v>
      </c>
      <c r="AB116" s="1027">
        <f>OPEX_Tratamento!AB35</f>
        <v>207668.24566722088</v>
      </c>
      <c r="AC116" s="1027">
        <f>OPEX_Tratamento!AC35</f>
        <v>207668.24566722088</v>
      </c>
      <c r="AD116" s="1027">
        <f>OPEX_Tratamento!AD35</f>
        <v>207668.24566722088</v>
      </c>
      <c r="AE116" s="1027">
        <f>OPEX_Tratamento!AE35</f>
        <v>207668.24566722088</v>
      </c>
      <c r="AF116" s="1027">
        <f>OPEX_Tratamento!AF35</f>
        <v>207668.24566722088</v>
      </c>
      <c r="AG116" s="1027">
        <f>OPEX_Tratamento!AG35</f>
        <v>207668.24566722088</v>
      </c>
      <c r="AH116" s="1027">
        <f>OPEX_Tratamento!AH35</f>
        <v>207668.24566722088</v>
      </c>
      <c r="AI116" s="1027">
        <f>OPEX_Tratamento!AI35</f>
        <v>207668.24566722088</v>
      </c>
    </row>
    <row r="117" spans="3:35" s="77" customFormat="1" hidden="1" outlineLevel="1" x14ac:dyDescent="0.35">
      <c r="C117" s="1024"/>
      <c r="D117" s="1025" t="s">
        <v>3</v>
      </c>
      <c r="E117" s="1026">
        <f t="shared" si="66"/>
        <v>696565.78608437942</v>
      </c>
      <c r="F117" s="1033">
        <f>OPEX_Tratamento!F36</f>
        <v>0</v>
      </c>
      <c r="G117" s="1027">
        <f>OPEX_Tratamento!G36</f>
        <v>0</v>
      </c>
      <c r="H117" s="1027">
        <f>OPEX_Tratamento!H36</f>
        <v>24877.349503013567</v>
      </c>
      <c r="I117" s="1027">
        <f>OPEX_Tratamento!I36</f>
        <v>24877.349503013567</v>
      </c>
      <c r="J117" s="1027">
        <f>OPEX_Tratamento!J36</f>
        <v>24877.349503013567</v>
      </c>
      <c r="K117" s="1027">
        <f>OPEX_Tratamento!K36</f>
        <v>24877.349503013567</v>
      </c>
      <c r="L117" s="1027">
        <f>OPEX_Tratamento!L36</f>
        <v>24877.349503013567</v>
      </c>
      <c r="M117" s="1027">
        <f>OPEX_Tratamento!M36</f>
        <v>24877.349503013567</v>
      </c>
      <c r="N117" s="1027">
        <f>OPEX_Tratamento!N36</f>
        <v>24877.349503013567</v>
      </c>
      <c r="O117" s="1027">
        <f>OPEX_Tratamento!O36</f>
        <v>24877.349503013567</v>
      </c>
      <c r="P117" s="1027">
        <f>OPEX_Tratamento!P36</f>
        <v>24877.349503013567</v>
      </c>
      <c r="Q117" s="1027">
        <f>OPEX_Tratamento!Q36</f>
        <v>24877.349503013567</v>
      </c>
      <c r="R117" s="1027">
        <f>OPEX_Tratamento!R36</f>
        <v>24877.349503013567</v>
      </c>
      <c r="S117" s="1027">
        <f>OPEX_Tratamento!S36</f>
        <v>24877.349503013567</v>
      </c>
      <c r="T117" s="1027">
        <f>OPEX_Tratamento!T36</f>
        <v>24877.349503013567</v>
      </c>
      <c r="U117" s="1027">
        <f>OPEX_Tratamento!U36</f>
        <v>24877.349503013567</v>
      </c>
      <c r="V117" s="1027">
        <f>OPEX_Tratamento!V36</f>
        <v>24877.349503013567</v>
      </c>
      <c r="W117" s="1027">
        <f>OPEX_Tratamento!W36</f>
        <v>24877.349503013567</v>
      </c>
      <c r="X117" s="1027">
        <f>OPEX_Tratamento!X36</f>
        <v>24877.349503013567</v>
      </c>
      <c r="Y117" s="1027">
        <f>OPEX_Tratamento!Y36</f>
        <v>24877.349503013567</v>
      </c>
      <c r="Z117" s="1027">
        <f>OPEX_Tratamento!Z36</f>
        <v>24877.349503013567</v>
      </c>
      <c r="AA117" s="1027">
        <f>OPEX_Tratamento!AA36</f>
        <v>24877.349503013567</v>
      </c>
      <c r="AB117" s="1027">
        <f>OPEX_Tratamento!AB36</f>
        <v>24877.349503013567</v>
      </c>
      <c r="AC117" s="1027">
        <f>OPEX_Tratamento!AC36</f>
        <v>24877.349503013567</v>
      </c>
      <c r="AD117" s="1027">
        <f>OPEX_Tratamento!AD36</f>
        <v>24877.349503013567</v>
      </c>
      <c r="AE117" s="1027">
        <f>OPEX_Tratamento!AE36</f>
        <v>24877.349503013567</v>
      </c>
      <c r="AF117" s="1027">
        <f>OPEX_Tratamento!AF36</f>
        <v>24877.349503013567</v>
      </c>
      <c r="AG117" s="1027">
        <f>OPEX_Tratamento!AG36</f>
        <v>24877.349503013567</v>
      </c>
      <c r="AH117" s="1027">
        <f>OPEX_Tratamento!AH36</f>
        <v>24877.349503013567</v>
      </c>
      <c r="AI117" s="1027">
        <f>OPEX_Tratamento!AI36</f>
        <v>24877.349503013567</v>
      </c>
    </row>
    <row r="118" spans="3:35" s="77" customFormat="1" hidden="1" outlineLevel="1" x14ac:dyDescent="0.35">
      <c r="C118" s="1024"/>
      <c r="D118" s="1025" t="s">
        <v>4</v>
      </c>
      <c r="E118" s="1026">
        <f t="shared" si="66"/>
        <v>1858619.0116619612</v>
      </c>
      <c r="F118" s="1033">
        <f>OPEX_Tratamento!F37</f>
        <v>0</v>
      </c>
      <c r="G118" s="1027">
        <f>OPEX_Tratamento!G37</f>
        <v>0</v>
      </c>
      <c r="H118" s="1027">
        <f>OPEX_Tratamento!H37</f>
        <v>66379.250416498588</v>
      </c>
      <c r="I118" s="1027">
        <f>OPEX_Tratamento!I37</f>
        <v>66379.250416498588</v>
      </c>
      <c r="J118" s="1027">
        <f>OPEX_Tratamento!J37</f>
        <v>66379.250416498588</v>
      </c>
      <c r="K118" s="1027">
        <f>OPEX_Tratamento!K37</f>
        <v>66379.250416498588</v>
      </c>
      <c r="L118" s="1027">
        <f>OPEX_Tratamento!L37</f>
        <v>66379.250416498588</v>
      </c>
      <c r="M118" s="1027">
        <f>OPEX_Tratamento!M37</f>
        <v>66379.250416498588</v>
      </c>
      <c r="N118" s="1027">
        <f>OPEX_Tratamento!N37</f>
        <v>66379.250416498588</v>
      </c>
      <c r="O118" s="1027">
        <f>OPEX_Tratamento!O37</f>
        <v>66379.250416498588</v>
      </c>
      <c r="P118" s="1027">
        <f>OPEX_Tratamento!P37</f>
        <v>66379.250416498588</v>
      </c>
      <c r="Q118" s="1027">
        <f>OPEX_Tratamento!Q37</f>
        <v>66379.250416498588</v>
      </c>
      <c r="R118" s="1027">
        <f>OPEX_Tratamento!R37</f>
        <v>66379.250416498588</v>
      </c>
      <c r="S118" s="1027">
        <f>OPEX_Tratamento!S37</f>
        <v>66379.250416498588</v>
      </c>
      <c r="T118" s="1027">
        <f>OPEX_Tratamento!T37</f>
        <v>66379.250416498588</v>
      </c>
      <c r="U118" s="1027">
        <f>OPEX_Tratamento!U37</f>
        <v>66379.250416498588</v>
      </c>
      <c r="V118" s="1027">
        <f>OPEX_Tratamento!V37</f>
        <v>66379.250416498588</v>
      </c>
      <c r="W118" s="1027">
        <f>OPEX_Tratamento!W37</f>
        <v>66379.250416498588</v>
      </c>
      <c r="X118" s="1027">
        <f>OPEX_Tratamento!X37</f>
        <v>66379.250416498588</v>
      </c>
      <c r="Y118" s="1027">
        <f>OPEX_Tratamento!Y37</f>
        <v>66379.250416498588</v>
      </c>
      <c r="Z118" s="1027">
        <f>OPEX_Tratamento!Z37</f>
        <v>66379.250416498588</v>
      </c>
      <c r="AA118" s="1027">
        <f>OPEX_Tratamento!AA37</f>
        <v>66379.250416498588</v>
      </c>
      <c r="AB118" s="1027">
        <f>OPEX_Tratamento!AB37</f>
        <v>66379.250416498588</v>
      </c>
      <c r="AC118" s="1027">
        <f>OPEX_Tratamento!AC37</f>
        <v>66379.250416498588</v>
      </c>
      <c r="AD118" s="1027">
        <f>OPEX_Tratamento!AD37</f>
        <v>66379.250416498588</v>
      </c>
      <c r="AE118" s="1027">
        <f>OPEX_Tratamento!AE37</f>
        <v>66379.250416498588</v>
      </c>
      <c r="AF118" s="1027">
        <f>OPEX_Tratamento!AF37</f>
        <v>66379.250416498588</v>
      </c>
      <c r="AG118" s="1027">
        <f>OPEX_Tratamento!AG37</f>
        <v>66379.250416498588</v>
      </c>
      <c r="AH118" s="1027">
        <f>OPEX_Tratamento!AH37</f>
        <v>66379.250416498588</v>
      </c>
      <c r="AI118" s="1027">
        <f>OPEX_Tratamento!AI37</f>
        <v>66379.250416498588</v>
      </c>
    </row>
    <row r="119" spans="3:35" s="77" customFormat="1" hidden="1" outlineLevel="1" x14ac:dyDescent="0.35">
      <c r="C119" s="1024"/>
      <c r="D119" s="1025" t="s">
        <v>5</v>
      </c>
      <c r="E119" s="1026">
        <f t="shared" si="66"/>
        <v>4036579.2723144032</v>
      </c>
      <c r="F119" s="1033">
        <f>OPEX_Tratamento!F38</f>
        <v>0</v>
      </c>
      <c r="G119" s="1027">
        <f>OPEX_Tratamento!G38</f>
        <v>0</v>
      </c>
      <c r="H119" s="1027">
        <f>OPEX_Tratamento!H38</f>
        <v>144163.54543980001</v>
      </c>
      <c r="I119" s="1027">
        <f>OPEX_Tratamento!I38</f>
        <v>144163.54543980001</v>
      </c>
      <c r="J119" s="1027">
        <f>OPEX_Tratamento!J38</f>
        <v>144163.54543980001</v>
      </c>
      <c r="K119" s="1027">
        <f>OPEX_Tratamento!K38</f>
        <v>144163.54543980001</v>
      </c>
      <c r="L119" s="1027">
        <f>OPEX_Tratamento!L38</f>
        <v>144163.54543980001</v>
      </c>
      <c r="M119" s="1027">
        <f>OPEX_Tratamento!M38</f>
        <v>144163.54543980001</v>
      </c>
      <c r="N119" s="1027">
        <f>OPEX_Tratamento!N38</f>
        <v>144163.54543980001</v>
      </c>
      <c r="O119" s="1027">
        <f>OPEX_Tratamento!O38</f>
        <v>144163.54543980001</v>
      </c>
      <c r="P119" s="1027">
        <f>OPEX_Tratamento!P38</f>
        <v>144163.54543980001</v>
      </c>
      <c r="Q119" s="1027">
        <f>OPEX_Tratamento!Q38</f>
        <v>144163.54543980001</v>
      </c>
      <c r="R119" s="1027">
        <f>OPEX_Tratamento!R38</f>
        <v>144163.54543980001</v>
      </c>
      <c r="S119" s="1027">
        <f>OPEX_Tratamento!S38</f>
        <v>144163.54543980001</v>
      </c>
      <c r="T119" s="1027">
        <f>OPEX_Tratamento!T38</f>
        <v>144163.54543980001</v>
      </c>
      <c r="U119" s="1027">
        <f>OPEX_Tratamento!U38</f>
        <v>144163.54543980001</v>
      </c>
      <c r="V119" s="1027">
        <f>OPEX_Tratamento!V38</f>
        <v>144163.54543980001</v>
      </c>
      <c r="W119" s="1027">
        <f>OPEX_Tratamento!W38</f>
        <v>144163.54543980001</v>
      </c>
      <c r="X119" s="1027">
        <f>OPEX_Tratamento!X38</f>
        <v>144163.54543980001</v>
      </c>
      <c r="Y119" s="1027">
        <f>OPEX_Tratamento!Y38</f>
        <v>144163.54543980001</v>
      </c>
      <c r="Z119" s="1027">
        <f>OPEX_Tratamento!Z38</f>
        <v>144163.54543980001</v>
      </c>
      <c r="AA119" s="1027">
        <f>OPEX_Tratamento!AA38</f>
        <v>144163.54543980001</v>
      </c>
      <c r="AB119" s="1027">
        <f>OPEX_Tratamento!AB38</f>
        <v>144163.54543980001</v>
      </c>
      <c r="AC119" s="1027">
        <f>OPEX_Tratamento!AC38</f>
        <v>144163.54543980001</v>
      </c>
      <c r="AD119" s="1027">
        <f>OPEX_Tratamento!AD38</f>
        <v>144163.54543980001</v>
      </c>
      <c r="AE119" s="1027">
        <f>OPEX_Tratamento!AE38</f>
        <v>144163.54543980001</v>
      </c>
      <c r="AF119" s="1027">
        <f>OPEX_Tratamento!AF38</f>
        <v>144163.54543980001</v>
      </c>
      <c r="AG119" s="1027">
        <f>OPEX_Tratamento!AG38</f>
        <v>144163.54543980001</v>
      </c>
      <c r="AH119" s="1027">
        <f>OPEX_Tratamento!AH38</f>
        <v>144163.54543980001</v>
      </c>
      <c r="AI119" s="1027">
        <f>OPEX_Tratamento!AI38</f>
        <v>144163.54543980001</v>
      </c>
    </row>
    <row r="120" spans="3:35" s="77" customFormat="1" hidden="1" outlineLevel="1" x14ac:dyDescent="0.35">
      <c r="C120" s="1024"/>
      <c r="D120" s="1025" t="s">
        <v>6</v>
      </c>
      <c r="E120" s="1026">
        <f t="shared" si="66"/>
        <v>44684226.575360492</v>
      </c>
      <c r="F120" s="1033">
        <f>OPEX_Tratamento!F39</f>
        <v>0</v>
      </c>
      <c r="G120" s="1027">
        <f>OPEX_Tratamento!G39</f>
        <v>0</v>
      </c>
      <c r="H120" s="1027">
        <f>OPEX_Tratamento!H39</f>
        <v>1595865.2348343024</v>
      </c>
      <c r="I120" s="1027">
        <f>OPEX_Tratamento!I39</f>
        <v>1595865.2348343024</v>
      </c>
      <c r="J120" s="1027">
        <f>OPEX_Tratamento!J39</f>
        <v>1595865.2348343024</v>
      </c>
      <c r="K120" s="1027">
        <f>OPEX_Tratamento!K39</f>
        <v>1595865.2348343024</v>
      </c>
      <c r="L120" s="1027">
        <f>OPEX_Tratamento!L39</f>
        <v>1595865.2348343024</v>
      </c>
      <c r="M120" s="1027">
        <f>OPEX_Tratamento!M39</f>
        <v>1595865.2348343024</v>
      </c>
      <c r="N120" s="1027">
        <f>OPEX_Tratamento!N39</f>
        <v>1595865.2348343024</v>
      </c>
      <c r="O120" s="1027">
        <f>OPEX_Tratamento!O39</f>
        <v>1595865.2348343024</v>
      </c>
      <c r="P120" s="1027">
        <f>OPEX_Tratamento!P39</f>
        <v>1595865.2348343024</v>
      </c>
      <c r="Q120" s="1027">
        <f>OPEX_Tratamento!Q39</f>
        <v>1595865.2348343024</v>
      </c>
      <c r="R120" s="1027">
        <f>OPEX_Tratamento!R39</f>
        <v>1595865.2348343024</v>
      </c>
      <c r="S120" s="1027">
        <f>OPEX_Tratamento!S39</f>
        <v>1595865.2348343024</v>
      </c>
      <c r="T120" s="1027">
        <f>OPEX_Tratamento!T39</f>
        <v>1595865.2348343024</v>
      </c>
      <c r="U120" s="1027">
        <f>OPEX_Tratamento!U39</f>
        <v>1595865.2348343024</v>
      </c>
      <c r="V120" s="1027">
        <f>OPEX_Tratamento!V39</f>
        <v>1595865.2348343024</v>
      </c>
      <c r="W120" s="1027">
        <f>OPEX_Tratamento!W39</f>
        <v>1595865.2348343024</v>
      </c>
      <c r="X120" s="1027">
        <f>OPEX_Tratamento!X39</f>
        <v>1595865.2348343024</v>
      </c>
      <c r="Y120" s="1027">
        <f>OPEX_Tratamento!Y39</f>
        <v>1595865.2348343024</v>
      </c>
      <c r="Z120" s="1027">
        <f>OPEX_Tratamento!Z39</f>
        <v>1595865.2348343024</v>
      </c>
      <c r="AA120" s="1027">
        <f>OPEX_Tratamento!AA39</f>
        <v>1595865.2348343024</v>
      </c>
      <c r="AB120" s="1027">
        <f>OPEX_Tratamento!AB39</f>
        <v>1595865.2348343024</v>
      </c>
      <c r="AC120" s="1027">
        <f>OPEX_Tratamento!AC39</f>
        <v>1595865.2348343024</v>
      </c>
      <c r="AD120" s="1027">
        <f>OPEX_Tratamento!AD39</f>
        <v>1595865.2348343024</v>
      </c>
      <c r="AE120" s="1027">
        <f>OPEX_Tratamento!AE39</f>
        <v>1595865.2348343024</v>
      </c>
      <c r="AF120" s="1027">
        <f>OPEX_Tratamento!AF39</f>
        <v>1595865.2348343024</v>
      </c>
      <c r="AG120" s="1027">
        <f>OPEX_Tratamento!AG39</f>
        <v>1595865.2348343024</v>
      </c>
      <c r="AH120" s="1027">
        <f>OPEX_Tratamento!AH39</f>
        <v>1595865.2348343024</v>
      </c>
      <c r="AI120" s="1027">
        <f>OPEX_Tratamento!AI39</f>
        <v>1595865.2348343024</v>
      </c>
    </row>
    <row r="121" spans="3:35" s="77" customFormat="1" hidden="1" outlineLevel="1" x14ac:dyDescent="0.35">
      <c r="C121" s="1024"/>
      <c r="D121" s="1025" t="s">
        <v>7</v>
      </c>
      <c r="E121" s="1026">
        <f t="shared" si="66"/>
        <v>3648713.9066685243</v>
      </c>
      <c r="F121" s="1033">
        <f>OPEX_Tratamento!F40</f>
        <v>0</v>
      </c>
      <c r="G121" s="1027">
        <f>OPEX_Tratamento!G40</f>
        <v>0</v>
      </c>
      <c r="H121" s="1027">
        <f>OPEX_Tratamento!H40</f>
        <v>130311.21095244733</v>
      </c>
      <c r="I121" s="1027">
        <f>OPEX_Tratamento!I40</f>
        <v>130311.21095244733</v>
      </c>
      <c r="J121" s="1027">
        <f>OPEX_Tratamento!J40</f>
        <v>130311.21095244733</v>
      </c>
      <c r="K121" s="1027">
        <f>OPEX_Tratamento!K40</f>
        <v>130311.21095244733</v>
      </c>
      <c r="L121" s="1027">
        <f>OPEX_Tratamento!L40</f>
        <v>130311.21095244733</v>
      </c>
      <c r="M121" s="1027">
        <f>OPEX_Tratamento!M40</f>
        <v>130311.21095244733</v>
      </c>
      <c r="N121" s="1027">
        <f>OPEX_Tratamento!N40</f>
        <v>130311.21095244733</v>
      </c>
      <c r="O121" s="1027">
        <f>OPEX_Tratamento!O40</f>
        <v>130311.21095244733</v>
      </c>
      <c r="P121" s="1027">
        <f>OPEX_Tratamento!P40</f>
        <v>130311.21095244733</v>
      </c>
      <c r="Q121" s="1027">
        <f>OPEX_Tratamento!Q40</f>
        <v>130311.21095244733</v>
      </c>
      <c r="R121" s="1027">
        <f>OPEX_Tratamento!R40</f>
        <v>130311.21095244733</v>
      </c>
      <c r="S121" s="1027">
        <f>OPEX_Tratamento!S40</f>
        <v>130311.21095244733</v>
      </c>
      <c r="T121" s="1027">
        <f>OPEX_Tratamento!T40</f>
        <v>130311.21095244733</v>
      </c>
      <c r="U121" s="1027">
        <f>OPEX_Tratamento!U40</f>
        <v>130311.21095244733</v>
      </c>
      <c r="V121" s="1027">
        <f>OPEX_Tratamento!V40</f>
        <v>130311.21095244733</v>
      </c>
      <c r="W121" s="1027">
        <f>OPEX_Tratamento!W40</f>
        <v>130311.21095244733</v>
      </c>
      <c r="X121" s="1027">
        <f>OPEX_Tratamento!X40</f>
        <v>130311.21095244733</v>
      </c>
      <c r="Y121" s="1027">
        <f>OPEX_Tratamento!Y40</f>
        <v>130311.21095244733</v>
      </c>
      <c r="Z121" s="1027">
        <f>OPEX_Tratamento!Z40</f>
        <v>130311.21095244733</v>
      </c>
      <c r="AA121" s="1027">
        <f>OPEX_Tratamento!AA40</f>
        <v>130311.21095244733</v>
      </c>
      <c r="AB121" s="1027">
        <f>OPEX_Tratamento!AB40</f>
        <v>130311.21095244733</v>
      </c>
      <c r="AC121" s="1027">
        <f>OPEX_Tratamento!AC40</f>
        <v>130311.21095244733</v>
      </c>
      <c r="AD121" s="1027">
        <f>OPEX_Tratamento!AD40</f>
        <v>130311.21095244733</v>
      </c>
      <c r="AE121" s="1027">
        <f>OPEX_Tratamento!AE40</f>
        <v>130311.21095244733</v>
      </c>
      <c r="AF121" s="1027">
        <f>OPEX_Tratamento!AF40</f>
        <v>130311.21095244733</v>
      </c>
      <c r="AG121" s="1027">
        <f>OPEX_Tratamento!AG40</f>
        <v>130311.21095244733</v>
      </c>
      <c r="AH121" s="1027">
        <f>OPEX_Tratamento!AH40</f>
        <v>130311.21095244733</v>
      </c>
      <c r="AI121" s="1027">
        <f>OPEX_Tratamento!AI40</f>
        <v>130311.21095244733</v>
      </c>
    </row>
    <row r="122" spans="3:35" s="77" customFormat="1" hidden="1" outlineLevel="1" x14ac:dyDescent="0.35">
      <c r="C122" s="1024"/>
      <c r="D122" s="1025" t="s">
        <v>8</v>
      </c>
      <c r="E122" s="1026">
        <f t="shared" si="66"/>
        <v>3324168.7970971577</v>
      </c>
      <c r="F122" s="1033">
        <f>OPEX_Tratamento!F41</f>
        <v>0</v>
      </c>
      <c r="G122" s="1027">
        <f>OPEX_Tratamento!G41</f>
        <v>0</v>
      </c>
      <c r="H122" s="1027">
        <f>OPEX_Tratamento!H41</f>
        <v>118720.3141820414</v>
      </c>
      <c r="I122" s="1027">
        <f>OPEX_Tratamento!I41</f>
        <v>118720.3141820414</v>
      </c>
      <c r="J122" s="1027">
        <f>OPEX_Tratamento!J41</f>
        <v>118720.3141820414</v>
      </c>
      <c r="K122" s="1027">
        <f>OPEX_Tratamento!K41</f>
        <v>118720.3141820414</v>
      </c>
      <c r="L122" s="1027">
        <f>OPEX_Tratamento!L41</f>
        <v>118720.3141820414</v>
      </c>
      <c r="M122" s="1027">
        <f>OPEX_Tratamento!M41</f>
        <v>118720.3141820414</v>
      </c>
      <c r="N122" s="1027">
        <f>OPEX_Tratamento!N41</f>
        <v>118720.3141820414</v>
      </c>
      <c r="O122" s="1027">
        <f>OPEX_Tratamento!O41</f>
        <v>118720.3141820414</v>
      </c>
      <c r="P122" s="1027">
        <f>OPEX_Tratamento!P41</f>
        <v>118720.3141820414</v>
      </c>
      <c r="Q122" s="1027">
        <f>OPEX_Tratamento!Q41</f>
        <v>118720.3141820414</v>
      </c>
      <c r="R122" s="1027">
        <f>OPEX_Tratamento!R41</f>
        <v>118720.3141820414</v>
      </c>
      <c r="S122" s="1027">
        <f>OPEX_Tratamento!S41</f>
        <v>118720.3141820414</v>
      </c>
      <c r="T122" s="1027">
        <f>OPEX_Tratamento!T41</f>
        <v>118720.3141820414</v>
      </c>
      <c r="U122" s="1027">
        <f>OPEX_Tratamento!U41</f>
        <v>118720.3141820414</v>
      </c>
      <c r="V122" s="1027">
        <f>OPEX_Tratamento!V41</f>
        <v>118720.3141820414</v>
      </c>
      <c r="W122" s="1027">
        <f>OPEX_Tratamento!W41</f>
        <v>118720.3141820414</v>
      </c>
      <c r="X122" s="1027">
        <f>OPEX_Tratamento!X41</f>
        <v>118720.3141820414</v>
      </c>
      <c r="Y122" s="1027">
        <f>OPEX_Tratamento!Y41</f>
        <v>118720.3141820414</v>
      </c>
      <c r="Z122" s="1027">
        <f>OPEX_Tratamento!Z41</f>
        <v>118720.3141820414</v>
      </c>
      <c r="AA122" s="1027">
        <f>OPEX_Tratamento!AA41</f>
        <v>118720.3141820414</v>
      </c>
      <c r="AB122" s="1027">
        <f>OPEX_Tratamento!AB41</f>
        <v>118720.3141820414</v>
      </c>
      <c r="AC122" s="1027">
        <f>OPEX_Tratamento!AC41</f>
        <v>118720.3141820414</v>
      </c>
      <c r="AD122" s="1027">
        <f>OPEX_Tratamento!AD41</f>
        <v>118720.3141820414</v>
      </c>
      <c r="AE122" s="1027">
        <f>OPEX_Tratamento!AE41</f>
        <v>118720.3141820414</v>
      </c>
      <c r="AF122" s="1027">
        <f>OPEX_Tratamento!AF41</f>
        <v>118720.3141820414</v>
      </c>
      <c r="AG122" s="1027">
        <f>OPEX_Tratamento!AG41</f>
        <v>118720.3141820414</v>
      </c>
      <c r="AH122" s="1027">
        <f>OPEX_Tratamento!AH41</f>
        <v>118720.3141820414</v>
      </c>
      <c r="AI122" s="1027">
        <f>OPEX_Tratamento!AI41</f>
        <v>118720.3141820414</v>
      </c>
    </row>
    <row r="123" spans="3:35" s="77" customFormat="1" hidden="1" outlineLevel="1" x14ac:dyDescent="0.35">
      <c r="C123" s="1024"/>
      <c r="D123" s="1025" t="s">
        <v>9</v>
      </c>
      <c r="E123" s="1026">
        <f t="shared" si="66"/>
        <v>2727594.1395271146</v>
      </c>
      <c r="F123" s="1033">
        <f>OPEX_Tratamento!F42</f>
        <v>0</v>
      </c>
      <c r="G123" s="1027">
        <f>OPEX_Tratamento!G42</f>
        <v>0</v>
      </c>
      <c r="H123" s="1027">
        <f>OPEX_Tratamento!H42</f>
        <v>97414.076411682705</v>
      </c>
      <c r="I123" s="1027">
        <f>OPEX_Tratamento!I42</f>
        <v>97414.076411682705</v>
      </c>
      <c r="J123" s="1027">
        <f>OPEX_Tratamento!J42</f>
        <v>97414.076411682705</v>
      </c>
      <c r="K123" s="1027">
        <f>OPEX_Tratamento!K42</f>
        <v>97414.076411682705</v>
      </c>
      <c r="L123" s="1027">
        <f>OPEX_Tratamento!L42</f>
        <v>97414.076411682705</v>
      </c>
      <c r="M123" s="1027">
        <f>OPEX_Tratamento!M42</f>
        <v>97414.076411682705</v>
      </c>
      <c r="N123" s="1027">
        <f>OPEX_Tratamento!N42</f>
        <v>97414.076411682705</v>
      </c>
      <c r="O123" s="1027">
        <f>OPEX_Tratamento!O42</f>
        <v>97414.076411682705</v>
      </c>
      <c r="P123" s="1027">
        <f>OPEX_Tratamento!P42</f>
        <v>97414.076411682705</v>
      </c>
      <c r="Q123" s="1027">
        <f>OPEX_Tratamento!Q42</f>
        <v>97414.076411682705</v>
      </c>
      <c r="R123" s="1027">
        <f>OPEX_Tratamento!R42</f>
        <v>97414.076411682705</v>
      </c>
      <c r="S123" s="1027">
        <f>OPEX_Tratamento!S42</f>
        <v>97414.076411682705</v>
      </c>
      <c r="T123" s="1027">
        <f>OPEX_Tratamento!T42</f>
        <v>97414.076411682705</v>
      </c>
      <c r="U123" s="1027">
        <f>OPEX_Tratamento!U42</f>
        <v>97414.076411682705</v>
      </c>
      <c r="V123" s="1027">
        <f>OPEX_Tratamento!V42</f>
        <v>97414.076411682705</v>
      </c>
      <c r="W123" s="1027">
        <f>OPEX_Tratamento!W42</f>
        <v>97414.076411682705</v>
      </c>
      <c r="X123" s="1027">
        <f>OPEX_Tratamento!X42</f>
        <v>97414.076411682705</v>
      </c>
      <c r="Y123" s="1027">
        <f>OPEX_Tratamento!Y42</f>
        <v>97414.076411682705</v>
      </c>
      <c r="Z123" s="1027">
        <f>OPEX_Tratamento!Z42</f>
        <v>97414.076411682705</v>
      </c>
      <c r="AA123" s="1027">
        <f>OPEX_Tratamento!AA42</f>
        <v>97414.076411682705</v>
      </c>
      <c r="AB123" s="1027">
        <f>OPEX_Tratamento!AB42</f>
        <v>97414.076411682705</v>
      </c>
      <c r="AC123" s="1027">
        <f>OPEX_Tratamento!AC42</f>
        <v>97414.076411682705</v>
      </c>
      <c r="AD123" s="1027">
        <f>OPEX_Tratamento!AD42</f>
        <v>97414.076411682705</v>
      </c>
      <c r="AE123" s="1027">
        <f>OPEX_Tratamento!AE42</f>
        <v>97414.076411682705</v>
      </c>
      <c r="AF123" s="1027">
        <f>OPEX_Tratamento!AF42</f>
        <v>97414.076411682705</v>
      </c>
      <c r="AG123" s="1027">
        <f>OPEX_Tratamento!AG42</f>
        <v>97414.076411682705</v>
      </c>
      <c r="AH123" s="1027">
        <f>OPEX_Tratamento!AH42</f>
        <v>97414.076411682705</v>
      </c>
      <c r="AI123" s="1027">
        <f>OPEX_Tratamento!AI42</f>
        <v>97414.076411682705</v>
      </c>
    </row>
    <row r="124" spans="3:35" s="77" customFormat="1" collapsed="1" x14ac:dyDescent="0.35">
      <c r="C124" s="77" t="s">
        <v>458</v>
      </c>
      <c r="E124" s="489">
        <f t="shared" si="66"/>
        <v>140854558.67000002</v>
      </c>
      <c r="F124" s="490">
        <f>'OPEX _Disposição Final'!F47</f>
        <v>9379687.4600000009</v>
      </c>
      <c r="G124" s="490">
        <f>'OPEX _Disposição Final'!G47</f>
        <v>9393532.9800000004</v>
      </c>
      <c r="H124" s="490">
        <f>'OPEX _Disposição Final'!H47</f>
        <v>13549245.059999999</v>
      </c>
      <c r="I124" s="490">
        <f>'OPEX _Disposição Final'!I47</f>
        <v>13580277.67</v>
      </c>
      <c r="J124" s="490">
        <f>'OPEX _Disposição Final'!J47</f>
        <v>2339759.15</v>
      </c>
      <c r="K124" s="490">
        <f>'OPEX _Disposição Final'!K47</f>
        <v>2339759.15</v>
      </c>
      <c r="L124" s="490">
        <f>'OPEX _Disposição Final'!L47</f>
        <v>2339759.15</v>
      </c>
      <c r="M124" s="490">
        <f>'OPEX _Disposição Final'!M47</f>
        <v>2339759.15</v>
      </c>
      <c r="N124" s="490">
        <f>'OPEX _Disposição Final'!N47</f>
        <v>2339759.15</v>
      </c>
      <c r="O124" s="490">
        <f>'OPEX _Disposição Final'!O47</f>
        <v>2339759.15</v>
      </c>
      <c r="P124" s="490">
        <f>'OPEX _Disposição Final'!P47</f>
        <v>4045663.03</v>
      </c>
      <c r="Q124" s="490">
        <f>'OPEX _Disposição Final'!Q47</f>
        <v>4045663.03</v>
      </c>
      <c r="R124" s="490">
        <f>'OPEX _Disposição Final'!R47</f>
        <v>4045663.03</v>
      </c>
      <c r="S124" s="490">
        <f>'OPEX _Disposição Final'!S47</f>
        <v>4045663.03</v>
      </c>
      <c r="T124" s="490">
        <f>'OPEX _Disposição Final'!T47</f>
        <v>4045663.03</v>
      </c>
      <c r="U124" s="490">
        <f>'OPEX _Disposição Final'!U47</f>
        <v>4045663.03</v>
      </c>
      <c r="V124" s="490">
        <f>'OPEX _Disposição Final'!V47</f>
        <v>4045663.03</v>
      </c>
      <c r="W124" s="490">
        <f>'OPEX _Disposição Final'!W47</f>
        <v>4045663.03</v>
      </c>
      <c r="X124" s="490">
        <f>'OPEX _Disposição Final'!X47</f>
        <v>4045663.03</v>
      </c>
      <c r="Y124" s="490">
        <f>'OPEX _Disposição Final'!Y47</f>
        <v>4045663.03</v>
      </c>
      <c r="Z124" s="490">
        <f>'OPEX _Disposição Final'!Z47</f>
        <v>4045663.03</v>
      </c>
      <c r="AA124" s="490">
        <f>'OPEX _Disposição Final'!AA47</f>
        <v>4045663.03</v>
      </c>
      <c r="AB124" s="490">
        <f>'OPEX _Disposição Final'!AB47</f>
        <v>4045663.03</v>
      </c>
      <c r="AC124" s="490">
        <f>'OPEX _Disposição Final'!AC47</f>
        <v>4045663.03</v>
      </c>
      <c r="AD124" s="490">
        <f>'OPEX _Disposição Final'!AD47</f>
        <v>4045663.03</v>
      </c>
      <c r="AE124" s="490">
        <f>'OPEX _Disposição Final'!AE47</f>
        <v>4045663.03</v>
      </c>
      <c r="AF124" s="490">
        <f>'OPEX _Disposição Final'!AF47</f>
        <v>4045663.03</v>
      </c>
      <c r="AG124" s="490">
        <f>'OPEX _Disposição Final'!AG47</f>
        <v>4045663.03</v>
      </c>
      <c r="AH124" s="490">
        <f>'OPEX _Disposição Final'!AH47</f>
        <v>4045663.03</v>
      </c>
      <c r="AI124" s="490">
        <f>'OPEX _Disposição Final'!AI47</f>
        <v>4045663.03</v>
      </c>
    </row>
    <row r="125" spans="3:35" s="77" customFormat="1" hidden="1" outlineLevel="1" x14ac:dyDescent="0.35">
      <c r="C125" s="1020"/>
      <c r="D125" s="1021" t="s">
        <v>1</v>
      </c>
      <c r="E125" s="1022">
        <f t="shared" si="66"/>
        <v>961638.49518099218</v>
      </c>
      <c r="F125" s="1032">
        <f>'OPEX _Disposição Final'!F52</f>
        <v>64036.752657999241</v>
      </c>
      <c r="G125" s="1023">
        <f>'OPEX _Disposição Final'!G52</f>
        <v>64131.27842375022</v>
      </c>
      <c r="H125" s="1023">
        <f>'OPEX _Disposição Final'!H52</f>
        <v>92503.045363713856</v>
      </c>
      <c r="I125" s="1023">
        <f>'OPEX _Disposição Final'!I52</f>
        <v>92714.910373009392</v>
      </c>
      <c r="J125" s="1023">
        <f>'OPEX _Disposição Final'!J52</f>
        <v>15973.941414018131</v>
      </c>
      <c r="K125" s="1023">
        <f>'OPEX _Disposição Final'!K52</f>
        <v>15973.941414018131</v>
      </c>
      <c r="L125" s="1023">
        <f>'OPEX _Disposição Final'!L52</f>
        <v>15973.941414018131</v>
      </c>
      <c r="M125" s="1023">
        <f>'OPEX _Disposição Final'!M52</f>
        <v>15973.941414018131</v>
      </c>
      <c r="N125" s="1023">
        <f>'OPEX _Disposição Final'!N52</f>
        <v>15973.941414018131</v>
      </c>
      <c r="O125" s="1023">
        <f>'OPEX _Disposição Final'!O52</f>
        <v>15973.941414018131</v>
      </c>
      <c r="P125" s="1023">
        <f>'OPEX _Disposição Final'!P52</f>
        <v>27620.44299392058</v>
      </c>
      <c r="Q125" s="1023">
        <f>'OPEX _Disposição Final'!Q52</f>
        <v>27620.44299392058</v>
      </c>
      <c r="R125" s="1023">
        <f>'OPEX _Disposição Final'!R52</f>
        <v>27620.44299392058</v>
      </c>
      <c r="S125" s="1023">
        <f>'OPEX _Disposição Final'!S52</f>
        <v>27620.44299392058</v>
      </c>
      <c r="T125" s="1023">
        <f>'OPEX _Disposição Final'!T52</f>
        <v>27620.44299392058</v>
      </c>
      <c r="U125" s="1023">
        <f>'OPEX _Disposição Final'!U52</f>
        <v>27620.44299392058</v>
      </c>
      <c r="V125" s="1023">
        <f>'OPEX _Disposição Final'!V52</f>
        <v>27620.44299392058</v>
      </c>
      <c r="W125" s="1023">
        <f>'OPEX _Disposição Final'!W52</f>
        <v>27620.44299392058</v>
      </c>
      <c r="X125" s="1023">
        <f>'OPEX _Disposição Final'!X52</f>
        <v>27620.44299392058</v>
      </c>
      <c r="Y125" s="1023">
        <f>'OPEX _Disposição Final'!Y52</f>
        <v>27620.44299392058</v>
      </c>
      <c r="Z125" s="1023">
        <f>'OPEX _Disposição Final'!Z52</f>
        <v>27620.44299392058</v>
      </c>
      <c r="AA125" s="1023">
        <f>'OPEX _Disposição Final'!AA52</f>
        <v>27620.44299392058</v>
      </c>
      <c r="AB125" s="1023">
        <f>'OPEX _Disposição Final'!AB52</f>
        <v>27620.44299392058</v>
      </c>
      <c r="AC125" s="1023">
        <f>'OPEX _Disposição Final'!AC52</f>
        <v>27620.44299392058</v>
      </c>
      <c r="AD125" s="1023">
        <f>'OPEX _Disposição Final'!AD52</f>
        <v>27620.44299392058</v>
      </c>
      <c r="AE125" s="1023">
        <f>'OPEX _Disposição Final'!AE52</f>
        <v>27620.44299392058</v>
      </c>
      <c r="AF125" s="1023">
        <f>'OPEX _Disposição Final'!AF52</f>
        <v>27620.44299392058</v>
      </c>
      <c r="AG125" s="1023">
        <f>'OPEX _Disposição Final'!AG52</f>
        <v>27620.44299392058</v>
      </c>
      <c r="AH125" s="1023">
        <f>'OPEX _Disposição Final'!AH52</f>
        <v>27620.44299392058</v>
      </c>
      <c r="AI125" s="1023">
        <f>'OPEX _Disposição Final'!AI52</f>
        <v>27620.44299392058</v>
      </c>
    </row>
    <row r="126" spans="3:35" s="77" customFormat="1" hidden="1" outlineLevel="1" x14ac:dyDescent="0.35">
      <c r="C126" s="1024"/>
      <c r="D126" s="1025" t="s">
        <v>2</v>
      </c>
      <c r="E126" s="1026">
        <f t="shared" ref="E126:E143" si="68">SUM(F126:AI126)</f>
        <v>12178807.211884946</v>
      </c>
      <c r="F126" s="1033">
        <f>'OPEX _Disposição Final'!F53</f>
        <v>811002.54306078679</v>
      </c>
      <c r="G126" s="1027">
        <f>'OPEX _Disposição Final'!G53</f>
        <v>812199.67803760606</v>
      </c>
      <c r="H126" s="1027">
        <f>'OPEX _Disposição Final'!H53</f>
        <v>1171517.9473809248</v>
      </c>
      <c r="I126" s="1027">
        <f>'OPEX _Disposição Final'!I53</f>
        <v>1174201.1418620995</v>
      </c>
      <c r="J126" s="1027">
        <f>'OPEX _Disposição Final'!J53</f>
        <v>202304.24829099205</v>
      </c>
      <c r="K126" s="1027">
        <f>'OPEX _Disposição Final'!K53</f>
        <v>202304.24829099205</v>
      </c>
      <c r="L126" s="1027">
        <f>'OPEX _Disposição Final'!L53</f>
        <v>202304.24829099205</v>
      </c>
      <c r="M126" s="1027">
        <f>'OPEX _Disposição Final'!M53</f>
        <v>202304.24829099205</v>
      </c>
      <c r="N126" s="1027">
        <f>'OPEX _Disposição Final'!N53</f>
        <v>202304.24829099205</v>
      </c>
      <c r="O126" s="1027">
        <f>'OPEX _Disposição Final'!O53</f>
        <v>202304.24829099205</v>
      </c>
      <c r="P126" s="1027">
        <f>'OPEX _Disposição Final'!P53</f>
        <v>349803.02058987878</v>
      </c>
      <c r="Q126" s="1027">
        <f>'OPEX _Disposição Final'!Q53</f>
        <v>349803.02058987878</v>
      </c>
      <c r="R126" s="1027">
        <f>'OPEX _Disposição Final'!R53</f>
        <v>349803.02058987878</v>
      </c>
      <c r="S126" s="1027">
        <f>'OPEX _Disposição Final'!S53</f>
        <v>349803.02058987878</v>
      </c>
      <c r="T126" s="1027">
        <f>'OPEX _Disposição Final'!T53</f>
        <v>349803.02058987878</v>
      </c>
      <c r="U126" s="1027">
        <f>'OPEX _Disposição Final'!U53</f>
        <v>349803.02058987878</v>
      </c>
      <c r="V126" s="1027">
        <f>'OPEX _Disposição Final'!V53</f>
        <v>349803.02058987878</v>
      </c>
      <c r="W126" s="1027">
        <f>'OPEX _Disposição Final'!W53</f>
        <v>349803.02058987878</v>
      </c>
      <c r="X126" s="1027">
        <f>'OPEX _Disposição Final'!X53</f>
        <v>349803.02058987878</v>
      </c>
      <c r="Y126" s="1027">
        <f>'OPEX _Disposição Final'!Y53</f>
        <v>349803.02058987878</v>
      </c>
      <c r="Z126" s="1027">
        <f>'OPEX _Disposição Final'!Z53</f>
        <v>349803.02058987878</v>
      </c>
      <c r="AA126" s="1027">
        <f>'OPEX _Disposição Final'!AA53</f>
        <v>349803.02058987878</v>
      </c>
      <c r="AB126" s="1027">
        <f>'OPEX _Disposição Final'!AB53</f>
        <v>349803.02058987878</v>
      </c>
      <c r="AC126" s="1027">
        <f>'OPEX _Disposição Final'!AC53</f>
        <v>349803.02058987878</v>
      </c>
      <c r="AD126" s="1027">
        <f>'OPEX _Disposição Final'!AD53</f>
        <v>349803.02058987878</v>
      </c>
      <c r="AE126" s="1027">
        <f>'OPEX _Disposição Final'!AE53</f>
        <v>349803.02058987878</v>
      </c>
      <c r="AF126" s="1027">
        <f>'OPEX _Disposição Final'!AF53</f>
        <v>349803.02058987878</v>
      </c>
      <c r="AG126" s="1027">
        <f>'OPEX _Disposição Final'!AG53</f>
        <v>349803.02058987878</v>
      </c>
      <c r="AH126" s="1027">
        <f>'OPEX _Disposição Final'!AH53</f>
        <v>349803.02058987878</v>
      </c>
      <c r="AI126" s="1027">
        <f>'OPEX _Disposição Final'!AI53</f>
        <v>349803.02058987878</v>
      </c>
    </row>
    <row r="127" spans="3:35" s="77" customFormat="1" hidden="1" outlineLevel="1" x14ac:dyDescent="0.35">
      <c r="C127" s="1024"/>
      <c r="D127" s="1025" t="s">
        <v>3</v>
      </c>
      <c r="E127" s="1026">
        <f t="shared" si="68"/>
        <v>1458944.4937354089</v>
      </c>
      <c r="F127" s="1033">
        <f>'OPEX _Disposição Final'!F54</f>
        <v>97153.003083035132</v>
      </c>
      <c r="G127" s="1027">
        <f>'OPEX _Disposição Final'!G54</f>
        <v>97296.41232273342</v>
      </c>
      <c r="H127" s="1027">
        <f>'OPEX _Disposição Final'!H54</f>
        <v>140340.4807143732</v>
      </c>
      <c r="I127" s="1027">
        <f>'OPEX _Disposição Final'!I54</f>
        <v>140661.91053470166</v>
      </c>
      <c r="J127" s="1027">
        <f>'OPEX _Disposição Final'!J54</f>
        <v>24234.776359329742</v>
      </c>
      <c r="K127" s="1027">
        <f>'OPEX _Disposição Final'!K54</f>
        <v>24234.776359329742</v>
      </c>
      <c r="L127" s="1027">
        <f>'OPEX _Disposição Final'!L54</f>
        <v>24234.776359329742</v>
      </c>
      <c r="M127" s="1027">
        <f>'OPEX _Disposição Final'!M54</f>
        <v>24234.776359329742</v>
      </c>
      <c r="N127" s="1027">
        <f>'OPEX _Disposição Final'!N54</f>
        <v>24234.776359329742</v>
      </c>
      <c r="O127" s="1027">
        <f>'OPEX _Disposição Final'!O54</f>
        <v>24234.776359329742</v>
      </c>
      <c r="P127" s="1027">
        <f>'OPEX _Disposição Final'!P54</f>
        <v>41904.201446229337</v>
      </c>
      <c r="Q127" s="1027">
        <f>'OPEX _Disposição Final'!Q54</f>
        <v>41904.201446229337</v>
      </c>
      <c r="R127" s="1027">
        <f>'OPEX _Disposição Final'!R54</f>
        <v>41904.201446229337</v>
      </c>
      <c r="S127" s="1027">
        <f>'OPEX _Disposição Final'!S54</f>
        <v>41904.201446229337</v>
      </c>
      <c r="T127" s="1027">
        <f>'OPEX _Disposição Final'!T54</f>
        <v>41904.201446229337</v>
      </c>
      <c r="U127" s="1027">
        <f>'OPEX _Disposição Final'!U54</f>
        <v>41904.201446229337</v>
      </c>
      <c r="V127" s="1027">
        <f>'OPEX _Disposição Final'!V54</f>
        <v>41904.201446229337</v>
      </c>
      <c r="W127" s="1027">
        <f>'OPEX _Disposição Final'!W54</f>
        <v>41904.201446229337</v>
      </c>
      <c r="X127" s="1027">
        <f>'OPEX _Disposição Final'!X54</f>
        <v>41904.201446229337</v>
      </c>
      <c r="Y127" s="1027">
        <f>'OPEX _Disposição Final'!Y54</f>
        <v>41904.201446229337</v>
      </c>
      <c r="Z127" s="1027">
        <f>'OPEX _Disposição Final'!Z54</f>
        <v>41904.201446229337</v>
      </c>
      <c r="AA127" s="1027">
        <f>'OPEX _Disposição Final'!AA54</f>
        <v>41904.201446229337</v>
      </c>
      <c r="AB127" s="1027">
        <f>'OPEX _Disposição Final'!AB54</f>
        <v>41904.201446229337</v>
      </c>
      <c r="AC127" s="1027">
        <f>'OPEX _Disposição Final'!AC54</f>
        <v>41904.201446229337</v>
      </c>
      <c r="AD127" s="1027">
        <f>'OPEX _Disposição Final'!AD54</f>
        <v>41904.201446229337</v>
      </c>
      <c r="AE127" s="1027">
        <f>'OPEX _Disposição Final'!AE54</f>
        <v>41904.201446229337</v>
      </c>
      <c r="AF127" s="1027">
        <f>'OPEX _Disposição Final'!AF54</f>
        <v>41904.201446229337</v>
      </c>
      <c r="AG127" s="1027">
        <f>'OPEX _Disposição Final'!AG54</f>
        <v>41904.201446229337</v>
      </c>
      <c r="AH127" s="1027">
        <f>'OPEX _Disposição Final'!AH54</f>
        <v>41904.201446229337</v>
      </c>
      <c r="AI127" s="1027">
        <f>'OPEX _Disposição Final'!AI54</f>
        <v>41904.201446229337</v>
      </c>
    </row>
    <row r="128" spans="3:35" s="77" customFormat="1" hidden="1" outlineLevel="1" x14ac:dyDescent="0.35">
      <c r="C128" s="1024"/>
      <c r="D128" s="1025" t="s">
        <v>4</v>
      </c>
      <c r="E128" s="1026">
        <f t="shared" si="68"/>
        <v>3892844.0460147508</v>
      </c>
      <c r="F128" s="1033">
        <f>'OPEX _Disposição Final'!F55</f>
        <v>259229.52602255484</v>
      </c>
      <c r="G128" s="1027">
        <f>'OPEX _Disposição Final'!G55</f>
        <v>259612.17924020649</v>
      </c>
      <c r="H128" s="1027">
        <f>'OPEX _Disposição Final'!H55</f>
        <v>374464.96909900685</v>
      </c>
      <c r="I128" s="1027">
        <f>'OPEX _Disposição Final'!I55</f>
        <v>375322.62761010858</v>
      </c>
      <c r="J128" s="1027">
        <f>'OPEX _Disposição Final'!J55</f>
        <v>64664.697842867754</v>
      </c>
      <c r="K128" s="1027">
        <f>'OPEX _Disposição Final'!K55</f>
        <v>64664.697842867754</v>
      </c>
      <c r="L128" s="1027">
        <f>'OPEX _Disposição Final'!L55</f>
        <v>64664.697842867754</v>
      </c>
      <c r="M128" s="1027">
        <f>'OPEX _Disposição Final'!M55</f>
        <v>64664.697842867754</v>
      </c>
      <c r="N128" s="1027">
        <f>'OPEX _Disposição Final'!N55</f>
        <v>64664.697842867754</v>
      </c>
      <c r="O128" s="1027">
        <f>'OPEX _Disposição Final'!O55</f>
        <v>64664.697842867754</v>
      </c>
      <c r="P128" s="1027">
        <f>'OPEX _Disposição Final'!P55</f>
        <v>111811.32784928347</v>
      </c>
      <c r="Q128" s="1027">
        <f>'OPEX _Disposição Final'!Q55</f>
        <v>111811.32784928347</v>
      </c>
      <c r="R128" s="1027">
        <f>'OPEX _Disposição Final'!R55</f>
        <v>111811.32784928347</v>
      </c>
      <c r="S128" s="1027">
        <f>'OPEX _Disposição Final'!S55</f>
        <v>111811.32784928347</v>
      </c>
      <c r="T128" s="1027">
        <f>'OPEX _Disposição Final'!T55</f>
        <v>111811.32784928347</v>
      </c>
      <c r="U128" s="1027">
        <f>'OPEX _Disposição Final'!U55</f>
        <v>111811.32784928347</v>
      </c>
      <c r="V128" s="1027">
        <f>'OPEX _Disposição Final'!V55</f>
        <v>111811.32784928347</v>
      </c>
      <c r="W128" s="1027">
        <f>'OPEX _Disposição Final'!W55</f>
        <v>111811.32784928347</v>
      </c>
      <c r="X128" s="1027">
        <f>'OPEX _Disposição Final'!X55</f>
        <v>111811.32784928347</v>
      </c>
      <c r="Y128" s="1027">
        <f>'OPEX _Disposição Final'!Y55</f>
        <v>111811.32784928347</v>
      </c>
      <c r="Z128" s="1027">
        <f>'OPEX _Disposição Final'!Z55</f>
        <v>111811.32784928347</v>
      </c>
      <c r="AA128" s="1027">
        <f>'OPEX _Disposição Final'!AA55</f>
        <v>111811.32784928347</v>
      </c>
      <c r="AB128" s="1027">
        <f>'OPEX _Disposição Final'!AB55</f>
        <v>111811.32784928347</v>
      </c>
      <c r="AC128" s="1027">
        <f>'OPEX _Disposição Final'!AC55</f>
        <v>111811.32784928347</v>
      </c>
      <c r="AD128" s="1027">
        <f>'OPEX _Disposição Final'!AD55</f>
        <v>111811.32784928347</v>
      </c>
      <c r="AE128" s="1027">
        <f>'OPEX _Disposição Final'!AE55</f>
        <v>111811.32784928347</v>
      </c>
      <c r="AF128" s="1027">
        <f>'OPEX _Disposição Final'!AF55</f>
        <v>111811.32784928347</v>
      </c>
      <c r="AG128" s="1027">
        <f>'OPEX _Disposição Final'!AG55</f>
        <v>111811.32784928347</v>
      </c>
      <c r="AH128" s="1027">
        <f>'OPEX _Disposição Final'!AH55</f>
        <v>111811.32784928347</v>
      </c>
      <c r="AI128" s="1027">
        <f>'OPEX _Disposição Final'!AI55</f>
        <v>111811.32784928347</v>
      </c>
    </row>
    <row r="129" spans="3:35" s="77" customFormat="1" hidden="1" outlineLevel="1" x14ac:dyDescent="0.35">
      <c r="C129" s="1024"/>
      <c r="D129" s="1025" t="s">
        <v>5</v>
      </c>
      <c r="E129" s="1026">
        <f t="shared" si="68"/>
        <v>8454542.5866727568</v>
      </c>
      <c r="F129" s="1033">
        <f>'OPEX _Disposição Final'!F56</f>
        <v>562998.93896966521</v>
      </c>
      <c r="G129" s="1027">
        <f>'OPEX _Disposição Final'!G56</f>
        <v>563829.99150768679</v>
      </c>
      <c r="H129" s="1027">
        <f>'OPEX _Disposição Final'!H56</f>
        <v>813269.16543336248</v>
      </c>
      <c r="I129" s="1027">
        <f>'OPEX _Disposição Final'!I56</f>
        <v>815131.842263264</v>
      </c>
      <c r="J129" s="1027">
        <f>'OPEX _Disposição Final'!J56</f>
        <v>140439.85202195271</v>
      </c>
      <c r="K129" s="1027">
        <f>'OPEX _Disposição Final'!K56</f>
        <v>140439.85202195271</v>
      </c>
      <c r="L129" s="1027">
        <f>'OPEX _Disposição Final'!L56</f>
        <v>140439.85202195271</v>
      </c>
      <c r="M129" s="1027">
        <f>'OPEX _Disposição Final'!M56</f>
        <v>140439.85202195271</v>
      </c>
      <c r="N129" s="1027">
        <f>'OPEX _Disposição Final'!N56</f>
        <v>140439.85202195271</v>
      </c>
      <c r="O129" s="1027">
        <f>'OPEX _Disposição Final'!O56</f>
        <v>140439.85202195271</v>
      </c>
      <c r="P129" s="1027">
        <f>'OPEX _Disposição Final'!P56</f>
        <v>242833.67681835321</v>
      </c>
      <c r="Q129" s="1027">
        <f>'OPEX _Disposição Final'!Q56</f>
        <v>242833.67681835321</v>
      </c>
      <c r="R129" s="1027">
        <f>'OPEX _Disposição Final'!R56</f>
        <v>242833.67681835321</v>
      </c>
      <c r="S129" s="1027">
        <f>'OPEX _Disposição Final'!S56</f>
        <v>242833.67681835321</v>
      </c>
      <c r="T129" s="1027">
        <f>'OPEX _Disposição Final'!T56</f>
        <v>242833.67681835321</v>
      </c>
      <c r="U129" s="1027">
        <f>'OPEX _Disposição Final'!U56</f>
        <v>242833.67681835321</v>
      </c>
      <c r="V129" s="1027">
        <f>'OPEX _Disposição Final'!V56</f>
        <v>242833.67681835321</v>
      </c>
      <c r="W129" s="1027">
        <f>'OPEX _Disposição Final'!W56</f>
        <v>242833.67681835321</v>
      </c>
      <c r="X129" s="1027">
        <f>'OPEX _Disposição Final'!X56</f>
        <v>242833.67681835321</v>
      </c>
      <c r="Y129" s="1027">
        <f>'OPEX _Disposição Final'!Y56</f>
        <v>242833.67681835321</v>
      </c>
      <c r="Z129" s="1027">
        <f>'OPEX _Disposição Final'!Z56</f>
        <v>242833.67681835321</v>
      </c>
      <c r="AA129" s="1027">
        <f>'OPEX _Disposição Final'!AA56</f>
        <v>242833.67681835321</v>
      </c>
      <c r="AB129" s="1027">
        <f>'OPEX _Disposição Final'!AB56</f>
        <v>242833.67681835321</v>
      </c>
      <c r="AC129" s="1027">
        <f>'OPEX _Disposição Final'!AC56</f>
        <v>242833.67681835321</v>
      </c>
      <c r="AD129" s="1027">
        <f>'OPEX _Disposição Final'!AD56</f>
        <v>242833.67681835321</v>
      </c>
      <c r="AE129" s="1027">
        <f>'OPEX _Disposição Final'!AE56</f>
        <v>242833.67681835321</v>
      </c>
      <c r="AF129" s="1027">
        <f>'OPEX _Disposição Final'!AF56</f>
        <v>242833.67681835321</v>
      </c>
      <c r="AG129" s="1027">
        <f>'OPEX _Disposição Final'!AG56</f>
        <v>242833.67681835321</v>
      </c>
      <c r="AH129" s="1027">
        <f>'OPEX _Disposição Final'!AH56</f>
        <v>242833.67681835321</v>
      </c>
      <c r="AI129" s="1027">
        <f>'OPEX _Disposição Final'!AI56</f>
        <v>242833.67681835321</v>
      </c>
    </row>
    <row r="130" spans="3:35" s="77" customFormat="1" hidden="1" outlineLevel="1" x14ac:dyDescent="0.35">
      <c r="C130" s="1024"/>
      <c r="D130" s="1025" t="s">
        <v>6</v>
      </c>
      <c r="E130" s="1026">
        <f t="shared" si="68"/>
        <v>93590307.794776455</v>
      </c>
      <c r="F130" s="1033">
        <f>'OPEX _Disposição Final'!F57</f>
        <v>6232299.7898624251</v>
      </c>
      <c r="G130" s="1027">
        <f>'OPEX _Disposição Final'!G57</f>
        <v>6241499.3961131154</v>
      </c>
      <c r="H130" s="1027">
        <f>'OPEX _Disposição Final'!H57</f>
        <v>9002747.4263233598</v>
      </c>
      <c r="I130" s="1027">
        <f>'OPEX _Disposição Final'!I57</f>
        <v>9023366.9330613688</v>
      </c>
      <c r="J130" s="1027">
        <f>'OPEX _Disposição Final'!J57</f>
        <v>1554644.5999463701</v>
      </c>
      <c r="K130" s="1027">
        <f>'OPEX _Disposição Final'!K57</f>
        <v>1554644.5999463701</v>
      </c>
      <c r="L130" s="1027">
        <f>'OPEX _Disposição Final'!L57</f>
        <v>1554644.5999463701</v>
      </c>
      <c r="M130" s="1027">
        <f>'OPEX _Disposição Final'!M57</f>
        <v>1554644.5999463701</v>
      </c>
      <c r="N130" s="1027">
        <f>'OPEX _Disposição Final'!N57</f>
        <v>1554644.5999463701</v>
      </c>
      <c r="O130" s="1027">
        <f>'OPEX _Disposição Final'!O57</f>
        <v>1554644.5999463701</v>
      </c>
      <c r="P130" s="1027">
        <f>'OPEX _Disposição Final'!P57</f>
        <v>2688126.3324869014</v>
      </c>
      <c r="Q130" s="1027">
        <f>'OPEX _Disposição Final'!Q57</f>
        <v>2688126.3324869014</v>
      </c>
      <c r="R130" s="1027">
        <f>'OPEX _Disposição Final'!R57</f>
        <v>2688126.3324869014</v>
      </c>
      <c r="S130" s="1027">
        <f>'OPEX _Disposição Final'!S57</f>
        <v>2688126.3324869014</v>
      </c>
      <c r="T130" s="1027">
        <f>'OPEX _Disposição Final'!T57</f>
        <v>2688126.3324869014</v>
      </c>
      <c r="U130" s="1027">
        <f>'OPEX _Disposição Final'!U57</f>
        <v>2688126.3324869014</v>
      </c>
      <c r="V130" s="1027">
        <f>'OPEX _Disposição Final'!V57</f>
        <v>2688126.3324869014</v>
      </c>
      <c r="W130" s="1027">
        <f>'OPEX _Disposição Final'!W57</f>
        <v>2688126.3324869014</v>
      </c>
      <c r="X130" s="1027">
        <f>'OPEX _Disposição Final'!X57</f>
        <v>2688126.3324869014</v>
      </c>
      <c r="Y130" s="1027">
        <f>'OPEX _Disposição Final'!Y57</f>
        <v>2688126.3324869014</v>
      </c>
      <c r="Z130" s="1027">
        <f>'OPEX _Disposição Final'!Z57</f>
        <v>2688126.3324869014</v>
      </c>
      <c r="AA130" s="1027">
        <f>'OPEX _Disposição Final'!AA57</f>
        <v>2688126.3324869014</v>
      </c>
      <c r="AB130" s="1027">
        <f>'OPEX _Disposição Final'!AB57</f>
        <v>2688126.3324869014</v>
      </c>
      <c r="AC130" s="1027">
        <f>'OPEX _Disposição Final'!AC57</f>
        <v>2688126.3324869014</v>
      </c>
      <c r="AD130" s="1027">
        <f>'OPEX _Disposição Final'!AD57</f>
        <v>2688126.3324869014</v>
      </c>
      <c r="AE130" s="1027">
        <f>'OPEX _Disposição Final'!AE57</f>
        <v>2688126.3324869014</v>
      </c>
      <c r="AF130" s="1027">
        <f>'OPEX _Disposição Final'!AF57</f>
        <v>2688126.3324869014</v>
      </c>
      <c r="AG130" s="1027">
        <f>'OPEX _Disposição Final'!AG57</f>
        <v>2688126.3324869014</v>
      </c>
      <c r="AH130" s="1027">
        <f>'OPEX _Disposição Final'!AH57</f>
        <v>2688126.3324869014</v>
      </c>
      <c r="AI130" s="1027">
        <f>'OPEX _Disposição Final'!AI57</f>
        <v>2688126.3324869014</v>
      </c>
    </row>
    <row r="131" spans="3:35" s="77" customFormat="1" hidden="1" outlineLevel="1" x14ac:dyDescent="0.35">
      <c r="C131" s="1024"/>
      <c r="D131" s="1025" t="s">
        <v>7</v>
      </c>
      <c r="E131" s="1026">
        <f t="shared" si="68"/>
        <v>7642165.5638208557</v>
      </c>
      <c r="F131" s="1033">
        <f>'OPEX _Disposição Final'!F58</f>
        <v>508901.7010386716</v>
      </c>
      <c r="G131" s="1027">
        <f>'OPEX _Disposição Final'!G58</f>
        <v>509652.8997017201</v>
      </c>
      <c r="H131" s="1027">
        <f>'OPEX _Disposição Final'!H58</f>
        <v>735124.05271804403</v>
      </c>
      <c r="I131" s="1027">
        <f>'OPEX _Disposição Final'!I58</f>
        <v>736807.74933203228</v>
      </c>
      <c r="J131" s="1027">
        <f>'OPEX _Disposição Final'!J58</f>
        <v>126945.31843769943</v>
      </c>
      <c r="K131" s="1027">
        <f>'OPEX _Disposição Final'!K58</f>
        <v>126945.31843769943</v>
      </c>
      <c r="L131" s="1027">
        <f>'OPEX _Disposição Final'!L58</f>
        <v>126945.31843769943</v>
      </c>
      <c r="M131" s="1027">
        <f>'OPEX _Disposição Final'!M58</f>
        <v>126945.31843769943</v>
      </c>
      <c r="N131" s="1027">
        <f>'OPEX _Disposição Final'!N58</f>
        <v>126945.31843769943</v>
      </c>
      <c r="O131" s="1027">
        <f>'OPEX _Disposição Final'!O58</f>
        <v>126945.31843769943</v>
      </c>
      <c r="P131" s="1027">
        <f>'OPEX _Disposição Final'!P58</f>
        <v>219500.3625202098</v>
      </c>
      <c r="Q131" s="1027">
        <f>'OPEX _Disposição Final'!Q58</f>
        <v>219500.3625202098</v>
      </c>
      <c r="R131" s="1027">
        <f>'OPEX _Disposição Final'!R58</f>
        <v>219500.3625202098</v>
      </c>
      <c r="S131" s="1027">
        <f>'OPEX _Disposição Final'!S58</f>
        <v>219500.3625202098</v>
      </c>
      <c r="T131" s="1027">
        <f>'OPEX _Disposição Final'!T58</f>
        <v>219500.3625202098</v>
      </c>
      <c r="U131" s="1027">
        <f>'OPEX _Disposição Final'!U58</f>
        <v>219500.3625202098</v>
      </c>
      <c r="V131" s="1027">
        <f>'OPEX _Disposição Final'!V58</f>
        <v>219500.3625202098</v>
      </c>
      <c r="W131" s="1027">
        <f>'OPEX _Disposição Final'!W58</f>
        <v>219500.3625202098</v>
      </c>
      <c r="X131" s="1027">
        <f>'OPEX _Disposição Final'!X58</f>
        <v>219500.3625202098</v>
      </c>
      <c r="Y131" s="1027">
        <f>'OPEX _Disposição Final'!Y58</f>
        <v>219500.3625202098</v>
      </c>
      <c r="Z131" s="1027">
        <f>'OPEX _Disposição Final'!Z58</f>
        <v>219500.3625202098</v>
      </c>
      <c r="AA131" s="1027">
        <f>'OPEX _Disposição Final'!AA58</f>
        <v>219500.3625202098</v>
      </c>
      <c r="AB131" s="1027">
        <f>'OPEX _Disposição Final'!AB58</f>
        <v>219500.3625202098</v>
      </c>
      <c r="AC131" s="1027">
        <f>'OPEX _Disposição Final'!AC58</f>
        <v>219500.3625202098</v>
      </c>
      <c r="AD131" s="1027">
        <f>'OPEX _Disposição Final'!AD58</f>
        <v>219500.3625202098</v>
      </c>
      <c r="AE131" s="1027">
        <f>'OPEX _Disposição Final'!AE58</f>
        <v>219500.3625202098</v>
      </c>
      <c r="AF131" s="1027">
        <f>'OPEX _Disposição Final'!AF58</f>
        <v>219500.3625202098</v>
      </c>
      <c r="AG131" s="1027">
        <f>'OPEX _Disposição Final'!AG58</f>
        <v>219500.3625202098</v>
      </c>
      <c r="AH131" s="1027">
        <f>'OPEX _Disposição Final'!AH58</f>
        <v>219500.3625202098</v>
      </c>
      <c r="AI131" s="1027">
        <f>'OPEX _Disposição Final'!AI58</f>
        <v>219500.3625202098</v>
      </c>
    </row>
    <row r="132" spans="3:35" s="77" customFormat="1" hidden="1" outlineLevel="1" x14ac:dyDescent="0.35">
      <c r="C132" s="1024"/>
      <c r="D132" s="1025" t="s">
        <v>8</v>
      </c>
      <c r="E132" s="1026">
        <f t="shared" si="68"/>
        <v>6962411.6769129857</v>
      </c>
      <c r="F132" s="1033">
        <f>'OPEX _Disposição Final'!F59</f>
        <v>463636.00946915866</v>
      </c>
      <c r="G132" s="1027">
        <f>'OPEX _Disposição Final'!G59</f>
        <v>464320.39065661293</v>
      </c>
      <c r="H132" s="1027">
        <f>'OPEX _Disposição Final'!H59</f>
        <v>669736.37850168941</v>
      </c>
      <c r="I132" s="1027">
        <f>'OPEX _Disposição Final'!I59</f>
        <v>671270.3139899635</v>
      </c>
      <c r="J132" s="1027">
        <f>'OPEX _Disposição Final'!J59</f>
        <v>115653.81043356752</v>
      </c>
      <c r="K132" s="1027">
        <f>'OPEX _Disposição Final'!K59</f>
        <v>115653.81043356752</v>
      </c>
      <c r="L132" s="1027">
        <f>'OPEX _Disposição Final'!L59</f>
        <v>115653.81043356752</v>
      </c>
      <c r="M132" s="1027">
        <f>'OPEX _Disposição Final'!M59</f>
        <v>115653.81043356752</v>
      </c>
      <c r="N132" s="1027">
        <f>'OPEX _Disposição Final'!N59</f>
        <v>115653.81043356752</v>
      </c>
      <c r="O132" s="1027">
        <f>'OPEX _Disposição Final'!O59</f>
        <v>115653.81043356752</v>
      </c>
      <c r="P132" s="1027">
        <f>'OPEX _Disposição Final'!P59</f>
        <v>199976.28608470762</v>
      </c>
      <c r="Q132" s="1027">
        <f>'OPEX _Disposição Final'!Q59</f>
        <v>199976.28608470762</v>
      </c>
      <c r="R132" s="1027">
        <f>'OPEX _Disposição Final'!R59</f>
        <v>199976.28608470762</v>
      </c>
      <c r="S132" s="1027">
        <f>'OPEX _Disposição Final'!S59</f>
        <v>199976.28608470762</v>
      </c>
      <c r="T132" s="1027">
        <f>'OPEX _Disposição Final'!T59</f>
        <v>199976.28608470762</v>
      </c>
      <c r="U132" s="1027">
        <f>'OPEX _Disposição Final'!U59</f>
        <v>199976.28608470762</v>
      </c>
      <c r="V132" s="1027">
        <f>'OPEX _Disposição Final'!V59</f>
        <v>199976.28608470762</v>
      </c>
      <c r="W132" s="1027">
        <f>'OPEX _Disposição Final'!W59</f>
        <v>199976.28608470762</v>
      </c>
      <c r="X132" s="1027">
        <f>'OPEX _Disposição Final'!X59</f>
        <v>199976.28608470762</v>
      </c>
      <c r="Y132" s="1027">
        <f>'OPEX _Disposição Final'!Y59</f>
        <v>199976.28608470762</v>
      </c>
      <c r="Z132" s="1027">
        <f>'OPEX _Disposição Final'!Z59</f>
        <v>199976.28608470762</v>
      </c>
      <c r="AA132" s="1027">
        <f>'OPEX _Disposição Final'!AA59</f>
        <v>199976.28608470762</v>
      </c>
      <c r="AB132" s="1027">
        <f>'OPEX _Disposição Final'!AB59</f>
        <v>199976.28608470762</v>
      </c>
      <c r="AC132" s="1027">
        <f>'OPEX _Disposição Final'!AC59</f>
        <v>199976.28608470762</v>
      </c>
      <c r="AD132" s="1027">
        <f>'OPEX _Disposição Final'!AD59</f>
        <v>199976.28608470762</v>
      </c>
      <c r="AE132" s="1027">
        <f>'OPEX _Disposição Final'!AE59</f>
        <v>199976.28608470762</v>
      </c>
      <c r="AF132" s="1027">
        <f>'OPEX _Disposição Final'!AF59</f>
        <v>199976.28608470762</v>
      </c>
      <c r="AG132" s="1027">
        <f>'OPEX _Disposição Final'!AG59</f>
        <v>199976.28608470762</v>
      </c>
      <c r="AH132" s="1027">
        <f>'OPEX _Disposição Final'!AH59</f>
        <v>199976.28608470762</v>
      </c>
      <c r="AI132" s="1027">
        <f>'OPEX _Disposição Final'!AI59</f>
        <v>199976.28608470762</v>
      </c>
    </row>
    <row r="133" spans="3:35" s="77" customFormat="1" hidden="1" outlineLevel="1" x14ac:dyDescent="0.35">
      <c r="C133" s="1024"/>
      <c r="D133" s="1025" t="s">
        <v>9</v>
      </c>
      <c r="E133" s="1026">
        <f t="shared" si="68"/>
        <v>5712896.8010007888</v>
      </c>
      <c r="F133" s="1033">
        <f>'OPEX _Disposição Final'!F60</f>
        <v>380429.19583570509</v>
      </c>
      <c r="G133" s="1027">
        <f>'OPEX _Disposição Final'!G60</f>
        <v>380990.75399657019</v>
      </c>
      <c r="H133" s="1027">
        <f>'OPEX _Disposição Final'!H60</f>
        <v>549541.59446552594</v>
      </c>
      <c r="I133" s="1027">
        <f>'OPEX _Disposição Final'!I60</f>
        <v>550800.24097345374</v>
      </c>
      <c r="J133" s="1027">
        <f>'OPEX _Disposição Final'!J60</f>
        <v>94897.905253202625</v>
      </c>
      <c r="K133" s="1027">
        <f>'OPEX _Disposição Final'!K60</f>
        <v>94897.905253202625</v>
      </c>
      <c r="L133" s="1027">
        <f>'OPEX _Disposição Final'!L60</f>
        <v>94897.905253202625</v>
      </c>
      <c r="M133" s="1027">
        <f>'OPEX _Disposição Final'!M60</f>
        <v>94897.905253202625</v>
      </c>
      <c r="N133" s="1027">
        <f>'OPEX _Disposição Final'!N60</f>
        <v>94897.905253202625</v>
      </c>
      <c r="O133" s="1027">
        <f>'OPEX _Disposição Final'!O60</f>
        <v>94897.905253202625</v>
      </c>
      <c r="P133" s="1027">
        <f>'OPEX _Disposição Final'!P60</f>
        <v>164087.37921051602</v>
      </c>
      <c r="Q133" s="1027">
        <f>'OPEX _Disposição Final'!Q60</f>
        <v>164087.37921051602</v>
      </c>
      <c r="R133" s="1027">
        <f>'OPEX _Disposição Final'!R60</f>
        <v>164087.37921051602</v>
      </c>
      <c r="S133" s="1027">
        <f>'OPEX _Disposição Final'!S60</f>
        <v>164087.37921051602</v>
      </c>
      <c r="T133" s="1027">
        <f>'OPEX _Disposição Final'!T60</f>
        <v>164087.37921051602</v>
      </c>
      <c r="U133" s="1027">
        <f>'OPEX _Disposição Final'!U60</f>
        <v>164087.37921051602</v>
      </c>
      <c r="V133" s="1027">
        <f>'OPEX _Disposição Final'!V60</f>
        <v>164087.37921051602</v>
      </c>
      <c r="W133" s="1027">
        <f>'OPEX _Disposição Final'!W60</f>
        <v>164087.37921051602</v>
      </c>
      <c r="X133" s="1027">
        <f>'OPEX _Disposição Final'!X60</f>
        <v>164087.37921051602</v>
      </c>
      <c r="Y133" s="1027">
        <f>'OPEX _Disposição Final'!Y60</f>
        <v>164087.37921051602</v>
      </c>
      <c r="Z133" s="1027">
        <f>'OPEX _Disposição Final'!Z60</f>
        <v>164087.37921051602</v>
      </c>
      <c r="AA133" s="1027">
        <f>'OPEX _Disposição Final'!AA60</f>
        <v>164087.37921051602</v>
      </c>
      <c r="AB133" s="1027">
        <f>'OPEX _Disposição Final'!AB60</f>
        <v>164087.37921051602</v>
      </c>
      <c r="AC133" s="1027">
        <f>'OPEX _Disposição Final'!AC60</f>
        <v>164087.37921051602</v>
      </c>
      <c r="AD133" s="1027">
        <f>'OPEX _Disposição Final'!AD60</f>
        <v>164087.37921051602</v>
      </c>
      <c r="AE133" s="1027">
        <f>'OPEX _Disposição Final'!AE60</f>
        <v>164087.37921051602</v>
      </c>
      <c r="AF133" s="1027">
        <f>'OPEX _Disposição Final'!AF60</f>
        <v>164087.37921051602</v>
      </c>
      <c r="AG133" s="1027">
        <f>'OPEX _Disposição Final'!AG60</f>
        <v>164087.37921051602</v>
      </c>
      <c r="AH133" s="1027">
        <f>'OPEX _Disposição Final'!AH60</f>
        <v>164087.37921051602</v>
      </c>
      <c r="AI133" s="1027">
        <f>'OPEX _Disposição Final'!AI60</f>
        <v>164087.37921051602</v>
      </c>
    </row>
    <row r="134" spans="3:35" s="77" customFormat="1" collapsed="1" x14ac:dyDescent="0.35">
      <c r="C134" s="77" t="s">
        <v>462</v>
      </c>
      <c r="E134" s="489">
        <f t="shared" si="68"/>
        <v>18260494.679999992</v>
      </c>
      <c r="F134" s="490">
        <f>OPEX_Socioambiental!F42</f>
        <v>1528539.35</v>
      </c>
      <c r="G134" s="490">
        <f>OPEX_Socioambiental!G42</f>
        <v>1513518.25</v>
      </c>
      <c r="H134" s="490">
        <f>OPEX_Socioambiental!H42</f>
        <v>543515.6100000001</v>
      </c>
      <c r="I134" s="490">
        <f>OPEX_Socioambiental!I42</f>
        <v>543515.6100000001</v>
      </c>
      <c r="J134" s="490">
        <f>OPEX_Socioambiental!J42</f>
        <v>543515.6100000001</v>
      </c>
      <c r="K134" s="490">
        <f>OPEX_Socioambiental!K42</f>
        <v>543515.6100000001</v>
      </c>
      <c r="L134" s="490">
        <f>OPEX_Socioambiental!L42</f>
        <v>543515.6100000001</v>
      </c>
      <c r="M134" s="490">
        <f>OPEX_Socioambiental!M42</f>
        <v>543515.6100000001</v>
      </c>
      <c r="N134" s="490">
        <f>OPEX_Socioambiental!N42</f>
        <v>543515.6100000001</v>
      </c>
      <c r="O134" s="490">
        <f>OPEX_Socioambiental!O42</f>
        <v>543515.6100000001</v>
      </c>
      <c r="P134" s="490">
        <f>OPEX_Socioambiental!P42</f>
        <v>543515.6100000001</v>
      </c>
      <c r="Q134" s="490">
        <f>OPEX_Socioambiental!Q42</f>
        <v>543515.6100000001</v>
      </c>
      <c r="R134" s="490">
        <f>OPEX_Socioambiental!R42</f>
        <v>543515.6100000001</v>
      </c>
      <c r="S134" s="490">
        <f>OPEX_Socioambiental!S42</f>
        <v>543515.6100000001</v>
      </c>
      <c r="T134" s="490">
        <f>OPEX_Socioambiental!T42</f>
        <v>543515.6100000001</v>
      </c>
      <c r="U134" s="490">
        <f>OPEX_Socioambiental!U42</f>
        <v>543515.6100000001</v>
      </c>
      <c r="V134" s="490">
        <f>OPEX_Socioambiental!V42</f>
        <v>543515.6100000001</v>
      </c>
      <c r="W134" s="490">
        <f>OPEX_Socioambiental!W42</f>
        <v>543515.6100000001</v>
      </c>
      <c r="X134" s="490">
        <f>OPEX_Socioambiental!X42</f>
        <v>543515.6100000001</v>
      </c>
      <c r="Y134" s="490">
        <f>OPEX_Socioambiental!Y42</f>
        <v>543515.6100000001</v>
      </c>
      <c r="Z134" s="490">
        <f>OPEX_Socioambiental!Z42</f>
        <v>543515.6100000001</v>
      </c>
      <c r="AA134" s="490">
        <f>OPEX_Socioambiental!AA42</f>
        <v>543515.6100000001</v>
      </c>
      <c r="AB134" s="490">
        <f>OPEX_Socioambiental!AB42</f>
        <v>543515.6100000001</v>
      </c>
      <c r="AC134" s="490">
        <f>OPEX_Socioambiental!AC42</f>
        <v>543515.6100000001</v>
      </c>
      <c r="AD134" s="490">
        <f>OPEX_Socioambiental!AD42</f>
        <v>543515.6100000001</v>
      </c>
      <c r="AE134" s="490">
        <f>OPEX_Socioambiental!AE42</f>
        <v>543515.6100000001</v>
      </c>
      <c r="AF134" s="490">
        <f>OPEX_Socioambiental!AF42</f>
        <v>543515.6100000001</v>
      </c>
      <c r="AG134" s="490">
        <f>OPEX_Socioambiental!AG42</f>
        <v>543515.6100000001</v>
      </c>
      <c r="AH134" s="490">
        <f>OPEX_Socioambiental!AH42</f>
        <v>543515.6100000001</v>
      </c>
      <c r="AI134" s="490">
        <f>OPEX_Socioambiental!AI42</f>
        <v>543515.6100000001</v>
      </c>
    </row>
    <row r="135" spans="3:35" s="77" customFormat="1" hidden="1" outlineLevel="1" x14ac:dyDescent="0.35">
      <c r="C135" s="1020"/>
      <c r="D135" s="1021" t="s">
        <v>1</v>
      </c>
      <c r="E135" s="1022">
        <f t="shared" si="68"/>
        <v>124667.56341536676</v>
      </c>
      <c r="F135" s="1032">
        <f>OPEX_Socioambiental!F47</f>
        <v>10435.603179891979</v>
      </c>
      <c r="G135" s="1023">
        <f>OPEX_Socioambiental!G47</f>
        <v>10333.051525644101</v>
      </c>
      <c r="H135" s="1023">
        <f>OPEX_Socioambiental!H47</f>
        <v>3710.675311065384</v>
      </c>
      <c r="I135" s="1023">
        <f>OPEX_Socioambiental!I47</f>
        <v>3710.675311065384</v>
      </c>
      <c r="J135" s="1023">
        <f>OPEX_Socioambiental!J47</f>
        <v>3710.675311065384</v>
      </c>
      <c r="K135" s="1023">
        <f>OPEX_Socioambiental!K47</f>
        <v>3710.675311065384</v>
      </c>
      <c r="L135" s="1023">
        <f>OPEX_Socioambiental!L47</f>
        <v>3710.675311065384</v>
      </c>
      <c r="M135" s="1023">
        <f>OPEX_Socioambiental!M47</f>
        <v>3710.675311065384</v>
      </c>
      <c r="N135" s="1023">
        <f>OPEX_Socioambiental!N47</f>
        <v>3710.675311065384</v>
      </c>
      <c r="O135" s="1023">
        <f>OPEX_Socioambiental!O47</f>
        <v>3710.675311065384</v>
      </c>
      <c r="P135" s="1023">
        <f>OPEX_Socioambiental!P47</f>
        <v>3710.675311065384</v>
      </c>
      <c r="Q135" s="1023">
        <f>OPEX_Socioambiental!Q47</f>
        <v>3710.675311065384</v>
      </c>
      <c r="R135" s="1023">
        <f>OPEX_Socioambiental!R47</f>
        <v>3710.675311065384</v>
      </c>
      <c r="S135" s="1023">
        <f>OPEX_Socioambiental!S47</f>
        <v>3710.675311065384</v>
      </c>
      <c r="T135" s="1023">
        <f>OPEX_Socioambiental!T47</f>
        <v>3710.675311065384</v>
      </c>
      <c r="U135" s="1023">
        <f>OPEX_Socioambiental!U47</f>
        <v>3710.675311065384</v>
      </c>
      <c r="V135" s="1023">
        <f>OPEX_Socioambiental!V47</f>
        <v>3710.675311065384</v>
      </c>
      <c r="W135" s="1023">
        <f>OPEX_Socioambiental!W47</f>
        <v>3710.675311065384</v>
      </c>
      <c r="X135" s="1023">
        <f>OPEX_Socioambiental!X47</f>
        <v>3710.675311065384</v>
      </c>
      <c r="Y135" s="1023">
        <f>OPEX_Socioambiental!Y47</f>
        <v>3710.675311065384</v>
      </c>
      <c r="Z135" s="1023">
        <f>OPEX_Socioambiental!Z47</f>
        <v>3710.675311065384</v>
      </c>
      <c r="AA135" s="1023">
        <f>OPEX_Socioambiental!AA47</f>
        <v>3710.675311065384</v>
      </c>
      <c r="AB135" s="1023">
        <f>OPEX_Socioambiental!AB47</f>
        <v>3710.675311065384</v>
      </c>
      <c r="AC135" s="1023">
        <f>OPEX_Socioambiental!AC47</f>
        <v>3710.675311065384</v>
      </c>
      <c r="AD135" s="1023">
        <f>OPEX_Socioambiental!AD47</f>
        <v>3710.675311065384</v>
      </c>
      <c r="AE135" s="1023">
        <f>OPEX_Socioambiental!AE47</f>
        <v>3710.675311065384</v>
      </c>
      <c r="AF135" s="1023">
        <f>OPEX_Socioambiental!AF47</f>
        <v>3710.675311065384</v>
      </c>
      <c r="AG135" s="1023">
        <f>OPEX_Socioambiental!AG47</f>
        <v>3710.675311065384</v>
      </c>
      <c r="AH135" s="1023">
        <f>OPEX_Socioambiental!AH47</f>
        <v>3710.675311065384</v>
      </c>
      <c r="AI135" s="1023">
        <f>OPEX_Socioambiental!AI47</f>
        <v>3710.675311065384</v>
      </c>
    </row>
    <row r="136" spans="3:35" s="77" customFormat="1" hidden="1" outlineLevel="1" x14ac:dyDescent="0.35">
      <c r="C136" s="1024"/>
      <c r="D136" s="1025" t="s">
        <v>2</v>
      </c>
      <c r="E136" s="1026">
        <f t="shared" si="68"/>
        <v>1578870.0515004124</v>
      </c>
      <c r="F136" s="1033">
        <f>OPEX_Socioambiental!F48</f>
        <v>132163.17764371246</v>
      </c>
      <c r="G136" s="1027">
        <f>OPEX_Socioambiental!G48</f>
        <v>130864.39766287389</v>
      </c>
      <c r="H136" s="1027">
        <f>OPEX_Socioambiental!H48</f>
        <v>46994.374149779491</v>
      </c>
      <c r="I136" s="1027">
        <f>OPEX_Socioambiental!I48</f>
        <v>46994.374149779491</v>
      </c>
      <c r="J136" s="1027">
        <f>OPEX_Socioambiental!J48</f>
        <v>46994.374149779491</v>
      </c>
      <c r="K136" s="1027">
        <f>OPEX_Socioambiental!K48</f>
        <v>46994.374149779491</v>
      </c>
      <c r="L136" s="1027">
        <f>OPEX_Socioambiental!L48</f>
        <v>46994.374149779491</v>
      </c>
      <c r="M136" s="1027">
        <f>OPEX_Socioambiental!M48</f>
        <v>46994.374149779491</v>
      </c>
      <c r="N136" s="1027">
        <f>OPEX_Socioambiental!N48</f>
        <v>46994.374149779491</v>
      </c>
      <c r="O136" s="1027">
        <f>OPEX_Socioambiental!O48</f>
        <v>46994.374149779491</v>
      </c>
      <c r="P136" s="1027">
        <f>OPEX_Socioambiental!P48</f>
        <v>46994.374149779491</v>
      </c>
      <c r="Q136" s="1027">
        <f>OPEX_Socioambiental!Q48</f>
        <v>46994.374149779491</v>
      </c>
      <c r="R136" s="1027">
        <f>OPEX_Socioambiental!R48</f>
        <v>46994.374149779491</v>
      </c>
      <c r="S136" s="1027">
        <f>OPEX_Socioambiental!S48</f>
        <v>46994.374149779491</v>
      </c>
      <c r="T136" s="1027">
        <f>OPEX_Socioambiental!T48</f>
        <v>46994.374149779491</v>
      </c>
      <c r="U136" s="1027">
        <f>OPEX_Socioambiental!U48</f>
        <v>46994.374149779491</v>
      </c>
      <c r="V136" s="1027">
        <f>OPEX_Socioambiental!V48</f>
        <v>46994.374149779491</v>
      </c>
      <c r="W136" s="1027">
        <f>OPEX_Socioambiental!W48</f>
        <v>46994.374149779491</v>
      </c>
      <c r="X136" s="1027">
        <f>OPEX_Socioambiental!X48</f>
        <v>46994.374149779491</v>
      </c>
      <c r="Y136" s="1027">
        <f>OPEX_Socioambiental!Y48</f>
        <v>46994.374149779491</v>
      </c>
      <c r="Z136" s="1027">
        <f>OPEX_Socioambiental!Z48</f>
        <v>46994.374149779491</v>
      </c>
      <c r="AA136" s="1027">
        <f>OPEX_Socioambiental!AA48</f>
        <v>46994.374149779491</v>
      </c>
      <c r="AB136" s="1027">
        <f>OPEX_Socioambiental!AB48</f>
        <v>46994.374149779491</v>
      </c>
      <c r="AC136" s="1027">
        <f>OPEX_Socioambiental!AC48</f>
        <v>46994.374149779491</v>
      </c>
      <c r="AD136" s="1027">
        <f>OPEX_Socioambiental!AD48</f>
        <v>46994.374149779491</v>
      </c>
      <c r="AE136" s="1027">
        <f>OPEX_Socioambiental!AE48</f>
        <v>46994.374149779491</v>
      </c>
      <c r="AF136" s="1027">
        <f>OPEX_Socioambiental!AF48</f>
        <v>46994.374149779491</v>
      </c>
      <c r="AG136" s="1027">
        <f>OPEX_Socioambiental!AG48</f>
        <v>46994.374149779491</v>
      </c>
      <c r="AH136" s="1027">
        <f>OPEX_Socioambiental!AH48</f>
        <v>46994.374149779491</v>
      </c>
      <c r="AI136" s="1027">
        <f>OPEX_Socioambiental!AI48</f>
        <v>46994.374149779491</v>
      </c>
    </row>
    <row r="137" spans="3:35" s="77" customFormat="1" hidden="1" outlineLevel="1" x14ac:dyDescent="0.35">
      <c r="C137" s="1024"/>
      <c r="D137" s="1025" t="s">
        <v>3</v>
      </c>
      <c r="E137" s="1026">
        <f t="shared" si="68"/>
        <v>189138.7003574835</v>
      </c>
      <c r="F137" s="1033">
        <f>OPEX_Socioambiental!F49</f>
        <v>15832.317315089997</v>
      </c>
      <c r="G137" s="1027">
        <f>OPEX_Socioambiental!G49</f>
        <v>15676.731643303594</v>
      </c>
      <c r="H137" s="1027">
        <f>OPEX_Socioambiental!H49</f>
        <v>5629.6304071103586</v>
      </c>
      <c r="I137" s="1027">
        <f>OPEX_Socioambiental!I49</f>
        <v>5629.6304071103586</v>
      </c>
      <c r="J137" s="1027">
        <f>OPEX_Socioambiental!J49</f>
        <v>5629.6304071103586</v>
      </c>
      <c r="K137" s="1027">
        <f>OPEX_Socioambiental!K49</f>
        <v>5629.6304071103586</v>
      </c>
      <c r="L137" s="1027">
        <f>OPEX_Socioambiental!L49</f>
        <v>5629.6304071103586</v>
      </c>
      <c r="M137" s="1027">
        <f>OPEX_Socioambiental!M49</f>
        <v>5629.6304071103586</v>
      </c>
      <c r="N137" s="1027">
        <f>OPEX_Socioambiental!N49</f>
        <v>5629.6304071103586</v>
      </c>
      <c r="O137" s="1027">
        <f>OPEX_Socioambiental!O49</f>
        <v>5629.6304071103586</v>
      </c>
      <c r="P137" s="1027">
        <f>OPEX_Socioambiental!P49</f>
        <v>5629.6304071103586</v>
      </c>
      <c r="Q137" s="1027">
        <f>OPEX_Socioambiental!Q49</f>
        <v>5629.6304071103586</v>
      </c>
      <c r="R137" s="1027">
        <f>OPEX_Socioambiental!R49</f>
        <v>5629.6304071103586</v>
      </c>
      <c r="S137" s="1027">
        <f>OPEX_Socioambiental!S49</f>
        <v>5629.6304071103586</v>
      </c>
      <c r="T137" s="1027">
        <f>OPEX_Socioambiental!T49</f>
        <v>5629.6304071103586</v>
      </c>
      <c r="U137" s="1027">
        <f>OPEX_Socioambiental!U49</f>
        <v>5629.6304071103586</v>
      </c>
      <c r="V137" s="1027">
        <f>OPEX_Socioambiental!V49</f>
        <v>5629.6304071103586</v>
      </c>
      <c r="W137" s="1027">
        <f>OPEX_Socioambiental!W49</f>
        <v>5629.6304071103586</v>
      </c>
      <c r="X137" s="1027">
        <f>OPEX_Socioambiental!X49</f>
        <v>5629.6304071103586</v>
      </c>
      <c r="Y137" s="1027">
        <f>OPEX_Socioambiental!Y49</f>
        <v>5629.6304071103586</v>
      </c>
      <c r="Z137" s="1027">
        <f>OPEX_Socioambiental!Z49</f>
        <v>5629.6304071103586</v>
      </c>
      <c r="AA137" s="1027">
        <f>OPEX_Socioambiental!AA49</f>
        <v>5629.6304071103586</v>
      </c>
      <c r="AB137" s="1027">
        <f>OPEX_Socioambiental!AB49</f>
        <v>5629.6304071103586</v>
      </c>
      <c r="AC137" s="1027">
        <f>OPEX_Socioambiental!AC49</f>
        <v>5629.6304071103586</v>
      </c>
      <c r="AD137" s="1027">
        <f>OPEX_Socioambiental!AD49</f>
        <v>5629.6304071103586</v>
      </c>
      <c r="AE137" s="1027">
        <f>OPEX_Socioambiental!AE49</f>
        <v>5629.6304071103586</v>
      </c>
      <c r="AF137" s="1027">
        <f>OPEX_Socioambiental!AF49</f>
        <v>5629.6304071103586</v>
      </c>
      <c r="AG137" s="1027">
        <f>OPEX_Socioambiental!AG49</f>
        <v>5629.6304071103586</v>
      </c>
      <c r="AH137" s="1027">
        <f>OPEX_Socioambiental!AH49</f>
        <v>5629.6304071103586</v>
      </c>
      <c r="AI137" s="1027">
        <f>OPEX_Socioambiental!AI49</f>
        <v>5629.6304071103586</v>
      </c>
    </row>
    <row r="138" spans="3:35" s="77" customFormat="1" hidden="1" outlineLevel="1" x14ac:dyDescent="0.35">
      <c r="C138" s="1024"/>
      <c r="D138" s="1025" t="s">
        <v>4</v>
      </c>
      <c r="E138" s="1026">
        <f t="shared" si="68"/>
        <v>504671.33377531392</v>
      </c>
      <c r="F138" s="1033">
        <f>OPEX_Socioambiental!F50</f>
        <v>42244.747801791258</v>
      </c>
      <c r="G138" s="1027">
        <f>OPEX_Socioambiental!G50</f>
        <v>41829.60469068621</v>
      </c>
      <c r="H138" s="1027">
        <f>OPEX_Socioambiental!H50</f>
        <v>15021.320760101295</v>
      </c>
      <c r="I138" s="1027">
        <f>OPEX_Socioambiental!I50</f>
        <v>15021.320760101295</v>
      </c>
      <c r="J138" s="1027">
        <f>OPEX_Socioambiental!J50</f>
        <v>15021.320760101295</v>
      </c>
      <c r="K138" s="1027">
        <f>OPEX_Socioambiental!K50</f>
        <v>15021.320760101295</v>
      </c>
      <c r="L138" s="1027">
        <f>OPEX_Socioambiental!L50</f>
        <v>15021.320760101295</v>
      </c>
      <c r="M138" s="1027">
        <f>OPEX_Socioambiental!M50</f>
        <v>15021.320760101295</v>
      </c>
      <c r="N138" s="1027">
        <f>OPEX_Socioambiental!N50</f>
        <v>15021.320760101295</v>
      </c>
      <c r="O138" s="1027">
        <f>OPEX_Socioambiental!O50</f>
        <v>15021.320760101295</v>
      </c>
      <c r="P138" s="1027">
        <f>OPEX_Socioambiental!P50</f>
        <v>15021.320760101295</v>
      </c>
      <c r="Q138" s="1027">
        <f>OPEX_Socioambiental!Q50</f>
        <v>15021.320760101295</v>
      </c>
      <c r="R138" s="1027">
        <f>OPEX_Socioambiental!R50</f>
        <v>15021.320760101295</v>
      </c>
      <c r="S138" s="1027">
        <f>OPEX_Socioambiental!S50</f>
        <v>15021.320760101295</v>
      </c>
      <c r="T138" s="1027">
        <f>OPEX_Socioambiental!T50</f>
        <v>15021.320760101295</v>
      </c>
      <c r="U138" s="1027">
        <f>OPEX_Socioambiental!U50</f>
        <v>15021.320760101295</v>
      </c>
      <c r="V138" s="1027">
        <f>OPEX_Socioambiental!V50</f>
        <v>15021.320760101295</v>
      </c>
      <c r="W138" s="1027">
        <f>OPEX_Socioambiental!W50</f>
        <v>15021.320760101295</v>
      </c>
      <c r="X138" s="1027">
        <f>OPEX_Socioambiental!X50</f>
        <v>15021.320760101295</v>
      </c>
      <c r="Y138" s="1027">
        <f>OPEX_Socioambiental!Y50</f>
        <v>15021.320760101295</v>
      </c>
      <c r="Z138" s="1027">
        <f>OPEX_Socioambiental!Z50</f>
        <v>15021.320760101295</v>
      </c>
      <c r="AA138" s="1027">
        <f>OPEX_Socioambiental!AA50</f>
        <v>15021.320760101295</v>
      </c>
      <c r="AB138" s="1027">
        <f>OPEX_Socioambiental!AB50</f>
        <v>15021.320760101295</v>
      </c>
      <c r="AC138" s="1027">
        <f>OPEX_Socioambiental!AC50</f>
        <v>15021.320760101295</v>
      </c>
      <c r="AD138" s="1027">
        <f>OPEX_Socioambiental!AD50</f>
        <v>15021.320760101295</v>
      </c>
      <c r="AE138" s="1027">
        <f>OPEX_Socioambiental!AE50</f>
        <v>15021.320760101295</v>
      </c>
      <c r="AF138" s="1027">
        <f>OPEX_Socioambiental!AF50</f>
        <v>15021.320760101295</v>
      </c>
      <c r="AG138" s="1027">
        <f>OPEX_Socioambiental!AG50</f>
        <v>15021.320760101295</v>
      </c>
      <c r="AH138" s="1027">
        <f>OPEX_Socioambiental!AH50</f>
        <v>15021.320760101295</v>
      </c>
      <c r="AI138" s="1027">
        <f>OPEX_Socioambiental!AI50</f>
        <v>15021.320760101295</v>
      </c>
    </row>
    <row r="139" spans="3:35" s="77" customFormat="1" hidden="1" outlineLevel="1" x14ac:dyDescent="0.35">
      <c r="C139" s="1024"/>
      <c r="D139" s="1025" t="s">
        <v>5</v>
      </c>
      <c r="E139" s="1026">
        <f t="shared" si="68"/>
        <v>1096053.4851233964</v>
      </c>
      <c r="F139" s="1033">
        <f>OPEX_Socioambiental!F51</f>
        <v>91747.836576996313</v>
      </c>
      <c r="G139" s="1027">
        <f>OPEX_Socioambiental!G51</f>
        <v>90846.221955163564</v>
      </c>
      <c r="H139" s="1027">
        <f>OPEX_Socioambiental!H51</f>
        <v>32623.550949687011</v>
      </c>
      <c r="I139" s="1027">
        <f>OPEX_Socioambiental!I51</f>
        <v>32623.550949687011</v>
      </c>
      <c r="J139" s="1027">
        <f>OPEX_Socioambiental!J51</f>
        <v>32623.550949687011</v>
      </c>
      <c r="K139" s="1027">
        <f>OPEX_Socioambiental!K51</f>
        <v>32623.550949687011</v>
      </c>
      <c r="L139" s="1027">
        <f>OPEX_Socioambiental!L51</f>
        <v>32623.550949687011</v>
      </c>
      <c r="M139" s="1027">
        <f>OPEX_Socioambiental!M51</f>
        <v>32623.550949687011</v>
      </c>
      <c r="N139" s="1027">
        <f>OPEX_Socioambiental!N51</f>
        <v>32623.550949687011</v>
      </c>
      <c r="O139" s="1027">
        <f>OPEX_Socioambiental!O51</f>
        <v>32623.550949687011</v>
      </c>
      <c r="P139" s="1027">
        <f>OPEX_Socioambiental!P51</f>
        <v>32623.550949687011</v>
      </c>
      <c r="Q139" s="1027">
        <f>OPEX_Socioambiental!Q51</f>
        <v>32623.550949687011</v>
      </c>
      <c r="R139" s="1027">
        <f>OPEX_Socioambiental!R51</f>
        <v>32623.550949687011</v>
      </c>
      <c r="S139" s="1027">
        <f>OPEX_Socioambiental!S51</f>
        <v>32623.550949687011</v>
      </c>
      <c r="T139" s="1027">
        <f>OPEX_Socioambiental!T51</f>
        <v>32623.550949687011</v>
      </c>
      <c r="U139" s="1027">
        <f>OPEX_Socioambiental!U51</f>
        <v>32623.550949687011</v>
      </c>
      <c r="V139" s="1027">
        <f>OPEX_Socioambiental!V51</f>
        <v>32623.550949687011</v>
      </c>
      <c r="W139" s="1027">
        <f>OPEX_Socioambiental!W51</f>
        <v>32623.550949687011</v>
      </c>
      <c r="X139" s="1027">
        <f>OPEX_Socioambiental!X51</f>
        <v>32623.550949687011</v>
      </c>
      <c r="Y139" s="1027">
        <f>OPEX_Socioambiental!Y51</f>
        <v>32623.550949687011</v>
      </c>
      <c r="Z139" s="1027">
        <f>OPEX_Socioambiental!Z51</f>
        <v>32623.550949687011</v>
      </c>
      <c r="AA139" s="1027">
        <f>OPEX_Socioambiental!AA51</f>
        <v>32623.550949687011</v>
      </c>
      <c r="AB139" s="1027">
        <f>OPEX_Socioambiental!AB51</f>
        <v>32623.550949687011</v>
      </c>
      <c r="AC139" s="1027">
        <f>OPEX_Socioambiental!AC51</f>
        <v>32623.550949687011</v>
      </c>
      <c r="AD139" s="1027">
        <f>OPEX_Socioambiental!AD51</f>
        <v>32623.550949687011</v>
      </c>
      <c r="AE139" s="1027">
        <f>OPEX_Socioambiental!AE51</f>
        <v>32623.550949687011</v>
      </c>
      <c r="AF139" s="1027">
        <f>OPEX_Socioambiental!AF51</f>
        <v>32623.550949687011</v>
      </c>
      <c r="AG139" s="1027">
        <f>OPEX_Socioambiental!AG51</f>
        <v>32623.550949687011</v>
      </c>
      <c r="AH139" s="1027">
        <f>OPEX_Socioambiental!AH51</f>
        <v>32623.550949687011</v>
      </c>
      <c r="AI139" s="1027">
        <f>OPEX_Socioambiental!AI51</f>
        <v>32623.550949687011</v>
      </c>
    </row>
    <row r="140" spans="3:35" s="77" customFormat="1" hidden="1" outlineLevel="1" x14ac:dyDescent="0.35">
      <c r="C140" s="1024"/>
      <c r="D140" s="1025" t="s">
        <v>6</v>
      </c>
      <c r="E140" s="1026">
        <f t="shared" si="68"/>
        <v>12133120.388314942</v>
      </c>
      <c r="F140" s="1033">
        <f>OPEX_Socioambiental!F52</f>
        <v>1015632.5048597566</v>
      </c>
      <c r="G140" s="1027">
        <f>OPEX_Socioambiental!G52</f>
        <v>1005651.7886820873</v>
      </c>
      <c r="H140" s="1027">
        <f>OPEX_Socioambiental!H52</f>
        <v>361137.0033847533</v>
      </c>
      <c r="I140" s="1027">
        <f>OPEX_Socioambiental!I52</f>
        <v>361137.0033847533</v>
      </c>
      <c r="J140" s="1027">
        <f>OPEX_Socioambiental!J52</f>
        <v>361137.0033847533</v>
      </c>
      <c r="K140" s="1027">
        <f>OPEX_Socioambiental!K52</f>
        <v>361137.0033847533</v>
      </c>
      <c r="L140" s="1027">
        <f>OPEX_Socioambiental!L52</f>
        <v>361137.0033847533</v>
      </c>
      <c r="M140" s="1027">
        <f>OPEX_Socioambiental!M52</f>
        <v>361137.0033847533</v>
      </c>
      <c r="N140" s="1027">
        <f>OPEX_Socioambiental!N52</f>
        <v>361137.0033847533</v>
      </c>
      <c r="O140" s="1027">
        <f>OPEX_Socioambiental!O52</f>
        <v>361137.0033847533</v>
      </c>
      <c r="P140" s="1027">
        <f>OPEX_Socioambiental!P52</f>
        <v>361137.0033847533</v>
      </c>
      <c r="Q140" s="1027">
        <f>OPEX_Socioambiental!Q52</f>
        <v>361137.0033847533</v>
      </c>
      <c r="R140" s="1027">
        <f>OPEX_Socioambiental!R52</f>
        <v>361137.0033847533</v>
      </c>
      <c r="S140" s="1027">
        <f>OPEX_Socioambiental!S52</f>
        <v>361137.0033847533</v>
      </c>
      <c r="T140" s="1027">
        <f>OPEX_Socioambiental!T52</f>
        <v>361137.0033847533</v>
      </c>
      <c r="U140" s="1027">
        <f>OPEX_Socioambiental!U52</f>
        <v>361137.0033847533</v>
      </c>
      <c r="V140" s="1027">
        <f>OPEX_Socioambiental!V52</f>
        <v>361137.0033847533</v>
      </c>
      <c r="W140" s="1027">
        <f>OPEX_Socioambiental!W52</f>
        <v>361137.0033847533</v>
      </c>
      <c r="X140" s="1027">
        <f>OPEX_Socioambiental!X52</f>
        <v>361137.0033847533</v>
      </c>
      <c r="Y140" s="1027">
        <f>OPEX_Socioambiental!Y52</f>
        <v>361137.0033847533</v>
      </c>
      <c r="Z140" s="1027">
        <f>OPEX_Socioambiental!Z52</f>
        <v>361137.0033847533</v>
      </c>
      <c r="AA140" s="1027">
        <f>OPEX_Socioambiental!AA52</f>
        <v>361137.0033847533</v>
      </c>
      <c r="AB140" s="1027">
        <f>OPEX_Socioambiental!AB52</f>
        <v>361137.0033847533</v>
      </c>
      <c r="AC140" s="1027">
        <f>OPEX_Socioambiental!AC52</f>
        <v>361137.0033847533</v>
      </c>
      <c r="AD140" s="1027">
        <f>OPEX_Socioambiental!AD52</f>
        <v>361137.0033847533</v>
      </c>
      <c r="AE140" s="1027">
        <f>OPEX_Socioambiental!AE52</f>
        <v>361137.0033847533</v>
      </c>
      <c r="AF140" s="1027">
        <f>OPEX_Socioambiental!AF52</f>
        <v>361137.0033847533</v>
      </c>
      <c r="AG140" s="1027">
        <f>OPEX_Socioambiental!AG52</f>
        <v>361137.0033847533</v>
      </c>
      <c r="AH140" s="1027">
        <f>OPEX_Socioambiental!AH52</f>
        <v>361137.0033847533</v>
      </c>
      <c r="AI140" s="1027">
        <f>OPEX_Socioambiental!AI52</f>
        <v>361137.0033847533</v>
      </c>
    </row>
    <row r="141" spans="3:35" s="77" customFormat="1" hidden="1" outlineLevel="1" x14ac:dyDescent="0.35">
      <c r="C141" s="1024"/>
      <c r="D141" s="1025" t="s">
        <v>7</v>
      </c>
      <c r="E141" s="1026">
        <f t="shared" si="68"/>
        <v>990736.29522188904</v>
      </c>
      <c r="F141" s="1033">
        <f>OPEX_Socioambiental!F53</f>
        <v>82932.003719401691</v>
      </c>
      <c r="G141" s="1027">
        <f>OPEX_Socioambiental!G53</f>
        <v>82117.023116468888</v>
      </c>
      <c r="H141" s="1027">
        <f>OPEX_Socioambiental!H53</f>
        <v>29488.831013786385</v>
      </c>
      <c r="I141" s="1027">
        <f>OPEX_Socioambiental!I53</f>
        <v>29488.831013786385</v>
      </c>
      <c r="J141" s="1027">
        <f>OPEX_Socioambiental!J53</f>
        <v>29488.831013786385</v>
      </c>
      <c r="K141" s="1027">
        <f>OPEX_Socioambiental!K53</f>
        <v>29488.831013786385</v>
      </c>
      <c r="L141" s="1027">
        <f>OPEX_Socioambiental!L53</f>
        <v>29488.831013786385</v>
      </c>
      <c r="M141" s="1027">
        <f>OPEX_Socioambiental!M53</f>
        <v>29488.831013786385</v>
      </c>
      <c r="N141" s="1027">
        <f>OPEX_Socioambiental!N53</f>
        <v>29488.831013786385</v>
      </c>
      <c r="O141" s="1027">
        <f>OPEX_Socioambiental!O53</f>
        <v>29488.831013786385</v>
      </c>
      <c r="P141" s="1027">
        <f>OPEX_Socioambiental!P53</f>
        <v>29488.831013786385</v>
      </c>
      <c r="Q141" s="1027">
        <f>OPEX_Socioambiental!Q53</f>
        <v>29488.831013786385</v>
      </c>
      <c r="R141" s="1027">
        <f>OPEX_Socioambiental!R53</f>
        <v>29488.831013786385</v>
      </c>
      <c r="S141" s="1027">
        <f>OPEX_Socioambiental!S53</f>
        <v>29488.831013786385</v>
      </c>
      <c r="T141" s="1027">
        <f>OPEX_Socioambiental!T53</f>
        <v>29488.831013786385</v>
      </c>
      <c r="U141" s="1027">
        <f>OPEX_Socioambiental!U53</f>
        <v>29488.831013786385</v>
      </c>
      <c r="V141" s="1027">
        <f>OPEX_Socioambiental!V53</f>
        <v>29488.831013786385</v>
      </c>
      <c r="W141" s="1027">
        <f>OPEX_Socioambiental!W53</f>
        <v>29488.831013786385</v>
      </c>
      <c r="X141" s="1027">
        <f>OPEX_Socioambiental!X53</f>
        <v>29488.831013786385</v>
      </c>
      <c r="Y141" s="1027">
        <f>OPEX_Socioambiental!Y53</f>
        <v>29488.831013786385</v>
      </c>
      <c r="Z141" s="1027">
        <f>OPEX_Socioambiental!Z53</f>
        <v>29488.831013786385</v>
      </c>
      <c r="AA141" s="1027">
        <f>OPEX_Socioambiental!AA53</f>
        <v>29488.831013786385</v>
      </c>
      <c r="AB141" s="1027">
        <f>OPEX_Socioambiental!AB53</f>
        <v>29488.831013786385</v>
      </c>
      <c r="AC141" s="1027">
        <f>OPEX_Socioambiental!AC53</f>
        <v>29488.831013786385</v>
      </c>
      <c r="AD141" s="1027">
        <f>OPEX_Socioambiental!AD53</f>
        <v>29488.831013786385</v>
      </c>
      <c r="AE141" s="1027">
        <f>OPEX_Socioambiental!AE53</f>
        <v>29488.831013786385</v>
      </c>
      <c r="AF141" s="1027">
        <f>OPEX_Socioambiental!AF53</f>
        <v>29488.831013786385</v>
      </c>
      <c r="AG141" s="1027">
        <f>OPEX_Socioambiental!AG53</f>
        <v>29488.831013786385</v>
      </c>
      <c r="AH141" s="1027">
        <f>OPEX_Socioambiental!AH53</f>
        <v>29488.831013786385</v>
      </c>
      <c r="AI141" s="1027">
        <f>OPEX_Socioambiental!AI53</f>
        <v>29488.831013786385</v>
      </c>
    </row>
    <row r="142" spans="3:35" s="77" customFormat="1" hidden="1" outlineLevel="1" x14ac:dyDescent="0.35">
      <c r="C142" s="1024"/>
      <c r="D142" s="1025" t="s">
        <v>8</v>
      </c>
      <c r="E142" s="1026">
        <f t="shared" si="68"/>
        <v>902612.47194775881</v>
      </c>
      <c r="F142" s="1033">
        <f>OPEX_Socioambiental!F54</f>
        <v>75555.383649273703</v>
      </c>
      <c r="G142" s="1027">
        <f>OPEX_Socioambiental!G54</f>
        <v>74812.893785774853</v>
      </c>
      <c r="H142" s="1027">
        <f>OPEX_Socioambiental!H54</f>
        <v>26865.864089739676</v>
      </c>
      <c r="I142" s="1027">
        <f>OPEX_Socioambiental!I54</f>
        <v>26865.864089739676</v>
      </c>
      <c r="J142" s="1027">
        <f>OPEX_Socioambiental!J54</f>
        <v>26865.864089739676</v>
      </c>
      <c r="K142" s="1027">
        <f>OPEX_Socioambiental!K54</f>
        <v>26865.864089739676</v>
      </c>
      <c r="L142" s="1027">
        <f>OPEX_Socioambiental!L54</f>
        <v>26865.864089739676</v>
      </c>
      <c r="M142" s="1027">
        <f>OPEX_Socioambiental!M54</f>
        <v>26865.864089739676</v>
      </c>
      <c r="N142" s="1027">
        <f>OPEX_Socioambiental!N54</f>
        <v>26865.864089739676</v>
      </c>
      <c r="O142" s="1027">
        <f>OPEX_Socioambiental!O54</f>
        <v>26865.864089739676</v>
      </c>
      <c r="P142" s="1027">
        <f>OPEX_Socioambiental!P54</f>
        <v>26865.864089739676</v>
      </c>
      <c r="Q142" s="1027">
        <f>OPEX_Socioambiental!Q54</f>
        <v>26865.864089739676</v>
      </c>
      <c r="R142" s="1027">
        <f>OPEX_Socioambiental!R54</f>
        <v>26865.864089739676</v>
      </c>
      <c r="S142" s="1027">
        <f>OPEX_Socioambiental!S54</f>
        <v>26865.864089739676</v>
      </c>
      <c r="T142" s="1027">
        <f>OPEX_Socioambiental!T54</f>
        <v>26865.864089739676</v>
      </c>
      <c r="U142" s="1027">
        <f>OPEX_Socioambiental!U54</f>
        <v>26865.864089739676</v>
      </c>
      <c r="V142" s="1027">
        <f>OPEX_Socioambiental!V54</f>
        <v>26865.864089739676</v>
      </c>
      <c r="W142" s="1027">
        <f>OPEX_Socioambiental!W54</f>
        <v>26865.864089739676</v>
      </c>
      <c r="X142" s="1027">
        <f>OPEX_Socioambiental!X54</f>
        <v>26865.864089739676</v>
      </c>
      <c r="Y142" s="1027">
        <f>OPEX_Socioambiental!Y54</f>
        <v>26865.864089739676</v>
      </c>
      <c r="Z142" s="1027">
        <f>OPEX_Socioambiental!Z54</f>
        <v>26865.864089739676</v>
      </c>
      <c r="AA142" s="1027">
        <f>OPEX_Socioambiental!AA54</f>
        <v>26865.864089739676</v>
      </c>
      <c r="AB142" s="1027">
        <f>OPEX_Socioambiental!AB54</f>
        <v>26865.864089739676</v>
      </c>
      <c r="AC142" s="1027">
        <f>OPEX_Socioambiental!AC54</f>
        <v>26865.864089739676</v>
      </c>
      <c r="AD142" s="1027">
        <f>OPEX_Socioambiental!AD54</f>
        <v>26865.864089739676</v>
      </c>
      <c r="AE142" s="1027">
        <f>OPEX_Socioambiental!AE54</f>
        <v>26865.864089739676</v>
      </c>
      <c r="AF142" s="1027">
        <f>OPEX_Socioambiental!AF54</f>
        <v>26865.864089739676</v>
      </c>
      <c r="AG142" s="1027">
        <f>OPEX_Socioambiental!AG54</f>
        <v>26865.864089739676</v>
      </c>
      <c r="AH142" s="1027">
        <f>OPEX_Socioambiental!AH54</f>
        <v>26865.864089739676</v>
      </c>
      <c r="AI142" s="1027">
        <f>OPEX_Socioambiental!AI54</f>
        <v>26865.864089739676</v>
      </c>
    </row>
    <row r="143" spans="3:35" s="77" customFormat="1" hidden="1" outlineLevel="1" x14ac:dyDescent="0.35">
      <c r="C143" s="1024"/>
      <c r="D143" s="1025" t="s">
        <v>9</v>
      </c>
      <c r="E143" s="1026">
        <f t="shared" si="68"/>
        <v>740624.39034344687</v>
      </c>
      <c r="F143" s="1033">
        <f>OPEX_Socioambiental!F55</f>
        <v>61995.775254086271</v>
      </c>
      <c r="G143" s="1027">
        <f>OPEX_Socioambiental!G55</f>
        <v>61386.536937997676</v>
      </c>
      <c r="H143" s="1027">
        <f>OPEX_Socioambiental!H55</f>
        <v>22044.359933977237</v>
      </c>
      <c r="I143" s="1027">
        <f>OPEX_Socioambiental!I55</f>
        <v>22044.359933977237</v>
      </c>
      <c r="J143" s="1027">
        <f>OPEX_Socioambiental!J55</f>
        <v>22044.359933977237</v>
      </c>
      <c r="K143" s="1027">
        <f>OPEX_Socioambiental!K55</f>
        <v>22044.359933977237</v>
      </c>
      <c r="L143" s="1027">
        <f>OPEX_Socioambiental!L55</f>
        <v>22044.359933977237</v>
      </c>
      <c r="M143" s="1027">
        <f>OPEX_Socioambiental!M55</f>
        <v>22044.359933977237</v>
      </c>
      <c r="N143" s="1027">
        <f>OPEX_Socioambiental!N55</f>
        <v>22044.359933977237</v>
      </c>
      <c r="O143" s="1027">
        <f>OPEX_Socioambiental!O55</f>
        <v>22044.359933977237</v>
      </c>
      <c r="P143" s="1027">
        <f>OPEX_Socioambiental!P55</f>
        <v>22044.359933977237</v>
      </c>
      <c r="Q143" s="1027">
        <f>OPEX_Socioambiental!Q55</f>
        <v>22044.359933977237</v>
      </c>
      <c r="R143" s="1027">
        <f>OPEX_Socioambiental!R55</f>
        <v>22044.359933977237</v>
      </c>
      <c r="S143" s="1027">
        <f>OPEX_Socioambiental!S55</f>
        <v>22044.359933977237</v>
      </c>
      <c r="T143" s="1027">
        <f>OPEX_Socioambiental!T55</f>
        <v>22044.359933977237</v>
      </c>
      <c r="U143" s="1027">
        <f>OPEX_Socioambiental!U55</f>
        <v>22044.359933977237</v>
      </c>
      <c r="V143" s="1027">
        <f>OPEX_Socioambiental!V55</f>
        <v>22044.359933977237</v>
      </c>
      <c r="W143" s="1027">
        <f>OPEX_Socioambiental!W55</f>
        <v>22044.359933977237</v>
      </c>
      <c r="X143" s="1027">
        <f>OPEX_Socioambiental!X55</f>
        <v>22044.359933977237</v>
      </c>
      <c r="Y143" s="1027">
        <f>OPEX_Socioambiental!Y55</f>
        <v>22044.359933977237</v>
      </c>
      <c r="Z143" s="1027">
        <f>OPEX_Socioambiental!Z55</f>
        <v>22044.359933977237</v>
      </c>
      <c r="AA143" s="1027">
        <f>OPEX_Socioambiental!AA55</f>
        <v>22044.359933977237</v>
      </c>
      <c r="AB143" s="1027">
        <f>OPEX_Socioambiental!AB55</f>
        <v>22044.359933977237</v>
      </c>
      <c r="AC143" s="1027">
        <f>OPEX_Socioambiental!AC55</f>
        <v>22044.359933977237</v>
      </c>
      <c r="AD143" s="1027">
        <f>OPEX_Socioambiental!AD55</f>
        <v>22044.359933977237</v>
      </c>
      <c r="AE143" s="1027">
        <f>OPEX_Socioambiental!AE55</f>
        <v>22044.359933977237</v>
      </c>
      <c r="AF143" s="1027">
        <f>OPEX_Socioambiental!AF55</f>
        <v>22044.359933977237</v>
      </c>
      <c r="AG143" s="1027">
        <f>OPEX_Socioambiental!AG55</f>
        <v>22044.359933977237</v>
      </c>
      <c r="AH143" s="1027">
        <f>OPEX_Socioambiental!AH55</f>
        <v>22044.359933977237</v>
      </c>
      <c r="AI143" s="1027">
        <f>OPEX_Socioambiental!AI55</f>
        <v>22044.359933977237</v>
      </c>
    </row>
    <row r="144" spans="3:35" s="77" customFormat="1" collapsed="1" x14ac:dyDescent="0.35">
      <c r="C144" s="77" t="s">
        <v>463</v>
      </c>
      <c r="E144" s="489">
        <f>E145+E155+E215+E225+E165+E175+E185+E195+E205</f>
        <v>183892106.73056597</v>
      </c>
      <c r="F144" s="490">
        <f t="shared" ref="F144:AI144" si="69">F145+F155+F165+F175+F185+F195+F205+F215+F225</f>
        <v>6827703.3259251406</v>
      </c>
      <c r="G144" s="490">
        <f t="shared" si="69"/>
        <v>6254044.6527643306</v>
      </c>
      <c r="H144" s="490">
        <f t="shared" si="69"/>
        <v>6138270.5546246413</v>
      </c>
      <c r="I144" s="490">
        <f t="shared" si="69"/>
        <v>6086083.3250624072</v>
      </c>
      <c r="J144" s="490">
        <f t="shared" si="69"/>
        <v>6063342.223116613</v>
      </c>
      <c r="K144" s="490">
        <f t="shared" si="69"/>
        <v>6055478.5590229435</v>
      </c>
      <c r="L144" s="490">
        <f t="shared" si="69"/>
        <v>6063317.0792154334</v>
      </c>
      <c r="M144" s="490">
        <f t="shared" si="69"/>
        <v>6066391.8003057558</v>
      </c>
      <c r="N144" s="490">
        <f t="shared" si="69"/>
        <v>6129004.9474218599</v>
      </c>
      <c r="O144" s="490">
        <f t="shared" si="69"/>
        <v>6099039.4309987444</v>
      </c>
      <c r="P144" s="490">
        <f t="shared" si="69"/>
        <v>6111394.7221914511</v>
      </c>
      <c r="Q144" s="490">
        <f t="shared" si="69"/>
        <v>6057946.5802635029</v>
      </c>
      <c r="R144" s="490">
        <f t="shared" si="69"/>
        <v>6066433.0898258733</v>
      </c>
      <c r="S144" s="490">
        <f t="shared" si="69"/>
        <v>6075475.2570065632</v>
      </c>
      <c r="T144" s="490">
        <f t="shared" si="69"/>
        <v>6094964.5401655715</v>
      </c>
      <c r="U144" s="490">
        <f t="shared" si="69"/>
        <v>6092689.7449634075</v>
      </c>
      <c r="V144" s="490">
        <f t="shared" si="69"/>
        <v>6142230.2508989116</v>
      </c>
      <c r="W144" s="490">
        <f t="shared" si="69"/>
        <v>6102958.9330871729</v>
      </c>
      <c r="X144" s="490">
        <f t="shared" si="69"/>
        <v>6096515.1744071906</v>
      </c>
      <c r="Y144" s="490">
        <f t="shared" si="69"/>
        <v>6102782.0854649665</v>
      </c>
      <c r="Z144" s="490">
        <f t="shared" si="69"/>
        <v>6123690.1078578774</v>
      </c>
      <c r="AA144" s="490">
        <f t="shared" si="69"/>
        <v>6101103.6782612074</v>
      </c>
      <c r="AB144" s="490">
        <f t="shared" si="69"/>
        <v>6113961.2940252936</v>
      </c>
      <c r="AC144" s="490">
        <f t="shared" si="69"/>
        <v>6112963.4676821372</v>
      </c>
      <c r="AD144" s="490">
        <f t="shared" si="69"/>
        <v>6154687.284110738</v>
      </c>
      <c r="AE144" s="490">
        <f t="shared" si="69"/>
        <v>6107675.4206920974</v>
      </c>
      <c r="AF144" s="490">
        <f t="shared" si="69"/>
        <v>6108679.1029392136</v>
      </c>
      <c r="AG144" s="490">
        <f t="shared" si="69"/>
        <v>6110184.8432220872</v>
      </c>
      <c r="AH144" s="490">
        <f t="shared" si="69"/>
        <v>6111687.4686207166</v>
      </c>
      <c r="AI144" s="490">
        <f t="shared" si="69"/>
        <v>6121407.7864221046</v>
      </c>
    </row>
    <row r="145" spans="3:35" x14ac:dyDescent="0.35">
      <c r="D145" t="s">
        <v>464</v>
      </c>
      <c r="E145" s="486">
        <f t="shared" ref="E145:E174" si="70">SUM(F145:AI145)</f>
        <v>26361232.270298854</v>
      </c>
      <c r="F145" s="477">
        <f>IF(F37&gt;'Premissas Gerais'!$E$7,0,'Premissas Economias e Água'!F71*'Premissas Gerais'!$G$76*12)</f>
        <v>840855.92281580949</v>
      </c>
      <c r="G145" s="477">
        <f>IF(G37&gt;'Premissas Gerais'!$E$7,0,'Premissas Economias e Água'!G71*'Premissas Gerais'!$G$76*12)</f>
        <v>844724.79796459596</v>
      </c>
      <c r="H145" s="477">
        <f>IF(H37&gt;'Premissas Gerais'!$E$7,0,'Premissas Economias e Água'!H71*'Premissas Gerais'!$G$76*12)</f>
        <v>848593.67311338219</v>
      </c>
      <c r="I145" s="477">
        <f>IF(I37&gt;'Premissas Gerais'!$E$7,0,'Premissas Economias e Água'!I71*'Premissas Gerais'!$G$76*12)</f>
        <v>852462.54826216854</v>
      </c>
      <c r="J145" s="477">
        <f>IF(J37&gt;'Premissas Gerais'!$E$7,0,'Premissas Economias e Água'!J71*'Premissas Gerais'!$G$76*12)</f>
        <v>856331.423410955</v>
      </c>
      <c r="K145" s="477">
        <f>IF(K37&gt;'Premissas Gerais'!$E$7,0,'Premissas Economias e Água'!K71*'Premissas Gerais'!$G$76*12)</f>
        <v>860199.1672125333</v>
      </c>
      <c r="L145" s="477">
        <f>IF(L37&gt;'Premissas Gerais'!$E$7,0,'Premissas Economias e Água'!L71*'Premissas Gerais'!$G$76*12)</f>
        <v>863559.55483691092</v>
      </c>
      <c r="M145" s="477">
        <f>IF(M37&gt;'Premissas Gerais'!$E$7,0,'Premissas Economias e Água'!M71*'Premissas Gerais'!$G$76*12)</f>
        <v>866919.94246128853</v>
      </c>
      <c r="N145" s="477">
        <f>IF(N37&gt;'Premissas Gerais'!$E$7,0,'Premissas Economias e Água'!N71*'Premissas Gerais'!$G$76*12)</f>
        <v>870280.33008566592</v>
      </c>
      <c r="O145" s="477">
        <f>IF(O37&gt;'Premissas Gerais'!$E$7,0,'Premissas Economias e Água'!O71*'Premissas Gerais'!$G$76*12)</f>
        <v>873640.71771004354</v>
      </c>
      <c r="P145" s="477">
        <f>IF(P37&gt;'Premissas Gerais'!$E$7,0,'Premissas Economias e Água'!P71*'Premissas Gerais'!$G$76*12)</f>
        <v>876993.99346806528</v>
      </c>
      <c r="Q145" s="477">
        <f>IF(Q37&gt;'Premissas Gerais'!$E$7,0,'Premissas Economias e Água'!Q71*'Premissas Gerais'!$G$76*12)</f>
        <v>878924.14331483352</v>
      </c>
      <c r="R145" s="477">
        <f>IF(R37&gt;'Premissas Gerais'!$E$7,0,'Premissas Economias e Água'!R71*'Premissas Gerais'!$G$76*12)</f>
        <v>880854.29316160176</v>
      </c>
      <c r="S145" s="477">
        <f>IF(S37&gt;'Premissas Gerais'!$E$7,0,'Premissas Economias e Água'!S71*'Premissas Gerais'!$G$76*12)</f>
        <v>882784.44300836977</v>
      </c>
      <c r="T145" s="477">
        <f>IF(T37&gt;'Premissas Gerais'!$E$7,0,'Premissas Economias e Água'!T71*'Premissas Gerais'!$G$76*12)</f>
        <v>884714.59285513777</v>
      </c>
      <c r="U145" s="477">
        <f>IF(U37&gt;'Premissas Gerais'!$E$7,0,'Premissas Economias e Água'!U71*'Premissas Gerais'!$G$76*12)</f>
        <v>886653.92964380456</v>
      </c>
      <c r="V145" s="477">
        <f>IF(V37&gt;'Premissas Gerais'!$E$7,0,'Premissas Economias e Água'!V71*'Premissas Gerais'!$G$76*12)</f>
        <v>887411.77543363976</v>
      </c>
      <c r="W145" s="477">
        <f>IF(W37&gt;'Premissas Gerais'!$E$7,0,'Premissas Economias e Água'!W71*'Premissas Gerais'!$G$76*12)</f>
        <v>888169.62122347509</v>
      </c>
      <c r="X145" s="477">
        <f>IF(X37&gt;'Premissas Gerais'!$E$7,0,'Premissas Economias e Água'!X71*'Premissas Gerais'!$G$76*12)</f>
        <v>888927.46701331041</v>
      </c>
      <c r="Y145" s="477">
        <f>IF(Y37&gt;'Premissas Gerais'!$E$7,0,'Premissas Economias e Água'!Y71*'Premissas Gerais'!$G$76*12)</f>
        <v>889685.3128031455</v>
      </c>
      <c r="Z145" s="477">
        <f>IF(Z37&gt;'Premissas Gerais'!$E$7,0,'Premissas Economias e Água'!Z71*'Premissas Gerais'!$G$76*12)</f>
        <v>890444.15599575336</v>
      </c>
      <c r="AA145" s="477">
        <f>IF(AA37&gt;'Premissas Gerais'!$E$7,0,'Premissas Economias e Água'!AA71*'Premissas Gerais'!$G$76*12)</f>
        <v>891202.00178558845</v>
      </c>
      <c r="AB145" s="477">
        <f>IF(AB37&gt;'Premissas Gerais'!$E$7,0,'Premissas Economias e Água'!AB71*'Premissas Gerais'!$G$76*12)</f>
        <v>891959.84757542366</v>
      </c>
      <c r="AC145" s="477">
        <f>IF(AC37&gt;'Premissas Gerais'!$E$7,0,'Premissas Economias e Água'!AC71*'Premissas Gerais'!$G$76*12)</f>
        <v>892717.69336525875</v>
      </c>
      <c r="AD145" s="477">
        <f>IF(AD37&gt;'Premissas Gerais'!$E$7,0,'Premissas Economias e Água'!AD71*'Premissas Gerais'!$G$76*12)</f>
        <v>893475.53915509395</v>
      </c>
      <c r="AE145" s="477">
        <f>IF(AE37&gt;'Premissas Gerais'!$E$7,0,'Premissas Economias e Água'!AE71*'Premissas Gerais'!$G$76*12)</f>
        <v>894233.38494492904</v>
      </c>
      <c r="AF145" s="477">
        <f>IF(AF37&gt;'Premissas Gerais'!$E$7,0,'Premissas Economias e Água'!AF71*'Premissas Gerais'!$G$76*12)</f>
        <v>894991.23073476437</v>
      </c>
      <c r="AG145" s="477">
        <f>IF(AG37&gt;'Premissas Gerais'!$E$7,0,'Premissas Economias e Água'!AG71*'Premissas Gerais'!$G$76*12)</f>
        <v>895749.07652459946</v>
      </c>
      <c r="AH145" s="477">
        <f>IF(AH37&gt;'Premissas Gerais'!$E$7,0,'Premissas Economias e Água'!AH71*'Premissas Gerais'!$G$76*12)</f>
        <v>896506.92231443489</v>
      </c>
      <c r="AI145" s="477">
        <f>IF(AI37&gt;'Premissas Gerais'!$E$7,0,'Premissas Economias e Água'!AI71*'Premissas Gerais'!$G$76*12)</f>
        <v>897264.76810426998</v>
      </c>
    </row>
    <row r="146" spans="3:35" s="77" customFormat="1" hidden="1" outlineLevel="1" x14ac:dyDescent="0.35">
      <c r="C146" s="1020"/>
      <c r="D146" s="1021" t="s">
        <v>1</v>
      </c>
      <c r="E146" s="1022">
        <f t="shared" si="70"/>
        <v>189225.78791334096</v>
      </c>
      <c r="F146" s="1032">
        <f>IF(F37&gt;'Premissas Gerais'!$E$7,0,'Premissas Economias e Água'!F62*'Premissas Gerais'!$G$76*12)</f>
        <v>7051.7600912200687</v>
      </c>
      <c r="G146" s="1023">
        <f>IF(G37&gt;'Premissas Gerais'!$E$7,0,'Premissas Economias e Água'!G62*'Premissas Gerais'!$G$76*12)</f>
        <v>7011.7236031927041</v>
      </c>
      <c r="H146" s="1023">
        <f>IF(H37&gt;'Premissas Gerais'!$E$7,0,'Premissas Economias e Água'!H62*'Premissas Gerais'!$G$76*12)</f>
        <v>6971.6871151653377</v>
      </c>
      <c r="I146" s="1023">
        <f>IF(I37&gt;'Premissas Gerais'!$E$7,0,'Premissas Economias e Água'!I62*'Premissas Gerais'!$G$76*12)</f>
        <v>6931.6506271379731</v>
      </c>
      <c r="J146" s="1023">
        <f>IF(J37&gt;'Premissas Gerais'!$E$7,0,'Premissas Economias e Água'!J62*'Premissas Gerais'!$G$76*12)</f>
        <v>6891.6141391106066</v>
      </c>
      <c r="K146" s="1023">
        <f>IF(K37&gt;'Premissas Gerais'!$E$7,0,'Premissas Economias e Água'!K62*'Premissas Gerais'!$G$76*12)</f>
        <v>6851.5776510832402</v>
      </c>
      <c r="L146" s="1023">
        <f>IF(L37&gt;'Premissas Gerais'!$E$7,0,'Premissas Economias e Água'!L62*'Premissas Gerais'!$G$76*12)</f>
        <v>6800.8647662485755</v>
      </c>
      <c r="M146" s="1023">
        <f>IF(M37&gt;'Premissas Gerais'!$E$7,0,'Premissas Economias e Água'!M62*'Premissas Gerais'!$G$76*12)</f>
        <v>6750.1518814139126</v>
      </c>
      <c r="N146" s="1023">
        <f>IF(N37&gt;'Premissas Gerais'!$E$7,0,'Premissas Economias e Água'!N62*'Premissas Gerais'!$G$76*12)</f>
        <v>6699.4389965792489</v>
      </c>
      <c r="O146" s="1023">
        <f>IF(O37&gt;'Premissas Gerais'!$E$7,0,'Premissas Economias e Água'!O62*'Premissas Gerais'!$G$76*12)</f>
        <v>6648.7261117445842</v>
      </c>
      <c r="P146" s="1023">
        <f>IF(P37&gt;'Premissas Gerais'!$E$7,0,'Premissas Economias e Água'!P62*'Premissas Gerais'!$G$76*12)</f>
        <v>6603.3514253135709</v>
      </c>
      <c r="Q146" s="1023">
        <f>IF(Q37&gt;'Premissas Gerais'!$E$7,0,'Premissas Economias e Água'!Q62*'Premissas Gerais'!$G$76*12)</f>
        <v>6544.6312428734336</v>
      </c>
      <c r="R146" s="1023">
        <f>IF(R37&gt;'Premissas Gerais'!$E$7,0,'Premissas Economias e Água'!R62*'Premissas Gerais'!$G$76*12)</f>
        <v>6485.9110604332964</v>
      </c>
      <c r="S146" s="1023">
        <f>IF(S37&gt;'Premissas Gerais'!$E$7,0,'Premissas Economias e Água'!S62*'Premissas Gerais'!$G$76*12)</f>
        <v>6427.19087799316</v>
      </c>
      <c r="T146" s="1023">
        <f>IF(T37&gt;'Premissas Gerais'!$E$7,0,'Premissas Economias e Água'!T62*'Premissas Gerais'!$G$76*12)</f>
        <v>6368.4706955530237</v>
      </c>
      <c r="U146" s="1023">
        <f>IF(U37&gt;'Premissas Gerais'!$E$7,0,'Premissas Economias e Água'!U62*'Premissas Gerais'!$G$76*12)</f>
        <v>6312.4196123147103</v>
      </c>
      <c r="V146" s="1023">
        <f>IF(V37&gt;'Premissas Gerais'!$E$7,0,'Premissas Economias e Água'!V62*'Premissas Gerais'!$G$76*12)</f>
        <v>6251.0303306727492</v>
      </c>
      <c r="W146" s="1023">
        <f>IF(W37&gt;'Premissas Gerais'!$E$7,0,'Premissas Economias e Água'!W62*'Premissas Gerais'!$G$76*12)</f>
        <v>6189.6410490307881</v>
      </c>
      <c r="X146" s="1023">
        <f>IF(X37&gt;'Premissas Gerais'!$E$7,0,'Premissas Economias e Água'!X62*'Premissas Gerais'!$G$76*12)</f>
        <v>6128.2517673888269</v>
      </c>
      <c r="Y146" s="1023">
        <f>IF(Y37&gt;'Premissas Gerais'!$E$7,0,'Premissas Economias e Água'!Y62*'Premissas Gerais'!$G$76*12)</f>
        <v>6066.8624857468658</v>
      </c>
      <c r="Z146" s="1023">
        <f>IF(Z37&gt;'Premissas Gerais'!$E$7,0,'Premissas Economias e Água'!Z62*'Premissas Gerais'!$G$76*12)</f>
        <v>6000.1350057012551</v>
      </c>
      <c r="AA146" s="1023">
        <f>IF(AA37&gt;'Premissas Gerais'!$E$7,0,'Premissas Economias e Água'!AA62*'Premissas Gerais'!$G$76*12)</f>
        <v>5938.7457240592939</v>
      </c>
      <c r="AB146" s="1023">
        <f>IF(AB37&gt;'Premissas Gerais'!$E$7,0,'Premissas Economias e Água'!AB62*'Premissas Gerais'!$G$76*12)</f>
        <v>5877.3564424173328</v>
      </c>
      <c r="AC146" s="1023">
        <f>IF(AC37&gt;'Premissas Gerais'!$E$7,0,'Premissas Economias e Água'!AC62*'Premissas Gerais'!$G$76*12)</f>
        <v>5815.9671607753717</v>
      </c>
      <c r="AD146" s="1023">
        <f>IF(AD37&gt;'Premissas Gerais'!$E$7,0,'Premissas Economias e Água'!AD62*'Premissas Gerais'!$G$76*12)</f>
        <v>5754.5778791334105</v>
      </c>
      <c r="AE146" s="1023">
        <f>IF(AE37&gt;'Premissas Gerais'!$E$7,0,'Premissas Economias e Água'!AE62*'Premissas Gerais'!$G$76*12)</f>
        <v>5693.1885974914494</v>
      </c>
      <c r="AF146" s="1023">
        <f>IF(AF37&gt;'Premissas Gerais'!$E$7,0,'Premissas Economias e Água'!AF62*'Premissas Gerais'!$G$76*12)</f>
        <v>5631.7993158494883</v>
      </c>
      <c r="AG146" s="1023">
        <f>IF(AG37&gt;'Premissas Gerais'!$E$7,0,'Premissas Economias e Água'!AG62*'Premissas Gerais'!$G$76*12)</f>
        <v>5570.4100342075271</v>
      </c>
      <c r="AH146" s="1023">
        <f>IF(AH37&gt;'Premissas Gerais'!$E$7,0,'Premissas Economias e Água'!AH62*'Premissas Gerais'!$G$76*12)</f>
        <v>5509.020752565566</v>
      </c>
      <c r="AI146" s="1023">
        <f>IF(AI37&gt;'Premissas Gerais'!$E$7,0,'Premissas Economias e Água'!AI62*'Premissas Gerais'!$G$76*12)</f>
        <v>5447.631470923604</v>
      </c>
    </row>
    <row r="147" spans="3:35" s="77" customFormat="1" hidden="1" outlineLevel="1" x14ac:dyDescent="0.35">
      <c r="C147" s="1024"/>
      <c r="D147" s="1025" t="s">
        <v>2</v>
      </c>
      <c r="E147" s="1026">
        <f t="shared" si="70"/>
        <v>2494885.0698414901</v>
      </c>
      <c r="F147" s="1033">
        <f>IF(F37&gt;'Premissas Gerais'!$E$7,0,'Premissas Economias e Água'!F63*'Premissas Gerais'!$G$76*12)</f>
        <v>85342.743168823989</v>
      </c>
      <c r="G147" s="1027">
        <f>IF(G37&gt;'Premissas Gerais'!$E$7,0,'Premissas Economias e Água'!G63*'Premissas Gerais'!$G$76*12)</f>
        <v>85390.777423686581</v>
      </c>
      <c r="H147" s="1027">
        <f>IF(H37&gt;'Premissas Gerais'!$E$7,0,'Premissas Economias e Água'!H63*'Premissas Gerais'!$G$76*12)</f>
        <v>85438.811678549187</v>
      </c>
      <c r="I147" s="1027">
        <f>IF(I37&gt;'Premissas Gerais'!$E$7,0,'Premissas Economias e Água'!I63*'Premissas Gerais'!$G$76*12)</f>
        <v>85486.845933411794</v>
      </c>
      <c r="J147" s="1027">
        <f>IF(J37&gt;'Premissas Gerais'!$E$7,0,'Premissas Economias e Água'!J63*'Premissas Gerais'!$G$76*12)</f>
        <v>85534.880188274401</v>
      </c>
      <c r="K147" s="1027">
        <f>IF(K37&gt;'Premissas Gerais'!$E$7,0,'Premissas Economias e Água'!K63*'Premissas Gerais'!$G$76*12)</f>
        <v>85588.565531944361</v>
      </c>
      <c r="L147" s="1027">
        <f>IF(L37&gt;'Premissas Gerais'!$E$7,0,'Premissas Economias e Água'!L63*'Premissas Gerais'!$G$76*12)</f>
        <v>85461.416033778645</v>
      </c>
      <c r="M147" s="1027">
        <f>IF(M37&gt;'Premissas Gerais'!$E$7,0,'Premissas Economias e Água'!M63*'Premissas Gerais'!$G$76*12)</f>
        <v>85334.266535612929</v>
      </c>
      <c r="N147" s="1027">
        <f>IF(N37&gt;'Premissas Gerais'!$E$7,0,'Premissas Economias e Água'!N63*'Premissas Gerais'!$G$76*12)</f>
        <v>85207.117037447228</v>
      </c>
      <c r="O147" s="1027">
        <f>IF(O37&gt;'Premissas Gerais'!$E$7,0,'Premissas Economias e Água'!O63*'Premissas Gerais'!$G$76*12)</f>
        <v>85079.967539281526</v>
      </c>
      <c r="P147" s="1027">
        <f>IF(P37&gt;'Premissas Gerais'!$E$7,0,'Premissas Economias e Água'!P63*'Premissas Gerais'!$G$76*12)</f>
        <v>84952.81804111581</v>
      </c>
      <c r="Q147" s="1027">
        <f>IF(Q37&gt;'Premissas Gerais'!$E$7,0,'Premissas Economias e Água'!Q63*'Premissas Gerais'!$G$76*12)</f>
        <v>84706.995677995437</v>
      </c>
      <c r="R147" s="1027">
        <f>IF(R37&gt;'Premissas Gerais'!$E$7,0,'Premissas Economias e Água'!R63*'Premissas Gerais'!$G$76*12)</f>
        <v>84461.173314875079</v>
      </c>
      <c r="S147" s="1027">
        <f>IF(S37&gt;'Premissas Gerais'!$E$7,0,'Premissas Economias e Água'!S63*'Premissas Gerais'!$G$76*12)</f>
        <v>84215.350951754706</v>
      </c>
      <c r="T147" s="1027">
        <f>IF(T37&gt;'Premissas Gerais'!$E$7,0,'Premissas Economias e Água'!T63*'Premissas Gerais'!$G$76*12)</f>
        <v>83969.528588634319</v>
      </c>
      <c r="U147" s="1027">
        <f>IF(U37&gt;'Premissas Gerais'!$E$7,0,'Premissas Economias e Água'!U63*'Premissas Gerais'!$G$76*12)</f>
        <v>83718.055136706593</v>
      </c>
      <c r="V147" s="1027">
        <f>IF(V37&gt;'Premissas Gerais'!$E$7,0,'Premissas Economias e Água'!V63*'Premissas Gerais'!$G$76*12)</f>
        <v>83364.862086246285</v>
      </c>
      <c r="W147" s="1027">
        <f>IF(W37&gt;'Premissas Gerais'!$E$7,0,'Premissas Economias e Água'!W63*'Premissas Gerais'!$G$76*12)</f>
        <v>83011.669035785977</v>
      </c>
      <c r="X147" s="1027">
        <f>IF(X37&gt;'Premissas Gerais'!$E$7,0,'Premissas Economias e Água'!X63*'Premissas Gerais'!$G$76*12)</f>
        <v>82658.475985325684</v>
      </c>
      <c r="Y147" s="1027">
        <f>IF(Y37&gt;'Premissas Gerais'!$E$7,0,'Premissas Economias e Água'!Y63*'Premissas Gerais'!$G$76*12)</f>
        <v>82305.282934865376</v>
      </c>
      <c r="Z147" s="1027">
        <f>IF(Z37&gt;'Premissas Gerais'!$E$7,0,'Premissas Economias e Água'!Z63*'Premissas Gerais'!$G$76*12)</f>
        <v>81954.915428808759</v>
      </c>
      <c r="AA147" s="1027">
        <f>IF(AA37&gt;'Premissas Gerais'!$E$7,0,'Premissas Economias e Água'!AA63*'Premissas Gerais'!$G$76*12)</f>
        <v>81601.722378348451</v>
      </c>
      <c r="AB147" s="1027">
        <f>IF(AB37&gt;'Premissas Gerais'!$E$7,0,'Premissas Economias e Água'!AB63*'Premissas Gerais'!$G$76*12)</f>
        <v>81248.529327888144</v>
      </c>
      <c r="AC147" s="1027">
        <f>IF(AC37&gt;'Premissas Gerais'!$E$7,0,'Premissas Economias e Água'!AC63*'Premissas Gerais'!$G$76*12)</f>
        <v>80895.33627742785</v>
      </c>
      <c r="AD147" s="1027">
        <f>IF(AD37&gt;'Premissas Gerais'!$E$7,0,'Premissas Economias e Água'!AD63*'Premissas Gerais'!$G$76*12)</f>
        <v>80542.143226967542</v>
      </c>
      <c r="AE147" s="1027">
        <f>IF(AE37&gt;'Premissas Gerais'!$E$7,0,'Premissas Economias e Água'!AE63*'Premissas Gerais'!$G$76*12)</f>
        <v>80188.950176507249</v>
      </c>
      <c r="AF147" s="1027">
        <f>IF(AF37&gt;'Premissas Gerais'!$E$7,0,'Premissas Economias e Água'!AF63*'Premissas Gerais'!$G$76*12)</f>
        <v>79835.757126046941</v>
      </c>
      <c r="AG147" s="1027">
        <f>IF(AG37&gt;'Premissas Gerais'!$E$7,0,'Premissas Economias e Água'!AG63*'Premissas Gerais'!$G$76*12)</f>
        <v>79482.564075586648</v>
      </c>
      <c r="AH147" s="1027">
        <f>IF(AH37&gt;'Premissas Gerais'!$E$7,0,'Premissas Economias e Água'!AH63*'Premissas Gerais'!$G$76*12)</f>
        <v>79129.37102512634</v>
      </c>
      <c r="AI147" s="1027">
        <f>IF(AI37&gt;'Premissas Gerais'!$E$7,0,'Premissas Economias e Água'!AI63*'Premissas Gerais'!$G$76*12)</f>
        <v>78776.177974666032</v>
      </c>
    </row>
    <row r="148" spans="3:35" s="77" customFormat="1" hidden="1" outlineLevel="1" x14ac:dyDescent="0.35">
      <c r="C148" s="1024"/>
      <c r="D148" s="1025" t="s">
        <v>3</v>
      </c>
      <c r="E148" s="1026">
        <f t="shared" si="70"/>
        <v>334228.03483977</v>
      </c>
      <c r="F148" s="1033">
        <f>IF(F37&gt;'Premissas Gerais'!$E$7,0,'Premissas Economias e Água'!F64*'Premissas Gerais'!$G$76*12)</f>
        <v>11294.271421528349</v>
      </c>
      <c r="G148" s="1027">
        <f>IF(G37&gt;'Premissas Gerais'!$E$7,0,'Premissas Economias e Água'!G64*'Premissas Gerais'!$G$76*12)</f>
        <v>11306.66228430567</v>
      </c>
      <c r="H148" s="1027">
        <f>IF(H37&gt;'Premissas Gerais'!$E$7,0,'Premissas Economias e Água'!H64*'Premissas Gerais'!$G$76*12)</f>
        <v>11319.053147082992</v>
      </c>
      <c r="I148" s="1027">
        <f>IF(I37&gt;'Premissas Gerais'!$E$7,0,'Premissas Economias e Água'!I64*'Premissas Gerais'!$G$76*12)</f>
        <v>11331.444009860314</v>
      </c>
      <c r="J148" s="1027">
        <f>IF(J37&gt;'Premissas Gerais'!$E$7,0,'Premissas Economias e Água'!J64*'Premissas Gerais'!$G$76*12)</f>
        <v>11343.834872637635</v>
      </c>
      <c r="K148" s="1027">
        <f>IF(K37&gt;'Premissas Gerais'!$E$7,0,'Premissas Economias e Água'!K64*'Premissas Gerais'!$G$76*12)</f>
        <v>11362.421166803617</v>
      </c>
      <c r="L148" s="1027">
        <f>IF(L37&gt;'Premissas Gerais'!$E$7,0,'Premissas Economias e Água'!L64*'Premissas Gerais'!$G$76*12)</f>
        <v>11359.323451109285</v>
      </c>
      <c r="M148" s="1027">
        <f>IF(M37&gt;'Premissas Gerais'!$E$7,0,'Premissas Economias e Água'!M64*'Premissas Gerais'!$G$76*12)</f>
        <v>11356.225735414955</v>
      </c>
      <c r="N148" s="1027">
        <f>IF(N37&gt;'Premissas Gerais'!$E$7,0,'Premissas Economias e Água'!N64*'Premissas Gerais'!$G$76*12)</f>
        <v>11353.128019720625</v>
      </c>
      <c r="O148" s="1027">
        <f>IF(O37&gt;'Premissas Gerais'!$E$7,0,'Premissas Economias e Água'!O64*'Premissas Gerais'!$G$76*12)</f>
        <v>11350.030304026295</v>
      </c>
      <c r="P148" s="1027">
        <f>IF(P37&gt;'Premissas Gerais'!$E$7,0,'Premissas Economias e Água'!P64*'Premissas Gerais'!$G$76*12)</f>
        <v>11340.737156943303</v>
      </c>
      <c r="Q148" s="1027">
        <f>IF(Q37&gt;'Premissas Gerais'!$E$7,0,'Premissas Economias e Água'!Q64*'Premissas Gerais'!$G$76*12)</f>
        <v>11315.95543138866</v>
      </c>
      <c r="R148" s="1027">
        <f>IF(R37&gt;'Premissas Gerais'!$E$7,0,'Premissas Economias e Água'!R64*'Premissas Gerais'!$G$76*12)</f>
        <v>11291.173705834019</v>
      </c>
      <c r="S148" s="1027">
        <f>IF(S37&gt;'Premissas Gerais'!$E$7,0,'Premissas Economias e Água'!S64*'Premissas Gerais'!$G$76*12)</f>
        <v>11266.391980279375</v>
      </c>
      <c r="T148" s="1027">
        <f>IF(T37&gt;'Premissas Gerais'!$E$7,0,'Premissas Economias e Água'!T64*'Premissas Gerais'!$G$76*12)</f>
        <v>11241.610254724734</v>
      </c>
      <c r="U148" s="1027">
        <f>IF(U37&gt;'Premissas Gerais'!$E$7,0,'Premissas Economias e Água'!U64*'Premissas Gerais'!$G$76*12)</f>
        <v>11219.926244864422</v>
      </c>
      <c r="V148" s="1027">
        <f>IF(V37&gt;'Premissas Gerais'!$E$7,0,'Premissas Economias e Água'!V64*'Premissas Gerais'!$G$76*12)</f>
        <v>11182.753656532457</v>
      </c>
      <c r="W148" s="1027">
        <f>IF(W37&gt;'Premissas Gerais'!$E$7,0,'Premissas Economias e Água'!W64*'Premissas Gerais'!$G$76*12)</f>
        <v>11145.581068200494</v>
      </c>
      <c r="X148" s="1027">
        <f>IF(X37&gt;'Premissas Gerais'!$E$7,0,'Premissas Economias e Água'!X64*'Premissas Gerais'!$G$76*12)</f>
        <v>11108.408479868531</v>
      </c>
      <c r="Y148" s="1027">
        <f>IF(Y37&gt;'Premissas Gerais'!$E$7,0,'Premissas Economias e Água'!Y64*'Premissas Gerais'!$G$76*12)</f>
        <v>11071.235891536566</v>
      </c>
      <c r="Z148" s="1027">
        <f>IF(Z37&gt;'Premissas Gerais'!$E$7,0,'Premissas Economias e Água'!Z64*'Premissas Gerais'!$G$76*12)</f>
        <v>11034.063303204603</v>
      </c>
      <c r="AA148" s="1027">
        <f>IF(AA37&gt;'Premissas Gerais'!$E$7,0,'Premissas Economias e Água'!AA64*'Premissas Gerais'!$G$76*12)</f>
        <v>10996.890714872638</v>
      </c>
      <c r="AB148" s="1027">
        <f>IF(AB37&gt;'Premissas Gerais'!$E$7,0,'Premissas Economias e Água'!AB64*'Premissas Gerais'!$G$76*12)</f>
        <v>10959.718126540673</v>
      </c>
      <c r="AC148" s="1027">
        <f>IF(AC37&gt;'Premissas Gerais'!$E$7,0,'Premissas Economias e Água'!AC64*'Premissas Gerais'!$G$76*12)</f>
        <v>10922.545538208711</v>
      </c>
      <c r="AD148" s="1027">
        <f>IF(AD37&gt;'Premissas Gerais'!$E$7,0,'Premissas Economias e Água'!AD64*'Premissas Gerais'!$G$76*12)</f>
        <v>10885.372949876746</v>
      </c>
      <c r="AE148" s="1027">
        <f>IF(AE37&gt;'Premissas Gerais'!$E$7,0,'Premissas Economias e Água'!AE64*'Premissas Gerais'!$G$76*12)</f>
        <v>10848.200361544783</v>
      </c>
      <c r="AF148" s="1027">
        <f>IF(AF37&gt;'Premissas Gerais'!$E$7,0,'Premissas Economias e Água'!AF64*'Premissas Gerais'!$G$76*12)</f>
        <v>10811.027773212818</v>
      </c>
      <c r="AG148" s="1027">
        <f>IF(AG37&gt;'Premissas Gerais'!$E$7,0,'Premissas Economias e Água'!AG64*'Premissas Gerais'!$G$76*12)</f>
        <v>10773.855184880855</v>
      </c>
      <c r="AH148" s="1027">
        <f>IF(AH37&gt;'Premissas Gerais'!$E$7,0,'Premissas Economias e Água'!AH64*'Premissas Gerais'!$G$76*12)</f>
        <v>10736.682596548892</v>
      </c>
      <c r="AI148" s="1027">
        <f>IF(AI37&gt;'Premissas Gerais'!$E$7,0,'Premissas Economias e Água'!AI64*'Premissas Gerais'!$G$76*12)</f>
        <v>10699.510008216927</v>
      </c>
    </row>
    <row r="149" spans="3:35" s="77" customFormat="1" hidden="1" outlineLevel="1" x14ac:dyDescent="0.35">
      <c r="C149" s="1024"/>
      <c r="D149" s="1025" t="s">
        <v>4</v>
      </c>
      <c r="E149" s="1026">
        <f t="shared" si="70"/>
        <v>753326.49637610209</v>
      </c>
      <c r="F149" s="1033">
        <f>IF(F37&gt;'Premissas Gerais'!$E$7,0,'Premissas Economias e Água'!F65*'Premissas Gerais'!$G$76*12)</f>
        <v>22717.124544564154</v>
      </c>
      <c r="G149" s="1027">
        <f>IF(G37&gt;'Premissas Gerais'!$E$7,0,'Premissas Economias e Água'!G65*'Premissas Gerais'!$G$76*12)</f>
        <v>22927.491478942218</v>
      </c>
      <c r="H149" s="1027">
        <f>IF(H37&gt;'Premissas Gerais'!$E$7,0,'Premissas Economias e Água'!H65*'Premissas Gerais'!$G$76*12)</f>
        <v>23137.858413320278</v>
      </c>
      <c r="I149" s="1027">
        <f>IF(I37&gt;'Premissas Gerais'!$E$7,0,'Premissas Economias e Água'!I65*'Premissas Gerais'!$G$76*12)</f>
        <v>23348.225347698339</v>
      </c>
      <c r="J149" s="1027">
        <f>IF(J37&gt;'Premissas Gerais'!$E$7,0,'Premissas Economias e Água'!J65*'Premissas Gerais'!$G$76*12)</f>
        <v>23558.592282076399</v>
      </c>
      <c r="K149" s="1027">
        <f>IF(K37&gt;'Premissas Gerais'!$E$7,0,'Premissas Economias e Água'!K65*'Premissas Gerais'!$G$76*12)</f>
        <v>23766.454848188056</v>
      </c>
      <c r="L149" s="1027">
        <f>IF(L37&gt;'Premissas Gerais'!$E$7,0,'Premissas Economias e Água'!L65*'Premissas Gerais'!$G$76*12)</f>
        <v>23949.273731635654</v>
      </c>
      <c r="M149" s="1027">
        <f>IF(M37&gt;'Premissas Gerais'!$E$7,0,'Premissas Economias e Água'!M65*'Premissas Gerais'!$G$76*12)</f>
        <v>24132.092615083253</v>
      </c>
      <c r="N149" s="1027">
        <f>IF(N37&gt;'Premissas Gerais'!$E$7,0,'Premissas Economias e Água'!N65*'Premissas Gerais'!$G$76*12)</f>
        <v>24314.911498530855</v>
      </c>
      <c r="O149" s="1027">
        <f>IF(O37&gt;'Premissas Gerais'!$E$7,0,'Premissas Economias e Água'!O65*'Premissas Gerais'!$G$76*12)</f>
        <v>24497.730381978457</v>
      </c>
      <c r="P149" s="1027">
        <f>IF(P37&gt;'Premissas Gerais'!$E$7,0,'Premissas Economias e Água'!P65*'Premissas Gerais'!$G$76*12)</f>
        <v>24678.044897159649</v>
      </c>
      <c r="Q149" s="1027">
        <f>IF(Q37&gt;'Premissas Gerais'!$E$7,0,'Premissas Economias e Água'!Q65*'Premissas Gerais'!$G$76*12)</f>
        <v>24823.298256611168</v>
      </c>
      <c r="R149" s="1027">
        <f>IF(R37&gt;'Premissas Gerais'!$E$7,0,'Premissas Economias e Água'!R65*'Premissas Gerais'!$G$76*12)</f>
        <v>24968.551616062687</v>
      </c>
      <c r="S149" s="1027">
        <f>IF(S37&gt;'Premissas Gerais'!$E$7,0,'Premissas Economias e Água'!S65*'Premissas Gerais'!$G$76*12)</f>
        <v>25113.804975514202</v>
      </c>
      <c r="T149" s="1027">
        <f>IF(T37&gt;'Premissas Gerais'!$E$7,0,'Premissas Economias e Água'!T65*'Premissas Gerais'!$G$76*12)</f>
        <v>25259.058334965724</v>
      </c>
      <c r="U149" s="1027">
        <f>IF(U37&gt;'Premissas Gerais'!$E$7,0,'Premissas Economias e Água'!U65*'Premissas Gerais'!$G$76*12)</f>
        <v>25409.320430950051</v>
      </c>
      <c r="V149" s="1027">
        <f>IF(V37&gt;'Premissas Gerais'!$E$7,0,'Premissas Economias e Água'!V65*'Premissas Gerais'!$G$76*12)</f>
        <v>25514.503898139083</v>
      </c>
      <c r="W149" s="1027">
        <f>IF(W37&gt;'Premissas Gerais'!$E$7,0,'Premissas Economias e Água'!W65*'Premissas Gerais'!$G$76*12)</f>
        <v>25619.687365328115</v>
      </c>
      <c r="X149" s="1027">
        <f>IF(X37&gt;'Premissas Gerais'!$E$7,0,'Premissas Economias e Água'!X65*'Premissas Gerais'!$G$76*12)</f>
        <v>25724.870832517146</v>
      </c>
      <c r="Y149" s="1027">
        <f>IF(Y37&gt;'Premissas Gerais'!$E$7,0,'Premissas Economias e Água'!Y65*'Premissas Gerais'!$G$76*12)</f>
        <v>25830.054299706171</v>
      </c>
      <c r="Z149" s="1027">
        <f>IF(Z37&gt;'Premissas Gerais'!$E$7,0,'Premissas Economias e Água'!Z65*'Premissas Gerais'!$G$76*12)</f>
        <v>25930.229030362389</v>
      </c>
      <c r="AA149" s="1027">
        <f>IF(AA37&gt;'Premissas Gerais'!$E$7,0,'Premissas Economias e Água'!AA65*'Premissas Gerais'!$G$76*12)</f>
        <v>26035.412497551424</v>
      </c>
      <c r="AB149" s="1027">
        <f>IF(AB37&gt;'Premissas Gerais'!$E$7,0,'Premissas Economias e Água'!AB65*'Premissas Gerais'!$G$76*12)</f>
        <v>26140.595964740452</v>
      </c>
      <c r="AC149" s="1027">
        <f>IF(AC37&gt;'Premissas Gerais'!$E$7,0,'Premissas Economias e Água'!AC65*'Premissas Gerais'!$G$76*12)</f>
        <v>26245.779431929484</v>
      </c>
      <c r="AD149" s="1027">
        <f>IF(AD37&gt;'Premissas Gerais'!$E$7,0,'Premissas Economias e Água'!AD65*'Premissas Gerais'!$G$76*12)</f>
        <v>26350.962899118516</v>
      </c>
      <c r="AE149" s="1027">
        <f>IF(AE37&gt;'Premissas Gerais'!$E$7,0,'Premissas Economias e Água'!AE65*'Premissas Gerais'!$G$76*12)</f>
        <v>26456.146366307541</v>
      </c>
      <c r="AF149" s="1027">
        <f>IF(AF37&gt;'Premissas Gerais'!$E$7,0,'Premissas Economias e Água'!AF65*'Premissas Gerais'!$G$76*12)</f>
        <v>26561.329833496577</v>
      </c>
      <c r="AG149" s="1027">
        <f>IF(AG37&gt;'Premissas Gerais'!$E$7,0,'Premissas Economias e Água'!AG65*'Premissas Gerais'!$G$76*12)</f>
        <v>26666.513300685605</v>
      </c>
      <c r="AH149" s="1027">
        <f>IF(AH37&gt;'Premissas Gerais'!$E$7,0,'Premissas Economias e Água'!AH65*'Premissas Gerais'!$G$76*12)</f>
        <v>26771.696767874637</v>
      </c>
      <c r="AI149" s="1027">
        <f>IF(AI37&gt;'Premissas Gerais'!$E$7,0,'Premissas Economias e Água'!AI65*'Premissas Gerais'!$G$76*12)</f>
        <v>26876.880235063669</v>
      </c>
    </row>
    <row r="150" spans="3:35" s="77" customFormat="1" hidden="1" outlineLevel="1" x14ac:dyDescent="0.35">
      <c r="C150" s="1024"/>
      <c r="D150" s="1025" t="s">
        <v>5</v>
      </c>
      <c r="E150" s="1026">
        <f t="shared" si="70"/>
        <v>1550361.3212018625</v>
      </c>
      <c r="F150" s="1033">
        <f>IF(F37&gt;'Premissas Gerais'!$E$7,0,'Premissas Economias e Água'!F66*'Premissas Gerais'!$G$76*12)</f>
        <v>50220.062970799831</v>
      </c>
      <c r="G150" s="1027">
        <f>IF(G37&gt;'Premissas Gerais'!$E$7,0,'Premissas Economias e Água'!G66*'Premissas Gerais'!$G$76*12)</f>
        <v>50435.501819720695</v>
      </c>
      <c r="H150" s="1027">
        <f>IF(H37&gt;'Premissas Gerais'!$E$7,0,'Premissas Economias e Água'!H66*'Premissas Gerais'!$G$76*12)</f>
        <v>50650.94066864156</v>
      </c>
      <c r="I150" s="1027">
        <f>IF(I37&gt;'Premissas Gerais'!$E$7,0,'Premissas Economias e Água'!I66*'Premissas Gerais'!$G$76*12)</f>
        <v>50866.379517562425</v>
      </c>
      <c r="J150" s="1027">
        <f>IF(J37&gt;'Premissas Gerais'!$E$7,0,'Premissas Economias e Água'!J66*'Premissas Gerais'!$G$76*12)</f>
        <v>51081.81836648329</v>
      </c>
      <c r="K150" s="1027">
        <f>IF(K37&gt;'Premissas Gerais'!$E$7,0,'Premissas Economias e Água'!K66*'Premissas Gerais'!$G$76*12)</f>
        <v>51294.72264071097</v>
      </c>
      <c r="L150" s="1027">
        <f>IF(L37&gt;'Premissas Gerais'!$E$7,0,'Premissas Economias e Água'!L66*'Premissas Gerais'!$G$76*12)</f>
        <v>51418.916800677107</v>
      </c>
      <c r="M150" s="1027">
        <f>IF(M37&gt;'Premissas Gerais'!$E$7,0,'Premissas Economias e Água'!M66*'Premissas Gerais'!$G$76*12)</f>
        <v>51543.110960643258</v>
      </c>
      <c r="N150" s="1027">
        <f>IF(N37&gt;'Premissas Gerais'!$E$7,0,'Premissas Economias e Água'!N66*'Premissas Gerais'!$G$76*12)</f>
        <v>51667.305120609402</v>
      </c>
      <c r="O150" s="1027">
        <f>IF(O37&gt;'Premissas Gerais'!$E$7,0,'Premissas Economias e Água'!O66*'Premissas Gerais'!$G$76*12)</f>
        <v>51791.499280575539</v>
      </c>
      <c r="P150" s="1027">
        <f>IF(P37&gt;'Premissas Gerais'!$E$7,0,'Premissas Economias e Água'!P66*'Premissas Gerais'!$G$76*12)</f>
        <v>51920.762589928068</v>
      </c>
      <c r="Q150" s="1027">
        <f>IF(Q37&gt;'Premissas Gerais'!$E$7,0,'Premissas Economias e Água'!Q66*'Premissas Gerais'!$G$76*12)</f>
        <v>51968.91950909861</v>
      </c>
      <c r="R150" s="1027">
        <f>IF(R37&gt;'Premissas Gerais'!$E$7,0,'Premissas Economias e Água'!R66*'Premissas Gerais'!$G$76*12)</f>
        <v>52017.076428269153</v>
      </c>
      <c r="S150" s="1027">
        <f>IF(S37&gt;'Premissas Gerais'!$E$7,0,'Premissas Economias e Água'!S66*'Premissas Gerais'!$G$76*12)</f>
        <v>52065.233347439702</v>
      </c>
      <c r="T150" s="1027">
        <f>IF(T37&gt;'Premissas Gerais'!$E$7,0,'Premissas Economias e Água'!T66*'Premissas Gerais'!$G$76*12)</f>
        <v>52113.390266610251</v>
      </c>
      <c r="U150" s="1027">
        <f>IF(U37&gt;'Premissas Gerais'!$E$7,0,'Premissas Economias e Água'!U66*'Premissas Gerais'!$G$76*12)</f>
        <v>52166.616335167157</v>
      </c>
      <c r="V150" s="1027">
        <f>IF(V37&gt;'Premissas Gerais'!$E$7,0,'Premissas Economias e Água'!V66*'Premissas Gerais'!$G$76*12)</f>
        <v>52136.201438848926</v>
      </c>
      <c r="W150" s="1027">
        <f>IF(W37&gt;'Premissas Gerais'!$E$7,0,'Premissas Economias e Água'!W66*'Premissas Gerais'!$G$76*12)</f>
        <v>52105.786542530681</v>
      </c>
      <c r="X150" s="1027">
        <f>IF(X37&gt;'Premissas Gerais'!$E$7,0,'Premissas Economias e Água'!X66*'Premissas Gerais'!$G$76*12)</f>
        <v>52075.371646212443</v>
      </c>
      <c r="Y150" s="1027">
        <f>IF(Y37&gt;'Premissas Gerais'!$E$7,0,'Premissas Economias e Água'!Y66*'Premissas Gerais'!$G$76*12)</f>
        <v>52044.956749894212</v>
      </c>
      <c r="Z150" s="1027">
        <f>IF(Z37&gt;'Premissas Gerais'!$E$7,0,'Premissas Economias e Água'!Z66*'Premissas Gerais'!$G$76*12)</f>
        <v>52014.541853575967</v>
      </c>
      <c r="AA150" s="1027">
        <f>IF(AA37&gt;'Premissas Gerais'!$E$7,0,'Premissas Economias e Água'!AA66*'Premissas Gerais'!$G$76*12)</f>
        <v>51984.126957257729</v>
      </c>
      <c r="AB150" s="1027">
        <f>IF(AB37&gt;'Premissas Gerais'!$E$7,0,'Premissas Economias e Água'!AB66*'Premissas Gerais'!$G$76*12)</f>
        <v>51953.712060939491</v>
      </c>
      <c r="AC150" s="1027">
        <f>IF(AC37&gt;'Premissas Gerais'!$E$7,0,'Premissas Economias e Água'!AC66*'Premissas Gerais'!$G$76*12)</f>
        <v>51923.297164621254</v>
      </c>
      <c r="AD150" s="1027">
        <f>IF(AD37&gt;'Premissas Gerais'!$E$7,0,'Premissas Economias e Água'!AD66*'Premissas Gerais'!$G$76*12)</f>
        <v>51892.882268303008</v>
      </c>
      <c r="AE150" s="1027">
        <f>IF(AE37&gt;'Premissas Gerais'!$E$7,0,'Premissas Economias e Água'!AE66*'Premissas Gerais'!$G$76*12)</f>
        <v>51862.467371984778</v>
      </c>
      <c r="AF150" s="1027">
        <f>IF(AF37&gt;'Premissas Gerais'!$E$7,0,'Premissas Economias e Água'!AF66*'Premissas Gerais'!$G$76*12)</f>
        <v>51832.052475666525</v>
      </c>
      <c r="AG150" s="1027">
        <f>IF(AG37&gt;'Premissas Gerais'!$E$7,0,'Premissas Economias e Água'!AG66*'Premissas Gerais'!$G$76*12)</f>
        <v>51801.637579348295</v>
      </c>
      <c r="AH150" s="1027">
        <f>IF(AH37&gt;'Premissas Gerais'!$E$7,0,'Premissas Economias e Água'!AH66*'Premissas Gerais'!$G$76*12)</f>
        <v>51771.22268303005</v>
      </c>
      <c r="AI150" s="1027">
        <f>IF(AI37&gt;'Premissas Gerais'!$E$7,0,'Premissas Economias e Água'!AI66*'Premissas Gerais'!$G$76*12)</f>
        <v>51740.807786711812</v>
      </c>
    </row>
    <row r="151" spans="3:35" s="77" customFormat="1" hidden="1" outlineLevel="1" x14ac:dyDescent="0.35">
      <c r="C151" s="1024"/>
      <c r="D151" s="1025" t="s">
        <v>6</v>
      </c>
      <c r="E151" s="1026">
        <f t="shared" si="70"/>
        <v>17637469.702555347</v>
      </c>
      <c r="F151" s="1033">
        <f>IF(F37&gt;'Premissas Gerais'!$E$7,0,'Premissas Economias e Água'!F67*'Premissas Gerais'!$G$76*12)</f>
        <v>553675.58708072978</v>
      </c>
      <c r="G151" s="1027">
        <f>IF(G37&gt;'Premissas Gerais'!$E$7,0,'Premissas Economias e Água'!G67*'Premissas Gerais'!$G$76*12)</f>
        <v>556651.68164888385</v>
      </c>
      <c r="H151" s="1027">
        <f>IF(H37&gt;'Premissas Gerais'!$E$7,0,'Premissas Economias e Água'!H67*'Premissas Gerais'!$G$76*12)</f>
        <v>559627.77621703781</v>
      </c>
      <c r="I151" s="1027">
        <f>IF(I37&gt;'Premissas Gerais'!$E$7,0,'Premissas Economias e Água'!I67*'Premissas Gerais'!$G$76*12)</f>
        <v>562603.87078519177</v>
      </c>
      <c r="J151" s="1027">
        <f>IF(J37&gt;'Premissas Gerais'!$E$7,0,'Premissas Economias e Água'!J67*'Premissas Gerais'!$G$76*12)</f>
        <v>565579.96535334573</v>
      </c>
      <c r="K151" s="1027">
        <f>IF(K37&gt;'Premissas Gerais'!$E$7,0,'Premissas Economias e Água'!K67*'Premissas Gerais'!$G$76*12)</f>
        <v>568552.8494634974</v>
      </c>
      <c r="L151" s="1027">
        <f>IF(L37&gt;'Premissas Gerais'!$E$7,0,'Premissas Economias e Água'!L67*'Premissas Gerais'!$G$76*12)</f>
        <v>571535.36494765617</v>
      </c>
      <c r="M151" s="1027">
        <f>IF(M37&gt;'Premissas Gerais'!$E$7,0,'Premissas Economias e Água'!M67*'Premissas Gerais'!$G$76*12)</f>
        <v>574517.8804318147</v>
      </c>
      <c r="N151" s="1027">
        <f>IF(N37&gt;'Premissas Gerais'!$E$7,0,'Premissas Economias e Água'!N67*'Premissas Gerais'!$G$76*12)</f>
        <v>577500.39591597335</v>
      </c>
      <c r="O151" s="1027">
        <f>IF(O37&gt;'Premissas Gerais'!$E$7,0,'Premissas Economias e Água'!O67*'Premissas Gerais'!$G$76*12)</f>
        <v>580482.91140013188</v>
      </c>
      <c r="P151" s="1027">
        <f>IF(P37&gt;'Premissas Gerais'!$E$7,0,'Premissas Economias e Água'!P67*'Premissas Gerais'!$G$76*12)</f>
        <v>583459.00596828596</v>
      </c>
      <c r="Q151" s="1027">
        <f>IF(Q37&gt;'Premissas Gerais'!$E$7,0,'Premissas Economias e Água'!Q67*'Premissas Gerais'!$G$76*12)</f>
        <v>585465.54221973824</v>
      </c>
      <c r="R151" s="1027">
        <f>IF(R37&gt;'Premissas Gerais'!$E$7,0,'Premissas Economias e Água'!R67*'Premissas Gerais'!$G$76*12)</f>
        <v>587472.07847119053</v>
      </c>
      <c r="S151" s="1027">
        <f>IF(S37&gt;'Premissas Gerais'!$E$7,0,'Premissas Economias e Água'!S67*'Premissas Gerais'!$G$76*12)</f>
        <v>589478.61472264281</v>
      </c>
      <c r="T151" s="1027">
        <f>IF(T37&gt;'Premissas Gerais'!$E$7,0,'Premissas Economias e Água'!T67*'Premissas Gerais'!$G$76*12)</f>
        <v>591485.15097409498</v>
      </c>
      <c r="U151" s="1027">
        <f>IF(U37&gt;'Premissas Gerais'!$E$7,0,'Premissas Economias e Água'!U67*'Premissas Gerais'!$G$76*12)</f>
        <v>593488.47676754487</v>
      </c>
      <c r="V151" s="1027">
        <f>IF(V37&gt;'Premissas Gerais'!$E$7,0,'Premissas Economias e Água'!V67*'Premissas Gerais'!$G$76*12)</f>
        <v>594698.8194344209</v>
      </c>
      <c r="W151" s="1027">
        <f>IF(W37&gt;'Premissas Gerais'!$E$7,0,'Premissas Economias e Água'!W67*'Premissas Gerais'!$G$76*12)</f>
        <v>595909.16210129694</v>
      </c>
      <c r="X151" s="1027">
        <f>IF(X37&gt;'Premissas Gerais'!$E$7,0,'Premissas Economias e Água'!X67*'Premissas Gerais'!$G$76*12)</f>
        <v>597119.50476817298</v>
      </c>
      <c r="Y151" s="1027">
        <f>IF(Y37&gt;'Premissas Gerais'!$E$7,0,'Premissas Economias e Água'!Y67*'Premissas Gerais'!$G$76*12)</f>
        <v>598329.8474350489</v>
      </c>
      <c r="Z151" s="1027">
        <f>IF(Z37&gt;'Premissas Gerais'!$E$7,0,'Premissas Economias e Água'!Z67*'Premissas Gerais'!$G$76*12)</f>
        <v>599536.97964392265</v>
      </c>
      <c r="AA151" s="1027">
        <f>IF(AA37&gt;'Premissas Gerais'!$E$7,0,'Premissas Economias e Água'!AA67*'Premissas Gerais'!$G$76*12)</f>
        <v>600747.32231079857</v>
      </c>
      <c r="AB151" s="1027">
        <f>IF(AB37&gt;'Premissas Gerais'!$E$7,0,'Premissas Economias e Água'!AB67*'Premissas Gerais'!$G$76*12)</f>
        <v>601957.66497767461</v>
      </c>
      <c r="AC151" s="1027">
        <f>IF(AC37&gt;'Premissas Gerais'!$E$7,0,'Premissas Economias e Água'!AC67*'Premissas Gerais'!$G$76*12)</f>
        <v>603168.00764455064</v>
      </c>
      <c r="AD151" s="1027">
        <f>IF(AD37&gt;'Premissas Gerais'!$E$7,0,'Premissas Economias e Água'!AD67*'Premissas Gerais'!$G$76*12)</f>
        <v>604378.35031142656</v>
      </c>
      <c r="AE151" s="1027">
        <f>IF(AE37&gt;'Premissas Gerais'!$E$7,0,'Premissas Economias e Água'!AE67*'Premissas Gerais'!$G$76*12)</f>
        <v>605588.6929783026</v>
      </c>
      <c r="AF151" s="1027">
        <f>IF(AF37&gt;'Premissas Gerais'!$E$7,0,'Premissas Economias e Água'!AF67*'Premissas Gerais'!$G$76*12)</f>
        <v>606799.03564517852</v>
      </c>
      <c r="AG151" s="1027">
        <f>IF(AG37&gt;'Premissas Gerais'!$E$7,0,'Premissas Economias e Água'!AG67*'Premissas Gerais'!$G$76*12)</f>
        <v>608009.37831205456</v>
      </c>
      <c r="AH151" s="1027">
        <f>IF(AH37&gt;'Premissas Gerais'!$E$7,0,'Premissas Economias e Água'!AH67*'Premissas Gerais'!$G$76*12)</f>
        <v>609219.72097893059</v>
      </c>
      <c r="AI151" s="1027">
        <f>IF(AI37&gt;'Premissas Gerais'!$E$7,0,'Premissas Economias e Água'!AI67*'Premissas Gerais'!$G$76*12)</f>
        <v>610430.06364580663</v>
      </c>
    </row>
    <row r="152" spans="3:35" s="77" customFormat="1" hidden="1" outlineLevel="1" x14ac:dyDescent="0.35">
      <c r="C152" s="1024"/>
      <c r="D152" s="1025" t="s">
        <v>7</v>
      </c>
      <c r="E152" s="1026">
        <f t="shared" si="70"/>
        <v>1267779.6463414633</v>
      </c>
      <c r="F152" s="1033">
        <f>IF(F37&gt;'Premissas Gerais'!$E$7,0,'Premissas Economias e Água'!F68*'Premissas Gerais'!$G$76*12)</f>
        <v>45512.664195121957</v>
      </c>
      <c r="G152" s="1027">
        <f>IF(G37&gt;'Premissas Gerais'!$E$7,0,'Premissas Economias e Água'!G68*'Premissas Gerais'!$G$76*12)</f>
        <v>45391.214536585372</v>
      </c>
      <c r="H152" s="1027">
        <f>IF(H37&gt;'Premissas Gerais'!$E$7,0,'Premissas Economias e Água'!H68*'Premissas Gerais'!$G$76*12)</f>
        <v>45269.76487804878</v>
      </c>
      <c r="I152" s="1027">
        <f>IF(I37&gt;'Premissas Gerais'!$E$7,0,'Premissas Economias e Água'!I68*'Premissas Gerais'!$G$76*12)</f>
        <v>45148.315219512202</v>
      </c>
      <c r="J152" s="1027">
        <f>IF(J37&gt;'Premissas Gerais'!$E$7,0,'Premissas Economias e Água'!J68*'Premissas Gerais'!$G$76*12)</f>
        <v>45026.86556097561</v>
      </c>
      <c r="K152" s="1027">
        <f>IF(K37&gt;'Premissas Gerais'!$E$7,0,'Premissas Economias e Água'!K68*'Premissas Gerais'!$G$76*12)</f>
        <v>44900.653170731704</v>
      </c>
      <c r="L152" s="1027">
        <f>IF(L37&gt;'Premissas Gerais'!$E$7,0,'Premissas Economias e Água'!L68*'Premissas Gerais'!$G$76*12)</f>
        <v>44688.711609756101</v>
      </c>
      <c r="M152" s="1027">
        <f>IF(M37&gt;'Premissas Gerais'!$E$7,0,'Premissas Economias e Água'!M68*'Premissas Gerais'!$G$76*12)</f>
        <v>44476.770048780498</v>
      </c>
      <c r="N152" s="1027">
        <f>IF(N37&gt;'Premissas Gerais'!$E$7,0,'Premissas Economias e Água'!N68*'Premissas Gerais'!$G$76*12)</f>
        <v>44264.82848780488</v>
      </c>
      <c r="O152" s="1027">
        <f>IF(O37&gt;'Premissas Gerais'!$E$7,0,'Premissas Economias e Água'!O68*'Premissas Gerais'!$G$76*12)</f>
        <v>44052.886926829269</v>
      </c>
      <c r="P152" s="1027">
        <f>IF(P37&gt;'Premissas Gerais'!$E$7,0,'Premissas Economias e Água'!P68*'Premissas Gerais'!$G$76*12)</f>
        <v>43838.563999999998</v>
      </c>
      <c r="Q152" s="1027">
        <f>IF(Q37&gt;'Premissas Gerais'!$E$7,0,'Premissas Economias e Água'!Q68*'Premissas Gerais'!$G$76*12)</f>
        <v>43548.037365853663</v>
      </c>
      <c r="R152" s="1027">
        <f>IF(R37&gt;'Premissas Gerais'!$E$7,0,'Premissas Economias e Água'!R68*'Premissas Gerais'!$G$76*12)</f>
        <v>43257.51073170732</v>
      </c>
      <c r="S152" s="1027">
        <f>IF(S37&gt;'Premissas Gerais'!$E$7,0,'Premissas Economias e Água'!S68*'Premissas Gerais'!$G$76*12)</f>
        <v>42966.984097560977</v>
      </c>
      <c r="T152" s="1027">
        <f>IF(T37&gt;'Premissas Gerais'!$E$7,0,'Premissas Economias e Água'!T68*'Premissas Gerais'!$G$76*12)</f>
        <v>42676.457463414641</v>
      </c>
      <c r="U152" s="1027">
        <f>IF(U37&gt;'Premissas Gerais'!$E$7,0,'Premissas Economias e Água'!U68*'Premissas Gerais'!$G$76*12)</f>
        <v>42381.168097560978</v>
      </c>
      <c r="V152" s="1027">
        <f>IF(V37&gt;'Premissas Gerais'!$E$7,0,'Premissas Economias e Água'!V68*'Premissas Gerais'!$G$76*12)</f>
        <v>42066.827804878048</v>
      </c>
      <c r="W152" s="1027">
        <f>IF(W37&gt;'Premissas Gerais'!$E$7,0,'Premissas Economias e Água'!W68*'Premissas Gerais'!$G$76*12)</f>
        <v>41752.487512195126</v>
      </c>
      <c r="X152" s="1027">
        <f>IF(X37&gt;'Premissas Gerais'!$E$7,0,'Premissas Economias e Água'!X68*'Premissas Gerais'!$G$76*12)</f>
        <v>41438.147219512197</v>
      </c>
      <c r="Y152" s="1027">
        <f>IF(Y37&gt;'Premissas Gerais'!$E$7,0,'Premissas Economias e Água'!Y68*'Premissas Gerais'!$G$76*12)</f>
        <v>41123.806926829275</v>
      </c>
      <c r="Z152" s="1027">
        <f>IF(Z37&gt;'Premissas Gerais'!$E$7,0,'Premissas Economias e Água'!Z68*'Premissas Gerais'!$G$76*12)</f>
        <v>40814.229365853666</v>
      </c>
      <c r="AA152" s="1027">
        <f>IF(AA37&gt;'Premissas Gerais'!$E$7,0,'Premissas Economias e Água'!AA68*'Premissas Gerais'!$G$76*12)</f>
        <v>40499.889073170736</v>
      </c>
      <c r="AB152" s="1027">
        <f>IF(AB37&gt;'Premissas Gerais'!$E$7,0,'Premissas Economias e Água'!AB68*'Premissas Gerais'!$G$76*12)</f>
        <v>40185.548780487807</v>
      </c>
      <c r="AC152" s="1027">
        <f>IF(AC37&gt;'Premissas Gerais'!$E$7,0,'Premissas Economias e Água'!AC68*'Premissas Gerais'!$G$76*12)</f>
        <v>39871.208487804884</v>
      </c>
      <c r="AD152" s="1027">
        <f>IF(AD37&gt;'Premissas Gerais'!$E$7,0,'Premissas Economias e Água'!AD68*'Premissas Gerais'!$G$76*12)</f>
        <v>39556.868195121955</v>
      </c>
      <c r="AE152" s="1027">
        <f>IF(AE37&gt;'Premissas Gerais'!$E$7,0,'Premissas Economias e Água'!AE68*'Premissas Gerais'!$G$76*12)</f>
        <v>39242.527902439026</v>
      </c>
      <c r="AF152" s="1027">
        <f>IF(AF37&gt;'Premissas Gerais'!$E$7,0,'Premissas Economias e Água'!AF68*'Premissas Gerais'!$G$76*12)</f>
        <v>38928.187609756096</v>
      </c>
      <c r="AG152" s="1027">
        <f>IF(AG37&gt;'Premissas Gerais'!$E$7,0,'Premissas Economias e Água'!AG68*'Premissas Gerais'!$G$76*12)</f>
        <v>38613.847317073174</v>
      </c>
      <c r="AH152" s="1027">
        <f>IF(AH37&gt;'Premissas Gerais'!$E$7,0,'Premissas Economias e Água'!AH68*'Premissas Gerais'!$G$76*12)</f>
        <v>38299.507024390245</v>
      </c>
      <c r="AI152" s="1027">
        <f>IF(AI37&gt;'Premissas Gerais'!$E$7,0,'Premissas Economias e Água'!AI68*'Premissas Gerais'!$G$76*12)</f>
        <v>37985.166731707322</v>
      </c>
    </row>
    <row r="153" spans="3:35" s="77" customFormat="1" hidden="1" outlineLevel="1" x14ac:dyDescent="0.35">
      <c r="C153" s="1024"/>
      <c r="D153" s="1025" t="s">
        <v>8</v>
      </c>
      <c r="E153" s="1026">
        <f t="shared" si="70"/>
        <v>1170014.3329479771</v>
      </c>
      <c r="F153" s="1033">
        <f>IF(F37&gt;'Premissas Gerais'!$E$7,0,'Premissas Economias e Água'!F69*'Premissas Gerais'!$G$76*12)</f>
        <v>35708.042080924861</v>
      </c>
      <c r="G153" s="1027">
        <f>IF(G37&gt;'Premissas Gerais'!$E$7,0,'Premissas Economias e Água'!G69*'Premissas Gerais'!$G$76*12)</f>
        <v>36017.682774566478</v>
      </c>
      <c r="H153" s="1027">
        <f>IF(H37&gt;'Premissas Gerais'!$E$7,0,'Premissas Economias e Água'!H69*'Premissas Gerais'!$G$76*12)</f>
        <v>36327.323468208095</v>
      </c>
      <c r="I153" s="1027">
        <f>IF(I37&gt;'Premissas Gerais'!$E$7,0,'Premissas Economias e Água'!I69*'Premissas Gerais'!$G$76*12)</f>
        <v>36636.964161849712</v>
      </c>
      <c r="J153" s="1027">
        <f>IF(J37&gt;'Premissas Gerais'!$E$7,0,'Premissas Economias e Água'!J69*'Premissas Gerais'!$G$76*12)</f>
        <v>36946.604855491336</v>
      </c>
      <c r="K153" s="1027">
        <f>IF(K37&gt;'Premissas Gerais'!$E$7,0,'Premissas Economias e Água'!K69*'Premissas Gerais'!$G$76*12)</f>
        <v>37251.624046242774</v>
      </c>
      <c r="L153" s="1027">
        <f>IF(L37&gt;'Premissas Gerais'!$E$7,0,'Premissas Economias e Água'!L69*'Premissas Gerais'!$G$76*12)</f>
        <v>37496.563699421968</v>
      </c>
      <c r="M153" s="1027">
        <f>IF(M37&gt;'Premissas Gerais'!$E$7,0,'Premissas Economias e Água'!M69*'Premissas Gerais'!$G$76*12)</f>
        <v>37741.503352601161</v>
      </c>
      <c r="N153" s="1027">
        <f>IF(N37&gt;'Premissas Gerais'!$E$7,0,'Premissas Economias e Água'!N69*'Premissas Gerais'!$G$76*12)</f>
        <v>37986.443005780355</v>
      </c>
      <c r="O153" s="1027">
        <f>IF(O37&gt;'Premissas Gerais'!$E$7,0,'Premissas Economias e Água'!O69*'Premissas Gerais'!$G$76*12)</f>
        <v>38231.382658959534</v>
      </c>
      <c r="P153" s="1027">
        <f>IF(P37&gt;'Premissas Gerais'!$E$7,0,'Premissas Economias e Água'!P69*'Premissas Gerais'!$G$76*12)</f>
        <v>38478.633063583824</v>
      </c>
      <c r="Q153" s="1027">
        <f>IF(Q37&gt;'Premissas Gerais'!$E$7,0,'Premissas Economias e Água'!Q69*'Premissas Gerais'!$G$76*12)</f>
        <v>38675.046936416191</v>
      </c>
      <c r="R153" s="1027">
        <f>IF(R37&gt;'Premissas Gerais'!$E$7,0,'Premissas Economias e Água'!R69*'Premissas Gerais'!$G$76*12)</f>
        <v>38871.460809248558</v>
      </c>
      <c r="S153" s="1027">
        <f>IF(S37&gt;'Premissas Gerais'!$E$7,0,'Premissas Economias e Água'!S69*'Premissas Gerais'!$G$76*12)</f>
        <v>39067.874682080932</v>
      </c>
      <c r="T153" s="1027">
        <f>IF(T37&gt;'Premissas Gerais'!$E$7,0,'Premissas Economias e Água'!T69*'Premissas Gerais'!$G$76*12)</f>
        <v>39264.288554913299</v>
      </c>
      <c r="U153" s="1027">
        <f>IF(U37&gt;'Premissas Gerais'!$E$7,0,'Premissas Economias e Água'!U69*'Premissas Gerais'!$G$76*12)</f>
        <v>39463.013179190755</v>
      </c>
      <c r="V153" s="1027">
        <f>IF(V37&gt;'Premissas Gerais'!$E$7,0,'Premissas Economias e Água'!V69*'Premissas Gerais'!$G$76*12)</f>
        <v>39590.10450867052</v>
      </c>
      <c r="W153" s="1027">
        <f>IF(W37&gt;'Premissas Gerais'!$E$7,0,'Premissas Economias e Água'!W69*'Premissas Gerais'!$G$76*12)</f>
        <v>39717.195838150292</v>
      </c>
      <c r="X153" s="1027">
        <f>IF(X37&gt;'Premissas Gerais'!$E$7,0,'Premissas Economias e Água'!X69*'Premissas Gerais'!$G$76*12)</f>
        <v>39844.287167630057</v>
      </c>
      <c r="Y153" s="1027">
        <f>IF(Y37&gt;'Premissas Gerais'!$E$7,0,'Premissas Economias e Água'!Y69*'Premissas Gerais'!$G$76*12)</f>
        <v>39971.378497109821</v>
      </c>
      <c r="Z153" s="1027">
        <f>IF(Z37&gt;'Premissas Gerais'!$E$7,0,'Premissas Economias e Água'!Z69*'Premissas Gerais'!$G$76*12)</f>
        <v>40100.78057803469</v>
      </c>
      <c r="AA153" s="1027">
        <f>IF(AA37&gt;'Premissas Gerais'!$E$7,0,'Premissas Economias e Água'!AA69*'Premissas Gerais'!$G$76*12)</f>
        <v>40227.871907514455</v>
      </c>
      <c r="AB153" s="1027">
        <f>IF(AB37&gt;'Premissas Gerais'!$E$7,0,'Premissas Economias e Água'!AB69*'Premissas Gerais'!$G$76*12)</f>
        <v>40354.963236994226</v>
      </c>
      <c r="AC153" s="1027">
        <f>IF(AC37&gt;'Premissas Gerais'!$E$7,0,'Premissas Economias e Água'!AC69*'Premissas Gerais'!$G$76*12)</f>
        <v>40482.054566473991</v>
      </c>
      <c r="AD153" s="1027">
        <f>IF(AD37&gt;'Premissas Gerais'!$E$7,0,'Premissas Economias e Água'!AD69*'Premissas Gerais'!$G$76*12)</f>
        <v>40609.145895953756</v>
      </c>
      <c r="AE153" s="1027">
        <f>IF(AE37&gt;'Premissas Gerais'!$E$7,0,'Premissas Economias e Água'!AE69*'Premissas Gerais'!$G$76*12)</f>
        <v>40736.237225433535</v>
      </c>
      <c r="AF153" s="1027">
        <f>IF(AF37&gt;'Premissas Gerais'!$E$7,0,'Premissas Economias e Água'!AF69*'Premissas Gerais'!$G$76*12)</f>
        <v>40863.3285549133</v>
      </c>
      <c r="AG153" s="1027">
        <f>IF(AG37&gt;'Premissas Gerais'!$E$7,0,'Premissas Economias e Água'!AG69*'Premissas Gerais'!$G$76*12)</f>
        <v>40990.419884393064</v>
      </c>
      <c r="AH153" s="1027">
        <f>IF(AH37&gt;'Premissas Gerais'!$E$7,0,'Premissas Economias e Água'!AH69*'Premissas Gerais'!$G$76*12)</f>
        <v>41117.511213872836</v>
      </c>
      <c r="AI153" s="1027">
        <f>IF(AI37&gt;'Premissas Gerais'!$E$7,0,'Premissas Economias e Água'!AI69*'Premissas Gerais'!$G$76*12)</f>
        <v>41244.602543352601</v>
      </c>
    </row>
    <row r="154" spans="3:35" s="77" customFormat="1" hidden="1" outlineLevel="1" x14ac:dyDescent="0.35">
      <c r="C154" s="1024"/>
      <c r="D154" s="1025" t="s">
        <v>9</v>
      </c>
      <c r="E154" s="1026">
        <f t="shared" si="70"/>
        <v>963941.87828150159</v>
      </c>
      <c r="F154" s="1033">
        <f>IF(F37&gt;'Premissas Gerais'!$E$7,0,'Premissas Economias e Água'!F70*'Premissas Gerais'!$G$76*12)</f>
        <v>29333.667262096435</v>
      </c>
      <c r="G154" s="1027">
        <f>IF(G37&gt;'Premissas Gerais'!$E$7,0,'Premissas Economias e Água'!G70*'Premissas Gerais'!$G$76*12)</f>
        <v>29592.062394712317</v>
      </c>
      <c r="H154" s="1027">
        <f>IF(H37&gt;'Premissas Gerais'!$E$7,0,'Premissas Economias e Água'!H70*'Premissas Gerais'!$G$76*12)</f>
        <v>29850.457527328195</v>
      </c>
      <c r="I154" s="1027">
        <f>IF(I37&gt;'Premissas Gerais'!$E$7,0,'Premissas Economias e Água'!I70*'Premissas Gerais'!$G$76*12)</f>
        <v>30108.852659944074</v>
      </c>
      <c r="J154" s="1027">
        <f>IF(J37&gt;'Premissas Gerais'!$E$7,0,'Premissas Economias e Água'!J70*'Premissas Gerais'!$G$76*12)</f>
        <v>30367.247792559952</v>
      </c>
      <c r="K154" s="1027">
        <f>IF(K37&gt;'Premissas Gerais'!$E$7,0,'Premissas Economias e Água'!K70*'Premissas Gerais'!$G$76*12)</f>
        <v>30630.298693331075</v>
      </c>
      <c r="L154" s="1027">
        <f>IF(L37&gt;'Premissas Gerais'!$E$7,0,'Premissas Economias e Água'!L70*'Premissas Gerais'!$G$76*12)</f>
        <v>30849.119796627405</v>
      </c>
      <c r="M154" s="1027">
        <f>IF(M37&gt;'Premissas Gerais'!$E$7,0,'Premissas Economias e Água'!M70*'Premissas Gerais'!$G$76*12)</f>
        <v>31067.940899923735</v>
      </c>
      <c r="N154" s="1027">
        <f>IF(N37&gt;'Premissas Gerais'!$E$7,0,'Premissas Economias e Água'!N70*'Premissas Gerais'!$G$76*12)</f>
        <v>31286.762003220072</v>
      </c>
      <c r="O154" s="1027">
        <f>IF(O37&gt;'Premissas Gerais'!$E$7,0,'Premissas Economias e Água'!O70*'Premissas Gerais'!$G$76*12)</f>
        <v>31505.583106516398</v>
      </c>
      <c r="P154" s="1027">
        <f>IF(P37&gt;'Premissas Gerais'!$E$7,0,'Premissas Economias e Água'!P70*'Premissas Gerais'!$G$76*12)</f>
        <v>31722.076325735106</v>
      </c>
      <c r="Q154" s="1027">
        <f>IF(Q37&gt;'Premissas Gerais'!$E$7,0,'Premissas Economias e Água'!Q70*'Premissas Gerais'!$G$76*12)</f>
        <v>31875.716674858064</v>
      </c>
      <c r="R154" s="1027">
        <f>IF(R37&gt;'Premissas Gerais'!$E$7,0,'Premissas Economias e Água'!R70*'Premissas Gerais'!$G$76*12)</f>
        <v>32029.357023981014</v>
      </c>
      <c r="S154" s="1027">
        <f>IF(S37&gt;'Premissas Gerais'!$E$7,0,'Premissas Economias e Água'!S70*'Premissas Gerais'!$G$76*12)</f>
        <v>32182.997373103975</v>
      </c>
      <c r="T154" s="1027">
        <f>IF(T37&gt;'Premissas Gerais'!$E$7,0,'Premissas Economias e Água'!T70*'Premissas Gerais'!$G$76*12)</f>
        <v>32336.637722226929</v>
      </c>
      <c r="U154" s="1027">
        <f>IF(U37&gt;'Premissas Gerais'!$E$7,0,'Premissas Economias e Água'!U70*'Premissas Gerais'!$G$76*12)</f>
        <v>32494.933839505131</v>
      </c>
      <c r="V154" s="1027">
        <f>IF(V37&gt;'Premissas Gerais'!$E$7,0,'Premissas Economias e Água'!V70*'Premissas Gerais'!$G$76*12)</f>
        <v>32606.672275230914</v>
      </c>
      <c r="W154" s="1027">
        <f>IF(W37&gt;'Premissas Gerais'!$E$7,0,'Premissas Economias e Água'!W70*'Premissas Gerais'!$G$76*12)</f>
        <v>32718.410710956698</v>
      </c>
      <c r="X154" s="1027">
        <f>IF(X37&gt;'Premissas Gerais'!$E$7,0,'Premissas Economias e Água'!X70*'Premissas Gerais'!$G$76*12)</f>
        <v>32830.149146682488</v>
      </c>
      <c r="Y154" s="1027">
        <f>IF(Y37&gt;'Premissas Gerais'!$E$7,0,'Premissas Economias e Água'!Y70*'Premissas Gerais'!$G$76*12)</f>
        <v>32941.887582408272</v>
      </c>
      <c r="Z154" s="1027">
        <f>IF(Z37&gt;'Premissas Gerais'!$E$7,0,'Premissas Economias e Água'!Z70*'Premissas Gerais'!$G$76*12)</f>
        <v>33058.281786289299</v>
      </c>
      <c r="AA154" s="1027">
        <f>IF(AA37&gt;'Premissas Gerais'!$E$7,0,'Premissas Economias e Água'!AA70*'Premissas Gerais'!$G$76*12)</f>
        <v>33170.020222015082</v>
      </c>
      <c r="AB154" s="1027">
        <f>IF(AB37&gt;'Premissas Gerais'!$E$7,0,'Premissas Economias e Água'!AB70*'Premissas Gerais'!$G$76*12)</f>
        <v>33281.758657740873</v>
      </c>
      <c r="AC154" s="1027">
        <f>IF(AC37&gt;'Premissas Gerais'!$E$7,0,'Premissas Economias e Água'!AC70*'Premissas Gerais'!$G$76*12)</f>
        <v>33393.497093466664</v>
      </c>
      <c r="AD154" s="1027">
        <f>IF(AD37&gt;'Premissas Gerais'!$E$7,0,'Premissas Economias e Água'!AD70*'Premissas Gerais'!$G$76*12)</f>
        <v>33505.23552919244</v>
      </c>
      <c r="AE154" s="1027">
        <f>IF(AE37&gt;'Premissas Gerais'!$E$7,0,'Premissas Economias e Água'!AE70*'Premissas Gerais'!$G$76*12)</f>
        <v>33616.97396491823</v>
      </c>
      <c r="AF154" s="1027">
        <f>IF(AF37&gt;'Premissas Gerais'!$E$7,0,'Premissas Economias e Água'!AF70*'Premissas Gerais'!$G$76*12)</f>
        <v>33728.712400644014</v>
      </c>
      <c r="AG154" s="1027">
        <f>IF(AG37&gt;'Premissas Gerais'!$E$7,0,'Premissas Economias e Água'!AG70*'Premissas Gerais'!$G$76*12)</f>
        <v>33840.450836369797</v>
      </c>
      <c r="AH154" s="1027">
        <f>IF(AH37&gt;'Premissas Gerais'!$E$7,0,'Premissas Economias e Água'!AH70*'Premissas Gerais'!$G$76*12)</f>
        <v>33952.189272095595</v>
      </c>
      <c r="AI154" s="1027">
        <f>IF(AI37&gt;'Premissas Gerais'!$E$7,0,'Premissas Economias e Água'!AI70*'Premissas Gerais'!$G$76*12)</f>
        <v>34063.927707821371</v>
      </c>
    </row>
    <row r="155" spans="3:35" collapsed="1" x14ac:dyDescent="0.35">
      <c r="D155" t="s">
        <v>465</v>
      </c>
      <c r="E155" s="486">
        <f t="shared" si="70"/>
        <v>102144750.58476892</v>
      </c>
      <c r="F155" s="477">
        <f>IF(F37&gt;'Premissas Gerais'!$E$7,0,'Premissas Economias e Água'!F71*'Premissas Gerais'!$G$83*12)</f>
        <v>3258156.4333969904</v>
      </c>
      <c r="G155" s="477">
        <f>IF(G37&gt;'Premissas Gerais'!$E$7,0,'Premissas Economias e Água'!G71*'Premissas Gerais'!$G$83*12)</f>
        <v>3273147.5871892073</v>
      </c>
      <c r="H155" s="477">
        <f>IF(H37&gt;'Premissas Gerais'!$E$7,0,'Premissas Economias e Água'!H71*'Premissas Gerais'!$G$83*12)</f>
        <v>3288138.7409814233</v>
      </c>
      <c r="I155" s="477">
        <f>IF(I37&gt;'Premissas Gerais'!$E$7,0,'Premissas Economias e Água'!I71*'Premissas Gerais'!$G$83*12)</f>
        <v>3303129.8947736397</v>
      </c>
      <c r="J155" s="477">
        <f>IF(J37&gt;'Premissas Gerais'!$E$7,0,'Premissas Economias e Água'!J71*'Premissas Gerais'!$G$83*12)</f>
        <v>3318121.0485658571</v>
      </c>
      <c r="K155" s="477">
        <f>IF(K37&gt;'Premissas Gerais'!$E$7,0,'Premissas Economias e Água'!K71*'Premissas Gerais'!$G$83*12)</f>
        <v>3333107.8186032781</v>
      </c>
      <c r="L155" s="477">
        <f>IF(L37&gt;'Premissas Gerais'!$E$7,0,'Premissas Economias e Água'!L71*'Premissas Gerais'!$G$83*12)</f>
        <v>3346128.6801563594</v>
      </c>
      <c r="M155" s="477">
        <f>IF(M37&gt;'Premissas Gerais'!$E$7,0,'Premissas Economias e Água'!M71*'Premissas Gerais'!$G$83*12)</f>
        <v>3359149.5417094408</v>
      </c>
      <c r="N155" s="477">
        <f>IF(N37&gt;'Premissas Gerais'!$E$7,0,'Premissas Economias e Água'!N71*'Premissas Gerais'!$G$83*12)</f>
        <v>3372170.4032625225</v>
      </c>
      <c r="O155" s="477">
        <f>IF(O37&gt;'Premissas Gerais'!$E$7,0,'Premissas Economias e Água'!O71*'Premissas Gerais'!$G$83*12)</f>
        <v>3385191.2648156043</v>
      </c>
      <c r="P155" s="477">
        <f>IF(P37&gt;'Premissas Gerais'!$E$7,0,'Premissas Economias e Água'!P71*'Premissas Gerais'!$G$83*12)</f>
        <v>3398184.5692420816</v>
      </c>
      <c r="Q155" s="477">
        <f>IF(Q37&gt;'Premissas Gerais'!$E$7,0,'Premissas Economias e Água'!Q71*'Premissas Gerais'!$G$83*12)</f>
        <v>3405663.5320108859</v>
      </c>
      <c r="R155" s="477">
        <f>IF(R37&gt;'Premissas Gerais'!$E$7,0,'Premissas Economias e Água'!R71*'Premissas Gerais'!$G$83*12)</f>
        <v>3413142.4947796902</v>
      </c>
      <c r="S155" s="477">
        <f>IF(S37&gt;'Premissas Gerais'!$E$7,0,'Premissas Economias e Água'!S71*'Premissas Gerais'!$G$83*12)</f>
        <v>3420621.4575484945</v>
      </c>
      <c r="T155" s="477">
        <f>IF(T37&gt;'Premissas Gerais'!$E$7,0,'Premissas Economias e Água'!T71*'Premissas Gerais'!$G$83*12)</f>
        <v>3428100.4203172987</v>
      </c>
      <c r="U155" s="477">
        <f>IF(U37&gt;'Premissas Gerais'!$E$7,0,'Premissas Economias e Água'!U71*'Premissas Gerais'!$G$83*12)</f>
        <v>3435614.9807349239</v>
      </c>
      <c r="V155" s="477">
        <f>IF(V37&gt;'Premissas Gerais'!$E$7,0,'Premissas Economias e Água'!V71*'Premissas Gerais'!$G$83*12)</f>
        <v>3438551.4887247896</v>
      </c>
      <c r="W155" s="477">
        <f>IF(W37&gt;'Premissas Gerais'!$E$7,0,'Premissas Economias e Água'!W71*'Premissas Gerais'!$G$83*12)</f>
        <v>3441487.9967146562</v>
      </c>
      <c r="X155" s="477">
        <f>IF(X37&gt;'Premissas Gerais'!$E$7,0,'Premissas Economias e Água'!X71*'Premissas Gerais'!$G$83*12)</f>
        <v>3444424.504704521</v>
      </c>
      <c r="Y155" s="477">
        <f>IF(Y37&gt;'Premissas Gerais'!$E$7,0,'Premissas Economias e Água'!Y71*'Premissas Gerais'!$G$83*12)</f>
        <v>3447361.0126943868</v>
      </c>
      <c r="Z155" s="477">
        <f>IF(Z37&gt;'Premissas Gerais'!$E$7,0,'Premissas Economias e Água'!Z71*'Premissas Gerais'!$G$83*12)</f>
        <v>3450301.3854298904</v>
      </c>
      <c r="AA155" s="477">
        <f>IF(AA37&gt;'Premissas Gerais'!$E$7,0,'Premissas Economias e Água'!AA71*'Premissas Gerais'!$G$83*12)</f>
        <v>3453237.8934197566</v>
      </c>
      <c r="AB155" s="477">
        <f>IF(AB37&gt;'Premissas Gerais'!$E$7,0,'Premissas Economias e Água'!AB71*'Premissas Gerais'!$G$83*12)</f>
        <v>3456174.4014096214</v>
      </c>
      <c r="AC155" s="477">
        <f>IF(AC37&gt;'Premissas Gerais'!$E$7,0,'Premissas Economias e Água'!AC71*'Premissas Gerais'!$G$83*12)</f>
        <v>3459110.9093994871</v>
      </c>
      <c r="AD155" s="477">
        <f>IF(AD37&gt;'Premissas Gerais'!$E$7,0,'Premissas Economias e Água'!AD71*'Premissas Gerais'!$G$83*12)</f>
        <v>3462047.4173893519</v>
      </c>
      <c r="AE155" s="477">
        <f>IF(AE37&gt;'Premissas Gerais'!$E$7,0,'Premissas Economias e Água'!AE71*'Premissas Gerais'!$G$83*12)</f>
        <v>3464983.9253792181</v>
      </c>
      <c r="AF155" s="477">
        <f>IF(AF37&gt;'Premissas Gerais'!$E$7,0,'Premissas Economias e Água'!AF71*'Premissas Gerais'!$G$83*12)</f>
        <v>3467920.4333690833</v>
      </c>
      <c r="AG155" s="477">
        <f>IF(AG37&gt;'Premissas Gerais'!$E$7,0,'Premissas Economias e Água'!AG71*'Premissas Gerais'!$G$83*12)</f>
        <v>3470856.9413589486</v>
      </c>
      <c r="AH155" s="477">
        <f>IF(AH37&gt;'Premissas Gerais'!$E$7,0,'Premissas Economias e Água'!AH71*'Premissas Gerais'!$G$83*12)</f>
        <v>3473793.4493488153</v>
      </c>
      <c r="AI155" s="477">
        <f>IF(AI37&gt;'Premissas Gerais'!$E$7,0,'Premissas Economias e Água'!AI71*'Premissas Gerais'!$G$83*12)</f>
        <v>3476729.9573386805</v>
      </c>
    </row>
    <row r="156" spans="3:35" s="77" customFormat="1" hidden="1" outlineLevel="1" x14ac:dyDescent="0.35">
      <c r="C156" s="1020"/>
      <c r="D156" s="1021" t="s">
        <v>1</v>
      </c>
      <c r="E156" s="1022">
        <f t="shared" si="70"/>
        <v>733213.86164454406</v>
      </c>
      <c r="F156" s="1032">
        <f>IF(F37&gt;'Premissas Gerais'!$E$7,0,'Premissas Economias e Água'!F62*'Premissas Gerais'!$G$83*12)</f>
        <v>27324.226284856268</v>
      </c>
      <c r="G156" s="1023">
        <f>IF(G37&gt;'Premissas Gerais'!$E$7,0,'Premissas Economias e Água'!G62*'Premissas Gerais'!$G$83*12)</f>
        <v>27169.092524722721</v>
      </c>
      <c r="H156" s="1023">
        <f>IF(H37&gt;'Premissas Gerais'!$E$7,0,'Premissas Economias e Água'!H62*'Premissas Gerais'!$G$83*12)</f>
        <v>27013.958764589166</v>
      </c>
      <c r="I156" s="1023">
        <f>IF(I37&gt;'Premissas Gerais'!$E$7,0,'Premissas Economias e Água'!I62*'Premissas Gerais'!$G$83*12)</f>
        <v>26858.825004455619</v>
      </c>
      <c r="J156" s="1023">
        <f>IF(J37&gt;'Premissas Gerais'!$E$7,0,'Premissas Economias e Água'!J62*'Premissas Gerais'!$G$83*12)</f>
        <v>26703.691244322064</v>
      </c>
      <c r="K156" s="1023">
        <f>IF(K37&gt;'Premissas Gerais'!$E$7,0,'Premissas Economias e Água'!K62*'Premissas Gerais'!$G$83*12)</f>
        <v>26548.55748418851</v>
      </c>
      <c r="L156" s="1023">
        <f>IF(L37&gt;'Premissas Gerais'!$E$7,0,'Premissas Economias e Água'!L62*'Premissas Gerais'!$G$83*12)</f>
        <v>26352.054721352677</v>
      </c>
      <c r="M156" s="1023">
        <f>IF(M37&gt;'Premissas Gerais'!$E$7,0,'Premissas Economias e Água'!M62*'Premissas Gerais'!$G$83*12)</f>
        <v>26155.551958516848</v>
      </c>
      <c r="N156" s="1023">
        <f>IF(N37&gt;'Premissas Gerais'!$E$7,0,'Premissas Economias e Água'!N62*'Premissas Gerais'!$G$83*12)</f>
        <v>25959.049195681015</v>
      </c>
      <c r="O156" s="1023">
        <f>IF(O37&gt;'Premissas Gerais'!$E$7,0,'Premissas Economias e Água'!O62*'Premissas Gerais'!$G$83*12)</f>
        <v>25762.546432845178</v>
      </c>
      <c r="P156" s="1023">
        <f>IF(P37&gt;'Premissas Gerais'!$E$7,0,'Premissas Economias e Água'!P62*'Premissas Gerais'!$G$83*12)</f>
        <v>25586.72817136049</v>
      </c>
      <c r="Q156" s="1023">
        <f>IF(Q37&gt;'Premissas Gerais'!$E$7,0,'Premissas Economias e Água'!Q62*'Premissas Gerais'!$G$83*12)</f>
        <v>25359.198656497949</v>
      </c>
      <c r="R156" s="1023">
        <f>IF(R37&gt;'Premissas Gerais'!$E$7,0,'Premissas Economias e Água'!R62*'Premissas Gerais'!$G$83*12)</f>
        <v>25131.669141635401</v>
      </c>
      <c r="S156" s="1023">
        <f>IF(S37&gt;'Premissas Gerais'!$E$7,0,'Premissas Economias e Água'!S62*'Premissas Gerais'!$G$83*12)</f>
        <v>24904.139626772863</v>
      </c>
      <c r="T156" s="1023">
        <f>IF(T37&gt;'Premissas Gerais'!$E$7,0,'Premissas Economias e Água'!T62*'Premissas Gerais'!$G$83*12)</f>
        <v>24676.610111910315</v>
      </c>
      <c r="U156" s="1023">
        <f>IF(U37&gt;'Premissas Gerais'!$E$7,0,'Premissas Economias e Água'!U62*'Premissas Gerais'!$G$83*12)</f>
        <v>24459.422847723345</v>
      </c>
      <c r="V156" s="1023">
        <f>IF(V37&gt;'Premissas Gerais'!$E$7,0,'Premissas Economias e Água'!V62*'Premissas Gerais'!$G$83*12)</f>
        <v>24221.551082185233</v>
      </c>
      <c r="W156" s="1023">
        <f>IF(W37&gt;'Premissas Gerais'!$E$7,0,'Premissas Economias e Água'!W62*'Premissas Gerais'!$G$83*12)</f>
        <v>23983.679316647118</v>
      </c>
      <c r="X156" s="1023">
        <f>IF(X37&gt;'Premissas Gerais'!$E$7,0,'Premissas Economias e Água'!X62*'Premissas Gerais'!$G$83*12)</f>
        <v>23745.807551109006</v>
      </c>
      <c r="Y156" s="1023">
        <f>IF(Y37&gt;'Premissas Gerais'!$E$7,0,'Premissas Economias e Água'!Y62*'Premissas Gerais'!$G$83*12)</f>
        <v>23507.935785570895</v>
      </c>
      <c r="Z156" s="1023">
        <f>IF(Z37&gt;'Premissas Gerais'!$E$7,0,'Premissas Economias e Água'!Z62*'Premissas Gerais'!$G$83*12)</f>
        <v>23249.379518681639</v>
      </c>
      <c r="AA156" s="1023">
        <f>IF(AA37&gt;'Premissas Gerais'!$E$7,0,'Premissas Economias e Água'!AA62*'Premissas Gerais'!$G$83*12)</f>
        <v>23011.507753143531</v>
      </c>
      <c r="AB156" s="1023">
        <f>IF(AB37&gt;'Premissas Gerais'!$E$7,0,'Premissas Economias e Água'!AB62*'Premissas Gerais'!$G$83*12)</f>
        <v>22773.635987605416</v>
      </c>
      <c r="AC156" s="1023">
        <f>IF(AC37&gt;'Premissas Gerais'!$E$7,0,'Premissas Economias e Água'!AC62*'Premissas Gerais'!$G$83*12)</f>
        <v>22535.764222067304</v>
      </c>
      <c r="AD156" s="1023">
        <f>IF(AD37&gt;'Premissas Gerais'!$E$7,0,'Premissas Economias e Água'!AD62*'Premissas Gerais'!$G$83*12)</f>
        <v>22297.892456529189</v>
      </c>
      <c r="AE156" s="1023">
        <f>IF(AE37&gt;'Premissas Gerais'!$E$7,0,'Premissas Economias e Água'!AE62*'Premissas Gerais'!$G$83*12)</f>
        <v>22060.020690991078</v>
      </c>
      <c r="AF156" s="1023">
        <f>IF(AF37&gt;'Premissas Gerais'!$E$7,0,'Premissas Economias e Água'!AF62*'Premissas Gerais'!$G$83*12)</f>
        <v>21822.148925452962</v>
      </c>
      <c r="AG156" s="1023">
        <f>IF(AG37&gt;'Premissas Gerais'!$E$7,0,'Premissas Economias e Água'!AG62*'Premissas Gerais'!$G$83*12)</f>
        <v>21584.277159914851</v>
      </c>
      <c r="AH156" s="1023">
        <f>IF(AH37&gt;'Premissas Gerais'!$E$7,0,'Premissas Economias e Água'!AH62*'Premissas Gerais'!$G$83*12)</f>
        <v>21346.405394376736</v>
      </c>
      <c r="AI156" s="1023">
        <f>IF(AI37&gt;'Premissas Gerais'!$E$7,0,'Premissas Economias e Água'!AI62*'Premissas Gerais'!$G$83*12)</f>
        <v>21108.533628838624</v>
      </c>
    </row>
    <row r="157" spans="3:35" s="77" customFormat="1" hidden="1" outlineLevel="1" x14ac:dyDescent="0.35">
      <c r="C157" s="1024"/>
      <c r="D157" s="1025" t="s">
        <v>2</v>
      </c>
      <c r="E157" s="1026">
        <f t="shared" si="70"/>
        <v>9667204.1194276717</v>
      </c>
      <c r="F157" s="1033">
        <f>IF(F37&gt;'Premissas Gerais'!$E$7,0,'Premissas Economias e Água'!F63*'Premissas Gerais'!$G$83*12)</f>
        <v>330686.86341424548</v>
      </c>
      <c r="G157" s="1027">
        <f>IF(G37&gt;'Premissas Gerais'!$E$7,0,'Premissas Economias e Água'!G63*'Premissas Gerais'!$G$83*12)</f>
        <v>330872.9869964876</v>
      </c>
      <c r="H157" s="1027">
        <f>IF(H37&gt;'Premissas Gerais'!$E$7,0,'Premissas Economias e Água'!H63*'Premissas Gerais'!$G$83*12)</f>
        <v>331059.11057872977</v>
      </c>
      <c r="I157" s="1027">
        <f>IF(I37&gt;'Premissas Gerais'!$E$7,0,'Premissas Economias e Água'!I63*'Premissas Gerais'!$G$83*12)</f>
        <v>331245.23416097189</v>
      </c>
      <c r="J157" s="1027">
        <f>IF(J37&gt;'Premissas Gerais'!$E$7,0,'Premissas Economias e Água'!J63*'Premissas Gerais'!$G$83*12)</f>
        <v>331431.35774321412</v>
      </c>
      <c r="K157" s="1027">
        <f>IF(K37&gt;'Premissas Gerais'!$E$7,0,'Premissas Economias e Água'!K63*'Premissas Gerais'!$G$83*12)</f>
        <v>331639.37821748469</v>
      </c>
      <c r="L157" s="1027">
        <f>IF(L37&gt;'Premissas Gerais'!$E$7,0,'Premissas Economias e Água'!L63*'Premissas Gerais'!$G$83*12)</f>
        <v>331146.6981468437</v>
      </c>
      <c r="M157" s="1027">
        <f>IF(M37&gt;'Premissas Gerais'!$E$7,0,'Premissas Economias e Água'!M63*'Premissas Gerais'!$G$83*12)</f>
        <v>330654.01807620272</v>
      </c>
      <c r="N157" s="1027">
        <f>IF(N37&gt;'Premissas Gerais'!$E$7,0,'Premissas Economias e Água'!N63*'Premissas Gerais'!$G$83*12)</f>
        <v>330161.33800556167</v>
      </c>
      <c r="O157" s="1027">
        <f>IF(O37&gt;'Premissas Gerais'!$E$7,0,'Premissas Economias e Água'!O63*'Premissas Gerais'!$G$83*12)</f>
        <v>329668.65793492075</v>
      </c>
      <c r="P157" s="1027">
        <f>IF(P37&gt;'Premissas Gerais'!$E$7,0,'Premissas Economias e Água'!P63*'Premissas Gerais'!$G$83*12)</f>
        <v>329175.9778642797</v>
      </c>
      <c r="Q157" s="1027">
        <f>IF(Q37&gt;'Premissas Gerais'!$E$7,0,'Premissas Economias e Água'!Q63*'Premissas Gerais'!$G$83*12)</f>
        <v>328223.46306104038</v>
      </c>
      <c r="R157" s="1027">
        <f>IF(R37&gt;'Premissas Gerais'!$E$7,0,'Premissas Economias e Água'!R63*'Premissas Gerais'!$G$83*12)</f>
        <v>327270.94825780112</v>
      </c>
      <c r="S157" s="1027">
        <f>IF(S37&gt;'Premissas Gerais'!$E$7,0,'Premissas Economias e Água'!S63*'Premissas Gerais'!$G$83*12)</f>
        <v>326318.43345456186</v>
      </c>
      <c r="T157" s="1027">
        <f>IF(T37&gt;'Premissas Gerais'!$E$7,0,'Premissas Economias e Água'!T63*'Premissas Gerais'!$G$83*12)</f>
        <v>325365.91865132254</v>
      </c>
      <c r="U157" s="1027">
        <f>IF(U37&gt;'Premissas Gerais'!$E$7,0,'Premissas Economias e Água'!U63*'Premissas Gerais'!$G$83*12)</f>
        <v>324391.50695605477</v>
      </c>
      <c r="V157" s="1027">
        <f>IF(V37&gt;'Premissas Gerais'!$E$7,0,'Premissas Economias e Água'!V63*'Premissas Gerais'!$G$83*12)</f>
        <v>323022.9512042742</v>
      </c>
      <c r="W157" s="1027">
        <f>IF(W37&gt;'Premissas Gerais'!$E$7,0,'Premissas Economias e Água'!W63*'Premissas Gerais'!$G$83*12)</f>
        <v>321654.39545249357</v>
      </c>
      <c r="X157" s="1027">
        <f>IF(X37&gt;'Premissas Gerais'!$E$7,0,'Premissas Economias e Água'!X63*'Premissas Gerais'!$G$83*12)</f>
        <v>320285.83970071306</v>
      </c>
      <c r="Y157" s="1027">
        <f>IF(Y37&gt;'Premissas Gerais'!$E$7,0,'Premissas Economias e Água'!Y63*'Premissas Gerais'!$G$83*12)</f>
        <v>318917.28394893243</v>
      </c>
      <c r="Z157" s="1027">
        <f>IF(Z37&gt;'Premissas Gerais'!$E$7,0,'Premissas Economias e Água'!Z63*'Premissas Gerais'!$G$83*12)</f>
        <v>317559.67664316611</v>
      </c>
      <c r="AA157" s="1027">
        <f>IF(AA37&gt;'Premissas Gerais'!$E$7,0,'Premissas Economias e Água'!AA63*'Premissas Gerais'!$G$83*12)</f>
        <v>316191.12089138554</v>
      </c>
      <c r="AB157" s="1027">
        <f>IF(AB37&gt;'Premissas Gerais'!$E$7,0,'Premissas Economias e Água'!AB63*'Premissas Gerais'!$G$83*12)</f>
        <v>314822.56513960497</v>
      </c>
      <c r="AC157" s="1027">
        <f>IF(AC37&gt;'Premissas Gerais'!$E$7,0,'Premissas Economias e Água'!AC63*'Premissas Gerais'!$G$83*12)</f>
        <v>313454.00938782439</v>
      </c>
      <c r="AD157" s="1027">
        <f>IF(AD37&gt;'Premissas Gerais'!$E$7,0,'Premissas Economias e Água'!AD63*'Premissas Gerais'!$G$83*12)</f>
        <v>312085.45363604376</v>
      </c>
      <c r="AE157" s="1027">
        <f>IF(AE37&gt;'Premissas Gerais'!$E$7,0,'Premissas Economias e Água'!AE63*'Premissas Gerais'!$G$83*12)</f>
        <v>310716.89788426319</v>
      </c>
      <c r="AF157" s="1027">
        <f>IF(AF37&gt;'Premissas Gerais'!$E$7,0,'Premissas Economias e Água'!AF63*'Premissas Gerais'!$G$83*12)</f>
        <v>309348.34213248262</v>
      </c>
      <c r="AG157" s="1027">
        <f>IF(AG37&gt;'Premissas Gerais'!$E$7,0,'Premissas Economias e Água'!AG63*'Premissas Gerais'!$G$83*12)</f>
        <v>307979.78638070205</v>
      </c>
      <c r="AH157" s="1027">
        <f>IF(AH37&gt;'Premissas Gerais'!$E$7,0,'Premissas Economias e Água'!AH63*'Premissas Gerais'!$G$83*12)</f>
        <v>306611.23062892142</v>
      </c>
      <c r="AI157" s="1027">
        <f>IF(AI37&gt;'Premissas Gerais'!$E$7,0,'Premissas Economias e Água'!AI63*'Premissas Gerais'!$G$83*12)</f>
        <v>305242.6748771409</v>
      </c>
    </row>
    <row r="158" spans="3:35" s="77" customFormat="1" hidden="1" outlineLevel="1" x14ac:dyDescent="0.35">
      <c r="C158" s="1024"/>
      <c r="D158" s="1025" t="s">
        <v>3</v>
      </c>
      <c r="E158" s="1026">
        <f t="shared" si="70"/>
        <v>1295069.9309914587</v>
      </c>
      <c r="F158" s="1033">
        <f>IF(F37&gt;'Premissas Gerais'!$E$7,0,'Premissas Economias e Água'!F64*'Premissas Gerais'!$G$83*12)</f>
        <v>43763.149065247315</v>
      </c>
      <c r="G158" s="1027">
        <f>IF(G37&gt;'Premissas Gerais'!$E$7,0,'Premissas Economias e Água'!G64*'Premissas Gerais'!$G$83*12)</f>
        <v>43811.161296805454</v>
      </c>
      <c r="H158" s="1027">
        <f>IF(H37&gt;'Premissas Gerais'!$E$7,0,'Premissas Economias e Água'!H64*'Premissas Gerais'!$G$83*12)</f>
        <v>43859.173528363601</v>
      </c>
      <c r="I158" s="1027">
        <f>IF(I37&gt;'Premissas Gerais'!$E$7,0,'Premissas Economias e Água'!I64*'Premissas Gerais'!$G$83*12)</f>
        <v>43907.185759921747</v>
      </c>
      <c r="J158" s="1027">
        <f>IF(J37&gt;'Premissas Gerais'!$E$7,0,'Premissas Economias e Água'!J64*'Premissas Gerais'!$G$83*12)</f>
        <v>43955.197991479887</v>
      </c>
      <c r="K158" s="1027">
        <f>IF(K37&gt;'Premissas Gerais'!$E$7,0,'Premissas Economias e Água'!K64*'Premissas Gerais'!$G$83*12)</f>
        <v>44027.216338817103</v>
      </c>
      <c r="L158" s="1027">
        <f>IF(L37&gt;'Premissas Gerais'!$E$7,0,'Premissas Economias e Água'!L64*'Premissas Gerais'!$G$83*12)</f>
        <v>44015.213280927564</v>
      </c>
      <c r="M158" s="1027">
        <f>IF(M37&gt;'Premissas Gerais'!$E$7,0,'Premissas Economias e Água'!M64*'Premissas Gerais'!$G$83*12)</f>
        <v>44003.210223038026</v>
      </c>
      <c r="N158" s="1027">
        <f>IF(N37&gt;'Premissas Gerais'!$E$7,0,'Premissas Economias e Água'!N64*'Premissas Gerais'!$G$83*12)</f>
        <v>43991.207165148495</v>
      </c>
      <c r="O158" s="1027">
        <f>IF(O37&gt;'Premissas Gerais'!$E$7,0,'Premissas Economias e Água'!O64*'Premissas Gerais'!$G$83*12)</f>
        <v>43979.204107258956</v>
      </c>
      <c r="P158" s="1027">
        <f>IF(P37&gt;'Premissas Gerais'!$E$7,0,'Premissas Economias e Água'!P64*'Premissas Gerais'!$G$83*12)</f>
        <v>43943.194933590348</v>
      </c>
      <c r="Q158" s="1027">
        <f>IF(Q37&gt;'Premissas Gerais'!$E$7,0,'Premissas Economias e Água'!Q64*'Premissas Gerais'!$G$83*12)</f>
        <v>43847.170470474062</v>
      </c>
      <c r="R158" s="1027">
        <f>IF(R37&gt;'Premissas Gerais'!$E$7,0,'Premissas Economias e Água'!R64*'Premissas Gerais'!$G$83*12)</f>
        <v>43751.146007357776</v>
      </c>
      <c r="S158" s="1027">
        <f>IF(S37&gt;'Premissas Gerais'!$E$7,0,'Premissas Economias e Água'!S64*'Premissas Gerais'!$G$83*12)</f>
        <v>43655.12154424149</v>
      </c>
      <c r="T158" s="1027">
        <f>IF(T37&gt;'Premissas Gerais'!$E$7,0,'Premissas Economias e Água'!T64*'Premissas Gerais'!$G$83*12)</f>
        <v>43559.097081125205</v>
      </c>
      <c r="U158" s="1027">
        <f>IF(U37&gt;'Premissas Gerais'!$E$7,0,'Premissas Economias e Água'!U64*'Premissas Gerais'!$G$83*12)</f>
        <v>43475.07567589845</v>
      </c>
      <c r="V158" s="1027">
        <f>IF(V37&gt;'Premissas Gerais'!$E$7,0,'Premissas Economias e Água'!V64*'Premissas Gerais'!$G$83*12)</f>
        <v>43331.038981224032</v>
      </c>
      <c r="W158" s="1027">
        <f>IF(W37&gt;'Premissas Gerais'!$E$7,0,'Premissas Economias e Água'!W64*'Premissas Gerais'!$G$83*12)</f>
        <v>43187.002286549599</v>
      </c>
      <c r="X158" s="1027">
        <f>IF(X37&gt;'Premissas Gerais'!$E$7,0,'Premissas Economias e Água'!X64*'Premissas Gerais'!$G$83*12)</f>
        <v>43042.965591875174</v>
      </c>
      <c r="Y158" s="1027">
        <f>IF(Y37&gt;'Premissas Gerais'!$E$7,0,'Premissas Economias e Água'!Y64*'Premissas Gerais'!$G$83*12)</f>
        <v>42898.928897200734</v>
      </c>
      <c r="Z158" s="1027">
        <f>IF(Z37&gt;'Premissas Gerais'!$E$7,0,'Premissas Economias e Água'!Z64*'Premissas Gerais'!$G$83*12)</f>
        <v>42754.892202526316</v>
      </c>
      <c r="AA158" s="1027">
        <f>IF(AA37&gt;'Premissas Gerais'!$E$7,0,'Premissas Economias e Água'!AA64*'Premissas Gerais'!$G$83*12)</f>
        <v>42610.855507851884</v>
      </c>
      <c r="AB158" s="1027">
        <f>IF(AB37&gt;'Premissas Gerais'!$E$7,0,'Premissas Economias e Água'!AB64*'Premissas Gerais'!$G$83*12)</f>
        <v>42466.818813177451</v>
      </c>
      <c r="AC158" s="1027">
        <f>IF(AC37&gt;'Premissas Gerais'!$E$7,0,'Premissas Economias e Água'!AC64*'Premissas Gerais'!$G$83*12)</f>
        <v>42322.782118503019</v>
      </c>
      <c r="AD158" s="1027">
        <f>IF(AD37&gt;'Premissas Gerais'!$E$7,0,'Premissas Economias e Água'!AD64*'Premissas Gerais'!$G$83*12)</f>
        <v>42178.745423828594</v>
      </c>
      <c r="AE158" s="1027">
        <f>IF(AE37&gt;'Premissas Gerais'!$E$7,0,'Premissas Economias e Água'!AE64*'Premissas Gerais'!$G$83*12)</f>
        <v>42034.708729154168</v>
      </c>
      <c r="AF158" s="1027">
        <f>IF(AF37&gt;'Premissas Gerais'!$E$7,0,'Premissas Economias e Água'!AF64*'Premissas Gerais'!$G$83*12)</f>
        <v>41890.672034479736</v>
      </c>
      <c r="AG158" s="1027">
        <f>IF(AG37&gt;'Premissas Gerais'!$E$7,0,'Premissas Economias e Água'!AG64*'Premissas Gerais'!$G$83*12)</f>
        <v>41746.635339805303</v>
      </c>
      <c r="AH158" s="1027">
        <f>IF(AH37&gt;'Premissas Gerais'!$E$7,0,'Premissas Economias e Água'!AH64*'Premissas Gerais'!$G$83*12)</f>
        <v>41602.598645130878</v>
      </c>
      <c r="AI158" s="1027">
        <f>IF(AI37&gt;'Premissas Gerais'!$E$7,0,'Premissas Economias e Água'!AI64*'Premissas Gerais'!$G$83*12)</f>
        <v>41458.561950456453</v>
      </c>
    </row>
    <row r="159" spans="3:35" s="77" customFormat="1" hidden="1" outlineLevel="1" x14ac:dyDescent="0.35">
      <c r="C159" s="1024"/>
      <c r="D159" s="1025" t="s">
        <v>4</v>
      </c>
      <c r="E159" s="1026">
        <f t="shared" si="70"/>
        <v>2918996.5890908786</v>
      </c>
      <c r="F159" s="1033">
        <f>IF(F37&gt;'Premissas Gerais'!$E$7,0,'Premissas Economias e Água'!F65*'Premissas Gerais'!$G$83*12)</f>
        <v>88024.527716106313</v>
      </c>
      <c r="G159" s="1027">
        <f>IF(G37&gt;'Premissas Gerais'!$E$7,0,'Premissas Economias e Água'!G65*'Premissas Gerais'!$G$83*12)</f>
        <v>88839.659490789694</v>
      </c>
      <c r="H159" s="1027">
        <f>IF(H37&gt;'Premissas Gerais'!$E$7,0,'Premissas Economias e Água'!H65*'Premissas Gerais'!$G$83*12)</f>
        <v>89654.791265473075</v>
      </c>
      <c r="I159" s="1027">
        <f>IF(I37&gt;'Premissas Gerais'!$E$7,0,'Premissas Economias e Água'!I65*'Premissas Gerais'!$G$83*12)</f>
        <v>90469.923040156456</v>
      </c>
      <c r="J159" s="1027">
        <f>IF(J37&gt;'Premissas Gerais'!$E$7,0,'Premissas Economias e Água'!J65*'Premissas Gerais'!$G$83*12)</f>
        <v>91285.054814839837</v>
      </c>
      <c r="K159" s="1027">
        <f>IF(K37&gt;'Premissas Gerais'!$E$7,0,'Premissas Economias e Água'!K65*'Premissas Gerais'!$G$83*12)</f>
        <v>92090.482639824608</v>
      </c>
      <c r="L159" s="1027">
        <f>IF(L37&gt;'Premissas Gerais'!$E$7,0,'Premissas Economias e Água'!L65*'Premissas Gerais'!$G$83*12)</f>
        <v>92798.870967823255</v>
      </c>
      <c r="M159" s="1027">
        <f>IF(M37&gt;'Premissas Gerais'!$E$7,0,'Premissas Economias e Água'!M65*'Premissas Gerais'!$G$83*12)</f>
        <v>93507.259295821888</v>
      </c>
      <c r="N159" s="1027">
        <f>IF(N37&gt;'Premissas Gerais'!$E$7,0,'Premissas Economias e Água'!N65*'Premissas Gerais'!$G$83*12)</f>
        <v>94215.647623820551</v>
      </c>
      <c r="O159" s="1027">
        <f>IF(O37&gt;'Premissas Gerais'!$E$7,0,'Premissas Economias e Água'!O65*'Premissas Gerais'!$G$83*12)</f>
        <v>94924.035951819213</v>
      </c>
      <c r="P159" s="1027">
        <f>IF(P37&gt;'Premissas Gerais'!$E$7,0,'Premissas Economias e Água'!P65*'Premissas Gerais'!$G$83*12)</f>
        <v>95622.720330119249</v>
      </c>
      <c r="Q159" s="1027">
        <f>IF(Q37&gt;'Premissas Gerais'!$E$7,0,'Premissas Economias e Água'!Q65*'Premissas Gerais'!$G$83*12)</f>
        <v>96185.54941263872</v>
      </c>
      <c r="R159" s="1027">
        <f>IF(R37&gt;'Premissas Gerais'!$E$7,0,'Premissas Economias e Água'!R65*'Premissas Gerais'!$G$83*12)</f>
        <v>96748.378495158191</v>
      </c>
      <c r="S159" s="1027">
        <f>IF(S37&gt;'Premissas Gerais'!$E$7,0,'Premissas Economias e Água'!S65*'Premissas Gerais'!$G$83*12)</f>
        <v>97311.207577677662</v>
      </c>
      <c r="T159" s="1027">
        <f>IF(T37&gt;'Premissas Gerais'!$E$7,0,'Premissas Economias e Água'!T65*'Premissas Gerais'!$G$83*12)</f>
        <v>97874.036660197147</v>
      </c>
      <c r="U159" s="1027">
        <f>IF(U37&gt;'Premissas Gerais'!$E$7,0,'Premissas Economias e Água'!U65*'Premissas Gerais'!$G$83*12)</f>
        <v>98456.27364211384</v>
      </c>
      <c r="V159" s="1027">
        <f>IF(V37&gt;'Premissas Gerais'!$E$7,0,'Premissas Economias e Água'!V65*'Premissas Gerais'!$G$83*12)</f>
        <v>98863.839529455523</v>
      </c>
      <c r="W159" s="1027">
        <f>IF(W37&gt;'Premissas Gerais'!$E$7,0,'Premissas Economias e Água'!W65*'Premissas Gerais'!$G$83*12)</f>
        <v>99271.405416797221</v>
      </c>
      <c r="X159" s="1027">
        <f>IF(X37&gt;'Premissas Gerais'!$E$7,0,'Premissas Economias e Água'!X65*'Premissas Gerais'!$G$83*12)</f>
        <v>99678.971304138919</v>
      </c>
      <c r="Y159" s="1027">
        <f>IF(Y37&gt;'Premissas Gerais'!$E$7,0,'Premissas Economias e Água'!Y65*'Premissas Gerais'!$G$83*12)</f>
        <v>100086.5371914806</v>
      </c>
      <c r="Z159" s="1027">
        <f>IF(Z37&gt;'Premissas Gerais'!$E$7,0,'Premissas Economias e Água'!Z65*'Premissas Gerais'!$G$83*12)</f>
        <v>100474.69517942506</v>
      </c>
      <c r="AA159" s="1027">
        <f>IF(AA37&gt;'Premissas Gerais'!$E$7,0,'Premissas Economias e Água'!AA65*'Premissas Gerais'!$G$83*12)</f>
        <v>100882.26106676675</v>
      </c>
      <c r="AB159" s="1027">
        <f>IF(AB37&gt;'Premissas Gerais'!$E$7,0,'Premissas Economias e Água'!AB65*'Premissas Gerais'!$G$83*12)</f>
        <v>101289.82695410846</v>
      </c>
      <c r="AC159" s="1027">
        <f>IF(AC37&gt;'Premissas Gerais'!$E$7,0,'Premissas Economias e Água'!AC65*'Premissas Gerais'!$G$83*12)</f>
        <v>101697.39284145013</v>
      </c>
      <c r="AD159" s="1027">
        <f>IF(AD37&gt;'Premissas Gerais'!$E$7,0,'Premissas Economias e Água'!AD65*'Premissas Gerais'!$G$83*12)</f>
        <v>102104.95872879183</v>
      </c>
      <c r="AE159" s="1027">
        <f>IF(AE37&gt;'Premissas Gerais'!$E$7,0,'Premissas Economias e Água'!AE65*'Premissas Gerais'!$G$83*12)</f>
        <v>102512.52461613351</v>
      </c>
      <c r="AF159" s="1027">
        <f>IF(AF37&gt;'Premissas Gerais'!$E$7,0,'Premissas Economias e Água'!AF65*'Premissas Gerais'!$G$83*12)</f>
        <v>102920.09050347519</v>
      </c>
      <c r="AG159" s="1027">
        <f>IF(AG37&gt;'Premissas Gerais'!$E$7,0,'Premissas Economias e Água'!AG65*'Premissas Gerais'!$G$83*12)</f>
        <v>103327.6563908169</v>
      </c>
      <c r="AH159" s="1027">
        <f>IF(AH37&gt;'Premissas Gerais'!$E$7,0,'Premissas Economias e Água'!AH65*'Premissas Gerais'!$G$83*12)</f>
        <v>103735.22227815859</v>
      </c>
      <c r="AI159" s="1027">
        <f>IF(AI37&gt;'Premissas Gerais'!$E$7,0,'Premissas Economias e Água'!AI65*'Premissas Gerais'!$G$83*12)</f>
        <v>104142.78816550027</v>
      </c>
    </row>
    <row r="160" spans="3:35" s="77" customFormat="1" hidden="1" outlineLevel="1" x14ac:dyDescent="0.35">
      <c r="C160" s="1024"/>
      <c r="D160" s="1025" t="s">
        <v>5</v>
      </c>
      <c r="E160" s="1026">
        <f t="shared" si="70"/>
        <v>6007354.6200972665</v>
      </c>
      <c r="F160" s="1033">
        <f>IF(F37&gt;'Premissas Gerais'!$E$7,0,'Premissas Economias e Água'!F66*'Premissas Gerais'!$G$83*12)</f>
        <v>194593.1720454274</v>
      </c>
      <c r="G160" s="1027">
        <f>IF(G37&gt;'Premissas Gerais'!$E$7,0,'Premissas Economias e Água'!G66*'Premissas Gerais'!$G$83*12)</f>
        <v>195427.95652225497</v>
      </c>
      <c r="H160" s="1027">
        <f>IF(H37&gt;'Premissas Gerais'!$E$7,0,'Premissas Economias e Água'!H66*'Premissas Gerais'!$G$83*12)</f>
        <v>196262.74099908254</v>
      </c>
      <c r="I160" s="1027">
        <f>IF(I37&gt;'Premissas Gerais'!$E$7,0,'Premissas Economias e Água'!I66*'Premissas Gerais'!$G$83*12)</f>
        <v>197097.52547591011</v>
      </c>
      <c r="J160" s="1027">
        <f>IF(J37&gt;'Premissas Gerais'!$E$7,0,'Premissas Economias e Água'!J66*'Premissas Gerais'!$G$83*12)</f>
        <v>197932.30995273765</v>
      </c>
      <c r="K160" s="1027">
        <f>IF(K37&gt;'Premissas Gerais'!$E$7,0,'Premissas Economias e Água'!K66*'Premissas Gerais'!$G$83*12)</f>
        <v>198757.27343572021</v>
      </c>
      <c r="L160" s="1027">
        <f>IF(L37&gt;'Premissas Gerais'!$E$7,0,'Premissas Economias e Água'!L66*'Premissas Gerais'!$G$83*12)</f>
        <v>199238.50213412667</v>
      </c>
      <c r="M160" s="1027">
        <f>IF(M37&gt;'Premissas Gerais'!$E$7,0,'Premissas Economias e Água'!M66*'Premissas Gerais'!$G$83*12)</f>
        <v>199719.73083253315</v>
      </c>
      <c r="N160" s="1027">
        <f>IF(N37&gt;'Premissas Gerais'!$E$7,0,'Premissas Economias e Água'!N66*'Premissas Gerais'!$G$83*12)</f>
        <v>200200.95953093964</v>
      </c>
      <c r="O160" s="1027">
        <f>IF(O37&gt;'Premissas Gerais'!$E$7,0,'Premissas Economias e Água'!O66*'Premissas Gerais'!$G$83*12)</f>
        <v>200682.18822934612</v>
      </c>
      <c r="P160" s="1027">
        <f>IF(P37&gt;'Premissas Gerais'!$E$7,0,'Premissas Economias e Água'!P66*'Premissas Gerais'!$G$83*12)</f>
        <v>201183.05891544264</v>
      </c>
      <c r="Q160" s="1027">
        <f>IF(Q37&gt;'Premissas Gerais'!$E$7,0,'Premissas Economias e Água'!Q66*'Premissas Gerais'!$G$83*12)</f>
        <v>201369.6577984982</v>
      </c>
      <c r="R160" s="1027">
        <f>IF(R37&gt;'Premissas Gerais'!$E$7,0,'Premissas Economias e Água'!R66*'Premissas Gerais'!$G$83*12)</f>
        <v>201556.25668155379</v>
      </c>
      <c r="S160" s="1027">
        <f>IF(S37&gt;'Premissas Gerais'!$E$7,0,'Premissas Economias e Água'!S66*'Premissas Gerais'!$G$83*12)</f>
        <v>201742.85556460934</v>
      </c>
      <c r="T160" s="1027">
        <f>IF(T37&gt;'Premissas Gerais'!$E$7,0,'Premissas Economias e Água'!T66*'Premissas Gerais'!$G$83*12)</f>
        <v>201929.45444766496</v>
      </c>
      <c r="U160" s="1027">
        <f>IF(U37&gt;'Premissas Gerais'!$E$7,0,'Premissas Economias e Água'!U66*'Premissas Gerais'!$G$83*12)</f>
        <v>202135.69531841058</v>
      </c>
      <c r="V160" s="1027">
        <f>IF(V37&gt;'Premissas Gerais'!$E$7,0,'Premissas Economias e Água'!V66*'Premissas Gerais'!$G$83*12)</f>
        <v>202017.84339227021</v>
      </c>
      <c r="W160" s="1027">
        <f>IF(W37&gt;'Premissas Gerais'!$E$7,0,'Premissas Economias e Água'!W66*'Premissas Gerais'!$G$83*12)</f>
        <v>201899.99146612984</v>
      </c>
      <c r="X160" s="1027">
        <f>IF(X37&gt;'Premissas Gerais'!$E$7,0,'Premissas Economias e Água'!X66*'Premissas Gerais'!$G$83*12)</f>
        <v>201782.13953998947</v>
      </c>
      <c r="Y160" s="1027">
        <f>IF(Y37&gt;'Premissas Gerais'!$E$7,0,'Premissas Economias e Água'!Y66*'Premissas Gerais'!$G$83*12)</f>
        <v>201664.28761384913</v>
      </c>
      <c r="Z160" s="1027">
        <f>IF(Z37&gt;'Premissas Gerais'!$E$7,0,'Premissas Economias e Água'!Z66*'Premissas Gerais'!$G$83*12)</f>
        <v>201546.43568770876</v>
      </c>
      <c r="AA160" s="1027">
        <f>IF(AA37&gt;'Premissas Gerais'!$E$7,0,'Premissas Economias e Água'!AA66*'Premissas Gerais'!$G$83*12)</f>
        <v>201428.58376156838</v>
      </c>
      <c r="AB160" s="1027">
        <f>IF(AB37&gt;'Premissas Gerais'!$E$7,0,'Premissas Economias e Água'!AB66*'Premissas Gerais'!$G$83*12)</f>
        <v>201310.73183542804</v>
      </c>
      <c r="AC160" s="1027">
        <f>IF(AC37&gt;'Premissas Gerais'!$E$7,0,'Premissas Economias e Água'!AC66*'Premissas Gerais'!$G$83*12)</f>
        <v>201192.87990928767</v>
      </c>
      <c r="AD160" s="1027">
        <f>IF(AD37&gt;'Premissas Gerais'!$E$7,0,'Premissas Economias e Água'!AD66*'Premissas Gerais'!$G$83*12)</f>
        <v>201075.0279831473</v>
      </c>
      <c r="AE160" s="1027">
        <f>IF(AE37&gt;'Premissas Gerais'!$E$7,0,'Premissas Economias e Água'!AE66*'Premissas Gerais'!$G$83*12)</f>
        <v>200957.17605700693</v>
      </c>
      <c r="AF160" s="1027">
        <f>IF(AF37&gt;'Premissas Gerais'!$E$7,0,'Premissas Economias e Água'!AF66*'Premissas Gerais'!$G$83*12)</f>
        <v>200839.32413086656</v>
      </c>
      <c r="AG160" s="1027">
        <f>IF(AG37&gt;'Premissas Gerais'!$E$7,0,'Premissas Economias e Água'!AG66*'Premissas Gerais'!$G$83*12)</f>
        <v>200721.47220472619</v>
      </c>
      <c r="AH160" s="1027">
        <f>IF(AH37&gt;'Premissas Gerais'!$E$7,0,'Premissas Economias e Água'!AH66*'Premissas Gerais'!$G$83*12)</f>
        <v>200603.62027858588</v>
      </c>
      <c r="AI160" s="1027">
        <f>IF(AI37&gt;'Premissas Gerais'!$E$7,0,'Premissas Economias e Água'!AI66*'Premissas Gerais'!$G$83*12)</f>
        <v>200485.76835244551</v>
      </c>
    </row>
    <row r="161" spans="3:35" s="77" customFormat="1" hidden="1" outlineLevel="1" x14ac:dyDescent="0.35">
      <c r="C161" s="1024"/>
      <c r="D161" s="1025" t="s">
        <v>6</v>
      </c>
      <c r="E161" s="1026">
        <f t="shared" si="70"/>
        <v>68341833.38780278</v>
      </c>
      <c r="F161" s="1033">
        <f>IF(F37&gt;'Premissas Gerais'!$E$7,0,'Premissas Economias e Água'!F67*'Premissas Gerais'!$G$83*12)</f>
        <v>2145387.3691237536</v>
      </c>
      <c r="G161" s="1027">
        <f>IF(G37&gt;'Premissas Gerais'!$E$7,0,'Premissas Economias e Água'!G67*'Premissas Gerais'!$G$83*12)</f>
        <v>2156919.1683303965</v>
      </c>
      <c r="H161" s="1027">
        <f>IF(H37&gt;'Premissas Gerais'!$E$7,0,'Premissas Economias e Água'!H67*'Premissas Gerais'!$G$83*12)</f>
        <v>2168450.9675370399</v>
      </c>
      <c r="I161" s="1027">
        <f>IF(I37&gt;'Premissas Gerais'!$E$7,0,'Premissas Economias e Água'!I67*'Premissas Gerais'!$G$83*12)</f>
        <v>2179982.7667436833</v>
      </c>
      <c r="J161" s="1027">
        <f>IF(J37&gt;'Premissas Gerais'!$E$7,0,'Premissas Economias e Água'!J67*'Premissas Gerais'!$G$83*12)</f>
        <v>2191514.5659503266</v>
      </c>
      <c r="K161" s="1027">
        <f>IF(K37&gt;'Premissas Gerais'!$E$7,0,'Premissas Economias e Água'!K67*'Premissas Gerais'!$G$83*12)</f>
        <v>2203033.9252441265</v>
      </c>
      <c r="L161" s="1027">
        <f>IF(L37&gt;'Premissas Gerais'!$E$7,0,'Premissas Economias e Água'!L67*'Premissas Gerais'!$G$83*12)</f>
        <v>2214590.6042764583</v>
      </c>
      <c r="M161" s="1027">
        <f>IF(M37&gt;'Premissas Gerais'!$E$7,0,'Premissas Economias e Água'!M67*'Premissas Gerais'!$G$83*12)</f>
        <v>2226147.2833087901</v>
      </c>
      <c r="N161" s="1027">
        <f>IF(N37&gt;'Premissas Gerais'!$E$7,0,'Premissas Economias e Água'!N67*'Premissas Gerais'!$G$83*12)</f>
        <v>2237703.9623411219</v>
      </c>
      <c r="O161" s="1027">
        <f>IF(O37&gt;'Premissas Gerais'!$E$7,0,'Premissas Economias e Água'!O67*'Premissas Gerais'!$G$83*12)</f>
        <v>2249260.6413734537</v>
      </c>
      <c r="P161" s="1027">
        <f>IF(P37&gt;'Premissas Gerais'!$E$7,0,'Premissas Economias e Água'!P67*'Premissas Gerais'!$G$83*12)</f>
        <v>2260792.440580097</v>
      </c>
      <c r="Q161" s="1027">
        <f>IF(Q37&gt;'Premissas Gerais'!$E$7,0,'Premissas Economias e Água'!Q67*'Premissas Gerais'!$G$83*12)</f>
        <v>2268567.3861077698</v>
      </c>
      <c r="R161" s="1027">
        <f>IF(R37&gt;'Premissas Gerais'!$E$7,0,'Premissas Economias e Água'!R67*'Premissas Gerais'!$G$83*12)</f>
        <v>2276342.3316354416</v>
      </c>
      <c r="S161" s="1027">
        <f>IF(S37&gt;'Premissas Gerais'!$E$7,0,'Premissas Economias e Água'!S67*'Premissas Gerais'!$G$83*12)</f>
        <v>2284117.2771631139</v>
      </c>
      <c r="T161" s="1027">
        <f>IF(T37&gt;'Premissas Gerais'!$E$7,0,'Premissas Economias e Água'!T67*'Premissas Gerais'!$G$83*12)</f>
        <v>2291892.2226907858</v>
      </c>
      <c r="U161" s="1027">
        <f>IF(U37&gt;'Premissas Gerais'!$E$7,0,'Premissas Economias e Água'!U67*'Premissas Gerais'!$G$83*12)</f>
        <v>2299654.7283056141</v>
      </c>
      <c r="V161" s="1027">
        <f>IF(V37&gt;'Premissas Gerais'!$E$7,0,'Premissas Economias e Água'!V67*'Premissas Gerais'!$G$83*12)</f>
        <v>2304344.5754479058</v>
      </c>
      <c r="W161" s="1027">
        <f>IF(W37&gt;'Premissas Gerais'!$E$7,0,'Premissas Economias e Água'!W67*'Premissas Gerais'!$G$83*12)</f>
        <v>2309034.422590198</v>
      </c>
      <c r="X161" s="1027">
        <f>IF(X37&gt;'Premissas Gerais'!$E$7,0,'Premissas Economias e Água'!X67*'Premissas Gerais'!$G$83*12)</f>
        <v>2313724.2697324893</v>
      </c>
      <c r="Y161" s="1027">
        <f>IF(Y37&gt;'Premissas Gerais'!$E$7,0,'Premissas Economias e Água'!Y67*'Premissas Gerais'!$G$83*12)</f>
        <v>2318414.1168747814</v>
      </c>
      <c r="Z161" s="1027">
        <f>IF(Z37&gt;'Premissas Gerais'!$E$7,0,'Premissas Economias e Água'!Z67*'Premissas Gerais'!$G$83*12)</f>
        <v>2323091.5241042292</v>
      </c>
      <c r="AA161" s="1027">
        <f>IF(AA37&gt;'Premissas Gerais'!$E$7,0,'Premissas Economias e Água'!AA67*'Premissas Gerais'!$G$83*12)</f>
        <v>2327781.3712465209</v>
      </c>
      <c r="AB161" s="1027">
        <f>IF(AB37&gt;'Premissas Gerais'!$E$7,0,'Premissas Economias e Água'!AB67*'Premissas Gerais'!$G$83*12)</f>
        <v>2332471.2183888131</v>
      </c>
      <c r="AC161" s="1027">
        <f>IF(AC37&gt;'Premissas Gerais'!$E$7,0,'Premissas Economias e Água'!AC67*'Premissas Gerais'!$G$83*12)</f>
        <v>2337161.0655311048</v>
      </c>
      <c r="AD161" s="1027">
        <f>IF(AD37&gt;'Premissas Gerais'!$E$7,0,'Premissas Economias e Água'!AD67*'Premissas Gerais'!$G$83*12)</f>
        <v>2341850.9126733965</v>
      </c>
      <c r="AE161" s="1027">
        <f>IF(AE37&gt;'Premissas Gerais'!$E$7,0,'Premissas Economias e Água'!AE67*'Premissas Gerais'!$G$83*12)</f>
        <v>2346540.7598156882</v>
      </c>
      <c r="AF161" s="1027">
        <f>IF(AF37&gt;'Premissas Gerais'!$E$7,0,'Premissas Economias e Água'!AF67*'Premissas Gerais'!$G$83*12)</f>
        <v>2351230.6069579804</v>
      </c>
      <c r="AG161" s="1027">
        <f>IF(AG37&gt;'Premissas Gerais'!$E$7,0,'Premissas Economias e Água'!AG67*'Premissas Gerais'!$G$83*12)</f>
        <v>2355920.4541002717</v>
      </c>
      <c r="AH161" s="1027">
        <f>IF(AH37&gt;'Premissas Gerais'!$E$7,0,'Premissas Economias e Água'!AH67*'Premissas Gerais'!$G$83*12)</f>
        <v>2360610.3012425639</v>
      </c>
      <c r="AI161" s="1027">
        <f>IF(AI37&gt;'Premissas Gerais'!$E$7,0,'Premissas Economias e Água'!AI67*'Premissas Gerais'!$G$83*12)</f>
        <v>2365300.1483848556</v>
      </c>
    </row>
    <row r="162" spans="3:35" s="77" customFormat="1" hidden="1" outlineLevel="1" x14ac:dyDescent="0.35">
      <c r="C162" s="1024"/>
      <c r="D162" s="1025" t="s">
        <v>7</v>
      </c>
      <c r="E162" s="1026">
        <f t="shared" si="70"/>
        <v>4912404.490206603</v>
      </c>
      <c r="F162" s="1033">
        <f>IF(F37&gt;'Premissas Gerais'!$E$7,0,'Premissas Economias e Água'!F68*'Premissas Gerais'!$G$83*12)</f>
        <v>176352.89902198379</v>
      </c>
      <c r="G162" s="1027">
        <f>IF(G37&gt;'Premissas Gerais'!$E$7,0,'Premissas Economias e Água'!G68*'Premissas Gerais'!$G$83*12)</f>
        <v>175882.30474351367</v>
      </c>
      <c r="H162" s="1027">
        <f>IF(H37&gt;'Premissas Gerais'!$E$7,0,'Premissas Economias e Água'!H68*'Premissas Gerais'!$G$83*12)</f>
        <v>175411.71046504349</v>
      </c>
      <c r="I162" s="1027">
        <f>IF(I37&gt;'Premissas Gerais'!$E$7,0,'Premissas Economias e Água'!I68*'Premissas Gerais'!$G$83*12)</f>
        <v>174941.1161865734</v>
      </c>
      <c r="J162" s="1027">
        <f>IF(J37&gt;'Premissas Gerais'!$E$7,0,'Premissas Economias e Água'!J68*'Premissas Gerais'!$G$83*12)</f>
        <v>174470.52190810326</v>
      </c>
      <c r="K162" s="1027">
        <f>IF(K37&gt;'Premissas Gerais'!$E$7,0,'Premissas Economias e Água'!K68*'Premissas Gerais'!$G$83*12)</f>
        <v>173981.47295204605</v>
      </c>
      <c r="L162" s="1027">
        <f>IF(L37&gt;'Premissas Gerais'!$E$7,0,'Premissas Economias e Água'!L68*'Premissas Gerais'!$G$83*12)</f>
        <v>173160.23979942172</v>
      </c>
      <c r="M162" s="1027">
        <f>IF(M37&gt;'Premissas Gerais'!$E$7,0,'Premissas Economias e Água'!M68*'Premissas Gerais'!$G$83*12)</f>
        <v>172339.00664679738</v>
      </c>
      <c r="N162" s="1027">
        <f>IF(N37&gt;'Premissas Gerais'!$E$7,0,'Premissas Economias e Água'!N68*'Premissas Gerais'!$G$83*12)</f>
        <v>171517.77349417302</v>
      </c>
      <c r="O162" s="1027">
        <f>IF(O37&gt;'Premissas Gerais'!$E$7,0,'Premissas Economias e Água'!O68*'Premissas Gerais'!$G$83*12)</f>
        <v>170696.54034154868</v>
      </c>
      <c r="P162" s="1027">
        <f>IF(P37&gt;'Premissas Gerais'!$E$7,0,'Premissas Economias e Água'!P68*'Premissas Gerais'!$G$83*12)</f>
        <v>169866.07985013077</v>
      </c>
      <c r="Q162" s="1027">
        <f>IF(Q37&gt;'Premissas Gerais'!$E$7,0,'Premissas Economias e Água'!Q68*'Premissas Gerais'!$G$83*12)</f>
        <v>168740.34451731987</v>
      </c>
      <c r="R162" s="1027">
        <f>IF(R37&gt;'Premissas Gerais'!$E$7,0,'Premissas Economias e Água'!R68*'Premissas Gerais'!$G$83*12)</f>
        <v>167614.60918450897</v>
      </c>
      <c r="S162" s="1027">
        <f>IF(S37&gt;'Premissas Gerais'!$E$7,0,'Premissas Economias e Água'!S68*'Premissas Gerais'!$G$83*12)</f>
        <v>166488.87385169807</v>
      </c>
      <c r="T162" s="1027">
        <f>IF(T37&gt;'Premissas Gerais'!$E$7,0,'Premissas Economias e Água'!T68*'Premissas Gerais'!$G$83*12)</f>
        <v>165363.13851888716</v>
      </c>
      <c r="U162" s="1027">
        <f>IF(U37&gt;'Premissas Gerais'!$E$7,0,'Premissas Economias e Água'!U68*'Premissas Gerais'!$G$83*12)</f>
        <v>164218.94850848921</v>
      </c>
      <c r="V162" s="1027">
        <f>IF(V37&gt;'Premissas Gerais'!$E$7,0,'Premissas Economias e Água'!V68*'Premissas Gerais'!$G$83*12)</f>
        <v>163000.93978774297</v>
      </c>
      <c r="W162" s="1027">
        <f>IF(W37&gt;'Premissas Gerais'!$E$7,0,'Premissas Economias e Água'!W68*'Premissas Gerais'!$G$83*12)</f>
        <v>161782.93106699677</v>
      </c>
      <c r="X162" s="1027">
        <f>IF(X37&gt;'Premissas Gerais'!$E$7,0,'Premissas Economias e Água'!X68*'Premissas Gerais'!$G$83*12)</f>
        <v>160564.9223462505</v>
      </c>
      <c r="Y162" s="1027">
        <f>IF(Y37&gt;'Premissas Gerais'!$E$7,0,'Premissas Economias e Água'!Y68*'Premissas Gerais'!$G$83*12)</f>
        <v>159346.9136255043</v>
      </c>
      <c r="Z162" s="1027">
        <f>IF(Z37&gt;'Premissas Gerais'!$E$7,0,'Premissas Economias e Água'!Z68*'Premissas Gerais'!$G$83*12)</f>
        <v>158147.35958234512</v>
      </c>
      <c r="AA162" s="1027">
        <f>IF(AA37&gt;'Premissas Gerais'!$E$7,0,'Premissas Economias e Água'!AA68*'Premissas Gerais'!$G$83*12)</f>
        <v>156929.35086159891</v>
      </c>
      <c r="AB162" s="1027">
        <f>IF(AB37&gt;'Premissas Gerais'!$E$7,0,'Premissas Economias e Água'!AB68*'Premissas Gerais'!$G$83*12)</f>
        <v>155711.34214085268</v>
      </c>
      <c r="AC162" s="1027">
        <f>IF(AC37&gt;'Premissas Gerais'!$E$7,0,'Premissas Economias e Água'!AC68*'Premissas Gerais'!$G$83*12)</f>
        <v>154493.33342010644</v>
      </c>
      <c r="AD162" s="1027">
        <f>IF(AD37&gt;'Premissas Gerais'!$E$7,0,'Premissas Economias e Água'!AD68*'Premissas Gerais'!$G$83*12)</f>
        <v>153275.32469936024</v>
      </c>
      <c r="AE162" s="1027">
        <f>IF(AE37&gt;'Premissas Gerais'!$E$7,0,'Premissas Economias e Água'!AE68*'Premissas Gerais'!$G$83*12)</f>
        <v>152057.315978614</v>
      </c>
      <c r="AF162" s="1027">
        <f>IF(AF37&gt;'Premissas Gerais'!$E$7,0,'Premissas Economias e Água'!AF68*'Premissas Gerais'!$G$83*12)</f>
        <v>150839.30725786777</v>
      </c>
      <c r="AG162" s="1027">
        <f>IF(AG37&gt;'Premissas Gerais'!$E$7,0,'Premissas Economias e Água'!AG68*'Premissas Gerais'!$G$83*12)</f>
        <v>149621.29853712156</v>
      </c>
      <c r="AH162" s="1027">
        <f>IF(AH37&gt;'Premissas Gerais'!$E$7,0,'Premissas Economias e Água'!AH68*'Premissas Gerais'!$G$83*12)</f>
        <v>148403.28981637533</v>
      </c>
      <c r="AI162" s="1027">
        <f>IF(AI37&gt;'Premissas Gerais'!$E$7,0,'Premissas Economias e Água'!AI68*'Premissas Gerais'!$G$83*12)</f>
        <v>147185.28109562909</v>
      </c>
    </row>
    <row r="163" spans="3:35" s="77" customFormat="1" hidden="1" outlineLevel="1" x14ac:dyDescent="0.35">
      <c r="C163" s="1024"/>
      <c r="D163" s="1025" t="s">
        <v>8</v>
      </c>
      <c r="E163" s="1026">
        <f t="shared" si="70"/>
        <v>4533582.534919221</v>
      </c>
      <c r="F163" s="1033">
        <f>IF(F37&gt;'Premissas Gerais'!$E$7,0,'Premissas Economias e Água'!F69*'Premissas Gerais'!$G$83*12)</f>
        <v>138361.8570948221</v>
      </c>
      <c r="G163" s="1027">
        <f>IF(G37&gt;'Premissas Gerais'!$E$7,0,'Premissas Economias e Água'!G69*'Premissas Gerais'!$G$83*12)</f>
        <v>139561.6557650289</v>
      </c>
      <c r="H163" s="1027">
        <f>IF(H37&gt;'Premissas Gerais'!$E$7,0,'Premissas Economias e Água'!H69*'Premissas Gerais'!$G$83*12)</f>
        <v>140761.45443523576</v>
      </c>
      <c r="I163" s="1027">
        <f>IF(I37&gt;'Premissas Gerais'!$E$7,0,'Premissas Economias e Água'!I69*'Premissas Gerais'!$G$83*12)</f>
        <v>141961.25310544256</v>
      </c>
      <c r="J163" s="1027">
        <f>IF(J37&gt;'Premissas Gerais'!$E$7,0,'Premissas Economias e Água'!J69*'Premissas Gerais'!$G$83*12)</f>
        <v>143161.05177564942</v>
      </c>
      <c r="K163" s="1027">
        <f>IF(K37&gt;'Premissas Gerais'!$E$7,0,'Premissas Economias e Água'!K69*'Premissas Gerais'!$G$83*12)</f>
        <v>144342.94300301731</v>
      </c>
      <c r="L163" s="1027">
        <f>IF(L37&gt;'Premissas Gerais'!$E$7,0,'Premissas Economias e Água'!L69*'Premissas Gerais'!$G$83*12)</f>
        <v>145292.03747347946</v>
      </c>
      <c r="M163" s="1027">
        <f>IF(M37&gt;'Premissas Gerais'!$E$7,0,'Premissas Economias e Água'!M69*'Premissas Gerais'!$G$83*12)</f>
        <v>146241.13194394158</v>
      </c>
      <c r="N163" s="1027">
        <f>IF(N37&gt;'Premissas Gerais'!$E$7,0,'Premissas Economias e Água'!N69*'Premissas Gerais'!$G$83*12)</f>
        <v>147190.22641440367</v>
      </c>
      <c r="O163" s="1027">
        <f>IF(O37&gt;'Premissas Gerais'!$E$7,0,'Premissas Economias e Água'!O69*'Premissas Gerais'!$G$83*12)</f>
        <v>148139.3208848658</v>
      </c>
      <c r="P163" s="1027">
        <f>IF(P37&gt;'Premissas Gerais'!$E$7,0,'Premissas Economias e Água'!P69*'Premissas Gerais'!$G$83*12)</f>
        <v>149097.36907674739</v>
      </c>
      <c r="Q163" s="1027">
        <f>IF(Q37&gt;'Premissas Gerais'!$E$7,0,'Premissas Economias e Água'!Q69*'Premissas Gerais'!$G$83*12)</f>
        <v>149858.43539740099</v>
      </c>
      <c r="R163" s="1027">
        <f>IF(R37&gt;'Premissas Gerais'!$E$7,0,'Premissas Economias e Água'!R69*'Premissas Gerais'!$G$83*12)</f>
        <v>150619.50171805455</v>
      </c>
      <c r="S163" s="1027">
        <f>IF(S37&gt;'Premissas Gerais'!$E$7,0,'Premissas Economias e Água'!S69*'Premissas Gerais'!$G$83*12)</f>
        <v>151380.56803870812</v>
      </c>
      <c r="T163" s="1027">
        <f>IF(T37&gt;'Premissas Gerais'!$E$7,0,'Premissas Economias e Água'!T69*'Premissas Gerais'!$G$83*12)</f>
        <v>152141.63435936172</v>
      </c>
      <c r="U163" s="1027">
        <f>IF(U37&gt;'Premissas Gerais'!$E$7,0,'Premissas Economias e Água'!U69*'Premissas Gerais'!$G$83*12)</f>
        <v>152911.65440143476</v>
      </c>
      <c r="V163" s="1027">
        <f>IF(V37&gt;'Premissas Gerais'!$E$7,0,'Premissas Economias e Água'!V69*'Premissas Gerais'!$G$83*12)</f>
        <v>153404.10907950473</v>
      </c>
      <c r="W163" s="1027">
        <f>IF(W37&gt;'Premissas Gerais'!$E$7,0,'Premissas Economias e Água'!W69*'Premissas Gerais'!$G$83*12)</f>
        <v>153896.56375757471</v>
      </c>
      <c r="X163" s="1027">
        <f>IF(X37&gt;'Premissas Gerais'!$E$7,0,'Premissas Economias e Água'!X69*'Premissas Gerais'!$G$83*12)</f>
        <v>154389.01843564466</v>
      </c>
      <c r="Y163" s="1027">
        <f>IF(Y37&gt;'Premissas Gerais'!$E$7,0,'Premissas Economias e Água'!Y69*'Premissas Gerais'!$G$83*12)</f>
        <v>154881.47311371463</v>
      </c>
      <c r="Z163" s="1027">
        <f>IF(Z37&gt;'Premissas Gerais'!$E$7,0,'Premissas Economias e Água'!Z69*'Premissas Gerais'!$G$83*12)</f>
        <v>155382.88151320408</v>
      </c>
      <c r="AA163" s="1027">
        <f>IF(AA37&gt;'Premissas Gerais'!$E$7,0,'Premissas Economias e Água'!AA69*'Premissas Gerais'!$G$83*12)</f>
        <v>155875.33619127402</v>
      </c>
      <c r="AB163" s="1027">
        <f>IF(AB37&gt;'Premissas Gerais'!$E$7,0,'Premissas Economias e Água'!AB69*'Premissas Gerais'!$G$83*12)</f>
        <v>156367.79086934403</v>
      </c>
      <c r="AC163" s="1027">
        <f>IF(AC37&gt;'Premissas Gerais'!$E$7,0,'Premissas Economias e Água'!AC69*'Premissas Gerais'!$G$83*12)</f>
        <v>156860.24554741397</v>
      </c>
      <c r="AD163" s="1027">
        <f>IF(AD37&gt;'Premissas Gerais'!$E$7,0,'Premissas Economias e Água'!AD69*'Premissas Gerais'!$G$83*12)</f>
        <v>157352.70022548392</v>
      </c>
      <c r="AE163" s="1027">
        <f>IF(AE37&gt;'Premissas Gerais'!$E$7,0,'Premissas Economias e Água'!AE69*'Premissas Gerais'!$G$83*12)</f>
        <v>157845.15490355392</v>
      </c>
      <c r="AF163" s="1027">
        <f>IF(AF37&gt;'Premissas Gerais'!$E$7,0,'Premissas Economias e Água'!AF69*'Premissas Gerais'!$G$83*12)</f>
        <v>158337.60958162387</v>
      </c>
      <c r="AG163" s="1027">
        <f>IF(AG37&gt;'Premissas Gerais'!$E$7,0,'Premissas Economias e Água'!AG69*'Premissas Gerais'!$G$83*12)</f>
        <v>158830.06425969381</v>
      </c>
      <c r="AH163" s="1027">
        <f>IF(AH37&gt;'Premissas Gerais'!$E$7,0,'Premissas Economias e Água'!AH69*'Premissas Gerais'!$G$83*12)</f>
        <v>159322.51893776382</v>
      </c>
      <c r="AI163" s="1027">
        <f>IF(AI37&gt;'Premissas Gerais'!$E$7,0,'Premissas Economias e Água'!AI69*'Premissas Gerais'!$G$83*12)</f>
        <v>159814.97361583376</v>
      </c>
    </row>
    <row r="164" spans="3:35" s="77" customFormat="1" hidden="1" outlineLevel="1" x14ac:dyDescent="0.35">
      <c r="C164" s="1024"/>
      <c r="D164" s="1025" t="s">
        <v>9</v>
      </c>
      <c r="E164" s="1026">
        <f t="shared" si="70"/>
        <v>3735091.0505884886</v>
      </c>
      <c r="F164" s="1033">
        <f>IF(F37&gt;'Premissas Gerais'!$E$7,0,'Premissas Economias e Água'!F70*'Premissas Gerais'!$G$83*12)</f>
        <v>113662.3696305481</v>
      </c>
      <c r="G164" s="1027">
        <f>IF(G37&gt;'Premissas Gerais'!$E$7,0,'Premissas Economias e Água'!G70*'Premissas Gerais'!$G$83*12)</f>
        <v>114663.60151920702</v>
      </c>
      <c r="H164" s="1027">
        <f>IF(H37&gt;'Premissas Gerais'!$E$7,0,'Premissas Economias e Água'!H70*'Premissas Gerais'!$G$83*12)</f>
        <v>115664.83340786592</v>
      </c>
      <c r="I164" s="1027">
        <f>IF(I37&gt;'Premissas Gerais'!$E$7,0,'Premissas Economias e Água'!I70*'Premissas Gerais'!$G$83*12)</f>
        <v>116666.06529652482</v>
      </c>
      <c r="J164" s="1027">
        <f>IF(J37&gt;'Premissas Gerais'!$E$7,0,'Premissas Economias e Água'!J70*'Premissas Gerais'!$G$83*12)</f>
        <v>117667.29718518371</v>
      </c>
      <c r="K164" s="1027">
        <f>IF(K37&gt;'Premissas Gerais'!$E$7,0,'Premissas Economias e Água'!K70*'Premissas Gerais'!$G$83*12)</f>
        <v>118686.56928805271</v>
      </c>
      <c r="L164" s="1027">
        <f>IF(L37&gt;'Premissas Gerais'!$E$7,0,'Premissas Economias e Água'!L70*'Premissas Gerais'!$G$83*12)</f>
        <v>119534.459355926</v>
      </c>
      <c r="M164" s="1027">
        <f>IF(M37&gt;'Premissas Gerais'!$E$7,0,'Premissas Economias e Água'!M70*'Premissas Gerais'!$G$83*12)</f>
        <v>120382.34942379931</v>
      </c>
      <c r="N164" s="1027">
        <f>IF(N37&gt;'Premissas Gerais'!$E$7,0,'Premissas Economias e Água'!N70*'Premissas Gerais'!$G$83*12)</f>
        <v>121230.2394916726</v>
      </c>
      <c r="O164" s="1027">
        <f>IF(O37&gt;'Premissas Gerais'!$E$7,0,'Premissas Economias e Água'!O70*'Premissas Gerais'!$G$83*12)</f>
        <v>122078.12955954592</v>
      </c>
      <c r="P164" s="1027">
        <f>IF(P37&gt;'Premissas Gerais'!$E$7,0,'Premissas Economias e Água'!P70*'Premissas Gerais'!$G$83*12)</f>
        <v>122916.99952031419</v>
      </c>
      <c r="Q164" s="1027">
        <f>IF(Q37&gt;'Premissas Gerais'!$E$7,0,'Premissas Economias e Água'!Q70*'Premissas Gerais'!$G$83*12)</f>
        <v>123512.32658924651</v>
      </c>
      <c r="R164" s="1027">
        <f>IF(R37&gt;'Premissas Gerais'!$E$7,0,'Premissas Economias e Água'!R70*'Premissas Gerais'!$G$83*12)</f>
        <v>124107.65365817884</v>
      </c>
      <c r="S164" s="1027">
        <f>IF(S37&gt;'Premissas Gerais'!$E$7,0,'Premissas Economias e Água'!S70*'Premissas Gerais'!$G$83*12)</f>
        <v>124702.98072711116</v>
      </c>
      <c r="T164" s="1027">
        <f>IF(T37&gt;'Premissas Gerais'!$E$7,0,'Premissas Economias e Água'!T70*'Premissas Gerais'!$G$83*12)</f>
        <v>125298.30779604347</v>
      </c>
      <c r="U164" s="1027">
        <f>IF(U37&gt;'Premissas Gerais'!$E$7,0,'Premissas Economias e Água'!U70*'Premissas Gerais'!$G$83*12)</f>
        <v>125911.67507918586</v>
      </c>
      <c r="V164" s="1027">
        <f>IF(V37&gt;'Premissas Gerais'!$E$7,0,'Premissas Economias e Água'!V70*'Premissas Gerais'!$G$83*12)</f>
        <v>126344.64022022756</v>
      </c>
      <c r="W164" s="1027">
        <f>IF(W37&gt;'Premissas Gerais'!$E$7,0,'Premissas Economias e Água'!W70*'Premissas Gerais'!$G$83*12)</f>
        <v>126777.60536126923</v>
      </c>
      <c r="X164" s="1027">
        <f>IF(X37&gt;'Premissas Gerais'!$E$7,0,'Premissas Economias e Água'!X70*'Premissas Gerais'!$G$83*12)</f>
        <v>127210.57050231093</v>
      </c>
      <c r="Y164" s="1027">
        <f>IF(Y37&gt;'Premissas Gerais'!$E$7,0,'Premissas Economias e Água'!Y70*'Premissas Gerais'!$G$83*12)</f>
        <v>127643.5356433526</v>
      </c>
      <c r="Z164" s="1027">
        <f>IF(Z37&gt;'Premissas Gerais'!$E$7,0,'Premissas Economias e Água'!Z70*'Premissas Gerais'!$G$83*12)</f>
        <v>128094.54099860438</v>
      </c>
      <c r="AA164" s="1027">
        <f>IF(AA37&gt;'Premissas Gerais'!$E$7,0,'Premissas Economias e Água'!AA70*'Premissas Gerais'!$G$83*12)</f>
        <v>128527.50613964607</v>
      </c>
      <c r="AB164" s="1027">
        <f>IF(AB37&gt;'Premissas Gerais'!$E$7,0,'Premissas Economias e Água'!AB70*'Premissas Gerais'!$G$83*12)</f>
        <v>128960.47128068775</v>
      </c>
      <c r="AC164" s="1027">
        <f>IF(AC37&gt;'Premissas Gerais'!$E$7,0,'Premissas Economias e Água'!AC70*'Premissas Gerais'!$G$83*12)</f>
        <v>129393.43642172945</v>
      </c>
      <c r="AD164" s="1027">
        <f>IF(AD37&gt;'Premissas Gerais'!$E$7,0,'Premissas Economias e Água'!AD70*'Premissas Gerais'!$G$83*12)</f>
        <v>129826.40156277112</v>
      </c>
      <c r="AE164" s="1027">
        <f>IF(AE37&gt;'Premissas Gerais'!$E$7,0,'Premissas Economias e Água'!AE70*'Premissas Gerais'!$G$83*12)</f>
        <v>130259.3667038128</v>
      </c>
      <c r="AF164" s="1027">
        <f>IF(AF37&gt;'Premissas Gerais'!$E$7,0,'Premissas Economias e Água'!AF70*'Premissas Gerais'!$G$83*12)</f>
        <v>130692.33184485452</v>
      </c>
      <c r="AG164" s="1027">
        <f>IF(AG37&gt;'Premissas Gerais'!$E$7,0,'Premissas Economias e Água'!AG70*'Premissas Gerais'!$G$83*12)</f>
        <v>131125.29698589619</v>
      </c>
      <c r="AH164" s="1027">
        <f>IF(AH37&gt;'Premissas Gerais'!$E$7,0,'Premissas Economias e Água'!AH70*'Premissas Gerais'!$G$83*12)</f>
        <v>131558.26212693789</v>
      </c>
      <c r="AI164" s="1027">
        <f>IF(AI37&gt;'Premissas Gerais'!$E$7,0,'Premissas Economias e Água'!AI70*'Premissas Gerais'!$G$83*12)</f>
        <v>131991.22726797956</v>
      </c>
    </row>
    <row r="165" spans="3:35" s="77" customFormat="1" collapsed="1" x14ac:dyDescent="0.35">
      <c r="C165"/>
      <c r="D165" t="s">
        <v>466</v>
      </c>
      <c r="E165" s="486">
        <f t="shared" si="70"/>
        <v>2364045.5912278411</v>
      </c>
      <c r="F165" s="477">
        <f>('Premissas Economias e Água'!F71-20000)*('Premissas Gerais'!$G$87+'Premissas Gerais'!$G$88)+'Premissas Gerais'!$G$86*12+'Premissas Gerais'!$G$85</f>
        <v>94416.674077030213</v>
      </c>
      <c r="G165" s="477">
        <f>IF(G93&gt;'Premissas Gerais'!$E$7,0,('Premissas Economias e Água'!G71-20000)*('Premissas Gerais'!$G$87+'Premissas Gerais'!$G$88)+'Premissas Gerais'!$G$86*12)</f>
        <v>76656.320826917334</v>
      </c>
      <c r="H165" s="477">
        <f>IF(H93&gt;'Premissas Gerais'!$E$7,0,('Premissas Economias e Água'!H71-20000)*('Premissas Gerais'!$G$87+'Premissas Gerais'!$G$88)+'Premissas Gerais'!$G$86*12)</f>
        <v>76832.478876804438</v>
      </c>
      <c r="I165" s="477">
        <f>IF(I93&gt;'Premissas Gerais'!$E$7,0,('Premissas Economias e Água'!I71-20000)*('Premissas Gerais'!$G$87+'Premissas Gerais'!$G$88)+'Premissas Gerais'!$G$86*12)</f>
        <v>77008.636926691557</v>
      </c>
      <c r="J165" s="477">
        <f>IF(J93&gt;'Premissas Gerais'!$E$7,0,('Premissas Economias e Água'!J71-20000)*('Premissas Gerais'!$G$87+'Premissas Gerais'!$G$88)+'Premissas Gerais'!$G$86*12)</f>
        <v>77184.794976578676</v>
      </c>
      <c r="K165" s="477">
        <f>IF(K93&gt;'Premissas Gerais'!$E$7,0,('Premissas Economias e Água'!K71-20000)*('Premissas Gerais'!$G$87+'Premissas Gerais'!$G$88)+'Premissas Gerais'!$G$86*12)</f>
        <v>77360.901513839955</v>
      </c>
      <c r="L165" s="477">
        <f>IF(L93&gt;'Premissas Gerais'!$E$7,0,('Premissas Economias e Água'!L71-20000)*('Premissas Gerais'!$G$87+'Premissas Gerais'!$G$88)+'Premissas Gerais'!$G$86*12)</f>
        <v>77513.907053695846</v>
      </c>
      <c r="M165" s="477">
        <f>IF(M93&gt;'Premissas Gerais'!$E$7,0,('Premissas Economias e Água'!M71-20000)*('Premissas Gerais'!$G$87+'Premissas Gerais'!$G$88)+'Premissas Gerais'!$G$86*12)</f>
        <v>77666.912593551766</v>
      </c>
      <c r="N165" s="477">
        <f>IF(N93&gt;'Premissas Gerais'!$E$7,0,('Premissas Economias e Água'!N71-20000)*('Premissas Gerais'!$G$87+'Premissas Gerais'!$G$88)+'Premissas Gerais'!$G$86*12)</f>
        <v>77819.918133407657</v>
      </c>
      <c r="O165" s="477">
        <f>IF(O93&gt;'Premissas Gerais'!$E$7,0,('Premissas Economias e Água'!O71-20000)*('Premissas Gerais'!$G$87+'Premissas Gerais'!$G$88)+'Premissas Gerais'!$G$86*12)</f>
        <v>77972.923673263562</v>
      </c>
      <c r="P165" s="477">
        <f>IF(P93&gt;'Premissas Gerais'!$E$7,0,('Premissas Economias e Água'!P71-20000)*('Premissas Gerais'!$G$87+'Premissas Gerais'!$G$88)+'Premissas Gerais'!$G$86*12)</f>
        <v>78125.605394836341</v>
      </c>
      <c r="Q165" s="477">
        <f>IF(Q93&gt;'Premissas Gerais'!$E$7,0,('Premissas Economias e Água'!Q71-20000)*('Premissas Gerais'!$G$87+'Premissas Gerais'!$G$88)+'Premissas Gerais'!$G$86*12)</f>
        <v>78213.489190492866</v>
      </c>
      <c r="R165" s="477">
        <f>IF(R93&gt;'Premissas Gerais'!$E$7,0,('Premissas Economias e Água'!R71-20000)*('Premissas Gerais'!$G$87+'Premissas Gerais'!$G$88)+'Premissas Gerais'!$G$86*12)</f>
        <v>78301.372986149421</v>
      </c>
      <c r="S165" s="477">
        <f>IF(S93&gt;'Premissas Gerais'!$E$7,0,('Premissas Economias e Água'!S71-20000)*('Premissas Gerais'!$G$87+'Premissas Gerais'!$G$88)+'Premissas Gerais'!$G$86*12)</f>
        <v>78389.256781805947</v>
      </c>
      <c r="T165" s="477">
        <f>IF(T93&gt;'Premissas Gerais'!$E$7,0,('Premissas Economias e Água'!T71-20000)*('Premissas Gerais'!$G$87+'Premissas Gerais'!$G$88)+'Premissas Gerais'!$G$86*12)</f>
        <v>78477.140577462473</v>
      </c>
      <c r="U165" s="477">
        <f>IF(U93&gt;'Premissas Gerais'!$E$7,0,('Premissas Economias e Água'!U71-20000)*('Premissas Gerais'!$G$87+'Premissas Gerais'!$G$88)+'Premissas Gerais'!$G$86*12)</f>
        <v>78565.442673970567</v>
      </c>
      <c r="V165" s="477">
        <f>IF(V93&gt;'Premissas Gerais'!$E$7,0,('Premissas Economias e Água'!V71-20000)*('Premissas Gerais'!$G$87+'Premissas Gerais'!$G$88)+'Premissas Gerais'!$G$86*12)</f>
        <v>78599.948992039368</v>
      </c>
      <c r="W165" s="477">
        <f>IF(W93&gt;'Premissas Gerais'!$E$7,0,('Premissas Economias e Água'!W71-20000)*('Premissas Gerais'!$G$87+'Premissas Gerais'!$G$88)+'Premissas Gerais'!$G$86*12)</f>
        <v>78634.455310108184</v>
      </c>
      <c r="X165" s="477">
        <f>IF(X93&gt;'Premissas Gerais'!$E$7,0,('Premissas Economias e Água'!X71-20000)*('Premissas Gerais'!$G$87+'Premissas Gerais'!$G$88)+'Premissas Gerais'!$G$86*12)</f>
        <v>78668.961628177</v>
      </c>
      <c r="Y165" s="477">
        <f>IF(Y93&gt;'Premissas Gerais'!$E$7,0,('Premissas Economias e Água'!Y71-20000)*('Premissas Gerais'!$G$87+'Premissas Gerais'!$G$88)+'Premissas Gerais'!$G$86*12)</f>
        <v>78703.467946245801</v>
      </c>
      <c r="Z165" s="477">
        <f>IF(Z93&gt;'Premissas Gerais'!$E$7,0,('Premissas Economias e Água'!Z71-20000)*('Premissas Gerais'!$G$87+'Premissas Gerais'!$G$88)+'Premissas Gerais'!$G$86*12)</f>
        <v>78738.01967816762</v>
      </c>
      <c r="AA165" s="477">
        <f>IF(AA93&gt;'Premissas Gerais'!$E$7,0,('Premissas Economias e Água'!AA71-20000)*('Premissas Gerais'!$G$87+'Premissas Gerais'!$G$88)+'Premissas Gerais'!$G$86*12)</f>
        <v>78772.525996236436</v>
      </c>
      <c r="AB165" s="477">
        <f>IF(AB93&gt;'Premissas Gerais'!$E$7,0,('Premissas Economias e Água'!AB71-20000)*('Premissas Gerais'!$G$87+'Premissas Gerais'!$G$88)+'Premissas Gerais'!$G$86*12)</f>
        <v>78807.032314305252</v>
      </c>
      <c r="AC165" s="477">
        <f>IF(AC93&gt;'Premissas Gerais'!$E$7,0,('Premissas Economias e Água'!AC71-20000)*('Premissas Gerais'!$G$87+'Premissas Gerais'!$G$88)+'Premissas Gerais'!$G$86*12)</f>
        <v>78841.538632374053</v>
      </c>
      <c r="AD165" s="477">
        <f>IF(AD93&gt;'Premissas Gerais'!$E$7,0,('Premissas Economias e Água'!AD71-20000)*('Premissas Gerais'!$G$87+'Premissas Gerais'!$G$88)+'Premissas Gerais'!$G$86*12)</f>
        <v>78876.044950442854</v>
      </c>
      <c r="AE165" s="477">
        <f>IF(AE93&gt;'Premissas Gerais'!$E$7,0,('Premissas Economias e Água'!AE71-20000)*('Premissas Gerais'!$G$87+'Premissas Gerais'!$G$88)+'Premissas Gerais'!$G$86*12)</f>
        <v>78910.551268511656</v>
      </c>
      <c r="AF165" s="477">
        <f>IF(AF93&gt;'Premissas Gerais'!$E$7,0,('Premissas Economias e Água'!AF71-20000)*('Premissas Gerais'!$G$87+'Premissas Gerais'!$G$88)+'Premissas Gerais'!$G$86*12)</f>
        <v>78945.057586580471</v>
      </c>
      <c r="AG165" s="477">
        <f>IF(AG93&gt;'Premissas Gerais'!$E$7,0,('Premissas Economias e Água'!AG71-20000)*('Premissas Gerais'!$G$87+'Premissas Gerais'!$G$88)+'Premissas Gerais'!$G$86*12)</f>
        <v>78979.563904649272</v>
      </c>
      <c r="AH165" s="477">
        <f>IF(AH93&gt;'Premissas Gerais'!$E$7,0,('Premissas Economias e Água'!AH71-20000)*('Premissas Gerais'!$G$87+'Premissas Gerais'!$G$88)+'Premissas Gerais'!$G$86*12)</f>
        <v>79014.070222718088</v>
      </c>
      <c r="AI165" s="477">
        <f>IF(AI93&gt;'Premissas Gerais'!$E$7,0,('Premissas Economias e Água'!AI71-20000)*('Premissas Gerais'!$G$87+'Premissas Gerais'!$G$88)+'Premissas Gerais'!$G$86*12)</f>
        <v>79048.576540786889</v>
      </c>
    </row>
    <row r="166" spans="3:35" s="77" customFormat="1" hidden="1" outlineLevel="1" x14ac:dyDescent="0.35">
      <c r="C166" s="1020"/>
      <c r="D166" s="1021" t="s">
        <v>1</v>
      </c>
      <c r="E166" s="1022">
        <f t="shared" si="70"/>
        <v>16115.769869376671</v>
      </c>
      <c r="F166" s="1032">
        <f>IF(F93&gt;PAINEL!$D$33,0,('Premissas Geração de Resíduos'!D42/'Premissas Geração de Resíduos'!D52)*F165)</f>
        <v>750.76949363914525</v>
      </c>
      <c r="G166" s="1023">
        <f>IF(G93&gt;PAINEL!$D$33,0,('Premissas Geração de Resíduos'!E42/'Premissas Geração de Resíduos'!E52)*G165)</f>
        <v>603.28230917450765</v>
      </c>
      <c r="H166" s="1023">
        <f>IF(H93&gt;PAINEL!$D$33,0,('Premissas Geração de Resíduos'!F42/'Premissas Geração de Resíduos'!F52)*H165)</f>
        <v>598.44919529859169</v>
      </c>
      <c r="I166" s="1023">
        <f>IF(I93&gt;PAINEL!$D$33,0,('Premissas Geração de Resíduos'!G42/'Premissas Geração de Resíduos'!G52)*I165)</f>
        <v>593.644675548446</v>
      </c>
      <c r="J166" s="1023">
        <f>IF(J93&gt;PAINEL!$D$33,0,('Premissas Geração de Resíduos'!H42/'Premissas Geração de Resíduos'!H52)*J165)</f>
        <v>588.86835874608596</v>
      </c>
      <c r="K166" s="1023">
        <f>IF(K93&gt;PAINEL!$D$33,0,('Premissas Geração de Resíduos'!I42/'Premissas Geração de Resíduos'!I52)*K165)</f>
        <v>584.12161385984314</v>
      </c>
      <c r="L166" s="1023">
        <f>IF(L93&gt;PAINEL!$D$33,0,('Premissas Geração de Resíduos'!J42/'Premissas Geração de Resíduos'!J52)*L165)</f>
        <v>578.66240610028274</v>
      </c>
      <c r="M166" s="1023">
        <f>IF(M93&gt;PAINEL!$D$33,0,('Premissas Geração de Resíduos'!K42/'Premissas Geração de Resíduos'!K52)*M165)</f>
        <v>573.22895990026541</v>
      </c>
      <c r="N166" s="1023">
        <f>IF(N93&gt;PAINEL!$D$33,0,('Premissas Geração de Resíduos'!L42/'Premissas Geração de Resíduos'!L52)*N165)</f>
        <v>567.82097398192855</v>
      </c>
      <c r="O166" s="1023">
        <f>IF(O93&gt;PAINEL!$D$33,0,('Premissas Geração de Resíduos'!M42/'Premissas Geração de Resíduos'!M52)*O165)</f>
        <v>562.43815174703889</v>
      </c>
      <c r="P166" s="1023">
        <f>IF(P93&gt;PAINEL!$D$33,0,('Premissas Geração de Resíduos'!N42/'Premissas Geração de Resíduos'!N52)*P165)</f>
        <v>557.53256277518381</v>
      </c>
      <c r="Q166" s="1023">
        <f>IF(Q93&gt;PAINEL!$D$33,0,('Premissas Geração de Resíduos'!O42/'Premissas Geração de Resíduos'!O52)*Q165)</f>
        <v>551.96228162247951</v>
      </c>
      <c r="R166" s="1023">
        <f>IF(R93&gt;PAINEL!$D$33,0,('Premissas Geração de Resíduos'!P42/'Premissas Geração de Resíduos'!P52)*R165)</f>
        <v>546.40569208643456</v>
      </c>
      <c r="S166" s="1023">
        <f>IF(S93&gt;PAINEL!$D$33,0,('Premissas Geração de Resíduos'!Q42/'Premissas Geração de Resíduos'!Q52)*S165)</f>
        <v>540.86270294750386</v>
      </c>
      <c r="T166" s="1023">
        <f>IF(T93&gt;PAINEL!$D$33,0,('Premissas Geração de Resíduos'!R42/'Premissas Geração de Resíduos'!R52)*T165)</f>
        <v>535.33322379467427</v>
      </c>
      <c r="U166" s="1023">
        <f>IF(U93&gt;PAINEL!$D$33,0,('Premissas Geração de Resíduos'!S42/'Premissas Geração de Resíduos'!S52)*U165)</f>
        <v>530.0385397656288</v>
      </c>
      <c r="V166" s="1023">
        <f>IF(V93&gt;PAINEL!$D$33,0,('Premissas Geração de Resíduos'!T42/'Premissas Geração de Resíduos'!T52)*V165)</f>
        <v>524.64812100951349</v>
      </c>
      <c r="W166" s="1023">
        <f>IF(W93&gt;PAINEL!$D$33,0,('Premissas Geração de Resíduos'!U42/'Premissas Geração de Resíduos'!U52)*W165)</f>
        <v>519.26274599863063</v>
      </c>
      <c r="X166" s="1023">
        <f>IF(X93&gt;PAINEL!$D$33,0,('Premissas Geração de Resíduos'!V42/'Premissas Geração de Resíduos'!V52)*X165)</f>
        <v>513.88240132199076</v>
      </c>
      <c r="Y166" s="1023">
        <f>IF(Y93&gt;PAINEL!$D$33,0,('Premissas Geração de Resíduos'!W42/'Premissas Geração de Resíduos'!W52)*Y165)</f>
        <v>508.50707361610824</v>
      </c>
      <c r="Z166" s="1023">
        <f>IF(Z93&gt;PAINEL!$D$33,0,('Premissas Geração de Resíduos'!X42/'Premissas Geração de Resíduos'!X52)*Z165)</f>
        <v>502.68843999260577</v>
      </c>
      <c r="AA166" s="1023">
        <f>IF(AA93&gt;PAINEL!$D$33,0,('Premissas Geração de Resíduos'!Y42/'Premissas Geração de Resíduos'!Y52)*AA165)</f>
        <v>497.32331840334393</v>
      </c>
      <c r="AB166" s="1023">
        <f>IF(AB93&gt;PAINEL!$D$33,0,('Premissas Geração de Resíduos'!Z42/'Premissas Geração de Resíduos'!Z52)*AB165)</f>
        <v>491.96317358919208</v>
      </c>
      <c r="AC166" s="1023">
        <f>IF(AC93&gt;PAINEL!$D$33,0,('Premissas Geração de Resíduos'!AA42/'Premissas Geração de Resíduos'!AA52)*AC165)</f>
        <v>486.60799237564999</v>
      </c>
      <c r="AD166" s="1023">
        <f>IF(AD93&gt;PAINEL!$D$33,0,('Premissas Geração de Resíduos'!AB42/'Premissas Geração de Resíduos'!AB52)*AD165)</f>
        <v>481.25776163467697</v>
      </c>
      <c r="AE166" s="1023">
        <f>IF(AE93&gt;PAINEL!$D$33,0,('Premissas Geração de Resíduos'!AC42/'Premissas Geração de Resíduos'!AC52)*AE165)</f>
        <v>475.91246828448698</v>
      </c>
      <c r="AF166" s="1023">
        <f>IF(AF93&gt;PAINEL!$D$33,0,('Premissas Geração de Resíduos'!AD42/'Premissas Geração de Resíduos'!AD52)*AF165)</f>
        <v>470.57209928934589</v>
      </c>
      <c r="AG166" s="1023">
        <f>IF(AG93&gt;PAINEL!$D$33,0,('Premissas Geração de Resíduos'!AE42/'Premissas Geração de Resíduos'!AE52)*AG165)</f>
        <v>465.23664165936822</v>
      </c>
      <c r="AH166" s="1023">
        <f>IF(AH93&gt;PAINEL!$D$33,0,('Premissas Geração de Resíduos'!AF42/'Premissas Geração de Resíduos'!AF52)*AH165)</f>
        <v>459.9060824503166</v>
      </c>
      <c r="AI166" s="1023">
        <f>IF(AI93&gt;PAINEL!$D$33,0,('Premissas Geração de Resíduos'!AG42/'Premissas Geração de Resíduos'!AG52)*AI165)</f>
        <v>454.58040876340021</v>
      </c>
    </row>
    <row r="167" spans="3:35" s="77" customFormat="1" hidden="1" outlineLevel="1" x14ac:dyDescent="0.35">
      <c r="C167" s="1024"/>
      <c r="D167" s="1025" t="s">
        <v>2</v>
      </c>
      <c r="E167" s="1026">
        <f t="shared" si="70"/>
        <v>205185.08102769751</v>
      </c>
      <c r="F167" s="1033">
        <f>IF(F93&gt;PAINEL!$D$33,0,('Premissas Geração de Resíduos'!D43/'Premissas Geração de Resíduos'!D52)*F165)</f>
        <v>8784.6392593805995</v>
      </c>
      <c r="G167" s="1027">
        <f>IF(G93&gt;PAINEL!$D$33,0,('Premissas Geração de Resíduos'!E43/'Premissas Geração de Resíduos'!E52)*G165)</f>
        <v>7103.2158880401403</v>
      </c>
      <c r="H167" s="1027">
        <f>IF(H93&gt;PAINEL!$D$33,0,('Premissas Geração de Resíduos'!F43/'Premissas Geração de Resíduos'!F52)*H165)</f>
        <v>7090.7609389538693</v>
      </c>
      <c r="I167" s="1027">
        <f>IF(I93&gt;PAINEL!$D$33,0,('Premissas Geração de Resíduos'!G43/'Premissas Geração de Resíduos'!G52)*I165)</f>
        <v>7078.4382986392902</v>
      </c>
      <c r="J167" s="1027">
        <f>IF(J93&gt;PAINEL!$D$33,0,('Premissas Geração de Resíduos'!H43/'Premissas Geração de Resíduos'!H52)*J165)</f>
        <v>7066.2461570645391</v>
      </c>
      <c r="K167" s="1027">
        <f>IF(K93&gt;PAINEL!$D$33,0,('Premissas Geração de Resíduos'!I43/'Premissas Geração de Resíduos'!I52)*K165)</f>
        <v>7054.6697009906411</v>
      </c>
      <c r="L167" s="1027">
        <f>IF(L93&gt;PAINEL!$D$33,0,('Premissas Geração de Resíduos'!J43/'Premissas Geração de Resíduos'!J52)*L165)</f>
        <v>7030.3906695019077</v>
      </c>
      <c r="M167" s="1027">
        <f>IF(M93&gt;PAINEL!$D$33,0,('Premissas Geração de Resíduos'!K43/'Premissas Geração de Resíduos'!K52)*M165)</f>
        <v>7006.2605402062627</v>
      </c>
      <c r="N167" s="1027">
        <f>IF(N93&gt;PAINEL!$D$33,0,('Premissas Geração de Resíduos'!L43/'Premissas Geração de Resíduos'!L52)*N165)</f>
        <v>6982.2775717132226</v>
      </c>
      <c r="O167" s="1027">
        <f>IF(O93&gt;PAINEL!$D$33,0,('Premissas Geração de Resíduos'!M43/'Premissas Geração de Resíduos'!M52)*O165)</f>
        <v>6958.4400496806393</v>
      </c>
      <c r="P167" s="1027">
        <f>IF(P93&gt;PAINEL!$D$33,0,('Premissas Geração de Resíduos'!N43/'Premissas Geração de Resíduos'!N52)*P165)</f>
        <v>6934.766802696281</v>
      </c>
      <c r="Q167" s="1027">
        <f>IF(Q93&gt;PAINEL!$D$33,0,('Premissas Geração de Resíduos'!O43/'Premissas Geração de Resíduos'!O52)*Q165)</f>
        <v>6907.0363830239185</v>
      </c>
      <c r="R167" s="1027">
        <f>IF(R93&gt;PAINEL!$D$33,0,('Premissas Geração de Resíduos'!P43/'Premissas Geração de Resíduos'!P52)*R165)</f>
        <v>6879.3844604278665</v>
      </c>
      <c r="S167" s="1027">
        <f>IF(S93&gt;PAINEL!$D$33,0,('Premissas Geração de Resíduos'!Q43/'Premissas Geração de Resíduos'!Q52)*S165)</f>
        <v>6851.8105119262254</v>
      </c>
      <c r="T167" s="1027">
        <f>IF(T93&gt;PAINEL!$D$33,0,('Premissas Geração de Resíduos'!R43/'Premissas Geração de Resíduos'!R52)*T165)</f>
        <v>6824.314019172597</v>
      </c>
      <c r="U167" s="1027">
        <f>IF(U93&gt;PAINEL!$D$33,0,('Premissas Geração de Resíduos'!S43/'Premissas Geração de Resíduos'!S52)*U165)</f>
        <v>6796.4005120047459</v>
      </c>
      <c r="V167" s="1027">
        <f>IF(V93&gt;PAINEL!$D$33,0,('Premissas Geração de Resíduos'!T43/'Premissas Geração de Resíduos'!T52)*V165)</f>
        <v>6764.6884003521754</v>
      </c>
      <c r="W167" s="1027">
        <f>IF(W93&gt;PAINEL!$D$33,0,('Premissas Geração de Resíduos'!U43/'Premissas Geração de Resíduos'!U52)*W165)</f>
        <v>6733.0074103043016</v>
      </c>
      <c r="X167" s="1027">
        <f>IF(X93&gt;PAINEL!$D$33,0,('Premissas Geração de Resíduos'!V43/'Premissas Geração de Resíduos'!V52)*X165)</f>
        <v>6701.3574591108081</v>
      </c>
      <c r="Y167" s="1027">
        <f>IF(Y93&gt;PAINEL!$D$33,0,('Premissas Geração de Resíduos'!W43/'Premissas Geração de Resíduos'!W52)*Y165)</f>
        <v>6669.7384643144924</v>
      </c>
      <c r="Z167" s="1027">
        <f>IF(Z93&gt;PAINEL!$D$33,0,('Premissas Geração de Resíduos'!X43/'Premissas Geração de Resíduos'!X52)*Z165)</f>
        <v>6638.3649925950895</v>
      </c>
      <c r="AA167" s="1027">
        <f>IF(AA93&gt;PAINEL!$D$33,0,('Premissas Geração de Resíduos'!Y43/'Premissas Geração de Resíduos'!Y52)*AA165)</f>
        <v>6606.8076441027124</v>
      </c>
      <c r="AB167" s="1027">
        <f>IF(AB93&gt;PAINEL!$D$33,0,('Premissas Geração de Resíduos'!Z43/'Premissas Geração de Resíduos'!Z52)*AB165)</f>
        <v>6575.2810063341021</v>
      </c>
      <c r="AC167" s="1027">
        <f>IF(AC93&gt;PAINEL!$D$33,0,('Premissas Geração de Resíduos'!AA43/'Premissas Geração de Resíduos'!AA52)*AC165)</f>
        <v>6543.7849979919483</v>
      </c>
      <c r="AD167" s="1027">
        <f>IF(AD93&gt;PAINEL!$D$33,0,('Premissas Geração de Resíduos'!AB43/'Premissas Geração de Resíduos'!AB52)*AD165)</f>
        <v>6512.3195380656343</v>
      </c>
      <c r="AE167" s="1027">
        <f>IF(AE93&gt;PAINEL!$D$33,0,('Premissas Geração de Resíduos'!AC43/'Premissas Geração de Resíduos'!AC52)*AE165)</f>
        <v>6480.8845458299675</v>
      </c>
      <c r="AF167" s="1027">
        <f>IF(AF93&gt;PAINEL!$D$33,0,('Premissas Geração de Resíduos'!AD43/'Premissas Geração de Resíduos'!AD52)*AF165)</f>
        <v>6449.4799408439385</v>
      </c>
      <c r="AG167" s="1027">
        <f>IF(AG93&gt;PAINEL!$D$33,0,('Premissas Geração de Resíduos'!AE43/'Premissas Geração de Resíduos'!AE52)*AG165)</f>
        <v>6418.1056429494547</v>
      </c>
      <c r="AH167" s="1027">
        <f>IF(AH93&gt;PAINEL!$D$33,0,('Premissas Geração de Resíduos'!AF43/'Premissas Geração de Resíduos'!AF52)*AH165)</f>
        <v>6386.7615722701148</v>
      </c>
      <c r="AI167" s="1027">
        <f>IF(AI93&gt;PAINEL!$D$33,0,('Premissas Geração de Resíduos'!AG43/'Premissas Geração de Resíduos'!AG52)*AI165)</f>
        <v>6355.4476492099529</v>
      </c>
    </row>
    <row r="168" spans="3:35" s="77" customFormat="1" hidden="1" outlineLevel="1" x14ac:dyDescent="0.35">
      <c r="C168" s="1024"/>
      <c r="D168" s="1025" t="s">
        <v>3</v>
      </c>
      <c r="E168" s="1026">
        <f t="shared" si="70"/>
        <v>24492.844234831915</v>
      </c>
      <c r="F168" s="1033">
        <f>IF(F93&gt;PAINEL!$D$33,0,('Premissas Geração de Resíduos'!D44/'Premissas Geração de Resíduos'!D52)*F165)</f>
        <v>1036.0732679062546</v>
      </c>
      <c r="G168" s="1027">
        <f>IF(G93&gt;PAINEL!$D$33,0,('Premissas Geração de Resíduos'!E44/'Premissas Geração de Resíduos'!E52)*G165)</f>
        <v>838.2110500521328</v>
      </c>
      <c r="H168" s="1027">
        <f>IF(H93&gt;PAINEL!$D$33,0,('Premissas Geração de Resíduos'!F44/'Premissas Geração de Resíduos'!F52)*H165)</f>
        <v>837.18735054404829</v>
      </c>
      <c r="I168" s="1027">
        <f>IF(I93&gt;PAINEL!$D$33,0,('Premissas Geração de Resíduos'!G44/'Premissas Geração de Resíduos'!G52)*I165)</f>
        <v>836.17721338321724</v>
      </c>
      <c r="J168" s="1027">
        <f>IF(J93&gt;PAINEL!$D$33,0,('Premissas Geração de Resíduos'!H44/'Premissas Geração de Resíduos'!H52)*J165)</f>
        <v>835.18045303182316</v>
      </c>
      <c r="K168" s="1027">
        <f>IF(K93&gt;PAINEL!$D$33,0,('Premissas Geração de Resíduos'!I44/'Premissas Geração de Resíduos'!I52)*K165)</f>
        <v>834.65449148340667</v>
      </c>
      <c r="L168" s="1027">
        <f>IF(L93&gt;PAINEL!$D$33,0,('Premissas Geração de Resíduos'!J44/'Premissas Geração de Resíduos'!J52)*L165)</f>
        <v>832.7924031278402</v>
      </c>
      <c r="M168" s="1027">
        <f>IF(M93&gt;PAINEL!$D$33,0,('Premissas Geração de Resíduos'!K44/'Premissas Geração de Resíduos'!K52)*M165)</f>
        <v>830.94399643905604</v>
      </c>
      <c r="N168" s="1027">
        <f>IF(N93&gt;PAINEL!$D$33,0,('Premissas Geração de Resíduos'!L44/'Premissas Geração de Resíduos'!L52)*N165)</f>
        <v>829.10911141185977</v>
      </c>
      <c r="O168" s="1027">
        <f>IF(O93&gt;PAINEL!$D$33,0,('Premissas Geração de Resíduos'!M44/'Premissas Geração de Resíduos'!M52)*O165)</f>
        <v>827.28759052635519</v>
      </c>
      <c r="P168" s="1027">
        <f>IF(P93&gt;PAINEL!$D$33,0,('Premissas Geração de Resíduos'!N44/'Premissas Geração de Resíduos'!N52)*P165)</f>
        <v>825.03100740499121</v>
      </c>
      <c r="Q168" s="1027">
        <f>IF(Q93&gt;PAINEL!$D$33,0,('Premissas Geração de Resíduos'!O44/'Premissas Geração de Resíduos'!O52)*Q165)</f>
        <v>822.31574827362067</v>
      </c>
      <c r="R168" s="1027">
        <f>IF(R93&gt;PAINEL!$D$33,0,('Premissas Geração de Resíduos'!P44/'Premissas Geração de Resíduos'!P52)*R165)</f>
        <v>819.60853812965172</v>
      </c>
      <c r="S168" s="1027">
        <f>IF(S93&gt;PAINEL!$D$33,0,('Premissas Geração de Resíduos'!Q44/'Premissas Geração de Resíduos'!Q52)*S165)</f>
        <v>816.90932334720594</v>
      </c>
      <c r="T168" s="1027">
        <f>IF(T93&gt;PAINEL!$D$33,0,('Premissas Geração de Resíduos'!R44/'Premissas Geração de Resíduos'!R52)*T165)</f>
        <v>814.21805077572219</v>
      </c>
      <c r="U168" s="1027">
        <f>IF(U93&gt;PAINEL!$D$33,0,('Premissas Geração de Resíduos'!S44/'Premissas Geração de Resíduos'!S52)*U165)</f>
        <v>811.75458394550014</v>
      </c>
      <c r="V168" s="1027">
        <f>IF(V93&gt;PAINEL!$D$33,0,('Premissas Geração de Resíduos'!T44/'Premissas Geração de Resíduos'!T52)*V165)</f>
        <v>808.70184322986506</v>
      </c>
      <c r="W168" s="1027">
        <f>IF(W93&gt;PAINEL!$D$33,0,('Premissas Geração de Resíduos'!U44/'Premissas Geração de Resíduos'!U52)*W165)</f>
        <v>805.65216045841873</v>
      </c>
      <c r="X168" s="1027">
        <f>IF(X93&gt;PAINEL!$D$33,0,('Premissas Geração de Resíduos'!V44/'Premissas Geração de Resíduos'!V52)*X165)</f>
        <v>802.60552750028705</v>
      </c>
      <c r="Y168" s="1027">
        <f>IF(Y93&gt;PAINEL!$D$33,0,('Premissas Geração de Resíduos'!W44/'Premissas Geração de Resíduos'!W52)*Y165)</f>
        <v>799.56193625339677</v>
      </c>
      <c r="Z168" s="1027">
        <f>IF(Z93&gt;PAINEL!$D$33,0,('Premissas Geração de Resíduos'!X44/'Premissas Geração de Resíduos'!X52)*Z165)</f>
        <v>796.51967226586373</v>
      </c>
      <c r="AA168" s="1027">
        <f>IF(AA93&gt;PAINEL!$D$33,0,('Premissas Geração de Resíduos'!Y44/'Premissas Geração de Resíduos'!Y52)*AA165)</f>
        <v>793.4821484637622</v>
      </c>
      <c r="AB168" s="1027">
        <f>IF(AB93&gt;PAINEL!$D$33,0,('Premissas Geração de Resíduos'!Z44/'Premissas Geração de Resíduos'!Z52)*AB165)</f>
        <v>790.44764221551395</v>
      </c>
      <c r="AC168" s="1027">
        <f>IF(AC93&gt;PAINEL!$D$33,0,('Premissas Geração de Resíduos'!AA44/'Premissas Geração de Resíduos'!AA52)*AC165)</f>
        <v>787.41614553306192</v>
      </c>
      <c r="AD168" s="1027">
        <f>IF(AD93&gt;PAINEL!$D$33,0,('Premissas Geração de Resíduos'!AB44/'Premissas Geração de Resíduos'!AB52)*AD165)</f>
        <v>784.38765045651883</v>
      </c>
      <c r="AE168" s="1027">
        <f>IF(AE93&gt;PAINEL!$D$33,0,('Premissas Geração de Resíduos'!AC44/'Premissas Geração de Resíduos'!AC52)*AE165)</f>
        <v>781.36214905404279</v>
      </c>
      <c r="AF168" s="1027">
        <f>IF(AF93&gt;PAINEL!$D$33,0,('Premissas Geração de Resíduos'!AD44/'Premissas Geração de Resíduos'!AD52)*AF165)</f>
        <v>778.3396334217141</v>
      </c>
      <c r="AG168" s="1027">
        <f>IF(AG93&gt;PAINEL!$D$33,0,('Premissas Geração de Resíduos'!AE44/'Premissas Geração de Resíduos'!AE52)*AG165)</f>
        <v>775.32009568341289</v>
      </c>
      <c r="AH168" s="1027">
        <f>IF(AH93&gt;PAINEL!$D$33,0,('Premissas Geração de Resíduos'!AF44/'Premissas Geração de Resíduos'!AF52)*AH165)</f>
        <v>772.30352799069624</v>
      </c>
      <c r="AI168" s="1027">
        <f>IF(AI93&gt;PAINEL!$D$33,0,('Premissas Geração de Resíduos'!AG44/'Premissas Geração de Resíduos'!AG52)*AI165)</f>
        <v>769.28992252267744</v>
      </c>
    </row>
    <row r="169" spans="3:35" s="77" customFormat="1" hidden="1" outlineLevel="1" x14ac:dyDescent="0.35">
      <c r="C169" s="1024"/>
      <c r="D169" s="1025" t="s">
        <v>4</v>
      </c>
      <c r="E169" s="1026">
        <f t="shared" si="70"/>
        <v>65481.299500662608</v>
      </c>
      <c r="F169" s="1033">
        <f>IF(F93&gt;PAINEL!$D$33,0,('Premissas Geração de Resíduos'!D45/'Premissas Geração de Resíduos'!D52)*F165)</f>
        <v>2475.4810578398924</v>
      </c>
      <c r="G169" s="1027">
        <f>IF(G93&gt;PAINEL!$D$33,0,('Premissas Geração de Resíduos'!E45/'Premissas Geração de Resíduos'!E52)*G165)</f>
        <v>2019.0612897031515</v>
      </c>
      <c r="H169" s="1027">
        <f>IF(H93&gt;PAINEL!$D$33,0,('Premissas Geração de Resíduos'!F45/'Premissas Geração de Resíduos'!F52)*H165)</f>
        <v>2032.8705216002118</v>
      </c>
      <c r="I169" s="1027">
        <f>IF(I93&gt;PAINEL!$D$33,0,('Premissas Geração de Resíduos'!G45/'Premissas Geração de Resíduos'!G52)*I165)</f>
        <v>2046.637597109032</v>
      </c>
      <c r="J169" s="1027">
        <f>IF(J93&gt;PAINEL!$D$33,0,('Premissas Geração de Resíduos'!H45/'Premissas Geração de Resíduos'!H52)*J165)</f>
        <v>2060.3630929442497</v>
      </c>
      <c r="K169" s="1027">
        <f>IF(K93&gt;PAINEL!$D$33,0,('Premissas Geração de Resíduos'!I45/'Premissas Geração de Resíduos'!I52)*K165)</f>
        <v>2073.8352714399821</v>
      </c>
      <c r="L169" s="1027">
        <f>IF(L93&gt;PAINEL!$D$33,0,('Premissas Geração de Resíduos'!J45/'Premissas Geração de Resíduos'!J52)*L165)</f>
        <v>2085.6942173166249</v>
      </c>
      <c r="M169" s="1027">
        <f>IF(M93&gt;PAINEL!$D$33,0,('Premissas Geração de Resíduos'!K45/'Premissas Geração de Resíduos'!K52)*M165)</f>
        <v>2097.5229507868594</v>
      </c>
      <c r="N169" s="1027">
        <f>IF(N93&gt;PAINEL!$D$33,0,('Premissas Geração de Resíduos'!L45/'Premissas Geração de Resíduos'!L52)*N165)</f>
        <v>2109.3218251805793</v>
      </c>
      <c r="O169" s="1027">
        <f>IF(O93&gt;PAINEL!$D$33,0,('Premissas Geração de Resíduos'!M45/'Premissas Geração de Resíduos'!M52)*O165)</f>
        <v>2121.0911883395524</v>
      </c>
      <c r="P169" s="1027">
        <f>IF(P93&gt;PAINEL!$D$33,0,('Premissas Geração de Resíduos'!N45/'Premissas Geração de Resíduos'!N52)*P165)</f>
        <v>2132.6212708056159</v>
      </c>
      <c r="Q169" s="1027">
        <f>IF(Q93&gt;PAINEL!$D$33,0,('Premissas Geração de Resíduos'!O45/'Premissas Geração de Resíduos'!O52)*Q165)</f>
        <v>2142.796188181112</v>
      </c>
      <c r="R169" s="1027">
        <f>IF(R93&gt;PAINEL!$D$33,0,('Premissas Geração de Resíduos'!P45/'Premissas Geração de Resíduos'!P52)*R165)</f>
        <v>2152.9539267275463</v>
      </c>
      <c r="S169" s="1027">
        <f>IF(S93&gt;PAINEL!$D$33,0,('Premissas Geração de Resíduos'!Q45/'Premissas Geração de Resíduos'!Q52)*S165)</f>
        <v>2163.0946008977967</v>
      </c>
      <c r="T169" s="1027">
        <f>IF(T93&gt;PAINEL!$D$33,0,('Premissas Geração de Resíduos'!R45/'Premissas Geração de Resíduos'!R52)*T165)</f>
        <v>2173.2183241302837</v>
      </c>
      <c r="U169" s="1027">
        <f>IF(U93&gt;PAINEL!$D$33,0,('Premissas Geração de Resíduos'!S45/'Premissas Geração de Resíduos'!S52)*U165)</f>
        <v>2183.7443692109255</v>
      </c>
      <c r="V169" s="1027">
        <f>IF(V93&gt;PAINEL!$D$33,0,('Premissas Geração de Resíduos'!T45/'Premissas Geração de Resíduos'!T52)*V165)</f>
        <v>2191.7994003246467</v>
      </c>
      <c r="W169" s="1027">
        <f>IF(W93&gt;PAINEL!$D$33,0,('Premissas Geração de Resíduos'!U45/'Premissas Geração de Resíduos'!U52)*W165)</f>
        <v>2199.8480667487047</v>
      </c>
      <c r="X169" s="1027">
        <f>IF(X93&gt;PAINEL!$D$33,0,('Premissas Geração de Resíduos'!V45/'Premissas Geração de Resíduos'!V52)*X165)</f>
        <v>2207.8903854063929</v>
      </c>
      <c r="Y169" s="1027">
        <f>IF(Y93&gt;PAINEL!$D$33,0,('Premissas Geração de Resíduos'!W45/'Premissas Geração de Resíduos'!W52)*Y165)</f>
        <v>2215.9263731610608</v>
      </c>
      <c r="Z169" s="1027">
        <f>IF(Z93&gt;PAINEL!$D$33,0,('Premissas Geração de Resíduos'!X45/'Premissas Geração de Resíduos'!X52)*Z165)</f>
        <v>2223.5217824066622</v>
      </c>
      <c r="AA169" s="1027">
        <f>IF(AA93&gt;PAINEL!$D$33,0,('Premissas Geração de Resíduos'!Y45/'Premissas Geração de Resíduos'!Y52)*AA165)</f>
        <v>2231.5453379209293</v>
      </c>
      <c r="AB169" s="1027">
        <f>IF(AB93&gt;PAINEL!$D$33,0,('Premissas Geração de Resíduos'!Z45/'Premissas Geração de Resíduos'!Z52)*AB165)</f>
        <v>2239.5626124656987</v>
      </c>
      <c r="AC169" s="1027">
        <f>IF(AC93&gt;PAINEL!$D$33,0,('Premissas Geração de Resíduos'!AA45/'Premissas Geração de Resíduos'!AA52)*AC165)</f>
        <v>2247.5736226679278</v>
      </c>
      <c r="AD169" s="1027">
        <f>IF(AD93&gt;PAINEL!$D$33,0,('Premissas Geração de Resíduos'!AB45/'Premissas Geração de Resíduos'!AB52)*AD165)</f>
        <v>2255.5783850959424</v>
      </c>
      <c r="AE169" s="1027">
        <f>IF(AE93&gt;PAINEL!$D$33,0,('Premissas Geração de Resíduos'!AC45/'Premissas Geração de Resíduos'!AC52)*AE165)</f>
        <v>2263.5769162596907</v>
      </c>
      <c r="AF169" s="1027">
        <f>IF(AF93&gt;PAINEL!$D$33,0,('Premissas Geração de Resíduos'!AD45/'Premissas Geração de Resíduos'!AD52)*AF165)</f>
        <v>2271.5692326110002</v>
      </c>
      <c r="AG169" s="1027">
        <f>IF(AG93&gt;PAINEL!$D$33,0,('Premissas Geração de Resíduos'!AE45/'Premissas Geração de Resíduos'!AE52)*AG165)</f>
        <v>2279.5553505438361</v>
      </c>
      <c r="AH169" s="1027">
        <f>IF(AH93&gt;PAINEL!$D$33,0,('Premissas Geração de Resíduos'!AF45/'Premissas Geração de Resíduos'!AF52)*AH165)</f>
        <v>2287.5352863945523</v>
      </c>
      <c r="AI169" s="1027">
        <f>IF(AI93&gt;PAINEL!$D$33,0,('Premissas Geração de Resíduos'!AG45/'Premissas Geração de Resíduos'!AG52)*AI165)</f>
        <v>2295.5090564421448</v>
      </c>
    </row>
    <row r="170" spans="3:35" s="77" customFormat="1" hidden="1" outlineLevel="1" x14ac:dyDescent="0.35">
      <c r="C170" s="1024"/>
      <c r="D170" s="1025" t="s">
        <v>5</v>
      </c>
      <c r="E170" s="1026">
        <f t="shared" si="70"/>
        <v>142039.28326343888</v>
      </c>
      <c r="F170" s="1033">
        <f>IF(F93&gt;PAINEL!$D$33,0,('Premissas Geração de Resíduos'!D46/'Premissas Geração de Resíduos'!D52)*F165)</f>
        <v>5762.7745426224074</v>
      </c>
      <c r="G170" s="1027">
        <f>IF(G93&gt;PAINEL!$D$33,0,('Premissas Geração de Resíduos'!E46/'Premissas Geração de Resíduos'!E52)*G165)</f>
        <v>4677.1083999904304</v>
      </c>
      <c r="H170" s="1027">
        <f>IF(H93&gt;PAINEL!$D$33,0,('Premissas Geração de Resíduos'!F46/'Premissas Geração de Resíduos'!F52)*H165)</f>
        <v>4686.2149151416797</v>
      </c>
      <c r="I170" s="1027">
        <f>IF(I93&gt;PAINEL!$D$33,0,('Premissas Geração de Resíduos'!G46/'Premissas Geração de Resíduos'!G52)*I165)</f>
        <v>4695.3289775373296</v>
      </c>
      <c r="J170" s="1027">
        <f>IF(J93&gt;PAINEL!$D$33,0,('Premissas Geração de Resíduos'!H46/'Premissas Geração de Resíduos'!H52)*J165)</f>
        <v>4704.45048392834</v>
      </c>
      <c r="K170" s="1027">
        <f>IF(K93&gt;PAINEL!$D$33,0,('Premissas Geração de Resíduos'!I46/'Premissas Geração de Resíduos'!I52)*K165)</f>
        <v>4713.3605826367111</v>
      </c>
      <c r="L170" s="1027">
        <f>IF(L93&gt;PAINEL!$D$33,0,('Premissas Geração de Resíduos'!J46/'Premissas Geração de Resíduos'!J52)*L165)</f>
        <v>4715.5172754144414</v>
      </c>
      <c r="M170" s="1027">
        <f>IF(M93&gt;PAINEL!$D$33,0,('Premissas Geração de Resíduos'!K46/'Premissas Geração de Resíduos'!K52)*M165)</f>
        <v>4717.7018756211564</v>
      </c>
      <c r="N170" s="1027">
        <f>IF(N93&gt;PAINEL!$D$33,0,('Premissas Geração de Resíduos'!L46/'Premissas Geração de Resíduos'!L52)*N165)</f>
        <v>4719.91405688334</v>
      </c>
      <c r="O170" s="1027">
        <f>IF(O93&gt;PAINEL!$D$33,0,('Premissas Geração de Resíduos'!M46/'Premissas Geração de Resíduos'!M52)*O165)</f>
        <v>4722.1534978969212</v>
      </c>
      <c r="P170" s="1027">
        <f>IF(P93&gt;PAINEL!$D$33,0,('Premissas Geração de Resíduos'!N46/'Premissas Geração de Resíduos'!N52)*P165)</f>
        <v>4724.8951624171259</v>
      </c>
      <c r="Q170" s="1027">
        <f>IF(Q93&gt;PAINEL!$D$33,0,('Premissas Geração de Resíduos'!O46/'Premissas Geração de Resíduos'!O52)*Q165)</f>
        <v>4724.035958421643</v>
      </c>
      <c r="R170" s="1027">
        <f>IF(R93&gt;PAINEL!$D$33,0,('Premissas Geração de Resíduos'!P46/'Premissas Geração de Resíduos'!P52)*R165)</f>
        <v>4723.1903947999836</v>
      </c>
      <c r="S170" s="1027">
        <f>IF(S93&gt;PAINEL!$D$33,0,('Premissas Geração de Resíduos'!Q46/'Premissas Geração de Resíduos'!Q52)*S165)</f>
        <v>4722.358380673998</v>
      </c>
      <c r="T170" s="1027">
        <f>IF(T93&gt;PAINEL!$D$33,0,('Premissas Geração de Resíduos'!R46/'Premissas Geração de Resíduos'!R52)*T165)</f>
        <v>4721.5398259710528</v>
      </c>
      <c r="U170" s="1027">
        <f>IF(U93&gt;PAINEL!$D$33,0,('Premissas Geração de Resíduos'!S46/'Premissas Geração de Resíduos'!S52)*U165)</f>
        <v>4721.1689675008165</v>
      </c>
      <c r="V170" s="1027">
        <f>IF(V93&gt;PAINEL!$D$33,0,('Premissas Geração de Resíduos'!T46/'Premissas Geração de Resíduos'!T52)*V165)</f>
        <v>4716.2974645893519</v>
      </c>
      <c r="W170" s="1027">
        <f>IF(W93&gt;PAINEL!$D$33,0,('Premissas Geração de Resíduos'!U46/'Premissas Geração de Resíduos'!U52)*W165)</f>
        <v>4711.4321910560548</v>
      </c>
      <c r="X170" s="1027">
        <f>IF(X93&gt;PAINEL!$D$33,0,('Premissas Geração de Resíduos'!V46/'Premissas Geração de Resíduos'!V52)*X165)</f>
        <v>4706.5731303374132</v>
      </c>
      <c r="Y170" s="1027">
        <f>IF(Y93&gt;PAINEL!$D$33,0,('Premissas Geração de Resíduos'!W46/'Premissas Geração de Resíduos'!W52)*Y165)</f>
        <v>4701.7202659285858</v>
      </c>
      <c r="Z170" s="1027">
        <f>IF(Z93&gt;PAINEL!$D$33,0,('Premissas Geração de Resíduos'!X46/'Premissas Geração de Resíduos'!X52)*Z165)</f>
        <v>4696.8635193255104</v>
      </c>
      <c r="AA170" s="1027">
        <f>IF(AA93&gt;PAINEL!$D$33,0,('Premissas Geração de Resíduos'!Y46/'Premissas Geração de Resíduos'!Y52)*AA165)</f>
        <v>4692.0230187169882</v>
      </c>
      <c r="AB170" s="1027">
        <f>IF(AB93&gt;PAINEL!$D$33,0,('Premissas Geração de Resíduos'!Z46/'Premissas Geração de Resíduos'!Z52)*AB165)</f>
        <v>4687.1886652003641</v>
      </c>
      <c r="AC170" s="1027">
        <f>IF(AC93&gt;PAINEL!$D$33,0,('Premissas Geração de Resíduos'!AA46/'Premissas Geração de Resíduos'!AA52)*AC165)</f>
        <v>4682.3604425030762</v>
      </c>
      <c r="AD170" s="1027">
        <f>IF(AD93&gt;PAINEL!$D$33,0,('Premissas Geração de Resíduos'!AB46/'Premissas Geração de Resíduos'!AB52)*AD165)</f>
        <v>4677.5383344099564</v>
      </c>
      <c r="AE170" s="1027">
        <f>IF(AE93&gt;PAINEL!$D$33,0,('Premissas Geração de Resíduos'!AC46/'Premissas Geração de Resíduos'!AC52)*AE165)</f>
        <v>4672.7223247629618</v>
      </c>
      <c r="AF170" s="1027">
        <f>IF(AF93&gt;PAINEL!$D$33,0,('Premissas Geração de Resíduos'!AD46/'Premissas Geração de Resíduos'!AD52)*AF165)</f>
        <v>4667.9123974609302</v>
      </c>
      <c r="AG170" s="1027">
        <f>IF(AG93&gt;PAINEL!$D$33,0,('Premissas Geração de Resíduos'!AE46/'Premissas Geração de Resíduos'!AE52)*AG165)</f>
        <v>4663.10853645933</v>
      </c>
      <c r="AH170" s="1027">
        <f>IF(AH93&gt;PAINEL!$D$33,0,('Premissas Geração de Resíduos'!AF46/'Premissas Geração de Resíduos'!AF52)*AH165)</f>
        <v>4658.3107257700185</v>
      </c>
      <c r="AI170" s="1027">
        <f>IF(AI93&gt;PAINEL!$D$33,0,('Premissas Geração de Resíduos'!AG46/'Premissas Geração de Resíduos'!AG52)*AI165)</f>
        <v>4653.5189494609758</v>
      </c>
    </row>
    <row r="171" spans="3:35" s="77" customFormat="1" hidden="1" outlineLevel="1" x14ac:dyDescent="0.35">
      <c r="C171" s="1024"/>
      <c r="D171" s="1025" t="s">
        <v>6</v>
      </c>
      <c r="E171" s="1026">
        <f t="shared" si="70"/>
        <v>1573368.4146039693</v>
      </c>
      <c r="F171" s="1033">
        <f>IF(F93&gt;PAINEL!$D$33,0,('Premissas Geração de Resíduos'!D47/'Premissas Geração de Resíduos'!D52)*F165)</f>
        <v>61889.008521992553</v>
      </c>
      <c r="G171" s="1027">
        <f>IF(G93&gt;PAINEL!$D$33,0,('Premissas Geração de Resíduos'!E47/'Premissas Geração de Resíduos'!E52)*G165)</f>
        <v>50283.834581873823</v>
      </c>
      <c r="H171" s="1027">
        <f>IF(H93&gt;PAINEL!$D$33,0,('Premissas Geração de Resíduos'!F47/'Premissas Geração de Resíduos'!F52)*H165)</f>
        <v>50435.661684116742</v>
      </c>
      <c r="I171" s="1027">
        <f>IF(I93&gt;PAINEL!$D$33,0,('Premissas Geração de Resíduos'!G47/'Premissas Geração de Resíduos'!G52)*I165)</f>
        <v>50587.322017608312</v>
      </c>
      <c r="J171" s="1027">
        <f>IF(J93&gt;PAINEL!$D$33,0,('Premissas Geração de Resíduos'!H47/'Premissas Geração de Resíduos'!H52)*J165)</f>
        <v>50738.817863805343</v>
      </c>
      <c r="K171" s="1027">
        <f>IF(K93&gt;PAINEL!$D$33,0,('Premissas Geração de Resíduos'!I47/'Premissas Geração de Resíduos'!I52)*K165)</f>
        <v>50890.016831162575</v>
      </c>
      <c r="L171" s="1027">
        <f>IF(L93&gt;PAINEL!$D$33,0,('Premissas Geração de Resíduos'!J47/'Premissas Geração de Resíduos'!J52)*L165)</f>
        <v>51056.765646272303</v>
      </c>
      <c r="M171" s="1027">
        <f>IF(M93&gt;PAINEL!$D$33,0,('Premissas Geração de Resíduos'!K47/'Premissas Geração de Resíduos'!K52)*M165)</f>
        <v>51223.257029373897</v>
      </c>
      <c r="N171" s="1027">
        <f>IF(N93&gt;PAINEL!$D$33,0,('Premissas Geração de Resíduos'!L47/'Premissas Geração de Resíduos'!L52)*N165)</f>
        <v>51389.493991098869</v>
      </c>
      <c r="O171" s="1027">
        <f>IF(O93&gt;PAINEL!$D$33,0,('Premissas Geração de Resíduos'!M47/'Premissas Geração de Resíduos'!M52)*O165)</f>
        <v>51555.479495315951</v>
      </c>
      <c r="P171" s="1027">
        <f>IF(P93&gt;PAINEL!$D$33,0,('Premissas Geração de Resíduos'!N47/'Premissas Geração de Resíduos'!N52)*P165)</f>
        <v>51720.800293996355</v>
      </c>
      <c r="Q171" s="1027">
        <f>IF(Q93&gt;PAINEL!$D$33,0,('Premissas Geração de Resíduos'!O47/'Premissas Geração de Resíduos'!O52)*Q165)</f>
        <v>51841.149313255148</v>
      </c>
      <c r="R171" s="1027">
        <f>IF(R93&gt;PAINEL!$D$33,0,('Premissas Geração de Resíduos'!P47/'Premissas Geração de Resíduos'!P52)*R165)</f>
        <v>51961.360988697052</v>
      </c>
      <c r="S171" s="1027">
        <f>IF(S93&gt;PAINEL!$D$33,0,('Premissas Geração de Resíduos'!Q47/'Premissas Geração de Resíduos'!Q52)*S165)</f>
        <v>52081.436235366637</v>
      </c>
      <c r="T171" s="1027">
        <f>IF(T93&gt;PAINEL!$D$33,0,('Premissas Geração de Resíduos'!R47/'Premissas Geração de Resíduos'!R52)*T165)</f>
        <v>52201.375960198005</v>
      </c>
      <c r="U171" s="1027">
        <f>IF(U93&gt;PAINEL!$D$33,0,('Premissas Geração de Resíduos'!S47/'Premissas Geração de Resíduos'!S52)*U165)</f>
        <v>52320.627152376932</v>
      </c>
      <c r="V171" s="1027">
        <f>IF(V93&gt;PAINEL!$D$33,0,('Premissas Geração de Resíduos'!T47/'Premissas Geração de Resíduos'!T52)*V165)</f>
        <v>52403.784702772849</v>
      </c>
      <c r="W171" s="1027">
        <f>IF(W93&gt;PAINEL!$D$33,0,('Premissas Geração de Resíduos'!U47/'Premissas Geração de Resíduos'!U52)*W165)</f>
        <v>52486.888276404519</v>
      </c>
      <c r="X171" s="1027">
        <f>IF(X93&gt;PAINEL!$D$33,0,('Premissas Geração de Resíduos'!V47/'Premissas Geração de Resíduos'!V52)*X165)</f>
        <v>52569.938016792621</v>
      </c>
      <c r="Y171" s="1027">
        <f>IF(Y93&gt;PAINEL!$D$33,0,('Premissas Geração de Resíduos'!W47/'Premissas Geração de Resíduos'!W52)*Y165)</f>
        <v>52652.934066949507</v>
      </c>
      <c r="Z171" s="1027">
        <f>IF(Z93&gt;PAINEL!$D$33,0,('Premissas Geração de Resíduos'!X47/'Premissas Geração de Resíduos'!X52)*Z165)</f>
        <v>52735.481200924223</v>
      </c>
      <c r="AA171" s="1027">
        <f>IF(AA93&gt;PAINEL!$D$33,0,('Premissas Geração de Resíduos'!Y47/'Premissas Geração de Resíduos'!Y52)*AA165)</f>
        <v>52818.370359644694</v>
      </c>
      <c r="AB171" s="1027">
        <f>IF(AB93&gt;PAINEL!$D$33,0,('Premissas Geração de Resíduos'!Z47/'Premissas Geração de Resíduos'!Z52)*AB165)</f>
        <v>52901.206254178171</v>
      </c>
      <c r="AC171" s="1027">
        <f>IF(AC93&gt;PAINEL!$D$33,0,('Premissas Geração de Resíduos'!AA47/'Premissas Geração de Resíduos'!AA52)*AC165)</f>
        <v>52983.989025525414</v>
      </c>
      <c r="AD171" s="1027">
        <f>IF(AD93&gt;PAINEL!$D$33,0,('Premissas Geração de Resíduos'!AB47/'Premissas Geração de Resíduos'!AB52)*AD165)</f>
        <v>53066.718814189968</v>
      </c>
      <c r="AE171" s="1027">
        <f>IF(AE93&gt;PAINEL!$D$33,0,('Premissas Geração de Resíduos'!AC47/'Premissas Geração de Resíduos'!AC52)*AE165)</f>
        <v>53149.395760180298</v>
      </c>
      <c r="AF171" s="1027">
        <f>IF(AF93&gt;PAINEL!$D$33,0,('Premissas Geração de Resíduos'!AD47/'Premissas Geração de Resíduos'!AD52)*AF165)</f>
        <v>53232.02000301201</v>
      </c>
      <c r="AG171" s="1027">
        <f>IF(AG93&gt;PAINEL!$D$33,0,('Premissas Geração de Resíduos'!AE47/'Premissas Geração de Resíduos'!AE52)*AG165)</f>
        <v>53314.591681710001</v>
      </c>
      <c r="AH171" s="1027">
        <f>IF(AH93&gt;PAINEL!$D$33,0,('Premissas Geração de Resíduos'!AF47/'Premissas Geração de Resíduos'!AF52)*AH165)</f>
        <v>53397.110934810647</v>
      </c>
      <c r="AI171" s="1027">
        <f>IF(AI93&gt;PAINEL!$D$33,0,('Premissas Geração de Resíduos'!AG47/'Premissas Geração de Resíduos'!AG52)*AI165)</f>
        <v>53479.57790036386</v>
      </c>
    </row>
    <row r="172" spans="3:35" s="77" customFormat="1" hidden="1" outlineLevel="1" x14ac:dyDescent="0.35">
      <c r="C172" s="1024"/>
      <c r="D172" s="1025" t="s">
        <v>7</v>
      </c>
      <c r="E172" s="1026">
        <f t="shared" si="70"/>
        <v>123796.63101743429</v>
      </c>
      <c r="F172" s="1033">
        <f>IF(F93&gt;PAINEL!$D$33,0,('Premissas Geração de Resíduos'!D48/'Premissas Geração de Resíduos'!D52)*F165)</f>
        <v>5558.6023548298899</v>
      </c>
      <c r="G172" s="1027">
        <f>IF(G93&gt;PAINEL!$D$33,0,('Premissas Geração de Resíduos'!E48/'Premissas Geração de Resíduos'!E52)*G165)</f>
        <v>4480.1428821658155</v>
      </c>
      <c r="H172" s="1027">
        <f>IF(H93&gt;PAINEL!$D$33,0,('Premissas Geração de Resíduos'!F48/'Premissas Geração de Resíduos'!F52)*H165)</f>
        <v>4457.8135276642988</v>
      </c>
      <c r="I172" s="1027">
        <f>IF(I93&gt;PAINEL!$D$33,0,('Premissas Geração de Resíduos'!G48/'Premissas Geração de Resíduos'!G52)*I165)</f>
        <v>4435.6341663824924</v>
      </c>
      <c r="J172" s="1027">
        <f>IF(J93&gt;PAINEL!$D$33,0,('Premissas Geração de Resíduos'!H48/'Premissas Geração de Resíduos'!H52)*J165)</f>
        <v>4413.6027463588889</v>
      </c>
      <c r="K172" s="1027">
        <f>IF(K93&gt;PAINEL!$D$33,0,('Premissas Geração de Resíduos'!I48/'Premissas Geração de Resíduos'!I52)*K165)</f>
        <v>4391.2646400639978</v>
      </c>
      <c r="L172" s="1027">
        <f>IF(L93&gt;PAINEL!$D$33,0,('Premissas Geração de Resíduos'!J48/'Premissas Geração de Resíduos'!J52)*L165)</f>
        <v>4361.97551093939</v>
      </c>
      <c r="M172" s="1027">
        <f>IF(M93&gt;PAINEL!$D$33,0,('Premissas Geração de Resíduos'!K48/'Premissas Geração de Resíduos'!K52)*M165)</f>
        <v>4332.8342806341625</v>
      </c>
      <c r="N172" s="1027">
        <f>IF(N93&gt;PAINEL!$D$33,0,('Premissas Geração de Resíduos'!L48/'Premissas Geração de Resíduos'!L52)*N165)</f>
        <v>4303.8392194921526</v>
      </c>
      <c r="O172" s="1027">
        <f>IF(O93&gt;PAINEL!$D$33,0,('Premissas Geração de Resíduos'!M48/'Premissas Geração de Resíduos'!M52)*O165)</f>
        <v>4274.9886247232625</v>
      </c>
      <c r="P172" s="1027">
        <f>IF(P93&gt;PAINEL!$D$33,0,('Premissas Geração de Resíduos'!N48/'Premissas Geração de Resíduos'!N52)*P165)</f>
        <v>4246.0627310196178</v>
      </c>
      <c r="Q172" s="1027">
        <f>IF(Q93&gt;PAINEL!$D$33,0,('Premissas Geração de Resíduos'!O48/'Premissas Geração de Resíduos'!O52)*Q165)</f>
        <v>4213.2484184381865</v>
      </c>
      <c r="R172" s="1027">
        <f>IF(R93&gt;PAINEL!$D$33,0,('Premissas Geração de Resíduos'!P48/'Premissas Geração de Resíduos'!P52)*R165)</f>
        <v>4180.5171525382102</v>
      </c>
      <c r="S172" s="1027">
        <f>IF(S93&gt;PAINEL!$D$33,0,('Premissas Geração de Resíduos'!Q48/'Premissas Geração de Resíduos'!Q52)*S165)</f>
        <v>4147.8683800263334</v>
      </c>
      <c r="T172" s="1027">
        <f>IF(T93&gt;PAINEL!$D$33,0,('Premissas Geração de Resíduos'!R48/'Premissas Geração de Resíduos'!R52)*T165)</f>
        <v>4115.3015525133624</v>
      </c>
      <c r="U172" s="1027">
        <f>IF(U93&gt;PAINEL!$D$33,0,('Premissas Geração de Resíduos'!S48/'Premissas Geração de Resíduos'!S52)*U165)</f>
        <v>4082.3362216797213</v>
      </c>
      <c r="V172" s="1027">
        <f>IF(V93&gt;PAINEL!$D$33,0,('Premissas Geração de Resíduos'!T48/'Premissas Geração de Resíduos'!T52)*V165)</f>
        <v>4050.2379539120525</v>
      </c>
      <c r="W172" s="1027">
        <f>IF(W93&gt;PAINEL!$D$33,0,('Premissas Geração de Resíduos'!U48/'Premissas Geração de Resíduos'!U52)*W165)</f>
        <v>4018.170084920022</v>
      </c>
      <c r="X172" s="1027">
        <f>IF(X93&gt;PAINEL!$D$33,0,('Premissas Geração de Resíduos'!V48/'Premissas Geração de Resíduos'!V52)*X165)</f>
        <v>3986.1325338752713</v>
      </c>
      <c r="Y172" s="1027">
        <f>IF(Y93&gt;PAINEL!$D$33,0,('Premissas Geração de Resíduos'!W48/'Premissas Geração de Resíduos'!W52)*Y165)</f>
        <v>3954.1252202357437</v>
      </c>
      <c r="Z172" s="1027">
        <f>IF(Z93&gt;PAINEL!$D$33,0,('Premissas Geração de Resíduos'!X48/'Premissas Geração de Resíduos'!X52)*Z165)</f>
        <v>3922.5974007270215</v>
      </c>
      <c r="AA172" s="1027">
        <f>IF(AA93&gt;PAINEL!$D$33,0,('Premissas Geração de Resíduos'!Y48/'Premissas Geração de Resíduos'!Y52)*AA165)</f>
        <v>3890.6501940185194</v>
      </c>
      <c r="AB172" s="1027">
        <f>IF(AB93&gt;PAINEL!$D$33,0,('Premissas Geração de Resíduos'!Z48/'Premissas Geração de Resíduos'!Z52)*AB165)</f>
        <v>3858.7329849378548</v>
      </c>
      <c r="AC172" s="1027">
        <f>IF(AC93&gt;PAINEL!$D$33,0,('Premissas Geração de Resíduos'!AA48/'Premissas Geração de Resíduos'!AA52)*AC165)</f>
        <v>3826.8456940754177</v>
      </c>
      <c r="AD172" s="1027">
        <f>IF(AD93&gt;PAINEL!$D$33,0,('Premissas Geração de Resíduos'!AB48/'Premissas Geração de Resíduos'!AB52)*AD165)</f>
        <v>3794.9882423016397</v>
      </c>
      <c r="AE172" s="1027">
        <f>IF(AE93&gt;PAINEL!$D$33,0,('Premissas Geração de Resíduos'!AC48/'Premissas Geração de Resíduos'!AC52)*AE165)</f>
        <v>3763.1605507657532</v>
      </c>
      <c r="AF172" s="1027">
        <f>IF(AF93&gt;PAINEL!$D$33,0,('Premissas Geração de Resíduos'!AD48/'Premissas Geração de Resíduos'!AD52)*AF165)</f>
        <v>3731.3625408945632</v>
      </c>
      <c r="AG172" s="1027">
        <f>IF(AG93&gt;PAINEL!$D$33,0,('Premissas Geração de Resíduos'!AE48/'Premissas Geração de Resíduos'!AE52)*AG165)</f>
        <v>3699.5941343912345</v>
      </c>
      <c r="AH172" s="1027">
        <f>IF(AH93&gt;PAINEL!$D$33,0,('Premissas Geração de Resíduos'!AF48/'Premissas Geração de Resíduos'!AF52)*AH165)</f>
        <v>3667.8552532340746</v>
      </c>
      <c r="AI172" s="1027">
        <f>IF(AI93&gt;PAINEL!$D$33,0,('Premissas Geração de Resíduos'!AG48/'Premissas Geração de Resíduos'!AG52)*AI165)</f>
        <v>3636.1458196753224</v>
      </c>
    </row>
    <row r="173" spans="3:35" s="77" customFormat="1" hidden="1" outlineLevel="1" x14ac:dyDescent="0.35">
      <c r="C173" s="1024"/>
      <c r="D173" s="1025" t="s">
        <v>8</v>
      </c>
      <c r="E173" s="1026">
        <f t="shared" si="70"/>
        <v>117487.39478699103</v>
      </c>
      <c r="F173" s="1033">
        <f>IF(F93&gt;PAINEL!$D$33,0,('Premissas Geração de Resíduos'!D49/'Premissas Geração de Resíduos'!D52)*F165)</f>
        <v>4494.4057235865585</v>
      </c>
      <c r="G173" s="1027">
        <f>IF(G93&gt;PAINEL!$D$33,0,('Premissas Geração de Resíduos'!E49/'Premissas Geração de Resíduos'!E52)*G165)</f>
        <v>3663.6056400146149</v>
      </c>
      <c r="H173" s="1027">
        <f>IF(H93&gt;PAINEL!$D$33,0,('Premissas Geração de Resíduos'!F49/'Premissas Geração de Resíduos'!F52)*H165)</f>
        <v>3686.5484728253778</v>
      </c>
      <c r="I173" s="1027">
        <f>IF(I93&gt;PAINEL!$D$33,0,('Premissas Geração de Resíduos'!G49/'Premissas Geração de Resíduos'!G52)*I165)</f>
        <v>3709.4245323062619</v>
      </c>
      <c r="J173" s="1027">
        <f>IF(J93&gt;PAINEL!$D$33,0,('Premissas Geração de Resíduos'!H49/'Premissas Geração de Resíduos'!H52)*J165)</f>
        <v>3732.2347319405694</v>
      </c>
      <c r="K173" s="1027">
        <f>IF(K93&gt;PAINEL!$D$33,0,('Premissas Geração de Resíduos'!I49/'Premissas Geração de Resíduos'!I52)*K165)</f>
        <v>3754.5254448407159</v>
      </c>
      <c r="L173" s="1027">
        <f>IF(L93&gt;PAINEL!$D$33,0,('Premissas Geração de Resíduos'!J49/'Premissas Geração de Resíduos'!J52)*L165)</f>
        <v>3771.809475435015</v>
      </c>
      <c r="M173" s="1027">
        <f>IF(M93&gt;PAINEL!$D$33,0,('Premissas Geração de Resíduos'!K49/'Premissas Geração de Resíduos'!K52)*M165)</f>
        <v>3789.05511086351</v>
      </c>
      <c r="N173" s="1027">
        <f>IF(N93&gt;PAINEL!$D$33,0,('Premissas Geração de Resíduos'!L49/'Premissas Geração de Resíduos'!L52)*N165)</f>
        <v>3806.2628001523294</v>
      </c>
      <c r="O173" s="1027">
        <f>IF(O93&gt;PAINEL!$D$33,0,('Premissas Geração de Resíduos'!M49/'Premissas Geração de Resíduos'!M52)*O165)</f>
        <v>3823.4329853530667</v>
      </c>
      <c r="P173" s="1027">
        <f>IF(P93&gt;PAINEL!$D$33,0,('Premissas Geração de Resíduos'!N49/'Premissas Geração de Resíduos'!N52)*P165)</f>
        <v>3840.8081154293382</v>
      </c>
      <c r="Q173" s="1027">
        <f>IF(Q93&gt;PAINEL!$D$33,0,('Premissas Geração de Resíduos'!O49/'Premissas Geração de Resíduos'!O52)*Q165)</f>
        <v>3856.1348925138041</v>
      </c>
      <c r="R173" s="1027">
        <f>IF(R93&gt;PAINEL!$D$33,0,('Premissas Geração de Resíduos'!P49/'Premissas Geração de Resíduos'!P52)*R165)</f>
        <v>3871.4373542525614</v>
      </c>
      <c r="S173" s="1027">
        <f>IF(S93&gt;PAINEL!$D$33,0,('Premissas Geração de Resíduos'!Q49/'Premissas Geração de Resíduos'!Q52)*S165)</f>
        <v>3886.7156626450828</v>
      </c>
      <c r="T173" s="1027">
        <f>IF(T93&gt;PAINEL!$D$33,0,('Premissas Geração de Resíduos'!R49/'Premissas Geração de Resíduos'!R52)*T165)</f>
        <v>3901.9699782549551</v>
      </c>
      <c r="U173" s="1027">
        <f>IF(U93&gt;PAINEL!$D$33,0,('Premissas Geração de Resíduos'!S49/'Premissas Geração de Resíduos'!S52)*U165)</f>
        <v>3917.4095630637912</v>
      </c>
      <c r="V173" s="1027">
        <f>IF(V93&gt;PAINEL!$D$33,0,('Premissas Geração de Resíduos'!T49/'Premissas Geração de Resíduos'!T52)*V165)</f>
        <v>3928.2607905109076</v>
      </c>
      <c r="W173" s="1027">
        <f>IF(W93&gt;PAINEL!$D$33,0,('Premissas Geração de Resíduos'!U49/'Premissas Geração de Resíduos'!U52)*W165)</f>
        <v>3939.1038281871524</v>
      </c>
      <c r="X173" s="1027">
        <f>IF(X93&gt;PAINEL!$D$33,0,('Premissas Geração de Resíduos'!V49/'Premissas Geração de Resíduos'!V52)*X165)</f>
        <v>3949.938697868588</v>
      </c>
      <c r="Y173" s="1027">
        <f>IF(Y93&gt;PAINEL!$D$33,0,('Premissas Geração de Resíduos'!W49/'Premissas Geração de Resíduos'!W52)*Y165)</f>
        <v>3960.7654212541488</v>
      </c>
      <c r="Z173" s="1027">
        <f>IF(Z93&gt;PAINEL!$D$33,0,('Premissas Geração de Resíduos'!X49/'Premissas Geração de Resíduos'!X52)*Z165)</f>
        <v>3971.804381365117</v>
      </c>
      <c r="AA173" s="1027">
        <f>IF(AA93&gt;PAINEL!$D$33,0,('Premissas Geração de Resíduos'!Y49/'Premissas Geração de Resíduos'!Y52)*AA165)</f>
        <v>3982.614760255683</v>
      </c>
      <c r="AB173" s="1027">
        <f>IF(AB93&gt;PAINEL!$D$33,0,('Premissas Geração de Resíduos'!Z49/'Premissas Geração de Resíduos'!Z52)*AB165)</f>
        <v>3993.4170577158329</v>
      </c>
      <c r="AC173" s="1027">
        <f>IF(AC93&gt;PAINEL!$D$33,0,('Premissas Geração de Resíduos'!AA49/'Premissas Geração de Resíduos'!AA52)*AC165)</f>
        <v>4004.2112951386989</v>
      </c>
      <c r="AD173" s="1027">
        <f>IF(AD93&gt;PAINEL!$D$33,0,('Premissas Geração de Resíduos'!AB49/'Premissas Geração de Resíduos'!AB52)*AD165)</f>
        <v>4014.9974938419737</v>
      </c>
      <c r="AE173" s="1027">
        <f>IF(AE93&gt;PAINEL!$D$33,0,('Premissas Geração de Resíduos'!AC49/'Premissas Geração de Resíduos'!AC52)*AE165)</f>
        <v>4025.7756750682352</v>
      </c>
      <c r="AF173" s="1027">
        <f>IF(AF93&gt;PAINEL!$D$33,0,('Premissas Geração de Resíduos'!AD49/'Premissas Geração de Resíduos'!AD52)*AF165)</f>
        <v>4036.5458599852855</v>
      </c>
      <c r="AG173" s="1027">
        <f>IF(AG93&gt;PAINEL!$D$33,0,('Premissas Geração de Resíduos'!AE49/'Premissas Geração de Resíduos'!AE52)*AG165)</f>
        <v>4047.3080696864695</v>
      </c>
      <c r="AH173" s="1027">
        <f>IF(AH93&gt;PAINEL!$D$33,0,('Premissas Geração de Resíduos'!AF49/'Premissas Geração de Resíduos'!AF52)*AH165)</f>
        <v>4058.062325191017</v>
      </c>
      <c r="AI173" s="1027">
        <f>IF(AI93&gt;PAINEL!$D$33,0,('Premissas Geração de Resíduos'!AG49/'Premissas Geração de Resíduos'!AG52)*AI165)</f>
        <v>4068.8086474443498</v>
      </c>
    </row>
    <row r="174" spans="3:35" s="77" customFormat="1" hidden="1" outlineLevel="1" x14ac:dyDescent="0.35">
      <c r="C174" s="1024"/>
      <c r="D174" s="1025" t="s">
        <v>9</v>
      </c>
      <c r="E174" s="1026">
        <f t="shared" si="70"/>
        <v>96078.87292343947</v>
      </c>
      <c r="F174" s="1033">
        <f>IF(F93&gt;PAINEL!$D$33,0,('Premissas Geração de Resíduos'!D50/'Premissas Geração de Resíduos'!D52)*F165)</f>
        <v>3664.9198552329131</v>
      </c>
      <c r="G174" s="1027">
        <f>IF(G93&gt;PAINEL!$D$33,0,('Premissas Geração de Resíduos'!E50/'Premissas Geração de Resíduos'!E52)*G165)</f>
        <v>2987.8587859027257</v>
      </c>
      <c r="H174" s="1027">
        <f>IF(H93&gt;PAINEL!$D$33,0,('Premissas Geração de Resíduos'!F50/'Premissas Geração de Resíduos'!F52)*H165)</f>
        <v>3006.9722706596162</v>
      </c>
      <c r="I174" s="1027">
        <f>IF(I93&gt;PAINEL!$D$33,0,('Premissas Geração de Resíduos'!G50/'Premissas Geração de Resíduos'!G52)*I165)</f>
        <v>3026.0294481771803</v>
      </c>
      <c r="J174" s="1027">
        <f>IF(J93&gt;PAINEL!$D$33,0,('Premissas Geração de Resíduos'!H50/'Premissas Geração de Resíduos'!H52)*J165)</f>
        <v>3045.0310887588175</v>
      </c>
      <c r="K174" s="1027">
        <f>IF(K93&gt;PAINEL!$D$33,0,('Premissas Geração de Resíduos'!I50/'Premissas Geração de Resíduos'!I52)*K165)</f>
        <v>3064.4529373620835</v>
      </c>
      <c r="L174" s="1027">
        <f>IF(L93&gt;PAINEL!$D$33,0,('Premissas Geração de Resíduos'!J50/'Premissas Geração de Resíduos'!J52)*L165)</f>
        <v>3080.2994495880216</v>
      </c>
      <c r="M174" s="1027">
        <f>IF(M93&gt;PAINEL!$D$33,0,('Premissas Geração de Resíduos'!K50/'Premissas Geração de Resíduos'!K52)*M165)</f>
        <v>3096.1078497265912</v>
      </c>
      <c r="N174" s="1027">
        <f>IF(N93&gt;PAINEL!$D$33,0,('Premissas Geração de Resíduos'!L50/'Premissas Geração de Resíduos'!L52)*N165)</f>
        <v>3111.8785834933574</v>
      </c>
      <c r="O174" s="1027">
        <f>IF(O93&gt;PAINEL!$D$33,0,('Premissas Geração de Resíduos'!M50/'Premissas Geração de Resíduos'!M52)*O165)</f>
        <v>3127.6120896807729</v>
      </c>
      <c r="P174" s="1027">
        <f>IF(P93&gt;PAINEL!$D$33,0,('Premissas Geração de Resíduos'!N50/'Premissas Geração de Resíduos'!N52)*P165)</f>
        <v>3143.0874482918325</v>
      </c>
      <c r="Q174" s="1027">
        <f>IF(Q93&gt;PAINEL!$D$33,0,('Premissas Geração de Resíduos'!O50/'Premissas Geração de Resíduos'!O52)*Q165)</f>
        <v>3154.8100067629521</v>
      </c>
      <c r="R174" s="1027">
        <f>IF(R93&gt;PAINEL!$D$33,0,('Premissas Geração de Resíduos'!P50/'Premissas Geração de Resíduos'!P52)*R165)</f>
        <v>3166.5144784901308</v>
      </c>
      <c r="S174" s="1027">
        <f>IF(S93&gt;PAINEL!$D$33,0,('Premissas Geração de Resíduos'!Q50/'Premissas Geração de Resíduos'!Q52)*S165)</f>
        <v>3178.200983975174</v>
      </c>
      <c r="T174" s="1027">
        <f>IF(T93&gt;PAINEL!$D$33,0,('Premissas Geração de Resíduos'!R50/'Premissas Geração de Resíduos'!R52)*T165)</f>
        <v>3189.8696426518113</v>
      </c>
      <c r="U174" s="1027">
        <f>IF(U93&gt;PAINEL!$D$33,0,('Premissas Geração de Resíduos'!S50/'Premissas Geração de Resíduos'!S52)*U165)</f>
        <v>3201.9627644224997</v>
      </c>
      <c r="V174" s="1027">
        <f>IF(V93&gt;PAINEL!$D$33,0,('Premissas Geração de Resíduos'!T50/'Premissas Geração de Resíduos'!T52)*V165)</f>
        <v>3211.5303153380196</v>
      </c>
      <c r="W174" s="1027">
        <f>IF(W93&gt;PAINEL!$D$33,0,('Premissas Geração de Resíduos'!U50/'Premissas Geração de Resíduos'!U52)*W165)</f>
        <v>3221.0905460303948</v>
      </c>
      <c r="X174" s="1027">
        <f>IF(X93&gt;PAINEL!$D$33,0,('Premissas Geração de Resíduos'!V50/'Premissas Geração de Resíduos'!V52)*X165)</f>
        <v>3230.6434759636195</v>
      </c>
      <c r="Y174" s="1027">
        <f>IF(Y93&gt;PAINEL!$D$33,0,('Premissas Geração de Resíduos'!W50/'Premissas Geração de Resíduos'!W52)*Y165)</f>
        <v>3240.189124532747</v>
      </c>
      <c r="Z174" s="1027">
        <f>IF(Z93&gt;PAINEL!$D$33,0,('Premissas Geração de Resíduos'!X50/'Premissas Geração de Resíduos'!X52)*Z165)</f>
        <v>3250.1782885655193</v>
      </c>
      <c r="AA174" s="1027">
        <f>IF(AA93&gt;PAINEL!$D$33,0,('Premissas Geração de Resíduos'!Y50/'Premissas Geração de Resíduos'!Y52)*AA165)</f>
        <v>3259.7092147098188</v>
      </c>
      <c r="AB174" s="1027">
        <f>IF(AB93&gt;PAINEL!$D$33,0,('Premissas Geração de Resíduos'!Z50/'Premissas Geração de Resíduos'!Z52)*AB165)</f>
        <v>3269.2329176685334</v>
      </c>
      <c r="AC174" s="1027">
        <f>IF(AC93&gt;PAINEL!$D$33,0,('Premissas Geração de Resíduos'!AA50/'Premissas Geração de Resíduos'!AA52)*AC165)</f>
        <v>3278.7494165628545</v>
      </c>
      <c r="AD174" s="1027">
        <f>IF(AD93&gt;PAINEL!$D$33,0,('Premissas Geração de Resíduos'!AB50/'Premissas Geração de Resíduos'!AB52)*AD165)</f>
        <v>3288.2587304465419</v>
      </c>
      <c r="AE174" s="1027">
        <f>IF(AE93&gt;PAINEL!$D$33,0,('Premissas Geração de Resíduos'!AC50/'Premissas Geração de Resíduos'!AC52)*AE165)</f>
        <v>3297.7608783062219</v>
      </c>
      <c r="AF174" s="1027">
        <f>IF(AF93&gt;PAINEL!$D$33,0,('Premissas Geração de Resíduos'!AD50/'Premissas Geração de Resíduos'!AD52)*AF165)</f>
        <v>3307.2558790616822</v>
      </c>
      <c r="AG174" s="1027">
        <f>IF(AG93&gt;PAINEL!$D$33,0,('Premissas Geração de Resíduos'!AE50/'Premissas Geração de Resíduos'!AE52)*AG165)</f>
        <v>3316.7437515661654</v>
      </c>
      <c r="AH174" s="1027">
        <f>IF(AH93&gt;PAINEL!$D$33,0,('Premissas Geração de Resíduos'!AF50/'Premissas Geração de Resíduos'!AF52)*AH165)</f>
        <v>3326.2245146066639</v>
      </c>
      <c r="AI174" s="1027">
        <f>IF(AI93&gt;PAINEL!$D$33,0,('Premissas Geração de Resíduos'!AG50/'Premissas Geração de Resíduos'!AG52)*AI165)</f>
        <v>3335.6981869042056</v>
      </c>
    </row>
    <row r="175" spans="3:35" s="77" customFormat="1" collapsed="1" x14ac:dyDescent="0.35">
      <c r="C175"/>
      <c r="D175" t="s">
        <v>467</v>
      </c>
      <c r="E175" s="486">
        <f t="shared" ref="E175:AI175" si="71">SUM(E176:E184)</f>
        <v>972556.04760178982</v>
      </c>
      <c r="F175" s="477">
        <f t="shared" si="71"/>
        <v>31022.051796026615</v>
      </c>
      <c r="G175" s="477">
        <f t="shared" si="71"/>
        <v>31164.787836769596</v>
      </c>
      <c r="H175" s="477">
        <f t="shared" si="71"/>
        <v>31307.523877512573</v>
      </c>
      <c r="I175" s="477">
        <f t="shared" si="71"/>
        <v>31450.259918255546</v>
      </c>
      <c r="J175" s="477">
        <f t="shared" si="71"/>
        <v>31592.99595899853</v>
      </c>
      <c r="K175" s="477">
        <f t="shared" si="71"/>
        <v>31735.690260472344</v>
      </c>
      <c r="L175" s="477">
        <f t="shared" si="71"/>
        <v>31859.666456761803</v>
      </c>
      <c r="M175" s="477">
        <f t="shared" si="71"/>
        <v>31983.642653051258</v>
      </c>
      <c r="N175" s="477">
        <f t="shared" si="71"/>
        <v>32107.618849340728</v>
      </c>
      <c r="O175" s="477">
        <f t="shared" si="71"/>
        <v>32231.595045630183</v>
      </c>
      <c r="P175" s="477">
        <f t="shared" si="71"/>
        <v>32355.308860838093</v>
      </c>
      <c r="Q175" s="477">
        <f t="shared" si="71"/>
        <v>32426.518692267979</v>
      </c>
      <c r="R175" s="477">
        <f t="shared" si="71"/>
        <v>32497.728523697861</v>
      </c>
      <c r="S175" s="477">
        <f t="shared" si="71"/>
        <v>32568.938355127746</v>
      </c>
      <c r="T175" s="477">
        <f t="shared" si="71"/>
        <v>32640.148186557628</v>
      </c>
      <c r="U175" s="477">
        <f t="shared" si="71"/>
        <v>32711.696955705258</v>
      </c>
      <c r="V175" s="477">
        <f t="shared" si="71"/>
        <v>32739.656479694739</v>
      </c>
      <c r="W175" s="477">
        <f t="shared" si="71"/>
        <v>32767.616003684227</v>
      </c>
      <c r="X175" s="477">
        <f t="shared" si="71"/>
        <v>32795.575527673704</v>
      </c>
      <c r="Y175" s="477">
        <f t="shared" si="71"/>
        <v>32823.535051663188</v>
      </c>
      <c r="Z175" s="477">
        <f t="shared" si="71"/>
        <v>32851.531373253354</v>
      </c>
      <c r="AA175" s="477">
        <f t="shared" si="71"/>
        <v>32879.490897242838</v>
      </c>
      <c r="AB175" s="477">
        <f t="shared" si="71"/>
        <v>32907.450421232315</v>
      </c>
      <c r="AC175" s="477">
        <f t="shared" si="71"/>
        <v>32935.409945221807</v>
      </c>
      <c r="AD175" s="477">
        <f t="shared" si="71"/>
        <v>32963.369469211284</v>
      </c>
      <c r="AE175" s="477">
        <f t="shared" si="71"/>
        <v>32991.328993200768</v>
      </c>
      <c r="AF175" s="477">
        <f t="shared" si="71"/>
        <v>33019.288517190245</v>
      </c>
      <c r="AG175" s="477">
        <f t="shared" si="71"/>
        <v>33047.248041179737</v>
      </c>
      <c r="AH175" s="477">
        <f t="shared" si="71"/>
        <v>33075.207565169214</v>
      </c>
      <c r="AI175" s="477">
        <f t="shared" si="71"/>
        <v>33103.167089158698</v>
      </c>
    </row>
    <row r="176" spans="3:35" s="77" customFormat="1" hidden="1" outlineLevel="1" x14ac:dyDescent="0.35">
      <c r="C176" s="1020"/>
      <c r="D176" s="1021" t="s">
        <v>1</v>
      </c>
      <c r="E176" s="1022">
        <f t="shared" ref="E176:E207" si="72">SUM(F176:AI176)</f>
        <v>6981.1867104817657</v>
      </c>
      <c r="F176" s="1032">
        <f>'Premissas Economias e Água'!F62*'Premissas Gerais'!$G$89</f>
        <v>260.16355580919424</v>
      </c>
      <c r="G176" s="1023">
        <f>'Premissas Economias e Água'!G62*'Premissas Gerais'!$G$89</f>
        <v>258.68647278983849</v>
      </c>
      <c r="H176" s="1023">
        <f>'Premissas Economias e Água'!H62*'Premissas Gerais'!$G$89</f>
        <v>257.20938977048274</v>
      </c>
      <c r="I176" s="1023">
        <f>'Premissas Economias e Água'!I62*'Premissas Gerais'!$G$89</f>
        <v>255.732306751127</v>
      </c>
      <c r="J176" s="1023">
        <f>'Premissas Economias e Água'!J62*'Premissas Gerais'!$G$89</f>
        <v>254.25522373177122</v>
      </c>
      <c r="K176" s="1023">
        <f>'Premissas Economias e Água'!K62*'Premissas Gerais'!$G$89</f>
        <v>252.77814071241548</v>
      </c>
      <c r="L176" s="1023">
        <f>'Premissas Economias e Água'!L62*'Premissas Gerais'!$G$89</f>
        <v>250.90716888789817</v>
      </c>
      <c r="M176" s="1023">
        <f>'Premissas Economias e Água'!M62*'Premissas Gerais'!$G$89</f>
        <v>249.03619706338088</v>
      </c>
      <c r="N176" s="1023">
        <f>'Premissas Economias e Água'!N62*'Premissas Gerais'!$G$89</f>
        <v>247.16522523886357</v>
      </c>
      <c r="O176" s="1023">
        <f>'Premissas Economias e Água'!O62*'Premissas Gerais'!$G$89</f>
        <v>245.29425341434626</v>
      </c>
      <c r="P176" s="1023">
        <f>'Premissas Economias e Água'!P62*'Premissas Gerais'!$G$89</f>
        <v>243.62022599240976</v>
      </c>
      <c r="Q176" s="1023">
        <f>'Premissas Economias e Água'!Q62*'Premissas Gerais'!$G$89</f>
        <v>241.45383756402131</v>
      </c>
      <c r="R176" s="1023">
        <f>'Premissas Economias e Água'!R62*'Premissas Gerais'!$G$89</f>
        <v>239.28744913563284</v>
      </c>
      <c r="S176" s="1023">
        <f>'Premissas Economias e Água'!S62*'Premissas Gerais'!$G$89</f>
        <v>237.12106070724442</v>
      </c>
      <c r="T176" s="1023">
        <f>'Premissas Economias e Água'!T62*'Premissas Gerais'!$G$89</f>
        <v>234.95467227885598</v>
      </c>
      <c r="U176" s="1023">
        <f>'Premissas Economias e Água'!U62*'Premissas Gerais'!$G$89</f>
        <v>232.88675605175791</v>
      </c>
      <c r="V176" s="1023">
        <f>'Premissas Economias e Água'!V62*'Premissas Gerais'!$G$89</f>
        <v>230.62189542207909</v>
      </c>
      <c r="W176" s="1023">
        <f>'Premissas Economias e Água'!W62*'Premissas Gerais'!$G$89</f>
        <v>228.35703479240024</v>
      </c>
      <c r="X176" s="1023">
        <f>'Premissas Economias e Água'!X62*'Premissas Gerais'!$G$89</f>
        <v>226.09217416272142</v>
      </c>
      <c r="Y176" s="1023">
        <f>'Premissas Economias e Água'!Y62*'Premissas Gerais'!$G$89</f>
        <v>223.8273135330426</v>
      </c>
      <c r="Z176" s="1023">
        <f>'Premissas Economias e Água'!Z62*'Premissas Gerais'!$G$89</f>
        <v>221.36550850078299</v>
      </c>
      <c r="AA176" s="1023">
        <f>'Premissas Economias e Água'!AA62*'Premissas Gerais'!$G$89</f>
        <v>219.10064787110417</v>
      </c>
      <c r="AB176" s="1023">
        <f>'Premissas Economias e Água'!AB62*'Premissas Gerais'!$G$89</f>
        <v>216.83578724142535</v>
      </c>
      <c r="AC176" s="1023">
        <f>'Premissas Economias e Água'!AC62*'Premissas Gerais'!$G$89</f>
        <v>214.57092661174653</v>
      </c>
      <c r="AD176" s="1023">
        <f>'Premissas Economias e Água'!AD62*'Premissas Gerais'!$G$89</f>
        <v>212.30606598206768</v>
      </c>
      <c r="AE176" s="1023">
        <f>'Premissas Economias e Água'!AE62*'Premissas Gerais'!$G$89</f>
        <v>210.04120535238886</v>
      </c>
      <c r="AF176" s="1023">
        <f>'Premissas Economias e Água'!AF62*'Premissas Gerais'!$G$89</f>
        <v>207.77634472271004</v>
      </c>
      <c r="AG176" s="1023">
        <f>'Premissas Economias e Água'!AG62*'Premissas Gerais'!$G$89</f>
        <v>205.51148409303119</v>
      </c>
      <c r="AH176" s="1023">
        <f>'Premissas Economias e Água'!AH62*'Premissas Gerais'!$G$89</f>
        <v>203.24662346335236</v>
      </c>
      <c r="AI176" s="1023">
        <f>'Premissas Economias e Água'!AI62*'Premissas Gerais'!$G$89</f>
        <v>200.98176283367354</v>
      </c>
    </row>
    <row r="177" spans="3:35" s="77" customFormat="1" hidden="1" outlineLevel="1" x14ac:dyDescent="0.35">
      <c r="C177" s="1024"/>
      <c r="D177" s="1025" t="s">
        <v>2</v>
      </c>
      <c r="E177" s="1026">
        <f t="shared" si="72"/>
        <v>92044.845926250287</v>
      </c>
      <c r="F177" s="1033">
        <f>'Premissas Economias e Água'!F63*'Premissas Gerais'!$G$89</f>
        <v>3148.5857768979458</v>
      </c>
      <c r="G177" s="1027">
        <f>'Premissas Economias e Água'!G63*'Premissas Gerais'!$G$89</f>
        <v>3150.3579248984511</v>
      </c>
      <c r="H177" s="1027">
        <f>'Premissas Economias e Água'!H63*'Premissas Gerais'!$G$89</f>
        <v>3152.1300728989563</v>
      </c>
      <c r="I177" s="1027">
        <f>'Premissas Economias e Água'!I63*'Premissas Gerais'!$G$89</f>
        <v>3153.9022208994616</v>
      </c>
      <c r="J177" s="1027">
        <f>'Premissas Economias e Água'!J63*'Premissas Gerais'!$G$89</f>
        <v>3155.6743688999672</v>
      </c>
      <c r="K177" s="1027">
        <f>'Premissas Economias e Água'!K63*'Premissas Gerais'!$G$89</f>
        <v>3157.6550049005318</v>
      </c>
      <c r="L177" s="1027">
        <f>'Premissas Economias e Água'!L63*'Premissas Gerais'!$G$89</f>
        <v>3152.9640248991941</v>
      </c>
      <c r="M177" s="1027">
        <f>'Premissas Economias e Água'!M63*'Premissas Gerais'!$G$89</f>
        <v>3148.2730448978564</v>
      </c>
      <c r="N177" s="1027">
        <f>'Premissas Economias e Água'!N63*'Premissas Gerais'!$G$89</f>
        <v>3143.5820648965182</v>
      </c>
      <c r="O177" s="1027">
        <f>'Premissas Economias e Água'!O63*'Premissas Gerais'!$G$89</f>
        <v>3138.8910848951809</v>
      </c>
      <c r="P177" s="1027">
        <f>'Premissas Economias e Água'!P63*'Premissas Gerais'!$G$89</f>
        <v>3134.2001048938432</v>
      </c>
      <c r="Q177" s="1027">
        <f>'Premissas Economias e Água'!Q63*'Premissas Gerais'!$G$89</f>
        <v>3125.1308768912563</v>
      </c>
      <c r="R177" s="1027">
        <f>'Premissas Economias e Água'!R63*'Premissas Gerais'!$G$89</f>
        <v>3116.0616488886699</v>
      </c>
      <c r="S177" s="1027">
        <f>'Premissas Economias e Água'!S63*'Premissas Gerais'!$G$89</f>
        <v>3106.9924208860834</v>
      </c>
      <c r="T177" s="1027">
        <f>'Premissas Economias e Água'!T63*'Premissas Gerais'!$G$89</f>
        <v>3097.923192883497</v>
      </c>
      <c r="U177" s="1027">
        <f>'Premissas Economias e Água'!U63*'Premissas Gerais'!$G$89</f>
        <v>3088.6454768808512</v>
      </c>
      <c r="V177" s="1027">
        <f>'Premissas Economias e Água'!V63*'Premissas Gerais'!$G$89</f>
        <v>3075.6149768771352</v>
      </c>
      <c r="W177" s="1027">
        <f>'Premissas Economias e Água'!W63*'Premissas Gerais'!$G$89</f>
        <v>3062.5844768734187</v>
      </c>
      <c r="X177" s="1027">
        <f>'Premissas Economias e Água'!X63*'Premissas Gerais'!$G$89</f>
        <v>3049.5539768697026</v>
      </c>
      <c r="Y177" s="1027">
        <f>'Premissas Economias e Água'!Y63*'Premissas Gerais'!$G$89</f>
        <v>3036.5234768659866</v>
      </c>
      <c r="Z177" s="1027">
        <f>'Premissas Economias e Água'!Z63*'Premissas Gerais'!$G$89</f>
        <v>3023.5972208623002</v>
      </c>
      <c r="AA177" s="1027">
        <f>'Premissas Economias e Água'!AA63*'Premissas Gerais'!$G$89</f>
        <v>3010.5667208585837</v>
      </c>
      <c r="AB177" s="1027">
        <f>'Premissas Economias e Água'!AB63*'Premissas Gerais'!$G$89</f>
        <v>2997.5362208548677</v>
      </c>
      <c r="AC177" s="1027">
        <f>'Premissas Economias e Água'!AC63*'Premissas Gerais'!$G$89</f>
        <v>2984.5057208511516</v>
      </c>
      <c r="AD177" s="1027">
        <f>'Premissas Economias e Água'!AD63*'Premissas Gerais'!$G$89</f>
        <v>2971.4752208474351</v>
      </c>
      <c r="AE177" s="1027">
        <f>'Premissas Economias e Água'!AE63*'Premissas Gerais'!$G$89</f>
        <v>2958.4447208437191</v>
      </c>
      <c r="AF177" s="1027">
        <f>'Premissas Economias e Água'!AF63*'Premissas Gerais'!$G$89</f>
        <v>2945.4142208400031</v>
      </c>
      <c r="AG177" s="1027">
        <f>'Premissas Economias e Água'!AG63*'Premissas Gerais'!$G$89</f>
        <v>2932.383720836287</v>
      </c>
      <c r="AH177" s="1027">
        <f>'Premissas Economias e Água'!AH63*'Premissas Gerais'!$G$89</f>
        <v>2919.3532208325705</v>
      </c>
      <c r="AI177" s="1027">
        <f>'Premissas Economias e Água'!AI63*'Premissas Gerais'!$G$89</f>
        <v>2906.3227208288545</v>
      </c>
    </row>
    <row r="178" spans="3:35" s="77" customFormat="1" hidden="1" outlineLevel="1" x14ac:dyDescent="0.35">
      <c r="C178" s="1024"/>
      <c r="D178" s="1025" t="s">
        <v>3</v>
      </c>
      <c r="E178" s="1026">
        <f t="shared" si="72"/>
        <v>12330.81569285057</v>
      </c>
      <c r="F178" s="1033">
        <f>'Premissas Economias e Água'!F64*'Premissas Gerais'!$G$89</f>
        <v>416.68431360242067</v>
      </c>
      <c r="G178" s="1027">
        <f>'Premissas Economias e Água'!G64*'Premissas Gerais'!$G$89</f>
        <v>417.14145492288412</v>
      </c>
      <c r="H178" s="1027">
        <f>'Premissas Economias e Água'!H64*'Premissas Gerais'!$G$89</f>
        <v>417.59859624334757</v>
      </c>
      <c r="I178" s="1027">
        <f>'Premissas Economias e Água'!I64*'Premissas Gerais'!$G$89</f>
        <v>418.05573756381102</v>
      </c>
      <c r="J178" s="1027">
        <f>'Premissas Economias e Água'!J64*'Premissas Gerais'!$G$89</f>
        <v>418.51287888427447</v>
      </c>
      <c r="K178" s="1027">
        <f>'Premissas Economias e Água'!K64*'Premissas Gerais'!$G$89</f>
        <v>419.19859086496962</v>
      </c>
      <c r="L178" s="1027">
        <f>'Premissas Economias e Água'!L64*'Premissas Gerais'!$G$89</f>
        <v>419.08430553485374</v>
      </c>
      <c r="M178" s="1027">
        <f>'Premissas Economias e Água'!M64*'Premissas Gerais'!$G$89</f>
        <v>418.97002020473786</v>
      </c>
      <c r="N178" s="1027">
        <f>'Premissas Economias e Água'!N64*'Premissas Gerais'!$G$89</f>
        <v>418.85573487462204</v>
      </c>
      <c r="O178" s="1027">
        <f>'Premissas Economias e Água'!O64*'Premissas Gerais'!$G$89</f>
        <v>418.74144954450617</v>
      </c>
      <c r="P178" s="1027">
        <f>'Premissas Economias e Água'!P64*'Premissas Gerais'!$G$89</f>
        <v>418.39859355415859</v>
      </c>
      <c r="Q178" s="1027">
        <f>'Premissas Economias e Água'!Q64*'Premissas Gerais'!$G$89</f>
        <v>417.4843109132317</v>
      </c>
      <c r="R178" s="1027">
        <f>'Premissas Economias e Água'!R64*'Premissas Gerais'!$G$89</f>
        <v>416.5700282723048</v>
      </c>
      <c r="S178" s="1027">
        <f>'Premissas Economias e Água'!S64*'Premissas Gerais'!$G$89</f>
        <v>415.65574563137801</v>
      </c>
      <c r="T178" s="1027">
        <f>'Premissas Economias e Água'!T64*'Premissas Gerais'!$G$89</f>
        <v>414.74146299045111</v>
      </c>
      <c r="U178" s="1027">
        <f>'Premissas Economias e Água'!U64*'Premissas Gerais'!$G$89</f>
        <v>413.94146567964009</v>
      </c>
      <c r="V178" s="1027">
        <f>'Premissas Economias e Água'!V64*'Premissas Gerais'!$G$89</f>
        <v>412.5700417182498</v>
      </c>
      <c r="W178" s="1027">
        <f>'Premissas Economias e Água'!W64*'Premissas Gerais'!$G$89</f>
        <v>411.19861775685951</v>
      </c>
      <c r="X178" s="1027">
        <f>'Premissas Economias e Água'!X64*'Premissas Gerais'!$G$89</f>
        <v>409.82719379546921</v>
      </c>
      <c r="Y178" s="1027">
        <f>'Premissas Economias e Água'!Y64*'Premissas Gerais'!$G$89</f>
        <v>408.45576983407886</v>
      </c>
      <c r="Z178" s="1027">
        <f>'Premissas Economias e Água'!Z64*'Premissas Gerais'!$G$89</f>
        <v>407.08434587268857</v>
      </c>
      <c r="AA178" s="1027">
        <f>'Premissas Economias e Água'!AA64*'Premissas Gerais'!$G$89</f>
        <v>405.71292191129828</v>
      </c>
      <c r="AB178" s="1027">
        <f>'Premissas Economias e Água'!AB64*'Premissas Gerais'!$G$89</f>
        <v>404.34149794990793</v>
      </c>
      <c r="AC178" s="1027">
        <f>'Premissas Economias e Água'!AC64*'Premissas Gerais'!$G$89</f>
        <v>402.97007398851764</v>
      </c>
      <c r="AD178" s="1027">
        <f>'Premissas Economias e Água'!AD64*'Premissas Gerais'!$G$89</f>
        <v>401.59865002712735</v>
      </c>
      <c r="AE178" s="1027">
        <f>'Premissas Economias e Água'!AE64*'Premissas Gerais'!$G$89</f>
        <v>400.22722606573706</v>
      </c>
      <c r="AF178" s="1027">
        <f>'Premissas Economias e Água'!AF64*'Premissas Gerais'!$G$89</f>
        <v>398.85580210434671</v>
      </c>
      <c r="AG178" s="1027">
        <f>'Premissas Economias e Água'!AG64*'Premissas Gerais'!$G$89</f>
        <v>397.48437814295647</v>
      </c>
      <c r="AH178" s="1027">
        <f>'Premissas Economias e Água'!AH64*'Premissas Gerais'!$G$89</f>
        <v>396.11295418156612</v>
      </c>
      <c r="AI178" s="1027">
        <f>'Premissas Economias e Água'!AI64*'Premissas Gerais'!$G$89</f>
        <v>394.74153022017583</v>
      </c>
    </row>
    <row r="179" spans="3:35" s="77" customFormat="1" hidden="1" outlineLevel="1" x14ac:dyDescent="0.35">
      <c r="C179" s="1024"/>
      <c r="D179" s="1025" t="s">
        <v>4</v>
      </c>
      <c r="E179" s="1026">
        <f t="shared" si="72"/>
        <v>27792.791792010565</v>
      </c>
      <c r="F179" s="1033">
        <f>'Premissas Economias e Água'!F65*'Premissas Gerais'!$G$89</f>
        <v>838.11244608742459</v>
      </c>
      <c r="G179" s="1027">
        <f>'Premissas Economias e Água'!G65*'Premissas Gerais'!$G$89</f>
        <v>845.8736020207665</v>
      </c>
      <c r="H179" s="1027">
        <f>'Premissas Economias e Água'!H65*'Premissas Gerais'!$G$89</f>
        <v>853.6347579541083</v>
      </c>
      <c r="I179" s="1027">
        <f>'Premissas Economias e Água'!I65*'Premissas Gerais'!$G$89</f>
        <v>861.39591388745009</v>
      </c>
      <c r="J179" s="1027">
        <f>'Premissas Economias e Água'!J65*'Premissas Gerais'!$G$89</f>
        <v>869.157069820792</v>
      </c>
      <c r="K179" s="1027">
        <f>'Premissas Economias e Água'!K65*'Premissas Gerais'!$G$89</f>
        <v>876.82583104064167</v>
      </c>
      <c r="L179" s="1027">
        <f>'Premissas Economias e Água'!L65*'Premissas Gerais'!$G$89</f>
        <v>883.57064512556963</v>
      </c>
      <c r="M179" s="1027">
        <f>'Premissas Economias e Água'!M65*'Premissas Gerais'!$G$89</f>
        <v>890.31545921049758</v>
      </c>
      <c r="N179" s="1027">
        <f>'Premissas Economias e Água'!N65*'Premissas Gerais'!$G$89</f>
        <v>897.06027329542553</v>
      </c>
      <c r="O179" s="1027">
        <f>'Premissas Economias e Água'!O65*'Premissas Gerais'!$G$89</f>
        <v>903.80508738035371</v>
      </c>
      <c r="P179" s="1027">
        <f>'Premissas Economias e Água'!P65*'Premissas Gerais'!$G$89</f>
        <v>910.45750675178954</v>
      </c>
      <c r="Q179" s="1027">
        <f>'Premissas Economias e Água'!Q65*'Premissas Gerais'!$G$89</f>
        <v>915.81640013433503</v>
      </c>
      <c r="R179" s="1027">
        <f>'Premissas Economias e Água'!R65*'Premissas Gerais'!$G$89</f>
        <v>921.17529351688063</v>
      </c>
      <c r="S179" s="1027">
        <f>'Premissas Economias e Água'!S65*'Premissas Gerais'!$G$89</f>
        <v>926.534186899426</v>
      </c>
      <c r="T179" s="1027">
        <f>'Premissas Economias e Água'!T65*'Premissas Gerais'!$G$89</f>
        <v>931.89308028197161</v>
      </c>
      <c r="U179" s="1027">
        <f>'Premissas Economias e Água'!U65*'Premissas Gerais'!$G$89</f>
        <v>937.43676309150146</v>
      </c>
      <c r="V179" s="1027">
        <f>'Premissas Economias e Água'!V65*'Premissas Gerais'!$G$89</f>
        <v>941.31734105817247</v>
      </c>
      <c r="W179" s="1027">
        <f>'Premissas Economias e Água'!W65*'Premissas Gerais'!$G$89</f>
        <v>945.19791902484337</v>
      </c>
      <c r="X179" s="1027">
        <f>'Premissas Economias e Água'!X65*'Premissas Gerais'!$G$89</f>
        <v>949.07849699151427</v>
      </c>
      <c r="Y179" s="1027">
        <f>'Premissas Economias e Água'!Y65*'Premissas Gerais'!$G$89</f>
        <v>952.95907495818517</v>
      </c>
      <c r="Z179" s="1027">
        <f>'Premissas Economias e Água'!Z65*'Premissas Gerais'!$G$89</f>
        <v>956.6548634978717</v>
      </c>
      <c r="AA179" s="1027">
        <f>'Premissas Economias e Água'!AA65*'Premissas Gerais'!$G$89</f>
        <v>960.53544146454271</v>
      </c>
      <c r="AB179" s="1027">
        <f>'Premissas Economias e Água'!AB65*'Premissas Gerais'!$G$89</f>
        <v>964.4160194312135</v>
      </c>
      <c r="AC179" s="1027">
        <f>'Premissas Economias e Água'!AC65*'Premissas Gerais'!$G$89</f>
        <v>968.29659739788451</v>
      </c>
      <c r="AD179" s="1027">
        <f>'Premissas Economias e Água'!AD65*'Premissas Gerais'!$G$89</f>
        <v>972.17717536455541</v>
      </c>
      <c r="AE179" s="1027">
        <f>'Premissas Economias e Água'!AE65*'Premissas Gerais'!$G$89</f>
        <v>976.05775333122631</v>
      </c>
      <c r="AF179" s="1027">
        <f>'Premissas Economias e Água'!AF65*'Premissas Gerais'!$G$89</f>
        <v>979.93833129789721</v>
      </c>
      <c r="AG179" s="1027">
        <f>'Premissas Economias e Água'!AG65*'Premissas Gerais'!$G$89</f>
        <v>983.81890926456811</v>
      </c>
      <c r="AH179" s="1027">
        <f>'Premissas Economias e Água'!AH65*'Premissas Gerais'!$G$89</f>
        <v>987.69948723123912</v>
      </c>
      <c r="AI179" s="1027">
        <f>'Premissas Economias e Água'!AI65*'Premissas Gerais'!$G$89</f>
        <v>991.5800651979099</v>
      </c>
    </row>
    <row r="180" spans="3:35" s="77" customFormat="1" hidden="1" outlineLevel="1" x14ac:dyDescent="0.35">
      <c r="C180" s="1024"/>
      <c r="D180" s="1025" t="s">
        <v>5</v>
      </c>
      <c r="E180" s="1026">
        <f t="shared" si="72"/>
        <v>57198.133358948551</v>
      </c>
      <c r="F180" s="1033">
        <f>'Premissas Economias e Água'!F66*'Premissas Gerais'!$G$89</f>
        <v>1852.7899398778893</v>
      </c>
      <c r="G180" s="1027">
        <f>'Premissas Economias e Água'!G66*'Premissas Gerais'!$G$89</f>
        <v>1860.7382160911536</v>
      </c>
      <c r="H180" s="1027">
        <f>'Premissas Economias e Água'!H66*'Premissas Gerais'!$G$89</f>
        <v>1868.6864923044182</v>
      </c>
      <c r="I180" s="1027">
        <f>'Premissas Economias e Água'!I66*'Premissas Gerais'!$G$89</f>
        <v>1876.6347685176825</v>
      </c>
      <c r="J180" s="1027">
        <f>'Premissas Economias e Água'!J66*'Premissas Gerais'!$G$89</f>
        <v>1884.583044730947</v>
      </c>
      <c r="K180" s="1027">
        <f>'Premissas Economias e Água'!K66*'Premissas Gerais'!$G$89</f>
        <v>1892.4378118122906</v>
      </c>
      <c r="L180" s="1027">
        <f>'Premissas Economias e Água'!L66*'Premissas Gerais'!$G$89</f>
        <v>1897.0197592764077</v>
      </c>
      <c r="M180" s="1027">
        <f>'Premissas Economias e Água'!M66*'Premissas Gerais'!$G$89</f>
        <v>1901.6017067405248</v>
      </c>
      <c r="N180" s="1027">
        <f>'Premissas Economias e Água'!N66*'Premissas Gerais'!$G$89</f>
        <v>1906.1836542046419</v>
      </c>
      <c r="O180" s="1027">
        <f>'Premissas Economias e Água'!O66*'Premissas Gerais'!$G$89</f>
        <v>1910.765601668759</v>
      </c>
      <c r="P180" s="1027">
        <f>'Premissas Economias e Água'!P66*'Premissas Gerais'!$G$89</f>
        <v>1915.5345673967176</v>
      </c>
      <c r="Q180" s="1027">
        <f>'Premissas Economias e Água'!Q66*'Premissas Gerais'!$G$89</f>
        <v>1917.3112409032119</v>
      </c>
      <c r="R180" s="1027">
        <f>'Premissas Economias e Água'!R66*'Premissas Gerais'!$G$89</f>
        <v>1919.0879144097064</v>
      </c>
      <c r="S180" s="1027">
        <f>'Premissas Economias e Água'!S66*'Premissas Gerais'!$G$89</f>
        <v>1920.8645879162009</v>
      </c>
      <c r="T180" s="1027">
        <f>'Premissas Economias e Água'!T66*'Premissas Gerais'!$G$89</f>
        <v>1922.6412614226954</v>
      </c>
      <c r="U180" s="1027">
        <f>'Premissas Economias e Água'!U66*'Premissas Gerais'!$G$89</f>
        <v>1924.6049531930312</v>
      </c>
      <c r="V180" s="1027">
        <f>'Premissas Economias e Água'!V66*'Premissas Gerais'!$G$89</f>
        <v>1923.482843609982</v>
      </c>
      <c r="W180" s="1027">
        <f>'Premissas Economias e Água'!W66*'Premissas Gerais'!$G$89</f>
        <v>1922.360734026933</v>
      </c>
      <c r="X180" s="1027">
        <f>'Premissas Economias e Água'!X66*'Premissas Gerais'!$G$89</f>
        <v>1921.2386244438837</v>
      </c>
      <c r="Y180" s="1027">
        <f>'Premissas Economias e Água'!Y66*'Premissas Gerais'!$G$89</f>
        <v>1920.116514860835</v>
      </c>
      <c r="Z180" s="1027">
        <f>'Premissas Economias e Água'!Z66*'Premissas Gerais'!$G$89</f>
        <v>1918.9944052777857</v>
      </c>
      <c r="AA180" s="1027">
        <f>'Premissas Economias e Água'!AA66*'Premissas Gerais'!$G$89</f>
        <v>1917.8722956947367</v>
      </c>
      <c r="AB180" s="1027">
        <f>'Premissas Economias e Água'!AB66*'Premissas Gerais'!$G$89</f>
        <v>1916.7501861116875</v>
      </c>
      <c r="AC180" s="1027">
        <f>'Premissas Economias e Água'!AC66*'Premissas Gerais'!$G$89</f>
        <v>1915.6280765286385</v>
      </c>
      <c r="AD180" s="1027">
        <f>'Premissas Economias e Água'!AD66*'Premissas Gerais'!$G$89</f>
        <v>1914.5059669455893</v>
      </c>
      <c r="AE180" s="1027">
        <f>'Premissas Economias e Água'!AE66*'Premissas Gerais'!$G$89</f>
        <v>1913.3838573625403</v>
      </c>
      <c r="AF180" s="1027">
        <f>'Premissas Economias e Água'!AF66*'Premissas Gerais'!$G$89</f>
        <v>1912.2617477794911</v>
      </c>
      <c r="AG180" s="1027">
        <f>'Premissas Economias e Água'!AG66*'Premissas Gerais'!$G$89</f>
        <v>1911.1396381964421</v>
      </c>
      <c r="AH180" s="1027">
        <f>'Premissas Economias e Água'!AH66*'Premissas Gerais'!$G$89</f>
        <v>1910.0175286133929</v>
      </c>
      <c r="AI180" s="1027">
        <f>'Premissas Economias e Água'!AI66*'Premissas Gerais'!$G$89</f>
        <v>1908.8954190303439</v>
      </c>
    </row>
    <row r="181" spans="3:35" s="77" customFormat="1" hidden="1" outlineLevel="1" x14ac:dyDescent="0.35">
      <c r="C181" s="1024"/>
      <c r="D181" s="1025" t="s">
        <v>6</v>
      </c>
      <c r="E181" s="1026">
        <f t="shared" si="72"/>
        <v>650706.60004541115</v>
      </c>
      <c r="F181" s="1033">
        <f>'Premissas Economias e Água'!F67*'Premissas Gerais'!$G$89</f>
        <v>20426.986686488861</v>
      </c>
      <c r="G181" s="1027">
        <f>'Premissas Economias e Água'!G67*'Premissas Gerais'!$G$89</f>
        <v>20536.784997160179</v>
      </c>
      <c r="H181" s="1027">
        <f>'Premissas Economias e Água'!H67*'Premissas Gerais'!$G$89</f>
        <v>20646.583307831494</v>
      </c>
      <c r="I181" s="1027">
        <f>'Premissas Economias e Água'!I67*'Premissas Gerais'!$G$89</f>
        <v>20756.381618502808</v>
      </c>
      <c r="J181" s="1027">
        <f>'Premissas Economias e Água'!J67*'Premissas Gerais'!$G$89</f>
        <v>20866.179929174126</v>
      </c>
      <c r="K181" s="1027">
        <f>'Premissas Economias e Água'!K67*'Premissas Gerais'!$G$89</f>
        <v>20975.859795065862</v>
      </c>
      <c r="L181" s="1027">
        <f>'Premissas Economias e Água'!L67*'Premissas Gerais'!$G$89</f>
        <v>21085.894995296341</v>
      </c>
      <c r="M181" s="1027">
        <f>'Premissas Economias e Água'!M67*'Premissas Gerais'!$G$89</f>
        <v>21195.930195526817</v>
      </c>
      <c r="N181" s="1027">
        <f>'Premissas Economias e Água'!N67*'Premissas Gerais'!$G$89</f>
        <v>21305.965395757295</v>
      </c>
      <c r="O181" s="1027">
        <f>'Premissas Economias e Água'!O67*'Premissas Gerais'!$G$89</f>
        <v>21416.000595987771</v>
      </c>
      <c r="P181" s="1027">
        <f>'Premissas Economias e Água'!P67*'Premissas Gerais'!$G$89</f>
        <v>21525.798906659089</v>
      </c>
      <c r="Q181" s="1027">
        <f>'Premissas Economias e Água'!Q67*'Premissas Gerais'!$G$89</f>
        <v>21599.826893897032</v>
      </c>
      <c r="R181" s="1027">
        <f>'Premissas Economias e Água'!R67*'Premissas Gerais'!$G$89</f>
        <v>21673.854881134972</v>
      </c>
      <c r="S181" s="1027">
        <f>'Premissas Economias e Água'!S67*'Premissas Gerais'!$G$89</f>
        <v>21747.882868372915</v>
      </c>
      <c r="T181" s="1027">
        <f>'Premissas Economias e Água'!T67*'Premissas Gerais'!$G$89</f>
        <v>21821.910855610855</v>
      </c>
      <c r="U181" s="1027">
        <f>'Premissas Economias e Água'!U67*'Premissas Gerais'!$G$89</f>
        <v>21895.82039806922</v>
      </c>
      <c r="V181" s="1027">
        <f>'Premissas Economias e Água'!V67*'Premissas Gerais'!$G$89</f>
        <v>21940.474079971144</v>
      </c>
      <c r="W181" s="1027">
        <f>'Premissas Economias e Água'!W67*'Premissas Gerais'!$G$89</f>
        <v>21985.127761873075</v>
      </c>
      <c r="X181" s="1027">
        <f>'Premissas Economias e Água'!X67*'Premissas Gerais'!$G$89</f>
        <v>22029.781443774998</v>
      </c>
      <c r="Y181" s="1027">
        <f>'Premissas Economias e Água'!Y67*'Premissas Gerais'!$G$89</f>
        <v>22074.435125676926</v>
      </c>
      <c r="Z181" s="1027">
        <f>'Premissas Economias e Água'!Z67*'Premissas Gerais'!$G$89</f>
        <v>22118.970362799271</v>
      </c>
      <c r="AA181" s="1027">
        <f>'Premissas Economias e Água'!AA67*'Premissas Gerais'!$G$89</f>
        <v>22163.624044701199</v>
      </c>
      <c r="AB181" s="1027">
        <f>'Premissas Economias e Água'!AB67*'Premissas Gerais'!$G$89</f>
        <v>22208.277726603126</v>
      </c>
      <c r="AC181" s="1027">
        <f>'Premissas Economias e Água'!AC67*'Premissas Gerais'!$G$89</f>
        <v>22252.931408505054</v>
      </c>
      <c r="AD181" s="1027">
        <f>'Premissas Economias e Água'!AD67*'Premissas Gerais'!$G$89</f>
        <v>22297.585090406978</v>
      </c>
      <c r="AE181" s="1027">
        <f>'Premissas Economias e Água'!AE67*'Premissas Gerais'!$G$89</f>
        <v>22342.238772308909</v>
      </c>
      <c r="AF181" s="1027">
        <f>'Premissas Economias e Água'!AF67*'Premissas Gerais'!$G$89</f>
        <v>22386.892454210833</v>
      </c>
      <c r="AG181" s="1027">
        <f>'Premissas Economias e Água'!AG67*'Premissas Gerais'!$G$89</f>
        <v>22431.54613611276</v>
      </c>
      <c r="AH181" s="1027">
        <f>'Premissas Economias e Água'!AH67*'Premissas Gerais'!$G$89</f>
        <v>22476.199818014687</v>
      </c>
      <c r="AI181" s="1027">
        <f>'Premissas Economias e Água'!AI67*'Premissas Gerais'!$G$89</f>
        <v>22520.853499916615</v>
      </c>
    </row>
    <row r="182" spans="3:35" s="77" customFormat="1" hidden="1" outlineLevel="1" x14ac:dyDescent="0.35">
      <c r="C182" s="1024"/>
      <c r="D182" s="1025" t="s">
        <v>7</v>
      </c>
      <c r="E182" s="1026">
        <f t="shared" si="72"/>
        <v>46772.728582383148</v>
      </c>
      <c r="F182" s="1033">
        <f>'Premissas Economias e Água'!F68*'Premissas Gerais'!$G$89</f>
        <v>1679.1178937149698</v>
      </c>
      <c r="G182" s="1027">
        <f>'Premissas Economias e Água'!G68*'Premissas Gerais'!$G$89</f>
        <v>1674.6372002982964</v>
      </c>
      <c r="H182" s="1027">
        <f>'Premissas Economias e Água'!H68*'Premissas Gerais'!$G$89</f>
        <v>1670.1565068816228</v>
      </c>
      <c r="I182" s="1027">
        <f>'Premissas Economias e Água'!I68*'Premissas Gerais'!$G$89</f>
        <v>1665.6758134649494</v>
      </c>
      <c r="J182" s="1027">
        <f>'Premissas Economias e Água'!J68*'Premissas Gerais'!$G$89</f>
        <v>1661.1951200482758</v>
      </c>
      <c r="K182" s="1027">
        <f>'Premissas Economias e Água'!K68*'Premissas Gerais'!$G$89</f>
        <v>1656.5387131642819</v>
      </c>
      <c r="L182" s="1027">
        <f>'Premissas Economias e Água'!L68*'Premissas Gerais'!$G$89</f>
        <v>1648.7194638685185</v>
      </c>
      <c r="M182" s="1027">
        <f>'Premissas Economias e Água'!M68*'Premissas Gerais'!$G$89</f>
        <v>1640.900214572755</v>
      </c>
      <c r="N182" s="1027">
        <f>'Premissas Economias e Água'!N68*'Premissas Gerais'!$G$89</f>
        <v>1633.0809652769915</v>
      </c>
      <c r="O182" s="1027">
        <f>'Premissas Economias e Água'!O68*'Premissas Gerais'!$G$89</f>
        <v>1625.261715981228</v>
      </c>
      <c r="P182" s="1027">
        <f>'Premissas Economias e Água'!P68*'Premissas Gerais'!$G$89</f>
        <v>1617.3546099518042</v>
      </c>
      <c r="Q182" s="1027">
        <f>'Premissas Economias e Água'!Q68*'Premissas Gerais'!$G$89</f>
        <v>1606.636088445252</v>
      </c>
      <c r="R182" s="1027">
        <f>'Premissas Economias e Água'!R68*'Premissas Gerais'!$G$89</f>
        <v>1595.9175669386996</v>
      </c>
      <c r="S182" s="1027">
        <f>'Premissas Economias e Água'!S68*'Premissas Gerais'!$G$89</f>
        <v>1585.1990454321474</v>
      </c>
      <c r="T182" s="1027">
        <f>'Premissas Economias e Água'!T68*'Premissas Gerais'!$G$89</f>
        <v>1574.4805239255952</v>
      </c>
      <c r="U182" s="1027">
        <f>'Premissas Economias e Água'!U68*'Premissas Gerais'!$G$89</f>
        <v>1563.5862889517225</v>
      </c>
      <c r="V182" s="1027">
        <f>'Premissas Economias e Água'!V68*'Premissas Gerais'!$G$89</f>
        <v>1551.9892001085675</v>
      </c>
      <c r="W182" s="1027">
        <f>'Premissas Economias e Água'!W68*'Premissas Gerais'!$G$89</f>
        <v>1540.3921112654127</v>
      </c>
      <c r="X182" s="1027">
        <f>'Premissas Economias e Água'!X68*'Premissas Gerais'!$G$89</f>
        <v>1528.7950224222577</v>
      </c>
      <c r="Y182" s="1027">
        <f>'Premissas Economias e Água'!Y68*'Premissas Gerais'!$G$89</f>
        <v>1517.1979335791029</v>
      </c>
      <c r="Z182" s="1027">
        <f>'Premissas Economias e Água'!Z68*'Premissas Gerais'!$G$89</f>
        <v>1505.7765582032687</v>
      </c>
      <c r="AA182" s="1027">
        <f>'Premissas Economias e Água'!AA68*'Premissas Gerais'!$G$89</f>
        <v>1494.1794693601137</v>
      </c>
      <c r="AB182" s="1027">
        <f>'Premissas Economias e Água'!AB68*'Premissas Gerais'!$G$89</f>
        <v>1482.5823805169589</v>
      </c>
      <c r="AC182" s="1027">
        <f>'Premissas Economias e Água'!AC68*'Premissas Gerais'!$G$89</f>
        <v>1470.9852916738039</v>
      </c>
      <c r="AD182" s="1027">
        <f>'Premissas Economias e Água'!AD68*'Premissas Gerais'!$G$89</f>
        <v>1459.3882028306491</v>
      </c>
      <c r="AE182" s="1027">
        <f>'Premissas Economias e Água'!AE68*'Premissas Gerais'!$G$89</f>
        <v>1447.7911139874941</v>
      </c>
      <c r="AF182" s="1027">
        <f>'Premissas Economias e Água'!AF68*'Premissas Gerais'!$G$89</f>
        <v>1436.1940251443391</v>
      </c>
      <c r="AG182" s="1027">
        <f>'Premissas Economias e Água'!AG68*'Premissas Gerais'!$G$89</f>
        <v>1424.5969363011845</v>
      </c>
      <c r="AH182" s="1027">
        <f>'Premissas Economias e Água'!AH68*'Premissas Gerais'!$G$89</f>
        <v>1412.9998474580295</v>
      </c>
      <c r="AI182" s="1027">
        <f>'Premissas Economias e Água'!AI68*'Premissas Gerais'!$G$89</f>
        <v>1401.4027586148748</v>
      </c>
    </row>
    <row r="183" spans="3:35" s="77" customFormat="1" hidden="1" outlineLevel="1" x14ac:dyDescent="0.35">
      <c r="C183" s="1024"/>
      <c r="D183" s="1025" t="s">
        <v>8</v>
      </c>
      <c r="E183" s="1026">
        <f t="shared" si="72"/>
        <v>43165.831688809332</v>
      </c>
      <c r="F183" s="1033">
        <f>'Premissas Economias e Água'!F69*'Premissas Gerais'!$G$89</f>
        <v>1317.3918395670266</v>
      </c>
      <c r="G183" s="1027">
        <f>'Premissas Economias e Água'!G69*'Premissas Gerais'!$G$89</f>
        <v>1328.8155441229046</v>
      </c>
      <c r="H183" s="1027">
        <f>'Premissas Economias e Água'!H69*'Premissas Gerais'!$G$89</f>
        <v>1340.2392486787826</v>
      </c>
      <c r="I183" s="1027">
        <f>'Premissas Economias e Água'!I69*'Premissas Gerais'!$G$89</f>
        <v>1351.6629532346606</v>
      </c>
      <c r="J183" s="1027">
        <f>'Premissas Economias e Água'!J69*'Premissas Gerais'!$G$89</f>
        <v>1363.0866577905383</v>
      </c>
      <c r="K183" s="1027">
        <f>'Premissas Economias e Água'!K69*'Premissas Gerais'!$G$89</f>
        <v>1374.3398592933434</v>
      </c>
      <c r="L183" s="1027">
        <f>'Premissas Economias e Água'!L69*'Premissas Gerais'!$G$89</f>
        <v>1383.3765211062021</v>
      </c>
      <c r="M183" s="1027">
        <f>'Premissas Economias e Água'!M69*'Premissas Gerais'!$G$89</f>
        <v>1392.4131829190608</v>
      </c>
      <c r="N183" s="1027">
        <f>'Premissas Economias e Água'!N69*'Premissas Gerais'!$G$89</f>
        <v>1401.4498447319195</v>
      </c>
      <c r="O183" s="1027">
        <f>'Premissas Economias e Água'!O69*'Premissas Gerais'!$G$89</f>
        <v>1410.486506544778</v>
      </c>
      <c r="P183" s="1027">
        <f>'Premissas Economias e Água'!P69*'Premissas Gerais'!$G$89</f>
        <v>1419.6084198841731</v>
      </c>
      <c r="Q183" s="1027">
        <f>'Premissas Economias e Água'!Q69*'Premissas Gerais'!$G$89</f>
        <v>1426.8547996397674</v>
      </c>
      <c r="R183" s="1027">
        <f>'Premissas Economias e Água'!R69*'Premissas Gerais'!$G$89</f>
        <v>1434.1011793953617</v>
      </c>
      <c r="S183" s="1027">
        <f>'Premissas Economias e Água'!S69*'Premissas Gerais'!$G$89</f>
        <v>1441.3475591509559</v>
      </c>
      <c r="T183" s="1027">
        <f>'Premissas Economias e Água'!T69*'Premissas Gerais'!$G$89</f>
        <v>1448.59393890655</v>
      </c>
      <c r="U183" s="1027">
        <f>'Premissas Economias e Água'!U69*'Premissas Gerais'!$G$89</f>
        <v>1455.9255701886805</v>
      </c>
      <c r="V183" s="1027">
        <f>'Premissas Economias e Água'!V69*'Premissas Gerais'!$G$89</f>
        <v>1460.6144041481825</v>
      </c>
      <c r="W183" s="1027">
        <f>'Premissas Economias e Água'!W69*'Premissas Gerais'!$G$89</f>
        <v>1465.3032381076848</v>
      </c>
      <c r="X183" s="1027">
        <f>'Premissas Economias e Água'!X69*'Premissas Gerais'!$G$89</f>
        <v>1469.9920720671869</v>
      </c>
      <c r="Y183" s="1027">
        <f>'Premissas Economias e Água'!Y69*'Premissas Gerais'!$G$89</f>
        <v>1474.6809060266889</v>
      </c>
      <c r="Z183" s="1027">
        <f>'Premissas Economias e Água'!Z69*'Premissas Gerais'!$G$89</f>
        <v>1479.4549915127277</v>
      </c>
      <c r="AA183" s="1027">
        <f>'Premissas Economias e Água'!AA69*'Premissas Gerais'!$G$89</f>
        <v>1484.1438254722298</v>
      </c>
      <c r="AB183" s="1027">
        <f>'Premissas Economias e Água'!AB69*'Premissas Gerais'!$G$89</f>
        <v>1488.8326594317321</v>
      </c>
      <c r="AC183" s="1027">
        <f>'Premissas Economias e Água'!AC69*'Premissas Gerais'!$G$89</f>
        <v>1493.5214933912341</v>
      </c>
      <c r="AD183" s="1027">
        <f>'Premissas Economias e Água'!AD69*'Premissas Gerais'!$G$89</f>
        <v>1498.2103273507362</v>
      </c>
      <c r="AE183" s="1027">
        <f>'Premissas Economias e Água'!AE69*'Premissas Gerais'!$G$89</f>
        <v>1502.8991613102385</v>
      </c>
      <c r="AF183" s="1027">
        <f>'Premissas Economias e Água'!AF69*'Premissas Gerais'!$G$89</f>
        <v>1507.5879952697405</v>
      </c>
      <c r="AG183" s="1027">
        <f>'Premissas Economias e Água'!AG69*'Premissas Gerais'!$G$89</f>
        <v>1512.2768292292426</v>
      </c>
      <c r="AH183" s="1027">
        <f>'Premissas Economias e Água'!AH69*'Premissas Gerais'!$G$89</f>
        <v>1516.9656631887449</v>
      </c>
      <c r="AI183" s="1027">
        <f>'Premissas Economias e Água'!AI69*'Premissas Gerais'!$G$89</f>
        <v>1521.6544971482469</v>
      </c>
    </row>
    <row r="184" spans="3:35" s="77" customFormat="1" hidden="1" outlineLevel="1" x14ac:dyDescent="0.35">
      <c r="C184" s="1024"/>
      <c r="D184" s="1025" t="s">
        <v>9</v>
      </c>
      <c r="E184" s="1026">
        <f t="shared" si="72"/>
        <v>35563.11380464441</v>
      </c>
      <c r="F184" s="1033">
        <f>'Premissas Economias e Água'!F70*'Premissas Gerais'!$G$89</f>
        <v>1082.2193439808837</v>
      </c>
      <c r="G184" s="1027">
        <f>'Premissas Economias e Água'!G70*'Premissas Gerais'!$G$89</f>
        <v>1091.7524244651213</v>
      </c>
      <c r="H184" s="1027">
        <f>'Premissas Economias e Água'!H70*'Premissas Gerais'!$G$89</f>
        <v>1101.2855049493589</v>
      </c>
      <c r="I184" s="1027">
        <f>'Premissas Economias e Água'!I70*'Premissas Gerais'!$G$89</f>
        <v>1110.8185854335964</v>
      </c>
      <c r="J184" s="1027">
        <f>'Premissas Economias e Água'!J70*'Premissas Gerais'!$G$89</f>
        <v>1120.351665917834</v>
      </c>
      <c r="K184" s="1027">
        <f>'Premissas Economias e Água'!K70*'Premissas Gerais'!$G$89</f>
        <v>1130.0565136180039</v>
      </c>
      <c r="L184" s="1027">
        <f>'Premissas Economias e Água'!L70*'Premissas Gerais'!$G$89</f>
        <v>1138.1295727668178</v>
      </c>
      <c r="M184" s="1027">
        <f>'Premissas Economias e Água'!M70*'Premissas Gerais'!$G$89</f>
        <v>1146.2026319156314</v>
      </c>
      <c r="N184" s="1027">
        <f>'Premissas Economias e Água'!N70*'Premissas Gerais'!$G$89</f>
        <v>1154.2756910644455</v>
      </c>
      <c r="O184" s="1027">
        <f>'Premissas Economias e Água'!O70*'Premissas Gerais'!$G$89</f>
        <v>1162.3487502132591</v>
      </c>
      <c r="P184" s="1027">
        <f>'Premissas Economias e Água'!P70*'Premissas Gerais'!$G$89</f>
        <v>1170.3359257541069</v>
      </c>
      <c r="Q184" s="1027">
        <f>'Premissas Economias e Água'!Q70*'Premissas Gerais'!$G$89</f>
        <v>1176.0042438798698</v>
      </c>
      <c r="R184" s="1027">
        <f>'Premissas Economias e Água'!R70*'Premissas Gerais'!$G$89</f>
        <v>1181.6725620056327</v>
      </c>
      <c r="S184" s="1027">
        <f>'Premissas Economias e Água'!S70*'Premissas Gerais'!$G$89</f>
        <v>1187.3408801313956</v>
      </c>
      <c r="T184" s="1027">
        <f>'Premissas Economias e Água'!T70*'Premissas Gerais'!$G$89</f>
        <v>1193.0091982571585</v>
      </c>
      <c r="U184" s="1027">
        <f>'Premissas Economias e Água'!U70*'Premissas Gerais'!$G$89</f>
        <v>1198.8492835988536</v>
      </c>
      <c r="V184" s="1027">
        <f>'Premissas Economias e Água'!V70*'Premissas Gerais'!$G$89</f>
        <v>1202.9716967812267</v>
      </c>
      <c r="W184" s="1027">
        <f>'Premissas Economias e Água'!W70*'Premissas Gerais'!$G$89</f>
        <v>1207.0941099635995</v>
      </c>
      <c r="X184" s="1027">
        <f>'Premissas Economias e Água'!X70*'Premissas Gerais'!$G$89</f>
        <v>1211.2165231459726</v>
      </c>
      <c r="Y184" s="1027">
        <f>'Premissas Economias e Água'!Y70*'Premissas Gerais'!$G$89</f>
        <v>1215.3389363283457</v>
      </c>
      <c r="Z184" s="1027">
        <f>'Premissas Economias e Água'!Z70*'Premissas Gerais'!$G$89</f>
        <v>1219.633116726651</v>
      </c>
      <c r="AA184" s="1027">
        <f>'Premissas Economias e Água'!AA70*'Premissas Gerais'!$G$89</f>
        <v>1223.7555299090241</v>
      </c>
      <c r="AB184" s="1027">
        <f>'Premissas Economias e Água'!AB70*'Premissas Gerais'!$G$89</f>
        <v>1227.8779430913971</v>
      </c>
      <c r="AC184" s="1027">
        <f>'Premissas Economias e Água'!AC70*'Premissas Gerais'!$G$89</f>
        <v>1232.0003562737702</v>
      </c>
      <c r="AD184" s="1027">
        <f>'Premissas Economias e Água'!AD70*'Premissas Gerais'!$G$89</f>
        <v>1236.122769456143</v>
      </c>
      <c r="AE184" s="1027">
        <f>'Premissas Economias e Água'!AE70*'Premissas Gerais'!$G$89</f>
        <v>1240.2451826385161</v>
      </c>
      <c r="AF184" s="1027">
        <f>'Premissas Economias e Água'!AF70*'Premissas Gerais'!$G$89</f>
        <v>1244.3675958208892</v>
      </c>
      <c r="AG184" s="1027">
        <f>'Premissas Economias e Água'!AG70*'Premissas Gerais'!$G$89</f>
        <v>1248.4900090032622</v>
      </c>
      <c r="AH184" s="1027">
        <f>'Premissas Economias e Água'!AH70*'Premissas Gerais'!$G$89</f>
        <v>1252.6124221856353</v>
      </c>
      <c r="AI184" s="1027">
        <f>'Premissas Economias e Água'!AI70*'Premissas Gerais'!$G$89</f>
        <v>1256.7348353680081</v>
      </c>
    </row>
    <row r="185" spans="3:35" s="77" customFormat="1" collapsed="1" x14ac:dyDescent="0.35">
      <c r="C185"/>
      <c r="D185" t="s">
        <v>468</v>
      </c>
      <c r="E185" s="486">
        <f t="shared" si="72"/>
        <v>14514368.95834907</v>
      </c>
      <c r="F185" s="477">
        <f t="shared" ref="F185:AI185" si="73">SUM(F186:F194)</f>
        <v>462971.26702656172</v>
      </c>
      <c r="G185" s="477">
        <f t="shared" si="73"/>
        <v>465101.45126026857</v>
      </c>
      <c r="H185" s="477">
        <f t="shared" si="73"/>
        <v>467231.63549397531</v>
      </c>
      <c r="I185" s="477">
        <f t="shared" si="73"/>
        <v>469361.8197276821</v>
      </c>
      <c r="J185" s="477">
        <f t="shared" si="73"/>
        <v>471492.00396138889</v>
      </c>
      <c r="K185" s="477">
        <f t="shared" si="73"/>
        <v>473621.56528071023</v>
      </c>
      <c r="L185" s="477">
        <f t="shared" si="73"/>
        <v>475471.77870484674</v>
      </c>
      <c r="M185" s="477">
        <f t="shared" si="73"/>
        <v>477321.9921289832</v>
      </c>
      <c r="N185" s="477">
        <f t="shared" si="73"/>
        <v>479172.20555311965</v>
      </c>
      <c r="O185" s="477">
        <f t="shared" si="73"/>
        <v>481022.41897725611</v>
      </c>
      <c r="P185" s="477">
        <f t="shared" si="73"/>
        <v>482868.71664164308</v>
      </c>
      <c r="Q185" s="477">
        <f t="shared" si="73"/>
        <v>483931.44795608381</v>
      </c>
      <c r="R185" s="477">
        <f t="shared" si="73"/>
        <v>484994.17927052465</v>
      </c>
      <c r="S185" s="477">
        <f t="shared" si="73"/>
        <v>486056.91058496543</v>
      </c>
      <c r="T185" s="477">
        <f t="shared" si="73"/>
        <v>487119.64189940627</v>
      </c>
      <c r="U185" s="477">
        <f t="shared" si="73"/>
        <v>488187.43150030909</v>
      </c>
      <c r="V185" s="477">
        <f t="shared" si="73"/>
        <v>488604.69778340287</v>
      </c>
      <c r="W185" s="477">
        <f t="shared" si="73"/>
        <v>489021.9640664967</v>
      </c>
      <c r="X185" s="477">
        <f t="shared" si="73"/>
        <v>489439.23034959042</v>
      </c>
      <c r="Y185" s="477">
        <f t="shared" si="73"/>
        <v>489856.4966326842</v>
      </c>
      <c r="Z185" s="477">
        <f t="shared" si="73"/>
        <v>490274.31208099506</v>
      </c>
      <c r="AA185" s="477">
        <f t="shared" si="73"/>
        <v>490691.57836408878</v>
      </c>
      <c r="AB185" s="477">
        <f t="shared" si="73"/>
        <v>491108.84464718262</v>
      </c>
      <c r="AC185" s="477">
        <f t="shared" si="73"/>
        <v>491526.11093027634</v>
      </c>
      <c r="AD185" s="477">
        <f t="shared" si="73"/>
        <v>491943.37721337005</v>
      </c>
      <c r="AE185" s="477">
        <f t="shared" si="73"/>
        <v>492360.64349646406</v>
      </c>
      <c r="AF185" s="477">
        <f t="shared" si="73"/>
        <v>492777.90977955784</v>
      </c>
      <c r="AG185" s="477">
        <f t="shared" si="73"/>
        <v>493195.1760626515</v>
      </c>
      <c r="AH185" s="477">
        <f t="shared" si="73"/>
        <v>493612.44234574534</v>
      </c>
      <c r="AI185" s="477">
        <f t="shared" si="73"/>
        <v>494029.70862883906</v>
      </c>
    </row>
    <row r="186" spans="3:35" s="77" customFormat="1" hidden="1" outlineLevel="1" x14ac:dyDescent="0.35">
      <c r="C186" s="1020"/>
      <c r="D186" s="1021" t="s">
        <v>1</v>
      </c>
      <c r="E186" s="1022">
        <f t="shared" si="72"/>
        <v>104186.81774990499</v>
      </c>
      <c r="F186" s="1032">
        <f>'Premissas Gerais'!$G$90*'Premissas Economias e Água'!F62</f>
        <v>3882.6655264158117</v>
      </c>
      <c r="G186" s="1023">
        <f>'Premissas Gerais'!$G$90*'Premissas Economias e Água'!G62</f>
        <v>3860.6216267578875</v>
      </c>
      <c r="H186" s="1023">
        <f>'Premissas Gerais'!$G$90*'Premissas Economias e Água'!H62</f>
        <v>3838.5777270999624</v>
      </c>
      <c r="I186" s="1023">
        <f>'Premissas Gerais'!$G$90*'Premissas Economias e Água'!I62</f>
        <v>3816.5338274420383</v>
      </c>
      <c r="J186" s="1023">
        <f>'Premissas Gerais'!$G$90*'Premissas Economias e Água'!J62</f>
        <v>3794.4899277841132</v>
      </c>
      <c r="K186" s="1023">
        <f>'Premissas Gerais'!$G$90*'Premissas Economias e Água'!K62</f>
        <v>3772.4460281261886</v>
      </c>
      <c r="L186" s="1023">
        <f>'Premissas Gerais'!$G$90*'Premissas Economias e Água'!L62</f>
        <v>3744.5237552261501</v>
      </c>
      <c r="M186" s="1023">
        <f>'Premissas Gerais'!$G$90*'Premissas Economias e Água'!M62</f>
        <v>3716.6014823261125</v>
      </c>
      <c r="N186" s="1023">
        <f>'Premissas Gerais'!$G$90*'Premissas Economias e Água'!N62</f>
        <v>3688.6792094260741</v>
      </c>
      <c r="O186" s="1023">
        <f>'Premissas Gerais'!$G$90*'Premissas Economias e Água'!O62</f>
        <v>3660.756936526036</v>
      </c>
      <c r="P186" s="1023">
        <f>'Premissas Gerais'!$G$90*'Premissas Economias e Água'!P62</f>
        <v>3635.7738502470552</v>
      </c>
      <c r="Q186" s="1023">
        <f>'Premissas Gerais'!$G$90*'Premissas Economias e Água'!Q62</f>
        <v>3603.4427974154319</v>
      </c>
      <c r="R186" s="1023">
        <f>'Premissas Gerais'!$G$90*'Premissas Economias e Água'!R62</f>
        <v>3571.1117445838086</v>
      </c>
      <c r="S186" s="1023">
        <f>'Premissas Gerais'!$G$90*'Premissas Economias e Água'!S62</f>
        <v>3538.7806917521862</v>
      </c>
      <c r="T186" s="1023">
        <f>'Premissas Gerais'!$G$90*'Premissas Economias e Água'!T62</f>
        <v>3506.4496389205628</v>
      </c>
      <c r="U186" s="1023">
        <f>'Premissas Gerais'!$G$90*'Premissas Economias e Água'!U62</f>
        <v>3475.5881793994686</v>
      </c>
      <c r="V186" s="1023">
        <f>'Premissas Gerais'!$G$90*'Premissas Economias e Água'!V62</f>
        <v>3441.7875332573171</v>
      </c>
      <c r="W186" s="1023">
        <f>'Premissas Gerais'!$G$90*'Premissas Economias e Água'!W62</f>
        <v>3407.9868871151657</v>
      </c>
      <c r="X186" s="1023">
        <f>'Premissas Gerais'!$G$90*'Premissas Economias e Água'!X62</f>
        <v>3374.1862409730143</v>
      </c>
      <c r="Y186" s="1023">
        <f>'Premissas Gerais'!$G$90*'Premissas Economias e Água'!Y62</f>
        <v>3340.3855948308633</v>
      </c>
      <c r="Z186" s="1023">
        <f>'Premissas Gerais'!$G$90*'Premissas Economias e Água'!Z62</f>
        <v>3303.6457620676551</v>
      </c>
      <c r="AA186" s="1023">
        <f>'Premissas Gerais'!$G$90*'Premissas Economias e Água'!AA62</f>
        <v>3269.8451159255042</v>
      </c>
      <c r="AB186" s="1023">
        <f>'Premissas Gerais'!$G$90*'Premissas Economias e Água'!AB62</f>
        <v>3236.0444697833527</v>
      </c>
      <c r="AC186" s="1023">
        <f>'Premissas Gerais'!$G$90*'Premissas Economias e Água'!AC62</f>
        <v>3202.2438236412017</v>
      </c>
      <c r="AD186" s="1023">
        <f>'Premissas Gerais'!$G$90*'Premissas Economias e Água'!AD62</f>
        <v>3168.4431774990503</v>
      </c>
      <c r="AE186" s="1023">
        <f>'Premissas Gerais'!$G$90*'Premissas Economias e Água'!AE62</f>
        <v>3134.6425313568989</v>
      </c>
      <c r="AF186" s="1023">
        <f>'Premissas Gerais'!$G$90*'Premissas Economias e Água'!AF62</f>
        <v>3100.8418852147479</v>
      </c>
      <c r="AG186" s="1023">
        <f>'Premissas Gerais'!$G$90*'Premissas Economias e Água'!AG62</f>
        <v>3067.0412390725965</v>
      </c>
      <c r="AH186" s="1023">
        <f>'Premissas Gerais'!$G$90*'Premissas Economias e Água'!AH62</f>
        <v>3033.240592930445</v>
      </c>
      <c r="AI186" s="1023">
        <f>'Premissas Gerais'!$G$90*'Premissas Economias e Água'!AI62</f>
        <v>2999.439946788294</v>
      </c>
    </row>
    <row r="187" spans="3:35" s="77" customFormat="1" hidden="1" outlineLevel="1" x14ac:dyDescent="0.35">
      <c r="C187" s="1024"/>
      <c r="D187" s="1025" t="s">
        <v>2</v>
      </c>
      <c r="E187" s="1026">
        <f t="shared" si="72"/>
        <v>1373671.8390496299</v>
      </c>
      <c r="F187" s="1033">
        <f>'Premissas Gerais'!$G$90*'Premissas Economias e Água'!F63</f>
        <v>46989.3079947394</v>
      </c>
      <c r="G187" s="1027">
        <f>'Premissas Gerais'!$G$90*'Premissas Economias e Água'!G63</f>
        <v>47015.755426732198</v>
      </c>
      <c r="H187" s="1027">
        <f>'Premissas Gerais'!$G$90*'Premissas Economias e Água'!H63</f>
        <v>47042.202858724995</v>
      </c>
      <c r="I187" s="1027">
        <f>'Premissas Gerais'!$G$90*'Premissas Economias e Água'!I63</f>
        <v>47068.650290717793</v>
      </c>
      <c r="J187" s="1027">
        <f>'Premissas Gerais'!$G$90*'Premissas Economias e Água'!J63</f>
        <v>47095.097722710605</v>
      </c>
      <c r="K187" s="1027">
        <f>'Premissas Gerais'!$G$90*'Premissas Economias e Água'!K63</f>
        <v>47124.656617290791</v>
      </c>
      <c r="L187" s="1027">
        <f>'Premissas Gerais'!$G$90*'Premissas Economias e Água'!L63</f>
        <v>47054.64870907455</v>
      </c>
      <c r="M187" s="1027">
        <f>'Premissas Gerais'!$G$90*'Premissas Economias e Água'!M63</f>
        <v>46984.640800858309</v>
      </c>
      <c r="N187" s="1027">
        <f>'Premissas Gerais'!$G$90*'Premissas Economias e Água'!N63</f>
        <v>46914.632892642068</v>
      </c>
      <c r="O187" s="1027">
        <f>'Premissas Gerais'!$G$90*'Premissas Economias e Água'!O63</f>
        <v>46844.624984425835</v>
      </c>
      <c r="P187" s="1027">
        <f>'Premissas Gerais'!$G$90*'Premissas Economias e Água'!P63</f>
        <v>46774.617076209601</v>
      </c>
      <c r="Q187" s="1027">
        <f>'Premissas Gerais'!$G$90*'Premissas Economias e Água'!Q63</f>
        <v>46639.268453658202</v>
      </c>
      <c r="R187" s="1027">
        <f>'Premissas Gerais'!$G$90*'Premissas Economias e Água'!R63</f>
        <v>46503.919831106803</v>
      </c>
      <c r="S187" s="1027">
        <f>'Premissas Gerais'!$G$90*'Premissas Economias e Água'!S63</f>
        <v>46368.571208555411</v>
      </c>
      <c r="T187" s="1027">
        <f>'Premissas Gerais'!$G$90*'Premissas Economias e Água'!T63</f>
        <v>46233.222586004013</v>
      </c>
      <c r="U187" s="1027">
        <f>'Premissas Gerais'!$G$90*'Premissas Economias e Água'!U63</f>
        <v>46094.762500865232</v>
      </c>
      <c r="V187" s="1027">
        <f>'Premissas Gerais'!$G$90*'Premissas Economias e Água'!V63</f>
        <v>45900.29608915346</v>
      </c>
      <c r="W187" s="1027">
        <f>'Premissas Gerais'!$G$90*'Premissas Economias e Água'!W63</f>
        <v>45705.829677441681</v>
      </c>
      <c r="X187" s="1027">
        <f>'Premissas Gerais'!$G$90*'Premissas Economias e Água'!X63</f>
        <v>45511.363265729909</v>
      </c>
      <c r="Y187" s="1027">
        <f>'Premissas Gerais'!$G$90*'Premissas Economias e Água'!Y63</f>
        <v>45316.896854018138</v>
      </c>
      <c r="Z187" s="1027">
        <f>'Premissas Gerais'!$G$90*'Premissas Economias e Água'!Z63</f>
        <v>45123.98617360006</v>
      </c>
      <c r="AA187" s="1027">
        <f>'Premissas Gerais'!$G$90*'Premissas Economias e Água'!AA63</f>
        <v>44929.519761888281</v>
      </c>
      <c r="AB187" s="1027">
        <f>'Premissas Gerais'!$G$90*'Premissas Economias e Água'!AB63</f>
        <v>44735.053350176509</v>
      </c>
      <c r="AC187" s="1027">
        <f>'Premissas Gerais'!$G$90*'Premissas Economias e Água'!AC63</f>
        <v>44540.586938464738</v>
      </c>
      <c r="AD187" s="1027">
        <f>'Premissas Gerais'!$G$90*'Premissas Economias e Água'!AD63</f>
        <v>44346.120526752959</v>
      </c>
      <c r="AE187" s="1027">
        <f>'Premissas Gerais'!$G$90*'Premissas Economias e Água'!AE63</f>
        <v>44151.654115041187</v>
      </c>
      <c r="AF187" s="1027">
        <f>'Premissas Gerais'!$G$90*'Premissas Economias e Água'!AF63</f>
        <v>43957.187703329415</v>
      </c>
      <c r="AG187" s="1027">
        <f>'Premissas Gerais'!$G$90*'Premissas Economias e Água'!AG63</f>
        <v>43762.721291617643</v>
      </c>
      <c r="AH187" s="1027">
        <f>'Premissas Gerais'!$G$90*'Premissas Economias e Água'!AH63</f>
        <v>43568.254879905864</v>
      </c>
      <c r="AI187" s="1027">
        <f>'Premissas Gerais'!$G$90*'Premissas Economias e Água'!AI63</f>
        <v>43373.788468194092</v>
      </c>
    </row>
    <row r="188" spans="3:35" s="77" customFormat="1" hidden="1" outlineLevel="1" x14ac:dyDescent="0.35">
      <c r="C188" s="1024"/>
      <c r="D188" s="1025" t="s">
        <v>3</v>
      </c>
      <c r="E188" s="1026">
        <f t="shared" si="72"/>
        <v>184024.36442070667</v>
      </c>
      <c r="F188" s="1033">
        <f>'Premissas Gerais'!$G$90*'Premissas Economias e Água'!F64</f>
        <v>6218.5720624486439</v>
      </c>
      <c r="G188" s="1027">
        <f>'Premissas Gerais'!$G$90*'Premissas Economias e Água'!G64</f>
        <v>6225.3944124897289</v>
      </c>
      <c r="H188" s="1027">
        <f>'Premissas Gerais'!$G$90*'Premissas Economias e Água'!H64</f>
        <v>6232.2167625308139</v>
      </c>
      <c r="I188" s="1027">
        <f>'Premissas Gerais'!$G$90*'Premissas Economias e Água'!I64</f>
        <v>6239.0391125718988</v>
      </c>
      <c r="J188" s="1027">
        <f>'Premissas Gerais'!$G$90*'Premissas Economias e Água'!J64</f>
        <v>6245.8614626129829</v>
      </c>
      <c r="K188" s="1027">
        <f>'Premissas Gerais'!$G$90*'Premissas Economias e Água'!K64</f>
        <v>6256.0949876746099</v>
      </c>
      <c r="L188" s="1027">
        <f>'Premissas Gerais'!$G$90*'Premissas Economias e Água'!L64</f>
        <v>6254.3894001643384</v>
      </c>
      <c r="M188" s="1027">
        <f>'Premissas Gerais'!$G$90*'Premissas Economias e Água'!M64</f>
        <v>6252.683812654067</v>
      </c>
      <c r="N188" s="1027">
        <f>'Premissas Gerais'!$G$90*'Premissas Economias e Água'!N64</f>
        <v>6250.9782251437964</v>
      </c>
      <c r="O188" s="1027">
        <f>'Premissas Gerais'!$G$90*'Premissas Economias e Água'!O64</f>
        <v>6249.2726376335249</v>
      </c>
      <c r="P188" s="1027">
        <f>'Premissas Gerais'!$G$90*'Premissas Economias e Água'!P64</f>
        <v>6244.1558751027114</v>
      </c>
      <c r="Q188" s="1027">
        <f>'Premissas Gerais'!$G$90*'Premissas Economias e Água'!Q64</f>
        <v>6230.5111750205424</v>
      </c>
      <c r="R188" s="1027">
        <f>'Premissas Gerais'!$G$90*'Premissas Economias e Água'!R64</f>
        <v>6216.8664749383724</v>
      </c>
      <c r="S188" s="1027">
        <f>'Premissas Gerais'!$G$90*'Premissas Economias e Água'!S64</f>
        <v>6203.2217748562043</v>
      </c>
      <c r="T188" s="1027">
        <f>'Premissas Gerais'!$G$90*'Premissas Economias e Água'!T64</f>
        <v>6189.5770747740344</v>
      </c>
      <c r="U188" s="1027">
        <f>'Premissas Gerais'!$G$90*'Premissas Economias e Água'!U64</f>
        <v>6177.6379622021368</v>
      </c>
      <c r="V188" s="1027">
        <f>'Premissas Gerais'!$G$90*'Premissas Economias e Água'!V64</f>
        <v>6157.1709120788828</v>
      </c>
      <c r="W188" s="1027">
        <f>'Premissas Gerais'!$G$90*'Premissas Economias e Água'!W64</f>
        <v>6136.7038619556288</v>
      </c>
      <c r="X188" s="1027">
        <f>'Premissas Gerais'!$G$90*'Premissas Economias e Água'!X64</f>
        <v>6116.2368118323748</v>
      </c>
      <c r="Y188" s="1027">
        <f>'Premissas Gerais'!$G$90*'Premissas Economias e Água'!Y64</f>
        <v>6095.7697617091208</v>
      </c>
      <c r="Z188" s="1027">
        <f>'Premissas Gerais'!$G$90*'Premissas Economias e Água'!Z64</f>
        <v>6075.3027115858677</v>
      </c>
      <c r="AA188" s="1027">
        <f>'Premissas Gerais'!$G$90*'Premissas Economias e Água'!AA64</f>
        <v>6054.8356614626127</v>
      </c>
      <c r="AB188" s="1027">
        <f>'Premissas Gerais'!$G$90*'Premissas Economias e Água'!AB64</f>
        <v>6034.3686113393587</v>
      </c>
      <c r="AC188" s="1027">
        <f>'Premissas Gerais'!$G$90*'Premissas Economias e Água'!AC64</f>
        <v>6013.9015612161056</v>
      </c>
      <c r="AD188" s="1027">
        <f>'Premissas Gerais'!$G$90*'Premissas Economias e Água'!AD64</f>
        <v>5993.4345110928507</v>
      </c>
      <c r="AE188" s="1027">
        <f>'Premissas Gerais'!$G$90*'Premissas Economias e Água'!AE64</f>
        <v>5972.9674609695976</v>
      </c>
      <c r="AF188" s="1027">
        <f>'Premissas Gerais'!$G$90*'Premissas Economias e Água'!AF64</f>
        <v>5952.5004108463436</v>
      </c>
      <c r="AG188" s="1027">
        <f>'Premissas Gerais'!$G$90*'Premissas Economias e Água'!AG64</f>
        <v>5932.0333607230896</v>
      </c>
      <c r="AH188" s="1027">
        <f>'Premissas Gerais'!$G$90*'Premissas Economias e Água'!AH64</f>
        <v>5911.5663105998356</v>
      </c>
      <c r="AI188" s="1027">
        <f>'Premissas Gerais'!$G$90*'Premissas Economias e Água'!AI64</f>
        <v>5891.0992604765815</v>
      </c>
    </row>
    <row r="189" spans="3:35" s="77" customFormat="1" hidden="1" outlineLevel="1" x14ac:dyDescent="0.35">
      <c r="C189" s="1024"/>
      <c r="D189" s="1025" t="s">
        <v>4</v>
      </c>
      <c r="E189" s="1026">
        <f t="shared" si="72"/>
        <v>414777.9816356512</v>
      </c>
      <c r="F189" s="1033">
        <f>'Premissas Gerais'!$G$90*'Premissas Economias e Água'!F65</f>
        <v>12507.940597453478</v>
      </c>
      <c r="G189" s="1027">
        <f>'Premissas Gerais'!$G$90*'Premissas Economias e Água'!G65</f>
        <v>12623.767629774733</v>
      </c>
      <c r="H189" s="1027">
        <f>'Premissas Gerais'!$G$90*'Premissas Economias e Água'!H65</f>
        <v>12739.594662095986</v>
      </c>
      <c r="I189" s="1027">
        <f>'Premissas Gerais'!$G$90*'Premissas Economias e Água'!I65</f>
        <v>12855.421694417239</v>
      </c>
      <c r="J189" s="1027">
        <f>'Premissas Gerais'!$G$90*'Premissas Economias e Água'!J65</f>
        <v>12971.248726738493</v>
      </c>
      <c r="K189" s="1027">
        <f>'Premissas Gerais'!$G$90*'Premissas Economias e Água'!K65</f>
        <v>13085.696865817827</v>
      </c>
      <c r="L189" s="1027">
        <f>'Premissas Gerais'!$G$90*'Premissas Economias e Água'!L65</f>
        <v>13186.356072477964</v>
      </c>
      <c r="M189" s="1027">
        <f>'Premissas Gerais'!$G$90*'Premissas Economias e Água'!M65</f>
        <v>13287.015279138101</v>
      </c>
      <c r="N189" s="1027">
        <f>'Premissas Gerais'!$G$90*'Premissas Economias e Água'!N65</f>
        <v>13387.674485798238</v>
      </c>
      <c r="O189" s="1027">
        <f>'Premissas Gerais'!$G$90*'Premissas Economias e Água'!O65</f>
        <v>13488.333692458376</v>
      </c>
      <c r="P189" s="1027">
        <f>'Premissas Gerais'!$G$90*'Premissas Economias e Água'!P65</f>
        <v>13587.614005876594</v>
      </c>
      <c r="Q189" s="1027">
        <f>'Premissas Gerais'!$G$90*'Premissas Economias e Água'!Q65</f>
        <v>13667.589813907935</v>
      </c>
      <c r="R189" s="1027">
        <f>'Premissas Gerais'!$G$90*'Premissas Economias e Água'!R65</f>
        <v>13747.565621939277</v>
      </c>
      <c r="S189" s="1027">
        <f>'Premissas Gerais'!$G$90*'Premissas Economias e Água'!S65</f>
        <v>13827.541429970617</v>
      </c>
      <c r="T189" s="1027">
        <f>'Premissas Gerais'!$G$90*'Premissas Economias e Água'!T65</f>
        <v>13907.517238001959</v>
      </c>
      <c r="U189" s="1027">
        <f>'Premissas Gerais'!$G$90*'Premissas Economias e Água'!U65</f>
        <v>13990.25083251714</v>
      </c>
      <c r="V189" s="1027">
        <f>'Premissas Gerais'!$G$90*'Premissas Economias e Água'!V65</f>
        <v>14048.164348677768</v>
      </c>
      <c r="W189" s="1027">
        <f>'Premissas Gerais'!$G$90*'Premissas Economias e Água'!W65</f>
        <v>14106.077864838395</v>
      </c>
      <c r="X189" s="1027">
        <f>'Premissas Gerais'!$G$90*'Premissas Economias e Água'!X65</f>
        <v>14163.991380999023</v>
      </c>
      <c r="Y189" s="1027">
        <f>'Premissas Gerais'!$G$90*'Premissas Economias e Água'!Y65</f>
        <v>14221.904897159648</v>
      </c>
      <c r="Z189" s="1027">
        <f>'Premissas Gerais'!$G$90*'Premissas Economias e Água'!Z65</f>
        <v>14277.060626836435</v>
      </c>
      <c r="AA189" s="1027">
        <f>'Premissas Gerais'!$G$90*'Premissas Economias e Água'!AA65</f>
        <v>14334.974142997064</v>
      </c>
      <c r="AB189" s="1027">
        <f>'Premissas Gerais'!$G$90*'Premissas Economias e Água'!AB65</f>
        <v>14392.88765915769</v>
      </c>
      <c r="AC189" s="1027">
        <f>'Premissas Gerais'!$G$90*'Premissas Economias e Água'!AC65</f>
        <v>14450.801175318316</v>
      </c>
      <c r="AD189" s="1027">
        <f>'Premissas Gerais'!$G$90*'Premissas Economias e Água'!AD65</f>
        <v>14508.714691478945</v>
      </c>
      <c r="AE189" s="1027">
        <f>'Premissas Gerais'!$G$90*'Premissas Economias e Água'!AE65</f>
        <v>14566.628207639569</v>
      </c>
      <c r="AF189" s="1027">
        <f>'Premissas Gerais'!$G$90*'Premissas Economias e Água'!AF65</f>
        <v>14624.541723800197</v>
      </c>
      <c r="AG189" s="1027">
        <f>'Premissas Gerais'!$G$90*'Premissas Economias e Água'!AG65</f>
        <v>14682.455239960824</v>
      </c>
      <c r="AH189" s="1027">
        <f>'Premissas Gerais'!$G$90*'Premissas Economias e Água'!AH65</f>
        <v>14740.368756121452</v>
      </c>
      <c r="AI189" s="1027">
        <f>'Premissas Gerais'!$G$90*'Premissas Economias e Água'!AI65</f>
        <v>14798.282272282078</v>
      </c>
    </row>
    <row r="190" spans="3:35" s="77" customFormat="1" hidden="1" outlineLevel="1" x14ac:dyDescent="0.35">
      <c r="C190" s="1024"/>
      <c r="D190" s="1025" t="s">
        <v>5</v>
      </c>
      <c r="E190" s="1026">
        <f t="shared" si="72"/>
        <v>853621.56078078714</v>
      </c>
      <c r="F190" s="1033">
        <f>'Premissas Gerais'!$G$90*'Premissas Economias e Água'!F66</f>
        <v>27650.927528565382</v>
      </c>
      <c r="G190" s="1027">
        <f>'Premissas Gerais'!$G$90*'Premissas Economias e Água'!G66</f>
        <v>27769.547132881929</v>
      </c>
      <c r="H190" s="1027">
        <f>'Premissas Gerais'!$G$90*'Premissas Economias e Água'!H66</f>
        <v>27888.166737198477</v>
      </c>
      <c r="I190" s="1027">
        <f>'Premissas Gerais'!$G$90*'Premissas Economias e Água'!I66</f>
        <v>28006.786341515024</v>
      </c>
      <c r="J190" s="1027">
        <f>'Premissas Gerais'!$G$90*'Premissas Economias e Água'!J66</f>
        <v>28125.405945831571</v>
      </c>
      <c r="K190" s="1027">
        <f>'Premissas Gerais'!$G$90*'Premissas Economias e Água'!K66</f>
        <v>28242.630025391452</v>
      </c>
      <c r="L190" s="1027">
        <f>'Premissas Gerais'!$G$90*'Premissas Economias e Água'!L66</f>
        <v>28311.010738468052</v>
      </c>
      <c r="M190" s="1027">
        <f>'Premissas Gerais'!$G$90*'Premissas Economias e Água'!M66</f>
        <v>28379.391451544649</v>
      </c>
      <c r="N190" s="1027">
        <f>'Premissas Gerais'!$G$90*'Premissas Economias e Água'!N66</f>
        <v>28447.772164621245</v>
      </c>
      <c r="O190" s="1027">
        <f>'Premissas Gerais'!$G$90*'Premissas Economias e Água'!O66</f>
        <v>28516.152877697841</v>
      </c>
      <c r="P190" s="1027">
        <f>'Premissas Gerais'!$G$90*'Premissas Economias e Água'!P66</f>
        <v>28587.32464028777</v>
      </c>
      <c r="Q190" s="1027">
        <f>'Premissas Gerais'!$G$90*'Premissas Economias e Água'!Q66</f>
        <v>28613.83961066441</v>
      </c>
      <c r="R190" s="1027">
        <f>'Premissas Gerais'!$G$90*'Premissas Economias e Água'!R66</f>
        <v>28640.354581041051</v>
      </c>
      <c r="S190" s="1027">
        <f>'Premissas Gerais'!$G$90*'Premissas Economias e Água'!S66</f>
        <v>28666.869551417691</v>
      </c>
      <c r="T190" s="1027">
        <f>'Premissas Gerais'!$G$90*'Premissas Economias e Água'!T66</f>
        <v>28693.384521794331</v>
      </c>
      <c r="U190" s="1027">
        <f>'Premissas Gerais'!$G$90*'Premissas Economias e Água'!U66</f>
        <v>28722.6905416843</v>
      </c>
      <c r="V190" s="1027">
        <f>'Premissas Gerais'!$G$90*'Premissas Economias e Água'!V66</f>
        <v>28705.944244604318</v>
      </c>
      <c r="W190" s="1027">
        <f>'Premissas Gerais'!$G$90*'Premissas Economias e Água'!W66</f>
        <v>28689.197947524335</v>
      </c>
      <c r="X190" s="1027">
        <f>'Premissas Gerais'!$G$90*'Premissas Economias e Água'!X66</f>
        <v>28672.451650444349</v>
      </c>
      <c r="Y190" s="1027">
        <f>'Premissas Gerais'!$G$90*'Premissas Economias e Água'!Y66</f>
        <v>28655.70535336437</v>
      </c>
      <c r="Z190" s="1027">
        <f>'Premissas Gerais'!$G$90*'Premissas Economias e Água'!Z66</f>
        <v>28638.959056284388</v>
      </c>
      <c r="AA190" s="1027">
        <f>'Premissas Gerais'!$G$90*'Premissas Economias e Água'!AA66</f>
        <v>28622.212759204405</v>
      </c>
      <c r="AB190" s="1027">
        <f>'Premissas Gerais'!$G$90*'Premissas Economias e Água'!AB66</f>
        <v>28605.466462124419</v>
      </c>
      <c r="AC190" s="1027">
        <f>'Premissas Gerais'!$G$90*'Premissas Economias e Água'!AC66</f>
        <v>28588.720165044437</v>
      </c>
      <c r="AD190" s="1027">
        <f>'Premissas Gerais'!$G$90*'Premissas Economias e Água'!AD66</f>
        <v>28571.973867964454</v>
      </c>
      <c r="AE190" s="1027">
        <f>'Premissas Gerais'!$G$90*'Premissas Economias e Água'!AE66</f>
        <v>28555.227570884472</v>
      </c>
      <c r="AF190" s="1027">
        <f>'Premissas Gerais'!$G$90*'Premissas Economias e Água'!AF66</f>
        <v>28538.481273804486</v>
      </c>
      <c r="AG190" s="1027">
        <f>'Premissas Gerais'!$G$90*'Premissas Economias e Água'!AG66</f>
        <v>28521.734976724503</v>
      </c>
      <c r="AH190" s="1027">
        <f>'Premissas Gerais'!$G$90*'Premissas Economias e Água'!AH66</f>
        <v>28504.988679644521</v>
      </c>
      <c r="AI190" s="1027">
        <f>'Premissas Gerais'!$G$90*'Premissas Economias e Água'!AI66</f>
        <v>28488.242382564538</v>
      </c>
    </row>
    <row r="191" spans="3:35" s="77" customFormat="1" hidden="1" outlineLevel="1" x14ac:dyDescent="0.35">
      <c r="C191" s="1024"/>
      <c r="D191" s="1025" t="s">
        <v>6</v>
      </c>
      <c r="E191" s="1026">
        <f t="shared" si="72"/>
        <v>9711106.8302760087</v>
      </c>
      <c r="F191" s="1033">
        <f>'Premissas Gerais'!$G$90*'Premissas Economias e Água'!F67</f>
        <v>304851.14169623516</v>
      </c>
      <c r="G191" s="1027">
        <f>'Premissas Gerais'!$G$90*'Premissas Economias e Água'!G67</f>
        <v>306489.76519358187</v>
      </c>
      <c r="H191" s="1027">
        <f>'Premissas Gerais'!$G$90*'Premissas Economias e Água'!H67</f>
        <v>308128.38869092852</v>
      </c>
      <c r="I191" s="1027">
        <f>'Premissas Gerais'!$G$90*'Premissas Economias e Água'!I67</f>
        <v>309767.01218827523</v>
      </c>
      <c r="J191" s="1027">
        <f>'Premissas Gerais'!$G$90*'Premissas Economias e Água'!J67</f>
        <v>311405.63568562194</v>
      </c>
      <c r="K191" s="1027">
        <f>'Premissas Gerais'!$G$90*'Premissas Economias e Água'!K67</f>
        <v>313042.49152008042</v>
      </c>
      <c r="L191" s="1027">
        <f>'Premissas Gerais'!$G$90*'Premissas Economias e Água'!L67</f>
        <v>314684.65034320351</v>
      </c>
      <c r="M191" s="1027">
        <f>'Premissas Gerais'!$G$90*'Premissas Economias e Água'!M67</f>
        <v>316326.80916632654</v>
      </c>
      <c r="N191" s="1027">
        <f>'Premissas Gerais'!$G$90*'Premissas Economias e Água'!N67</f>
        <v>317968.96798944962</v>
      </c>
      <c r="O191" s="1027">
        <f>'Premissas Gerais'!$G$90*'Premissas Economias e Água'!O67</f>
        <v>319611.12681257265</v>
      </c>
      <c r="P191" s="1027">
        <f>'Premissas Gerais'!$G$90*'Premissas Economias e Água'!P67</f>
        <v>321249.75030991936</v>
      </c>
      <c r="Q191" s="1027">
        <f>'Premissas Gerais'!$G$90*'Premissas Economias e Água'!Q67</f>
        <v>322354.53961503442</v>
      </c>
      <c r="R191" s="1027">
        <f>'Premissas Gerais'!$G$90*'Premissas Economias e Água'!R67</f>
        <v>323459.32892014948</v>
      </c>
      <c r="S191" s="1027">
        <f>'Premissas Gerais'!$G$90*'Premissas Economias e Água'!S67</f>
        <v>324564.1182252646</v>
      </c>
      <c r="T191" s="1027">
        <f>'Premissas Gerais'!$G$90*'Premissas Economias e Água'!T67</f>
        <v>325668.90753037966</v>
      </c>
      <c r="U191" s="1027">
        <f>'Premissas Gerais'!$G$90*'Premissas Economias e Água'!U67</f>
        <v>326771.92917260656</v>
      </c>
      <c r="V191" s="1027">
        <f>'Premissas Gerais'!$G$90*'Premissas Economias e Água'!V67</f>
        <v>327438.33808145195</v>
      </c>
      <c r="W191" s="1027">
        <f>'Premissas Gerais'!$G$90*'Premissas Economias e Água'!W67</f>
        <v>328104.7469902974</v>
      </c>
      <c r="X191" s="1027">
        <f>'Premissas Gerais'!$G$90*'Premissas Economias e Água'!X67</f>
        <v>328771.15589914279</v>
      </c>
      <c r="Y191" s="1027">
        <f>'Premissas Gerais'!$G$90*'Premissas Economias e Água'!Y67</f>
        <v>329437.56480798824</v>
      </c>
      <c r="Z191" s="1027">
        <f>'Premissas Gerais'!$G$90*'Premissas Economias e Água'!Z67</f>
        <v>330102.20605394547</v>
      </c>
      <c r="AA191" s="1027">
        <f>'Premissas Gerais'!$G$90*'Premissas Economias e Água'!AA67</f>
        <v>330768.61496279086</v>
      </c>
      <c r="AB191" s="1027">
        <f>'Premissas Gerais'!$G$90*'Premissas Economias e Água'!AB67</f>
        <v>331435.02387163631</v>
      </c>
      <c r="AC191" s="1027">
        <f>'Premissas Gerais'!$G$90*'Premissas Economias e Água'!AC67</f>
        <v>332101.4327804817</v>
      </c>
      <c r="AD191" s="1027">
        <f>'Premissas Gerais'!$G$90*'Premissas Economias e Água'!AD67</f>
        <v>332767.84168932709</v>
      </c>
      <c r="AE191" s="1027">
        <f>'Premissas Gerais'!$G$90*'Premissas Economias e Água'!AE67</f>
        <v>333434.2505981726</v>
      </c>
      <c r="AF191" s="1027">
        <f>'Premissas Gerais'!$G$90*'Premissas Economias e Água'!AF67</f>
        <v>334100.65950701799</v>
      </c>
      <c r="AG191" s="1027">
        <f>'Premissas Gerais'!$G$90*'Premissas Economias e Água'!AG67</f>
        <v>334767.06841586338</v>
      </c>
      <c r="AH191" s="1027">
        <f>'Premissas Gerais'!$G$90*'Premissas Economias e Água'!AH67</f>
        <v>335433.47732470883</v>
      </c>
      <c r="AI191" s="1027">
        <f>'Premissas Gerais'!$G$90*'Premissas Economias e Água'!AI67</f>
        <v>336099.88623355422</v>
      </c>
    </row>
    <row r="192" spans="3:35" s="77" customFormat="1" hidden="1" outlineLevel="1" x14ac:dyDescent="0.35">
      <c r="C192" s="1024"/>
      <c r="D192" s="1025" t="s">
        <v>7</v>
      </c>
      <c r="E192" s="1026">
        <f t="shared" si="72"/>
        <v>698033.43622967484</v>
      </c>
      <c r="F192" s="1033">
        <f>'Premissas Gerais'!$G$90*'Premissas Economias e Água'!F68</f>
        <v>25059.056178861789</v>
      </c>
      <c r="G192" s="1027">
        <f>'Premissas Gerais'!$G$90*'Premissas Economias e Água'!G68</f>
        <v>24992.186575203254</v>
      </c>
      <c r="H192" s="1027">
        <f>'Premissas Gerais'!$G$90*'Premissas Economias e Água'!H68</f>
        <v>24925.316971544715</v>
      </c>
      <c r="I192" s="1027">
        <f>'Premissas Gerais'!$G$90*'Premissas Economias e Água'!I68</f>
        <v>24858.44736788618</v>
      </c>
      <c r="J192" s="1027">
        <f>'Premissas Gerais'!$G$90*'Premissas Economias e Água'!J68</f>
        <v>24791.577764227641</v>
      </c>
      <c r="K192" s="1027">
        <f>'Premissas Gerais'!$G$90*'Premissas Economias e Água'!K68</f>
        <v>24722.085823170732</v>
      </c>
      <c r="L192" s="1027">
        <f>'Premissas Gerais'!$G$90*'Premissas Economias e Água'!L68</f>
        <v>24605.391808943088</v>
      </c>
      <c r="M192" s="1027">
        <f>'Premissas Gerais'!$G$90*'Premissas Economias e Água'!M68</f>
        <v>24488.697794715448</v>
      </c>
      <c r="N192" s="1027">
        <f>'Premissas Gerais'!$G$90*'Premissas Economias e Água'!N68</f>
        <v>24372.003780487805</v>
      </c>
      <c r="O192" s="1027">
        <f>'Premissas Gerais'!$G$90*'Premissas Economias e Água'!O68</f>
        <v>24255.309766260165</v>
      </c>
      <c r="P192" s="1027">
        <f>'Premissas Gerais'!$G$90*'Premissas Economias e Água'!P68</f>
        <v>24137.304583333334</v>
      </c>
      <c r="Q192" s="1027">
        <f>'Premissas Gerais'!$G$90*'Premissas Economias e Água'!Q68</f>
        <v>23977.342002032521</v>
      </c>
      <c r="R192" s="1027">
        <f>'Premissas Gerais'!$G$90*'Premissas Economias e Água'!R68</f>
        <v>23817.379420731708</v>
      </c>
      <c r="S192" s="1027">
        <f>'Premissas Gerais'!$G$90*'Premissas Economias e Água'!S68</f>
        <v>23657.416839430894</v>
      </c>
      <c r="T192" s="1027">
        <f>'Premissas Gerais'!$G$90*'Premissas Economias e Água'!T68</f>
        <v>23497.454258130081</v>
      </c>
      <c r="U192" s="1027">
        <f>'Premissas Gerais'!$G$90*'Premissas Economias e Água'!U68</f>
        <v>23334.869339430898</v>
      </c>
      <c r="V192" s="1027">
        <f>'Premissas Gerais'!$G$90*'Premissas Economias e Água'!V68</f>
        <v>23161.795071138211</v>
      </c>
      <c r="W192" s="1027">
        <f>'Premissas Gerais'!$G$90*'Premissas Economias e Água'!W68</f>
        <v>22988.720802845532</v>
      </c>
      <c r="X192" s="1027">
        <f>'Premissas Gerais'!$G$90*'Premissas Economias e Água'!X68</f>
        <v>22815.646534552845</v>
      </c>
      <c r="Y192" s="1027">
        <f>'Premissas Gerais'!$G$90*'Premissas Economias e Água'!Y68</f>
        <v>22642.572266260166</v>
      </c>
      <c r="Z192" s="1027">
        <f>'Premissas Gerais'!$G$90*'Premissas Economias e Água'!Z68</f>
        <v>22472.120335365857</v>
      </c>
      <c r="AA192" s="1027">
        <f>'Premissas Gerais'!$G$90*'Premissas Economias e Água'!AA68</f>
        <v>22299.04606707317</v>
      </c>
      <c r="AB192" s="1027">
        <f>'Premissas Gerais'!$G$90*'Premissas Economias e Água'!AB68</f>
        <v>22125.971798780491</v>
      </c>
      <c r="AC192" s="1027">
        <f>'Premissas Gerais'!$G$90*'Premissas Economias e Água'!AC68</f>
        <v>21952.897530487804</v>
      </c>
      <c r="AD192" s="1027">
        <f>'Premissas Gerais'!$G$90*'Premissas Economias e Água'!AD68</f>
        <v>21779.823262195125</v>
      </c>
      <c r="AE192" s="1027">
        <f>'Premissas Gerais'!$G$90*'Premissas Economias e Água'!AE68</f>
        <v>21606.748993902438</v>
      </c>
      <c r="AF192" s="1027">
        <f>'Premissas Gerais'!$G$90*'Premissas Economias e Água'!AF68</f>
        <v>21433.674725609755</v>
      </c>
      <c r="AG192" s="1027">
        <f>'Premissas Gerais'!$G$90*'Premissas Economias e Água'!AG68</f>
        <v>21260.600457317072</v>
      </c>
      <c r="AH192" s="1027">
        <f>'Premissas Gerais'!$G$90*'Premissas Economias e Água'!AH68</f>
        <v>21087.526189024389</v>
      </c>
      <c r="AI192" s="1027">
        <f>'Premissas Gerais'!$G$90*'Premissas Economias e Água'!AI68</f>
        <v>20914.451920731706</v>
      </c>
    </row>
    <row r="193" spans="3:35" s="77" customFormat="1" hidden="1" outlineLevel="1" x14ac:dyDescent="0.35">
      <c r="C193" s="1024"/>
      <c r="D193" s="1025" t="s">
        <v>8</v>
      </c>
      <c r="E193" s="1026">
        <f t="shared" si="72"/>
        <v>644204.32022433251</v>
      </c>
      <c r="F193" s="1033">
        <f>'Premissas Gerais'!$G$90*'Premissas Economias e Água'!F69</f>
        <v>19660.677931461603</v>
      </c>
      <c r="G193" s="1027">
        <f>'Premissas Gerais'!$G$90*'Premissas Economias e Água'!G69</f>
        <v>19831.164622901186</v>
      </c>
      <c r="H193" s="1027">
        <f>'Premissas Gerais'!$G$90*'Premissas Economias e Água'!H69</f>
        <v>20001.651314340768</v>
      </c>
      <c r="I193" s="1027">
        <f>'Premissas Gerais'!$G$90*'Premissas Economias e Água'!I69</f>
        <v>20172.138005780347</v>
      </c>
      <c r="J193" s="1027">
        <f>'Premissas Gerais'!$G$90*'Premissas Economias e Água'!J69</f>
        <v>20342.62469721993</v>
      </c>
      <c r="K193" s="1027">
        <f>'Premissas Gerais'!$G$90*'Premissas Economias e Água'!K69</f>
        <v>20510.566811175337</v>
      </c>
      <c r="L193" s="1027">
        <f>'Premissas Gerais'!$G$90*'Premissas Economias e Água'!L69</f>
        <v>20645.429417836498</v>
      </c>
      <c r="M193" s="1027">
        <f>'Premissas Gerais'!$G$90*'Premissas Economias e Água'!M69</f>
        <v>20780.292024497659</v>
      </c>
      <c r="N193" s="1027">
        <f>'Premissas Gerais'!$G$90*'Premissas Economias e Água'!N69</f>
        <v>20915.154631158824</v>
      </c>
      <c r="O193" s="1027">
        <f>'Premissas Gerais'!$G$90*'Premissas Economias e Água'!O69</f>
        <v>21050.017237819982</v>
      </c>
      <c r="P193" s="1027">
        <f>'Premissas Gerais'!$G$90*'Premissas Economias e Água'!P69</f>
        <v>21186.152133223233</v>
      </c>
      <c r="Q193" s="1027">
        <f>'Premissas Gerais'!$G$90*'Premissas Economias e Água'!Q69</f>
        <v>21294.296676300579</v>
      </c>
      <c r="R193" s="1027">
        <f>'Premissas Gerais'!$G$90*'Premissas Economias e Água'!R69</f>
        <v>21402.441219377928</v>
      </c>
      <c r="S193" s="1027">
        <f>'Premissas Gerais'!$G$90*'Premissas Economias e Água'!S69</f>
        <v>21510.585762455274</v>
      </c>
      <c r="T193" s="1027">
        <f>'Premissas Gerais'!$G$90*'Premissas Economias e Água'!T69</f>
        <v>21618.730305532619</v>
      </c>
      <c r="U193" s="1027">
        <f>'Premissas Gerais'!$G$90*'Premissas Economias e Água'!U69</f>
        <v>21728.147137352051</v>
      </c>
      <c r="V193" s="1027">
        <f>'Premissas Gerais'!$G$90*'Premissas Economias e Água'!V69</f>
        <v>21798.123018166803</v>
      </c>
      <c r="W193" s="1027">
        <f>'Premissas Gerais'!$G$90*'Premissas Economias e Água'!W69</f>
        <v>21868.09889898156</v>
      </c>
      <c r="X193" s="1027">
        <f>'Premissas Gerais'!$G$90*'Premissas Economias e Água'!X69</f>
        <v>21938.074779796312</v>
      </c>
      <c r="Y193" s="1027">
        <f>'Premissas Gerais'!$G$90*'Premissas Economias e Água'!Y69</f>
        <v>22008.050660611065</v>
      </c>
      <c r="Z193" s="1027">
        <f>'Premissas Gerais'!$G$90*'Premissas Economias e Água'!Z69</f>
        <v>22079.298830167907</v>
      </c>
      <c r="AA193" s="1027">
        <f>'Premissas Gerais'!$G$90*'Premissas Economias e Água'!AA69</f>
        <v>22149.27471098266</v>
      </c>
      <c r="AB193" s="1027">
        <f>'Premissas Gerais'!$G$90*'Premissas Economias e Água'!AB69</f>
        <v>22219.250591797416</v>
      </c>
      <c r="AC193" s="1027">
        <f>'Premissas Gerais'!$G$90*'Premissas Economias e Água'!AC69</f>
        <v>22289.226472612168</v>
      </c>
      <c r="AD193" s="1027">
        <f>'Premissas Gerais'!$G$90*'Premissas Economias e Água'!AD69</f>
        <v>22359.202353426921</v>
      </c>
      <c r="AE193" s="1027">
        <f>'Premissas Gerais'!$G$90*'Premissas Economias e Água'!AE69</f>
        <v>22429.178234241674</v>
      </c>
      <c r="AF193" s="1027">
        <f>'Premissas Gerais'!$G$90*'Premissas Economias e Água'!AF69</f>
        <v>22499.154115056426</v>
      </c>
      <c r="AG193" s="1027">
        <f>'Premissas Gerais'!$G$90*'Premissas Economias e Água'!AG69</f>
        <v>22569.129995871179</v>
      </c>
      <c r="AH193" s="1027">
        <f>'Premissas Gerais'!$G$90*'Premissas Economias e Água'!AH69</f>
        <v>22639.105876685935</v>
      </c>
      <c r="AI193" s="1027">
        <f>'Premissas Gerais'!$G$90*'Premissas Economias e Água'!AI69</f>
        <v>22709.081757500688</v>
      </c>
    </row>
    <row r="194" spans="3:35" s="77" customFormat="1" hidden="1" outlineLevel="1" x14ac:dyDescent="0.35">
      <c r="C194" s="1024"/>
      <c r="D194" s="1025" t="s">
        <v>9</v>
      </c>
      <c r="E194" s="1026">
        <f t="shared" si="72"/>
        <v>530741.80798237433</v>
      </c>
      <c r="F194" s="1033">
        <f>'Premissas Gerais'!$G$90*'Premissas Economias e Água'!F70</f>
        <v>16150.977510380475</v>
      </c>
      <c r="G194" s="1027">
        <f>'Premissas Gerais'!$G$90*'Premissas Economias e Água'!G70</f>
        <v>16293.248639945768</v>
      </c>
      <c r="H194" s="1027">
        <f>'Premissas Gerais'!$G$90*'Premissas Economias e Água'!H70</f>
        <v>16435.519769511058</v>
      </c>
      <c r="I194" s="1027">
        <f>'Premissas Gerais'!$G$90*'Premissas Economias e Água'!I70</f>
        <v>16577.79089907635</v>
      </c>
      <c r="J194" s="1027">
        <f>'Premissas Gerais'!$G$90*'Premissas Economias e Água'!J70</f>
        <v>16720.062028641642</v>
      </c>
      <c r="K194" s="1027">
        <f>'Premissas Gerais'!$G$90*'Premissas Economias e Água'!K70</f>
        <v>16864.896601982884</v>
      </c>
      <c r="L194" s="1027">
        <f>'Premissas Gerais'!$G$90*'Premissas Economias e Água'!L70</f>
        <v>16985.37845945259</v>
      </c>
      <c r="M194" s="1027">
        <f>'Premissas Gerais'!$G$90*'Premissas Economias e Água'!M70</f>
        <v>17105.860316922295</v>
      </c>
      <c r="N194" s="1027">
        <f>'Premissas Gerais'!$G$90*'Premissas Economias e Água'!N70</f>
        <v>17226.342174392001</v>
      </c>
      <c r="O194" s="1027">
        <f>'Premissas Gerais'!$G$90*'Premissas Economias e Água'!O70</f>
        <v>17346.824031861706</v>
      </c>
      <c r="P194" s="1027">
        <f>'Premissas Gerais'!$G$90*'Premissas Economias e Água'!P70</f>
        <v>17466.024167443436</v>
      </c>
      <c r="Q194" s="1027">
        <f>'Premissas Gerais'!$G$90*'Premissas Economias e Água'!Q70</f>
        <v>17550.617812049826</v>
      </c>
      <c r="R194" s="1027">
        <f>'Premissas Gerais'!$G$90*'Premissas Economias e Água'!R70</f>
        <v>17635.211456656216</v>
      </c>
      <c r="S194" s="1027">
        <f>'Premissas Gerais'!$G$90*'Premissas Economias e Água'!S70</f>
        <v>17719.805101262606</v>
      </c>
      <c r="T194" s="1027">
        <f>'Premissas Gerais'!$G$90*'Premissas Economias e Água'!T70</f>
        <v>17804.398745868995</v>
      </c>
      <c r="U194" s="1027">
        <f>'Premissas Gerais'!$G$90*'Premissas Economias e Água'!U70</f>
        <v>17891.555834251336</v>
      </c>
      <c r="V194" s="1027">
        <f>'Premissas Gerais'!$G$90*'Premissas Economias e Água'!V70</f>
        <v>17953.078484874164</v>
      </c>
      <c r="W194" s="1027">
        <f>'Premissas Gerais'!$G$90*'Premissas Economias e Água'!W70</f>
        <v>18014.601135496989</v>
      </c>
      <c r="X194" s="1027">
        <f>'Premissas Gerais'!$G$90*'Premissas Economias e Água'!X70</f>
        <v>18076.123786119821</v>
      </c>
      <c r="Y194" s="1027">
        <f>'Premissas Gerais'!$G$90*'Premissas Economias e Água'!Y70</f>
        <v>18137.646436742649</v>
      </c>
      <c r="Z194" s="1027">
        <f>'Premissas Gerais'!$G$90*'Premissas Economias e Água'!Z70</f>
        <v>18201.732531141428</v>
      </c>
      <c r="AA194" s="1027">
        <f>'Premissas Gerais'!$G$90*'Premissas Economias e Água'!AA70</f>
        <v>18263.255181764256</v>
      </c>
      <c r="AB194" s="1027">
        <f>'Premissas Gerais'!$G$90*'Premissas Economias e Água'!AB70</f>
        <v>18324.777832387088</v>
      </c>
      <c r="AC194" s="1027">
        <f>'Premissas Gerais'!$G$90*'Premissas Economias e Água'!AC70</f>
        <v>18386.300483009916</v>
      </c>
      <c r="AD194" s="1027">
        <f>'Premissas Gerais'!$G$90*'Premissas Economias e Água'!AD70</f>
        <v>18447.823133632741</v>
      </c>
      <c r="AE194" s="1027">
        <f>'Premissas Gerais'!$G$90*'Premissas Economias e Água'!AE70</f>
        <v>18509.345784255573</v>
      </c>
      <c r="AF194" s="1027">
        <f>'Premissas Gerais'!$G$90*'Premissas Economias e Água'!AF70</f>
        <v>18570.868434878401</v>
      </c>
      <c r="AG194" s="1027">
        <f>'Premissas Gerais'!$G$90*'Premissas Economias e Água'!AG70</f>
        <v>18632.391085501229</v>
      </c>
      <c r="AH194" s="1027">
        <f>'Premissas Gerais'!$G$90*'Premissas Economias e Água'!AH70</f>
        <v>18693.913736124057</v>
      </c>
      <c r="AI194" s="1027">
        <f>'Premissas Gerais'!$G$90*'Premissas Economias e Água'!AI70</f>
        <v>18755.436386746886</v>
      </c>
    </row>
    <row r="195" spans="3:35" s="77" customFormat="1" collapsed="1" x14ac:dyDescent="0.35">
      <c r="C195"/>
      <c r="D195" t="s">
        <v>124</v>
      </c>
      <c r="E195" s="486">
        <f t="shared" si="72"/>
        <v>11610219.292509889</v>
      </c>
      <c r="F195" s="477">
        <f t="shared" ref="F195:AI195" si="74">SUM(F196:F204)</f>
        <v>1032291.5286714968</v>
      </c>
      <c r="G195" s="477">
        <f t="shared" si="74"/>
        <v>593416.32224963396</v>
      </c>
      <c r="H195" s="477">
        <f t="shared" si="74"/>
        <v>471885.94310298515</v>
      </c>
      <c r="I195" s="477">
        <f t="shared" si="74"/>
        <v>410193.74234588013</v>
      </c>
      <c r="J195" s="477">
        <f t="shared" si="74"/>
        <v>379501.24207080767</v>
      </c>
      <c r="K195" s="477">
        <f t="shared" si="74"/>
        <v>355722.84793573606</v>
      </c>
      <c r="L195" s="477">
        <f t="shared" si="74"/>
        <v>339898.39699007577</v>
      </c>
      <c r="M195" s="477">
        <f t="shared" si="74"/>
        <v>341221.05083646497</v>
      </c>
      <c r="N195" s="477">
        <f t="shared" si="74"/>
        <v>342543.70468285435</v>
      </c>
      <c r="O195" s="477">
        <f t="shared" si="74"/>
        <v>343866.35852924356</v>
      </c>
      <c r="P195" s="477">
        <f t="shared" si="74"/>
        <v>345186.21313386597</v>
      </c>
      <c r="Q195" s="477">
        <f t="shared" si="74"/>
        <v>345945.92314482306</v>
      </c>
      <c r="R195" s="477">
        <f t="shared" si="74"/>
        <v>346705.63315577991</v>
      </c>
      <c r="S195" s="477">
        <f t="shared" si="74"/>
        <v>347465.34316673689</v>
      </c>
      <c r="T195" s="477">
        <f t="shared" si="74"/>
        <v>348225.05317769386</v>
      </c>
      <c r="U195" s="477">
        <f t="shared" si="74"/>
        <v>348988.37918341008</v>
      </c>
      <c r="V195" s="477">
        <f t="shared" si="74"/>
        <v>349286.66847647371</v>
      </c>
      <c r="W195" s="477">
        <f t="shared" si="74"/>
        <v>349584.95776953734</v>
      </c>
      <c r="X195" s="477">
        <f t="shared" si="74"/>
        <v>349883.24706260109</v>
      </c>
      <c r="Y195" s="477">
        <f t="shared" si="74"/>
        <v>350181.5363556646</v>
      </c>
      <c r="Z195" s="477">
        <f t="shared" si="74"/>
        <v>350480.21822802594</v>
      </c>
      <c r="AA195" s="477">
        <f t="shared" si="74"/>
        <v>350778.50752108963</v>
      </c>
      <c r="AB195" s="477">
        <f t="shared" si="74"/>
        <v>351076.79681415338</v>
      </c>
      <c r="AC195" s="477">
        <f t="shared" si="74"/>
        <v>351375.08610721683</v>
      </c>
      <c r="AD195" s="477">
        <f t="shared" si="74"/>
        <v>351673.37540028058</v>
      </c>
      <c r="AE195" s="477">
        <f t="shared" si="74"/>
        <v>351971.66469334427</v>
      </c>
      <c r="AF195" s="477">
        <f t="shared" si="74"/>
        <v>352269.9539864079</v>
      </c>
      <c r="AG195" s="477">
        <f t="shared" si="74"/>
        <v>352568.24327947153</v>
      </c>
      <c r="AH195" s="477">
        <f t="shared" si="74"/>
        <v>352866.53257253516</v>
      </c>
      <c r="AI195" s="477">
        <f t="shared" si="74"/>
        <v>353164.82186559879</v>
      </c>
    </row>
    <row r="196" spans="3:35" s="77" customFormat="1" hidden="1" outlineLevel="1" x14ac:dyDescent="0.35">
      <c r="C196" s="1020"/>
      <c r="D196" s="1021" t="s">
        <v>1</v>
      </c>
      <c r="E196" s="1022">
        <f t="shared" si="72"/>
        <v>84745.137937941312</v>
      </c>
      <c r="F196" s="1032">
        <f>'Premissas Gerais'!$G$91*('Premissas Economias e Água'!F62*'Premissas Gerais'!$E$51)*12</f>
        <v>8657.2170176469081</v>
      </c>
      <c r="G196" s="1023">
        <f>'Premissas Gerais'!$G$91*('Premissas Economias e Água'!G62*'Premissas Gerais'!$E$52)*12</f>
        <v>4925.7121884705894</v>
      </c>
      <c r="H196" s="1023">
        <f>'Premissas Gerais'!$G$91*('Premissas Economias e Água'!H62*'Premissas Gerais'!$E$53)*12</f>
        <v>3876.815552122509</v>
      </c>
      <c r="I196" s="1023">
        <f>'Premissas Gerais'!$G$91*('Premissas Economias e Água'!I62*'Premissas Gerais'!$E$54)*12</f>
        <v>3335.4189191962605</v>
      </c>
      <c r="J196" s="1023">
        <f>'Premissas Gerais'!$G$91*('Premissas Economias e Água'!J62*'Premissas Gerais'!$E$55)*12</f>
        <v>3054.1634397201037</v>
      </c>
      <c r="K196" s="1023">
        <f>'Premissas Gerais'!$G$91*('Premissas Economias e Água'!K62*'Premissas Gerais'!$E$56)*12</f>
        <v>2833.3702330753194</v>
      </c>
      <c r="L196" s="1023">
        <f>'Premissas Gerais'!$G$91*('Premissas Economias e Água'!L62*'Premissas Gerais'!$E$57)*12</f>
        <v>2676.831052643196</v>
      </c>
      <c r="M196" s="1023">
        <f>'Premissas Gerais'!$G$91*('Premissas Economias e Água'!M62*'Premissas Gerais'!$E$58)*12</f>
        <v>2656.8703815285094</v>
      </c>
      <c r="N196" s="1023">
        <f>'Premissas Gerais'!$G$91*('Premissas Economias e Água'!N62*'Premissas Gerais'!$E$59)*12</f>
        <v>2636.9097104138227</v>
      </c>
      <c r="O196" s="1023">
        <f>'Premissas Gerais'!$G$91*('Premissas Economias e Água'!O62*'Premissas Gerais'!$E$60)*12</f>
        <v>2616.9490392991365</v>
      </c>
      <c r="P196" s="1023">
        <f>'Premissas Gerais'!$G$91*('Premissas Economias e Água'!P62*'Premissas Gerais'!$E$61)*12</f>
        <v>2599.0894914596806</v>
      </c>
      <c r="Q196" s="1023">
        <f>'Premissas Gerais'!$G$91*('Premissas Economias e Água'!Q62*'Premissas Gerais'!$E$62)*12</f>
        <v>2575.9771354321488</v>
      </c>
      <c r="R196" s="1023">
        <f>'Premissas Gerais'!$G$91*('Premissas Economias e Água'!R62*'Premissas Gerais'!$E$63)*12</f>
        <v>2552.8647794046174</v>
      </c>
      <c r="S196" s="1023">
        <f>'Premissas Gerais'!$G$91*('Premissas Economias e Água'!S62*'Premissas Gerais'!$E$64)*12</f>
        <v>2529.752423377086</v>
      </c>
      <c r="T196" s="1023">
        <f>'Premissas Gerais'!$G$91*('Premissas Economias e Água'!T62*'Premissas Gerais'!$E$65)*12</f>
        <v>2506.6400673495546</v>
      </c>
      <c r="U196" s="1023">
        <f>'Premissas Gerais'!$G$91*('Premissas Economias e Água'!U62*'Premissas Gerais'!$E$66)*12</f>
        <v>2484.5782729596381</v>
      </c>
      <c r="V196" s="1023">
        <f>'Premissas Gerais'!$G$91*('Premissas Economias e Água'!V62*'Premissas Gerais'!$E$67)*12</f>
        <v>2460.4153552944913</v>
      </c>
      <c r="W196" s="1023">
        <f>'Premissas Gerais'!$G$91*('Premissas Economias e Água'!W62*'Premissas Gerais'!$E$68)*12</f>
        <v>2436.252437629345</v>
      </c>
      <c r="X196" s="1023">
        <f>'Premissas Gerais'!$G$91*('Premissas Economias e Água'!X62*'Premissas Gerais'!$E$69)*12</f>
        <v>2412.0895199641982</v>
      </c>
      <c r="Y196" s="1023">
        <f>'Premissas Gerais'!$G$91*('Premissas Economias e Água'!Y62*'Premissas Gerais'!$E$70)*12</f>
        <v>2387.9266022990519</v>
      </c>
      <c r="Z196" s="1023">
        <f>'Premissas Gerais'!$G$91*('Premissas Economias e Água'!Z62*'Premissas Gerais'!$E$70)*12</f>
        <v>2361.6625613586748</v>
      </c>
      <c r="AA196" s="1023">
        <f>'Premissas Gerais'!$G$91*('Premissas Economias e Água'!AA62*'Premissas Gerais'!$E$70)*12</f>
        <v>2337.4996436935285</v>
      </c>
      <c r="AB196" s="1023">
        <f>'Premissas Gerais'!$G$91*('Premissas Economias e Água'!AB62*'Premissas Gerais'!$E$70)*12</f>
        <v>2313.3367260283817</v>
      </c>
      <c r="AC196" s="1023">
        <f>'Premissas Gerais'!$G$91*('Premissas Economias e Água'!AC62*'Premissas Gerais'!$E$70)*12</f>
        <v>2289.1738083632349</v>
      </c>
      <c r="AD196" s="1023">
        <f>'Premissas Gerais'!$G$91*('Premissas Economias e Água'!AD62*'Premissas Gerais'!$E$70)*12</f>
        <v>2265.0108906980886</v>
      </c>
      <c r="AE196" s="1023">
        <f>'Premissas Gerais'!$G$91*('Premissas Economias e Água'!AE62*'Premissas Gerais'!$E$70)*12</f>
        <v>2240.8479730329423</v>
      </c>
      <c r="AF196" s="1023">
        <f>'Premissas Gerais'!$G$91*('Premissas Economias e Água'!AF62*'Premissas Gerais'!$E$70)*12</f>
        <v>2216.6850553677955</v>
      </c>
      <c r="AG196" s="1023">
        <f>'Premissas Gerais'!$G$91*('Premissas Economias e Água'!AG62*'Premissas Gerais'!$E$70)*12</f>
        <v>2192.5221377026487</v>
      </c>
      <c r="AH196" s="1023">
        <f>'Premissas Gerais'!$G$91*('Premissas Economias e Água'!AH62*'Premissas Gerais'!$E$70)*12</f>
        <v>2168.3592200375024</v>
      </c>
      <c r="AI196" s="1023">
        <f>'Premissas Gerais'!$G$91*('Premissas Economias e Água'!AI62*'Premissas Gerais'!$E$70)*12</f>
        <v>2144.1963023723556</v>
      </c>
    </row>
    <row r="197" spans="3:35" s="77" customFormat="1" hidden="1" outlineLevel="1" x14ac:dyDescent="0.35">
      <c r="C197" s="1024"/>
      <c r="D197" s="1025" t="s">
        <v>2</v>
      </c>
      <c r="E197" s="1026">
        <f t="shared" si="72"/>
        <v>1106864.323276361</v>
      </c>
      <c r="F197" s="1033">
        <f>'Premissas Gerais'!$G$91*('Premissas Economias e Água'!F63*'Premissas Gerais'!$E$51)*12</f>
        <v>104772.51621388934</v>
      </c>
      <c r="G197" s="1027">
        <f>'Premissas Gerais'!$G$91*('Premissas Economias e Água'!G63*'Premissas Gerais'!$E$52)*12</f>
        <v>59986.733211690262</v>
      </c>
      <c r="H197" s="1027">
        <f>'Premissas Gerais'!$G$91*('Premissas Economias e Água'!H63*'Premissas Gerais'!$E$53)*12</f>
        <v>47510.811715825323</v>
      </c>
      <c r="I197" s="1027">
        <f>'Premissas Gerais'!$G$91*('Premissas Economias e Água'!I63*'Premissas Gerais'!$E$54)*12</f>
        <v>41135.143504260472</v>
      </c>
      <c r="J197" s="1027">
        <f>'Premissas Gerais'!$G$91*('Premissas Economias e Água'!J63*'Premissas Gerais'!$E$55)*12</f>
        <v>37906.577271835042</v>
      </c>
      <c r="K197" s="1027">
        <f>'Premissas Gerais'!$G$91*('Premissas Economias e Água'!K63*'Premissas Gerais'!$E$56)*12</f>
        <v>35393.905786280819</v>
      </c>
      <c r="L197" s="1027">
        <f>'Premissas Gerais'!$G$91*('Premissas Economias e Água'!L63*'Premissas Gerais'!$E$57)*12</f>
        <v>33637.74756666235</v>
      </c>
      <c r="M197" s="1027">
        <f>'Premissas Gerais'!$G$91*('Premissas Economias e Água'!M63*'Premissas Gerais'!$E$58)*12</f>
        <v>33587.701324498106</v>
      </c>
      <c r="N197" s="1027">
        <f>'Premissas Gerais'!$G$91*('Premissas Economias e Água'!N63*'Premissas Gerais'!$E$59)*12</f>
        <v>33537.655082333862</v>
      </c>
      <c r="O197" s="1027">
        <f>'Premissas Gerais'!$G$91*('Premissas Economias e Água'!O63*'Premissas Gerais'!$E$60)*12</f>
        <v>33487.608840169618</v>
      </c>
      <c r="P197" s="1027">
        <f>'Premissas Gerais'!$G$91*('Premissas Economias e Água'!P63*'Premissas Gerais'!$E$61)*12</f>
        <v>33437.562598005366</v>
      </c>
      <c r="Q197" s="1027">
        <f>'Premissas Gerais'!$G$91*('Premissas Economias e Água'!Q63*'Premissas Gerais'!$E$62)*12</f>
        <v>33340.806529821159</v>
      </c>
      <c r="R197" s="1027">
        <f>'Premissas Gerais'!$G$91*('Premissas Economias e Água'!R63*'Premissas Gerais'!$E$63)*12</f>
        <v>33244.050461636944</v>
      </c>
      <c r="S197" s="1027">
        <f>'Premissas Gerais'!$G$91*('Premissas Economias e Água'!S63*'Premissas Gerais'!$E$64)*12</f>
        <v>33147.294393452743</v>
      </c>
      <c r="T197" s="1027">
        <f>'Premissas Gerais'!$G$91*('Premissas Economias e Água'!T63*'Premissas Gerais'!$E$65)*12</f>
        <v>33050.538325268528</v>
      </c>
      <c r="U197" s="1027">
        <f>'Premissas Gerais'!$G$91*('Premissas Economias e Água'!U63*'Premissas Gerais'!$E$66)*12</f>
        <v>32951.557979654797</v>
      </c>
      <c r="V197" s="1027">
        <f>'Premissas Gerais'!$G$91*('Premissas Economias e Água'!V63*'Premissas Gerais'!$E$67)*12</f>
        <v>32812.540640309664</v>
      </c>
      <c r="W197" s="1027">
        <f>'Premissas Gerais'!$G$91*('Premissas Economias e Água'!W63*'Premissas Gerais'!$E$68)*12</f>
        <v>32673.523300964531</v>
      </c>
      <c r="X197" s="1027">
        <f>'Premissas Gerais'!$G$91*('Premissas Economias e Água'!X63*'Premissas Gerais'!$E$69)*12</f>
        <v>32534.505961619405</v>
      </c>
      <c r="Y197" s="1027">
        <f>'Premissas Gerais'!$G$91*('Premissas Economias e Água'!Y63*'Premissas Gerais'!$E$70)*12</f>
        <v>32395.488622274272</v>
      </c>
      <c r="Z197" s="1027">
        <f>'Premissas Gerais'!$G$91*('Premissas Economias e Água'!Z63*'Premissas Gerais'!$E$70)*12</f>
        <v>32257.583421643907</v>
      </c>
      <c r="AA197" s="1027">
        <f>'Premissas Gerais'!$G$91*('Premissas Economias e Água'!AA63*'Premissas Gerais'!$E$70)*12</f>
        <v>32118.56608229877</v>
      </c>
      <c r="AB197" s="1027">
        <f>'Premissas Gerais'!$G$91*('Premissas Economias e Água'!AB63*'Premissas Gerais'!$E$70)*12</f>
        <v>31979.548742953644</v>
      </c>
      <c r="AC197" s="1027">
        <f>'Premissas Gerais'!$G$91*('Premissas Economias e Água'!AC63*'Premissas Gerais'!$E$70)*12</f>
        <v>31840.531403608518</v>
      </c>
      <c r="AD197" s="1027">
        <f>'Premissas Gerais'!$G$91*('Premissas Economias e Água'!AD63*'Premissas Gerais'!$E$70)*12</f>
        <v>31701.514064263381</v>
      </c>
      <c r="AE197" s="1027">
        <f>'Premissas Gerais'!$G$91*('Premissas Economias e Água'!AE63*'Premissas Gerais'!$E$70)*12</f>
        <v>31562.496724918255</v>
      </c>
      <c r="AF197" s="1027">
        <f>'Premissas Gerais'!$G$91*('Premissas Economias e Água'!AF63*'Premissas Gerais'!$E$70)*12</f>
        <v>31423.47938557313</v>
      </c>
      <c r="AG197" s="1027">
        <f>'Premissas Gerais'!$G$91*('Premissas Economias e Água'!AG63*'Premissas Gerais'!$E$70)*12</f>
        <v>31284.462046228</v>
      </c>
      <c r="AH197" s="1027">
        <f>'Premissas Gerais'!$G$91*('Premissas Economias e Água'!AH63*'Premissas Gerais'!$E$70)*12</f>
        <v>31145.444706882867</v>
      </c>
      <c r="AI197" s="1027">
        <f>'Premissas Gerais'!$G$91*('Premissas Economias e Água'!AI63*'Premissas Gerais'!$E$70)*12</f>
        <v>31006.427367537734</v>
      </c>
    </row>
    <row r="198" spans="3:35" s="77" customFormat="1" hidden="1" outlineLevel="1" x14ac:dyDescent="0.35">
      <c r="C198" s="1024"/>
      <c r="D198" s="1025" t="s">
        <v>3</v>
      </c>
      <c r="E198" s="1026">
        <f t="shared" si="72"/>
        <v>148085.79239513454</v>
      </c>
      <c r="F198" s="1033">
        <f>'Premissas Gerais'!$G$91*('Premissas Economias e Água'!F64*'Premissas Gerais'!$E$51)*12</f>
        <v>13865.610498309132</v>
      </c>
      <c r="G198" s="1027">
        <f>'Premissas Gerais'!$G$91*('Premissas Economias e Água'!G64*'Premissas Gerais'!$E$52)*12</f>
        <v>7942.8921298845617</v>
      </c>
      <c r="H198" s="1027">
        <f>'Premissas Gerais'!$G$91*('Premissas Economias e Água'!H64*'Premissas Gerais'!$E$53)*12</f>
        <v>6294.2987186641549</v>
      </c>
      <c r="I198" s="1027">
        <f>'Premissas Gerais'!$G$91*('Premissas Economias e Água'!I64*'Premissas Gerais'!$E$54)*12</f>
        <v>5452.541503510045</v>
      </c>
      <c r="J198" s="1027">
        <f>'Premissas Gerais'!$G$91*('Premissas Economias e Água'!J64*'Premissas Gerais'!$E$55)*12</f>
        <v>5027.2584963242061</v>
      </c>
      <c r="K198" s="1027">
        <f>'Premissas Gerais'!$G$91*('Premissas Economias e Água'!K64*'Premissas Gerais'!$E$56)*12</f>
        <v>4698.763926961612</v>
      </c>
      <c r="L198" s="1027">
        <f>'Premissas Gerais'!$G$91*('Premissas Economias e Água'!L64*'Premissas Gerais'!$E$57)*12</f>
        <v>4471.0475499897639</v>
      </c>
      <c r="M198" s="1027">
        <f>'Premissas Gerais'!$G$91*('Premissas Economias e Água'!M64*'Premissas Gerais'!$E$58)*12</f>
        <v>4469.8282842275639</v>
      </c>
      <c r="N198" s="1027">
        <f>'Premissas Gerais'!$G$91*('Premissas Economias e Água'!N64*'Premissas Gerais'!$E$59)*12</f>
        <v>4468.6090184653631</v>
      </c>
      <c r="O198" s="1027">
        <f>'Premissas Gerais'!$G$91*('Premissas Economias e Água'!O64*'Premissas Gerais'!$E$60)*12</f>
        <v>4467.3897527031622</v>
      </c>
      <c r="P198" s="1027">
        <f>'Premissas Gerais'!$G$91*('Premissas Economias e Água'!P64*'Premissas Gerais'!$E$61)*12</f>
        <v>4463.7319554165606</v>
      </c>
      <c r="Q198" s="1027">
        <f>'Premissas Gerais'!$G$91*('Premissas Economias e Água'!Q64*'Premissas Gerais'!$E$62)*12</f>
        <v>4453.9778293189547</v>
      </c>
      <c r="R198" s="1027">
        <f>'Premissas Gerais'!$G$91*('Premissas Economias e Água'!R64*'Premissas Gerais'!$E$63)*12</f>
        <v>4444.2237032213498</v>
      </c>
      <c r="S198" s="1027">
        <f>'Premissas Gerais'!$G$91*('Premissas Economias e Água'!S64*'Premissas Gerais'!$E$64)*12</f>
        <v>4434.4695771237457</v>
      </c>
      <c r="T198" s="1027">
        <f>'Premissas Gerais'!$G$91*('Premissas Economias e Água'!T64*'Premissas Gerais'!$E$65)*12</f>
        <v>4424.7154510261389</v>
      </c>
      <c r="U198" s="1027">
        <f>'Premissas Gerais'!$G$91*('Premissas Economias e Água'!U64*'Premissas Gerais'!$E$66)*12</f>
        <v>4416.1805906907357</v>
      </c>
      <c r="V198" s="1027">
        <f>'Premissas Gerais'!$G$91*('Premissas Economias e Água'!V64*'Premissas Gerais'!$E$67)*12</f>
        <v>4401.5494015443273</v>
      </c>
      <c r="W198" s="1027">
        <f>'Premissas Gerais'!$G$91*('Premissas Economias e Água'!W64*'Premissas Gerais'!$E$68)*12</f>
        <v>4386.9182123979199</v>
      </c>
      <c r="X198" s="1027">
        <f>'Premissas Gerais'!$G$91*('Premissas Economias e Água'!X64*'Premissas Gerais'!$E$69)*12</f>
        <v>4372.2870232515124</v>
      </c>
      <c r="Y198" s="1027">
        <f>'Premissas Gerais'!$G$91*('Premissas Economias e Água'!Y64*'Premissas Gerais'!$E$70)*12</f>
        <v>4357.6558341051041</v>
      </c>
      <c r="Z198" s="1027">
        <f>'Premissas Gerais'!$G$91*('Premissas Economias e Água'!Z64*'Premissas Gerais'!$E$70)*12</f>
        <v>4343.0246449586975</v>
      </c>
      <c r="AA198" s="1027">
        <f>'Premissas Gerais'!$G$91*('Premissas Economias e Água'!AA64*'Premissas Gerais'!$E$70)*12</f>
        <v>4328.3934558122883</v>
      </c>
      <c r="AB198" s="1027">
        <f>'Premissas Gerais'!$G$91*('Premissas Economias e Água'!AB64*'Premissas Gerais'!$E$70)*12</f>
        <v>4313.7622666658808</v>
      </c>
      <c r="AC198" s="1027">
        <f>'Premissas Gerais'!$G$91*('Premissas Economias e Água'!AC64*'Premissas Gerais'!$E$70)*12</f>
        <v>4299.1310775194734</v>
      </c>
      <c r="AD198" s="1027">
        <f>'Premissas Gerais'!$G$91*('Premissas Economias e Água'!AD64*'Premissas Gerais'!$E$70)*12</f>
        <v>4284.4998883730659</v>
      </c>
      <c r="AE198" s="1027">
        <f>'Premissas Gerais'!$G$91*('Premissas Economias e Água'!AE64*'Premissas Gerais'!$E$70)*12</f>
        <v>4269.8686992266576</v>
      </c>
      <c r="AF198" s="1027">
        <f>'Premissas Gerais'!$G$91*('Premissas Economias e Água'!AF64*'Premissas Gerais'!$E$70)*12</f>
        <v>4255.2375100802501</v>
      </c>
      <c r="AG198" s="1027">
        <f>'Premissas Gerais'!$G$91*('Premissas Economias e Água'!AG64*'Premissas Gerais'!$E$70)*12</f>
        <v>4240.6063209338427</v>
      </c>
      <c r="AH198" s="1027">
        <f>'Premissas Gerais'!$G$91*('Premissas Economias e Água'!AH64*'Premissas Gerais'!$E$70)*12</f>
        <v>4225.9751317874343</v>
      </c>
      <c r="AI198" s="1027">
        <f>'Premissas Gerais'!$G$91*('Premissas Economias e Água'!AI64*'Premissas Gerais'!$E$70)*12</f>
        <v>4211.3439426410278</v>
      </c>
    </row>
    <row r="199" spans="3:35" s="77" customFormat="1" hidden="1" outlineLevel="1" x14ac:dyDescent="0.35">
      <c r="C199" s="1024"/>
      <c r="D199" s="1025" t="s">
        <v>4</v>
      </c>
      <c r="E199" s="1026">
        <f t="shared" si="72"/>
        <v>329986.16711652389</v>
      </c>
      <c r="F199" s="1033">
        <f>'Premissas Gerais'!$G$91*('Premissas Economias e Água'!F65*'Premissas Gerais'!$E$51)*12</f>
        <v>27889.076578777716</v>
      </c>
      <c r="G199" s="1027">
        <f>'Premissas Gerais'!$G$91*('Premissas Economias e Água'!G65*'Premissas Gerais'!$E$52)*12</f>
        <v>16106.485454939786</v>
      </c>
      <c r="H199" s="1027">
        <f>'Premissas Gerais'!$G$91*('Premissas Economias e Água'!H65*'Premissas Gerais'!$E$53)*12</f>
        <v>12866.499580057731</v>
      </c>
      <c r="I199" s="1027">
        <f>'Premissas Gerais'!$G$91*('Premissas Economias e Água'!I65*'Premissas Gerais'!$E$54)*12</f>
        <v>11234.858296158123</v>
      </c>
      <c r="J199" s="1027">
        <f>'Premissas Gerais'!$G$91*('Premissas Economias e Água'!J65*'Premissas Gerais'!$E$55)*12</f>
        <v>10440.484592841069</v>
      </c>
      <c r="K199" s="1027">
        <f>'Premissas Gerais'!$G$91*('Premissas Economias e Água'!K65*'Premissas Gerais'!$E$56)*12</f>
        <v>9828.2715517262313</v>
      </c>
      <c r="L199" s="1027">
        <f>'Premissas Gerais'!$G$91*('Premissas Economias e Água'!L65*'Premissas Gerais'!$E$57)*12</f>
        <v>9426.471752717558</v>
      </c>
      <c r="M199" s="1027">
        <f>'Premissas Gerais'!$G$91*('Premissas Economias e Água'!M65*'Premissas Gerais'!$E$58)*12</f>
        <v>9498.4295523566234</v>
      </c>
      <c r="N199" s="1027">
        <f>'Premissas Gerais'!$G$91*('Premissas Economias e Água'!N65*'Premissas Gerais'!$E$59)*12</f>
        <v>9570.3873519956869</v>
      </c>
      <c r="O199" s="1027">
        <f>'Premissas Gerais'!$G$91*('Premissas Economias e Água'!O65*'Premissas Gerais'!$E$60)*12</f>
        <v>9642.3451516347559</v>
      </c>
      <c r="P199" s="1027">
        <f>'Premissas Gerais'!$G$91*('Premissas Economias e Água'!P65*'Premissas Gerais'!$E$61)*12</f>
        <v>9713.3172279910941</v>
      </c>
      <c r="Q199" s="1027">
        <f>'Premissas Gerais'!$G$91*('Premissas Economias e Água'!Q65*'Premissas Gerais'!$E$62)*12</f>
        <v>9770.4891783892526</v>
      </c>
      <c r="R199" s="1027">
        <f>'Premissas Gerais'!$G$91*('Premissas Economias e Água'!R65*'Premissas Gerais'!$E$63)*12</f>
        <v>9827.6611287874166</v>
      </c>
      <c r="S199" s="1027">
        <f>'Premissas Gerais'!$G$91*('Premissas Economias e Água'!S65*'Premissas Gerais'!$E$64)*12</f>
        <v>9884.8330791855769</v>
      </c>
      <c r="T199" s="1027">
        <f>'Premissas Gerais'!$G$91*('Premissas Economias e Água'!T65*'Premissas Gerais'!$E$65)*12</f>
        <v>9942.0050295837391</v>
      </c>
      <c r="U199" s="1027">
        <f>'Premissas Gerais'!$G$91*('Premissas Economias e Água'!U65*'Premissas Gerais'!$E$66)*12</f>
        <v>10001.148426547352</v>
      </c>
      <c r="V199" s="1027">
        <f>'Premissas Gerais'!$G$91*('Premissas Economias e Água'!V65*'Premissas Gerais'!$E$67)*12</f>
        <v>10042.548804421884</v>
      </c>
      <c r="W199" s="1027">
        <f>'Premissas Gerais'!$G$91*('Premissas Economias e Água'!W65*'Premissas Gerais'!$E$68)*12</f>
        <v>10083.949182296416</v>
      </c>
      <c r="X199" s="1027">
        <f>'Premissas Gerais'!$G$91*('Premissas Economias e Água'!X65*'Premissas Gerais'!$E$69)*12</f>
        <v>10125.349560170947</v>
      </c>
      <c r="Y199" s="1027">
        <f>'Premissas Gerais'!$G$91*('Premissas Economias e Água'!Y65*'Premissas Gerais'!$E$70)*12</f>
        <v>10166.749938045477</v>
      </c>
      <c r="Z199" s="1027">
        <f>'Premissas Gerais'!$G$91*('Premissas Economias e Água'!Z65*'Premissas Gerais'!$E$70)*12</f>
        <v>10206.178869354555</v>
      </c>
      <c r="AA199" s="1027">
        <f>'Premissas Gerais'!$G$91*('Premissas Economias e Água'!AA65*'Premissas Gerais'!$E$70)*12</f>
        <v>10247.579247229085</v>
      </c>
      <c r="AB199" s="1027">
        <f>'Premissas Gerais'!$G$91*('Premissas Economias e Água'!AB65*'Premissas Gerais'!$E$70)*12</f>
        <v>10288.979625103615</v>
      </c>
      <c r="AC199" s="1027">
        <f>'Premissas Gerais'!$G$91*('Premissas Economias e Água'!AC65*'Premissas Gerais'!$E$70)*12</f>
        <v>10330.380002978145</v>
      </c>
      <c r="AD199" s="1027">
        <f>'Premissas Gerais'!$G$91*('Premissas Economias e Água'!AD65*'Premissas Gerais'!$E$70)*12</f>
        <v>10371.780380852677</v>
      </c>
      <c r="AE199" s="1027">
        <f>'Premissas Gerais'!$G$91*('Premissas Economias e Água'!AE65*'Premissas Gerais'!$E$70)*12</f>
        <v>10413.180758727207</v>
      </c>
      <c r="AF199" s="1027">
        <f>'Premissas Gerais'!$G$91*('Premissas Economias e Água'!AF65*'Premissas Gerais'!$E$70)*12</f>
        <v>10454.581136601739</v>
      </c>
      <c r="AG199" s="1027">
        <f>'Premissas Gerais'!$G$91*('Premissas Economias e Água'!AG65*'Premissas Gerais'!$E$70)*12</f>
        <v>10495.981514476269</v>
      </c>
      <c r="AH199" s="1027">
        <f>'Premissas Gerais'!$G$91*('Premissas Economias e Água'!AH65*'Premissas Gerais'!$E$70)*12</f>
        <v>10537.381892350801</v>
      </c>
      <c r="AI199" s="1027">
        <f>'Premissas Gerais'!$G$91*('Premissas Economias e Água'!AI65*'Premissas Gerais'!$E$70)*12</f>
        <v>10578.782270225331</v>
      </c>
    </row>
    <row r="200" spans="3:35" s="77" customFormat="1" hidden="1" outlineLevel="1" x14ac:dyDescent="0.35">
      <c r="C200" s="1024"/>
      <c r="D200" s="1025" t="s">
        <v>5</v>
      </c>
      <c r="E200" s="1026">
        <f t="shared" si="72"/>
        <v>683930.20084139518</v>
      </c>
      <c r="F200" s="1033">
        <f>'Premissas Gerais'!$G$91*('Premissas Economias e Água'!F66*'Premissas Gerais'!$E$51)*12</f>
        <v>61653.541549069632</v>
      </c>
      <c r="G200" s="1027">
        <f>'Premissas Gerais'!$G$91*('Premissas Economias e Água'!G66*'Premissas Gerais'!$E$52)*12</f>
        <v>35430.76996530623</v>
      </c>
      <c r="H200" s="1027">
        <f>'Premissas Gerais'!$G$91*('Premissas Economias e Água'!H66*'Premissas Gerais'!$E$53)*12</f>
        <v>28165.973496813647</v>
      </c>
      <c r="I200" s="1027">
        <f>'Premissas Gerais'!$G$91*('Premissas Economias e Água'!I66*'Premissas Gerais'!$E$54)*12</f>
        <v>24476.231379818761</v>
      </c>
      <c r="J200" s="1027">
        <f>'Premissas Gerais'!$G$91*('Premissas Economias e Água'!J66*'Premissas Gerais'!$E$55)*12</f>
        <v>22637.979860763102</v>
      </c>
      <c r="K200" s="1027">
        <f>'Premissas Gerais'!$G$91*('Premissas Economias e Água'!K66*'Premissas Gerais'!$E$56)*12</f>
        <v>21212.186104475837</v>
      </c>
      <c r="L200" s="1027">
        <f>'Premissas Gerais'!$G$91*('Premissas Economias e Água'!L66*'Premissas Gerais'!$E$57)*12</f>
        <v>20238.566405320958</v>
      </c>
      <c r="M200" s="1027">
        <f>'Premissas Gerais'!$G$91*('Premissas Economias e Água'!M66*'Premissas Gerais'!$E$58)*12</f>
        <v>20287.449421728546</v>
      </c>
      <c r="N200" s="1027">
        <f>'Premissas Gerais'!$G$91*('Premissas Economias e Água'!N66*'Premissas Gerais'!$E$59)*12</f>
        <v>20336.332438136131</v>
      </c>
      <c r="O200" s="1027">
        <f>'Premissas Gerais'!$G$91*('Premissas Economias e Água'!O66*'Premissas Gerais'!$E$60)*12</f>
        <v>20385.215454543719</v>
      </c>
      <c r="P200" s="1027">
        <f>'Premissas Gerais'!$G$91*('Premissas Economias e Água'!P66*'Premissas Gerais'!$E$61)*12</f>
        <v>20436.093696110802</v>
      </c>
      <c r="Q200" s="1027">
        <f>'Premissas Gerais'!$G$91*('Premissas Economias e Água'!Q66*'Premissas Gerais'!$E$62)*12</f>
        <v>20455.048335125986</v>
      </c>
      <c r="R200" s="1027">
        <f>'Premissas Gerais'!$G$91*('Premissas Economias e Água'!R66*'Premissas Gerais'!$E$63)*12</f>
        <v>20474.002974141178</v>
      </c>
      <c r="S200" s="1027">
        <f>'Premissas Gerais'!$G$91*('Premissas Economias e Água'!S66*'Premissas Gerais'!$E$64)*12</f>
        <v>20492.957613156363</v>
      </c>
      <c r="T200" s="1027">
        <f>'Premissas Gerais'!$G$91*('Premissas Economias e Água'!T66*'Premissas Gerais'!$E$65)*12</f>
        <v>20511.912252171547</v>
      </c>
      <c r="U200" s="1027">
        <f>'Premissas Gerais'!$G$91*('Premissas Economias e Água'!U66*'Premissas Gerais'!$E$66)*12</f>
        <v>20532.86211634623</v>
      </c>
      <c r="V200" s="1027">
        <f>'Premissas Gerais'!$G$91*('Premissas Economias e Água'!V66*'Premissas Gerais'!$E$67)*12</f>
        <v>20520.890765389271</v>
      </c>
      <c r="W200" s="1027">
        <f>'Premissas Gerais'!$G$91*('Premissas Economias e Água'!W66*'Premissas Gerais'!$E$68)*12</f>
        <v>20508.919414432305</v>
      </c>
      <c r="X200" s="1027">
        <f>'Premissas Gerais'!$G$91*('Premissas Economias e Água'!X66*'Premissas Gerais'!$E$69)*12</f>
        <v>20496.948063475349</v>
      </c>
      <c r="Y200" s="1027">
        <f>'Premissas Gerais'!$G$91*('Premissas Economias e Água'!Y66*'Premissas Gerais'!$E$70)*12</f>
        <v>20484.97671251839</v>
      </c>
      <c r="Z200" s="1027">
        <f>'Premissas Gerais'!$G$91*('Premissas Economias e Água'!Z66*'Premissas Gerais'!$E$70)*12</f>
        <v>20473.005361561431</v>
      </c>
      <c r="AA200" s="1027">
        <f>'Premissas Gerais'!$G$91*('Premissas Economias e Água'!AA66*'Premissas Gerais'!$E$70)*12</f>
        <v>20461.034010604468</v>
      </c>
      <c r="AB200" s="1027">
        <f>'Premissas Gerais'!$G$91*('Premissas Economias e Água'!AB66*'Premissas Gerais'!$E$70)*12</f>
        <v>20449.062659647512</v>
      </c>
      <c r="AC200" s="1027">
        <f>'Premissas Gerais'!$G$91*('Premissas Economias e Água'!AC66*'Premissas Gerais'!$E$70)*12</f>
        <v>20437.091308690549</v>
      </c>
      <c r="AD200" s="1027">
        <f>'Premissas Gerais'!$G$91*('Premissas Economias e Água'!AD66*'Premissas Gerais'!$E$70)*12</f>
        <v>20425.119957733586</v>
      </c>
      <c r="AE200" s="1027">
        <f>'Premissas Gerais'!$G$91*('Premissas Economias e Água'!AE66*'Premissas Gerais'!$E$70)*12</f>
        <v>20413.148606776627</v>
      </c>
      <c r="AF200" s="1027">
        <f>'Premissas Gerais'!$G$91*('Premissas Economias e Água'!AF66*'Premissas Gerais'!$E$70)*12</f>
        <v>20401.177255819668</v>
      </c>
      <c r="AG200" s="1027">
        <f>'Premissas Gerais'!$G$91*('Premissas Economias e Água'!AG66*'Premissas Gerais'!$E$70)*12</f>
        <v>20389.205904862709</v>
      </c>
      <c r="AH200" s="1027">
        <f>'Premissas Gerais'!$G$91*('Premissas Economias e Água'!AH66*'Premissas Gerais'!$E$70)*12</f>
        <v>20377.234553905746</v>
      </c>
      <c r="AI200" s="1027">
        <f>'Premissas Gerais'!$G$91*('Premissas Economias e Água'!AI66*'Premissas Gerais'!$E$70)*12</f>
        <v>20365.263202948787</v>
      </c>
    </row>
    <row r="201" spans="3:35" s="77" customFormat="1" hidden="1" outlineLevel="1" x14ac:dyDescent="0.35">
      <c r="C201" s="1024"/>
      <c r="D201" s="1025" t="s">
        <v>6</v>
      </c>
      <c r="E201" s="1026">
        <f t="shared" si="72"/>
        <v>7755456.8535520937</v>
      </c>
      <c r="F201" s="1033">
        <f>'Premissas Gerais'!$G$91*('Premissas Economias e Água'!F67*'Premissas Gerais'!$E$51)*12</f>
        <v>679729.55017271708</v>
      </c>
      <c r="G201" s="1027">
        <f>'Premissas Gerais'!$G$91*('Premissas Economias e Água'!G67*'Premissas Gerais'!$E$52)*12</f>
        <v>391045.92938918236</v>
      </c>
      <c r="H201" s="1027">
        <f>'Premissas Gerais'!$G$91*('Premissas Economias e Água'!H67*'Premissas Gerais'!$E$53)*12</f>
        <v>311197.79622905451</v>
      </c>
      <c r="I201" s="1027">
        <f>'Premissas Gerais'!$G$91*('Premissas Economias e Água'!I67*'Premissas Gerais'!$E$54)*12</f>
        <v>270717.567224645</v>
      </c>
      <c r="J201" s="1027">
        <f>'Premissas Gerais'!$G$91*('Premissas Economias e Água'!J67*'Premissas Gerais'!$E$55)*12</f>
        <v>250648.63144576416</v>
      </c>
      <c r="K201" s="1027">
        <f>'Premissas Gerais'!$G$91*('Premissas Economias e Água'!K67*'Premissas Gerais'!$E$56)*12</f>
        <v>235116.75728368032</v>
      </c>
      <c r="L201" s="1027">
        <f>'Premissas Gerais'!$G$91*('Premissas Economias e Água'!L67*'Premissas Gerais'!$E$57)*12</f>
        <v>224957.21723041369</v>
      </c>
      <c r="M201" s="1027">
        <f>'Premissas Gerais'!$G$91*('Premissas Economias e Água'!M67*'Premissas Gerais'!$E$58)*12</f>
        <v>226131.14000897063</v>
      </c>
      <c r="N201" s="1027">
        <f>'Premissas Gerais'!$G$91*('Premissas Economias e Água'!N67*'Premissas Gerais'!$E$59)*12</f>
        <v>227305.06278752768</v>
      </c>
      <c r="O201" s="1027">
        <f>'Premissas Gerais'!$G$91*('Premissas Economias e Água'!O67*'Premissas Gerais'!$E$60)*12</f>
        <v>228478.98556608468</v>
      </c>
      <c r="P201" s="1027">
        <f>'Premissas Gerais'!$G$91*('Premissas Economias e Água'!P67*'Premissas Gerais'!$E$61)*12</f>
        <v>229650.38106201828</v>
      </c>
      <c r="Q201" s="1027">
        <f>'Premissas Gerais'!$G$91*('Premissas Economias e Água'!Q67*'Premissas Gerais'!$E$62)*12</f>
        <v>230440.15688182256</v>
      </c>
      <c r="R201" s="1027">
        <f>'Premissas Gerais'!$G$91*('Premissas Economias e Água'!R67*'Premissas Gerais'!$E$63)*12</f>
        <v>231229.93270162676</v>
      </c>
      <c r="S201" s="1027">
        <f>'Premissas Gerais'!$G$91*('Premissas Economias e Água'!S67*'Premissas Gerais'!$E$64)*12</f>
        <v>232019.70852143096</v>
      </c>
      <c r="T201" s="1027">
        <f>'Premissas Gerais'!$G$91*('Premissas Economias e Água'!T67*'Premissas Gerais'!$E$65)*12</f>
        <v>232809.48434123519</v>
      </c>
      <c r="U201" s="1027">
        <f>'Premissas Gerais'!$G$91*('Premissas Economias e Água'!U67*'Premissas Gerais'!$E$66)*12</f>
        <v>233597.99651972772</v>
      </c>
      <c r="V201" s="1027">
        <f>'Premissas Gerais'!$G$91*('Premissas Economias e Água'!V67*'Premissas Gerais'!$E$67)*12</f>
        <v>234074.38929423364</v>
      </c>
      <c r="W201" s="1027">
        <f>'Premissas Gerais'!$G$91*('Premissas Economias e Água'!W67*'Premissas Gerais'!$E$68)*12</f>
        <v>234550.78206873959</v>
      </c>
      <c r="X201" s="1027">
        <f>'Premissas Gerais'!$G$91*('Premissas Economias e Água'!X67*'Premissas Gerais'!$E$69)*12</f>
        <v>235027.17484324554</v>
      </c>
      <c r="Y201" s="1027">
        <f>'Premissas Gerais'!$G$91*('Premissas Economias e Água'!Y67*'Premissas Gerais'!$E$70)*12</f>
        <v>235503.56761775137</v>
      </c>
      <c r="Z201" s="1027">
        <f>'Premissas Gerais'!$G$91*('Premissas Economias e Água'!Z67*'Premissas Gerais'!$E$70)*12</f>
        <v>235978.69675094562</v>
      </c>
      <c r="AA201" s="1027">
        <f>'Premissas Gerais'!$G$91*('Premissas Economias e Água'!AA67*'Premissas Gerais'!$E$70)*12</f>
        <v>236455.08952545153</v>
      </c>
      <c r="AB201" s="1027">
        <f>'Premissas Gerais'!$G$91*('Premissas Economias e Água'!AB67*'Premissas Gerais'!$E$70)*12</f>
        <v>236931.48229995748</v>
      </c>
      <c r="AC201" s="1027">
        <f>'Premissas Gerais'!$G$91*('Premissas Economias e Água'!AC67*'Premissas Gerais'!$E$70)*12</f>
        <v>237407.87507446331</v>
      </c>
      <c r="AD201" s="1027">
        <f>'Premissas Gerais'!$G$91*('Premissas Economias e Água'!AD67*'Premissas Gerais'!$E$70)*12</f>
        <v>237884.26784896926</v>
      </c>
      <c r="AE201" s="1027">
        <f>'Premissas Gerais'!$G$91*('Premissas Economias e Água'!AE67*'Premissas Gerais'!$E$70)*12</f>
        <v>238360.66062347521</v>
      </c>
      <c r="AF201" s="1027">
        <f>'Premissas Gerais'!$G$91*('Premissas Economias e Água'!AF67*'Premissas Gerais'!$E$70)*12</f>
        <v>238837.05339798113</v>
      </c>
      <c r="AG201" s="1027">
        <f>'Premissas Gerais'!$G$91*('Premissas Economias e Água'!AG67*'Premissas Gerais'!$E$70)*12</f>
        <v>239313.44617248702</v>
      </c>
      <c r="AH201" s="1027">
        <f>'Premissas Gerais'!$G$91*('Premissas Economias e Água'!AH67*'Premissas Gerais'!$E$70)*12</f>
        <v>239789.83894699291</v>
      </c>
      <c r="AI201" s="1027">
        <f>'Premissas Gerais'!$G$91*('Premissas Economias e Água'!AI67*'Premissas Gerais'!$E$70)*12</f>
        <v>240266.23172149883</v>
      </c>
    </row>
    <row r="202" spans="3:35" s="77" customFormat="1" hidden="1" outlineLevel="1" x14ac:dyDescent="0.35">
      <c r="C202" s="1024"/>
      <c r="D202" s="1025" t="s">
        <v>7</v>
      </c>
      <c r="E202" s="1026">
        <f t="shared" si="72"/>
        <v>565418.43127322954</v>
      </c>
      <c r="F202" s="1033">
        <f>'Premissas Gerais'!$G$91*('Premissas Economias e Água'!F68*'Premissas Gerais'!$E$51)*12</f>
        <v>55874.420838427613</v>
      </c>
      <c r="G202" s="1027">
        <f>'Premissas Gerais'!$G$91*('Premissas Economias e Água'!G68*'Premissas Gerais'!$E$52)*12</f>
        <v>31887.175157693844</v>
      </c>
      <c r="H202" s="1027">
        <f>'Premissas Gerais'!$G$91*('Premissas Economias e Água'!H68*'Premissas Gerais'!$E$53)*12</f>
        <v>25173.609432124773</v>
      </c>
      <c r="I202" s="1027">
        <f>'Premissas Gerais'!$G$91*('Premissas Economias e Água'!I68*'Premissas Gerais'!$E$54)*12</f>
        <v>21724.774206511669</v>
      </c>
      <c r="J202" s="1027">
        <f>'Premissas Gerais'!$G$91*('Premissas Economias e Água'!J68*'Premissas Gerais'!$E$55)*12</f>
        <v>19954.600450000158</v>
      </c>
      <c r="K202" s="1027">
        <f>'Premissas Gerais'!$G$91*('Premissas Economias e Água'!K68*'Premissas Gerais'!$E$56)*12</f>
        <v>18568.011722012165</v>
      </c>
      <c r="L202" s="1027">
        <f>'Premissas Gerais'!$G$91*('Premissas Economias e Água'!L68*'Premissas Gerais'!$E$57)*12</f>
        <v>17589.547072496411</v>
      </c>
      <c r="M202" s="1027">
        <f>'Premissas Gerais'!$G$91*('Premissas Economias e Água'!M68*'Premissas Gerais'!$E$58)*12</f>
        <v>17506.126541245631</v>
      </c>
      <c r="N202" s="1027">
        <f>'Premissas Gerais'!$G$91*('Premissas Economias e Água'!N68*'Premissas Gerais'!$E$59)*12</f>
        <v>17422.706009994843</v>
      </c>
      <c r="O202" s="1027">
        <f>'Premissas Gerais'!$G$91*('Premissas Economias e Água'!O68*'Premissas Gerais'!$E$60)*12</f>
        <v>17339.285478744066</v>
      </c>
      <c r="P202" s="1027">
        <f>'Premissas Gerais'!$G$91*('Premissas Economias e Água'!P68*'Premissas Gerais'!$E$61)*12</f>
        <v>17254.927638153385</v>
      </c>
      <c r="Q202" s="1027">
        <f>'Premissas Gerais'!$G$91*('Premissas Economias e Água'!Q68*'Premissas Gerais'!$E$62)*12</f>
        <v>17140.57589868602</v>
      </c>
      <c r="R202" s="1027">
        <f>'Premissas Gerais'!$G$91*('Premissas Economias e Água'!R68*'Premissas Gerais'!$E$63)*12</f>
        <v>17026.224159218655</v>
      </c>
      <c r="S202" s="1027">
        <f>'Premissas Gerais'!$G$91*('Premissas Economias e Água'!S68*'Premissas Gerais'!$E$64)*12</f>
        <v>16911.872419751289</v>
      </c>
      <c r="T202" s="1027">
        <f>'Premissas Gerais'!$G$91*('Premissas Economias e Água'!T68*'Premissas Gerais'!$E$65)*12</f>
        <v>16797.520680283928</v>
      </c>
      <c r="U202" s="1027">
        <f>'Premissas Gerais'!$G$91*('Premissas Economias e Água'!U68*'Premissas Gerais'!$E$66)*12</f>
        <v>16681.294322136768</v>
      </c>
      <c r="V202" s="1027">
        <f>'Premissas Gerais'!$G$91*('Premissas Economias e Água'!V68*'Premissas Gerais'!$E$67)*12</f>
        <v>16557.569489270438</v>
      </c>
      <c r="W202" s="1027">
        <f>'Premissas Gerais'!$G$91*('Premissas Economias e Água'!W68*'Premissas Gerais'!$E$68)*12</f>
        <v>16433.844656404111</v>
      </c>
      <c r="X202" s="1027">
        <f>'Premissas Gerais'!$G$91*('Premissas Economias e Água'!X68*'Premissas Gerais'!$E$69)*12</f>
        <v>16310.119823537781</v>
      </c>
      <c r="Y202" s="1027">
        <f>'Premissas Gerais'!$G$91*('Premissas Economias e Água'!Y68*'Premissas Gerais'!$E$70)*12</f>
        <v>16186.394990671455</v>
      </c>
      <c r="Z202" s="1027">
        <f>'Premissas Gerais'!$G$91*('Premissas Economias e Água'!Z68*'Premissas Gerais'!$E$70)*12</f>
        <v>16064.544776484918</v>
      </c>
      <c r="AA202" s="1027">
        <f>'Premissas Gerais'!$G$91*('Premissas Economias e Água'!AA68*'Premissas Gerais'!$E$70)*12</f>
        <v>15940.819943618588</v>
      </c>
      <c r="AB202" s="1027">
        <f>'Premissas Gerais'!$G$91*('Premissas Economias e Água'!AB68*'Premissas Gerais'!$E$70)*12</f>
        <v>15817.09511075226</v>
      </c>
      <c r="AC202" s="1027">
        <f>'Premissas Gerais'!$G$91*('Premissas Economias e Água'!AC68*'Premissas Gerais'!$E$70)*12</f>
        <v>15693.37027788593</v>
      </c>
      <c r="AD202" s="1027">
        <f>'Premissas Gerais'!$G$91*('Premissas Economias e Água'!AD68*'Premissas Gerais'!$E$70)*12</f>
        <v>15569.645445019603</v>
      </c>
      <c r="AE202" s="1027">
        <f>'Premissas Gerais'!$G$91*('Premissas Economias e Água'!AE68*'Premissas Gerais'!$E$70)*12</f>
        <v>15445.920612153273</v>
      </c>
      <c r="AF202" s="1027">
        <f>'Premissas Gerais'!$G$91*('Premissas Economias e Água'!AF68*'Premissas Gerais'!$E$70)*12</f>
        <v>15322.195779286943</v>
      </c>
      <c r="AG202" s="1027">
        <f>'Premissas Gerais'!$G$91*('Premissas Economias e Água'!AG68*'Premissas Gerais'!$E$70)*12</f>
        <v>15198.470946420617</v>
      </c>
      <c r="AH202" s="1027">
        <f>'Premissas Gerais'!$G$91*('Premissas Economias e Água'!AH68*'Premissas Gerais'!$E$70)*12</f>
        <v>15074.746113554287</v>
      </c>
      <c r="AI202" s="1027">
        <f>'Premissas Gerais'!$G$91*('Premissas Economias e Água'!AI68*'Premissas Gerais'!$E$70)*12</f>
        <v>14951.021280687959</v>
      </c>
    </row>
    <row r="203" spans="3:35" s="77" customFormat="1" hidden="1" outlineLevel="1" x14ac:dyDescent="0.35">
      <c r="C203" s="1024"/>
      <c r="D203" s="1025" t="s">
        <v>8</v>
      </c>
      <c r="E203" s="1026">
        <f t="shared" si="72"/>
        <v>513113.28004992794</v>
      </c>
      <c r="F203" s="1033">
        <f>'Premissas Gerais'!$G$91*('Premissas Economias e Água'!F69*'Premissas Gerais'!$E$51)*12</f>
        <v>43837.604452075117</v>
      </c>
      <c r="G203" s="1027">
        <f>'Premissas Gerais'!$G$91*('Premissas Economias e Água'!G69*'Premissas Gerais'!$E$52)*12</f>
        <v>25302.300701409069</v>
      </c>
      <c r="H203" s="1027">
        <f>'Premissas Gerais'!$G$91*('Premissas Economias e Água'!H69*'Premissas Gerais'!$E$53)*12</f>
        <v>20200.896893691737</v>
      </c>
      <c r="I203" s="1027">
        <f>'Premissas Gerais'!$G$91*('Premissas Economias e Água'!I69*'Premissas Gerais'!$E$54)*12</f>
        <v>17629.22426137975</v>
      </c>
      <c r="J203" s="1027">
        <f>'Premissas Gerais'!$G$91*('Premissas Economias e Água'!J69*'Premissas Gerais'!$E$55)*12</f>
        <v>16373.663338323455</v>
      </c>
      <c r="K203" s="1027">
        <f>'Premissas Gerais'!$G$91*('Premissas Economias e Água'!K69*'Premissas Gerais'!$E$56)*12</f>
        <v>15404.867036667081</v>
      </c>
      <c r="L203" s="1027">
        <f>'Premissas Gerais'!$G$91*('Premissas Economias e Água'!L69*'Premissas Gerais'!$E$57)*12</f>
        <v>14758.706359837312</v>
      </c>
      <c r="M203" s="1027">
        <f>'Premissas Gerais'!$G$91*('Premissas Economias e Água'!M69*'Premissas Gerais'!$E$58)*12</f>
        <v>14855.114992002393</v>
      </c>
      <c r="N203" s="1027">
        <f>'Premissas Gerais'!$G$91*('Premissas Economias e Água'!N69*'Premissas Gerais'!$E$59)*12</f>
        <v>14951.523624167474</v>
      </c>
      <c r="O203" s="1027">
        <f>'Premissas Gerais'!$G$91*('Premissas Economias e Água'!O69*'Premissas Gerais'!$E$60)*12</f>
        <v>15047.93225633255</v>
      </c>
      <c r="P203" s="1027">
        <f>'Premissas Gerais'!$G$91*('Premissas Economias e Água'!P69*'Premissas Gerais'!$E$61)*12</f>
        <v>15145.250403895416</v>
      </c>
      <c r="Q203" s="1027">
        <f>'Premissas Gerais'!$G$91*('Premissas Economias e Água'!Q69*'Premissas Gerais'!$E$62)*12</f>
        <v>15222.559212707038</v>
      </c>
      <c r="R203" s="1027">
        <f>'Premissas Gerais'!$G$91*('Premissas Economias e Água'!R69*'Premissas Gerais'!$E$63)*12</f>
        <v>15299.868021518658</v>
      </c>
      <c r="S203" s="1027">
        <f>'Premissas Gerais'!$G$91*('Premissas Economias e Água'!S69*'Premissas Gerais'!$E$64)*12</f>
        <v>15377.176830330278</v>
      </c>
      <c r="T203" s="1027">
        <f>'Premissas Gerais'!$G$91*('Premissas Economias e Água'!T69*'Premissas Gerais'!$E$65)*12</f>
        <v>15454.485639141898</v>
      </c>
      <c r="U203" s="1027">
        <f>'Premissas Gerais'!$G$91*('Premissas Economias e Água'!U69*'Premissas Gerais'!$E$66)*12</f>
        <v>15532.703963351301</v>
      </c>
      <c r="V203" s="1027">
        <f>'Premissas Gerais'!$G$91*('Premissas Economias e Água'!V69*'Premissas Gerais'!$E$67)*12</f>
        <v>15582.727310229409</v>
      </c>
      <c r="W203" s="1027">
        <f>'Premissas Gerais'!$G$91*('Premissas Economias e Água'!W69*'Premissas Gerais'!$E$68)*12</f>
        <v>15632.750657107517</v>
      </c>
      <c r="X203" s="1027">
        <f>'Premissas Gerais'!$G$91*('Premissas Economias e Água'!X69*'Premissas Gerais'!$E$69)*12</f>
        <v>15682.774003985623</v>
      </c>
      <c r="Y203" s="1027">
        <f>'Premissas Gerais'!$G$91*('Premissas Economias e Água'!Y69*'Premissas Gerais'!$E$70)*12</f>
        <v>15732.797350863731</v>
      </c>
      <c r="Z203" s="1027">
        <f>'Premissas Gerais'!$G$91*('Premissas Economias e Água'!Z69*'Premissas Gerais'!$E$70)*12</f>
        <v>15783.730213139625</v>
      </c>
      <c r="AA203" s="1027">
        <f>'Premissas Gerais'!$G$91*('Premissas Economias e Água'!AA69*'Premissas Gerais'!$E$70)*12</f>
        <v>15833.753560017733</v>
      </c>
      <c r="AB203" s="1027">
        <f>'Premissas Gerais'!$G$91*('Premissas Economias e Água'!AB69*'Premissas Gerais'!$E$70)*12</f>
        <v>15883.776906895841</v>
      </c>
      <c r="AC203" s="1027">
        <f>'Premissas Gerais'!$G$91*('Premissas Economias e Água'!AC69*'Premissas Gerais'!$E$70)*12</f>
        <v>15933.800253773945</v>
      </c>
      <c r="AD203" s="1027">
        <f>'Premissas Gerais'!$G$91*('Premissas Economias e Água'!AD69*'Premissas Gerais'!$E$70)*12</f>
        <v>15983.823600652053</v>
      </c>
      <c r="AE203" s="1027">
        <f>'Premissas Gerais'!$G$91*('Premissas Economias e Água'!AE69*'Premissas Gerais'!$E$70)*12</f>
        <v>16033.846947530164</v>
      </c>
      <c r="AF203" s="1027">
        <f>'Premissas Gerais'!$G$91*('Premissas Economias e Água'!AF69*'Premissas Gerais'!$E$70)*12</f>
        <v>16083.870294408269</v>
      </c>
      <c r="AG203" s="1027">
        <f>'Premissas Gerais'!$G$91*('Premissas Economias e Água'!AG69*'Premissas Gerais'!$E$70)*12</f>
        <v>16133.893641286377</v>
      </c>
      <c r="AH203" s="1027">
        <f>'Premissas Gerais'!$G$91*('Premissas Economias e Água'!AH69*'Premissas Gerais'!$E$70)*12</f>
        <v>16183.916988164485</v>
      </c>
      <c r="AI203" s="1027">
        <f>'Premissas Gerais'!$G$91*('Premissas Economias e Água'!AI69*'Premissas Gerais'!$E$70)*12</f>
        <v>16233.940335042593</v>
      </c>
    </row>
    <row r="204" spans="3:35" s="77" customFormat="1" hidden="1" outlineLevel="1" x14ac:dyDescent="0.35">
      <c r="C204" s="1024"/>
      <c r="D204" s="1025" t="s">
        <v>9</v>
      </c>
      <c r="E204" s="1026">
        <f t="shared" si="72"/>
        <v>422619.10606728244</v>
      </c>
      <c r="F204" s="1033">
        <f>'Premissas Gerais'!$G$91*('Premissas Economias e Água'!F70*'Premissas Gerais'!$E$51)*12</f>
        <v>36011.991350584372</v>
      </c>
      <c r="G204" s="1027">
        <f>'Premissas Gerais'!$G$91*('Premissas Economias e Água'!G70*'Premissas Gerais'!$E$52)*12</f>
        <v>20788.324051057243</v>
      </c>
      <c r="H204" s="1027">
        <f>'Premissas Gerais'!$G$91*('Premissas Economias e Água'!H70*'Premissas Gerais'!$E$53)*12</f>
        <v>16599.24148463078</v>
      </c>
      <c r="I204" s="1027">
        <f>'Premissas Gerais'!$G$91*('Premissas Economias e Água'!I70*'Premissas Gerais'!$E$54)*12</f>
        <v>14487.983050400093</v>
      </c>
      <c r="J204" s="1027">
        <f>'Premissas Gerais'!$G$91*('Premissas Economias e Água'!J70*'Premissas Gerais'!$E$55)*12</f>
        <v>13457.883175236359</v>
      </c>
      <c r="K204" s="1027">
        <f>'Premissas Gerais'!$G$91*('Premissas Economias e Água'!K70*'Premissas Gerais'!$E$56)*12</f>
        <v>12666.714290856653</v>
      </c>
      <c r="L204" s="1027">
        <f>'Premissas Gerais'!$G$91*('Premissas Economias e Água'!L70*'Premissas Gerais'!$E$57)*12</f>
        <v>12142.261999994589</v>
      </c>
      <c r="M204" s="1027">
        <f>'Premissas Gerais'!$G$91*('Premissas Economias e Água'!M70*'Premissas Gerais'!$E$58)*12</f>
        <v>12228.390329907019</v>
      </c>
      <c r="N204" s="1027">
        <f>'Premissas Gerais'!$G$91*('Premissas Economias e Água'!N70*'Premissas Gerais'!$E$59)*12</f>
        <v>12314.518659819449</v>
      </c>
      <c r="O204" s="1027">
        <f>'Premissas Gerais'!$G$91*('Premissas Economias e Água'!O70*'Premissas Gerais'!$E$60)*12</f>
        <v>12400.646989731875</v>
      </c>
      <c r="P204" s="1027">
        <f>'Premissas Gerais'!$G$91*('Premissas Economias e Água'!P70*'Premissas Gerais'!$E$61)*12</f>
        <v>12485.859060815448</v>
      </c>
      <c r="Q204" s="1027">
        <f>'Premissas Gerais'!$G$91*('Premissas Economias e Água'!Q70*'Premissas Gerais'!$E$62)*12</f>
        <v>12546.332143519918</v>
      </c>
      <c r="R204" s="1027">
        <f>'Premissas Gerais'!$G$91*('Premissas Economias e Água'!R70*'Premissas Gerais'!$E$63)*12</f>
        <v>12606.805226224385</v>
      </c>
      <c r="S204" s="1027">
        <f>'Premissas Gerais'!$G$91*('Premissas Economias e Água'!S70*'Premissas Gerais'!$E$64)*12</f>
        <v>12667.278308928857</v>
      </c>
      <c r="T204" s="1027">
        <f>'Premissas Gerais'!$G$91*('Premissas Economias e Água'!T70*'Premissas Gerais'!$E$65)*12</f>
        <v>12727.751391633328</v>
      </c>
      <c r="U204" s="1027">
        <f>'Premissas Gerais'!$G$91*('Premissas Economias e Água'!U70*'Premissas Gerais'!$E$66)*12</f>
        <v>12790.056991995512</v>
      </c>
      <c r="V204" s="1027">
        <f>'Premissas Gerais'!$G$91*('Premissas Economias e Água'!V70*'Premissas Gerais'!$E$67)*12</f>
        <v>12834.037415780582</v>
      </c>
      <c r="W204" s="1027">
        <f>'Premissas Gerais'!$G$91*('Premissas Economias e Água'!W70*'Premissas Gerais'!$E$68)*12</f>
        <v>12878.017839565649</v>
      </c>
      <c r="X204" s="1027">
        <f>'Premissas Gerais'!$G$91*('Premissas Economias e Água'!X70*'Premissas Gerais'!$E$69)*12</f>
        <v>12921.998263350721</v>
      </c>
      <c r="Y204" s="1027">
        <f>'Premissas Gerais'!$G$91*('Premissas Economias e Água'!Y70*'Premissas Gerais'!$E$70)*12</f>
        <v>12965.97868713579</v>
      </c>
      <c r="Z204" s="1027">
        <f>'Premissas Gerais'!$G$91*('Premissas Economias e Água'!Z70*'Premissas Gerais'!$E$70)*12</f>
        <v>13011.791628578567</v>
      </c>
      <c r="AA204" s="1027">
        <f>'Premissas Gerais'!$G$91*('Premissas Economias e Água'!AA70*'Premissas Gerais'!$E$70)*12</f>
        <v>13055.772052363638</v>
      </c>
      <c r="AB204" s="1027">
        <f>'Premissas Gerais'!$G$91*('Premissas Economias e Água'!AB70*'Premissas Gerais'!$E$70)*12</f>
        <v>13099.752476148708</v>
      </c>
      <c r="AC204" s="1027">
        <f>'Premissas Gerais'!$G$91*('Premissas Economias e Água'!AC70*'Premissas Gerais'!$E$70)*12</f>
        <v>13143.732899933777</v>
      </c>
      <c r="AD204" s="1027">
        <f>'Premissas Gerais'!$G$91*('Premissas Economias e Água'!AD70*'Premissas Gerais'!$E$70)*12</f>
        <v>13187.713323718846</v>
      </c>
      <c r="AE204" s="1027">
        <f>'Premissas Gerais'!$G$91*('Premissas Economias e Água'!AE70*'Premissas Gerais'!$E$70)*12</f>
        <v>13231.693747503916</v>
      </c>
      <c r="AF204" s="1027">
        <f>'Premissas Gerais'!$G$91*('Premissas Economias e Água'!AF70*'Premissas Gerais'!$E$70)*12</f>
        <v>13275.674171288983</v>
      </c>
      <c r="AG204" s="1027">
        <f>'Premissas Gerais'!$G$91*('Premissas Economias e Água'!AG70*'Premissas Gerais'!$E$70)*12</f>
        <v>13319.654595074055</v>
      </c>
      <c r="AH204" s="1027">
        <f>'Premissas Gerais'!$G$91*('Premissas Economias e Água'!AH70*'Premissas Gerais'!$E$70)*12</f>
        <v>13363.635018859124</v>
      </c>
      <c r="AI204" s="1027">
        <f>'Premissas Gerais'!$G$91*('Premissas Economias e Água'!AI70*'Premissas Gerais'!$E$70)*12</f>
        <v>13407.615442644192</v>
      </c>
    </row>
    <row r="205" spans="3:35" s="77" customFormat="1" collapsed="1" x14ac:dyDescent="0.35">
      <c r="C205"/>
      <c r="D205" t="s">
        <v>125</v>
      </c>
      <c r="E205" s="486">
        <f t="shared" si="72"/>
        <v>19245600</v>
      </c>
      <c r="F205" s="477">
        <f>IF(F93&gt;'Premissas Gerais'!$E$7,0,'Premissas Gerais'!$G$92*12)</f>
        <v>641520</v>
      </c>
      <c r="G205" s="477">
        <f>IF(G93&gt;'Premissas Gerais'!$E$7,0,'Premissas Gerais'!$G$92*12)</f>
        <v>641520</v>
      </c>
      <c r="H205" s="477">
        <f>IF(H93&gt;'Premissas Gerais'!$E$7,0,'Premissas Gerais'!$G$92*12)</f>
        <v>641520</v>
      </c>
      <c r="I205" s="477">
        <f>IF(I93&gt;'Premissas Gerais'!$E$7,0,'Premissas Gerais'!$G$92*12)</f>
        <v>641520</v>
      </c>
      <c r="J205" s="477">
        <f>IF(J93&gt;'Premissas Gerais'!$E$7,0,'Premissas Gerais'!$G$92*12)</f>
        <v>641520</v>
      </c>
      <c r="K205" s="477">
        <f>IF(K93&gt;'Premissas Gerais'!$E$7,0,'Premissas Gerais'!$G$92*12)</f>
        <v>641520</v>
      </c>
      <c r="L205" s="477">
        <f>IF(L93&gt;'Premissas Gerais'!$E$7,0,'Premissas Gerais'!$G$92*12)</f>
        <v>641520</v>
      </c>
      <c r="M205" s="477">
        <f>IF(M93&gt;'Premissas Gerais'!$E$7,0,'Premissas Gerais'!$G$92*12)</f>
        <v>641520</v>
      </c>
      <c r="N205" s="477">
        <f>IF(N93&gt;'Premissas Gerais'!$E$7,0,'Premissas Gerais'!$G$92*12)</f>
        <v>641520</v>
      </c>
      <c r="O205" s="477">
        <f>IF(O93&gt;'Premissas Gerais'!$E$7,0,'Premissas Gerais'!$G$92*12)</f>
        <v>641520</v>
      </c>
      <c r="P205" s="477">
        <f>IF(P93&gt;'Premissas Gerais'!$E$7,0,'Premissas Gerais'!$G$92*12)</f>
        <v>641520</v>
      </c>
      <c r="Q205" s="477">
        <f>IF(Q93&gt;'Premissas Gerais'!$E$7,0,'Premissas Gerais'!$G$92*12)</f>
        <v>641520</v>
      </c>
      <c r="R205" s="477">
        <f>IF(R93&gt;'Premissas Gerais'!$E$7,0,'Premissas Gerais'!$G$92*12)</f>
        <v>641520</v>
      </c>
      <c r="S205" s="477">
        <f>IF(S93&gt;'Premissas Gerais'!$E$7,0,'Premissas Gerais'!$G$92*12)</f>
        <v>641520</v>
      </c>
      <c r="T205" s="477">
        <f>IF(T93&gt;'Premissas Gerais'!$E$7,0,'Premissas Gerais'!$G$92*12)</f>
        <v>641520</v>
      </c>
      <c r="U205" s="477">
        <f>IF(U93&gt;'Premissas Gerais'!$E$7,0,'Premissas Gerais'!$G$92*12)</f>
        <v>641520</v>
      </c>
      <c r="V205" s="477">
        <f>IF(V93&gt;'Premissas Gerais'!$E$7,0,'Premissas Gerais'!$G$92*12)</f>
        <v>641520</v>
      </c>
      <c r="W205" s="477">
        <f>IF(W93&gt;'Premissas Gerais'!$E$7,0,'Premissas Gerais'!$G$92*12)</f>
        <v>641520</v>
      </c>
      <c r="X205" s="477">
        <f>IF(X93&gt;'Premissas Gerais'!$E$7,0,'Premissas Gerais'!$G$92*12)</f>
        <v>641520</v>
      </c>
      <c r="Y205" s="477">
        <f>IF(Y93&gt;'Premissas Gerais'!$E$7,0,'Premissas Gerais'!$G$92*12)</f>
        <v>641520</v>
      </c>
      <c r="Z205" s="477">
        <f>IF(Z93&gt;'Premissas Gerais'!$E$7,0,'Premissas Gerais'!$G$92*12)</f>
        <v>641520</v>
      </c>
      <c r="AA205" s="477">
        <f>IF(AA93&gt;'Premissas Gerais'!$E$7,0,'Premissas Gerais'!$G$92*12)</f>
        <v>641520</v>
      </c>
      <c r="AB205" s="477">
        <f>IF(AB93&gt;'Premissas Gerais'!$E$7,0,'Premissas Gerais'!$G$92*12)</f>
        <v>641520</v>
      </c>
      <c r="AC205" s="477">
        <f>IF(AC93&gt;'Premissas Gerais'!$E$7,0,'Premissas Gerais'!$G$92*12)</f>
        <v>641520</v>
      </c>
      <c r="AD205" s="477">
        <f>IF(AD93&gt;'Premissas Gerais'!$E$7,0,'Premissas Gerais'!$G$92*12)</f>
        <v>641520</v>
      </c>
      <c r="AE205" s="477">
        <f>IF(AE93&gt;'Premissas Gerais'!$E$7,0,'Premissas Gerais'!$G$92*12)</f>
        <v>641520</v>
      </c>
      <c r="AF205" s="477">
        <f>IF(AF93&gt;'Premissas Gerais'!$E$7,0,'Premissas Gerais'!$G$92*12)</f>
        <v>641520</v>
      </c>
      <c r="AG205" s="477">
        <f>IF(AG93&gt;'Premissas Gerais'!$E$7,0,'Premissas Gerais'!$G$92*12)</f>
        <v>641520</v>
      </c>
      <c r="AH205" s="477">
        <f>IF(AH93&gt;'Premissas Gerais'!$E$7,0,'Premissas Gerais'!$G$92*12)</f>
        <v>641520</v>
      </c>
      <c r="AI205" s="477">
        <f>IF(AI93&gt;'Premissas Gerais'!$E$7,0,'Premissas Gerais'!$G$92*12)</f>
        <v>641520</v>
      </c>
    </row>
    <row r="206" spans="3:35" s="77" customFormat="1" hidden="1" outlineLevel="1" x14ac:dyDescent="0.35">
      <c r="C206" s="1020"/>
      <c r="D206" s="1021" t="s">
        <v>1</v>
      </c>
      <c r="E206" s="1022">
        <f t="shared" si="72"/>
        <v>131148.22163937151</v>
      </c>
      <c r="F206" s="1032">
        <f>IF(F93&gt;PAINEL!$D$33,0,('Premissas Geração de Resíduos'!D42/'Premissas Geração de Resíduos'!D52)*F205)</f>
        <v>5101.1503028208954</v>
      </c>
      <c r="G206" s="1023">
        <f>IF(G93&gt;PAINEL!$D$33,0,('Premissas Geração de Resíduos'!E42/'Premissas Geração de Resíduos'!E52)*G205)</f>
        <v>5048.7378314891885</v>
      </c>
      <c r="H206" s="1023">
        <f>IF(H93&gt;PAINEL!$D$33,0,('Premissas Geração de Resíduos'!F42/'Premissas Geração de Resíduos'!F52)*H205)</f>
        <v>4996.8077742687065</v>
      </c>
      <c r="I206" s="1023">
        <f>IF(I93&gt;PAINEL!$D$33,0,('Premissas Geração de Resíduos'!G42/'Premissas Geração de Resíduos'!G52)*I205)</f>
        <v>4945.3535013270694</v>
      </c>
      <c r="J206" s="1023">
        <f>IF(J93&gt;PAINEL!$D$33,0,('Premissas Geração de Resíduos'!H42/'Premissas Geração de Resíduos'!H52)*J205)</f>
        <v>4894.3685037632304</v>
      </c>
      <c r="K206" s="1023">
        <f>IF(K93&gt;PAINEL!$D$33,0,('Premissas Geração de Resíduos'!I42/'Premissas Geração de Resíduos'!I52)*K205)</f>
        <v>4843.8641534745775</v>
      </c>
      <c r="L206" s="1023">
        <f>IF(L93&gt;PAINEL!$D$33,0,('Premissas Geração de Resíduos'!J42/'Premissas Geração de Resíduos'!J52)*L205)</f>
        <v>4789.1213444356181</v>
      </c>
      <c r="M206" s="1023">
        <f>IF(M93&gt;PAINEL!$D$33,0,('Premissas Geração de Resíduos'!K42/'Premissas Geração de Resíduos'!K52)*M205)</f>
        <v>4734.8070120885604</v>
      </c>
      <c r="N206" s="1023">
        <f>IF(N93&gt;PAINEL!$D$33,0,('Premissas Geração de Resíduos'!L42/'Premissas Geração de Resíduos'!L52)*N205)</f>
        <v>4680.9161454579889</v>
      </c>
      <c r="O206" s="1023">
        <f>IF(O93&gt;PAINEL!$D$33,0,('Premissas Geração de Resíduos'!M42/'Premissas Geração de Resíduos'!M52)*O205)</f>
        <v>4627.443811401954</v>
      </c>
      <c r="P206" s="1023">
        <f>IF(P93&gt;PAINEL!$D$33,0,('Premissas Geração de Resíduos'!N42/'Premissas Geração de Resíduos'!N52)*P205)</f>
        <v>4578.1186317075981</v>
      </c>
      <c r="Q206" s="1023">
        <f>IF(Q93&gt;PAINEL!$D$33,0,('Premissas Geração de Resíduos'!O42/'Premissas Geração de Resíduos'!O52)*Q205)</f>
        <v>4527.2861059047927</v>
      </c>
      <c r="R206" s="1023">
        <f>IF(R93&gt;PAINEL!$D$33,0,('Premissas Geração de Resíduos'!P42/'Premissas Geração de Resíduos'!P52)*R205)</f>
        <v>4476.6798616582892</v>
      </c>
      <c r="S206" s="1023">
        <f>IF(S93&gt;PAINEL!$D$33,0,('Premissas Geração de Resíduos'!Q42/'Premissas Geração de Resíduos'!Q52)*S205)</f>
        <v>4426.2983913812923</v>
      </c>
      <c r="T206" s="1023">
        <f>IF(T93&gt;PAINEL!$D$33,0,('Premissas Geração de Resíduos'!R42/'Premissas Geração de Resíduos'!R52)*T205)</f>
        <v>4376.1402008496061</v>
      </c>
      <c r="U206" s="1023">
        <f>IF(U93&gt;PAINEL!$D$33,0,('Premissas Geração de Resíduos'!S42/'Premissas Geração de Resíduos'!S52)*U205)</f>
        <v>4327.9883935930684</v>
      </c>
      <c r="V206" s="1023">
        <f>IF(V93&gt;PAINEL!$D$33,0,('Premissas Geração de Resíduos'!T42/'Premissas Geração de Resíduos'!T52)*V205)</f>
        <v>4282.0926337256433</v>
      </c>
      <c r="W206" s="1023">
        <f>IF(W93&gt;PAINEL!$D$33,0,('Premissas Geração de Resíduos'!U42/'Premissas Geração de Resíduos'!U52)*W205)</f>
        <v>4236.2783019140525</v>
      </c>
      <c r="X206" s="1023">
        <f>IF(X93&gt;PAINEL!$D$33,0,('Premissas Geração de Resíduos'!V42/'Premissas Geração de Resíduos'!V52)*X205)</f>
        <v>4190.545181646411</v>
      </c>
      <c r="Y206" s="1023">
        <f>IF(Y93&gt;PAINEL!$D$33,0,('Premissas Geração de Resíduos'!W42/'Premissas Geração de Resíduos'!W52)*Y205)</f>
        <v>4144.8930571777491</v>
      </c>
      <c r="Z206" s="1023">
        <f>IF(Z93&gt;PAINEL!$D$33,0,('Premissas Geração de Resíduos'!X42/'Premissas Geração de Resíduos'!X52)*Z205)</f>
        <v>4095.6667356148228</v>
      </c>
      <c r="AA206" s="1023">
        <f>IF(AA93&gt;PAINEL!$D$33,0,('Premissas Geração de Resíduos'!Y42/'Premissas Geração de Resíduos'!Y52)*AA205)</f>
        <v>4050.1793129924044</v>
      </c>
      <c r="AB206" s="1023">
        <f>IF(AB93&gt;PAINEL!$D$33,0,('Premissas Geração de Resíduos'!Z42/'Premissas Geração de Resíduos'!Z52)*AB205)</f>
        <v>4004.7722373584324</v>
      </c>
      <c r="AC206" s="1023">
        <f>IF(AC93&gt;PAINEL!$D$33,0,('Premissas Geração de Resíduos'!AA42/'Premissas Geração de Resíduos'!AA52)*AC205)</f>
        <v>3959.4452960186609</v>
      </c>
      <c r="AD206" s="1023">
        <f>IF(AD93&gt;PAINEL!$D$33,0,('Premissas Geração de Resíduos'!AB42/'Premissas Geração de Resíduos'!AB52)*AD205)</f>
        <v>3914.198277028906</v>
      </c>
      <c r="AE206" s="1023">
        <f>IF(AE93&gt;PAINEL!$D$33,0,('Premissas Geração de Resíduos'!AC42/'Premissas Geração de Resíduos'!AC52)*AE205)</f>
        <v>3869.0309691917391</v>
      </c>
      <c r="AF206" s="1023">
        <f>IF(AF93&gt;PAINEL!$D$33,0,('Premissas Geração de Resíduos'!AD42/'Premissas Geração de Resíduos'!AD52)*AF205)</f>
        <v>3823.9431620532082</v>
      </c>
      <c r="AG206" s="1023">
        <f>IF(AG93&gt;PAINEL!$D$33,0,('Premissas Geração de Resíduos'!AE42/'Premissas Geração de Resíduos'!AE52)*AG205)</f>
        <v>3778.9346458995656</v>
      </c>
      <c r="AH206" s="1023">
        <f>IF(AH93&gt;PAINEL!$D$33,0,('Premissas Geração de Resíduos'!AF42/'Premissas Geração de Resíduos'!AF52)*AH205)</f>
        <v>3734.0052117540154</v>
      </c>
      <c r="AI206" s="1023">
        <f>IF(AI93&gt;PAINEL!$D$33,0,('Premissas Geração de Resíduos'!AG42/'Premissas Geração de Resíduos'!AG52)*AI205)</f>
        <v>3689.1546513734802</v>
      </c>
    </row>
    <row r="207" spans="3:35" s="77" customFormat="1" hidden="1" outlineLevel="1" x14ac:dyDescent="0.35">
      <c r="C207" s="1024"/>
      <c r="D207" s="1025" t="s">
        <v>2</v>
      </c>
      <c r="E207" s="1026">
        <f t="shared" si="72"/>
        <v>1670162.736578146</v>
      </c>
      <c r="F207" s="1033">
        <f>IF(F93&gt;PAINEL!$D$33,0,('Premissas Geração de Resíduos'!D43/'Premissas Geração de Resíduos'!D52)*F205)</f>
        <v>59687.781133659497</v>
      </c>
      <c r="G207" s="1027">
        <f>IF(G93&gt;PAINEL!$D$33,0,('Premissas Geração de Resíduos'!E43/'Premissas Geração de Resíduos'!E52)*G205)</f>
        <v>59445.26175192331</v>
      </c>
      <c r="H207" s="1027">
        <f>IF(H93&gt;PAINEL!$D$33,0,('Premissas Geração de Resíduos'!F43/'Premissas Geração de Resíduos'!F52)*H205)</f>
        <v>59204.974563575859</v>
      </c>
      <c r="I207" s="1027">
        <f>IF(I93&gt;PAINEL!$D$33,0,('Premissas Geração de Resíduos'!G43/'Premissas Geração de Resíduos'!G52)*I205)</f>
        <v>58966.888891512885</v>
      </c>
      <c r="J207" s="1027">
        <f>IF(J93&gt;PAINEL!$D$33,0,('Premissas Geração de Resíduos'!H43/'Premissas Geração de Resíduos'!H52)*J205)</f>
        <v>58730.974618195207</v>
      </c>
      <c r="K207" s="1027">
        <f>IF(K93&gt;PAINEL!$D$33,0,('Premissas Geração de Resíduos'!I43/'Premissas Geração de Resíduos'!I52)*K205)</f>
        <v>58501.279302825358</v>
      </c>
      <c r="L207" s="1027">
        <f>IF(L93&gt;PAINEL!$D$33,0,('Premissas Geração de Resíduos'!J43/'Premissas Geração de Resíduos'!J52)*L205)</f>
        <v>58184.865061369936</v>
      </c>
      <c r="M207" s="1027">
        <f>IF(M93&gt;PAINEL!$D$33,0,('Premissas Geração de Resíduos'!K43/'Premissas Geração de Resíduos'!K52)*M205)</f>
        <v>57870.927421496177</v>
      </c>
      <c r="N207" s="1027">
        <f>IF(N93&gt;PAINEL!$D$33,0,('Premissas Geração de Resíduos'!L43/'Premissas Geração de Resíduos'!L52)*N205)</f>
        <v>57559.437419692433</v>
      </c>
      <c r="O207" s="1027">
        <f>IF(O93&gt;PAINEL!$D$33,0,('Premissas Geração de Resíduos'!M43/'Premissas Geração de Resíduos'!M52)*O205)</f>
        <v>57250.366542325697</v>
      </c>
      <c r="P207" s="1027">
        <f>IF(P93&gt;PAINEL!$D$33,0,('Premissas Geração de Resíduos'!N43/'Premissas Geração de Resíduos'!N52)*P205)</f>
        <v>56944.091207768841</v>
      </c>
      <c r="Q207" s="1027">
        <f>IF(Q93&gt;PAINEL!$D$33,0,('Premissas Geração de Resíduos'!O43/'Premissas Geração de Resíduos'!O52)*Q205)</f>
        <v>56652.657058241923</v>
      </c>
      <c r="R207" s="1027">
        <f>IF(R93&gt;PAINEL!$D$33,0,('Premissas Geração de Resíduos'!P43/'Premissas Geração de Resíduos'!P52)*R205)</f>
        <v>56362.520231086346</v>
      </c>
      <c r="S207" s="1027">
        <f>IF(S93&gt;PAINEL!$D$33,0,('Premissas Geração de Resíduos'!Q43/'Premissas Geração de Resíduos'!Q52)*S205)</f>
        <v>56073.672082972465</v>
      </c>
      <c r="T207" s="1027">
        <f>IF(T93&gt;PAINEL!$D$33,0,('Premissas Geração de Resíduos'!R43/'Premissas Geração de Resíduos'!R52)*T205)</f>
        <v>55786.104047181419</v>
      </c>
      <c r="U207" s="1027">
        <f>IF(U93&gt;PAINEL!$D$33,0,('Premissas Geração de Resíduos'!S43/'Premissas Geração de Resíduos'!S52)*U205)</f>
        <v>55495.4787762661</v>
      </c>
      <c r="V207" s="1027">
        <f>IF(V93&gt;PAINEL!$D$33,0,('Premissas Geração de Resíduos'!T43/'Premissas Geração de Resíduos'!T52)*V205)</f>
        <v>55212.286499491907</v>
      </c>
      <c r="W207" s="1027">
        <f>IF(W93&gt;PAINEL!$D$33,0,('Premissas Geração de Resíduos'!U43/'Premissas Geração de Resíduos'!U52)*W205)</f>
        <v>54929.596661212927</v>
      </c>
      <c r="X207" s="1027">
        <f>IF(X93&gt;PAINEL!$D$33,0,('Premissas Geração de Resíduos'!V43/'Premissas Geração de Resíduos'!V52)*X205)</f>
        <v>54647.407925478015</v>
      </c>
      <c r="Y207" s="1027">
        <f>IF(Y93&gt;PAINEL!$D$33,0,('Premissas Geração de Resíduos'!W43/'Premissas Geração de Resíduos'!W52)*Y205)</f>
        <v>54365.718961068131</v>
      </c>
      <c r="Z207" s="1027">
        <f>IF(Z93&gt;PAINEL!$D$33,0,('Premissas Geração de Resíduos'!X43/'Premissas Geração de Resíduos'!X52)*Z205)</f>
        <v>54086.246103931844</v>
      </c>
      <c r="AA207" s="1027">
        <f>IF(AA93&gt;PAINEL!$D$33,0,('Premissas Geração de Resíduos'!Y43/'Premissas Geração de Resíduos'!Y52)*AA205)</f>
        <v>53805.551951543013</v>
      </c>
      <c r="AB207" s="1027">
        <f>IF(AB93&gt;PAINEL!$D$33,0,('Premissas Geração de Resíduos'!Z43/'Premissas Geração de Resíduos'!Z52)*AB205)</f>
        <v>53525.353604994962</v>
      </c>
      <c r="AC207" s="1027">
        <f>IF(AC93&gt;PAINEL!$D$33,0,('Premissas Geração de Resíduos'!AA43/'Premissas Geração de Resíduos'!AA52)*AC205)</f>
        <v>53245.649751792356</v>
      </c>
      <c r="AD207" s="1027">
        <f>IF(AD93&gt;PAINEL!$D$33,0,('Premissas Geração de Resíduos'!AB43/'Premissas Geração de Resíduos'!AB52)*AD205)</f>
        <v>52966.439084068312</v>
      </c>
      <c r="AE207" s="1027">
        <f>IF(AE93&gt;PAINEL!$D$33,0,('Premissas Geração de Resíduos'!AC43/'Premissas Geração de Resíduos'!AC52)*AE205)</f>
        <v>52687.720298564054</v>
      </c>
      <c r="AF207" s="1027">
        <f>IF(AF93&gt;PAINEL!$D$33,0,('Premissas Geração de Resíduos'!AD43/'Premissas Geração de Resíduos'!AD52)*AF205)</f>
        <v>52409.492096608643</v>
      </c>
      <c r="AG207" s="1027">
        <f>IF(AG93&gt;PAINEL!$D$33,0,('Premissas Geração de Resíduos'!AE43/'Premissas Geração de Resíduos'!AE52)*AG205)</f>
        <v>52131.753184098794</v>
      </c>
      <c r="AH207" s="1027">
        <f>IF(AH93&gt;PAINEL!$D$33,0,('Premissas Geração de Resíduos'!AF43/'Premissas Geração de Resíduos'!AF52)*AH205)</f>
        <v>51854.502271478843</v>
      </c>
      <c r="AI207" s="1027">
        <f>IF(AI93&gt;PAINEL!$D$33,0,('Premissas Geração de Resíduos'!AG43/'Premissas Geração de Resíduos'!AG52)*AI205)</f>
        <v>51577.738073720699</v>
      </c>
    </row>
    <row r="208" spans="3:35" s="77" customFormat="1" hidden="1" outlineLevel="1" x14ac:dyDescent="0.35">
      <c r="C208" s="1024"/>
      <c r="D208" s="1025" t="s">
        <v>3</v>
      </c>
      <c r="E208" s="1026">
        <f t="shared" ref="E208:E239" si="75">SUM(F208:AI208)</f>
        <v>199371.58310187253</v>
      </c>
      <c r="F208" s="1033">
        <f>IF(F93&gt;PAINEL!$D$33,0,('Premissas Geração de Resíduos'!D44/'Premissas Geração de Resíduos'!D52)*F205)</f>
        <v>7039.6646495401174</v>
      </c>
      <c r="G208" s="1027">
        <f>IF(G93&gt;PAINEL!$D$33,0,('Premissas Geração de Resíduos'!E44/'Premissas Geração de Resíduos'!E52)*G205)</f>
        <v>7014.8051332072855</v>
      </c>
      <c r="H208" s="1027">
        <f>IF(H93&gt;PAINEL!$D$33,0,('Premissas Geração de Resíduos'!F44/'Premissas Geração de Resíduos'!F52)*H205)</f>
        <v>6990.1744284754413</v>
      </c>
      <c r="I208" s="1027">
        <f>IF(I93&gt;PAINEL!$D$33,0,('Premissas Geração de Resíduos'!G44/'Premissas Geração de Resíduos'!G52)*I205)</f>
        <v>6965.7693907795201</v>
      </c>
      <c r="J208" s="1027">
        <f>IF(J93&gt;PAINEL!$D$33,0,('Premissas Geração de Resíduos'!H44/'Premissas Geração de Resíduos'!H52)*J205)</f>
        <v>6941.58693291284</v>
      </c>
      <c r="K208" s="1027">
        <f>IF(K93&gt;PAINEL!$D$33,0,('Premissas Geração de Resíduos'!I44/'Premissas Geração de Resíduos'!I52)*K205)</f>
        <v>6921.4233404537417</v>
      </c>
      <c r="L208" s="1027">
        <f>IF(L93&gt;PAINEL!$D$33,0,('Premissas Geração de Resíduos'!J44/'Premissas Geração de Resíduos'!J52)*L205)</f>
        <v>6892.3500667368171</v>
      </c>
      <c r="M208" s="1027">
        <f>IF(M93&gt;PAINEL!$D$33,0,('Premissas Geração de Resíduos'!K44/'Premissas Geração de Resíduos'!K52)*M205)</f>
        <v>6863.5043520429672</v>
      </c>
      <c r="N208" s="1027">
        <f>IF(N93&gt;PAINEL!$D$33,0,('Premissas Geração de Resíduos'!L44/'Premissas Geração de Resíduos'!L52)*N205)</f>
        <v>6834.8835351010075</v>
      </c>
      <c r="O208" s="1027">
        <f>IF(O93&gt;PAINEL!$D$33,0,('Premissas Geração de Resíduos'!M44/'Premissas Geração de Resíduos'!M52)*O205)</f>
        <v>6806.4849959762187</v>
      </c>
      <c r="P208" s="1027">
        <f>IF(P93&gt;PAINEL!$D$33,0,('Premissas Geração de Resíduos'!N44/'Premissas Geração de Resíduos'!N52)*P205)</f>
        <v>6774.6533187880032</v>
      </c>
      <c r="Q208" s="1027">
        <f>IF(Q93&gt;PAINEL!$D$33,0,('Premissas Geração de Resíduos'!O44/'Premissas Geração de Resíduos'!O52)*Q205)</f>
        <v>6744.7700427692535</v>
      </c>
      <c r="R208" s="1027">
        <f>IF(R93&gt;PAINEL!$D$33,0,('Premissas Geração de Resíduos'!P44/'Premissas Geração de Resíduos'!P52)*R205)</f>
        <v>6715.0197924874328</v>
      </c>
      <c r="S208" s="1027">
        <f>IF(S93&gt;PAINEL!$D$33,0,('Premissas Geração de Resíduos'!Q44/'Premissas Geração de Resíduos'!Q52)*S205)</f>
        <v>6685.4016816668436</v>
      </c>
      <c r="T208" s="1027">
        <f>IF(T93&gt;PAINEL!$D$33,0,('Premissas Geração de Resíduos'!R44/'Premissas Geração de Resíduos'!R52)*T205)</f>
        <v>6655.9148318873531</v>
      </c>
      <c r="U208" s="1027">
        <f>IF(U93&gt;PAINEL!$D$33,0,('Premissas Geração de Resíduos'!S44/'Premissas Geração de Resíduos'!S52)*U205)</f>
        <v>6628.3187998283711</v>
      </c>
      <c r="V208" s="1027">
        <f>IF(V93&gt;PAINEL!$D$33,0,('Premissas Geração de Resíduos'!T44/'Premissas Geração de Resíduos'!T52)*V205)</f>
        <v>6600.492915349947</v>
      </c>
      <c r="W208" s="1027">
        <f>IF(W93&gt;PAINEL!$D$33,0,('Premissas Geração de Resíduos'!U44/'Premissas Geração de Resíduos'!U52)*W205)</f>
        <v>6572.7163994337043</v>
      </c>
      <c r="X208" s="1027">
        <f>IF(X93&gt;PAINEL!$D$33,0,('Premissas Geração de Resíduos'!V44/'Premissas Geração de Resíduos'!V52)*X205)</f>
        <v>6544.9891208118606</v>
      </c>
      <c r="Y208" s="1027">
        <f>IF(Y93&gt;PAINEL!$D$33,0,('Premissas Geração de Resíduos'!W44/'Premissas Geração de Resíduos'!W52)*Y205)</f>
        <v>6517.3109486816002</v>
      </c>
      <c r="Z208" s="1027">
        <f>IF(Z93&gt;PAINEL!$D$33,0,('Premissas Geração de Resíduos'!X44/'Premissas Geração de Resíduos'!X52)*Z205)</f>
        <v>6489.6641068772233</v>
      </c>
      <c r="AA208" s="1027">
        <f>IF(AA93&gt;PAINEL!$D$33,0,('Premissas Geração de Resíduos'!Y44/'Premissas Geração de Resíduos'!Y52)*AA205)</f>
        <v>6462.083847695746</v>
      </c>
      <c r="AB208" s="1027">
        <f>IF(AB93&gt;PAINEL!$D$33,0,('Premissas Geração de Resíduos'!Z44/'Premissas Geração de Resíduos'!Z52)*AB205)</f>
        <v>6434.5523050745387</v>
      </c>
      <c r="AC208" s="1027">
        <f>IF(AC93&gt;PAINEL!$D$33,0,('Premissas Geração de Resíduos'!AA44/'Premissas Geração de Resíduos'!AA52)*AC205)</f>
        <v>6407.0693500513071</v>
      </c>
      <c r="AD208" s="1027">
        <f>IF(AD93&gt;PAINEL!$D$33,0,('Premissas Geração de Resíduos'!AB44/'Premissas Geração de Resíduos'!AB52)*AD205)</f>
        <v>6379.6348541185407</v>
      </c>
      <c r="AE208" s="1027">
        <f>IF(AE93&gt;PAINEL!$D$33,0,('Premissas Geração de Resíduos'!AC44/'Premissas Geração de Resíduos'!AC52)*AE205)</f>
        <v>6352.2486892215047</v>
      </c>
      <c r="AF208" s="1027">
        <f>IF(AF93&gt;PAINEL!$D$33,0,('Premissas Geração de Resíduos'!AD44/'Premissas Geração de Resíduos'!AD52)*AF205)</f>
        <v>6324.9107277562534</v>
      </c>
      <c r="AG208" s="1027">
        <f>IF(AG93&gt;PAINEL!$D$33,0,('Premissas Geração de Resíduos'!AE44/'Premissas Geração de Resíduos'!AE52)*AG205)</f>
        <v>6297.6208425676514</v>
      </c>
      <c r="AH208" s="1027">
        <f>IF(AH93&gt;PAINEL!$D$33,0,('Premissas Geração de Resíduos'!AF44/'Premissas Geração de Resíduos'!AF52)*AH205)</f>
        <v>6270.3789069473914</v>
      </c>
      <c r="AI208" s="1027">
        <f>IF(AI93&gt;PAINEL!$D$33,0,('Premissas Geração de Resíduos'!AG44/'Premissas Geração de Resíduos'!AG52)*AI205)</f>
        <v>6243.184794632044</v>
      </c>
    </row>
    <row r="209" spans="3:35" s="77" customFormat="1" hidden="1" outlineLevel="1" x14ac:dyDescent="0.35">
      <c r="C209" s="1024"/>
      <c r="D209" s="1025" t="s">
        <v>4</v>
      </c>
      <c r="E209" s="1026">
        <f t="shared" si="75"/>
        <v>533149.99901881325</v>
      </c>
      <c r="F209" s="1033">
        <f>IF(F93&gt;PAINEL!$D$33,0,('Premissas Geração de Resíduos'!D45/'Premissas Geração de Resíduos'!D52)*F205)</f>
        <v>16819.810947055965</v>
      </c>
      <c r="G209" s="1027">
        <f>IF(G93&gt;PAINEL!$D$33,0,('Premissas Geração de Resíduos'!E45/'Premissas Geração de Resíduos'!E52)*G205)</f>
        <v>16897.082779317807</v>
      </c>
      <c r="H209" s="1027">
        <f>IF(H93&gt;PAINEL!$D$33,0,('Premissas Geração de Resíduos'!F45/'Premissas Geração de Resíduos'!F52)*H205)</f>
        <v>16973.64338729778</v>
      </c>
      <c r="I209" s="1027">
        <f>IF(I93&gt;PAINEL!$D$33,0,('Premissas Geração de Resíduos'!G45/'Premissas Geração de Resíduos'!G52)*I205)</f>
        <v>17049.502545373693</v>
      </c>
      <c r="J209" s="1027">
        <f>IF(J93&gt;PAINEL!$D$33,0,('Premissas Geração de Resíduos'!H45/'Premissas Geração de Resíduos'!H52)*J205)</f>
        <v>17124.669849633952</v>
      </c>
      <c r="K209" s="1027">
        <f>IF(K93&gt;PAINEL!$D$33,0,('Premissas Geração de Resíduos'!I45/'Premissas Geração de Resíduos'!I52)*K205)</f>
        <v>17197.405631269252</v>
      </c>
      <c r="L209" s="1027">
        <f>IF(L93&gt;PAINEL!$D$33,0,('Premissas Geração de Resíduos'!J45/'Premissas Geração de Resíduos'!J52)*L205)</f>
        <v>17261.606402656038</v>
      </c>
      <c r="M209" s="1027">
        <f>IF(M93&gt;PAINEL!$D$33,0,('Premissas Geração de Resíduos'!K45/'Premissas Geração de Resíduos'!K52)*M205)</f>
        <v>17325.304669063204</v>
      </c>
      <c r="N209" s="1027">
        <f>IF(N93&gt;PAINEL!$D$33,0,('Premissas Geração de Resíduos'!L45/'Premissas Geração de Resíduos'!L52)*N205)</f>
        <v>17388.506307216685</v>
      </c>
      <c r="O209" s="1027">
        <f>IF(O93&gt;PAINEL!$D$33,0,('Premissas Geração de Resíduos'!M45/'Premissas Geração de Resíduos'!M52)*O205)</f>
        <v>17451.21710256163</v>
      </c>
      <c r="P209" s="1027">
        <f>IF(P93&gt;PAINEL!$D$33,0,('Premissas Geração de Resíduos'!N45/'Premissas Geração de Resíduos'!N52)*P205)</f>
        <v>17511.790030079483</v>
      </c>
      <c r="Q209" s="1027">
        <f>IF(Q93&gt;PAINEL!$D$33,0,('Premissas Geração de Resíduos'!O45/'Premissas Geração de Resíduos'!O52)*Q205)</f>
        <v>17575.569442937474</v>
      </c>
      <c r="R209" s="1027">
        <f>IF(R93&gt;PAINEL!$D$33,0,('Premissas Geração de Resíduos'!P45/'Premissas Geração de Resíduos'!P52)*R205)</f>
        <v>17639.064941026856</v>
      </c>
      <c r="S209" s="1027">
        <f>IF(S93&gt;PAINEL!$D$33,0,('Premissas Geração de Resíduos'!Q45/'Premissas Geração de Resíduos'!Q52)*S205)</f>
        <v>17702.278415912097</v>
      </c>
      <c r="T209" s="1027">
        <f>IF(T93&gt;PAINEL!$D$33,0,('Premissas Geração de Resíduos'!R45/'Premissas Geração de Resíduos'!R52)*T205)</f>
        <v>17765.211742391686</v>
      </c>
      <c r="U209" s="1027">
        <f>IF(U93&gt;PAINEL!$D$33,0,('Premissas Geração de Resíduos'!S45/'Premissas Geração de Resíduos'!S52)*U205)</f>
        <v>17831.194480118786</v>
      </c>
      <c r="V209" s="1027">
        <f>IF(V93&gt;PAINEL!$D$33,0,('Premissas Geração de Resíduos'!T45/'Premissas Geração de Resíduos'!T52)*V205)</f>
        <v>17889.110226250607</v>
      </c>
      <c r="W209" s="1027">
        <f>IF(W93&gt;PAINEL!$D$33,0,('Premissas Geração de Resíduos'!U45/'Premissas Geração de Resíduos'!U52)*W205)</f>
        <v>17946.923218519685</v>
      </c>
      <c r="X209" s="1027">
        <f>IF(X93&gt;PAINEL!$D$33,0,('Premissas Geração de Resíduos'!V45/'Premissas Geração de Resíduos'!V52)*X205)</f>
        <v>18004.633730141835</v>
      </c>
      <c r="Y209" s="1027">
        <f>IF(Y93&gt;PAINEL!$D$33,0,('Premissas Geração de Resíduos'!W45/'Premissas Geração de Resíduos'!W52)*Y205)</f>
        <v>18062.242033365103</v>
      </c>
      <c r="Z209" s="1027">
        <f>IF(Z93&gt;PAINEL!$D$33,0,('Premissas Geração de Resíduos'!X45/'Premissas Geração de Resíduos'!X52)*Z205)</f>
        <v>18116.199768293664</v>
      </c>
      <c r="AA209" s="1027">
        <f>IF(AA93&gt;PAINEL!$D$33,0,('Premissas Geração de Resíduos'!Y45/'Premissas Geração de Resíduos'!Y52)*AA205)</f>
        <v>18173.607448508534</v>
      </c>
      <c r="AB209" s="1027">
        <f>IF(AB93&gt;PAINEL!$D$33,0,('Premissas Geração de Resíduos'!Z45/'Premissas Geração de Resíduos'!Z52)*AB205)</f>
        <v>18230.913726314717</v>
      </c>
      <c r="AC209" s="1027">
        <f>IF(AC93&gt;PAINEL!$D$33,0,('Premissas Geração de Resíduos'!AA45/'Premissas Geração de Resíduos'!AA52)*AC205)</f>
        <v>18288.118870144277</v>
      </c>
      <c r="AD209" s="1027">
        <f>IF(AD93&gt;PAINEL!$D$33,0,('Premissas Geração de Resíduos'!AB45/'Premissas Geração de Resíduos'!AB52)*AD205)</f>
        <v>18345.223147482684</v>
      </c>
      <c r="AE209" s="1027">
        <f>IF(AE93&gt;PAINEL!$D$33,0,('Premissas Geração de Resíduos'!AC45/'Premissas Geração de Resíduos'!AC52)*AE205)</f>
        <v>18402.226824872945</v>
      </c>
      <c r="AF209" s="1027">
        <f>IF(AF93&gt;PAINEL!$D$33,0,('Premissas Geração de Resíduos'!AD45/'Premissas Geração de Resíduos'!AD52)*AF205)</f>
        <v>18459.130167919742</v>
      </c>
      <c r="AG209" s="1027">
        <f>IF(AG93&gt;PAINEL!$D$33,0,('Premissas Geração de Resíduos'!AE45/'Premissas Geração de Resíduos'!AE52)*AG205)</f>
        <v>18515.933441293619</v>
      </c>
      <c r="AH209" s="1027">
        <f>IF(AH93&gt;PAINEL!$D$33,0,('Premissas Geração de Resíduos'!AF45/'Premissas Geração de Resíduos'!AF52)*AH205)</f>
        <v>18572.636908735003</v>
      </c>
      <c r="AI209" s="1027">
        <f>IF(AI93&gt;PAINEL!$D$33,0,('Premissas Geração de Resíduos'!AG45/'Premissas Geração de Resíduos'!AG52)*AI205)</f>
        <v>18629.240833058342</v>
      </c>
    </row>
    <row r="210" spans="3:35" s="77" customFormat="1" hidden="1" outlineLevel="1" x14ac:dyDescent="0.35">
      <c r="C210" s="1024"/>
      <c r="D210" s="1025" t="s">
        <v>5</v>
      </c>
      <c r="E210" s="1026">
        <f t="shared" si="75"/>
        <v>1156314.5474052248</v>
      </c>
      <c r="F210" s="1033">
        <f>IF(F93&gt;PAINEL!$D$33,0,('Premissas Geração de Resíduos'!D46/'Premissas Geração de Resíduos'!D52)*F205)</f>
        <v>39155.532226934491</v>
      </c>
      <c r="G210" s="1027">
        <f>IF(G93&gt;PAINEL!$D$33,0,('Premissas Geração de Resíduos'!E46/'Premissas Geração de Resíduos'!E52)*G205)</f>
        <v>39141.698276083589</v>
      </c>
      <c r="H210" s="1027">
        <f>IF(H93&gt;PAINEL!$D$33,0,('Premissas Geração de Resíduos'!F46/'Premissas Geração de Resíduos'!F52)*H205)</f>
        <v>39127.991655483165</v>
      </c>
      <c r="I210" s="1027">
        <f>IF(I93&gt;PAINEL!$D$33,0,('Premissas Geração de Resíduos'!G46/'Premissas Geração de Resíduos'!G52)*I205)</f>
        <v>39114.410615229615</v>
      </c>
      <c r="J210" s="1027">
        <f>IF(J93&gt;PAINEL!$D$33,0,('Premissas Geração de Resíduos'!H46/'Premissas Geração de Resíduos'!H52)*J205)</f>
        <v>39100.953437338336</v>
      </c>
      <c r="K210" s="1027">
        <f>IF(K93&gt;PAINEL!$D$33,0,('Premissas Geração de Resíduos'!I46/'Premissas Geração de Resíduos'!I52)*K205)</f>
        <v>39085.830462202626</v>
      </c>
      <c r="L210" s="1027">
        <f>IF(L93&gt;PAINEL!$D$33,0,('Premissas Geração de Resíduos'!J46/'Premissas Geração de Resíduos'!J52)*L205)</f>
        <v>39026.527722674458</v>
      </c>
      <c r="M210" s="1027">
        <f>IF(M93&gt;PAINEL!$D$33,0,('Premissas Geração de Resíduos'!K46/'Premissas Geração de Resíduos'!K52)*M205)</f>
        <v>38967.68915080779</v>
      </c>
      <c r="N210" s="1027">
        <f>IF(N93&gt;PAINEL!$D$33,0,('Premissas Geração de Resíduos'!L46/'Premissas Geração de Resíduos'!L52)*N205)</f>
        <v>38909.309318226216</v>
      </c>
      <c r="O210" s="1027">
        <f>IF(O93&gt;PAINEL!$D$33,0,('Premissas Geração de Resíduos'!M46/'Premissas Geração de Resíduos'!M52)*O205)</f>
        <v>38851.382880870231</v>
      </c>
      <c r="P210" s="1027">
        <f>IF(P93&gt;PAINEL!$D$33,0,('Premissas Geração de Resíduos'!N46/'Premissas Geração de Resíduos'!N52)*P205)</f>
        <v>38797.968083254993</v>
      </c>
      <c r="Q210" s="1027">
        <f>IF(Q93&gt;PAINEL!$D$33,0,('Premissas Geração de Resíduos'!O46/'Premissas Geração de Resíduos'!O52)*Q205)</f>
        <v>38747.325805470246</v>
      </c>
      <c r="R210" s="1027">
        <f>IF(R93&gt;PAINEL!$D$33,0,('Premissas Geração de Resíduos'!P46/'Premissas Geração de Resíduos'!P52)*R205)</f>
        <v>38696.90896235063</v>
      </c>
      <c r="S210" s="1027">
        <f>IF(S93&gt;PAINEL!$D$33,0,('Premissas Geração de Resíduos'!Q46/'Premissas Geração de Resíduos'!Q52)*S205)</f>
        <v>38646.716051951698</v>
      </c>
      <c r="T210" s="1027">
        <f>IF(T93&gt;PAINEL!$D$33,0,('Premissas Geração de Resíduos'!R46/'Premissas Geração de Resíduos'!R52)*T205)</f>
        <v>38596.745585641598</v>
      </c>
      <c r="U210" s="1027">
        <f>IF(U93&gt;PAINEL!$D$33,0,('Premissas Geração de Resíduos'!S46/'Premissas Geração de Resíduos'!S52)*U205)</f>
        <v>38550.337310510273</v>
      </c>
      <c r="V210" s="1027">
        <f>IF(V93&gt;PAINEL!$D$33,0,('Premissas Geração de Resíduos'!T46/'Premissas Geração de Resíduos'!T52)*V205)</f>
        <v>38493.652836718698</v>
      </c>
      <c r="W210" s="1027">
        <f>IF(W93&gt;PAINEL!$D$33,0,('Premissas Geração de Resíduos'!U46/'Premissas Geração de Resíduos'!U52)*W205)</f>
        <v>38437.068932271868</v>
      </c>
      <c r="X210" s="1027">
        <f>IF(X93&gt;PAINEL!$D$33,0,('Premissas Geração de Resíduos'!V46/'Premissas Geração de Resíduos'!V52)*X205)</f>
        <v>38380.585329762478</v>
      </c>
      <c r="Y210" s="1027">
        <f>IF(Y93&gt;PAINEL!$D$33,0,('Premissas Geração de Resíduos'!W46/'Premissas Geração de Resíduos'!W52)*Y205)</f>
        <v>38324.201762730372</v>
      </c>
      <c r="Z210" s="1027">
        <f>IF(Z93&gt;PAINEL!$D$33,0,('Premissas Geração de Resíduos'!X46/'Premissas Geração de Resíduos'!X52)*Z205)</f>
        <v>38267.813912942227</v>
      </c>
      <c r="AA210" s="1027">
        <f>IF(AA93&gt;PAINEL!$D$33,0,('Premissas Geração de Resíduos'!Y46/'Premissas Geração de Resíduos'!Y52)*AA205)</f>
        <v>38211.629865863819</v>
      </c>
      <c r="AB210" s="1027">
        <f>IF(AB93&gt;PAINEL!$D$33,0,('Premissas Geração de Resíduos'!Z46/'Premissas Geração de Resíduos'!Z52)*AB205)</f>
        <v>38155.545059822194</v>
      </c>
      <c r="AC210" s="1027">
        <f>IF(AC93&gt;PAINEL!$D$33,0,('Premissas Geração de Resíduos'!AA46/'Premissas Geração de Resíduos'!AA52)*AC205)</f>
        <v>38099.559232106825</v>
      </c>
      <c r="AD210" s="1027">
        <f>IF(AD93&gt;PAINEL!$D$33,0,('Premissas Geração de Resíduos'!AB46/'Premissas Geração de Resíduos'!AB52)*AD205)</f>
        <v>38043.67212093369</v>
      </c>
      <c r="AE210" s="1027">
        <f>IF(AE93&gt;PAINEL!$D$33,0,('Premissas Geração de Resíduos'!AC46/'Premissas Geração de Resíduos'!AC52)*AE205)</f>
        <v>37987.883465441089</v>
      </c>
      <c r="AF210" s="1027">
        <f>IF(AF93&gt;PAINEL!$D$33,0,('Premissas Geração de Resíduos'!AD46/'Premissas Geração de Resíduos'!AD52)*AF205)</f>
        <v>37932.193005685614</v>
      </c>
      <c r="AG210" s="1027">
        <f>IF(AG93&gt;PAINEL!$D$33,0,('Premissas Geração de Resíduos'!AE46/'Premissas Geração de Resíduos'!AE52)*AG205)</f>
        <v>37876.600482638154</v>
      </c>
      <c r="AH210" s="1027">
        <f>IF(AH93&gt;PAINEL!$D$33,0,('Premissas Geração de Resíduos'!AF46/'Premissas Geração de Resíduos'!AF52)*AH205)</f>
        <v>37821.105638179855</v>
      </c>
      <c r="AI210" s="1027">
        <f>IF(AI93&gt;PAINEL!$D$33,0,('Premissas Geração de Resíduos'!AG46/'Premissas Geração de Resíduos'!AG52)*AI205)</f>
        <v>37765.708215098086</v>
      </c>
    </row>
    <row r="211" spans="3:35" s="77" customFormat="1" hidden="1" outlineLevel="1" x14ac:dyDescent="0.35">
      <c r="C211" s="1024"/>
      <c r="D211" s="1025" t="s">
        <v>6</v>
      </c>
      <c r="E211" s="1026">
        <f t="shared" si="75"/>
        <v>12809062.983146019</v>
      </c>
      <c r="F211" s="1033">
        <f>IF(F93&gt;PAINEL!$D$33,0,('Premissas Geração de Resíduos'!D47/'Premissas Geração de Resíduos'!D52)*F205)</f>
        <v>420508.74101577426</v>
      </c>
      <c r="G211" s="1027">
        <f>IF(G93&gt;PAINEL!$D$33,0,('Premissas Geração de Resíduos'!E47/'Premissas Geração de Resíduos'!E52)*G205)</f>
        <v>420814.42486392451</v>
      </c>
      <c r="H211" s="1027">
        <f>IF(H93&gt;PAINEL!$D$33,0,('Premissas Geração de Resíduos'!F47/'Premissas Geração de Resíduos'!F52)*H205)</f>
        <v>421117.29514121695</v>
      </c>
      <c r="I211" s="1027">
        <f>IF(I93&gt;PAINEL!$D$33,0,('Premissas Geração de Resíduos'!G47/'Premissas Geração de Resíduos'!G52)*I205)</f>
        <v>421417.39051464497</v>
      </c>
      <c r="J211" s="1027">
        <f>IF(J93&gt;PAINEL!$D$33,0,('Premissas Geração de Resíduos'!H47/'Premissas Geração de Resíduos'!H52)*J205)</f>
        <v>421714.74894589692</v>
      </c>
      <c r="K211" s="1027">
        <f>IF(K93&gt;PAINEL!$D$33,0,('Premissas Geração de Resíduos'!I47/'Premissas Geração de Resíduos'!I52)*K205)</f>
        <v>422008.57227196137</v>
      </c>
      <c r="L211" s="1027">
        <f>IF(L93&gt;PAINEL!$D$33,0,('Premissas Geração de Resíduos'!J47/'Premissas Geração de Resíduos'!J52)*L205)</f>
        <v>422555.61024303839</v>
      </c>
      <c r="M211" s="1027">
        <f>IF(M93&gt;PAINEL!$D$33,0,('Premissas Geração de Resíduos'!K47/'Premissas Geração de Resíduos'!K52)*M205)</f>
        <v>423098.36650069413</v>
      </c>
      <c r="N211" s="1027">
        <f>IF(N93&gt;PAINEL!$D$33,0,('Premissas Geração de Resíduos'!L47/'Premissas Geração de Resíduos'!L52)*N205)</f>
        <v>423636.89111897215</v>
      </c>
      <c r="O211" s="1027">
        <f>IF(O93&gt;PAINEL!$D$33,0,('Premissas Geração de Resíduos'!M47/'Premissas Geração de Resíduos'!M52)*O205)</f>
        <v>424171.23339413677</v>
      </c>
      <c r="P211" s="1027">
        <f>IF(P93&gt;PAINEL!$D$33,0,('Premissas Geração de Resíduos'!N47/'Premissas Geração de Resíduos'!N52)*P205)</f>
        <v>424699.78487741161</v>
      </c>
      <c r="Q211" s="1027">
        <f>IF(Q93&gt;PAINEL!$D$33,0,('Premissas Geração de Resíduos'!O47/'Premissas Geração de Resíduos'!O52)*Q205)</f>
        <v>425209.69786221947</v>
      </c>
      <c r="R211" s="1027">
        <f>IF(R93&gt;PAINEL!$D$33,0,('Premissas Geração de Resíduos'!P47/'Premissas Geração de Resíduos'!P52)*R205)</f>
        <v>425717.34096368094</v>
      </c>
      <c r="S211" s="1027">
        <f>IF(S93&gt;PAINEL!$D$33,0,('Premissas Geração de Resíduos'!Q47/'Premissas Geração de Resíduos'!Q52)*S205)</f>
        <v>426222.72930475243</v>
      </c>
      <c r="T211" s="1027">
        <f>IF(T93&gt;PAINEL!$D$33,0,('Premissas Geração de Resíduos'!R47/'Premissas Geração de Resíduos'!R52)*T205)</f>
        <v>426725.87787434721</v>
      </c>
      <c r="U211" s="1027">
        <f>IF(U93&gt;PAINEL!$D$33,0,('Premissas Geração de Resíduos'!S47/'Premissas Geração de Resíduos'!S52)*U205)</f>
        <v>427220.00396636402</v>
      </c>
      <c r="V211" s="1027">
        <f>IF(V93&gt;PAINEL!$D$33,0,('Premissas Geração de Resíduos'!T47/'Premissas Geração de Resíduos'!T52)*V205)</f>
        <v>427711.16767426516</v>
      </c>
      <c r="W211" s="1027">
        <f>IF(W93&gt;PAINEL!$D$33,0,('Premissas Geração de Resíduos'!U47/'Premissas Geração de Resíduos'!U52)*W205)</f>
        <v>428201.4599616701</v>
      </c>
      <c r="X211" s="1027">
        <f>IF(X93&gt;PAINEL!$D$33,0,('Premissas Geração de Resíduos'!V47/'Premissas Geração de Resíduos'!V52)*X205)</f>
        <v>428690.88314562908</v>
      </c>
      <c r="Y211" s="1027">
        <f>IF(Y93&gt;PAINEL!$D$33,0,('Premissas Geração de Resíduos'!W47/'Premissas Geração de Resíduos'!W52)*Y205)</f>
        <v>429179.43953498523</v>
      </c>
      <c r="Z211" s="1027">
        <f>IF(Z93&gt;PAINEL!$D$33,0,('Premissas Geração de Resíduos'!X47/'Premissas Geração de Resíduos'!X52)*Z205)</f>
        <v>429663.66233614442</v>
      </c>
      <c r="AA211" s="1027">
        <f>IF(AA93&gt;PAINEL!$D$33,0,('Premissas Geração de Resíduos'!Y47/'Premissas Geração de Resíduos'!Y52)*AA205)</f>
        <v>430150.49377416389</v>
      </c>
      <c r="AB211" s="1027">
        <f>IF(AB93&gt;PAINEL!$D$33,0,('Premissas Geração de Resíduos'!Z47/'Premissas Geração de Resíduos'!Z52)*AB205)</f>
        <v>430636.46529448131</v>
      </c>
      <c r="AC211" s="1027">
        <f>IF(AC93&gt;PAINEL!$D$33,0,('Premissas Geração de Resíduos'!AA47/'Premissas Geração de Resíduos'!AA52)*AC205)</f>
        <v>431121.5791734677</v>
      </c>
      <c r="AD211" s="1027">
        <f>IF(AD93&gt;PAINEL!$D$33,0,('Premissas Geração de Resíduos'!AB47/'Premissas Geração de Resíduos'!AB52)*AD205)</f>
        <v>431605.83767946658</v>
      </c>
      <c r="AE211" s="1027">
        <f>IF(AE93&gt;PAINEL!$D$33,0,('Premissas Geração de Resíduos'!AC47/'Premissas Geração de Resíduos'!AC52)*AE205)</f>
        <v>432089.24307282898</v>
      </c>
      <c r="AF211" s="1027">
        <f>IF(AF93&gt;PAINEL!$D$33,0,('Premissas Geração de Resíduos'!AD47/'Premissas Geração de Resíduos'!AD52)*AF205)</f>
        <v>432571.79760594881</v>
      </c>
      <c r="AG211" s="1027">
        <f>IF(AG93&gt;PAINEL!$D$33,0,('Premissas Geração de Resíduos'!AE47/'Premissas Geração de Resíduos'!AE52)*AG205)</f>
        <v>433053.50352329836</v>
      </c>
      <c r="AH211" s="1027">
        <f>IF(AH93&gt;PAINEL!$D$33,0,('Premissas Geração de Resíduos'!AF47/'Premissas Geração de Resíduos'!AF52)*AH205)</f>
        <v>433534.36306146212</v>
      </c>
      <c r="AI211" s="1027">
        <f>IF(AI93&gt;PAINEL!$D$33,0,('Premissas Geração de Resíduos'!AG47/'Premissas Geração de Resíduos'!AG52)*AI205)</f>
        <v>434014.37844917207</v>
      </c>
    </row>
    <row r="212" spans="3:35" s="77" customFormat="1" hidden="1" outlineLevel="1" x14ac:dyDescent="0.35">
      <c r="C212" s="1024"/>
      <c r="D212" s="1025" t="s">
        <v>7</v>
      </c>
      <c r="E212" s="1026">
        <f t="shared" si="75"/>
        <v>1007557.051480605</v>
      </c>
      <c r="F212" s="1033">
        <f>IF(F93&gt;PAINEL!$D$33,0,('Premissas Geração de Resíduos'!D48/'Premissas Geração de Resíduos'!D52)*F205)</f>
        <v>37768.27152120581</v>
      </c>
      <c r="G212" s="1027">
        <f>IF(G93&gt;PAINEL!$D$33,0,('Premissas Geração de Resíduos'!E48/'Premissas Geração de Resíduos'!E52)*G205)</f>
        <v>37493.336893332787</v>
      </c>
      <c r="H212" s="1027">
        <f>IF(H93&gt;PAINEL!$D$33,0,('Premissas Geração de Resíduos'!F48/'Premissas Geração de Resíduos'!F52)*H205)</f>
        <v>37220.932814788583</v>
      </c>
      <c r="I212" s="1027">
        <f>IF(I93&gt;PAINEL!$D$33,0,('Premissas Geração de Resíduos'!G48/'Premissas Geração de Resíduos'!G52)*I205)</f>
        <v>36951.024508153787</v>
      </c>
      <c r="J212" s="1027">
        <f>IF(J93&gt;PAINEL!$D$33,0,('Premissas Geração de Resíduos'!H48/'Premissas Geração de Resíduos'!H52)*J205)</f>
        <v>36683.577830365844</v>
      </c>
      <c r="K212" s="1027">
        <f>IF(K93&gt;PAINEL!$D$33,0,('Premissas Geração de Resíduos'!I48/'Premissas Geração de Resíduos'!I52)*K205)</f>
        <v>36414.830188992513</v>
      </c>
      <c r="L212" s="1027">
        <f>IF(L93&gt;PAINEL!$D$33,0,('Premissas Geração de Resíduos'!J48/'Premissas Geração de Resíduos'!J52)*L205)</f>
        <v>36100.548096993589</v>
      </c>
      <c r="M212" s="1027">
        <f>IF(M93&gt;PAINEL!$D$33,0,('Premissas Geração de Resíduos'!K48/'Premissas Geração de Resíduos'!K52)*M205)</f>
        <v>35788.725918058473</v>
      </c>
      <c r="N212" s="1027">
        <f>IF(N93&gt;PAINEL!$D$33,0,('Premissas Geração de Resíduos'!L48/'Premissas Geração de Resíduos'!L52)*N205)</f>
        <v>35479.334883845426</v>
      </c>
      <c r="O212" s="1027">
        <f>IF(O93&gt;PAINEL!$D$33,0,('Premissas Geração de Resíduos'!M48/'Premissas Geração de Resíduos'!M52)*O205)</f>
        <v>35172.346672859858</v>
      </c>
      <c r="P212" s="1027">
        <f>IF(P93&gt;PAINEL!$D$33,0,('Premissas Geração de Resíduos'!N48/'Premissas Geração de Resíduos'!N52)*P205)</f>
        <v>34866.087109818953</v>
      </c>
      <c r="Q212" s="1027">
        <f>IF(Q93&gt;PAINEL!$D$33,0,('Premissas Geração de Resíduos'!O48/'Premissas Geração de Resíduos'!O52)*Q205)</f>
        <v>34557.761754030158</v>
      </c>
      <c r="R212" s="1027">
        <f>IF(R93&gt;PAINEL!$D$33,0,('Premissas Geração de Resíduos'!P48/'Premissas Geração de Resíduos'!P52)*R205)</f>
        <v>34250.808912006003</v>
      </c>
      <c r="S212" s="1027">
        <f>IF(S93&gt;PAINEL!$D$33,0,('Premissas Geração de Resíduos'!Q48/'Premissas Geração de Resíduos'!Q52)*S205)</f>
        <v>33945.219439458888</v>
      </c>
      <c r="T212" s="1027">
        <f>IF(T93&gt;PAINEL!$D$33,0,('Premissas Geração de Resíduos'!R48/'Premissas Geração de Resíduos'!R52)*T205)</f>
        <v>33640.984273152237</v>
      </c>
      <c r="U212" s="1027">
        <f>IF(U93&gt;PAINEL!$D$33,0,('Premissas Geração de Resíduos'!S48/'Premissas Geração de Resíduos'!S52)*U205)</f>
        <v>33333.998305079745</v>
      </c>
      <c r="V212" s="1027">
        <f>IF(V93&gt;PAINEL!$D$33,0,('Premissas Geração de Resíduos'!T48/'Premissas Geração de Resíduos'!T52)*V205)</f>
        <v>33057.383439992023</v>
      </c>
      <c r="W212" s="1027">
        <f>IF(W93&gt;PAINEL!$D$33,0,('Premissas Geração de Resíduos'!U48/'Premissas Geração de Resíduos'!U52)*W205)</f>
        <v>32781.25934378455</v>
      </c>
      <c r="X212" s="1027">
        <f>IF(X93&gt;PAINEL!$D$33,0,('Premissas Geração de Resíduos'!V48/'Premissas Geração de Resíduos'!V52)*X205)</f>
        <v>32505.624711534936</v>
      </c>
      <c r="Y212" s="1027">
        <f>IF(Y93&gt;PAINEL!$D$33,0,('Premissas Geração de Resíduos'!W48/'Premissas Geração de Resíduos'!W52)*Y205)</f>
        <v>32230.478242942965</v>
      </c>
      <c r="Z212" s="1027">
        <f>IF(Z93&gt;PAINEL!$D$33,0,('Premissas Geração de Resíduos'!X48/'Premissas Geração de Resíduos'!X52)*Z205)</f>
        <v>31959.461195493463</v>
      </c>
      <c r="AA212" s="1027">
        <f>IF(AA93&gt;PAINEL!$D$33,0,('Premissas Geração de Resíduos'!Y48/'Premissas Geração de Resíduos'!Y52)*AA205)</f>
        <v>31685.284696672166</v>
      </c>
      <c r="AB212" s="1027">
        <f>IF(AB93&gt;PAINEL!$D$33,0,('Premissas Geração de Resíduos'!Z48/'Premissas Geração de Resíduos'!Z52)*AB205)</f>
        <v>31411.592491194238</v>
      </c>
      <c r="AC212" s="1027">
        <f>IF(AC93&gt;PAINEL!$D$33,0,('Premissas Geração de Resíduos'!AA48/'Premissas Geração de Resíduos'!AA52)*AC205)</f>
        <v>31138.383297040149</v>
      </c>
      <c r="AD212" s="1027">
        <f>IF(AD93&gt;PAINEL!$D$33,0,('Premissas Geração de Resíduos'!AB48/'Premissas Geração de Resíduos'!AB52)*AD205)</f>
        <v>30865.655836711408</v>
      </c>
      <c r="AE212" s="1027">
        <f>IF(AE93&gt;PAINEL!$D$33,0,('Premissas Geração de Resíduos'!AC48/'Premissas Geração de Resíduos'!AC52)*AE205)</f>
        <v>30593.408837210616</v>
      </c>
      <c r="AF212" s="1027">
        <f>IF(AF93&gt;PAINEL!$D$33,0,('Premissas Geração de Resíduos'!AD48/'Premissas Geração de Resíduos'!AD52)*AF205)</f>
        <v>30321.641030021648</v>
      </c>
      <c r="AG212" s="1027">
        <f>IF(AG93&gt;PAINEL!$D$33,0,('Premissas Geração de Resíduos'!AE48/'Premissas Geração de Resíduos'!AE52)*AG205)</f>
        <v>30050.351151090013</v>
      </c>
      <c r="AH212" s="1027">
        <f>IF(AH93&gt;PAINEL!$D$33,0,('Premissas Geração de Resíduos'!AF48/'Premissas Geração de Resíduos'!AF52)*AH205)</f>
        <v>29779.53794080322</v>
      </c>
      <c r="AI212" s="1027">
        <f>IF(AI93&gt;PAINEL!$D$33,0,('Premissas Geração de Resíduos'!AG48/'Premissas Geração de Resíduos'!AG52)*AI205)</f>
        <v>29509.200143971277</v>
      </c>
    </row>
    <row r="213" spans="3:35" s="77" customFormat="1" hidden="1" outlineLevel="1" x14ac:dyDescent="0.35">
      <c r="C213" s="1024"/>
      <c r="D213" s="1025" t="s">
        <v>8</v>
      </c>
      <c r="E213" s="1026">
        <f t="shared" si="75"/>
        <v>956566.1866595773</v>
      </c>
      <c r="F213" s="1033">
        <f>IF(F93&gt;PAINEL!$D$33,0,('Premissas Geração de Resíduos'!D49/'Premissas Geração de Resíduos'!D52)*F205)</f>
        <v>30537.520919694092</v>
      </c>
      <c r="G213" s="1027">
        <f>IF(G93&gt;PAINEL!$D$33,0,('Premissas Geração de Resíduos'!E49/'Premissas Geração de Resíduos'!E52)*G205)</f>
        <v>30659.915122836061</v>
      </c>
      <c r="H213" s="1027">
        <f>IF(H93&gt;PAINEL!$D$33,0,('Premissas Geração de Resíduos'!F49/'Premissas Geração de Resíduos'!F52)*H205)</f>
        <v>30781.182787022157</v>
      </c>
      <c r="I213" s="1027">
        <f>IF(I93&gt;PAINEL!$D$33,0,('Premissas Geração de Resíduos'!G49/'Premissas Geração de Resíduos'!G52)*I205)</f>
        <v>30901.339394312901</v>
      </c>
      <c r="J213" s="1027">
        <f>IF(J93&gt;PAINEL!$D$33,0,('Premissas Geração de Resíduos'!H49/'Premissas Geração de Resíduos'!H52)*J205)</f>
        <v>31020.400144368497</v>
      </c>
      <c r="K213" s="1027">
        <f>IF(K93&gt;PAINEL!$D$33,0,('Premissas Geração de Resíduos'!I49/'Premissas Geração de Resíduos'!I52)*K205)</f>
        <v>31134.631528864928</v>
      </c>
      <c r="L213" s="1027">
        <f>IF(L93&gt;PAINEL!$D$33,0,('Premissas Geração de Resíduos'!J49/'Premissas Geração de Resíduos'!J52)*L205)</f>
        <v>31216.220503565757</v>
      </c>
      <c r="M213" s="1027">
        <f>IF(M93&gt;PAINEL!$D$33,0,('Premissas Geração de Resíduos'!K49/'Premissas Geração de Resíduos'!K52)*M205)</f>
        <v>31297.170874318625</v>
      </c>
      <c r="N213" s="1027">
        <f>IF(N93&gt;PAINEL!$D$33,0,('Premissas Geração de Resíduos'!L49/'Premissas Geração de Resíduos'!L52)*N205)</f>
        <v>31377.49010950802</v>
      </c>
      <c r="O213" s="1027">
        <f>IF(O93&gt;PAINEL!$D$33,0,('Premissas Geração de Resíduos'!M49/'Premissas Geração de Resíduos'!M52)*O205)</f>
        <v>31457.18556151502</v>
      </c>
      <c r="P213" s="1027">
        <f>IF(P93&gt;PAINEL!$D$33,0,('Premissas Geração de Resíduos'!N49/'Premissas Geração de Resíduos'!N52)*P205)</f>
        <v>31538.382451665231</v>
      </c>
      <c r="Q213" s="1027">
        <f>IF(Q93&gt;PAINEL!$D$33,0,('Premissas Geração de Resíduos'!O49/'Premissas Geração de Resíduos'!O52)*Q205)</f>
        <v>31628.657432996268</v>
      </c>
      <c r="R213" s="1027">
        <f>IF(R93&gt;PAINEL!$D$33,0,('Premissas Geração de Resíduos'!P49/'Premissas Geração de Resíduos'!P52)*R205)</f>
        <v>31718.530554239747</v>
      </c>
      <c r="S213" s="1027">
        <f>IF(S93&gt;PAINEL!$D$33,0,('Premissas Geração de Resíduos'!Q49/'Premissas Geração de Resíduos'!Q52)*S205)</f>
        <v>31808.004492763477</v>
      </c>
      <c r="T213" s="1027">
        <f>IF(T93&gt;PAINEL!$D$33,0,('Premissas Geração de Resíduos'!R49/'Premissas Geração de Resíduos'!R52)*T205)</f>
        <v>31897.081902204274</v>
      </c>
      <c r="U213" s="1027">
        <f>IF(U93&gt;PAINEL!$D$33,0,('Premissas Geração de Resíduos'!S49/'Premissas Geração de Resíduos'!S52)*U205)</f>
        <v>31987.302525939878</v>
      </c>
      <c r="V213" s="1027">
        <f>IF(V93&gt;PAINEL!$D$33,0,('Premissas Geração de Resíduos'!T49/'Premissas Geração de Resíduos'!T52)*V205)</f>
        <v>32061.825670952912</v>
      </c>
      <c r="W213" s="1027">
        <f>IF(W93&gt;PAINEL!$D$33,0,('Premissas Geração de Resíduos'!U49/'Premissas Geração de Resíduos'!U52)*W205)</f>
        <v>32136.21659732897</v>
      </c>
      <c r="X213" s="1027">
        <f>IF(X93&gt;PAINEL!$D$33,0,('Premissas Geração de Resíduos'!V49/'Premissas Geração de Resíduos'!V52)*X205)</f>
        <v>32210.475656628751</v>
      </c>
      <c r="Y213" s="1027">
        <f>IF(Y93&gt;PAINEL!$D$33,0,('Premissas Geração de Resíduos'!W49/'Premissas Geração de Resíduos'!W52)*Y205)</f>
        <v>32284.603199167723</v>
      </c>
      <c r="Z213" s="1027">
        <f>IF(Z93&gt;PAINEL!$D$33,0,('Premissas Geração de Resíduos'!X49/'Premissas Geração de Resíduos'!X52)*Z205)</f>
        <v>32360.376310554504</v>
      </c>
      <c r="AA213" s="1027">
        <f>IF(AA93&gt;PAINEL!$D$33,0,('Premissas Geração de Resíduos'!Y49/'Premissas Geração de Resíduos'!Y52)*AA205)</f>
        <v>32434.240094335608</v>
      </c>
      <c r="AB213" s="1027">
        <f>IF(AB93&gt;PAINEL!$D$33,0,('Premissas Geração de Resíduos'!Z49/'Premissas Geração de Resíduos'!Z52)*AB205)</f>
        <v>32507.973408368362</v>
      </c>
      <c r="AC213" s="1027">
        <f>IF(AC93&gt;PAINEL!$D$33,0,('Premissas Geração de Resíduos'!AA49/'Premissas Geração de Resíduos'!AA52)*AC205)</f>
        <v>32581.576598031796</v>
      </c>
      <c r="AD213" s="1027">
        <f>IF(AD93&gt;PAINEL!$D$33,0,('Premissas Geração de Resíduos'!AB49/'Premissas Geração de Resíduos'!AB52)*AD205)</f>
        <v>32655.050007486989</v>
      </c>
      <c r="AE213" s="1027">
        <f>IF(AE93&gt;PAINEL!$D$33,0,('Premissas Geração de Resíduos'!AC49/'Premissas Geração de Resíduos'!AC52)*AE205)</f>
        <v>32728.393979682372</v>
      </c>
      <c r="AF213" s="1027">
        <f>IF(AF93&gt;PAINEL!$D$33,0,('Premissas Geração de Resíduos'!AD49/'Premissas Geração de Resíduos'!AD52)*AF205)</f>
        <v>32801.60885635914</v>
      </c>
      <c r="AG213" s="1027">
        <f>IF(AG93&gt;PAINEL!$D$33,0,('Premissas Geração de Resíduos'!AE49/'Premissas Geração de Resíduos'!AE52)*AG205)</f>
        <v>32874.694978056476</v>
      </c>
      <c r="AH213" s="1027">
        <f>IF(AH93&gt;PAINEL!$D$33,0,('Premissas Geração de Resíduos'!AF49/'Premissas Geração de Resíduos'!AF52)*AH205)</f>
        <v>32947.652684116933</v>
      </c>
      <c r="AI213" s="1027">
        <f>IF(AI93&gt;PAINEL!$D$33,0,('Premissas Geração de Resíduos'!AG49/'Premissas Geração de Resíduos'!AG52)*AI205)</f>
        <v>33020.482312691573</v>
      </c>
    </row>
    <row r="214" spans="3:35" s="77" customFormat="1" hidden="1" outlineLevel="1" x14ac:dyDescent="0.35">
      <c r="C214" s="1024"/>
      <c r="D214" s="1025" t="s">
        <v>9</v>
      </c>
      <c r="E214" s="1026">
        <f t="shared" si="75"/>
        <v>782266.69097036961</v>
      </c>
      <c r="F214" s="1033">
        <f>IF(F93&gt;PAINEL!$D$33,0,('Premissas Geração de Resíduos'!D50/'Premissas Geração de Resíduos'!D52)*F205)</f>
        <v>24901.527283314899</v>
      </c>
      <c r="G214" s="1027">
        <f>IF(G93&gt;PAINEL!$D$33,0,('Premissas Geração de Resíduos'!E50/'Premissas Geração de Resíduos'!E52)*G205)</f>
        <v>25004.737347885548</v>
      </c>
      <c r="H214" s="1027">
        <f>IF(H93&gt;PAINEL!$D$33,0,('Premissas Geração de Resíduos'!F50/'Premissas Geração de Resíduos'!F52)*H205)</f>
        <v>25106.99744787133</v>
      </c>
      <c r="I214" s="1027">
        <f>IF(I93&gt;PAINEL!$D$33,0,('Premissas Geração de Resíduos'!G50/'Premissas Geração de Resíduos'!G52)*I205)</f>
        <v>25208.320638665598</v>
      </c>
      <c r="J214" s="1027">
        <f>IF(J93&gt;PAINEL!$D$33,0,('Premissas Geração de Resíduos'!H50/'Premissas Geração de Resíduos'!H52)*J205)</f>
        <v>25308.719737524993</v>
      </c>
      <c r="K214" s="1027">
        <f>IF(K93&gt;PAINEL!$D$33,0,('Premissas Geração de Resíduos'!I50/'Premissas Geração de Resíduos'!I52)*K205)</f>
        <v>25412.163119955636</v>
      </c>
      <c r="L214" s="1027">
        <f>IF(L93&gt;PAINEL!$D$33,0,('Premissas Geração de Resíduos'!J50/'Premissas Geração de Resíduos'!J52)*L205)</f>
        <v>25493.150558529211</v>
      </c>
      <c r="M214" s="1027">
        <f>IF(M93&gt;PAINEL!$D$33,0,('Premissas Geração de Resíduos'!K50/'Premissas Geração de Resíduos'!K52)*M205)</f>
        <v>25573.504101430019</v>
      </c>
      <c r="N214" s="1027">
        <f>IF(N93&gt;PAINEL!$D$33,0,('Premissas Geração de Resíduos'!L50/'Premissas Geração de Resíduos'!L52)*N205)</f>
        <v>25653.231161979907</v>
      </c>
      <c r="O214" s="1027">
        <f>IF(O93&gt;PAINEL!$D$33,0,('Premissas Geração de Resíduos'!M50/'Premissas Geração de Resíduos'!M52)*O205)</f>
        <v>25732.339038352624</v>
      </c>
      <c r="P214" s="1027">
        <f>IF(P93&gt;PAINEL!$D$33,0,('Premissas Geração de Resíduos'!N50/'Premissas Geração de Resíduos'!N52)*P205)</f>
        <v>25809.124289505293</v>
      </c>
      <c r="Q214" s="1027">
        <f>IF(Q93&gt;PAINEL!$D$33,0,('Premissas Geração de Resíduos'!O50/'Premissas Geração de Resíduos'!O52)*Q205)</f>
        <v>25876.274495430363</v>
      </c>
      <c r="R214" s="1027">
        <f>IF(R93&gt;PAINEL!$D$33,0,('Premissas Geração de Resíduos'!P50/'Premissas Geração de Resíduos'!P52)*R205)</f>
        <v>25943.125781463834</v>
      </c>
      <c r="S214" s="1027">
        <f>IF(S93&gt;PAINEL!$D$33,0,('Premissas Geração de Resíduos'!Q50/'Premissas Geração de Resíduos'!Q52)*S205)</f>
        <v>26009.680139140895</v>
      </c>
      <c r="T214" s="1027">
        <f>IF(T93&gt;PAINEL!$D$33,0,('Premissas Geração de Resíduos'!R50/'Premissas Geração de Resíduos'!R52)*T205)</f>
        <v>26075.939542344604</v>
      </c>
      <c r="U214" s="1027">
        <f>IF(U93&gt;PAINEL!$D$33,0,('Premissas Geração de Resíduos'!S50/'Premissas Geração de Resíduos'!S52)*U205)</f>
        <v>26145.377442299723</v>
      </c>
      <c r="V214" s="1027">
        <f>IF(V93&gt;PAINEL!$D$33,0,('Premissas Geração de Resíduos'!T50/'Premissas Geração de Resíduos'!T52)*V205)</f>
        <v>26211.988103253225</v>
      </c>
      <c r="W214" s="1027">
        <f>IF(W93&gt;PAINEL!$D$33,0,('Premissas Geração de Resíduos'!U50/'Premissas Geração de Resíduos'!U52)*W205)</f>
        <v>26278.480583864246</v>
      </c>
      <c r="X214" s="1027">
        <f>IF(X93&gt;PAINEL!$D$33,0,('Premissas Geração de Resíduos'!V50/'Premissas Geração de Resíduos'!V52)*X205)</f>
        <v>26344.855198366597</v>
      </c>
      <c r="Y214" s="1027">
        <f>IF(Y93&gt;PAINEL!$D$33,0,('Premissas Geração de Resíduos'!W50/'Premissas Geração de Resíduos'!W52)*Y205)</f>
        <v>26411.112259881054</v>
      </c>
      <c r="Z214" s="1027">
        <f>IF(Z93&gt;PAINEL!$D$33,0,('Premissas Geração de Resíduos'!X50/'Premissas Geração de Resíduos'!X52)*Z205)</f>
        <v>26480.909530147776</v>
      </c>
      <c r="AA214" s="1027">
        <f>IF(AA93&gt;PAINEL!$D$33,0,('Premissas Geração de Resíduos'!Y50/'Premissas Geração de Resíduos'!Y52)*AA205)</f>
        <v>26546.92900822495</v>
      </c>
      <c r="AB214" s="1027">
        <f>IF(AB93&gt;PAINEL!$D$33,0,('Premissas Geração de Resíduos'!Z50/'Premissas Geração de Resíduos'!Z52)*AB205)</f>
        <v>26612.831872391347</v>
      </c>
      <c r="AC214" s="1027">
        <f>IF(AC93&gt;PAINEL!$D$33,0,('Premissas Geração de Resíduos'!AA50/'Premissas Geração de Resíduos'!AA52)*AC205)</f>
        <v>26678.618431346891</v>
      </c>
      <c r="AD214" s="1027">
        <f>IF(AD93&gt;PAINEL!$D$33,0,('Premissas Geração de Resíduos'!AB50/'Premissas Geração de Resíduos'!AB52)*AD205)</f>
        <v>26744.28899270287</v>
      </c>
      <c r="AE214" s="1027">
        <f>IF(AE93&gt;PAINEL!$D$33,0,('Premissas Geração de Resíduos'!AC50/'Premissas Geração de Resíduos'!AC52)*AE205)</f>
        <v>26809.843862986734</v>
      </c>
      <c r="AF214" s="1027">
        <f>IF(AF93&gt;PAINEL!$D$33,0,('Premissas Geração de Resíduos'!AD50/'Premissas Geração de Resíduos'!AD52)*AF205)</f>
        <v>26875.28334764688</v>
      </c>
      <c r="AG214" s="1027">
        <f>IF(AG93&gt;PAINEL!$D$33,0,('Premissas Geração de Resíduos'!AE50/'Premissas Geração de Resíduos'!AE52)*AG205)</f>
        <v>26940.607751057385</v>
      </c>
      <c r="AH214" s="1027">
        <f>IF(AH93&gt;PAINEL!$D$33,0,('Premissas Geração de Resíduos'!AF50/'Premissas Geração de Resíduos'!AF52)*AH205)</f>
        <v>27005.817376522726</v>
      </c>
      <c r="AI214" s="1027">
        <f>IF(AI93&gt;PAINEL!$D$33,0,('Premissas Geração de Resíduos'!AG50/'Premissas Geração de Resíduos'!AG52)*AI205)</f>
        <v>27070.912526282464</v>
      </c>
    </row>
    <row r="215" spans="3:35" collapsed="1" x14ac:dyDescent="0.35">
      <c r="D215" t="s">
        <v>469</v>
      </c>
      <c r="E215" s="486">
        <f t="shared" si="75"/>
        <v>2898000</v>
      </c>
      <c r="F215" s="477">
        <f>IF(F93&gt;'Premissas Gerais'!$E$7,0,'Premissas Gerais'!$G$79*12)</f>
        <v>96600</v>
      </c>
      <c r="G215" s="477">
        <f>IF(G93&gt;'Premissas Gerais'!$E$7,0,'Premissas Gerais'!$G$79*12)</f>
        <v>96600</v>
      </c>
      <c r="H215" s="477">
        <f>IF(H93&gt;'Premissas Gerais'!$E$7,0,'Premissas Gerais'!$G$79*12)</f>
        <v>96600</v>
      </c>
      <c r="I215" s="477">
        <f>IF(I93&gt;'Premissas Gerais'!$E$7,0,'Premissas Gerais'!$G$79*12)</f>
        <v>96600</v>
      </c>
      <c r="J215" s="477">
        <f>IF(J93&gt;'Premissas Gerais'!$E$7,0,'Premissas Gerais'!$G$79*12)</f>
        <v>96600</v>
      </c>
      <c r="K215" s="477">
        <f>IF(K93&gt;'Premissas Gerais'!$E$7,0,'Premissas Gerais'!$G$79*12)</f>
        <v>96600</v>
      </c>
      <c r="L215" s="477">
        <f>IF(L93&gt;'Premissas Gerais'!$E$7,0,'Premissas Gerais'!$G$79*12)</f>
        <v>96600</v>
      </c>
      <c r="M215" s="477">
        <f>IF(M93&gt;'Premissas Gerais'!$E$7,0,'Premissas Gerais'!$G$79*12)</f>
        <v>96600</v>
      </c>
      <c r="N215" s="477">
        <f>IF(N93&gt;'Premissas Gerais'!$E$7,0,'Premissas Gerais'!$G$79*12)</f>
        <v>96600</v>
      </c>
      <c r="O215" s="477">
        <f>IF(O93&gt;'Premissas Gerais'!$E$7,0,'Premissas Gerais'!$G$79*12)</f>
        <v>96600</v>
      </c>
      <c r="P215" s="477">
        <f>IF(P93&gt;'Premissas Gerais'!$E$7,0,'Premissas Gerais'!$G$79*12)</f>
        <v>96600</v>
      </c>
      <c r="Q215" s="477">
        <f>IF(Q93&gt;'Premissas Gerais'!$E$7,0,'Premissas Gerais'!$G$79*12)</f>
        <v>96600</v>
      </c>
      <c r="R215" s="477">
        <f>IF(R93&gt;'Premissas Gerais'!$E$7,0,'Premissas Gerais'!$G$79*12)</f>
        <v>96600</v>
      </c>
      <c r="S215" s="477">
        <f>IF(S93&gt;'Premissas Gerais'!$E$7,0,'Premissas Gerais'!$G$79*12)</f>
        <v>96600</v>
      </c>
      <c r="T215" s="477">
        <f>IF(T93&gt;'Premissas Gerais'!$E$7,0,'Premissas Gerais'!$G$79*12)</f>
        <v>96600</v>
      </c>
      <c r="U215" s="477">
        <f>IF(U93&gt;'Premissas Gerais'!$E$7,0,'Premissas Gerais'!$G$79*12)</f>
        <v>96600</v>
      </c>
      <c r="V215" s="477">
        <f>IF(V93&gt;'Premissas Gerais'!$E$7,0,'Premissas Gerais'!$G$79*12)</f>
        <v>96600</v>
      </c>
      <c r="W215" s="477">
        <f>IF(W93&gt;'Premissas Gerais'!$E$7,0,'Premissas Gerais'!$G$79*12)</f>
        <v>96600</v>
      </c>
      <c r="X215" s="477">
        <f>IF(X93&gt;'Premissas Gerais'!$E$7,0,'Premissas Gerais'!$G$79*12)</f>
        <v>96600</v>
      </c>
      <c r="Y215" s="477">
        <f>IF(Y93&gt;'Premissas Gerais'!$E$7,0,'Premissas Gerais'!$G$79*12)</f>
        <v>96600</v>
      </c>
      <c r="Z215" s="477">
        <f>IF(Z93&gt;'Premissas Gerais'!$E$7,0,'Premissas Gerais'!$G$79*12)</f>
        <v>96600</v>
      </c>
      <c r="AA215" s="477">
        <f>IF(AA93&gt;'Premissas Gerais'!$E$7,0,'Premissas Gerais'!$G$79*12)</f>
        <v>96600</v>
      </c>
      <c r="AB215" s="477">
        <f>IF(AB93&gt;'Premissas Gerais'!$E$7,0,'Premissas Gerais'!$G$79*12)</f>
        <v>96600</v>
      </c>
      <c r="AC215" s="477">
        <f>IF(AC93&gt;'Premissas Gerais'!$E$7,0,'Premissas Gerais'!$G$79*12)</f>
        <v>96600</v>
      </c>
      <c r="AD215" s="477">
        <f>IF(AD93&gt;'Premissas Gerais'!$E$7,0,'Premissas Gerais'!$G$79*12)</f>
        <v>96600</v>
      </c>
      <c r="AE215" s="477">
        <f>IF(AE93&gt;'Premissas Gerais'!$E$7,0,'Premissas Gerais'!$G$79*12)</f>
        <v>96600</v>
      </c>
      <c r="AF215" s="477">
        <f>IF(AF93&gt;'Premissas Gerais'!$E$7,0,'Premissas Gerais'!$G$79*12)</f>
        <v>96600</v>
      </c>
      <c r="AG215" s="477">
        <f>IF(AG93&gt;'Premissas Gerais'!$E$7,0,'Premissas Gerais'!$G$79*12)</f>
        <v>96600</v>
      </c>
      <c r="AH215" s="477">
        <f>IF(AH93&gt;'Premissas Gerais'!$E$7,0,'Premissas Gerais'!$G$79*12)</f>
        <v>96600</v>
      </c>
      <c r="AI215" s="477">
        <f>IF(AI93&gt;'Premissas Gerais'!$E$7,0,'Premissas Gerais'!$G$79*12)</f>
        <v>96600</v>
      </c>
    </row>
    <row r="216" spans="3:35" s="77" customFormat="1" hidden="1" outlineLevel="1" x14ac:dyDescent="0.35">
      <c r="C216" s="1020"/>
      <c r="D216" s="1021" t="s">
        <v>1</v>
      </c>
      <c r="E216" s="1022">
        <f t="shared" si="75"/>
        <v>19785.148491811451</v>
      </c>
      <c r="F216" s="1032">
        <f>F215*'Premissas Gerais'!$G$165</f>
        <v>659.50494972704837</v>
      </c>
      <c r="G216" s="1023">
        <f>G215*'Premissas Gerais'!$G$165</f>
        <v>659.50494972704837</v>
      </c>
      <c r="H216" s="1023">
        <f>H215*'Premissas Gerais'!$G$165</f>
        <v>659.50494972704837</v>
      </c>
      <c r="I216" s="1023">
        <f>I215*'Premissas Gerais'!$G$165</f>
        <v>659.50494972704837</v>
      </c>
      <c r="J216" s="1023">
        <f>J215*'Premissas Gerais'!$G$165</f>
        <v>659.50494972704837</v>
      </c>
      <c r="K216" s="1023">
        <f>K215*'Premissas Gerais'!$G$165</f>
        <v>659.50494972704837</v>
      </c>
      <c r="L216" s="1023">
        <f>L215*'Premissas Gerais'!$G$165</f>
        <v>659.50494972704837</v>
      </c>
      <c r="M216" s="1023">
        <f>M215*'Premissas Gerais'!$G$165</f>
        <v>659.50494972704837</v>
      </c>
      <c r="N216" s="1023">
        <f>N215*'Premissas Gerais'!$G$165</f>
        <v>659.50494972704837</v>
      </c>
      <c r="O216" s="1023">
        <f>O215*'Premissas Gerais'!$G$165</f>
        <v>659.50494972704837</v>
      </c>
      <c r="P216" s="1023">
        <f>P215*'Premissas Gerais'!$G$165</f>
        <v>659.50494972704837</v>
      </c>
      <c r="Q216" s="1023">
        <f>Q215*'Premissas Gerais'!$G$165</f>
        <v>659.50494972704837</v>
      </c>
      <c r="R216" s="1023">
        <f>R215*'Premissas Gerais'!$G$165</f>
        <v>659.50494972704837</v>
      </c>
      <c r="S216" s="1023">
        <f>S215*'Premissas Gerais'!$G$165</f>
        <v>659.50494972704837</v>
      </c>
      <c r="T216" s="1023">
        <f>T215*'Premissas Gerais'!$G$165</f>
        <v>659.50494972704837</v>
      </c>
      <c r="U216" s="1023">
        <f>U215*'Premissas Gerais'!$G$165</f>
        <v>659.50494972704837</v>
      </c>
      <c r="V216" s="1023">
        <f>V215*'Premissas Gerais'!$G$165</f>
        <v>659.50494972704837</v>
      </c>
      <c r="W216" s="1023">
        <f>W215*'Premissas Gerais'!$G$165</f>
        <v>659.50494972704837</v>
      </c>
      <c r="X216" s="1023">
        <f>X215*'Premissas Gerais'!$G$165</f>
        <v>659.50494972704837</v>
      </c>
      <c r="Y216" s="1023">
        <f>Y215*'Premissas Gerais'!$G$165</f>
        <v>659.50494972704837</v>
      </c>
      <c r="Z216" s="1023">
        <f>Z215*'Premissas Gerais'!$G$165</f>
        <v>659.50494972704837</v>
      </c>
      <c r="AA216" s="1023">
        <f>AA215*'Premissas Gerais'!$G$165</f>
        <v>659.50494972704837</v>
      </c>
      <c r="AB216" s="1023">
        <f>AB215*'Premissas Gerais'!$G$165</f>
        <v>659.50494972704837</v>
      </c>
      <c r="AC216" s="1023">
        <f>AC215*'Premissas Gerais'!$G$165</f>
        <v>659.50494972704837</v>
      </c>
      <c r="AD216" s="1023">
        <f>AD215*'Premissas Gerais'!$G$165</f>
        <v>659.50494972704837</v>
      </c>
      <c r="AE216" s="1023">
        <f>AE215*'Premissas Gerais'!$G$165</f>
        <v>659.50494972704837</v>
      </c>
      <c r="AF216" s="1023">
        <f>AF215*'Premissas Gerais'!$G$165</f>
        <v>659.50494972704837</v>
      </c>
      <c r="AG216" s="1023">
        <f>AG215*'Premissas Gerais'!$G$165</f>
        <v>659.50494972704837</v>
      </c>
      <c r="AH216" s="1023">
        <f>AH215*'Premissas Gerais'!$G$165</f>
        <v>659.50494972704837</v>
      </c>
      <c r="AI216" s="1023">
        <f>AI215*'Premissas Gerais'!$G$165</f>
        <v>659.50494972704837</v>
      </c>
    </row>
    <row r="217" spans="3:35" s="77" customFormat="1" hidden="1" outlineLevel="1" x14ac:dyDescent="0.35">
      <c r="C217" s="1024"/>
      <c r="D217" s="1025" t="s">
        <v>2</v>
      </c>
      <c r="E217" s="1026">
        <f t="shared" si="75"/>
        <v>250571.82126942198</v>
      </c>
      <c r="F217" s="1033">
        <f>F215*'Premissas Gerais'!$G$166</f>
        <v>8352.3940423140702</v>
      </c>
      <c r="G217" s="1027">
        <f>G215*'Premissas Gerais'!$G$166</f>
        <v>8352.3940423140702</v>
      </c>
      <c r="H217" s="1027">
        <f>H215*'Premissas Gerais'!$G$166</f>
        <v>8352.3940423140702</v>
      </c>
      <c r="I217" s="1027">
        <f>I215*'Premissas Gerais'!$G$166</f>
        <v>8352.3940423140702</v>
      </c>
      <c r="J217" s="1027">
        <f>J215*'Premissas Gerais'!$G$166</f>
        <v>8352.3940423140702</v>
      </c>
      <c r="K217" s="1027">
        <f>K215*'Premissas Gerais'!$G$166</f>
        <v>8352.3940423140702</v>
      </c>
      <c r="L217" s="1027">
        <f>L215*'Premissas Gerais'!$G$166</f>
        <v>8352.3940423140702</v>
      </c>
      <c r="M217" s="1027">
        <f>M215*'Premissas Gerais'!$G$166</f>
        <v>8352.3940423140702</v>
      </c>
      <c r="N217" s="1027">
        <f>N215*'Premissas Gerais'!$G$166</f>
        <v>8352.3940423140702</v>
      </c>
      <c r="O217" s="1027">
        <f>O215*'Premissas Gerais'!$G$166</f>
        <v>8352.3940423140702</v>
      </c>
      <c r="P217" s="1027">
        <f>P215*'Premissas Gerais'!$G$166</f>
        <v>8352.3940423140702</v>
      </c>
      <c r="Q217" s="1027">
        <f>Q215*'Premissas Gerais'!$G$166</f>
        <v>8352.3940423140702</v>
      </c>
      <c r="R217" s="1027">
        <f>R215*'Premissas Gerais'!$G$166</f>
        <v>8352.3940423140702</v>
      </c>
      <c r="S217" s="1027">
        <f>S215*'Premissas Gerais'!$G$166</f>
        <v>8352.3940423140702</v>
      </c>
      <c r="T217" s="1027">
        <f>T215*'Premissas Gerais'!$G$166</f>
        <v>8352.3940423140702</v>
      </c>
      <c r="U217" s="1027">
        <f>U215*'Premissas Gerais'!$G$166</f>
        <v>8352.3940423140702</v>
      </c>
      <c r="V217" s="1027">
        <f>V215*'Premissas Gerais'!$G$166</f>
        <v>8352.3940423140702</v>
      </c>
      <c r="W217" s="1027">
        <f>W215*'Premissas Gerais'!$G$166</f>
        <v>8352.3940423140702</v>
      </c>
      <c r="X217" s="1027">
        <f>X215*'Premissas Gerais'!$G$166</f>
        <v>8352.3940423140702</v>
      </c>
      <c r="Y217" s="1027">
        <f>Y215*'Premissas Gerais'!$G$166</f>
        <v>8352.3940423140702</v>
      </c>
      <c r="Z217" s="1027">
        <f>Z215*'Premissas Gerais'!$G$166</f>
        <v>8352.3940423140702</v>
      </c>
      <c r="AA217" s="1027">
        <f>AA215*'Premissas Gerais'!$G$166</f>
        <v>8352.3940423140702</v>
      </c>
      <c r="AB217" s="1027">
        <f>AB215*'Premissas Gerais'!$G$166</f>
        <v>8352.3940423140702</v>
      </c>
      <c r="AC217" s="1027">
        <f>AC215*'Premissas Gerais'!$G$166</f>
        <v>8352.3940423140702</v>
      </c>
      <c r="AD217" s="1027">
        <f>AD215*'Premissas Gerais'!$G$166</f>
        <v>8352.3940423140702</v>
      </c>
      <c r="AE217" s="1027">
        <f>AE215*'Premissas Gerais'!$G$166</f>
        <v>8352.3940423140702</v>
      </c>
      <c r="AF217" s="1027">
        <f>AF215*'Premissas Gerais'!$G$166</f>
        <v>8352.3940423140702</v>
      </c>
      <c r="AG217" s="1027">
        <f>AG215*'Premissas Gerais'!$G$166</f>
        <v>8352.3940423140702</v>
      </c>
      <c r="AH217" s="1027">
        <f>AH215*'Premissas Gerais'!$G$166</f>
        <v>8352.3940423140702</v>
      </c>
      <c r="AI217" s="1027">
        <f>AI215*'Premissas Gerais'!$G$166</f>
        <v>8352.3940423140702</v>
      </c>
    </row>
    <row r="218" spans="3:35" s="77" customFormat="1" hidden="1" outlineLevel="1" x14ac:dyDescent="0.35">
      <c r="C218" s="1024"/>
      <c r="D218" s="1025" t="s">
        <v>3</v>
      </c>
      <c r="E218" s="1026">
        <f t="shared" si="75"/>
        <v>30016.927977111474</v>
      </c>
      <c r="F218" s="1033">
        <f>F215*'Premissas Gerais'!$G$167</f>
        <v>1000.5642659037162</v>
      </c>
      <c r="G218" s="1027">
        <f>G215*'Premissas Gerais'!$G$167</f>
        <v>1000.5642659037162</v>
      </c>
      <c r="H218" s="1027">
        <f>H215*'Premissas Gerais'!$G$167</f>
        <v>1000.5642659037162</v>
      </c>
      <c r="I218" s="1027">
        <f>I215*'Premissas Gerais'!$G$167</f>
        <v>1000.5642659037162</v>
      </c>
      <c r="J218" s="1027">
        <f>J215*'Premissas Gerais'!$G$167</f>
        <v>1000.5642659037162</v>
      </c>
      <c r="K218" s="1027">
        <f>K215*'Premissas Gerais'!$G$167</f>
        <v>1000.5642659037162</v>
      </c>
      <c r="L218" s="1027">
        <f>L215*'Premissas Gerais'!$G$167</f>
        <v>1000.5642659037162</v>
      </c>
      <c r="M218" s="1027">
        <f>M215*'Premissas Gerais'!$G$167</f>
        <v>1000.5642659037162</v>
      </c>
      <c r="N218" s="1027">
        <f>N215*'Premissas Gerais'!$G$167</f>
        <v>1000.5642659037162</v>
      </c>
      <c r="O218" s="1027">
        <f>O215*'Premissas Gerais'!$G$167</f>
        <v>1000.5642659037162</v>
      </c>
      <c r="P218" s="1027">
        <f>P215*'Premissas Gerais'!$G$167</f>
        <v>1000.5642659037162</v>
      </c>
      <c r="Q218" s="1027">
        <f>Q215*'Premissas Gerais'!$G$167</f>
        <v>1000.5642659037162</v>
      </c>
      <c r="R218" s="1027">
        <f>R215*'Premissas Gerais'!$G$167</f>
        <v>1000.5642659037162</v>
      </c>
      <c r="S218" s="1027">
        <f>S215*'Premissas Gerais'!$G$167</f>
        <v>1000.5642659037162</v>
      </c>
      <c r="T218" s="1027">
        <f>T215*'Premissas Gerais'!$G$167</f>
        <v>1000.5642659037162</v>
      </c>
      <c r="U218" s="1027">
        <f>U215*'Premissas Gerais'!$G$167</f>
        <v>1000.5642659037162</v>
      </c>
      <c r="V218" s="1027">
        <f>V215*'Premissas Gerais'!$G$167</f>
        <v>1000.5642659037162</v>
      </c>
      <c r="W218" s="1027">
        <f>W215*'Premissas Gerais'!$G$167</f>
        <v>1000.5642659037162</v>
      </c>
      <c r="X218" s="1027">
        <f>X215*'Premissas Gerais'!$G$167</f>
        <v>1000.5642659037162</v>
      </c>
      <c r="Y218" s="1027">
        <f>Y215*'Premissas Gerais'!$G$167</f>
        <v>1000.5642659037162</v>
      </c>
      <c r="Z218" s="1027">
        <f>Z215*'Premissas Gerais'!$G$167</f>
        <v>1000.5642659037162</v>
      </c>
      <c r="AA218" s="1027">
        <f>AA215*'Premissas Gerais'!$G$167</f>
        <v>1000.5642659037162</v>
      </c>
      <c r="AB218" s="1027">
        <f>AB215*'Premissas Gerais'!$G$167</f>
        <v>1000.5642659037162</v>
      </c>
      <c r="AC218" s="1027">
        <f>AC215*'Premissas Gerais'!$G$167</f>
        <v>1000.5642659037162</v>
      </c>
      <c r="AD218" s="1027">
        <f>AD215*'Premissas Gerais'!$G$167</f>
        <v>1000.5642659037162</v>
      </c>
      <c r="AE218" s="1027">
        <f>AE215*'Premissas Gerais'!$G$167</f>
        <v>1000.5642659037162</v>
      </c>
      <c r="AF218" s="1027">
        <f>AF215*'Premissas Gerais'!$G$167</f>
        <v>1000.5642659037162</v>
      </c>
      <c r="AG218" s="1027">
        <f>AG215*'Premissas Gerais'!$G$167</f>
        <v>1000.5642659037162</v>
      </c>
      <c r="AH218" s="1027">
        <f>AH215*'Premissas Gerais'!$G$167</f>
        <v>1000.5642659037162</v>
      </c>
      <c r="AI218" s="1027">
        <f>AI215*'Premissas Gerais'!$G$167</f>
        <v>1000.5642659037162</v>
      </c>
    </row>
    <row r="219" spans="3:35" s="77" customFormat="1" hidden="1" outlineLevel="1" x14ac:dyDescent="0.35">
      <c r="C219" s="1024"/>
      <c r="D219" s="1025" t="s">
        <v>4</v>
      </c>
      <c r="E219" s="1026">
        <f t="shared" si="75"/>
        <v>80092.984933355576</v>
      </c>
      <c r="F219" s="1033">
        <f>F215*'Premissas Gerais'!$G$168</f>
        <v>2669.7661644451846</v>
      </c>
      <c r="G219" s="1027">
        <f>G215*'Premissas Gerais'!$G$168</f>
        <v>2669.7661644451846</v>
      </c>
      <c r="H219" s="1027">
        <f>H215*'Premissas Gerais'!$G$168</f>
        <v>2669.7661644451846</v>
      </c>
      <c r="I219" s="1027">
        <f>I215*'Premissas Gerais'!$G$168</f>
        <v>2669.7661644451846</v>
      </c>
      <c r="J219" s="1027">
        <f>J215*'Premissas Gerais'!$G$168</f>
        <v>2669.7661644451846</v>
      </c>
      <c r="K219" s="1027">
        <f>K215*'Premissas Gerais'!$G$168</f>
        <v>2669.7661644451846</v>
      </c>
      <c r="L219" s="1027">
        <f>L215*'Premissas Gerais'!$G$168</f>
        <v>2669.7661644451846</v>
      </c>
      <c r="M219" s="1027">
        <f>M215*'Premissas Gerais'!$G$168</f>
        <v>2669.7661644451846</v>
      </c>
      <c r="N219" s="1027">
        <f>N215*'Premissas Gerais'!$G$168</f>
        <v>2669.7661644451846</v>
      </c>
      <c r="O219" s="1027">
        <f>O215*'Premissas Gerais'!$G$168</f>
        <v>2669.7661644451846</v>
      </c>
      <c r="P219" s="1027">
        <f>P215*'Premissas Gerais'!$G$168</f>
        <v>2669.7661644451846</v>
      </c>
      <c r="Q219" s="1027">
        <f>Q215*'Premissas Gerais'!$G$168</f>
        <v>2669.7661644451846</v>
      </c>
      <c r="R219" s="1027">
        <f>R215*'Premissas Gerais'!$G$168</f>
        <v>2669.7661644451846</v>
      </c>
      <c r="S219" s="1027">
        <f>S215*'Premissas Gerais'!$G$168</f>
        <v>2669.7661644451846</v>
      </c>
      <c r="T219" s="1027">
        <f>T215*'Premissas Gerais'!$G$168</f>
        <v>2669.7661644451846</v>
      </c>
      <c r="U219" s="1027">
        <f>U215*'Premissas Gerais'!$G$168</f>
        <v>2669.7661644451846</v>
      </c>
      <c r="V219" s="1027">
        <f>V215*'Premissas Gerais'!$G$168</f>
        <v>2669.7661644451846</v>
      </c>
      <c r="W219" s="1027">
        <f>W215*'Premissas Gerais'!$G$168</f>
        <v>2669.7661644451846</v>
      </c>
      <c r="X219" s="1027">
        <f>X215*'Premissas Gerais'!$G$168</f>
        <v>2669.7661644451846</v>
      </c>
      <c r="Y219" s="1027">
        <f>Y215*'Premissas Gerais'!$G$168</f>
        <v>2669.7661644451846</v>
      </c>
      <c r="Z219" s="1027">
        <f>Z215*'Premissas Gerais'!$G$168</f>
        <v>2669.7661644451846</v>
      </c>
      <c r="AA219" s="1027">
        <f>AA215*'Premissas Gerais'!$G$168</f>
        <v>2669.7661644451846</v>
      </c>
      <c r="AB219" s="1027">
        <f>AB215*'Premissas Gerais'!$G$168</f>
        <v>2669.7661644451846</v>
      </c>
      <c r="AC219" s="1027">
        <f>AC215*'Premissas Gerais'!$G$168</f>
        <v>2669.7661644451846</v>
      </c>
      <c r="AD219" s="1027">
        <f>AD215*'Premissas Gerais'!$G$168</f>
        <v>2669.7661644451846</v>
      </c>
      <c r="AE219" s="1027">
        <f>AE215*'Premissas Gerais'!$G$168</f>
        <v>2669.7661644451846</v>
      </c>
      <c r="AF219" s="1027">
        <f>AF215*'Premissas Gerais'!$G$168</f>
        <v>2669.7661644451846</v>
      </c>
      <c r="AG219" s="1027">
        <f>AG215*'Premissas Gerais'!$G$168</f>
        <v>2669.7661644451846</v>
      </c>
      <c r="AH219" s="1027">
        <f>AH215*'Premissas Gerais'!$G$168</f>
        <v>2669.7661644451846</v>
      </c>
      <c r="AI219" s="1027">
        <f>AI215*'Premissas Gerais'!$G$168</f>
        <v>2669.7661644451846</v>
      </c>
    </row>
    <row r="220" spans="3:35" s="77" customFormat="1" hidden="1" outlineLevel="1" x14ac:dyDescent="0.35">
      <c r="C220" s="1024"/>
      <c r="D220" s="1025" t="s">
        <v>5</v>
      </c>
      <c r="E220" s="1026">
        <f t="shared" si="75"/>
        <v>173947.25912691443</v>
      </c>
      <c r="F220" s="1033">
        <f>F215*'Premissas Gerais'!$G$169</f>
        <v>5798.2419708971465</v>
      </c>
      <c r="G220" s="1027">
        <f>G215*'Premissas Gerais'!$G$169</f>
        <v>5798.2419708971465</v>
      </c>
      <c r="H220" s="1027">
        <f>H215*'Premissas Gerais'!$G$169</f>
        <v>5798.2419708971465</v>
      </c>
      <c r="I220" s="1027">
        <f>I215*'Premissas Gerais'!$G$169</f>
        <v>5798.2419708971465</v>
      </c>
      <c r="J220" s="1027">
        <f>J215*'Premissas Gerais'!$G$169</f>
        <v>5798.2419708971465</v>
      </c>
      <c r="K220" s="1027">
        <f>K215*'Premissas Gerais'!$G$169</f>
        <v>5798.2419708971465</v>
      </c>
      <c r="L220" s="1027">
        <f>L215*'Premissas Gerais'!$G$169</f>
        <v>5798.2419708971465</v>
      </c>
      <c r="M220" s="1027">
        <f>M215*'Premissas Gerais'!$G$169</f>
        <v>5798.2419708971465</v>
      </c>
      <c r="N220" s="1027">
        <f>N215*'Premissas Gerais'!$G$169</f>
        <v>5798.2419708971465</v>
      </c>
      <c r="O220" s="1027">
        <f>O215*'Premissas Gerais'!$G$169</f>
        <v>5798.2419708971465</v>
      </c>
      <c r="P220" s="1027">
        <f>P215*'Premissas Gerais'!$G$169</f>
        <v>5798.2419708971465</v>
      </c>
      <c r="Q220" s="1027">
        <f>Q215*'Premissas Gerais'!$G$169</f>
        <v>5798.2419708971465</v>
      </c>
      <c r="R220" s="1027">
        <f>R215*'Premissas Gerais'!$G$169</f>
        <v>5798.2419708971465</v>
      </c>
      <c r="S220" s="1027">
        <f>S215*'Premissas Gerais'!$G$169</f>
        <v>5798.2419708971465</v>
      </c>
      <c r="T220" s="1027">
        <f>T215*'Premissas Gerais'!$G$169</f>
        <v>5798.2419708971465</v>
      </c>
      <c r="U220" s="1027">
        <f>U215*'Premissas Gerais'!$G$169</f>
        <v>5798.2419708971465</v>
      </c>
      <c r="V220" s="1027">
        <f>V215*'Premissas Gerais'!$G$169</f>
        <v>5798.2419708971465</v>
      </c>
      <c r="W220" s="1027">
        <f>W215*'Premissas Gerais'!$G$169</f>
        <v>5798.2419708971465</v>
      </c>
      <c r="X220" s="1027">
        <f>X215*'Premissas Gerais'!$G$169</f>
        <v>5798.2419708971465</v>
      </c>
      <c r="Y220" s="1027">
        <f>Y215*'Premissas Gerais'!$G$169</f>
        <v>5798.2419708971465</v>
      </c>
      <c r="Z220" s="1027">
        <f>Z215*'Premissas Gerais'!$G$169</f>
        <v>5798.2419708971465</v>
      </c>
      <c r="AA220" s="1027">
        <f>AA215*'Premissas Gerais'!$G$169</f>
        <v>5798.2419708971465</v>
      </c>
      <c r="AB220" s="1027">
        <f>AB215*'Premissas Gerais'!$G$169</f>
        <v>5798.2419708971465</v>
      </c>
      <c r="AC220" s="1027">
        <f>AC215*'Premissas Gerais'!$G$169</f>
        <v>5798.2419708971465</v>
      </c>
      <c r="AD220" s="1027">
        <f>AD215*'Premissas Gerais'!$G$169</f>
        <v>5798.2419708971465</v>
      </c>
      <c r="AE220" s="1027">
        <f>AE215*'Premissas Gerais'!$G$169</f>
        <v>5798.2419708971465</v>
      </c>
      <c r="AF220" s="1027">
        <f>AF215*'Premissas Gerais'!$G$169</f>
        <v>5798.2419708971465</v>
      </c>
      <c r="AG220" s="1027">
        <f>AG215*'Premissas Gerais'!$G$169</f>
        <v>5798.2419708971465</v>
      </c>
      <c r="AH220" s="1027">
        <f>AH215*'Premissas Gerais'!$G$169</f>
        <v>5798.2419708971465</v>
      </c>
      <c r="AI220" s="1027">
        <f>AI215*'Premissas Gerais'!$G$169</f>
        <v>5798.2419708971465</v>
      </c>
    </row>
    <row r="221" spans="3:35" s="77" customFormat="1" hidden="1" outlineLevel="1" x14ac:dyDescent="0.35">
      <c r="C221" s="1024"/>
      <c r="D221" s="1025" t="s">
        <v>6</v>
      </c>
      <c r="E221" s="1026">
        <f t="shared" si="75"/>
        <v>1925565.7363898256</v>
      </c>
      <c r="F221" s="1033">
        <f>F215*'Premissas Gerais'!$G$170</f>
        <v>64185.524546327499</v>
      </c>
      <c r="G221" s="1027">
        <f>G215*'Premissas Gerais'!$G$170</f>
        <v>64185.524546327499</v>
      </c>
      <c r="H221" s="1027">
        <f>H215*'Premissas Gerais'!$G$170</f>
        <v>64185.524546327499</v>
      </c>
      <c r="I221" s="1027">
        <f>I215*'Premissas Gerais'!$G$170</f>
        <v>64185.524546327499</v>
      </c>
      <c r="J221" s="1027">
        <f>J215*'Premissas Gerais'!$G$170</f>
        <v>64185.524546327499</v>
      </c>
      <c r="K221" s="1027">
        <f>K215*'Premissas Gerais'!$G$170</f>
        <v>64185.524546327499</v>
      </c>
      <c r="L221" s="1027">
        <f>L215*'Premissas Gerais'!$G$170</f>
        <v>64185.524546327499</v>
      </c>
      <c r="M221" s="1027">
        <f>M215*'Premissas Gerais'!$G$170</f>
        <v>64185.524546327499</v>
      </c>
      <c r="N221" s="1027">
        <f>N215*'Premissas Gerais'!$G$170</f>
        <v>64185.524546327499</v>
      </c>
      <c r="O221" s="1027">
        <f>O215*'Premissas Gerais'!$G$170</f>
        <v>64185.524546327499</v>
      </c>
      <c r="P221" s="1027">
        <f>P215*'Premissas Gerais'!$G$170</f>
        <v>64185.524546327499</v>
      </c>
      <c r="Q221" s="1027">
        <f>Q215*'Premissas Gerais'!$G$170</f>
        <v>64185.524546327499</v>
      </c>
      <c r="R221" s="1027">
        <f>R215*'Premissas Gerais'!$G$170</f>
        <v>64185.524546327499</v>
      </c>
      <c r="S221" s="1027">
        <f>S215*'Premissas Gerais'!$G$170</f>
        <v>64185.524546327499</v>
      </c>
      <c r="T221" s="1027">
        <f>T215*'Premissas Gerais'!$G$170</f>
        <v>64185.524546327499</v>
      </c>
      <c r="U221" s="1027">
        <f>U215*'Premissas Gerais'!$G$170</f>
        <v>64185.524546327499</v>
      </c>
      <c r="V221" s="1027">
        <f>V215*'Premissas Gerais'!$G$170</f>
        <v>64185.524546327499</v>
      </c>
      <c r="W221" s="1027">
        <f>W215*'Premissas Gerais'!$G$170</f>
        <v>64185.524546327499</v>
      </c>
      <c r="X221" s="1027">
        <f>X215*'Premissas Gerais'!$G$170</f>
        <v>64185.524546327499</v>
      </c>
      <c r="Y221" s="1027">
        <f>Y215*'Premissas Gerais'!$G$170</f>
        <v>64185.524546327499</v>
      </c>
      <c r="Z221" s="1027">
        <f>Z215*'Premissas Gerais'!$G$170</f>
        <v>64185.524546327499</v>
      </c>
      <c r="AA221" s="1027">
        <f>AA215*'Premissas Gerais'!$G$170</f>
        <v>64185.524546327499</v>
      </c>
      <c r="AB221" s="1027">
        <f>AB215*'Premissas Gerais'!$G$170</f>
        <v>64185.524546327499</v>
      </c>
      <c r="AC221" s="1027">
        <f>AC215*'Premissas Gerais'!$G$170</f>
        <v>64185.524546327499</v>
      </c>
      <c r="AD221" s="1027">
        <f>AD215*'Premissas Gerais'!$G$170</f>
        <v>64185.524546327499</v>
      </c>
      <c r="AE221" s="1027">
        <f>AE215*'Premissas Gerais'!$G$170</f>
        <v>64185.524546327499</v>
      </c>
      <c r="AF221" s="1027">
        <f>AF215*'Premissas Gerais'!$G$170</f>
        <v>64185.524546327499</v>
      </c>
      <c r="AG221" s="1027">
        <f>AG215*'Premissas Gerais'!$G$170</f>
        <v>64185.524546327499</v>
      </c>
      <c r="AH221" s="1027">
        <f>AH215*'Premissas Gerais'!$G$170</f>
        <v>64185.524546327499</v>
      </c>
      <c r="AI221" s="1027">
        <f>AI215*'Premissas Gerais'!$G$170</f>
        <v>64185.524546327499</v>
      </c>
    </row>
    <row r="222" spans="3:35" s="77" customFormat="1" hidden="1" outlineLevel="1" x14ac:dyDescent="0.35">
      <c r="C222" s="1024"/>
      <c r="D222" s="1025" t="s">
        <v>7</v>
      </c>
      <c r="E222" s="1026">
        <f t="shared" si="75"/>
        <v>157233.07795695672</v>
      </c>
      <c r="F222" s="1033">
        <f>F215*'Premissas Gerais'!$G$171</f>
        <v>5241.1025985652268</v>
      </c>
      <c r="G222" s="1027">
        <f>G215*'Premissas Gerais'!$G$171</f>
        <v>5241.1025985652268</v>
      </c>
      <c r="H222" s="1027">
        <f>H215*'Premissas Gerais'!$G$171</f>
        <v>5241.1025985652268</v>
      </c>
      <c r="I222" s="1027">
        <f>I215*'Premissas Gerais'!$G$171</f>
        <v>5241.1025985652268</v>
      </c>
      <c r="J222" s="1027">
        <f>J215*'Premissas Gerais'!$G$171</f>
        <v>5241.1025985652268</v>
      </c>
      <c r="K222" s="1027">
        <f>K215*'Premissas Gerais'!$G$171</f>
        <v>5241.1025985652268</v>
      </c>
      <c r="L222" s="1027">
        <f>L215*'Premissas Gerais'!$G$171</f>
        <v>5241.1025985652268</v>
      </c>
      <c r="M222" s="1027">
        <f>M215*'Premissas Gerais'!$G$171</f>
        <v>5241.1025985652268</v>
      </c>
      <c r="N222" s="1027">
        <f>N215*'Premissas Gerais'!$G$171</f>
        <v>5241.1025985652268</v>
      </c>
      <c r="O222" s="1027">
        <f>O215*'Premissas Gerais'!$G$171</f>
        <v>5241.1025985652268</v>
      </c>
      <c r="P222" s="1027">
        <f>P215*'Premissas Gerais'!$G$171</f>
        <v>5241.1025985652268</v>
      </c>
      <c r="Q222" s="1027">
        <f>Q215*'Premissas Gerais'!$G$171</f>
        <v>5241.1025985652268</v>
      </c>
      <c r="R222" s="1027">
        <f>R215*'Premissas Gerais'!$G$171</f>
        <v>5241.1025985652268</v>
      </c>
      <c r="S222" s="1027">
        <f>S215*'Premissas Gerais'!$G$171</f>
        <v>5241.1025985652268</v>
      </c>
      <c r="T222" s="1027">
        <f>T215*'Premissas Gerais'!$G$171</f>
        <v>5241.1025985652268</v>
      </c>
      <c r="U222" s="1027">
        <f>U215*'Premissas Gerais'!$G$171</f>
        <v>5241.1025985652268</v>
      </c>
      <c r="V222" s="1027">
        <f>V215*'Premissas Gerais'!$G$171</f>
        <v>5241.1025985652268</v>
      </c>
      <c r="W222" s="1027">
        <f>W215*'Premissas Gerais'!$G$171</f>
        <v>5241.1025985652268</v>
      </c>
      <c r="X222" s="1027">
        <f>X215*'Premissas Gerais'!$G$171</f>
        <v>5241.1025985652268</v>
      </c>
      <c r="Y222" s="1027">
        <f>Y215*'Premissas Gerais'!$G$171</f>
        <v>5241.1025985652268</v>
      </c>
      <c r="Z222" s="1027">
        <f>Z215*'Premissas Gerais'!$G$171</f>
        <v>5241.1025985652268</v>
      </c>
      <c r="AA222" s="1027">
        <f>AA215*'Premissas Gerais'!$G$171</f>
        <v>5241.1025985652268</v>
      </c>
      <c r="AB222" s="1027">
        <f>AB215*'Premissas Gerais'!$G$171</f>
        <v>5241.1025985652268</v>
      </c>
      <c r="AC222" s="1027">
        <f>AC215*'Premissas Gerais'!$G$171</f>
        <v>5241.1025985652268</v>
      </c>
      <c r="AD222" s="1027">
        <f>AD215*'Premissas Gerais'!$G$171</f>
        <v>5241.1025985652268</v>
      </c>
      <c r="AE222" s="1027">
        <f>AE215*'Premissas Gerais'!$G$171</f>
        <v>5241.1025985652268</v>
      </c>
      <c r="AF222" s="1027">
        <f>AF215*'Premissas Gerais'!$G$171</f>
        <v>5241.1025985652268</v>
      </c>
      <c r="AG222" s="1027">
        <f>AG215*'Premissas Gerais'!$G$171</f>
        <v>5241.1025985652268</v>
      </c>
      <c r="AH222" s="1027">
        <f>AH215*'Premissas Gerais'!$G$171</f>
        <v>5241.1025985652268</v>
      </c>
      <c r="AI222" s="1027">
        <f>AI215*'Premissas Gerais'!$G$171</f>
        <v>5241.1025985652268</v>
      </c>
    </row>
    <row r="223" spans="3:35" s="77" customFormat="1" hidden="1" outlineLevel="1" x14ac:dyDescent="0.35">
      <c r="C223" s="1024"/>
      <c r="D223" s="1025" t="s">
        <v>8</v>
      </c>
      <c r="E223" s="1026">
        <f t="shared" si="75"/>
        <v>143247.54008825167</v>
      </c>
      <c r="F223" s="1033">
        <f>F215*'Premissas Gerais'!$G$172</f>
        <v>4774.918002941723</v>
      </c>
      <c r="G223" s="1027">
        <f>G215*'Premissas Gerais'!$G$172</f>
        <v>4774.918002941723</v>
      </c>
      <c r="H223" s="1027">
        <f>H215*'Premissas Gerais'!$G$172</f>
        <v>4774.918002941723</v>
      </c>
      <c r="I223" s="1027">
        <f>I215*'Premissas Gerais'!$G$172</f>
        <v>4774.918002941723</v>
      </c>
      <c r="J223" s="1027">
        <f>J215*'Premissas Gerais'!$G$172</f>
        <v>4774.918002941723</v>
      </c>
      <c r="K223" s="1027">
        <f>K215*'Premissas Gerais'!$G$172</f>
        <v>4774.918002941723</v>
      </c>
      <c r="L223" s="1027">
        <f>L215*'Premissas Gerais'!$G$172</f>
        <v>4774.918002941723</v>
      </c>
      <c r="M223" s="1027">
        <f>M215*'Premissas Gerais'!$G$172</f>
        <v>4774.918002941723</v>
      </c>
      <c r="N223" s="1027">
        <f>N215*'Premissas Gerais'!$G$172</f>
        <v>4774.918002941723</v>
      </c>
      <c r="O223" s="1027">
        <f>O215*'Premissas Gerais'!$G$172</f>
        <v>4774.918002941723</v>
      </c>
      <c r="P223" s="1027">
        <f>P215*'Premissas Gerais'!$G$172</f>
        <v>4774.918002941723</v>
      </c>
      <c r="Q223" s="1027">
        <f>Q215*'Premissas Gerais'!$G$172</f>
        <v>4774.918002941723</v>
      </c>
      <c r="R223" s="1027">
        <f>R215*'Premissas Gerais'!$G$172</f>
        <v>4774.918002941723</v>
      </c>
      <c r="S223" s="1027">
        <f>S215*'Premissas Gerais'!$G$172</f>
        <v>4774.918002941723</v>
      </c>
      <c r="T223" s="1027">
        <f>T215*'Premissas Gerais'!$G$172</f>
        <v>4774.918002941723</v>
      </c>
      <c r="U223" s="1027">
        <f>U215*'Premissas Gerais'!$G$172</f>
        <v>4774.918002941723</v>
      </c>
      <c r="V223" s="1027">
        <f>V215*'Premissas Gerais'!$G$172</f>
        <v>4774.918002941723</v>
      </c>
      <c r="W223" s="1027">
        <f>W215*'Premissas Gerais'!$G$172</f>
        <v>4774.918002941723</v>
      </c>
      <c r="X223" s="1027">
        <f>X215*'Premissas Gerais'!$G$172</f>
        <v>4774.918002941723</v>
      </c>
      <c r="Y223" s="1027">
        <f>Y215*'Premissas Gerais'!$G$172</f>
        <v>4774.918002941723</v>
      </c>
      <c r="Z223" s="1027">
        <f>Z215*'Premissas Gerais'!$G$172</f>
        <v>4774.918002941723</v>
      </c>
      <c r="AA223" s="1027">
        <f>AA215*'Premissas Gerais'!$G$172</f>
        <v>4774.918002941723</v>
      </c>
      <c r="AB223" s="1027">
        <f>AB215*'Premissas Gerais'!$G$172</f>
        <v>4774.918002941723</v>
      </c>
      <c r="AC223" s="1027">
        <f>AC215*'Premissas Gerais'!$G$172</f>
        <v>4774.918002941723</v>
      </c>
      <c r="AD223" s="1027">
        <f>AD215*'Premissas Gerais'!$G$172</f>
        <v>4774.918002941723</v>
      </c>
      <c r="AE223" s="1027">
        <f>AE215*'Premissas Gerais'!$G$172</f>
        <v>4774.918002941723</v>
      </c>
      <c r="AF223" s="1027">
        <f>AF215*'Premissas Gerais'!$G$172</f>
        <v>4774.918002941723</v>
      </c>
      <c r="AG223" s="1027">
        <f>AG215*'Premissas Gerais'!$G$172</f>
        <v>4774.918002941723</v>
      </c>
      <c r="AH223" s="1027">
        <f>AH215*'Premissas Gerais'!$G$172</f>
        <v>4774.918002941723</v>
      </c>
      <c r="AI223" s="1027">
        <f>AI215*'Premissas Gerais'!$G$172</f>
        <v>4774.918002941723</v>
      </c>
    </row>
    <row r="224" spans="3:35" s="77" customFormat="1" hidden="1" outlineLevel="1" x14ac:dyDescent="0.35">
      <c r="C224" s="1024"/>
      <c r="D224" s="1025" t="s">
        <v>9</v>
      </c>
      <c r="E224" s="1026">
        <f t="shared" si="75"/>
        <v>117539.5037663519</v>
      </c>
      <c r="F224" s="1033">
        <f>F215*'Premissas Gerais'!$G$173</f>
        <v>3917.9834588783951</v>
      </c>
      <c r="G224" s="1027">
        <f>G215*'Premissas Gerais'!$G$173</f>
        <v>3917.9834588783951</v>
      </c>
      <c r="H224" s="1027">
        <f>H215*'Premissas Gerais'!$G$173</f>
        <v>3917.9834588783951</v>
      </c>
      <c r="I224" s="1027">
        <f>I215*'Premissas Gerais'!$G$173</f>
        <v>3917.9834588783951</v>
      </c>
      <c r="J224" s="1027">
        <f>J215*'Premissas Gerais'!$G$173</f>
        <v>3917.9834588783951</v>
      </c>
      <c r="K224" s="1027">
        <f>K215*'Premissas Gerais'!$G$173</f>
        <v>3917.9834588783951</v>
      </c>
      <c r="L224" s="1027">
        <f>L215*'Premissas Gerais'!$G$173</f>
        <v>3917.9834588783951</v>
      </c>
      <c r="M224" s="1027">
        <f>M215*'Premissas Gerais'!$G$173</f>
        <v>3917.9834588783951</v>
      </c>
      <c r="N224" s="1027">
        <f>N215*'Premissas Gerais'!$G$173</f>
        <v>3917.9834588783951</v>
      </c>
      <c r="O224" s="1027">
        <f>O215*'Premissas Gerais'!$G$173</f>
        <v>3917.9834588783951</v>
      </c>
      <c r="P224" s="1027">
        <f>P215*'Premissas Gerais'!$G$173</f>
        <v>3917.9834588783951</v>
      </c>
      <c r="Q224" s="1027">
        <f>Q215*'Premissas Gerais'!$G$173</f>
        <v>3917.9834588783951</v>
      </c>
      <c r="R224" s="1027">
        <f>R215*'Premissas Gerais'!$G$173</f>
        <v>3917.9834588783951</v>
      </c>
      <c r="S224" s="1027">
        <f>S215*'Premissas Gerais'!$G$173</f>
        <v>3917.9834588783951</v>
      </c>
      <c r="T224" s="1027">
        <f>T215*'Premissas Gerais'!$G$173</f>
        <v>3917.9834588783951</v>
      </c>
      <c r="U224" s="1027">
        <f>U215*'Premissas Gerais'!$G$173</f>
        <v>3917.9834588783951</v>
      </c>
      <c r="V224" s="1027">
        <f>V215*'Premissas Gerais'!$G$173</f>
        <v>3917.9834588783951</v>
      </c>
      <c r="W224" s="1027">
        <f>W215*'Premissas Gerais'!$G$173</f>
        <v>3917.9834588783951</v>
      </c>
      <c r="X224" s="1027">
        <f>X215*'Premissas Gerais'!$G$173</f>
        <v>3917.9834588783951</v>
      </c>
      <c r="Y224" s="1027">
        <f>Y215*'Premissas Gerais'!$G$173</f>
        <v>3917.9834588783951</v>
      </c>
      <c r="Z224" s="1027">
        <f>Z215*'Premissas Gerais'!$G$173</f>
        <v>3917.9834588783951</v>
      </c>
      <c r="AA224" s="1027">
        <f>AA215*'Premissas Gerais'!$G$173</f>
        <v>3917.9834588783951</v>
      </c>
      <c r="AB224" s="1027">
        <f>AB215*'Premissas Gerais'!$G$173</f>
        <v>3917.9834588783951</v>
      </c>
      <c r="AC224" s="1027">
        <f>AC215*'Premissas Gerais'!$G$173</f>
        <v>3917.9834588783951</v>
      </c>
      <c r="AD224" s="1027">
        <f>AD215*'Premissas Gerais'!$G$173</f>
        <v>3917.9834588783951</v>
      </c>
      <c r="AE224" s="1027">
        <f>AE215*'Premissas Gerais'!$G$173</f>
        <v>3917.9834588783951</v>
      </c>
      <c r="AF224" s="1027">
        <f>AF215*'Premissas Gerais'!$G$173</f>
        <v>3917.9834588783951</v>
      </c>
      <c r="AG224" s="1027">
        <f>AG215*'Premissas Gerais'!$G$173</f>
        <v>3917.9834588783951</v>
      </c>
      <c r="AH224" s="1027">
        <f>AH215*'Premissas Gerais'!$G$173</f>
        <v>3917.9834588783951</v>
      </c>
      <c r="AI224" s="1027">
        <f>AI215*'Premissas Gerais'!$G$173</f>
        <v>3917.9834588783951</v>
      </c>
    </row>
    <row r="225" spans="3:35" collapsed="1" x14ac:dyDescent="0.35">
      <c r="D225" t="s">
        <v>470</v>
      </c>
      <c r="E225" s="486">
        <f t="shared" si="75"/>
        <v>3781333.9858096046</v>
      </c>
      <c r="F225" s="477">
        <f>Seguros!G11</f>
        <v>369869.44814122538</v>
      </c>
      <c r="G225" s="477">
        <f>Seguros!H11</f>
        <v>231713.38543693788</v>
      </c>
      <c r="H225" s="477">
        <f>Seguros!I11</f>
        <v>216160.55917855888</v>
      </c>
      <c r="I225" s="477">
        <f>Seguros!J11</f>
        <v>204356.42310808835</v>
      </c>
      <c r="J225" s="477">
        <f>Seguros!K11</f>
        <v>190998.7141720264</v>
      </c>
      <c r="K225" s="477">
        <f>Seguros!L11</f>
        <v>185610.56821637301</v>
      </c>
      <c r="L225" s="477">
        <f>Seguros!M11</f>
        <v>190765.09501678345</v>
      </c>
      <c r="M225" s="477">
        <f>Seguros!N11</f>
        <v>174008.71792297543</v>
      </c>
      <c r="N225" s="477">
        <f>Seguros!O11</f>
        <v>216790.76685494883</v>
      </c>
      <c r="O225" s="477">
        <f>Seguros!P11</f>
        <v>166994.15224770369</v>
      </c>
      <c r="P225" s="477">
        <f>Seguros!Q11</f>
        <v>159560.31545012005</v>
      </c>
      <c r="Q225" s="477">
        <f>Seguros!R11</f>
        <v>94721.525954115961</v>
      </c>
      <c r="R225" s="477">
        <f>Seguros!S11</f>
        <v>91817.387948430362</v>
      </c>
      <c r="S225" s="477">
        <f>Seguros!T11</f>
        <v>89468.907561063214</v>
      </c>
      <c r="T225" s="477">
        <f>Seguros!U11</f>
        <v>97567.54315201455</v>
      </c>
      <c r="U225" s="477">
        <f>Seguros!V11</f>
        <v>83847.884271284347</v>
      </c>
      <c r="V225" s="477">
        <f>Seguros!W11</f>
        <v>128916.01500887118</v>
      </c>
      <c r="W225" s="477">
        <f>Seguros!X11</f>
        <v>85172.32199921523</v>
      </c>
      <c r="X225" s="477">
        <f>Seguros!Y11</f>
        <v>74256.188121316576</v>
      </c>
      <c r="Y225" s="477">
        <f>Seguros!Z11</f>
        <v>76050.723981175179</v>
      </c>
      <c r="Z225" s="477">
        <f>Seguros!AA11</f>
        <v>92480.485071791045</v>
      </c>
      <c r="AA225" s="477">
        <f>Seguros!AB11</f>
        <v>65421.680277204257</v>
      </c>
      <c r="AB225" s="477">
        <f>Seguros!AC11</f>
        <v>73806.920843374726</v>
      </c>
      <c r="AC225" s="477">
        <f>Seguros!AD11</f>
        <v>68336.719302302459</v>
      </c>
      <c r="AD225" s="477">
        <f>Seguros!AE11</f>
        <v>105588.16053298747</v>
      </c>
      <c r="AE225" s="477">
        <f>Seguros!AF11</f>
        <v>54103.921916429725</v>
      </c>
      <c r="AF225" s="477">
        <f>Seguros!AG11</f>
        <v>50635.228965629256</v>
      </c>
      <c r="AG225" s="477">
        <f>Seguros!AH11</f>
        <v>47668.594050586049</v>
      </c>
      <c r="AH225" s="477">
        <f>Seguros!AI11</f>
        <v>44698.844251300099</v>
      </c>
      <c r="AI225" s="477">
        <f>Seguros!AJ11</f>
        <v>49946.786854771417</v>
      </c>
    </row>
    <row r="226" spans="3:35" s="77" customFormat="1" hidden="1" outlineLevel="1" x14ac:dyDescent="0.35">
      <c r="C226" s="1020"/>
      <c r="D226" s="1021" t="s">
        <v>1</v>
      </c>
      <c r="E226" s="1022">
        <f t="shared" si="75"/>
        <v>25815.822776527366</v>
      </c>
      <c r="F226" s="1032">
        <f>F225*'Premissas Gerais'!$G$165</f>
        <v>2525.1628550926498</v>
      </c>
      <c r="G226" s="1023">
        <f>G225*'Premissas Gerais'!$G$165</f>
        <v>1581.9474597688602</v>
      </c>
      <c r="H226" s="1023">
        <f>H225*'Premissas Gerais'!$G$165</f>
        <v>1475.7656181576206</v>
      </c>
      <c r="I226" s="1023">
        <f>I225*'Premissas Gerais'!$G$165</f>
        <v>1395.1767344544435</v>
      </c>
      <c r="J226" s="1023">
        <f>J225*'Premissas Gerais'!$G$165</f>
        <v>1303.981339419805</v>
      </c>
      <c r="K226" s="1023">
        <f>K225*'Premissas Gerais'!$G$165</f>
        <v>1267.1955327158175</v>
      </c>
      <c r="L226" s="1023">
        <f>L225*'Premissas Gerais'!$G$165</f>
        <v>1302.3863809391241</v>
      </c>
      <c r="M226" s="1023">
        <f>M225*'Premissas Gerais'!$G$165</f>
        <v>1187.9876890875782</v>
      </c>
      <c r="N226" s="1023">
        <f>N225*'Premissas Gerais'!$G$165</f>
        <v>1480.0681552376946</v>
      </c>
      <c r="O226" s="1023">
        <f>O225*'Premissas Gerais'!$G$165</f>
        <v>1140.0980329485806</v>
      </c>
      <c r="P226" s="1023">
        <f>P225*'Premissas Gerais'!$G$165</f>
        <v>1089.3459401590414</v>
      </c>
      <c r="Q226" s="1023">
        <f>Q225*'Premissas Gerais'!$G$165</f>
        <v>646.6802817022625</v>
      </c>
      <c r="R226" s="1023">
        <f>R225*'Premissas Gerais'!$G$165</f>
        <v>626.85322798135053</v>
      </c>
      <c r="S226" s="1023">
        <f>S225*'Premissas Gerais'!$G$165</f>
        <v>610.81974516762875</v>
      </c>
      <c r="T226" s="1023">
        <f>T225*'Premissas Gerais'!$G$165</f>
        <v>666.11053459069342</v>
      </c>
      <c r="U226" s="1023">
        <f>U225*'Premissas Gerais'!$G$165</f>
        <v>572.4440445243556</v>
      </c>
      <c r="V226" s="1023">
        <f>V225*'Premissas Gerais'!$G$165</f>
        <v>880.13198755110773</v>
      </c>
      <c r="W226" s="1023">
        <f>W225*'Premissas Gerais'!$G$165</f>
        <v>581.48621054066689</v>
      </c>
      <c r="X226" s="1023">
        <f>X225*'Premissas Gerais'!$G$165</f>
        <v>506.95987177920432</v>
      </c>
      <c r="Y226" s="1023">
        <f>Y225*'Premissas Gerais'!$G$165</f>
        <v>519.21147925373259</v>
      </c>
      <c r="Z226" s="1023">
        <f>Z225*'Premissas Gerais'!$G$165</f>
        <v>631.38030701868115</v>
      </c>
      <c r="AA226" s="1023">
        <f>AA225*'Premissas Gerais'!$G$165</f>
        <v>446.64515488899201</v>
      </c>
      <c r="AB226" s="1023">
        <f>AB225*'Premissas Gerais'!$G$165</f>
        <v>503.89264617306509</v>
      </c>
      <c r="AC226" s="1023">
        <f>AC225*'Premissas Gerais'!$G$165</f>
        <v>466.54663175959007</v>
      </c>
      <c r="AD226" s="1023">
        <f>AD225*'Premissas Gerais'!$G$165</f>
        <v>720.8686801664536</v>
      </c>
      <c r="AE226" s="1023">
        <f>AE225*'Premissas Gerais'!$G$165</f>
        <v>369.37685614421468</v>
      </c>
      <c r="AF226" s="1023">
        <f>AF225*'Premissas Gerais'!$G$165</f>
        <v>345.69548792334274</v>
      </c>
      <c r="AG226" s="1023">
        <f>AG225*'Premissas Gerais'!$G$165</f>
        <v>325.44175696574359</v>
      </c>
      <c r="AH226" s="1023">
        <f>AH225*'Premissas Gerais'!$G$165</f>
        <v>305.16676015332132</v>
      </c>
      <c r="AI226" s="1023">
        <f>AI225*'Premissas Gerais'!$G$165</f>
        <v>340.99537426173526</v>
      </c>
    </row>
    <row r="227" spans="3:35" s="77" customFormat="1" hidden="1" outlineLevel="1" x14ac:dyDescent="0.35">
      <c r="C227" s="1024"/>
      <c r="D227" s="1025" t="s">
        <v>2</v>
      </c>
      <c r="E227" s="1026">
        <f t="shared" si="75"/>
        <v>326948.15170885983</v>
      </c>
      <c r="F227" s="1033">
        <f>F225*'Premissas Gerais'!$G$166</f>
        <v>31980.283386012048</v>
      </c>
      <c r="G227" s="1027">
        <f>G225*'Premissas Gerais'!$G$166</f>
        <v>20034.798137141861</v>
      </c>
      <c r="H227" s="1027">
        <f>H225*'Premissas Gerais'!$G$166</f>
        <v>18690.043133191233</v>
      </c>
      <c r="I227" s="1027">
        <f>I225*'Premissas Gerais'!$G$166</f>
        <v>17669.413777190584</v>
      </c>
      <c r="J227" s="1027">
        <f>J225*'Premissas Gerais'!$G$166</f>
        <v>16514.456753002913</v>
      </c>
      <c r="K227" s="1027">
        <f>K225*'Premissas Gerais'!$G$166</f>
        <v>16048.577682825708</v>
      </c>
      <c r="L227" s="1027">
        <f>L225*'Premissas Gerais'!$G$166</f>
        <v>16494.257174944716</v>
      </c>
      <c r="M227" s="1027">
        <f>M225*'Premissas Gerais'!$G$166</f>
        <v>15045.438704871322</v>
      </c>
      <c r="N227" s="1027">
        <f>N225*'Premissas Gerais'!$G$166</f>
        <v>18744.53322472022</v>
      </c>
      <c r="O227" s="1027">
        <f>O225*'Premissas Gerais'!$G$166</f>
        <v>14438.933357505271</v>
      </c>
      <c r="P227" s="1027">
        <f>P225*'Premissas Gerais'!$G$166</f>
        <v>13796.176274899963</v>
      </c>
      <c r="Q227" s="1027">
        <f>Q225*'Premissas Gerais'!$G$166</f>
        <v>8189.9742138515094</v>
      </c>
      <c r="R227" s="1027">
        <f>R225*'Premissas Gerais'!$G$166</f>
        <v>7938.8716778603466</v>
      </c>
      <c r="S227" s="1027">
        <f>S225*'Premissas Gerais'!$G$166</f>
        <v>7735.813359061829</v>
      </c>
      <c r="T227" s="1027">
        <f>T225*'Premissas Gerais'!$G$166</f>
        <v>8436.0514093799939</v>
      </c>
      <c r="U227" s="1027">
        <f>U225*'Premissas Gerais'!$G$166</f>
        <v>7249.7988514297622</v>
      </c>
      <c r="V227" s="1027">
        <f>V225*'Premissas Gerais'!$G$166</f>
        <v>11146.556477422018</v>
      </c>
      <c r="W227" s="1027">
        <f>W225*'Premissas Gerais'!$G$166</f>
        <v>7364.3146463385192</v>
      </c>
      <c r="X227" s="1027">
        <f>X225*'Premissas Gerais'!$G$166</f>
        <v>6420.4652512364128</v>
      </c>
      <c r="Y227" s="1027">
        <f>Y225*'Premissas Gerais'!$G$166</f>
        <v>6575.6274730231817</v>
      </c>
      <c r="Z227" s="1027">
        <f>Z225*'Premissas Gerais'!$G$166</f>
        <v>7996.2055128772554</v>
      </c>
      <c r="AA227" s="1027">
        <f>AA225*'Premissas Gerais'!$G$166</f>
        <v>5656.6009584419953</v>
      </c>
      <c r="AB227" s="1027">
        <f>AB225*'Premissas Gerais'!$G$166</f>
        <v>6381.6199372023739</v>
      </c>
      <c r="AC227" s="1027">
        <f>AC225*'Premissas Gerais'!$G$166</f>
        <v>5908.6460369755696</v>
      </c>
      <c r="AD227" s="1027">
        <f>AD225*'Premissas Gerais'!$G$166</f>
        <v>9129.5437160934398</v>
      </c>
      <c r="AE227" s="1027">
        <f>AE225*'Premissas Gerais'!$G$166</f>
        <v>4678.025621952519</v>
      </c>
      <c r="AF227" s="1027">
        <f>AF225*'Premissas Gerais'!$G$166</f>
        <v>4378.1095729164663</v>
      </c>
      <c r="AG227" s="1027">
        <f>AG225*'Premissas Gerais'!$G$166</f>
        <v>4121.6033225010651</v>
      </c>
      <c r="AH227" s="1027">
        <f>AH225*'Premissas Gerais'!$G$166</f>
        <v>3864.8277476488975</v>
      </c>
      <c r="AI227" s="1027">
        <f>AI225*'Premissas Gerais'!$G$166</f>
        <v>4318.5843163408235</v>
      </c>
    </row>
    <row r="228" spans="3:35" s="77" customFormat="1" hidden="1" outlineLevel="1" x14ac:dyDescent="0.35">
      <c r="C228" s="1024"/>
      <c r="D228" s="1025" t="s">
        <v>3</v>
      </c>
      <c r="E228" s="1026">
        <f t="shared" si="75"/>
        <v>39166.331921825673</v>
      </c>
      <c r="F228" s="1033">
        <f>F225*'Premissas Gerais'!$G$167</f>
        <v>3831.0367790852774</v>
      </c>
      <c r="G228" s="1027">
        <f>G225*'Premissas Gerais'!$G$167</f>
        <v>2400.0427888175423</v>
      </c>
      <c r="H228" s="1027">
        <f>H225*'Premissas Gerais'!$G$167</f>
        <v>2238.9495984661653</v>
      </c>
      <c r="I228" s="1027">
        <f>I225*'Premissas Gerais'!$G$167</f>
        <v>2116.6846218411351</v>
      </c>
      <c r="J228" s="1027">
        <f>J225*'Premissas Gerais'!$G$167</f>
        <v>1978.3280355495581</v>
      </c>
      <c r="K228" s="1027">
        <f>K225*'Premissas Gerais'!$G$167</f>
        <v>1922.5186535340258</v>
      </c>
      <c r="L228" s="1027">
        <f>L225*'Premissas Gerais'!$G$167</f>
        <v>1975.9082531627391</v>
      </c>
      <c r="M228" s="1027">
        <f>M225*'Premissas Gerais'!$G$167</f>
        <v>1802.3489141764878</v>
      </c>
      <c r="N228" s="1027">
        <f>N225*'Premissas Gerais'!$G$167</f>
        <v>2245.477168663826</v>
      </c>
      <c r="O228" s="1027">
        <f>O225*'Premissas Gerais'!$G$167</f>
        <v>1729.6933887571124</v>
      </c>
      <c r="P228" s="1027">
        <f>P225*'Premissas Gerais'!$G$167</f>
        <v>1652.695133496012</v>
      </c>
      <c r="Q228" s="1027">
        <f>Q225*'Premissas Gerais'!$G$167</f>
        <v>981.10739214865259</v>
      </c>
      <c r="R228" s="1027">
        <f>R225*'Premissas Gerais'!$G$167</f>
        <v>951.02688788631417</v>
      </c>
      <c r="S228" s="1027">
        <f>S225*'Premissas Gerais'!$G$167</f>
        <v>926.70177862363005</v>
      </c>
      <c r="T228" s="1027">
        <f>T225*'Premissas Gerais'!$G$167</f>
        <v>1010.5858922352443</v>
      </c>
      <c r="U228" s="1027">
        <f>U225*'Premissas Gerais'!$G$167</f>
        <v>868.48029786208463</v>
      </c>
      <c r="V228" s="1027">
        <f>V225*'Premissas Gerais'!$G$167</f>
        <v>1335.287349074365</v>
      </c>
      <c r="W228" s="1027">
        <f>W225*'Premissas Gerais'!$G$167</f>
        <v>882.19856973560798</v>
      </c>
      <c r="X228" s="1027">
        <f>X225*'Premissas Gerais'!$G$167</f>
        <v>769.13134944527303</v>
      </c>
      <c r="Y228" s="1027">
        <f>Y225*'Premissas Gerais'!$G$167</f>
        <v>787.71880757423071</v>
      </c>
      <c r="Z228" s="1027">
        <f>Z225*'Premissas Gerais'!$G$167</f>
        <v>957.89512066538498</v>
      </c>
      <c r="AA228" s="1027">
        <f>AA225*'Premissas Gerais'!$G$167</f>
        <v>677.62521222306941</v>
      </c>
      <c r="AB228" s="1027">
        <f>AB225*'Premissas Gerais'!$G$167</f>
        <v>764.47792517872597</v>
      </c>
      <c r="AC228" s="1027">
        <f>AC225*'Premissas Gerais'!$G$167</f>
        <v>707.81862715296666</v>
      </c>
      <c r="AD228" s="1027">
        <f>AD225*'Premissas Gerais'!$G$167</f>
        <v>1093.6619081968151</v>
      </c>
      <c r="AE228" s="1027">
        <f>AE225*'Premissas Gerais'!$G$167</f>
        <v>560.39804259652681</v>
      </c>
      <c r="AF228" s="1027">
        <f>AF225*'Premissas Gerais'!$G$167</f>
        <v>524.46998653065657</v>
      </c>
      <c r="AG228" s="1027">
        <f>AG225*'Premissas Gerais'!$G$167</f>
        <v>493.74215127212096</v>
      </c>
      <c r="AH228" s="1027">
        <f>AH225*'Premissas Gerais'!$G$167</f>
        <v>462.98205264023426</v>
      </c>
      <c r="AI228" s="1027">
        <f>AI225*'Premissas Gerais'!$G$167</f>
        <v>517.33923523388967</v>
      </c>
    </row>
    <row r="229" spans="3:35" s="77" customFormat="1" hidden="1" outlineLevel="1" x14ac:dyDescent="0.35">
      <c r="C229" s="1024"/>
      <c r="D229" s="1025" t="s">
        <v>4</v>
      </c>
      <c r="E229" s="1026">
        <f t="shared" si="75"/>
        <v>104505.97858986678</v>
      </c>
      <c r="F229" s="1033">
        <f>F225*'Premissas Gerais'!$G$168</f>
        <v>10222.204326184848</v>
      </c>
      <c r="G229" s="1027">
        <f>G225*'Premissas Gerais'!$G$168</f>
        <v>6403.9395060929846</v>
      </c>
      <c r="H229" s="1027">
        <f>H225*'Premissas Gerais'!$G$168</f>
        <v>5974.1009004396219</v>
      </c>
      <c r="I229" s="1027">
        <f>I225*'Premissas Gerais'!$G$168</f>
        <v>5647.866085931867</v>
      </c>
      <c r="J229" s="1027">
        <f>J225*'Premissas Gerais'!$G$168</f>
        <v>5278.6946640684582</v>
      </c>
      <c r="K229" s="1027">
        <f>K225*'Premissas Gerais'!$G$168</f>
        <v>5129.7806913821687</v>
      </c>
      <c r="L229" s="1027">
        <f>L225*'Premissas Gerais'!$G$168</f>
        <v>5272.2380541716266</v>
      </c>
      <c r="M229" s="1027">
        <f>M225*'Premissas Gerais'!$G$168</f>
        <v>4809.1365158307053</v>
      </c>
      <c r="N229" s="1027">
        <f>N225*'Premissas Gerais'!$G$168</f>
        <v>5991.5181585245027</v>
      </c>
      <c r="O229" s="1027">
        <f>O225*'Premissas Gerais'!$G$168</f>
        <v>4615.2726431793699</v>
      </c>
      <c r="P229" s="1027">
        <f>P225*'Premissas Gerais'!$G$168</f>
        <v>4409.821235786032</v>
      </c>
      <c r="Q229" s="1027">
        <f>Q225*'Premissas Gerais'!$G$168</f>
        <v>2617.8501556616479</v>
      </c>
      <c r="R229" s="1027">
        <f>R225*'Premissas Gerais'!$G$168</f>
        <v>2537.5875326341247</v>
      </c>
      <c r="S229" s="1027">
        <f>S225*'Premissas Gerais'!$G$168</f>
        <v>2472.6818030683285</v>
      </c>
      <c r="T229" s="1027">
        <f>T225*'Premissas Gerais'!$G$168</f>
        <v>2696.5064746924836</v>
      </c>
      <c r="U229" s="1027">
        <f>U225*'Premissas Gerais'!$G$168</f>
        <v>2317.3317224408956</v>
      </c>
      <c r="V229" s="1027">
        <f>V225*'Premissas Gerais'!$G$168</f>
        <v>3562.894564449191</v>
      </c>
      <c r="W229" s="1027">
        <f>W225*'Premissas Gerais'!$G$168</f>
        <v>2353.9356461773814</v>
      </c>
      <c r="X229" s="1027">
        <f>X225*'Premissas Gerais'!$G$168</f>
        <v>2052.2428421011123</v>
      </c>
      <c r="Y229" s="1027">
        <f>Y225*'Premissas Gerais'!$G$168</f>
        <v>2101.8390234627482</v>
      </c>
      <c r="Z229" s="1027">
        <f>Z225*'Premissas Gerais'!$G$168</f>
        <v>2555.9137672478855</v>
      </c>
      <c r="AA229" s="1027">
        <f>AA225*'Premissas Gerais'!$G$168</f>
        <v>1808.0806255199875</v>
      </c>
      <c r="AB229" s="1027">
        <f>AB225*'Premissas Gerais'!$G$168</f>
        <v>2039.8262936803922</v>
      </c>
      <c r="AC229" s="1027">
        <f>AC225*'Premissas Gerais'!$G$168</f>
        <v>1888.6445236281081</v>
      </c>
      <c r="AD229" s="1027">
        <f>AD225*'Premissas Gerais'!$G$168</f>
        <v>2918.1749312316397</v>
      </c>
      <c r="AE229" s="1027">
        <f>AE225*'Premissas Gerais'!$G$168</f>
        <v>1495.2879927149932</v>
      </c>
      <c r="AF229" s="1027">
        <f>AF225*'Premissas Gerais'!$G$168</f>
        <v>1399.4225778609909</v>
      </c>
      <c r="AG229" s="1027">
        <f>AG225*'Premissas Gerais'!$G$168</f>
        <v>1317.4327070696445</v>
      </c>
      <c r="AH229" s="1027">
        <f>AH225*'Premissas Gerais'!$G$168</f>
        <v>1235.3567491917822</v>
      </c>
      <c r="AI229" s="1027">
        <f>AI225*'Premissas Gerais'!$G$168</f>
        <v>1380.3958754412449</v>
      </c>
    </row>
    <row r="230" spans="3:35" s="77" customFormat="1" hidden="1" outlineLevel="1" x14ac:dyDescent="0.35">
      <c r="C230" s="1024"/>
      <c r="D230" s="1025" t="s">
        <v>5</v>
      </c>
      <c r="E230" s="1026">
        <f t="shared" si="75"/>
        <v>226967.79940477273</v>
      </c>
      <c r="F230" s="1033">
        <f>F225*'Premissas Gerais'!$G$169</f>
        <v>22200.751117650296</v>
      </c>
      <c r="G230" s="1027">
        <f>G225*'Premissas Gerais'!$G$169</f>
        <v>13908.180917796282</v>
      </c>
      <c r="H230" s="1027">
        <f>H225*'Premissas Gerais'!$G$169</f>
        <v>12974.650379727913</v>
      </c>
      <c r="I230" s="1027">
        <f>I225*'Premissas Gerais'!$G$169</f>
        <v>12266.128255566597</v>
      </c>
      <c r="J230" s="1027">
        <f>J225*'Premissas Gerais'!$G$169</f>
        <v>11464.355702894733</v>
      </c>
      <c r="K230" s="1027">
        <f>K225*'Premissas Gerais'!$G$169</f>
        <v>11140.941893108095</v>
      </c>
      <c r="L230" s="1027">
        <f>L225*'Premissas Gerais'!$G$169</f>
        <v>11450.333131557929</v>
      </c>
      <c r="M230" s="1027">
        <f>M225*'Premissas Gerais'!$G$169</f>
        <v>10444.561610383009</v>
      </c>
      <c r="N230" s="1027">
        <f>N225*'Premissas Gerais'!$G$169</f>
        <v>13012.477466680562</v>
      </c>
      <c r="O230" s="1027">
        <f>O225*'Premissas Gerais'!$G$169</f>
        <v>10023.524870155523</v>
      </c>
      <c r="P230" s="1027">
        <f>P225*'Premissas Gerais'!$G$169</f>
        <v>9577.3221318061533</v>
      </c>
      <c r="Q230" s="1027">
        <f>Q225*'Premissas Gerais'!$G$169</f>
        <v>5685.4899309997782</v>
      </c>
      <c r="R230" s="1027">
        <f>R225*'Premissas Gerais'!$G$169</f>
        <v>5511.1742490759289</v>
      </c>
      <c r="S230" s="1027">
        <f>S225*'Premissas Gerais'!$G$169</f>
        <v>5370.21092040242</v>
      </c>
      <c r="T230" s="1027">
        <f>T225*'Premissas Gerais'!$G$169</f>
        <v>5856.3170155417101</v>
      </c>
      <c r="U230" s="1027">
        <f>U225*'Premissas Gerais'!$G$169</f>
        <v>5032.8190657628111</v>
      </c>
      <c r="V230" s="1027">
        <f>V225*'Premissas Gerais'!$G$169</f>
        <v>7737.9528876319182</v>
      </c>
      <c r="W230" s="1027">
        <f>W225*'Premissas Gerais'!$G$169</f>
        <v>5112.3160680602077</v>
      </c>
      <c r="X230" s="1027">
        <f>X225*'Premissas Gerais'!$G$169</f>
        <v>4457.0946849260026</v>
      </c>
      <c r="Y230" s="1027">
        <f>Y225*'Premissas Gerais'!$G$169</f>
        <v>4564.8084855565639</v>
      </c>
      <c r="Z230" s="1027">
        <f>Z225*'Premissas Gerais'!$G$169</f>
        <v>5550.9754661716961</v>
      </c>
      <c r="AA230" s="1027">
        <f>AA225*'Premissas Gerais'!$G$169</f>
        <v>3926.8191758788798</v>
      </c>
      <c r="AB230" s="1027">
        <f>AB225*'Premissas Gerais'!$G$169</f>
        <v>4430.1282212912911</v>
      </c>
      <c r="AC230" s="1027">
        <f>AC225*'Premissas Gerais'!$G$169</f>
        <v>4101.7891719671561</v>
      </c>
      <c r="AD230" s="1027">
        <f>AD225*'Premissas Gerais'!$G$169</f>
        <v>6337.7402073726043</v>
      </c>
      <c r="AE230" s="1027">
        <f>AE225*'Premissas Gerais'!$G$169</f>
        <v>3247.4910025464264</v>
      </c>
      <c r="AF230" s="1027">
        <f>AF225*'Premissas Gerais'!$G$169</f>
        <v>3039.2889212680998</v>
      </c>
      <c r="AG230" s="1027">
        <f>AG225*'Premissas Gerais'!$G$169</f>
        <v>2861.2219743039964</v>
      </c>
      <c r="AH230" s="1027">
        <f>AH225*'Premissas Gerais'!$G$169</f>
        <v>2682.9680619925762</v>
      </c>
      <c r="AI230" s="1027">
        <f>AI225*'Premissas Gerais'!$G$169</f>
        <v>2997.9664166955436</v>
      </c>
    </row>
    <row r="231" spans="3:35" s="77" customFormat="1" hidden="1" outlineLevel="1" x14ac:dyDescent="0.35">
      <c r="C231" s="1024"/>
      <c r="D231" s="1025" t="s">
        <v>6</v>
      </c>
      <c r="E231" s="1026">
        <f t="shared" si="75"/>
        <v>2512493.8443482891</v>
      </c>
      <c r="F231" s="1033">
        <f>F225*'Premissas Gerais'!$G$170</f>
        <v>245758.43211806653</v>
      </c>
      <c r="G231" s="1027">
        <f>G225*'Premissas Gerais'!$G$170</f>
        <v>153961.13031754887</v>
      </c>
      <c r="H231" s="1027">
        <f>H225*'Premissas Gerais'!$G$170</f>
        <v>143627.11052901935</v>
      </c>
      <c r="I231" s="1027">
        <f>I225*'Premissas Gerais'!$G$170</f>
        <v>135783.89453006099</v>
      </c>
      <c r="J231" s="1027">
        <f>J225*'Premissas Gerais'!$G$170</f>
        <v>126908.41259633117</v>
      </c>
      <c r="K231" s="1027">
        <f>K225*'Premissas Gerais'!$G$170</f>
        <v>123328.27828478058</v>
      </c>
      <c r="L231" s="1027">
        <f>L225*'Premissas Gerais'!$G$170</f>
        <v>126753.18518408127</v>
      </c>
      <c r="M231" s="1027">
        <f>M225*'Premissas Gerais'!$G$170</f>
        <v>115619.47034699914</v>
      </c>
      <c r="N231" s="1027">
        <f>N225*'Premissas Gerais'!$G$170</f>
        <v>144045.84976589523</v>
      </c>
      <c r="O231" s="1027">
        <f>O225*'Premissas Gerais'!$G$170</f>
        <v>110958.66726902833</v>
      </c>
      <c r="P231" s="1027">
        <f>P225*'Premissas Gerais'!$G$170</f>
        <v>106019.2809932033</v>
      </c>
      <c r="Q231" s="1027">
        <f>Q225*'Premissas Gerais'!$G$170</f>
        <v>62937.379184197795</v>
      </c>
      <c r="R231" s="1027">
        <f>R225*'Premissas Gerais'!$G$170</f>
        <v>61007.735071880452</v>
      </c>
      <c r="S231" s="1027">
        <f>S225*'Premissas Gerais'!$G$170</f>
        <v>59447.295676953712</v>
      </c>
      <c r="T231" s="1027">
        <f>T225*'Premissas Gerais'!$G$170</f>
        <v>64828.405133628337</v>
      </c>
      <c r="U231" s="1027">
        <f>U225*'Premissas Gerais'!$G$170</f>
        <v>55712.426853541911</v>
      </c>
      <c r="V231" s="1027">
        <f>V225*'Premissas Gerais'!$G$170</f>
        <v>85657.785152863609</v>
      </c>
      <c r="W231" s="1027">
        <f>W225*'Premissas Gerais'!$G$170</f>
        <v>56592.444765510751</v>
      </c>
      <c r="X231" s="1027">
        <f>X225*'Premissas Gerais'!$G$170</f>
        <v>49339.258647799972</v>
      </c>
      <c r="Y231" s="1027">
        <f>Y225*'Premissas Gerais'!$G$170</f>
        <v>50531.631582398513</v>
      </c>
      <c r="Z231" s="1027">
        <f>Z225*'Premissas Gerais'!$G$170</f>
        <v>61448.327584179271</v>
      </c>
      <c r="AA231" s="1027">
        <f>AA225*'Premissas Gerais'!$G$170</f>
        <v>43469.201504083678</v>
      </c>
      <c r="AB231" s="1027">
        <f>AB225*'Premissas Gerais'!$G$170</f>
        <v>49040.744611607442</v>
      </c>
      <c r="AC231" s="1027">
        <f>AC225*'Premissas Gerais'!$G$170</f>
        <v>45406.088759766317</v>
      </c>
      <c r="AD231" s="1027">
        <f>AD225*'Premissas Gerais'!$G$170</f>
        <v>70157.675669685676</v>
      </c>
      <c r="AE231" s="1027">
        <f>AE225*'Premissas Gerais'!$G$170</f>
        <v>35949.157434985362</v>
      </c>
      <c r="AF231" s="1027">
        <f>AF225*'Premissas Gerais'!$G$170</f>
        <v>33644.396808305486</v>
      </c>
      <c r="AG231" s="1027">
        <f>AG225*'Premissas Gerais'!$G$170</f>
        <v>31673.226848062233</v>
      </c>
      <c r="AH231" s="1027">
        <f>AH225*'Premissas Gerais'!$G$170</f>
        <v>29699.987214123106</v>
      </c>
      <c r="AI231" s="1027">
        <f>AI225*'Premissas Gerais'!$G$170</f>
        <v>33186.963909701015</v>
      </c>
    </row>
    <row r="232" spans="3:35" s="77" customFormat="1" hidden="1" outlineLevel="1" x14ac:dyDescent="0.35">
      <c r="C232" s="1024"/>
      <c r="D232" s="1025" t="s">
        <v>7</v>
      </c>
      <c r="E232" s="1026">
        <f t="shared" si="75"/>
        <v>205158.99978333051</v>
      </c>
      <c r="F232" s="1033">
        <f>F225*'Premissas Gerais'!$G$171</f>
        <v>20067.533393197336</v>
      </c>
      <c r="G232" s="1027">
        <f>G225*'Premissas Gerais'!$G$171</f>
        <v>12571.77667221409</v>
      </c>
      <c r="H232" s="1027">
        <f>H225*'Premissas Gerais'!$G$171</f>
        <v>11727.946878033721</v>
      </c>
      <c r="I232" s="1027">
        <f>I225*'Premissas Gerais'!$G$171</f>
        <v>11087.504970862286</v>
      </c>
      <c r="J232" s="1027">
        <f>J225*'Premissas Gerais'!$G$171</f>
        <v>10362.772848546838</v>
      </c>
      <c r="K232" s="1027">
        <f>K225*'Premissas Gerais'!$G$171</f>
        <v>10070.435107660465</v>
      </c>
      <c r="L232" s="1027">
        <f>L225*'Premissas Gerais'!$G$171</f>
        <v>10350.097672960726</v>
      </c>
      <c r="M232" s="1027">
        <f>M225*'Premissas Gerais'!$G$171</f>
        <v>9440.968361067391</v>
      </c>
      <c r="N232" s="1027">
        <f>N225*'Premissas Gerais'!$G$171</f>
        <v>11762.139249569571</v>
      </c>
      <c r="O232" s="1027">
        <f>O225*'Premissas Gerais'!$G$171</f>
        <v>9060.3880464869253</v>
      </c>
      <c r="P232" s="1027">
        <f>P225*'Premissas Gerais'!$G$171</f>
        <v>8657.0598750881109</v>
      </c>
      <c r="Q232" s="1027">
        <f>Q225*'Premissas Gerais'!$G$171</f>
        <v>5139.1846357989725</v>
      </c>
      <c r="R232" s="1027">
        <f>R225*'Premissas Gerais'!$G$171</f>
        <v>4981.6185359212204</v>
      </c>
      <c r="S232" s="1027">
        <f>S225*'Premissas Gerais'!$G$171</f>
        <v>4854.2000404666715</v>
      </c>
      <c r="T232" s="1027">
        <f>T225*'Premissas Gerais'!$G$171</f>
        <v>5293.5973493752417</v>
      </c>
      <c r="U232" s="1027">
        <f>U225*'Premissas Gerais'!$G$171</f>
        <v>4549.2273720333833</v>
      </c>
      <c r="V232" s="1027">
        <f>V225*'Premissas Gerais'!$G$171</f>
        <v>6994.431275980005</v>
      </c>
      <c r="W232" s="1027">
        <f>W225*'Premissas Gerais'!$G$171</f>
        <v>4621.0856951958713</v>
      </c>
      <c r="X232" s="1027">
        <f>X225*'Premissas Gerais'!$G$171</f>
        <v>4028.8229867720561</v>
      </c>
      <c r="Y232" s="1027">
        <f>Y225*'Premissas Gerais'!$G$171</f>
        <v>4126.1868227795449</v>
      </c>
      <c r="Z232" s="1027">
        <f>Z225*'Premissas Gerais'!$G$171</f>
        <v>5017.5953480987237</v>
      </c>
      <c r="AA232" s="1027">
        <f>AA225*'Premissas Gerais'!$G$171</f>
        <v>3549.5003985854937</v>
      </c>
      <c r="AB232" s="1027">
        <f>AB225*'Premissas Gerais'!$G$171</f>
        <v>4004.4476669183155</v>
      </c>
      <c r="AC232" s="1027">
        <f>AC225*'Premissas Gerais'!$G$171</f>
        <v>3707.6579411254647</v>
      </c>
      <c r="AD232" s="1027">
        <f>AD225*'Premissas Gerais'!$G$171</f>
        <v>5728.7617240907139</v>
      </c>
      <c r="AE232" s="1027">
        <f>AE225*'Premissas Gerais'!$G$171</f>
        <v>2935.4472644800203</v>
      </c>
      <c r="AF232" s="1027">
        <f>AF225*'Premissas Gerais'!$G$171</f>
        <v>2747.2508293033616</v>
      </c>
      <c r="AG232" s="1027">
        <f>AG225*'Premissas Gerais'!$G$171</f>
        <v>2586.2939145805117</v>
      </c>
      <c r="AH232" s="1027">
        <f>AH225*'Premissas Gerais'!$G$171</f>
        <v>2425.1679995688542</v>
      </c>
      <c r="AI232" s="1027">
        <f>AI225*'Premissas Gerais'!$G$171</f>
        <v>2709.8989065685919</v>
      </c>
    </row>
    <row r="233" spans="3:35" s="77" customFormat="1" hidden="1" outlineLevel="1" x14ac:dyDescent="0.35">
      <c r="C233" s="1024"/>
      <c r="D233" s="1025" t="s">
        <v>8</v>
      </c>
      <c r="E233" s="1026">
        <f t="shared" si="75"/>
        <v>186910.55614883709</v>
      </c>
      <c r="F233" s="1033">
        <f>F225*'Premissas Gerais'!$G$172</f>
        <v>18282.570255358769</v>
      </c>
      <c r="G233" s="1027">
        <f>G225*'Premissas Gerais'!$G$172</f>
        <v>11453.544675418314</v>
      </c>
      <c r="H233" s="1027">
        <f>H225*'Premissas Gerais'!$G$172</f>
        <v>10684.77169303986</v>
      </c>
      <c r="I233" s="1027">
        <f>I225*'Premissas Gerais'!$G$172</f>
        <v>10101.295690637546</v>
      </c>
      <c r="J233" s="1027">
        <f>J225*'Premissas Gerais'!$G$172</f>
        <v>9441.0269030924355</v>
      </c>
      <c r="K233" s="1027">
        <f>K225*'Premissas Gerais'!$G$172</f>
        <v>9174.6919638985728</v>
      </c>
      <c r="L233" s="1027">
        <f>L225*'Premissas Gerais'!$G$172</f>
        <v>9429.4791566100175</v>
      </c>
      <c r="M233" s="1027">
        <f>M225*'Premissas Gerais'!$G$172</f>
        <v>8601.2149055820228</v>
      </c>
      <c r="N233" s="1027">
        <f>N225*'Premissas Gerais'!$G$172</f>
        <v>10715.922728025227</v>
      </c>
      <c r="O233" s="1027">
        <f>O225*'Premissas Gerais'!$G$172</f>
        <v>8254.4863763307585</v>
      </c>
      <c r="P233" s="1027">
        <f>P225*'Premissas Gerais'!$G$172</f>
        <v>7887.0333622964654</v>
      </c>
      <c r="Q233" s="1027">
        <f>Q225*'Premissas Gerais'!$G$172</f>
        <v>4682.0654197144922</v>
      </c>
      <c r="R233" s="1027">
        <f>R225*'Premissas Gerais'!$G$172</f>
        <v>4538.5144792758229</v>
      </c>
      <c r="S233" s="1027">
        <f>S225*'Premissas Gerais'!$G$172</f>
        <v>4422.4295798845706</v>
      </c>
      <c r="T233" s="1027">
        <f>T225*'Premissas Gerais'!$G$172</f>
        <v>4822.7434606557727</v>
      </c>
      <c r="U233" s="1027">
        <f>U225*'Premissas Gerais'!$G$172</f>
        <v>4144.5835622725644</v>
      </c>
      <c r="V233" s="1027">
        <f>V225*'Premissas Gerais'!$G$172</f>
        <v>6372.2919351279952</v>
      </c>
      <c r="W233" s="1027">
        <f>W225*'Premissas Gerais'!$G$172</f>
        <v>4210.0502449938112</v>
      </c>
      <c r="X233" s="1027">
        <f>X225*'Premissas Gerais'!$G$172</f>
        <v>3670.4680071459816</v>
      </c>
      <c r="Y233" s="1027">
        <f>Y225*'Premissas Gerais'!$G$172</f>
        <v>3759.1715432139249</v>
      </c>
      <c r="Z233" s="1027">
        <f>Z225*'Premissas Gerais'!$G$172</f>
        <v>4571.2912328165457</v>
      </c>
      <c r="AA233" s="1027">
        <f>AA225*'Premissas Gerais'!$G$172</f>
        <v>3233.7801132331265</v>
      </c>
      <c r="AB233" s="1027">
        <f>AB225*'Premissas Gerais'!$G$172</f>
        <v>3648.2608185996341</v>
      </c>
      <c r="AC233" s="1027">
        <f>AC225*'Premissas Gerais'!$G$172</f>
        <v>3377.8698888047529</v>
      </c>
      <c r="AD233" s="1027">
        <f>AD225*'Premissas Gerais'!$G$172</f>
        <v>5219.2009174582045</v>
      </c>
      <c r="AE233" s="1027">
        <f>AE225*'Premissas Gerais'!$G$172</f>
        <v>2674.3456603365789</v>
      </c>
      <c r="AF233" s="1027">
        <f>AF225*'Premissas Gerais'!$G$172</f>
        <v>2502.8888858287714</v>
      </c>
      <c r="AG233" s="1027">
        <f>AG225*'Premissas Gerais'!$G$172</f>
        <v>2356.2487360979712</v>
      </c>
      <c r="AH233" s="1027">
        <f>AH225*'Premissas Gerais'!$G$172</f>
        <v>2209.4546182838608</v>
      </c>
      <c r="AI233" s="1027">
        <f>AI225*'Premissas Gerais'!$G$172</f>
        <v>2468.8593348027021</v>
      </c>
    </row>
    <row r="234" spans="3:35" s="77" customFormat="1" hidden="1" outlineLevel="1" x14ac:dyDescent="0.35">
      <c r="C234" s="1024"/>
      <c r="D234" s="1025" t="s">
        <v>9</v>
      </c>
      <c r="E234" s="1026">
        <f t="shared" si="75"/>
        <v>153366.50112729543</v>
      </c>
      <c r="F234" s="1033">
        <f>F225*'Premissas Gerais'!$G$173</f>
        <v>15001.473910577653</v>
      </c>
      <c r="G234" s="1027">
        <f>G225*'Premissas Gerais'!$G$173</f>
        <v>9398.0249621390958</v>
      </c>
      <c r="H234" s="1027">
        <f>H225*'Premissas Gerais'!$G$173</f>
        <v>8767.2204484834165</v>
      </c>
      <c r="I234" s="1027">
        <f>I225*'Premissas Gerais'!$G$173</f>
        <v>8288.4584415429072</v>
      </c>
      <c r="J234" s="1027">
        <f>J225*'Premissas Gerais'!$G$173</f>
        <v>7746.6853291205171</v>
      </c>
      <c r="K234" s="1027">
        <f>K225*'Premissas Gerais'!$G$173</f>
        <v>7528.1484064675924</v>
      </c>
      <c r="L234" s="1027">
        <f>L225*'Premissas Gerais'!$G$173</f>
        <v>7737.2100083553096</v>
      </c>
      <c r="M234" s="1027">
        <f>M225*'Premissas Gerais'!$G$173</f>
        <v>7057.5908749777873</v>
      </c>
      <c r="N234" s="1027">
        <f>N225*'Premissas Gerais'!$G$173</f>
        <v>8792.7809376320092</v>
      </c>
      <c r="O234" s="1027">
        <f>O225*'Premissas Gerais'!$G$173</f>
        <v>6773.0882633118363</v>
      </c>
      <c r="P234" s="1027">
        <f>P225*'Premissas Gerais'!$G$173</f>
        <v>6471.5805033849811</v>
      </c>
      <c r="Q234" s="1027">
        <f>Q225*'Premissas Gerais'!$G$173</f>
        <v>3841.7947400408584</v>
      </c>
      <c r="R234" s="1027">
        <f>R225*'Premissas Gerais'!$G$173</f>
        <v>3724.0062859148102</v>
      </c>
      <c r="S234" s="1027">
        <f>S225*'Premissas Gerais'!$G$173</f>
        <v>3628.7546574344292</v>
      </c>
      <c r="T234" s="1027">
        <f>T225*'Premissas Gerais'!$G$173</f>
        <v>3957.2258819150829</v>
      </c>
      <c r="U234" s="1027">
        <f>U225*'Premissas Gerais'!$G$173</f>
        <v>3400.772501416584</v>
      </c>
      <c r="V234" s="1027">
        <f>V225*'Premissas Gerais'!$G$173</f>
        <v>5228.6833787709747</v>
      </c>
      <c r="W234" s="1027">
        <f>W225*'Premissas Gerais'!$G$173</f>
        <v>3454.4901526624194</v>
      </c>
      <c r="X234" s="1027">
        <f>X225*'Premissas Gerais'!$G$173</f>
        <v>3011.7444801105662</v>
      </c>
      <c r="Y234" s="1027">
        <f>Y225*'Premissas Gerais'!$G$173</f>
        <v>3084.5287639127414</v>
      </c>
      <c r="Z234" s="1027">
        <f>Z225*'Premissas Gerais'!$G$173</f>
        <v>3750.9007327156073</v>
      </c>
      <c r="AA234" s="1027">
        <f>AA225*'Premissas Gerais'!$G$173</f>
        <v>2653.4271343490395</v>
      </c>
      <c r="AB234" s="1027">
        <f>AB225*'Premissas Gerais'!$G$173</f>
        <v>2993.5227227234909</v>
      </c>
      <c r="AC234" s="1027">
        <f>AC225*'Premissas Gerais'!$G$173</f>
        <v>2771.6577211225358</v>
      </c>
      <c r="AD234" s="1027">
        <f>AD225*'Premissas Gerais'!$G$173</f>
        <v>4282.5327786919406</v>
      </c>
      <c r="AE234" s="1027">
        <f>AE225*'Premissas Gerais'!$G$173</f>
        <v>2194.392040673084</v>
      </c>
      <c r="AF234" s="1027">
        <f>AF225*'Premissas Gerais'!$G$173</f>
        <v>2053.7058956920869</v>
      </c>
      <c r="AG234" s="1027">
        <f>AG225*'Premissas Gerais'!$G$173</f>
        <v>1933.3826397327662</v>
      </c>
      <c r="AH234" s="1027">
        <f>AH225*'Premissas Gerais'!$G$173</f>
        <v>1812.9330476974683</v>
      </c>
      <c r="AI234" s="1027">
        <f>AI225*'Premissas Gerais'!$G$173</f>
        <v>2025.7834857258724</v>
      </c>
    </row>
    <row r="235" spans="3:35" s="77" customFormat="1" collapsed="1" x14ac:dyDescent="0.35">
      <c r="C235" s="77" t="s">
        <v>471</v>
      </c>
      <c r="E235" s="489">
        <f t="shared" si="75"/>
        <v>65719940.399999999</v>
      </c>
      <c r="F235" s="490">
        <f t="shared" ref="F235:AI235" si="76">SUM(F236:F244)</f>
        <v>2190664.6800000002</v>
      </c>
      <c r="G235" s="490">
        <f t="shared" si="76"/>
        <v>2190664.6800000002</v>
      </c>
      <c r="H235" s="490">
        <f t="shared" si="76"/>
        <v>2190664.6800000002</v>
      </c>
      <c r="I235" s="490">
        <f t="shared" si="76"/>
        <v>2190664.6800000002</v>
      </c>
      <c r="J235" s="490">
        <f t="shared" si="76"/>
        <v>2190664.6800000002</v>
      </c>
      <c r="K235" s="490">
        <f t="shared" si="76"/>
        <v>2190664.6800000002</v>
      </c>
      <c r="L235" s="490">
        <f t="shared" si="76"/>
        <v>2190664.6800000002</v>
      </c>
      <c r="M235" s="490">
        <f t="shared" si="76"/>
        <v>2190664.6800000002</v>
      </c>
      <c r="N235" s="490">
        <f t="shared" si="76"/>
        <v>2190664.6800000002</v>
      </c>
      <c r="O235" s="490">
        <f t="shared" si="76"/>
        <v>2190664.6800000002</v>
      </c>
      <c r="P235" s="490">
        <f t="shared" si="76"/>
        <v>2190664.6800000002</v>
      </c>
      <c r="Q235" s="490">
        <f t="shared" si="76"/>
        <v>2190664.6800000002</v>
      </c>
      <c r="R235" s="490">
        <f t="shared" si="76"/>
        <v>2190664.6800000002</v>
      </c>
      <c r="S235" s="490">
        <f t="shared" si="76"/>
        <v>2190664.6800000002</v>
      </c>
      <c r="T235" s="490">
        <f t="shared" si="76"/>
        <v>2190664.6800000002</v>
      </c>
      <c r="U235" s="490">
        <f t="shared" si="76"/>
        <v>2190664.6800000002</v>
      </c>
      <c r="V235" s="490">
        <f t="shared" si="76"/>
        <v>2190664.6800000002</v>
      </c>
      <c r="W235" s="490">
        <f t="shared" si="76"/>
        <v>2190664.6800000002</v>
      </c>
      <c r="X235" s="490">
        <f t="shared" si="76"/>
        <v>2190664.6800000002</v>
      </c>
      <c r="Y235" s="490">
        <f t="shared" si="76"/>
        <v>2190664.6800000002</v>
      </c>
      <c r="Z235" s="490">
        <f t="shared" si="76"/>
        <v>2190664.6800000002</v>
      </c>
      <c r="AA235" s="490">
        <f t="shared" si="76"/>
        <v>2190664.6800000002</v>
      </c>
      <c r="AB235" s="490">
        <f t="shared" si="76"/>
        <v>2190664.6800000002</v>
      </c>
      <c r="AC235" s="490">
        <f t="shared" si="76"/>
        <v>2190664.6800000002</v>
      </c>
      <c r="AD235" s="490">
        <f t="shared" si="76"/>
        <v>2190664.6800000002</v>
      </c>
      <c r="AE235" s="490">
        <f t="shared" si="76"/>
        <v>2190664.6800000002</v>
      </c>
      <c r="AF235" s="490">
        <f t="shared" si="76"/>
        <v>2190664.6800000002</v>
      </c>
      <c r="AG235" s="490">
        <f t="shared" si="76"/>
        <v>2190664.6800000002</v>
      </c>
      <c r="AH235" s="490">
        <f t="shared" si="76"/>
        <v>2190664.6800000002</v>
      </c>
      <c r="AI235" s="490">
        <f t="shared" si="76"/>
        <v>2190664.6800000002</v>
      </c>
    </row>
    <row r="236" spans="3:35" s="77" customFormat="1" hidden="1" outlineLevel="1" x14ac:dyDescent="0.35">
      <c r="C236" s="1020"/>
      <c r="D236" s="1021" t="s">
        <v>1</v>
      </c>
      <c r="E236" s="1022">
        <f t="shared" si="75"/>
        <v>448681.42846342281</v>
      </c>
      <c r="F236" s="1032">
        <f>OPEX_SPE!F55</f>
        <v>14956.047615447416</v>
      </c>
      <c r="G236" s="1023">
        <f>OPEX_SPE!G55</f>
        <v>14956.047615447416</v>
      </c>
      <c r="H236" s="1023">
        <f>OPEX_SPE!H55</f>
        <v>14956.047615447416</v>
      </c>
      <c r="I236" s="1023">
        <f>OPEX_SPE!I55</f>
        <v>14956.047615447416</v>
      </c>
      <c r="J236" s="1023">
        <f>OPEX_SPE!J55</f>
        <v>14956.047615447416</v>
      </c>
      <c r="K236" s="1023">
        <f>OPEX_SPE!K55</f>
        <v>14956.047615447416</v>
      </c>
      <c r="L236" s="1023">
        <f>OPEX_SPE!L55</f>
        <v>14956.047615447416</v>
      </c>
      <c r="M236" s="1023">
        <f>OPEX_SPE!M55</f>
        <v>14956.047615447416</v>
      </c>
      <c r="N236" s="1023">
        <f>OPEX_SPE!N55</f>
        <v>14956.047615447416</v>
      </c>
      <c r="O236" s="1023">
        <f>OPEX_SPE!O55</f>
        <v>14956.047615447416</v>
      </c>
      <c r="P236" s="1023">
        <f>OPEX_SPE!P55</f>
        <v>14956.047615447416</v>
      </c>
      <c r="Q236" s="1023">
        <f>OPEX_SPE!Q55</f>
        <v>14956.047615447416</v>
      </c>
      <c r="R236" s="1023">
        <f>OPEX_SPE!R55</f>
        <v>14956.047615447416</v>
      </c>
      <c r="S236" s="1023">
        <f>OPEX_SPE!S55</f>
        <v>14956.047615447416</v>
      </c>
      <c r="T236" s="1023">
        <f>OPEX_SPE!T55</f>
        <v>14956.047615447416</v>
      </c>
      <c r="U236" s="1023">
        <f>OPEX_SPE!U55</f>
        <v>14956.047615447416</v>
      </c>
      <c r="V236" s="1023">
        <f>OPEX_SPE!V55</f>
        <v>14956.047615447416</v>
      </c>
      <c r="W236" s="1023">
        <f>OPEX_SPE!W55</f>
        <v>14956.047615447416</v>
      </c>
      <c r="X236" s="1023">
        <f>OPEX_SPE!X55</f>
        <v>14956.047615447416</v>
      </c>
      <c r="Y236" s="1023">
        <f>OPEX_SPE!Y55</f>
        <v>14956.047615447416</v>
      </c>
      <c r="Z236" s="1023">
        <f>OPEX_SPE!Z55</f>
        <v>14956.047615447416</v>
      </c>
      <c r="AA236" s="1023">
        <f>OPEX_SPE!AA55</f>
        <v>14956.047615447416</v>
      </c>
      <c r="AB236" s="1023">
        <f>OPEX_SPE!AB55</f>
        <v>14956.047615447416</v>
      </c>
      <c r="AC236" s="1023">
        <f>OPEX_SPE!AC55</f>
        <v>14956.047615447416</v>
      </c>
      <c r="AD236" s="1023">
        <f>OPEX_SPE!AD55</f>
        <v>14956.047615447416</v>
      </c>
      <c r="AE236" s="1023">
        <f>OPEX_SPE!AE55</f>
        <v>14956.047615447416</v>
      </c>
      <c r="AF236" s="1023">
        <f>OPEX_SPE!AF55</f>
        <v>14956.047615447416</v>
      </c>
      <c r="AG236" s="1023">
        <f>OPEX_SPE!AG55</f>
        <v>14956.047615447416</v>
      </c>
      <c r="AH236" s="1023">
        <f>OPEX_SPE!AH55</f>
        <v>14956.047615447416</v>
      </c>
      <c r="AI236" s="1023">
        <f>OPEX_SPE!AI55</f>
        <v>14956.047615447416</v>
      </c>
    </row>
    <row r="237" spans="3:35" s="77" customFormat="1" hidden="1" outlineLevel="1" x14ac:dyDescent="0.35">
      <c r="C237" s="1024"/>
      <c r="D237" s="1025" t="s">
        <v>2</v>
      </c>
      <c r="E237" s="1026">
        <f t="shared" si="75"/>
        <v>5682389.6341428095</v>
      </c>
      <c r="F237" s="1033">
        <f>OPEX_SPE!F56</f>
        <v>189412.98780476043</v>
      </c>
      <c r="G237" s="1027">
        <f>OPEX_SPE!G56</f>
        <v>189412.98780476043</v>
      </c>
      <c r="H237" s="1027">
        <f>OPEX_SPE!H56</f>
        <v>189412.98780476043</v>
      </c>
      <c r="I237" s="1027">
        <f>OPEX_SPE!I56</f>
        <v>189412.98780476043</v>
      </c>
      <c r="J237" s="1027">
        <f>OPEX_SPE!J56</f>
        <v>189412.98780476043</v>
      </c>
      <c r="K237" s="1027">
        <f>OPEX_SPE!K56</f>
        <v>189412.98780476043</v>
      </c>
      <c r="L237" s="1027">
        <f>OPEX_SPE!L56</f>
        <v>189412.98780476043</v>
      </c>
      <c r="M237" s="1027">
        <f>OPEX_SPE!M56</f>
        <v>189412.98780476043</v>
      </c>
      <c r="N237" s="1027">
        <f>OPEX_SPE!N56</f>
        <v>189412.98780476043</v>
      </c>
      <c r="O237" s="1027">
        <f>OPEX_SPE!O56</f>
        <v>189412.98780476043</v>
      </c>
      <c r="P237" s="1027">
        <f>OPEX_SPE!P56</f>
        <v>189412.98780476043</v>
      </c>
      <c r="Q237" s="1027">
        <f>OPEX_SPE!Q56</f>
        <v>189412.98780476043</v>
      </c>
      <c r="R237" s="1027">
        <f>OPEX_SPE!R56</f>
        <v>189412.98780476043</v>
      </c>
      <c r="S237" s="1027">
        <f>OPEX_SPE!S56</f>
        <v>189412.98780476043</v>
      </c>
      <c r="T237" s="1027">
        <f>OPEX_SPE!T56</f>
        <v>189412.98780476043</v>
      </c>
      <c r="U237" s="1027">
        <f>OPEX_SPE!U56</f>
        <v>189412.98780476043</v>
      </c>
      <c r="V237" s="1027">
        <f>OPEX_SPE!V56</f>
        <v>189412.98780476043</v>
      </c>
      <c r="W237" s="1027">
        <f>OPEX_SPE!W56</f>
        <v>189412.98780476043</v>
      </c>
      <c r="X237" s="1027">
        <f>OPEX_SPE!X56</f>
        <v>189412.98780476043</v>
      </c>
      <c r="Y237" s="1027">
        <f>OPEX_SPE!Y56</f>
        <v>189412.98780476043</v>
      </c>
      <c r="Z237" s="1027">
        <f>OPEX_SPE!Z56</f>
        <v>189412.98780476043</v>
      </c>
      <c r="AA237" s="1027">
        <f>OPEX_SPE!AA56</f>
        <v>189412.98780476043</v>
      </c>
      <c r="AB237" s="1027">
        <f>OPEX_SPE!AB56</f>
        <v>189412.98780476043</v>
      </c>
      <c r="AC237" s="1027">
        <f>OPEX_SPE!AC56</f>
        <v>189412.98780476043</v>
      </c>
      <c r="AD237" s="1027">
        <f>OPEX_SPE!AD56</f>
        <v>189412.98780476043</v>
      </c>
      <c r="AE237" s="1027">
        <f>OPEX_SPE!AE56</f>
        <v>189412.98780476043</v>
      </c>
      <c r="AF237" s="1027">
        <f>OPEX_SPE!AF56</f>
        <v>189412.98780476043</v>
      </c>
      <c r="AG237" s="1027">
        <f>OPEX_SPE!AG56</f>
        <v>189412.98780476043</v>
      </c>
      <c r="AH237" s="1027">
        <f>OPEX_SPE!AH56</f>
        <v>189412.98780476043</v>
      </c>
      <c r="AI237" s="1027">
        <f>OPEX_SPE!AI56</f>
        <v>189412.98780476043</v>
      </c>
    </row>
    <row r="238" spans="3:35" s="77" customFormat="1" hidden="1" outlineLevel="1" x14ac:dyDescent="0.35">
      <c r="C238" s="1024"/>
      <c r="D238" s="1025" t="s">
        <v>3</v>
      </c>
      <c r="E238" s="1026">
        <f t="shared" si="75"/>
        <v>680714.53334950272</v>
      </c>
      <c r="F238" s="1033">
        <f>OPEX_SPE!F57</f>
        <v>22690.484444983427</v>
      </c>
      <c r="G238" s="1027">
        <f>OPEX_SPE!G57</f>
        <v>22690.484444983427</v>
      </c>
      <c r="H238" s="1027">
        <f>OPEX_SPE!H57</f>
        <v>22690.484444983427</v>
      </c>
      <c r="I238" s="1027">
        <f>OPEX_SPE!I57</f>
        <v>22690.484444983427</v>
      </c>
      <c r="J238" s="1027">
        <f>OPEX_SPE!J57</f>
        <v>22690.484444983427</v>
      </c>
      <c r="K238" s="1027">
        <f>OPEX_SPE!K57</f>
        <v>22690.484444983427</v>
      </c>
      <c r="L238" s="1027">
        <f>OPEX_SPE!L57</f>
        <v>22690.484444983427</v>
      </c>
      <c r="M238" s="1027">
        <f>OPEX_SPE!M57</f>
        <v>22690.484444983427</v>
      </c>
      <c r="N238" s="1027">
        <f>OPEX_SPE!N57</f>
        <v>22690.484444983427</v>
      </c>
      <c r="O238" s="1027">
        <f>OPEX_SPE!O57</f>
        <v>22690.484444983427</v>
      </c>
      <c r="P238" s="1027">
        <f>OPEX_SPE!P57</f>
        <v>22690.484444983427</v>
      </c>
      <c r="Q238" s="1027">
        <f>OPEX_SPE!Q57</f>
        <v>22690.484444983427</v>
      </c>
      <c r="R238" s="1027">
        <f>OPEX_SPE!R57</f>
        <v>22690.484444983427</v>
      </c>
      <c r="S238" s="1027">
        <f>OPEX_SPE!S57</f>
        <v>22690.484444983427</v>
      </c>
      <c r="T238" s="1027">
        <f>OPEX_SPE!T57</f>
        <v>22690.484444983427</v>
      </c>
      <c r="U238" s="1027">
        <f>OPEX_SPE!U57</f>
        <v>22690.484444983427</v>
      </c>
      <c r="V238" s="1027">
        <f>OPEX_SPE!V57</f>
        <v>22690.484444983427</v>
      </c>
      <c r="W238" s="1027">
        <f>OPEX_SPE!W57</f>
        <v>22690.484444983427</v>
      </c>
      <c r="X238" s="1027">
        <f>OPEX_SPE!X57</f>
        <v>22690.484444983427</v>
      </c>
      <c r="Y238" s="1027">
        <f>OPEX_SPE!Y57</f>
        <v>22690.484444983427</v>
      </c>
      <c r="Z238" s="1027">
        <f>OPEX_SPE!Z57</f>
        <v>22690.484444983427</v>
      </c>
      <c r="AA238" s="1027">
        <f>OPEX_SPE!AA57</f>
        <v>22690.484444983427</v>
      </c>
      <c r="AB238" s="1027">
        <f>OPEX_SPE!AB57</f>
        <v>22690.484444983427</v>
      </c>
      <c r="AC238" s="1027">
        <f>OPEX_SPE!AC57</f>
        <v>22690.484444983427</v>
      </c>
      <c r="AD238" s="1027">
        <f>OPEX_SPE!AD57</f>
        <v>22690.484444983427</v>
      </c>
      <c r="AE238" s="1027">
        <f>OPEX_SPE!AE57</f>
        <v>22690.484444983427</v>
      </c>
      <c r="AF238" s="1027">
        <f>OPEX_SPE!AF57</f>
        <v>22690.484444983427</v>
      </c>
      <c r="AG238" s="1027">
        <f>OPEX_SPE!AG57</f>
        <v>22690.484444983427</v>
      </c>
      <c r="AH238" s="1027">
        <f>OPEX_SPE!AH57</f>
        <v>22690.484444983427</v>
      </c>
      <c r="AI238" s="1027">
        <f>OPEX_SPE!AI57</f>
        <v>22690.484444983427</v>
      </c>
    </row>
    <row r="239" spans="3:35" s="77" customFormat="1" hidden="1" outlineLevel="1" x14ac:dyDescent="0.35">
      <c r="C239" s="1024"/>
      <c r="D239" s="1025" t="s">
        <v>4</v>
      </c>
      <c r="E239" s="1026">
        <f t="shared" si="75"/>
        <v>1816323.7392264397</v>
      </c>
      <c r="F239" s="1033">
        <f>OPEX_SPE!F58</f>
        <v>60544.124640881331</v>
      </c>
      <c r="G239" s="1027">
        <f>OPEX_SPE!G58</f>
        <v>60544.124640881331</v>
      </c>
      <c r="H239" s="1027">
        <f>OPEX_SPE!H58</f>
        <v>60544.124640881331</v>
      </c>
      <c r="I239" s="1027">
        <f>OPEX_SPE!I58</f>
        <v>60544.124640881331</v>
      </c>
      <c r="J239" s="1027">
        <f>OPEX_SPE!J58</f>
        <v>60544.124640881331</v>
      </c>
      <c r="K239" s="1027">
        <f>OPEX_SPE!K58</f>
        <v>60544.124640881331</v>
      </c>
      <c r="L239" s="1027">
        <f>OPEX_SPE!L58</f>
        <v>60544.124640881331</v>
      </c>
      <c r="M239" s="1027">
        <f>OPEX_SPE!M58</f>
        <v>60544.124640881331</v>
      </c>
      <c r="N239" s="1027">
        <f>OPEX_SPE!N58</f>
        <v>60544.124640881331</v>
      </c>
      <c r="O239" s="1027">
        <f>OPEX_SPE!O58</f>
        <v>60544.124640881331</v>
      </c>
      <c r="P239" s="1027">
        <f>OPEX_SPE!P58</f>
        <v>60544.124640881331</v>
      </c>
      <c r="Q239" s="1027">
        <f>OPEX_SPE!Q58</f>
        <v>60544.124640881331</v>
      </c>
      <c r="R239" s="1027">
        <f>OPEX_SPE!R58</f>
        <v>60544.124640881331</v>
      </c>
      <c r="S239" s="1027">
        <f>OPEX_SPE!S58</f>
        <v>60544.124640881331</v>
      </c>
      <c r="T239" s="1027">
        <f>OPEX_SPE!T58</f>
        <v>60544.124640881331</v>
      </c>
      <c r="U239" s="1027">
        <f>OPEX_SPE!U58</f>
        <v>60544.124640881331</v>
      </c>
      <c r="V239" s="1027">
        <f>OPEX_SPE!V58</f>
        <v>60544.124640881331</v>
      </c>
      <c r="W239" s="1027">
        <f>OPEX_SPE!W58</f>
        <v>60544.124640881331</v>
      </c>
      <c r="X239" s="1027">
        <f>OPEX_SPE!X58</f>
        <v>60544.124640881331</v>
      </c>
      <c r="Y239" s="1027">
        <f>OPEX_SPE!Y58</f>
        <v>60544.124640881331</v>
      </c>
      <c r="Z239" s="1027">
        <f>OPEX_SPE!Z58</f>
        <v>60544.124640881331</v>
      </c>
      <c r="AA239" s="1027">
        <f>OPEX_SPE!AA58</f>
        <v>60544.124640881331</v>
      </c>
      <c r="AB239" s="1027">
        <f>OPEX_SPE!AB58</f>
        <v>60544.124640881331</v>
      </c>
      <c r="AC239" s="1027">
        <f>OPEX_SPE!AC58</f>
        <v>60544.124640881331</v>
      </c>
      <c r="AD239" s="1027">
        <f>OPEX_SPE!AD58</f>
        <v>60544.124640881331</v>
      </c>
      <c r="AE239" s="1027">
        <f>OPEX_SPE!AE58</f>
        <v>60544.124640881331</v>
      </c>
      <c r="AF239" s="1027">
        <f>OPEX_SPE!AF58</f>
        <v>60544.124640881331</v>
      </c>
      <c r="AG239" s="1027">
        <f>OPEX_SPE!AG58</f>
        <v>60544.124640881331</v>
      </c>
      <c r="AH239" s="1027">
        <f>OPEX_SPE!AH58</f>
        <v>60544.124640881331</v>
      </c>
      <c r="AI239" s="1027">
        <f>OPEX_SPE!AI58</f>
        <v>60544.124640881331</v>
      </c>
    </row>
    <row r="240" spans="3:35" s="77" customFormat="1" hidden="1" outlineLevel="1" x14ac:dyDescent="0.35">
      <c r="C240" s="1024"/>
      <c r="D240" s="1025" t="s">
        <v>5</v>
      </c>
      <c r="E240" s="1026">
        <f t="shared" ref="E240:E255" si="77">SUM(F240:AI240)</f>
        <v>3944721.7055086824</v>
      </c>
      <c r="F240" s="1033">
        <f>OPEX_SPE!F59</f>
        <v>131490.72351695615</v>
      </c>
      <c r="G240" s="1027">
        <f>OPEX_SPE!G59</f>
        <v>131490.72351695615</v>
      </c>
      <c r="H240" s="1027">
        <f>OPEX_SPE!H59</f>
        <v>131490.72351695615</v>
      </c>
      <c r="I240" s="1027">
        <f>OPEX_SPE!I59</f>
        <v>131490.72351695615</v>
      </c>
      <c r="J240" s="1027">
        <f>OPEX_SPE!J59</f>
        <v>131490.72351695615</v>
      </c>
      <c r="K240" s="1027">
        <f>OPEX_SPE!K59</f>
        <v>131490.72351695615</v>
      </c>
      <c r="L240" s="1027">
        <f>OPEX_SPE!L59</f>
        <v>131490.72351695615</v>
      </c>
      <c r="M240" s="1027">
        <f>OPEX_SPE!M59</f>
        <v>131490.72351695615</v>
      </c>
      <c r="N240" s="1027">
        <f>OPEX_SPE!N59</f>
        <v>131490.72351695615</v>
      </c>
      <c r="O240" s="1027">
        <f>OPEX_SPE!O59</f>
        <v>131490.72351695615</v>
      </c>
      <c r="P240" s="1027">
        <f>OPEX_SPE!P59</f>
        <v>131490.72351695615</v>
      </c>
      <c r="Q240" s="1027">
        <f>OPEX_SPE!Q59</f>
        <v>131490.72351695615</v>
      </c>
      <c r="R240" s="1027">
        <f>OPEX_SPE!R59</f>
        <v>131490.72351695615</v>
      </c>
      <c r="S240" s="1027">
        <f>OPEX_SPE!S59</f>
        <v>131490.72351695615</v>
      </c>
      <c r="T240" s="1027">
        <f>OPEX_SPE!T59</f>
        <v>131490.72351695615</v>
      </c>
      <c r="U240" s="1027">
        <f>OPEX_SPE!U59</f>
        <v>131490.72351695615</v>
      </c>
      <c r="V240" s="1027">
        <f>OPEX_SPE!V59</f>
        <v>131490.72351695615</v>
      </c>
      <c r="W240" s="1027">
        <f>OPEX_SPE!W59</f>
        <v>131490.72351695615</v>
      </c>
      <c r="X240" s="1027">
        <f>OPEX_SPE!X59</f>
        <v>131490.72351695615</v>
      </c>
      <c r="Y240" s="1027">
        <f>OPEX_SPE!Y59</f>
        <v>131490.72351695615</v>
      </c>
      <c r="Z240" s="1027">
        <f>OPEX_SPE!Z59</f>
        <v>131490.72351695615</v>
      </c>
      <c r="AA240" s="1027">
        <f>OPEX_SPE!AA59</f>
        <v>131490.72351695615</v>
      </c>
      <c r="AB240" s="1027">
        <f>OPEX_SPE!AB59</f>
        <v>131490.72351695615</v>
      </c>
      <c r="AC240" s="1027">
        <f>OPEX_SPE!AC59</f>
        <v>131490.72351695615</v>
      </c>
      <c r="AD240" s="1027">
        <f>OPEX_SPE!AD59</f>
        <v>131490.72351695615</v>
      </c>
      <c r="AE240" s="1027">
        <f>OPEX_SPE!AE59</f>
        <v>131490.72351695615</v>
      </c>
      <c r="AF240" s="1027">
        <f>OPEX_SPE!AF59</f>
        <v>131490.72351695615</v>
      </c>
      <c r="AG240" s="1027">
        <f>OPEX_SPE!AG59</f>
        <v>131490.72351695615</v>
      </c>
      <c r="AH240" s="1027">
        <f>OPEX_SPE!AH59</f>
        <v>131490.72351695615</v>
      </c>
      <c r="AI240" s="1027">
        <f>OPEX_SPE!AI59</f>
        <v>131490.72351695615</v>
      </c>
    </row>
    <row r="241" spans="3:35" s="77" customFormat="1" hidden="1" outlineLevel="1" x14ac:dyDescent="0.35">
      <c r="C241" s="1024"/>
      <c r="D241" s="1025" t="s">
        <v>6</v>
      </c>
      <c r="E241" s="1026">
        <f t="shared" si="77"/>
        <v>43667379.376059838</v>
      </c>
      <c r="F241" s="1033">
        <f>OPEX_SPE!F60</f>
        <v>1455579.3125353276</v>
      </c>
      <c r="G241" s="1027">
        <f>OPEX_SPE!G60</f>
        <v>1455579.3125353276</v>
      </c>
      <c r="H241" s="1027">
        <f>OPEX_SPE!H60</f>
        <v>1455579.3125353276</v>
      </c>
      <c r="I241" s="1027">
        <f>OPEX_SPE!I60</f>
        <v>1455579.3125353276</v>
      </c>
      <c r="J241" s="1027">
        <f>OPEX_SPE!J60</f>
        <v>1455579.3125353276</v>
      </c>
      <c r="K241" s="1027">
        <f>OPEX_SPE!K60</f>
        <v>1455579.3125353276</v>
      </c>
      <c r="L241" s="1027">
        <f>OPEX_SPE!L60</f>
        <v>1455579.3125353276</v>
      </c>
      <c r="M241" s="1027">
        <f>OPEX_SPE!M60</f>
        <v>1455579.3125353276</v>
      </c>
      <c r="N241" s="1027">
        <f>OPEX_SPE!N60</f>
        <v>1455579.3125353276</v>
      </c>
      <c r="O241" s="1027">
        <f>OPEX_SPE!O60</f>
        <v>1455579.3125353276</v>
      </c>
      <c r="P241" s="1027">
        <f>OPEX_SPE!P60</f>
        <v>1455579.3125353276</v>
      </c>
      <c r="Q241" s="1027">
        <f>OPEX_SPE!Q60</f>
        <v>1455579.3125353276</v>
      </c>
      <c r="R241" s="1027">
        <f>OPEX_SPE!R60</f>
        <v>1455579.3125353276</v>
      </c>
      <c r="S241" s="1027">
        <f>OPEX_SPE!S60</f>
        <v>1455579.3125353276</v>
      </c>
      <c r="T241" s="1027">
        <f>OPEX_SPE!T60</f>
        <v>1455579.3125353276</v>
      </c>
      <c r="U241" s="1027">
        <f>OPEX_SPE!U60</f>
        <v>1455579.3125353276</v>
      </c>
      <c r="V241" s="1027">
        <f>OPEX_SPE!V60</f>
        <v>1455579.3125353276</v>
      </c>
      <c r="W241" s="1027">
        <f>OPEX_SPE!W60</f>
        <v>1455579.3125353276</v>
      </c>
      <c r="X241" s="1027">
        <f>OPEX_SPE!X60</f>
        <v>1455579.3125353276</v>
      </c>
      <c r="Y241" s="1027">
        <f>OPEX_SPE!Y60</f>
        <v>1455579.3125353276</v>
      </c>
      <c r="Z241" s="1027">
        <f>OPEX_SPE!Z60</f>
        <v>1455579.3125353276</v>
      </c>
      <c r="AA241" s="1027">
        <f>OPEX_SPE!AA60</f>
        <v>1455579.3125353276</v>
      </c>
      <c r="AB241" s="1027">
        <f>OPEX_SPE!AB60</f>
        <v>1455579.3125353276</v>
      </c>
      <c r="AC241" s="1027">
        <f>OPEX_SPE!AC60</f>
        <v>1455579.3125353276</v>
      </c>
      <c r="AD241" s="1027">
        <f>OPEX_SPE!AD60</f>
        <v>1455579.3125353276</v>
      </c>
      <c r="AE241" s="1027">
        <f>OPEX_SPE!AE60</f>
        <v>1455579.3125353276</v>
      </c>
      <c r="AF241" s="1027">
        <f>OPEX_SPE!AF60</f>
        <v>1455579.3125353276</v>
      </c>
      <c r="AG241" s="1027">
        <f>OPEX_SPE!AG60</f>
        <v>1455579.3125353276</v>
      </c>
      <c r="AH241" s="1027">
        <f>OPEX_SPE!AH60</f>
        <v>1455579.3125353276</v>
      </c>
      <c r="AI241" s="1027">
        <f>OPEX_SPE!AI60</f>
        <v>1455579.3125353276</v>
      </c>
    </row>
    <row r="242" spans="3:35" s="77" customFormat="1" hidden="1" outlineLevel="1" x14ac:dyDescent="0.35">
      <c r="C242" s="1024"/>
      <c r="D242" s="1025" t="s">
        <v>7</v>
      </c>
      <c r="E242" s="1026">
        <f t="shared" si="77"/>
        <v>3565682.7164388364</v>
      </c>
      <c r="F242" s="1033">
        <f>OPEX_SPE!F61</f>
        <v>118856.09054796127</v>
      </c>
      <c r="G242" s="1027">
        <f>OPEX_SPE!G61</f>
        <v>118856.09054796127</v>
      </c>
      <c r="H242" s="1027">
        <f>OPEX_SPE!H61</f>
        <v>118856.09054796127</v>
      </c>
      <c r="I242" s="1027">
        <f>OPEX_SPE!I61</f>
        <v>118856.09054796127</v>
      </c>
      <c r="J242" s="1027">
        <f>OPEX_SPE!J61</f>
        <v>118856.09054796127</v>
      </c>
      <c r="K242" s="1027">
        <f>OPEX_SPE!K61</f>
        <v>118856.09054796127</v>
      </c>
      <c r="L242" s="1027">
        <f>OPEX_SPE!L61</f>
        <v>118856.09054796127</v>
      </c>
      <c r="M242" s="1027">
        <f>OPEX_SPE!M61</f>
        <v>118856.09054796127</v>
      </c>
      <c r="N242" s="1027">
        <f>OPEX_SPE!N61</f>
        <v>118856.09054796127</v>
      </c>
      <c r="O242" s="1027">
        <f>OPEX_SPE!O61</f>
        <v>118856.09054796127</v>
      </c>
      <c r="P242" s="1027">
        <f>OPEX_SPE!P61</f>
        <v>118856.09054796127</v>
      </c>
      <c r="Q242" s="1027">
        <f>OPEX_SPE!Q61</f>
        <v>118856.09054796127</v>
      </c>
      <c r="R242" s="1027">
        <f>OPEX_SPE!R61</f>
        <v>118856.09054796127</v>
      </c>
      <c r="S242" s="1027">
        <f>OPEX_SPE!S61</f>
        <v>118856.09054796127</v>
      </c>
      <c r="T242" s="1027">
        <f>OPEX_SPE!T61</f>
        <v>118856.09054796127</v>
      </c>
      <c r="U242" s="1027">
        <f>OPEX_SPE!U61</f>
        <v>118856.09054796127</v>
      </c>
      <c r="V242" s="1027">
        <f>OPEX_SPE!V61</f>
        <v>118856.09054796127</v>
      </c>
      <c r="W242" s="1027">
        <f>OPEX_SPE!W61</f>
        <v>118856.09054796127</v>
      </c>
      <c r="X242" s="1027">
        <f>OPEX_SPE!X61</f>
        <v>118856.09054796127</v>
      </c>
      <c r="Y242" s="1027">
        <f>OPEX_SPE!Y61</f>
        <v>118856.09054796127</v>
      </c>
      <c r="Z242" s="1027">
        <f>OPEX_SPE!Z61</f>
        <v>118856.09054796127</v>
      </c>
      <c r="AA242" s="1027">
        <f>OPEX_SPE!AA61</f>
        <v>118856.09054796127</v>
      </c>
      <c r="AB242" s="1027">
        <f>OPEX_SPE!AB61</f>
        <v>118856.09054796127</v>
      </c>
      <c r="AC242" s="1027">
        <f>OPEX_SPE!AC61</f>
        <v>118856.09054796127</v>
      </c>
      <c r="AD242" s="1027">
        <f>OPEX_SPE!AD61</f>
        <v>118856.09054796127</v>
      </c>
      <c r="AE242" s="1027">
        <f>OPEX_SPE!AE61</f>
        <v>118856.09054796127</v>
      </c>
      <c r="AF242" s="1027">
        <f>OPEX_SPE!AF61</f>
        <v>118856.09054796127</v>
      </c>
      <c r="AG242" s="1027">
        <f>OPEX_SPE!AG61</f>
        <v>118856.09054796127</v>
      </c>
      <c r="AH242" s="1027">
        <f>OPEX_SPE!AH61</f>
        <v>118856.09054796127</v>
      </c>
      <c r="AI242" s="1027">
        <f>OPEX_SPE!AI61</f>
        <v>118856.09054796127</v>
      </c>
    </row>
    <row r="243" spans="3:35" s="77" customFormat="1" hidden="1" outlineLevel="1" x14ac:dyDescent="0.35">
      <c r="C243" s="1024"/>
      <c r="D243" s="1025" t="s">
        <v>8</v>
      </c>
      <c r="E243" s="1026">
        <f t="shared" si="77"/>
        <v>3248523.0493604257</v>
      </c>
      <c r="F243" s="1033">
        <f>OPEX_SPE!F62</f>
        <v>108284.10164534747</v>
      </c>
      <c r="G243" s="1027">
        <f>OPEX_SPE!G62</f>
        <v>108284.10164534747</v>
      </c>
      <c r="H243" s="1027">
        <f>OPEX_SPE!H62</f>
        <v>108284.10164534747</v>
      </c>
      <c r="I243" s="1027">
        <f>OPEX_SPE!I62</f>
        <v>108284.10164534747</v>
      </c>
      <c r="J243" s="1027">
        <f>OPEX_SPE!J62</f>
        <v>108284.10164534747</v>
      </c>
      <c r="K243" s="1027">
        <f>OPEX_SPE!K62</f>
        <v>108284.10164534747</v>
      </c>
      <c r="L243" s="1027">
        <f>OPEX_SPE!L62</f>
        <v>108284.10164534747</v>
      </c>
      <c r="M243" s="1027">
        <f>OPEX_SPE!M62</f>
        <v>108284.10164534747</v>
      </c>
      <c r="N243" s="1027">
        <f>OPEX_SPE!N62</f>
        <v>108284.10164534747</v>
      </c>
      <c r="O243" s="1027">
        <f>OPEX_SPE!O62</f>
        <v>108284.10164534747</v>
      </c>
      <c r="P243" s="1027">
        <f>OPEX_SPE!P62</f>
        <v>108284.10164534747</v>
      </c>
      <c r="Q243" s="1027">
        <f>OPEX_SPE!Q62</f>
        <v>108284.10164534747</v>
      </c>
      <c r="R243" s="1027">
        <f>OPEX_SPE!R62</f>
        <v>108284.10164534747</v>
      </c>
      <c r="S243" s="1027">
        <f>OPEX_SPE!S62</f>
        <v>108284.10164534747</v>
      </c>
      <c r="T243" s="1027">
        <f>OPEX_SPE!T62</f>
        <v>108284.10164534747</v>
      </c>
      <c r="U243" s="1027">
        <f>OPEX_SPE!U62</f>
        <v>108284.10164534747</v>
      </c>
      <c r="V243" s="1027">
        <f>OPEX_SPE!V62</f>
        <v>108284.10164534747</v>
      </c>
      <c r="W243" s="1027">
        <f>OPEX_SPE!W62</f>
        <v>108284.10164534747</v>
      </c>
      <c r="X243" s="1027">
        <f>OPEX_SPE!X62</f>
        <v>108284.10164534747</v>
      </c>
      <c r="Y243" s="1027">
        <f>OPEX_SPE!Y62</f>
        <v>108284.10164534747</v>
      </c>
      <c r="Z243" s="1027">
        <f>OPEX_SPE!Z62</f>
        <v>108284.10164534747</v>
      </c>
      <c r="AA243" s="1027">
        <f>OPEX_SPE!AA62</f>
        <v>108284.10164534747</v>
      </c>
      <c r="AB243" s="1027">
        <f>OPEX_SPE!AB62</f>
        <v>108284.10164534747</v>
      </c>
      <c r="AC243" s="1027">
        <f>OPEX_SPE!AC62</f>
        <v>108284.10164534747</v>
      </c>
      <c r="AD243" s="1027">
        <f>OPEX_SPE!AD62</f>
        <v>108284.10164534747</v>
      </c>
      <c r="AE243" s="1027">
        <f>OPEX_SPE!AE62</f>
        <v>108284.10164534747</v>
      </c>
      <c r="AF243" s="1027">
        <f>OPEX_SPE!AF62</f>
        <v>108284.10164534747</v>
      </c>
      <c r="AG243" s="1027">
        <f>OPEX_SPE!AG62</f>
        <v>108284.10164534747</v>
      </c>
      <c r="AH243" s="1027">
        <f>OPEX_SPE!AH62</f>
        <v>108284.10164534747</v>
      </c>
      <c r="AI243" s="1027">
        <f>OPEX_SPE!AI62</f>
        <v>108284.10164534747</v>
      </c>
    </row>
    <row r="244" spans="3:35" s="77" customFormat="1" hidden="1" outlineLevel="1" x14ac:dyDescent="0.35">
      <c r="C244" s="1024"/>
      <c r="D244" s="1025" t="s">
        <v>9</v>
      </c>
      <c r="E244" s="1026">
        <f t="shared" si="77"/>
        <v>2665524.2174500409</v>
      </c>
      <c r="F244" s="1033">
        <f>OPEX_SPE!F63</f>
        <v>88850.807248334691</v>
      </c>
      <c r="G244" s="1027">
        <f>OPEX_SPE!G63</f>
        <v>88850.807248334691</v>
      </c>
      <c r="H244" s="1027">
        <f>OPEX_SPE!H63</f>
        <v>88850.807248334691</v>
      </c>
      <c r="I244" s="1027">
        <f>OPEX_SPE!I63</f>
        <v>88850.807248334691</v>
      </c>
      <c r="J244" s="1027">
        <f>OPEX_SPE!J63</f>
        <v>88850.807248334691</v>
      </c>
      <c r="K244" s="1027">
        <f>OPEX_SPE!K63</f>
        <v>88850.807248334691</v>
      </c>
      <c r="L244" s="1027">
        <f>OPEX_SPE!L63</f>
        <v>88850.807248334691</v>
      </c>
      <c r="M244" s="1027">
        <f>OPEX_SPE!M63</f>
        <v>88850.807248334691</v>
      </c>
      <c r="N244" s="1027">
        <f>OPEX_SPE!N63</f>
        <v>88850.807248334691</v>
      </c>
      <c r="O244" s="1027">
        <f>OPEX_SPE!O63</f>
        <v>88850.807248334691</v>
      </c>
      <c r="P244" s="1027">
        <f>OPEX_SPE!P63</f>
        <v>88850.807248334691</v>
      </c>
      <c r="Q244" s="1027">
        <f>OPEX_SPE!Q63</f>
        <v>88850.807248334691</v>
      </c>
      <c r="R244" s="1027">
        <f>OPEX_SPE!R63</f>
        <v>88850.807248334691</v>
      </c>
      <c r="S244" s="1027">
        <f>OPEX_SPE!S63</f>
        <v>88850.807248334691</v>
      </c>
      <c r="T244" s="1027">
        <f>OPEX_SPE!T63</f>
        <v>88850.807248334691</v>
      </c>
      <c r="U244" s="1027">
        <f>OPEX_SPE!U63</f>
        <v>88850.807248334691</v>
      </c>
      <c r="V244" s="1027">
        <f>OPEX_SPE!V63</f>
        <v>88850.807248334691</v>
      </c>
      <c r="W244" s="1027">
        <f>OPEX_SPE!W63</f>
        <v>88850.807248334691</v>
      </c>
      <c r="X244" s="1027">
        <f>OPEX_SPE!X63</f>
        <v>88850.807248334691</v>
      </c>
      <c r="Y244" s="1027">
        <f>OPEX_SPE!Y63</f>
        <v>88850.807248334691</v>
      </c>
      <c r="Z244" s="1027">
        <f>OPEX_SPE!Z63</f>
        <v>88850.807248334691</v>
      </c>
      <c r="AA244" s="1027">
        <f>OPEX_SPE!AA63</f>
        <v>88850.807248334691</v>
      </c>
      <c r="AB244" s="1027">
        <f>OPEX_SPE!AB63</f>
        <v>88850.807248334691</v>
      </c>
      <c r="AC244" s="1027">
        <f>OPEX_SPE!AC63</f>
        <v>88850.807248334691</v>
      </c>
      <c r="AD244" s="1027">
        <f>OPEX_SPE!AD63</f>
        <v>88850.807248334691</v>
      </c>
      <c r="AE244" s="1027">
        <f>OPEX_SPE!AE63</f>
        <v>88850.807248334691</v>
      </c>
      <c r="AF244" s="1027">
        <f>OPEX_SPE!AF63</f>
        <v>88850.807248334691</v>
      </c>
      <c r="AG244" s="1027">
        <f>OPEX_SPE!AG63</f>
        <v>88850.807248334691</v>
      </c>
      <c r="AH244" s="1027">
        <f>OPEX_SPE!AH63</f>
        <v>88850.807248334691</v>
      </c>
      <c r="AI244" s="1027">
        <f>OPEX_SPE!AI63</f>
        <v>88850.807248334691</v>
      </c>
    </row>
    <row r="245" spans="3:35" s="77" customFormat="1" collapsed="1" x14ac:dyDescent="0.35">
      <c r="C245" s="77" t="s">
        <v>472</v>
      </c>
      <c r="D245" s="1331"/>
      <c r="E245" s="489">
        <f t="shared" si="77"/>
        <v>18000000</v>
      </c>
      <c r="F245" s="1332">
        <f>IF(F93&gt;'Premissas Gerais'!$E$7,0,'Premissas Gerais'!$G$80*12)</f>
        <v>600000</v>
      </c>
      <c r="G245" s="490">
        <f>IF(G93&gt;'Premissas Gerais'!$E$7,0,'Premissas Gerais'!$G$80*12)</f>
        <v>600000</v>
      </c>
      <c r="H245" s="490">
        <f>IF(H93&gt;'Premissas Gerais'!$E$7,0,'Premissas Gerais'!$G$80*12)</f>
        <v>600000</v>
      </c>
      <c r="I245" s="490">
        <f>IF(I93&gt;'Premissas Gerais'!$E$7,0,'Premissas Gerais'!$G$80*12)</f>
        <v>600000</v>
      </c>
      <c r="J245" s="490">
        <f>IF(J93&gt;'Premissas Gerais'!$E$7,0,'Premissas Gerais'!$G$80*12)</f>
        <v>600000</v>
      </c>
      <c r="K245" s="490">
        <f>IF(K93&gt;'Premissas Gerais'!$E$7,0,'Premissas Gerais'!$G$80*12)</f>
        <v>600000</v>
      </c>
      <c r="L245" s="490">
        <f>IF(L93&gt;'Premissas Gerais'!$E$7,0,'Premissas Gerais'!$G$80*12)</f>
        <v>600000</v>
      </c>
      <c r="M245" s="490">
        <f>IF(M93&gt;'Premissas Gerais'!$E$7,0,'Premissas Gerais'!$G$80*12)</f>
        <v>600000</v>
      </c>
      <c r="N245" s="490">
        <f>IF(N93&gt;'Premissas Gerais'!$E$7,0,'Premissas Gerais'!$G$80*12)</f>
        <v>600000</v>
      </c>
      <c r="O245" s="490">
        <f>IF(O93&gt;'Premissas Gerais'!$E$7,0,'Premissas Gerais'!$G$80*12)</f>
        <v>600000</v>
      </c>
      <c r="P245" s="490">
        <f>IF(P93&gt;'Premissas Gerais'!$E$7,0,'Premissas Gerais'!$G$80*12)</f>
        <v>600000</v>
      </c>
      <c r="Q245" s="490">
        <f>IF(Q93&gt;'Premissas Gerais'!$E$7,0,'Premissas Gerais'!$G$80*12)</f>
        <v>600000</v>
      </c>
      <c r="R245" s="490">
        <f>IF(R93&gt;'Premissas Gerais'!$E$7,0,'Premissas Gerais'!$G$80*12)</f>
        <v>600000</v>
      </c>
      <c r="S245" s="490">
        <f>IF(S93&gt;'Premissas Gerais'!$E$7,0,'Premissas Gerais'!$G$80*12)</f>
        <v>600000</v>
      </c>
      <c r="T245" s="490">
        <f>IF(T93&gt;'Premissas Gerais'!$E$7,0,'Premissas Gerais'!$G$80*12)</f>
        <v>600000</v>
      </c>
      <c r="U245" s="490">
        <f>IF(U93&gt;'Premissas Gerais'!$E$7,0,'Premissas Gerais'!$G$80*12)</f>
        <v>600000</v>
      </c>
      <c r="V245" s="490">
        <f>IF(V93&gt;'Premissas Gerais'!$E$7,0,'Premissas Gerais'!$G$80*12)</f>
        <v>600000</v>
      </c>
      <c r="W245" s="490">
        <f>IF(W93&gt;'Premissas Gerais'!$E$7,0,'Premissas Gerais'!$G$80*12)</f>
        <v>600000</v>
      </c>
      <c r="X245" s="490">
        <f>IF(X93&gt;'Premissas Gerais'!$E$7,0,'Premissas Gerais'!$G$80*12)</f>
        <v>600000</v>
      </c>
      <c r="Y245" s="490">
        <f>IF(Y93&gt;'Premissas Gerais'!$E$7,0,'Premissas Gerais'!$G$80*12)</f>
        <v>600000</v>
      </c>
      <c r="Z245" s="490">
        <f>IF(Z93&gt;'Premissas Gerais'!$E$7,0,'Premissas Gerais'!$G$80*12)</f>
        <v>600000</v>
      </c>
      <c r="AA245" s="490">
        <f>IF(AA93&gt;'Premissas Gerais'!$E$7,0,'Premissas Gerais'!$G$80*12)</f>
        <v>600000</v>
      </c>
      <c r="AB245" s="490">
        <f>IF(AB93&gt;'Premissas Gerais'!$E$7,0,'Premissas Gerais'!$G$80*12)</f>
        <v>600000</v>
      </c>
      <c r="AC245" s="490">
        <f>IF(AC93&gt;'Premissas Gerais'!$E$7,0,'Premissas Gerais'!$G$80*12)</f>
        <v>600000</v>
      </c>
      <c r="AD245" s="490">
        <f>IF(AD93&gt;'Premissas Gerais'!$E$7,0,'Premissas Gerais'!$G$80*12)</f>
        <v>600000</v>
      </c>
      <c r="AE245" s="490">
        <f>IF(AE93&gt;'Premissas Gerais'!$E$7,0,'Premissas Gerais'!$G$80*12)</f>
        <v>600000</v>
      </c>
      <c r="AF245" s="490">
        <f>IF(AF93&gt;'Premissas Gerais'!$E$7,0,'Premissas Gerais'!$G$80*12)</f>
        <v>600000</v>
      </c>
      <c r="AG245" s="490">
        <f>IF(AG93&gt;'Premissas Gerais'!$E$7,0,'Premissas Gerais'!$G$80*12)</f>
        <v>600000</v>
      </c>
      <c r="AH245" s="490">
        <f>IF(AH93&gt;'Premissas Gerais'!$E$7,0,'Premissas Gerais'!$G$80*12)</f>
        <v>600000</v>
      </c>
      <c r="AI245" s="490">
        <f>IF(AI93&gt;'Premissas Gerais'!$E$7,0,'Premissas Gerais'!$G$80*12)</f>
        <v>600000</v>
      </c>
    </row>
    <row r="246" spans="3:35" s="77" customFormat="1" x14ac:dyDescent="0.35">
      <c r="C246" s="77" t="s">
        <v>473</v>
      </c>
      <c r="D246" s="1331"/>
      <c r="E246" s="489">
        <f t="shared" si="77"/>
        <v>43426342.427000009</v>
      </c>
      <c r="F246" s="1332">
        <f>IF(F93&gt;'Premissas Gerais'!$E$7,0,'OPEX_Inclusão Catador'!F101)</f>
        <v>2048350.9469999997</v>
      </c>
      <c r="G246" s="490">
        <f>IF(G93&gt;'Premissas Gerais'!$E$7,0,'OPEX_Inclusão Catador'!G101)</f>
        <v>1611617.3099999998</v>
      </c>
      <c r="H246" s="490">
        <f>IF(H93&gt;'Premissas Gerais'!$E$7,0,'OPEX_Inclusão Catador'!H101)</f>
        <v>1480218.5999999999</v>
      </c>
      <c r="I246" s="490">
        <f>IF(I93&gt;'Premissas Gerais'!$E$7,0,'OPEX_Inclusão Catador'!I101)</f>
        <v>1480218.5999999999</v>
      </c>
      <c r="J246" s="490">
        <f>IF(J93&gt;'Premissas Gerais'!$E$7,0,'OPEX_Inclusão Catador'!J101)</f>
        <v>1630785.5399999998</v>
      </c>
      <c r="K246" s="490">
        <f>IF(K93&gt;'Premissas Gerais'!$E$7,0,'OPEX_Inclusão Catador'!K101)</f>
        <v>1376184.68</v>
      </c>
      <c r="L246" s="490">
        <f>IF(L93&gt;'Premissas Gerais'!$E$7,0,'OPEX_Inclusão Catador'!L101)</f>
        <v>1376184.68</v>
      </c>
      <c r="M246" s="490">
        <f>IF(M93&gt;'Premissas Gerais'!$E$7,0,'OPEX_Inclusão Catador'!M101)</f>
        <v>1382084.5899999999</v>
      </c>
      <c r="N246" s="490">
        <f>IF(N93&gt;'Premissas Gerais'!$E$7,0,'OPEX_Inclusão Catador'!N101)</f>
        <v>1376184.68</v>
      </c>
      <c r="O246" s="490">
        <f>IF(O93&gt;'Premissas Gerais'!$E$7,0,'OPEX_Inclusão Catador'!O101)</f>
        <v>1520851.71</v>
      </c>
      <c r="P246" s="490">
        <f>IF(P93&gt;'Premissas Gerais'!$E$7,0,'OPEX_Inclusão Catador'!P101)</f>
        <v>1382084.5899999999</v>
      </c>
      <c r="Q246" s="490">
        <f>IF(Q93&gt;'Premissas Gerais'!$E$7,0,'OPEX_Inclusão Catador'!Q101)</f>
        <v>1376184.68</v>
      </c>
      <c r="R246" s="490">
        <f>IF(R93&gt;'Premissas Gerais'!$E$7,0,'OPEX_Inclusão Catador'!R101)</f>
        <v>1376184.68</v>
      </c>
      <c r="S246" s="490">
        <f>IF(S93&gt;'Premissas Gerais'!$E$7,0,'OPEX_Inclusão Catador'!S101)</f>
        <v>1382084.5899999999</v>
      </c>
      <c r="T246" s="490">
        <f>IF(T93&gt;'Premissas Gerais'!$E$7,0,'OPEX_Inclusão Catador'!T101)</f>
        <v>1520851.71</v>
      </c>
      <c r="U246" s="490">
        <f>IF(U93&gt;'Premissas Gerais'!$E$7,0,'OPEX_Inclusão Catador'!U101)</f>
        <v>1376184.68</v>
      </c>
      <c r="V246" s="490">
        <f>IF(V93&gt;'Premissas Gerais'!$E$7,0,'OPEX_Inclusão Catador'!V101)</f>
        <v>1382084.5899999999</v>
      </c>
      <c r="W246" s="490">
        <f>IF(W93&gt;'Premissas Gerais'!$E$7,0,'OPEX_Inclusão Catador'!W101)</f>
        <v>1376184.68</v>
      </c>
      <c r="X246" s="490">
        <f>IF(X93&gt;'Premissas Gerais'!$E$7,0,'OPEX_Inclusão Catador'!X101)</f>
        <v>1376184.68</v>
      </c>
      <c r="Y246" s="490">
        <f>IF(Y93&gt;'Premissas Gerais'!$E$7,0,'OPEX_Inclusão Catador'!Y101)</f>
        <v>1526751.6199999999</v>
      </c>
      <c r="Z246" s="490">
        <f>IF(Z93&gt;'Premissas Gerais'!$E$7,0,'OPEX_Inclusão Catador'!Z101)</f>
        <v>1376184.68</v>
      </c>
      <c r="AA246" s="490">
        <f>IF(AA93&gt;'Premissas Gerais'!$E$7,0,'OPEX_Inclusão Catador'!AA101)</f>
        <v>1376184.68</v>
      </c>
      <c r="AB246" s="490">
        <f>IF(AB93&gt;'Premissas Gerais'!$E$7,0,'OPEX_Inclusão Catador'!AB101)</f>
        <v>1382084.5899999999</v>
      </c>
      <c r="AC246" s="490">
        <f>IF(AC93&gt;'Premissas Gerais'!$E$7,0,'OPEX_Inclusão Catador'!AC101)</f>
        <v>1376184.68</v>
      </c>
      <c r="AD246" s="490">
        <f>IF(AD93&gt;'Premissas Gerais'!$E$7,0,'OPEX_Inclusão Catador'!AD101)</f>
        <v>1520851.71</v>
      </c>
      <c r="AE246" s="490">
        <f>IF(AE93&gt;'Premissas Gerais'!$E$7,0,'OPEX_Inclusão Catador'!AE101)</f>
        <v>1382084.5899999999</v>
      </c>
      <c r="AF246" s="490">
        <f>IF(AF93&gt;'Premissas Gerais'!$E$7,0,'OPEX_Inclusão Catador'!AF101)</f>
        <v>1376184.68</v>
      </c>
      <c r="AG246" s="490">
        <f>IF(AG93&gt;'Premissas Gerais'!$E$7,0,'OPEX_Inclusão Catador'!AG101)</f>
        <v>1376184.68</v>
      </c>
      <c r="AH246" s="490">
        <f>IF(AH93&gt;'Premissas Gerais'!$E$7,0,'OPEX_Inclusão Catador'!AH101)</f>
        <v>1382084.5899999999</v>
      </c>
      <c r="AI246" s="490">
        <f>IF(AI93&gt;'Premissas Gerais'!$E$7,0,'OPEX_Inclusão Catador'!AI101)</f>
        <v>1520851.71</v>
      </c>
    </row>
    <row r="247" spans="3:35" s="77" customFormat="1" hidden="1" outlineLevel="1" x14ac:dyDescent="0.35">
      <c r="C247" s="1020"/>
      <c r="D247" s="1021" t="s">
        <v>1</v>
      </c>
      <c r="E247" s="1022">
        <f t="shared" si="77"/>
        <v>296479.16955639981</v>
      </c>
      <c r="F247" s="1032">
        <f>'OPEX_Inclusão Catador'!F106</f>
        <v>13984.447084105454</v>
      </c>
      <c r="G247" s="1023">
        <f>'OPEX_Inclusão Catador'!G106</f>
        <v>11002.79081791709</v>
      </c>
      <c r="H247" s="1023">
        <f>'OPEX_Inclusão Catador'!H106</f>
        <v>10105.709041180558</v>
      </c>
      <c r="I247" s="1023">
        <f>'OPEX_Inclusão Catador'!I106</f>
        <v>10105.709041180558</v>
      </c>
      <c r="J247" s="1023">
        <f>'OPEX_Inclusão Catador'!J106</f>
        <v>11133.655647756701</v>
      </c>
      <c r="K247" s="1023">
        <f>'OPEX_Inclusão Catador'!K106</f>
        <v>9395.4514306266483</v>
      </c>
      <c r="L247" s="1023">
        <f>'OPEX_Inclusão Catador'!L106</f>
        <v>9395.4514306266483</v>
      </c>
      <c r="M247" s="1023">
        <f>'OPEX_Inclusão Catador'!M106</f>
        <v>9435.7311391974963</v>
      </c>
      <c r="N247" s="1023">
        <f>'OPEX_Inclusão Catador'!N106</f>
        <v>9395.4514306266483</v>
      </c>
      <c r="O247" s="1023">
        <f>'OPEX_Inclusão Catador'!O106</f>
        <v>10383.118328631941</v>
      </c>
      <c r="P247" s="1023">
        <f>'OPEX_Inclusão Catador'!P106</f>
        <v>9435.7311391974963</v>
      </c>
      <c r="Q247" s="1023">
        <f>'OPEX_Inclusão Catador'!Q106</f>
        <v>9395.4514306266483</v>
      </c>
      <c r="R247" s="1023">
        <f>'OPEX_Inclusão Catador'!R106</f>
        <v>9395.4514306266483</v>
      </c>
      <c r="S247" s="1023">
        <f>'OPEX_Inclusão Catador'!S106</f>
        <v>9435.7311391974963</v>
      </c>
      <c r="T247" s="1023">
        <f>'OPEX_Inclusão Catador'!T106</f>
        <v>10383.118328631941</v>
      </c>
      <c r="U247" s="1023">
        <f>'OPEX_Inclusão Catador'!U106</f>
        <v>9395.4514306266483</v>
      </c>
      <c r="V247" s="1023">
        <f>'OPEX_Inclusão Catador'!V106</f>
        <v>9435.7311391974963</v>
      </c>
      <c r="W247" s="1023">
        <f>'OPEX_Inclusão Catador'!W106</f>
        <v>9395.4514306266483</v>
      </c>
      <c r="X247" s="1023">
        <f>'OPEX_Inclusão Catador'!X106</f>
        <v>9395.4514306266483</v>
      </c>
      <c r="Y247" s="1023">
        <f>'OPEX_Inclusão Catador'!Y106</f>
        <v>10423.398037202791</v>
      </c>
      <c r="Z247" s="1023">
        <f>'OPEX_Inclusão Catador'!Z106</f>
        <v>9395.4514306266483</v>
      </c>
      <c r="AA247" s="1023">
        <f>'OPEX_Inclusão Catador'!AA106</f>
        <v>9395.4514306266483</v>
      </c>
      <c r="AB247" s="1023">
        <f>'OPEX_Inclusão Catador'!AB106</f>
        <v>9435.7311391974963</v>
      </c>
      <c r="AC247" s="1023">
        <f>'OPEX_Inclusão Catador'!AC106</f>
        <v>9395.4514306266483</v>
      </c>
      <c r="AD247" s="1023">
        <f>'OPEX_Inclusão Catador'!AD106</f>
        <v>10383.118328631941</v>
      </c>
      <c r="AE247" s="1023">
        <f>'OPEX_Inclusão Catador'!AE106</f>
        <v>9435.7311391974963</v>
      </c>
      <c r="AF247" s="1023">
        <f>'OPEX_Inclusão Catador'!AF106</f>
        <v>9395.4514306266483</v>
      </c>
      <c r="AG247" s="1023">
        <f>'OPEX_Inclusão Catador'!AG106</f>
        <v>9395.4514306266483</v>
      </c>
      <c r="AH247" s="1023">
        <f>'OPEX_Inclusão Catador'!AH106</f>
        <v>9435.7311391974963</v>
      </c>
      <c r="AI247" s="1023">
        <f>'OPEX_Inclusão Catador'!AI106</f>
        <v>10383.118328631941</v>
      </c>
    </row>
    <row r="248" spans="3:35" s="77" customFormat="1" hidden="1" outlineLevel="1" x14ac:dyDescent="0.35">
      <c r="C248" s="1024"/>
      <c r="D248" s="1025" t="s">
        <v>2</v>
      </c>
      <c r="E248" s="1026">
        <f t="shared" si="77"/>
        <v>3754802.5234654825</v>
      </c>
      <c r="F248" s="1033">
        <f>'OPEX_Inclusão Catador'!F107</f>
        <v>177108.01497195842</v>
      </c>
      <c r="G248" s="1027">
        <f>'OPEX_Inclusão Catador'!G107</f>
        <v>139346.40598896716</v>
      </c>
      <c r="H248" s="1027">
        <f>'OPEX_Inclusão Catador'!H107</f>
        <v>127985.18650064673</v>
      </c>
      <c r="I248" s="1027">
        <f>'OPEX_Inclusão Catador'!I107</f>
        <v>127985.18650064673</v>
      </c>
      <c r="J248" s="1027">
        <f>'OPEX_Inclusão Catador'!J107</f>
        <v>141003.76220070323</v>
      </c>
      <c r="K248" s="1027">
        <f>'OPEX_Inclusão Catador'!K107</f>
        <v>118990.02818173805</v>
      </c>
      <c r="L248" s="1027">
        <f>'OPEX_Inclusão Catador'!L107</f>
        <v>118990.02818173805</v>
      </c>
      <c r="M248" s="1027">
        <f>'OPEX_Inclusão Catador'!M107</f>
        <v>119500.15626801329</v>
      </c>
      <c r="N248" s="1027">
        <f>'OPEX_Inclusão Catador'!N107</f>
        <v>118990.02818173805</v>
      </c>
      <c r="O248" s="1027">
        <f>'OPEX_Inclusão Catador'!O107</f>
        <v>131498.47579551933</v>
      </c>
      <c r="P248" s="1027">
        <f>'OPEX_Inclusão Catador'!P107</f>
        <v>119500.15626801329</v>
      </c>
      <c r="Q248" s="1027">
        <f>'OPEX_Inclusão Catador'!Q107</f>
        <v>118990.02818173805</v>
      </c>
      <c r="R248" s="1027">
        <f>'OPEX_Inclusão Catador'!R107</f>
        <v>118990.02818173805</v>
      </c>
      <c r="S248" s="1027">
        <f>'OPEX_Inclusão Catador'!S107</f>
        <v>119500.15626801329</v>
      </c>
      <c r="T248" s="1027">
        <f>'OPEX_Inclusão Catador'!T107</f>
        <v>131498.47579551933</v>
      </c>
      <c r="U248" s="1027">
        <f>'OPEX_Inclusão Catador'!U107</f>
        <v>118990.02818173805</v>
      </c>
      <c r="V248" s="1027">
        <f>'OPEX_Inclusão Catador'!V107</f>
        <v>119500.15626801329</v>
      </c>
      <c r="W248" s="1027">
        <f>'OPEX_Inclusão Catador'!W107</f>
        <v>118990.02818173805</v>
      </c>
      <c r="X248" s="1027">
        <f>'OPEX_Inclusão Catador'!X107</f>
        <v>118990.02818173805</v>
      </c>
      <c r="Y248" s="1027">
        <f>'OPEX_Inclusão Catador'!Y107</f>
        <v>132008.60388179455</v>
      </c>
      <c r="Z248" s="1027">
        <f>'OPEX_Inclusão Catador'!Z107</f>
        <v>118990.02818173805</v>
      </c>
      <c r="AA248" s="1027">
        <f>'OPEX_Inclusão Catador'!AA107</f>
        <v>118990.02818173805</v>
      </c>
      <c r="AB248" s="1027">
        <f>'OPEX_Inclusão Catador'!AB107</f>
        <v>119500.15626801329</v>
      </c>
      <c r="AC248" s="1027">
        <f>'OPEX_Inclusão Catador'!AC107</f>
        <v>118990.02818173805</v>
      </c>
      <c r="AD248" s="1027">
        <f>'OPEX_Inclusão Catador'!AD107</f>
        <v>131498.47579551933</v>
      </c>
      <c r="AE248" s="1027">
        <f>'OPEX_Inclusão Catador'!AE107</f>
        <v>119500.15626801329</v>
      </c>
      <c r="AF248" s="1027">
        <f>'OPEX_Inclusão Catador'!AF107</f>
        <v>118990.02818173805</v>
      </c>
      <c r="AG248" s="1027">
        <f>'OPEX_Inclusão Catador'!AG107</f>
        <v>118990.02818173805</v>
      </c>
      <c r="AH248" s="1027">
        <f>'OPEX_Inclusão Catador'!AH107</f>
        <v>119500.15626801329</v>
      </c>
      <c r="AI248" s="1027">
        <f>'OPEX_Inclusão Catador'!AI107</f>
        <v>131498.47579551933</v>
      </c>
    </row>
    <row r="249" spans="3:35" s="77" customFormat="1" hidden="1" outlineLevel="1" x14ac:dyDescent="0.35">
      <c r="C249" s="1024"/>
      <c r="D249" s="1025" t="s">
        <v>3</v>
      </c>
      <c r="E249" s="1026">
        <f t="shared" si="77"/>
        <v>449801.72289187025</v>
      </c>
      <c r="F249" s="1033">
        <f>'OPEX_Inclusão Catador'!F108</f>
        <v>21216.426103501413</v>
      </c>
      <c r="G249" s="1027">
        <f>'OPEX_Inclusão Catador'!G108</f>
        <v>16692.822885071135</v>
      </c>
      <c r="H249" s="1027">
        <f>'OPEX_Inclusão Catador'!H108</f>
        <v>15331.820257619322</v>
      </c>
      <c r="I249" s="1027">
        <f>'OPEX_Inclusão Catador'!I108</f>
        <v>15331.820257619322</v>
      </c>
      <c r="J249" s="1027">
        <f>'OPEX_Inclusão Catador'!J108</f>
        <v>16891.363733711132</v>
      </c>
      <c r="K249" s="1027">
        <f>'OPEX_Inclusão Catador'!K108</f>
        <v>14254.256874659841</v>
      </c>
      <c r="L249" s="1027">
        <f>'OPEX_Inclusão Catador'!L108</f>
        <v>14254.256874659841</v>
      </c>
      <c r="M249" s="1027">
        <f>'OPEX_Inclusão Catador'!M108</f>
        <v>14315.367010457438</v>
      </c>
      <c r="N249" s="1027">
        <f>'OPEX_Inclusão Catador'!N108</f>
        <v>14254.256874659841</v>
      </c>
      <c r="O249" s="1027">
        <f>'OPEX_Inclusão Catador'!O108</f>
        <v>15752.690214954053</v>
      </c>
      <c r="P249" s="1027">
        <f>'OPEX_Inclusão Catador'!P108</f>
        <v>14315.367010457438</v>
      </c>
      <c r="Q249" s="1027">
        <f>'OPEX_Inclusão Catador'!Q108</f>
        <v>14254.256874659841</v>
      </c>
      <c r="R249" s="1027">
        <f>'OPEX_Inclusão Catador'!R108</f>
        <v>14254.256874659841</v>
      </c>
      <c r="S249" s="1027">
        <f>'OPEX_Inclusão Catador'!S108</f>
        <v>14315.367010457438</v>
      </c>
      <c r="T249" s="1027">
        <f>'OPEX_Inclusão Catador'!T108</f>
        <v>15752.690214954053</v>
      </c>
      <c r="U249" s="1027">
        <f>'OPEX_Inclusão Catador'!U108</f>
        <v>14254.256874659841</v>
      </c>
      <c r="V249" s="1027">
        <f>'OPEX_Inclusão Catador'!V108</f>
        <v>14315.367010457438</v>
      </c>
      <c r="W249" s="1027">
        <f>'OPEX_Inclusão Catador'!W108</f>
        <v>14254.256874659841</v>
      </c>
      <c r="X249" s="1027">
        <f>'OPEX_Inclusão Catador'!X108</f>
        <v>14254.256874659841</v>
      </c>
      <c r="Y249" s="1027">
        <f>'OPEX_Inclusão Catador'!Y108</f>
        <v>15813.80035075165</v>
      </c>
      <c r="Z249" s="1027">
        <f>'OPEX_Inclusão Catador'!Z108</f>
        <v>14254.256874659841</v>
      </c>
      <c r="AA249" s="1027">
        <f>'OPEX_Inclusão Catador'!AA108</f>
        <v>14254.256874659841</v>
      </c>
      <c r="AB249" s="1027">
        <f>'OPEX_Inclusão Catador'!AB108</f>
        <v>14315.367010457438</v>
      </c>
      <c r="AC249" s="1027">
        <f>'OPEX_Inclusão Catador'!AC108</f>
        <v>14254.256874659841</v>
      </c>
      <c r="AD249" s="1027">
        <f>'OPEX_Inclusão Catador'!AD108</f>
        <v>15752.690214954053</v>
      </c>
      <c r="AE249" s="1027">
        <f>'OPEX_Inclusão Catador'!AE108</f>
        <v>14315.367010457438</v>
      </c>
      <c r="AF249" s="1027">
        <f>'OPEX_Inclusão Catador'!AF108</f>
        <v>14254.256874659841</v>
      </c>
      <c r="AG249" s="1027">
        <f>'OPEX_Inclusão Catador'!AG108</f>
        <v>14254.256874659841</v>
      </c>
      <c r="AH249" s="1027">
        <f>'OPEX_Inclusão Catador'!AH108</f>
        <v>14315.367010457438</v>
      </c>
      <c r="AI249" s="1027">
        <f>'OPEX_Inclusão Catador'!AI108</f>
        <v>15752.690214954053</v>
      </c>
    </row>
    <row r="250" spans="3:35" s="77" customFormat="1" hidden="1" outlineLevel="1" x14ac:dyDescent="0.35">
      <c r="C250" s="1024"/>
      <c r="D250" s="1025" t="s">
        <v>4</v>
      </c>
      <c r="E250" s="1026">
        <f t="shared" si="77"/>
        <v>1200188.195209265</v>
      </c>
      <c r="F250" s="1033">
        <f>'OPEX_Inclusão Catador'!F109</f>
        <v>56610.952911075059</v>
      </c>
      <c r="G250" s="1027">
        <f>'OPEX_Inclusão Catador'!G109</f>
        <v>44540.800872382664</v>
      </c>
      <c r="H250" s="1027">
        <f>'OPEX_Inclusão Catador'!H109</f>
        <v>40909.29124495259</v>
      </c>
      <c r="I250" s="1027">
        <f>'OPEX_Inclusão Catador'!I109</f>
        <v>40909.29124495259</v>
      </c>
      <c r="J250" s="1027">
        <f>'OPEX_Inclusão Catador'!J109</f>
        <v>45070.559587561787</v>
      </c>
      <c r="K250" s="1027">
        <f>'OPEX_Inclusão Catador'!K109</f>
        <v>38034.071373621366</v>
      </c>
      <c r="L250" s="1027">
        <f>'OPEX_Inclusão Catador'!L109</f>
        <v>38034.071373621366</v>
      </c>
      <c r="M250" s="1027">
        <f>'OPEX_Inclusão Catador'!M109</f>
        <v>38197.129138541357</v>
      </c>
      <c r="N250" s="1027">
        <f>'OPEX_Inclusão Catador'!N109</f>
        <v>38034.071373621366</v>
      </c>
      <c r="O250" s="1027">
        <f>'OPEX_Inclusão Catador'!O109</f>
        <v>42032.281951310557</v>
      </c>
      <c r="P250" s="1027">
        <f>'OPEX_Inclusão Catador'!P109</f>
        <v>38197.129138541357</v>
      </c>
      <c r="Q250" s="1027">
        <f>'OPEX_Inclusão Catador'!Q109</f>
        <v>38034.071373621366</v>
      </c>
      <c r="R250" s="1027">
        <f>'OPEX_Inclusão Catador'!R109</f>
        <v>38034.071373621366</v>
      </c>
      <c r="S250" s="1027">
        <f>'OPEX_Inclusão Catador'!S109</f>
        <v>38197.129138541357</v>
      </c>
      <c r="T250" s="1027">
        <f>'OPEX_Inclusão Catador'!T109</f>
        <v>42032.281951310557</v>
      </c>
      <c r="U250" s="1027">
        <f>'OPEX_Inclusão Catador'!U109</f>
        <v>38034.071373621366</v>
      </c>
      <c r="V250" s="1027">
        <f>'OPEX_Inclusão Catador'!V109</f>
        <v>38197.129138541357</v>
      </c>
      <c r="W250" s="1027">
        <f>'OPEX_Inclusão Catador'!W109</f>
        <v>38034.071373621366</v>
      </c>
      <c r="X250" s="1027">
        <f>'OPEX_Inclusão Catador'!X109</f>
        <v>38034.071373621366</v>
      </c>
      <c r="Y250" s="1027">
        <f>'OPEX_Inclusão Catador'!Y109</f>
        <v>42195.339716230555</v>
      </c>
      <c r="Z250" s="1027">
        <f>'OPEX_Inclusão Catador'!Z109</f>
        <v>38034.071373621366</v>
      </c>
      <c r="AA250" s="1027">
        <f>'OPEX_Inclusão Catador'!AA109</f>
        <v>38034.071373621366</v>
      </c>
      <c r="AB250" s="1027">
        <f>'OPEX_Inclusão Catador'!AB109</f>
        <v>38197.129138541357</v>
      </c>
      <c r="AC250" s="1027">
        <f>'OPEX_Inclusão Catador'!AC109</f>
        <v>38034.071373621366</v>
      </c>
      <c r="AD250" s="1027">
        <f>'OPEX_Inclusão Catador'!AD109</f>
        <v>42032.281951310557</v>
      </c>
      <c r="AE250" s="1027">
        <f>'OPEX_Inclusão Catador'!AE109</f>
        <v>38197.129138541357</v>
      </c>
      <c r="AF250" s="1027">
        <f>'OPEX_Inclusão Catador'!AF109</f>
        <v>38034.071373621366</v>
      </c>
      <c r="AG250" s="1027">
        <f>'OPEX_Inclusão Catador'!AG109</f>
        <v>38034.071373621366</v>
      </c>
      <c r="AH250" s="1027">
        <f>'OPEX_Inclusão Catador'!AH109</f>
        <v>38197.129138541357</v>
      </c>
      <c r="AI250" s="1027">
        <f>'OPEX_Inclusão Catador'!AI109</f>
        <v>42032.281951310557</v>
      </c>
    </row>
    <row r="251" spans="3:35" s="77" customFormat="1" hidden="1" outlineLevel="1" x14ac:dyDescent="0.35">
      <c r="C251" s="1024"/>
      <c r="D251" s="1025" t="s">
        <v>5</v>
      </c>
      <c r="E251" s="1026">
        <f t="shared" si="77"/>
        <v>2606588.4192834669</v>
      </c>
      <c r="F251" s="1033">
        <f>'OPEX_Inclusão Catador'!F110</f>
        <v>122948.59660478587</v>
      </c>
      <c r="G251" s="1027">
        <f>'OPEX_Inclusão Catador'!G110</f>
        <v>96734.442317457098</v>
      </c>
      <c r="H251" s="1027">
        <f>'OPEX_Inclusão Catador'!H110</f>
        <v>88847.470109964954</v>
      </c>
      <c r="I251" s="1027">
        <f>'OPEX_Inclusão Catador'!I110</f>
        <v>88847.470109964954</v>
      </c>
      <c r="J251" s="1027">
        <f>'OPEX_Inclusão Catador'!J110</f>
        <v>97884.980989235672</v>
      </c>
      <c r="K251" s="1027">
        <f>'OPEX_Inclusão Catador'!K110</f>
        <v>82603.020406642419</v>
      </c>
      <c r="L251" s="1027">
        <f>'OPEX_Inclusão Catador'!L110</f>
        <v>82603.020406642419</v>
      </c>
      <c r="M251" s="1027">
        <f>'OPEX_Inclusão Catador'!M110</f>
        <v>82957.151936523529</v>
      </c>
      <c r="N251" s="1027">
        <f>'OPEX_Inclusão Catador'!N110</f>
        <v>82603.020406642419</v>
      </c>
      <c r="O251" s="1027">
        <f>'OPEX_Inclusão Catador'!O110</f>
        <v>91286.399756032042</v>
      </c>
      <c r="P251" s="1027">
        <f>'OPEX_Inclusão Catador'!P110</f>
        <v>82957.151936523529</v>
      </c>
      <c r="Q251" s="1027">
        <f>'OPEX_Inclusão Catador'!Q110</f>
        <v>82603.020406642419</v>
      </c>
      <c r="R251" s="1027">
        <f>'OPEX_Inclusão Catador'!R110</f>
        <v>82603.020406642419</v>
      </c>
      <c r="S251" s="1027">
        <f>'OPEX_Inclusão Catador'!S110</f>
        <v>82957.151936523529</v>
      </c>
      <c r="T251" s="1027">
        <f>'OPEX_Inclusão Catador'!T110</f>
        <v>91286.399756032042</v>
      </c>
      <c r="U251" s="1027">
        <f>'OPEX_Inclusão Catador'!U110</f>
        <v>82603.020406642419</v>
      </c>
      <c r="V251" s="1027">
        <f>'OPEX_Inclusão Catador'!V110</f>
        <v>82957.151936523529</v>
      </c>
      <c r="W251" s="1027">
        <f>'OPEX_Inclusão Catador'!W110</f>
        <v>82603.020406642419</v>
      </c>
      <c r="X251" s="1027">
        <f>'OPEX_Inclusão Catador'!X110</f>
        <v>82603.020406642419</v>
      </c>
      <c r="Y251" s="1027">
        <f>'OPEX_Inclusão Catador'!Y110</f>
        <v>91640.531285913152</v>
      </c>
      <c r="Z251" s="1027">
        <f>'OPEX_Inclusão Catador'!Z110</f>
        <v>82603.020406642419</v>
      </c>
      <c r="AA251" s="1027">
        <f>'OPEX_Inclusão Catador'!AA110</f>
        <v>82603.020406642419</v>
      </c>
      <c r="AB251" s="1027">
        <f>'OPEX_Inclusão Catador'!AB110</f>
        <v>82957.151936523529</v>
      </c>
      <c r="AC251" s="1027">
        <f>'OPEX_Inclusão Catador'!AC110</f>
        <v>82603.020406642419</v>
      </c>
      <c r="AD251" s="1027">
        <f>'OPEX_Inclusão Catador'!AD110</f>
        <v>91286.399756032042</v>
      </c>
      <c r="AE251" s="1027">
        <f>'OPEX_Inclusão Catador'!AE110</f>
        <v>82957.151936523529</v>
      </c>
      <c r="AF251" s="1027">
        <f>'OPEX_Inclusão Catador'!AF110</f>
        <v>82603.020406642419</v>
      </c>
      <c r="AG251" s="1027">
        <f>'OPEX_Inclusão Catador'!AG110</f>
        <v>82603.020406642419</v>
      </c>
      <c r="AH251" s="1027">
        <f>'OPEX_Inclusão Catador'!AH110</f>
        <v>82957.151936523529</v>
      </c>
      <c r="AI251" s="1027">
        <f>'OPEX_Inclusão Catador'!AI110</f>
        <v>91286.399756032042</v>
      </c>
    </row>
    <row r="252" spans="3:35" s="77" customFormat="1" hidden="1" outlineLevel="1" x14ac:dyDescent="0.35">
      <c r="C252" s="1024"/>
      <c r="D252" s="1025" t="s">
        <v>6</v>
      </c>
      <c r="E252" s="1026">
        <f t="shared" si="77"/>
        <v>28854477.927592464</v>
      </c>
      <c r="F252" s="1033">
        <f>'OPEX_Inclusão Catador'!F111</f>
        <v>1361019.4615751724</v>
      </c>
      <c r="G252" s="1027">
        <f>'OPEX_Inclusão Catador'!G111</f>
        <v>1070833.3582845889</v>
      </c>
      <c r="H252" s="1027">
        <f>'OPEX_Inclusão Catador'!H111</f>
        <v>983525.95532329718</v>
      </c>
      <c r="I252" s="1027">
        <f>'OPEX_Inclusão Catador'!I111</f>
        <v>983525.95532329718</v>
      </c>
      <c r="J252" s="1027">
        <f>'OPEX_Inclusão Catador'!J111</f>
        <v>1083569.6201601028</v>
      </c>
      <c r="K252" s="1027">
        <f>'OPEX_Inclusão Catador'!K111</f>
        <v>914400.98921759671</v>
      </c>
      <c r="L252" s="1027">
        <f>'OPEX_Inclusão Catador'!L111</f>
        <v>914400.98921759671</v>
      </c>
      <c r="M252" s="1027">
        <f>'OPEX_Inclusão Catador'!M111</f>
        <v>918321.16331828118</v>
      </c>
      <c r="N252" s="1027">
        <f>'OPEX_Inclusão Catador'!N111</f>
        <v>914400.98921759671</v>
      </c>
      <c r="O252" s="1027">
        <f>'OPEX_Inclusão Catador'!O111</f>
        <v>1010524.4799537178</v>
      </c>
      <c r="P252" s="1027">
        <f>'OPEX_Inclusão Catador'!P111</f>
        <v>918321.16331828118</v>
      </c>
      <c r="Q252" s="1027">
        <f>'OPEX_Inclusão Catador'!Q111</f>
        <v>914400.98921759671</v>
      </c>
      <c r="R252" s="1027">
        <f>'OPEX_Inclusão Catador'!R111</f>
        <v>914400.98921759671</v>
      </c>
      <c r="S252" s="1027">
        <f>'OPEX_Inclusão Catador'!S111</f>
        <v>918321.16331828118</v>
      </c>
      <c r="T252" s="1027">
        <f>'OPEX_Inclusão Catador'!T111</f>
        <v>1010524.4799537178</v>
      </c>
      <c r="U252" s="1027">
        <f>'OPEX_Inclusão Catador'!U111</f>
        <v>914400.98921759671</v>
      </c>
      <c r="V252" s="1027">
        <f>'OPEX_Inclusão Catador'!V111</f>
        <v>918321.16331828118</v>
      </c>
      <c r="W252" s="1027">
        <f>'OPEX_Inclusão Catador'!W111</f>
        <v>914400.98921759671</v>
      </c>
      <c r="X252" s="1027">
        <f>'OPEX_Inclusão Catador'!X111</f>
        <v>914400.98921759671</v>
      </c>
      <c r="Y252" s="1027">
        <f>'OPEX_Inclusão Catador'!Y111</f>
        <v>1014444.6540544023</v>
      </c>
      <c r="Z252" s="1027">
        <f>'OPEX_Inclusão Catador'!Z111</f>
        <v>914400.98921759671</v>
      </c>
      <c r="AA252" s="1027">
        <f>'OPEX_Inclusão Catador'!AA111</f>
        <v>914400.98921759671</v>
      </c>
      <c r="AB252" s="1027">
        <f>'OPEX_Inclusão Catador'!AB111</f>
        <v>918321.16331828118</v>
      </c>
      <c r="AC252" s="1027">
        <f>'OPEX_Inclusão Catador'!AC111</f>
        <v>914400.98921759671</v>
      </c>
      <c r="AD252" s="1027">
        <f>'OPEX_Inclusão Catador'!AD111</f>
        <v>1010524.4799537178</v>
      </c>
      <c r="AE252" s="1027">
        <f>'OPEX_Inclusão Catador'!AE111</f>
        <v>918321.16331828118</v>
      </c>
      <c r="AF252" s="1027">
        <f>'OPEX_Inclusão Catador'!AF111</f>
        <v>914400.98921759671</v>
      </c>
      <c r="AG252" s="1027">
        <f>'OPEX_Inclusão Catador'!AG111</f>
        <v>914400.98921759671</v>
      </c>
      <c r="AH252" s="1027">
        <f>'OPEX_Inclusão Catador'!AH111</f>
        <v>918321.16331828118</v>
      </c>
      <c r="AI252" s="1027">
        <f>'OPEX_Inclusão Catador'!AI111</f>
        <v>1010524.4799537178</v>
      </c>
    </row>
    <row r="253" spans="3:35" s="77" customFormat="1" hidden="1" outlineLevel="1" x14ac:dyDescent="0.35">
      <c r="C253" s="1024"/>
      <c r="D253" s="1025" t="s">
        <v>7</v>
      </c>
      <c r="E253" s="1026">
        <f t="shared" si="77"/>
        <v>2356127.49627674</v>
      </c>
      <c r="F253" s="1033">
        <f>'OPEX_Inclusão Catador'!F112</f>
        <v>111134.75642955737</v>
      </c>
      <c r="G253" s="1027">
        <f>'OPEX_Inclusão Catador'!G112</f>
        <v>87439.458295379911</v>
      </c>
      <c r="H253" s="1027">
        <f>'OPEX_Inclusão Catador'!H112</f>
        <v>80310.326613919067</v>
      </c>
      <c r="I253" s="1027">
        <f>'OPEX_Inclusão Catador'!I112</f>
        <v>80310.326613919067</v>
      </c>
      <c r="J253" s="1027">
        <f>'OPEX_Inclusão Catador'!J112</f>
        <v>88479.444424395391</v>
      </c>
      <c r="K253" s="1027">
        <f>'OPEX_Inclusão Catador'!K112</f>
        <v>74665.891329747974</v>
      </c>
      <c r="L253" s="1027">
        <f>'OPEX_Inclusão Catador'!L112</f>
        <v>74665.891329747974</v>
      </c>
      <c r="M253" s="1027">
        <f>'OPEX_Inclusão Catador'!M112</f>
        <v>74985.995197577169</v>
      </c>
      <c r="N253" s="1027">
        <f>'OPEX_Inclusão Catador'!N112</f>
        <v>74665.891329747974</v>
      </c>
      <c r="O253" s="1027">
        <f>'OPEX_Inclusão Catador'!O112</f>
        <v>82514.905272395117</v>
      </c>
      <c r="P253" s="1027">
        <f>'OPEX_Inclusão Catador'!P112</f>
        <v>74985.995197577169</v>
      </c>
      <c r="Q253" s="1027">
        <f>'OPEX_Inclusão Catador'!Q112</f>
        <v>74665.891329747974</v>
      </c>
      <c r="R253" s="1027">
        <f>'OPEX_Inclusão Catador'!R112</f>
        <v>74665.891329747974</v>
      </c>
      <c r="S253" s="1027">
        <f>'OPEX_Inclusão Catador'!S112</f>
        <v>74985.995197577169</v>
      </c>
      <c r="T253" s="1027">
        <f>'OPEX_Inclusão Catador'!T112</f>
        <v>82514.905272395117</v>
      </c>
      <c r="U253" s="1027">
        <f>'OPEX_Inclusão Catador'!U112</f>
        <v>74665.891329747974</v>
      </c>
      <c r="V253" s="1027">
        <f>'OPEX_Inclusão Catador'!V112</f>
        <v>74985.995197577169</v>
      </c>
      <c r="W253" s="1027">
        <f>'OPEX_Inclusão Catador'!W112</f>
        <v>74665.891329747974</v>
      </c>
      <c r="X253" s="1027">
        <f>'OPEX_Inclusão Catador'!X112</f>
        <v>74665.891329747974</v>
      </c>
      <c r="Y253" s="1027">
        <f>'OPEX_Inclusão Catador'!Y112</f>
        <v>82835.009140224312</v>
      </c>
      <c r="Z253" s="1027">
        <f>'OPEX_Inclusão Catador'!Z112</f>
        <v>74665.891329747974</v>
      </c>
      <c r="AA253" s="1027">
        <f>'OPEX_Inclusão Catador'!AA112</f>
        <v>74665.891329747974</v>
      </c>
      <c r="AB253" s="1027">
        <f>'OPEX_Inclusão Catador'!AB112</f>
        <v>74985.995197577169</v>
      </c>
      <c r="AC253" s="1027">
        <f>'OPEX_Inclusão Catador'!AC112</f>
        <v>74665.891329747974</v>
      </c>
      <c r="AD253" s="1027">
        <f>'OPEX_Inclusão Catador'!AD112</f>
        <v>82514.905272395117</v>
      </c>
      <c r="AE253" s="1027">
        <f>'OPEX_Inclusão Catador'!AE112</f>
        <v>74985.995197577169</v>
      </c>
      <c r="AF253" s="1027">
        <f>'OPEX_Inclusão Catador'!AF112</f>
        <v>74665.891329747974</v>
      </c>
      <c r="AG253" s="1027">
        <f>'OPEX_Inclusão Catador'!AG112</f>
        <v>74665.891329747974</v>
      </c>
      <c r="AH253" s="1027">
        <f>'OPEX_Inclusão Catador'!AH112</f>
        <v>74985.995197577169</v>
      </c>
      <c r="AI253" s="1027">
        <f>'OPEX_Inclusão Catador'!AI112</f>
        <v>82514.905272395117</v>
      </c>
    </row>
    <row r="254" spans="3:35" s="77" customFormat="1" hidden="1" outlineLevel="1" x14ac:dyDescent="0.35">
      <c r="C254" s="1024"/>
      <c r="D254" s="1025" t="s">
        <v>8</v>
      </c>
      <c r="E254" s="1026">
        <f t="shared" si="77"/>
        <v>2146555.1165278908</v>
      </c>
      <c r="F254" s="1033">
        <f>'OPEX_Inclusão Catador'!F113</f>
        <v>101249.56328336465</v>
      </c>
      <c r="G254" s="1027">
        <f>'OPEX_Inclusão Catador'!G113</f>
        <v>79661.910014197827</v>
      </c>
      <c r="H254" s="1027">
        <f>'OPEX_Inclusão Catador'!H113</f>
        <v>73166.898979598263</v>
      </c>
      <c r="I254" s="1027">
        <f>'OPEX_Inclusão Catador'!I113</f>
        <v>73166.898979598263</v>
      </c>
      <c r="J254" s="1027">
        <f>'OPEX_Inclusão Catador'!J113</f>
        <v>80609.391655103915</v>
      </c>
      <c r="K254" s="1027">
        <f>'OPEX_Inclusão Catador'!K113</f>
        <v>68024.523849944031</v>
      </c>
      <c r="L254" s="1027">
        <f>'OPEX_Inclusão Catador'!L113</f>
        <v>68024.523849944031</v>
      </c>
      <c r="M254" s="1027">
        <f>'OPEX_Inclusão Catador'!M113</f>
        <v>68316.155179910231</v>
      </c>
      <c r="N254" s="1027">
        <f>'OPEX_Inclusão Catador'!N113</f>
        <v>68024.523849944031</v>
      </c>
      <c r="O254" s="1027">
        <f>'OPEX_Inclusão Catador'!O113</f>
        <v>75175.385195483483</v>
      </c>
      <c r="P254" s="1027">
        <f>'OPEX_Inclusão Catador'!P113</f>
        <v>68316.155179910231</v>
      </c>
      <c r="Q254" s="1027">
        <f>'OPEX_Inclusão Catador'!Q113</f>
        <v>68024.523849944031</v>
      </c>
      <c r="R254" s="1027">
        <f>'OPEX_Inclusão Catador'!R113</f>
        <v>68024.523849944031</v>
      </c>
      <c r="S254" s="1027">
        <f>'OPEX_Inclusão Catador'!S113</f>
        <v>68316.155179910231</v>
      </c>
      <c r="T254" s="1027">
        <f>'OPEX_Inclusão Catador'!T113</f>
        <v>75175.385195483483</v>
      </c>
      <c r="U254" s="1027">
        <f>'OPEX_Inclusão Catador'!U113</f>
        <v>68024.523849944031</v>
      </c>
      <c r="V254" s="1027">
        <f>'OPEX_Inclusão Catador'!V113</f>
        <v>68316.155179910231</v>
      </c>
      <c r="W254" s="1027">
        <f>'OPEX_Inclusão Catador'!W113</f>
        <v>68024.523849944031</v>
      </c>
      <c r="X254" s="1027">
        <f>'OPEX_Inclusão Catador'!X113</f>
        <v>68024.523849944031</v>
      </c>
      <c r="Y254" s="1027">
        <f>'OPEX_Inclusão Catador'!Y113</f>
        <v>75467.016525449682</v>
      </c>
      <c r="Z254" s="1027">
        <f>'OPEX_Inclusão Catador'!Z113</f>
        <v>68024.523849944031</v>
      </c>
      <c r="AA254" s="1027">
        <f>'OPEX_Inclusão Catador'!AA113</f>
        <v>68024.523849944031</v>
      </c>
      <c r="AB254" s="1027">
        <f>'OPEX_Inclusão Catador'!AB113</f>
        <v>68316.155179910231</v>
      </c>
      <c r="AC254" s="1027">
        <f>'OPEX_Inclusão Catador'!AC113</f>
        <v>68024.523849944031</v>
      </c>
      <c r="AD254" s="1027">
        <f>'OPEX_Inclusão Catador'!AD113</f>
        <v>75175.385195483483</v>
      </c>
      <c r="AE254" s="1027">
        <f>'OPEX_Inclusão Catador'!AE113</f>
        <v>68316.155179910231</v>
      </c>
      <c r="AF254" s="1027">
        <f>'OPEX_Inclusão Catador'!AF113</f>
        <v>68024.523849944031</v>
      </c>
      <c r="AG254" s="1027">
        <f>'OPEX_Inclusão Catador'!AG113</f>
        <v>68024.523849944031</v>
      </c>
      <c r="AH254" s="1027">
        <f>'OPEX_Inclusão Catador'!AH113</f>
        <v>68316.155179910231</v>
      </c>
      <c r="AI254" s="1027">
        <f>'OPEX_Inclusão Catador'!AI113</f>
        <v>75175.385195483483</v>
      </c>
    </row>
    <row r="255" spans="3:35" s="77" customFormat="1" hidden="1" outlineLevel="1" x14ac:dyDescent="0.35">
      <c r="C255" s="1024"/>
      <c r="D255" s="1025" t="s">
        <v>9</v>
      </c>
      <c r="E255" s="1026">
        <f t="shared" si="77"/>
        <v>1761321.8561964289</v>
      </c>
      <c r="F255" s="1033">
        <f>'OPEX_Inclusão Catador'!F114</f>
        <v>83078.728036479239</v>
      </c>
      <c r="G255" s="1027">
        <f>'OPEX_Inclusão Catador'!G114</f>
        <v>65365.320524038238</v>
      </c>
      <c r="H255" s="1027">
        <f>'OPEX_Inclusão Catador'!H114</f>
        <v>60035.941928821274</v>
      </c>
      <c r="I255" s="1027">
        <f>'OPEX_Inclusão Catador'!I114</f>
        <v>60035.941928821274</v>
      </c>
      <c r="J255" s="1027">
        <f>'OPEX_Inclusão Catador'!J114</f>
        <v>66142.761601429302</v>
      </c>
      <c r="K255" s="1027">
        <f>'OPEX_Inclusão Catador'!K114</f>
        <v>55816.447335422949</v>
      </c>
      <c r="L255" s="1027">
        <f>'OPEX_Inclusão Catador'!L114</f>
        <v>55816.447335422949</v>
      </c>
      <c r="M255" s="1027">
        <f>'OPEX_Inclusão Catador'!M114</f>
        <v>56055.740811498217</v>
      </c>
      <c r="N255" s="1027">
        <f>'OPEX_Inclusão Catador'!N114</f>
        <v>55816.447335422949</v>
      </c>
      <c r="O255" s="1027">
        <f>'OPEX_Inclusão Catador'!O114</f>
        <v>61683.973531955708</v>
      </c>
      <c r="P255" s="1027">
        <f>'OPEX_Inclusão Catador'!P114</f>
        <v>56055.740811498217</v>
      </c>
      <c r="Q255" s="1027">
        <f>'OPEX_Inclusão Catador'!Q114</f>
        <v>55816.447335422949</v>
      </c>
      <c r="R255" s="1027">
        <f>'OPEX_Inclusão Catador'!R114</f>
        <v>55816.447335422949</v>
      </c>
      <c r="S255" s="1027">
        <f>'OPEX_Inclusão Catador'!S114</f>
        <v>56055.740811498217</v>
      </c>
      <c r="T255" s="1027">
        <f>'OPEX_Inclusão Catador'!T114</f>
        <v>61683.973531955708</v>
      </c>
      <c r="U255" s="1027">
        <f>'OPEX_Inclusão Catador'!U114</f>
        <v>55816.447335422949</v>
      </c>
      <c r="V255" s="1027">
        <f>'OPEX_Inclusão Catador'!V114</f>
        <v>56055.740811498217</v>
      </c>
      <c r="W255" s="1027">
        <f>'OPEX_Inclusão Catador'!W114</f>
        <v>55816.447335422949</v>
      </c>
      <c r="X255" s="1027">
        <f>'OPEX_Inclusão Catador'!X114</f>
        <v>55816.447335422949</v>
      </c>
      <c r="Y255" s="1027">
        <f>'OPEX_Inclusão Catador'!Y114</f>
        <v>61923.267008030976</v>
      </c>
      <c r="Z255" s="1027">
        <f>'OPEX_Inclusão Catador'!Z114</f>
        <v>55816.447335422949</v>
      </c>
      <c r="AA255" s="1027">
        <f>'OPEX_Inclusão Catador'!AA114</f>
        <v>55816.447335422949</v>
      </c>
      <c r="AB255" s="1027">
        <f>'OPEX_Inclusão Catador'!AB114</f>
        <v>56055.740811498217</v>
      </c>
      <c r="AC255" s="1027">
        <f>'OPEX_Inclusão Catador'!AC114</f>
        <v>55816.447335422949</v>
      </c>
      <c r="AD255" s="1027">
        <f>'OPEX_Inclusão Catador'!AD114</f>
        <v>61683.973531955708</v>
      </c>
      <c r="AE255" s="1027">
        <f>'OPEX_Inclusão Catador'!AE114</f>
        <v>56055.740811498217</v>
      </c>
      <c r="AF255" s="1027">
        <f>'OPEX_Inclusão Catador'!AF114</f>
        <v>55816.447335422949</v>
      </c>
      <c r="AG255" s="1027">
        <f>'OPEX_Inclusão Catador'!AG114</f>
        <v>55816.447335422949</v>
      </c>
      <c r="AH255" s="1027">
        <f>'OPEX_Inclusão Catador'!AH114</f>
        <v>56055.740811498217</v>
      </c>
      <c r="AI255" s="1027">
        <f>'OPEX_Inclusão Catador'!AI114</f>
        <v>61683.973531955708</v>
      </c>
    </row>
    <row r="256" spans="3:35" collapsed="1" x14ac:dyDescent="0.35">
      <c r="C256" s="230" t="s">
        <v>200</v>
      </c>
      <c r="D256" s="231"/>
      <c r="E256" s="487">
        <f t="shared" ref="E256:AI256" si="78">E94+E104+E114+E124+E134+E144+E235+E246+E245</f>
        <v>1040707659.8720034</v>
      </c>
      <c r="F256" s="488">
        <f t="shared" si="78"/>
        <v>45677054.589465067</v>
      </c>
      <c r="G256" s="488">
        <f t="shared" si="78"/>
        <v>44665486.699304253</v>
      </c>
      <c r="H256" s="488">
        <f t="shared" si="78"/>
        <v>40939721.789811641</v>
      </c>
      <c r="I256" s="488">
        <f t="shared" si="78"/>
        <v>40918567.17024941</v>
      </c>
      <c r="J256" s="488">
        <f t="shared" si="78"/>
        <v>29805874.488303609</v>
      </c>
      <c r="K256" s="488">
        <f t="shared" si="78"/>
        <v>29543409.96420994</v>
      </c>
      <c r="L256" s="488">
        <f t="shared" si="78"/>
        <v>29551248.484402429</v>
      </c>
      <c r="M256" s="488">
        <f t="shared" si="78"/>
        <v>32869329.43549275</v>
      </c>
      <c r="N256" s="488">
        <f t="shared" si="78"/>
        <v>32379767.671068929</v>
      </c>
      <c r="O256" s="488">
        <f t="shared" si="78"/>
        <v>32494469.184645817</v>
      </c>
      <c r="P256" s="488">
        <f t="shared" si="78"/>
        <v>34073961.235838518</v>
      </c>
      <c r="Q256" s="488">
        <f t="shared" si="78"/>
        <v>34014613.183910578</v>
      </c>
      <c r="R256" s="488">
        <f t="shared" si="78"/>
        <v>34023099.693472944</v>
      </c>
      <c r="S256" s="488">
        <f t="shared" si="78"/>
        <v>34038041.770653635</v>
      </c>
      <c r="T256" s="488">
        <f t="shared" si="78"/>
        <v>34196298.173812643</v>
      </c>
      <c r="U256" s="488">
        <f t="shared" si="78"/>
        <v>34049356.348610476</v>
      </c>
      <c r="V256" s="488">
        <f t="shared" si="78"/>
        <v>34104796.764545985</v>
      </c>
      <c r="W256" s="488">
        <f t="shared" si="78"/>
        <v>34059625.536734246</v>
      </c>
      <c r="X256" s="488">
        <f t="shared" si="78"/>
        <v>34053181.778054267</v>
      </c>
      <c r="Y256" s="488">
        <f t="shared" si="78"/>
        <v>34210015.629112035</v>
      </c>
      <c r="Z256" s="488">
        <f t="shared" si="78"/>
        <v>34080356.711504951</v>
      </c>
      <c r="AA256" s="488">
        <f t="shared" si="78"/>
        <v>34057770.281908281</v>
      </c>
      <c r="AB256" s="488">
        <f t="shared" si="78"/>
        <v>34076527.807672366</v>
      </c>
      <c r="AC256" s="488">
        <f t="shared" si="78"/>
        <v>34069630.071329206</v>
      </c>
      <c r="AD256" s="488">
        <f t="shared" si="78"/>
        <v>34256020.917757809</v>
      </c>
      <c r="AE256" s="488">
        <f t="shared" si="78"/>
        <v>34070241.934339166</v>
      </c>
      <c r="AF256" s="488">
        <f t="shared" si="78"/>
        <v>34065345.706586286</v>
      </c>
      <c r="AG256" s="488">
        <f t="shared" si="78"/>
        <v>34066851.446869157</v>
      </c>
      <c r="AH256" s="488">
        <f t="shared" si="78"/>
        <v>34074253.98226779</v>
      </c>
      <c r="AI256" s="488">
        <f t="shared" si="78"/>
        <v>34222741.420069173</v>
      </c>
    </row>
    <row r="257" spans="3:35" x14ac:dyDescent="0.35">
      <c r="C257" s="235" t="s">
        <v>460</v>
      </c>
      <c r="D257" s="104"/>
      <c r="E257" s="492">
        <f>SUM(F257:AI257)</f>
        <v>1</v>
      </c>
      <c r="F257" s="493">
        <f>F256/$E$256</f>
        <v>4.3890379931558192E-2</v>
      </c>
      <c r="G257" s="493">
        <f t="shared" ref="G257:AI257" si="79">G256/$E$256</f>
        <v>4.2918379888543974E-2</v>
      </c>
      <c r="H257" s="493">
        <f t="shared" si="79"/>
        <v>3.933834963302453E-2</v>
      </c>
      <c r="I257" s="493">
        <f t="shared" si="79"/>
        <v>3.9318022484125831E-2</v>
      </c>
      <c r="J257" s="493">
        <f t="shared" si="79"/>
        <v>2.8640006831476029E-2</v>
      </c>
      <c r="K257" s="493">
        <f t="shared" si="79"/>
        <v>2.8387808703016063E-2</v>
      </c>
      <c r="L257" s="493">
        <f t="shared" si="79"/>
        <v>2.8395340616630932E-2</v>
      </c>
      <c r="M257" s="493">
        <f t="shared" si="79"/>
        <v>3.1583633620545608E-2</v>
      </c>
      <c r="N257" s="493">
        <f t="shared" si="79"/>
        <v>3.1113221243179199E-2</v>
      </c>
      <c r="O257" s="493">
        <f t="shared" si="79"/>
        <v>3.1223436165197738E-2</v>
      </c>
      <c r="P257" s="493">
        <f t="shared" si="79"/>
        <v>3.2741145808448523E-2</v>
      </c>
      <c r="Q257" s="493">
        <f t="shared" si="79"/>
        <v>3.2684119177227959E-2</v>
      </c>
      <c r="R257" s="493">
        <f t="shared" si="79"/>
        <v>3.2692273733872047E-2</v>
      </c>
      <c r="S257" s="493">
        <f t="shared" si="79"/>
        <v>3.2706631346251423E-2</v>
      </c>
      <c r="T257" s="493">
        <f t="shared" si="79"/>
        <v>3.2858697492452821E-2</v>
      </c>
      <c r="U257" s="493">
        <f t="shared" si="79"/>
        <v>3.2717503350362775E-2</v>
      </c>
      <c r="V257" s="493">
        <f t="shared" si="79"/>
        <v>3.2770775194198659E-2</v>
      </c>
      <c r="W257" s="493">
        <f t="shared" si="79"/>
        <v>3.2727370855445838E-2</v>
      </c>
      <c r="X257" s="493">
        <f t="shared" si="79"/>
        <v>3.2721179146737965E-2</v>
      </c>
      <c r="Y257" s="493">
        <f t="shared" si="79"/>
        <v>3.2871878384482654E-2</v>
      </c>
      <c r="Z257" s="493">
        <f t="shared" si="79"/>
        <v>3.2747291122750544E-2</v>
      </c>
      <c r="AA257" s="493">
        <f t="shared" si="79"/>
        <v>3.2725588169589377E-2</v>
      </c>
      <c r="AB257" s="493">
        <f t="shared" si="79"/>
        <v>3.2743611987888548E-2</v>
      </c>
      <c r="AC257" s="493">
        <f t="shared" si="79"/>
        <v>3.2736984059019446E-2</v>
      </c>
      <c r="AD257" s="493">
        <f t="shared" si="79"/>
        <v>3.2916084159475632E-2</v>
      </c>
      <c r="AE257" s="493">
        <f t="shared" si="79"/>
        <v>3.2737571988784499E-2</v>
      </c>
      <c r="AF257" s="493">
        <f t="shared" si="79"/>
        <v>3.2732867278766814E-2</v>
      </c>
      <c r="AG257" s="493">
        <f t="shared" si="79"/>
        <v>3.2734314121469078E-2</v>
      </c>
      <c r="AH257" s="493">
        <f t="shared" si="79"/>
        <v>3.2741427103994393E-2</v>
      </c>
      <c r="AI257" s="493">
        <f t="shared" si="79"/>
        <v>3.2884106401482836E-2</v>
      </c>
    </row>
    <row r="259" spans="3:35" x14ac:dyDescent="0.35">
      <c r="F259" s="97"/>
      <c r="G259" s="97"/>
      <c r="H259" s="97"/>
      <c r="I259" s="97"/>
      <c r="J259" s="97"/>
      <c r="K259" s="97"/>
      <c r="L259" s="97"/>
      <c r="M259" s="97"/>
      <c r="N259" s="97"/>
      <c r="O259" s="97"/>
      <c r="P259" s="97"/>
      <c r="Q259" s="97"/>
      <c r="R259" s="97"/>
      <c r="S259" s="97"/>
      <c r="T259" s="97"/>
      <c r="U259" s="97"/>
      <c r="V259" s="97"/>
      <c r="W259" s="97"/>
      <c r="X259" s="97"/>
      <c r="Y259" s="97"/>
      <c r="Z259" s="97"/>
      <c r="AA259" s="97"/>
      <c r="AB259" s="97"/>
      <c r="AC259" s="97"/>
      <c r="AD259" s="97"/>
      <c r="AE259" s="97"/>
      <c r="AF259" s="97"/>
      <c r="AG259" s="97"/>
      <c r="AH259" s="97"/>
      <c r="AI259" s="97"/>
    </row>
    <row r="260" spans="3:35" x14ac:dyDescent="0.35">
      <c r="F260" s="97"/>
      <c r="G260" s="97"/>
      <c r="H260" s="97"/>
      <c r="I260" s="97"/>
      <c r="J260" s="97"/>
      <c r="K260" s="97"/>
      <c r="L260" s="97"/>
      <c r="M260" s="97"/>
      <c r="N260" s="97"/>
      <c r="O260" s="97"/>
      <c r="P260" s="97"/>
      <c r="Q260" s="97"/>
      <c r="R260" s="97"/>
      <c r="S260" s="97"/>
      <c r="T260" s="97"/>
      <c r="U260" s="97"/>
      <c r="V260" s="97"/>
      <c r="W260" s="97"/>
      <c r="X260" s="97"/>
      <c r="Y260" s="97"/>
      <c r="Z260" s="97"/>
      <c r="AA260" s="97"/>
      <c r="AB260" s="97"/>
      <c r="AC260" s="97"/>
      <c r="AD260" s="97"/>
      <c r="AE260" s="97"/>
      <c r="AF260" s="97"/>
      <c r="AG260" s="97"/>
      <c r="AH260" s="97"/>
      <c r="AI260" s="97"/>
    </row>
    <row r="261" spans="3:35" x14ac:dyDescent="0.35">
      <c r="F261" s="97"/>
      <c r="G261" s="97"/>
      <c r="H261" s="97"/>
      <c r="I261" s="97"/>
      <c r="J261" s="97"/>
      <c r="K261" s="97"/>
      <c r="L261" s="97"/>
      <c r="M261" s="97"/>
      <c r="N261" s="97"/>
      <c r="O261" s="97"/>
      <c r="P261" s="97"/>
      <c r="Q261" s="97"/>
      <c r="R261" s="97"/>
      <c r="S261" s="97"/>
      <c r="T261" s="97"/>
      <c r="U261" s="97"/>
      <c r="V261" s="97"/>
      <c r="W261" s="97"/>
      <c r="X261" s="97"/>
      <c r="Y261" s="97"/>
      <c r="Z261" s="97"/>
      <c r="AA261" s="97"/>
      <c r="AB261" s="97"/>
      <c r="AC261" s="97"/>
      <c r="AD261" s="97"/>
      <c r="AE261" s="97"/>
      <c r="AF261" s="97"/>
      <c r="AG261" s="97"/>
      <c r="AH261" s="97"/>
      <c r="AI261" s="97"/>
    </row>
    <row r="263" spans="3:35" x14ac:dyDescent="0.35">
      <c r="E263" s="77" t="s">
        <v>474</v>
      </c>
      <c r="M263" s="77" t="s">
        <v>475</v>
      </c>
    </row>
    <row r="283" spans="4:6" x14ac:dyDescent="0.35">
      <c r="D283" t="s">
        <v>179</v>
      </c>
      <c r="E283" s="97">
        <f>E94+E38</f>
        <v>464687432.55443764</v>
      </c>
      <c r="F283" s="1850">
        <f>E283/$E$291</f>
        <v>0.38971888859801912</v>
      </c>
    </row>
    <row r="284" spans="4:6" x14ac:dyDescent="0.35">
      <c r="D284" t="s">
        <v>180</v>
      </c>
      <c r="E284" s="97">
        <f>E48+E104</f>
        <v>136531041.77999991</v>
      </c>
      <c r="F284" s="1850">
        <f t="shared" ref="F284:F290" si="80">E284/$E$291</f>
        <v>0.114504335891197</v>
      </c>
    </row>
    <row r="285" spans="4:6" x14ac:dyDescent="0.35">
      <c r="D285" t="s">
        <v>476</v>
      </c>
      <c r="E285" s="97">
        <f>E58+E114</f>
        <v>79377706.120000005</v>
      </c>
      <c r="F285" s="1850">
        <f t="shared" si="80"/>
        <v>6.6571611886496587E-2</v>
      </c>
    </row>
    <row r="286" spans="4:6" x14ac:dyDescent="0.35">
      <c r="D286" t="s">
        <v>181</v>
      </c>
      <c r="E286" s="97">
        <f>E68+E124</f>
        <v>173387326.52000001</v>
      </c>
      <c r="F286" s="1850">
        <f t="shared" si="80"/>
        <v>0.14541455493406361</v>
      </c>
    </row>
    <row r="287" spans="4:6" x14ac:dyDescent="0.35">
      <c r="D287" t="s">
        <v>477</v>
      </c>
      <c r="E287" s="97">
        <f>E134</f>
        <v>18260494.679999992</v>
      </c>
      <c r="F287" s="1850">
        <f t="shared" si="80"/>
        <v>1.5314508621030874E-2</v>
      </c>
    </row>
    <row r="288" spans="4:6" x14ac:dyDescent="0.35">
      <c r="D288" t="s">
        <v>478</v>
      </c>
      <c r="E288" s="97">
        <f>E245+E78+E246</f>
        <v>63819340.767000005</v>
      </c>
      <c r="F288" s="1850">
        <f t="shared" si="80"/>
        <v>5.3523295041683343E-2</v>
      </c>
    </row>
    <row r="289" spans="4:7" x14ac:dyDescent="0.35">
      <c r="D289" t="s">
        <v>479</v>
      </c>
      <c r="E289" s="97">
        <f>E235</f>
        <v>65719940.399999999</v>
      </c>
      <c r="F289" s="1850">
        <f t="shared" si="80"/>
        <v>5.5117268807168787E-2</v>
      </c>
    </row>
    <row r="290" spans="4:7" x14ac:dyDescent="0.35">
      <c r="D290" t="s">
        <v>480</v>
      </c>
      <c r="E290" s="97">
        <f>E33+E144</f>
        <v>190582409.86056596</v>
      </c>
      <c r="F290" s="1850">
        <f t="shared" si="80"/>
        <v>0.15983553622034066</v>
      </c>
    </row>
    <row r="291" spans="4:7" x14ac:dyDescent="0.35">
      <c r="E291" s="105">
        <f>SUM(E283:E290)</f>
        <v>1192365692.6820035</v>
      </c>
      <c r="F291" s="1659">
        <f>SUM(F283:F290)</f>
        <v>1</v>
      </c>
      <c r="G291" s="1851"/>
    </row>
    <row r="292" spans="4:7" x14ac:dyDescent="0.35">
      <c r="E292" s="97"/>
    </row>
    <row r="294" spans="4:7" x14ac:dyDescent="0.35">
      <c r="E294" s="97"/>
    </row>
  </sheetData>
  <sheetProtection algorithmName="SHA-512" hashValue="or+INfHQHDSmg6PjH0srM4s/A5yd5X4i1a0rc/8jD5tzU+RQ8mbxyvTs6oPPk8Th1ntzydOxAc4sRhF6NF7ywg==" saltValue="sCHDOD2VFUJzS4DYooO1mg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&amp;C_x000D_&amp;1#&amp;"Aptos"&amp;10&amp;K000000 INFORMAÇÃO CONTROLADA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1EBE2-D9A4-4427-92A3-9777E3348E5E}">
  <sheetPr codeName="Planilha5">
    <tabColor theme="4" tint="0.79998168889431442"/>
  </sheetPr>
  <dimension ref="B1:AH153"/>
  <sheetViews>
    <sheetView showGridLines="0" topLeftCell="P1" zoomScaleNormal="100" workbookViewId="0">
      <selection activeCell="E135" sqref="E135:AH135"/>
    </sheetView>
  </sheetViews>
  <sheetFormatPr defaultColWidth="8.81640625" defaultRowHeight="14.5" outlineLevelRow="1" x14ac:dyDescent="0.35"/>
  <cols>
    <col min="1" max="1" width="2.453125" customWidth="1"/>
    <col min="2" max="2" width="3.08984375" customWidth="1"/>
    <col min="3" max="3" width="40.6328125" customWidth="1"/>
    <col min="4" max="4" width="13.08984375" bestFit="1" customWidth="1"/>
    <col min="5" max="34" width="12.36328125" bestFit="1" customWidth="1"/>
  </cols>
  <sheetData>
    <row r="1" spans="2:34" x14ac:dyDescent="0.35">
      <c r="E1" s="96"/>
      <c r="F1" s="96"/>
    </row>
    <row r="2" spans="2:34" ht="21" x14ac:dyDescent="0.5">
      <c r="B2" s="98" t="s">
        <v>481</v>
      </c>
      <c r="C2" s="98"/>
      <c r="D2" s="98"/>
      <c r="E2" s="76"/>
      <c r="F2" s="76"/>
      <c r="G2" s="76"/>
      <c r="H2" s="76"/>
      <c r="I2" s="76"/>
      <c r="J2" s="76"/>
      <c r="K2" s="76"/>
      <c r="L2" s="76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</row>
    <row r="3" spans="2:34" ht="6" customHeight="1" x14ac:dyDescent="0.35"/>
    <row r="4" spans="2:34" x14ac:dyDescent="0.35">
      <c r="B4" s="100"/>
      <c r="C4" s="100"/>
      <c r="D4" s="100"/>
      <c r="E4" s="101">
        <v>1</v>
      </c>
      <c r="F4" s="101">
        <f>E4+1</f>
        <v>2</v>
      </c>
      <c r="G4" s="101">
        <f t="shared" ref="G4" si="0">F4+1</f>
        <v>3</v>
      </c>
      <c r="H4" s="101">
        <f t="shared" ref="H4" si="1">G4+1</f>
        <v>4</v>
      </c>
      <c r="I4" s="101">
        <f t="shared" ref="I4" si="2">H4+1</f>
        <v>5</v>
      </c>
      <c r="J4" s="101">
        <f t="shared" ref="J4" si="3">I4+1</f>
        <v>6</v>
      </c>
      <c r="K4" s="101">
        <f t="shared" ref="K4" si="4">J4+1</f>
        <v>7</v>
      </c>
      <c r="L4" s="101">
        <f t="shared" ref="L4" si="5">K4+1</f>
        <v>8</v>
      </c>
      <c r="M4" s="101">
        <f t="shared" ref="M4" si="6">L4+1</f>
        <v>9</v>
      </c>
      <c r="N4" s="101">
        <f t="shared" ref="N4" si="7">M4+1</f>
        <v>10</v>
      </c>
      <c r="O4" s="101">
        <f t="shared" ref="O4" si="8">N4+1</f>
        <v>11</v>
      </c>
      <c r="P4" s="101">
        <f t="shared" ref="P4" si="9">O4+1</f>
        <v>12</v>
      </c>
      <c r="Q4" s="101">
        <f t="shared" ref="Q4" si="10">P4+1</f>
        <v>13</v>
      </c>
      <c r="R4" s="101">
        <f t="shared" ref="R4" si="11">Q4+1</f>
        <v>14</v>
      </c>
      <c r="S4" s="101">
        <f t="shared" ref="S4" si="12">R4+1</f>
        <v>15</v>
      </c>
      <c r="T4" s="101">
        <f t="shared" ref="T4" si="13">S4+1</f>
        <v>16</v>
      </c>
      <c r="U4" s="101">
        <f t="shared" ref="U4" si="14">T4+1</f>
        <v>17</v>
      </c>
      <c r="V4" s="101">
        <f t="shared" ref="V4" si="15">U4+1</f>
        <v>18</v>
      </c>
      <c r="W4" s="101">
        <f t="shared" ref="W4" si="16">V4+1</f>
        <v>19</v>
      </c>
      <c r="X4" s="101">
        <f t="shared" ref="X4" si="17">W4+1</f>
        <v>20</v>
      </c>
      <c r="Y4" s="101">
        <f t="shared" ref="Y4" si="18">X4+1</f>
        <v>21</v>
      </c>
      <c r="Z4" s="101">
        <f t="shared" ref="Z4" si="19">Y4+1</f>
        <v>22</v>
      </c>
      <c r="AA4" s="101">
        <f t="shared" ref="AA4" si="20">Z4+1</f>
        <v>23</v>
      </c>
      <c r="AB4" s="101">
        <f t="shared" ref="AB4" si="21">AA4+1</f>
        <v>24</v>
      </c>
      <c r="AC4" s="101">
        <f t="shared" ref="AC4" si="22">AB4+1</f>
        <v>25</v>
      </c>
      <c r="AD4" s="101">
        <f t="shared" ref="AD4" si="23">AC4+1</f>
        <v>26</v>
      </c>
      <c r="AE4" s="101">
        <f t="shared" ref="AE4" si="24">AD4+1</f>
        <v>27</v>
      </c>
      <c r="AF4" s="101">
        <f t="shared" ref="AF4" si="25">AE4+1</f>
        <v>28</v>
      </c>
      <c r="AG4" s="101">
        <f t="shared" ref="AG4" si="26">AF4+1</f>
        <v>29</v>
      </c>
      <c r="AH4" s="101">
        <f t="shared" ref="AH4" si="27">AG4+1</f>
        <v>30</v>
      </c>
    </row>
    <row r="5" spans="2:34" x14ac:dyDescent="0.35">
      <c r="B5" s="176"/>
      <c r="C5" s="174" t="s">
        <v>77</v>
      </c>
      <c r="D5" s="174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</row>
    <row r="6" spans="2:34" s="79" customFormat="1" ht="12" x14ac:dyDescent="0.3">
      <c r="B6" s="167"/>
      <c r="C6" s="168" t="s">
        <v>482</v>
      </c>
      <c r="D6" s="168"/>
      <c r="E6" s="494">
        <f>IF(E4&gt;'Premissas Gerais'!$E$7,0,'Premissas Geração de Resíduos'!D81)</f>
        <v>70821.699330000003</v>
      </c>
      <c r="F6" s="494">
        <f>IF(F4&gt;'Premissas Gerais'!$E$7,0,'Premissas Geração de Resíduos'!E81)</f>
        <v>71150.655130999992</v>
      </c>
      <c r="G6" s="494">
        <f>IF(G4&gt;'Premissas Gerais'!$E$7,0,'Premissas Geração de Resíduos'!F81)</f>
        <v>71479.610932000011</v>
      </c>
      <c r="H6" s="494">
        <f>IF(H4&gt;'Premissas Gerais'!$E$7,0,'Premissas Geração de Resíduos'!G81)</f>
        <v>71808.566733</v>
      </c>
      <c r="I6" s="494">
        <f>IF(I4&gt;'Premissas Gerais'!$E$7,0,'Premissas Geração de Resíduos'!H81)</f>
        <v>72137.522534000018</v>
      </c>
      <c r="J6" s="494">
        <f>IF(J4&gt;'Premissas Gerais'!$E$7,0,'Premissas Geração de Resíduos'!I81)</f>
        <v>72466.212597999998</v>
      </c>
      <c r="K6" s="494">
        <f>IF(K4&gt;'Premissas Gerais'!$E$7,0,'Premissas Geração de Resíduos'!J81)</f>
        <v>72752.049519000022</v>
      </c>
      <c r="L6" s="494">
        <f>IF(L4&gt;'Premissas Gerais'!$E$7,0,'Premissas Geração de Resíduos'!K81)</f>
        <v>73037.886440000002</v>
      </c>
      <c r="M6" s="494">
        <f>IF(M4&gt;'Premissas Gerais'!$E$7,0,'Premissas Geração de Resíduos'!L81)</f>
        <v>73323.723361000011</v>
      </c>
      <c r="N6" s="494">
        <f>IF(N4&gt;'Premissas Gerais'!$E$7,0,'Premissas Geração de Resíduos'!M81)</f>
        <v>73609.560282000006</v>
      </c>
      <c r="O6" s="494">
        <f>IF(O4&gt;'Premissas Gerais'!$E$7,0,'Premissas Geração de Resíduos'!N81)</f>
        <v>73894.872302000003</v>
      </c>
      <c r="P6" s="494">
        <f>IF(P4&gt;'Premissas Gerais'!$E$7,0,'Premissas Geração de Resíduos'!O81)</f>
        <v>74060.079649000007</v>
      </c>
      <c r="Q6" s="494">
        <f>IF(Q4&gt;'Premissas Gerais'!$E$7,0,'Premissas Geração de Resíduos'!P81)</f>
        <v>74225.286995999995</v>
      </c>
      <c r="R6" s="494">
        <f>IF(R4&gt;'Premissas Gerais'!$E$7,0,'Premissas Geração de Resíduos'!Q81)</f>
        <v>74390.494342999998</v>
      </c>
      <c r="S6" s="494">
        <f>IF(S4&gt;'Premissas Gerais'!$E$7,0,'Premissas Geração de Resíduos'!R81)</f>
        <v>74555.701690000016</v>
      </c>
      <c r="T6" s="494">
        <f>IF(T4&gt;'Premissas Gerais'!$E$7,0,'Premissas Geração de Resíduos'!S81)</f>
        <v>74721.693727999998</v>
      </c>
      <c r="U6" s="494">
        <f>IF(U4&gt;'Premissas Gerais'!$E$7,0,'Premissas Geração de Resíduos'!T81)</f>
        <v>74788.096990999984</v>
      </c>
      <c r="V6" s="494">
        <f>IF(V4&gt;'Premissas Gerais'!$E$7,0,'Premissas Geração de Resíduos'!U81)</f>
        <v>74854.500253999984</v>
      </c>
      <c r="W6" s="494">
        <f>IF(W4&gt;'Premissas Gerais'!$E$7,0,'Premissas Geração de Resíduos'!V81)</f>
        <v>74920.903516999999</v>
      </c>
      <c r="X6" s="494">
        <f>IF(X4&gt;'Premissas Gerais'!$E$7,0,'Premissas Geração de Resíduos'!W81)</f>
        <v>74987.306780000014</v>
      </c>
      <c r="Y6" s="494">
        <f>IF(Y4&gt;'Premissas Gerais'!$E$7,0,'Premissas Geração de Resíduos'!X81)</f>
        <v>75053.914119000008</v>
      </c>
      <c r="Z6" s="494">
        <f>IF(Z4&gt;'Premissas Gerais'!$E$7,0,'Premissas Geração de Resíduos'!Y81)</f>
        <v>75120.317381999979</v>
      </c>
      <c r="AA6" s="494">
        <f>IF(AA4&gt;'Premissas Gerais'!$E$7,0,'Premissas Geração de Resíduos'!Z81)</f>
        <v>75186.720644999979</v>
      </c>
      <c r="AB6" s="494">
        <f>IF(AB4&gt;'Premissas Gerais'!$E$7,0,'Premissas Geração de Resíduos'!AA81)</f>
        <v>75253.123907999994</v>
      </c>
      <c r="AC6" s="494">
        <f>IF(AC4&gt;'Premissas Gerais'!$E$7,0,'Premissas Geração de Resíduos'!AB81)</f>
        <v>75319.527170999994</v>
      </c>
      <c r="AD6" s="494">
        <f>IF(AD4&gt;'Premissas Gerais'!$E$7,0,'Premissas Geração de Resíduos'!AC81)</f>
        <v>75385.930433999994</v>
      </c>
      <c r="AE6" s="494">
        <f>IF(AE4&gt;'Premissas Gerais'!$E$7,0,'Premissas Geração de Resíduos'!AD81)</f>
        <v>75452.333696999995</v>
      </c>
      <c r="AF6" s="494">
        <f>IF(AF4&gt;'Premissas Gerais'!$E$7,0,'Premissas Geração de Resíduos'!AE81)</f>
        <v>75518.736959999995</v>
      </c>
      <c r="AG6" s="494">
        <f>IF(AG4&gt;'Premissas Gerais'!$E$7,0,'Premissas Geração de Resíduos'!AF81)</f>
        <v>75585.14022299998</v>
      </c>
      <c r="AH6" s="494">
        <f>IF(AH4&gt;'Premissas Gerais'!$E$7,0,'Premissas Geração de Resíduos'!AG81)</f>
        <v>75651.543485999995</v>
      </c>
    </row>
    <row r="7" spans="2:34" s="79" customFormat="1" ht="13.5" x14ac:dyDescent="0.3">
      <c r="B7" s="167"/>
      <c r="C7" s="168" t="s">
        <v>483</v>
      </c>
      <c r="D7" s="168"/>
      <c r="E7" s="495">
        <f>IF(E4&lt;='Premissas Gerais'!$E$7,'Premissas Economias e Água'!F97,0)</f>
        <v>15319526.844905471</v>
      </c>
      <c r="F7" s="495">
        <f>IF(F4&lt;='Premissas Gerais'!$E$7,'Premissas Economias e Água'!G97,0)</f>
        <v>15389496.824053632</v>
      </c>
      <c r="G7" s="495">
        <f>IF(G4&lt;='Premissas Gerais'!$E$7,'Premissas Economias e Água'!H97,0)</f>
        <v>15459466.803201793</v>
      </c>
      <c r="H7" s="495">
        <f>IF(H4&lt;='Premissas Gerais'!$E$7,'Premissas Economias e Água'!I97,0)</f>
        <v>15529436.782349955</v>
      </c>
      <c r="I7" s="495">
        <f>IF(I4&lt;='Premissas Gerais'!$E$7,'Premissas Economias e Água'!J97,0)</f>
        <v>15599406.761498114</v>
      </c>
      <c r="J7" s="495">
        <f>IF(J4&lt;='Premissas Gerais'!$E$7,'Premissas Economias e Água'!K97,0)</f>
        <v>15669358.187696127</v>
      </c>
      <c r="K7" s="495">
        <f>IF(K4&lt;='Premissas Gerais'!$E$7,'Premissas Economias e Água'!L97,0)</f>
        <v>15729664.155035082</v>
      </c>
      <c r="L7" s="495">
        <f>IF(L4&lt;='Premissas Gerais'!$E$7,'Premissas Economias e Água'!M97,0)</f>
        <v>15789970.122374037</v>
      </c>
      <c r="M7" s="495">
        <f>IF(M4&lt;='Premissas Gerais'!$E$7,'Premissas Economias e Água'!N97,0)</f>
        <v>15850276.089712994</v>
      </c>
      <c r="N7" s="495">
        <f>IF(N4&lt;='Premissas Gerais'!$E$7,'Premissas Economias e Água'!O97,0)</f>
        <v>15910582.057051951</v>
      </c>
      <c r="O7" s="495">
        <f>IF(O4&lt;='Premissas Gerais'!$E$7,'Premissas Economias e Água'!P97,0)</f>
        <v>15970854.239900773</v>
      </c>
      <c r="P7" s="495">
        <f>IF(P4&lt;='Premissas Gerais'!$E$7,'Premissas Economias e Água'!Q97,0)</f>
        <v>16005211.602199193</v>
      </c>
      <c r="Q7" s="495">
        <f>IF(Q4&lt;='Premissas Gerais'!$E$7,'Premissas Economias e Água'!R97,0)</f>
        <v>16039568.964497613</v>
      </c>
      <c r="R7" s="495">
        <f>IF(R4&lt;='Premissas Gerais'!$E$7,'Premissas Economias e Água'!S97,0)</f>
        <v>16073926.326796032</v>
      </c>
      <c r="S7" s="495">
        <f>IF(S4&lt;='Premissas Gerais'!$E$7,'Premissas Economias e Água'!T97,0)</f>
        <v>16108283.68909445</v>
      </c>
      <c r="T7" s="495">
        <f>IF(T4&lt;='Premissas Gerais'!$E$7,'Premissas Economias e Água'!U97,0)</f>
        <v>16142871.489447875</v>
      </c>
      <c r="U7" s="495">
        <f>IF(U4&lt;='Premissas Gerais'!$E$7,'Premissas Economias e Água'!V97,0)</f>
        <v>16155826.271367189</v>
      </c>
      <c r="V7" s="495">
        <f>IF(V4&lt;='Premissas Gerais'!$E$7,'Premissas Economias e Água'!W97,0)</f>
        <v>16168781.053286506</v>
      </c>
      <c r="W7" s="495">
        <f>IF(W4&lt;='Premissas Gerais'!$E$7,'Premissas Economias e Água'!X97,0)</f>
        <v>16181735.835205821</v>
      </c>
      <c r="X7" s="495">
        <f>IF(X4&lt;='Premissas Gerais'!$E$7,'Premissas Economias e Água'!Y97,0)</f>
        <v>16194690.617125131</v>
      </c>
      <c r="Y7" s="495">
        <f>IF(Y4&lt;='Premissas Gerais'!$E$7,'Premissas Economias e Água'!Z97,0)</f>
        <v>16207602.976648573</v>
      </c>
      <c r="Z7" s="495">
        <f>IF(Z4&lt;='Premissas Gerais'!$E$7,'Premissas Economias e Água'!AA97,0)</f>
        <v>16220557.758567888</v>
      </c>
      <c r="AA7" s="495">
        <f>IF(AA4&lt;='Premissas Gerais'!$E$7,'Premissas Economias e Água'!AB97,0)</f>
        <v>16233512.540487202</v>
      </c>
      <c r="AB7" s="495">
        <f>IF(AB4&lt;='Premissas Gerais'!$E$7,'Premissas Economias e Água'!AC97,0)</f>
        <v>16246467.322406515</v>
      </c>
      <c r="AC7" s="495">
        <f>IF(AC4&lt;='Premissas Gerais'!$E$7,'Premissas Economias e Água'!AD97,0)</f>
        <v>16259422.104325829</v>
      </c>
      <c r="AD7" s="495">
        <f>IF(AD4&lt;='Premissas Gerais'!$E$7,'Premissas Economias e Água'!AE97,0)</f>
        <v>16272376.886245146</v>
      </c>
      <c r="AE7" s="495">
        <f>IF(AE4&lt;='Premissas Gerais'!$E$7,'Premissas Economias e Água'!AF97,0)</f>
        <v>16285331.66816446</v>
      </c>
      <c r="AF7" s="495">
        <f>IF(AF4&lt;='Premissas Gerais'!$E$7,'Premissas Economias e Água'!AG97,0)</f>
        <v>16298286.450083774</v>
      </c>
      <c r="AG7" s="495">
        <f>IF(AG4&lt;='Premissas Gerais'!$E$7,'Premissas Economias e Água'!AH97,0)</f>
        <v>16311241.232003089</v>
      </c>
      <c r="AH7" s="495">
        <f>IF(AH4&lt;='Premissas Gerais'!$E$7,'Premissas Economias e Água'!AI97,0)</f>
        <v>16324196.013922404</v>
      </c>
    </row>
    <row r="8" spans="2:34" s="79" customFormat="1" ht="13.5" x14ac:dyDescent="0.3">
      <c r="B8" s="226"/>
      <c r="C8" s="227" t="s">
        <v>484</v>
      </c>
      <c r="D8" s="227"/>
      <c r="E8" s="496">
        <f>'Premissas Gerais'!E35*'Premissas Gerais'!E38</f>
        <v>2.8567488023289074</v>
      </c>
      <c r="F8" s="496">
        <f>'Premissas Gerais'!E35*'Premissas Gerais'!E39</f>
        <v>2.8567488023289074</v>
      </c>
      <c r="G8" s="496">
        <f>'Premissas Gerais'!E35*'Premissas Gerais'!E40</f>
        <v>2.8567488023289074</v>
      </c>
      <c r="H8" s="496">
        <f>'Premissas Gerais'!E35*'Premissas Gerais'!E41</f>
        <v>2.8567488023289074</v>
      </c>
      <c r="I8" s="496">
        <f>'Premissas Gerais'!E35*'Premissas Gerais'!E42</f>
        <v>2.8567488023289074</v>
      </c>
      <c r="J8" s="496">
        <f>'Premissas Gerais'!$E$35*'Premissas Gerais'!$E$43</f>
        <v>2.8567488023289074</v>
      </c>
      <c r="K8" s="496">
        <f>'Premissas Gerais'!$E$35*'Premissas Gerais'!$E$44</f>
        <v>2.8567488023289074</v>
      </c>
      <c r="L8" s="496">
        <f>'Premissas Gerais'!$E$35*'Premissas Gerais'!$E$45</f>
        <v>2.8567488023289074</v>
      </c>
      <c r="M8" s="496">
        <f>'Premissas Gerais'!$E$35*'Premissas Gerais'!$E$46</f>
        <v>2.8567488023289074</v>
      </c>
      <c r="N8" s="496">
        <f>'Premissas Gerais'!$E$35*'Premissas Gerais'!$E$47</f>
        <v>2.8567488023289074</v>
      </c>
      <c r="O8" s="496">
        <f>IF(Receitas!O4&gt;'Premissas Gerais'!$E$7,0,Receitas!N8)</f>
        <v>2.8567488023289074</v>
      </c>
      <c r="P8" s="496">
        <f>IF(Receitas!P4&gt;'Premissas Gerais'!$E$7,0,Receitas!O8)</f>
        <v>2.8567488023289074</v>
      </c>
      <c r="Q8" s="496">
        <f>IF(Receitas!Q4&gt;'Premissas Gerais'!$E$7,0,Receitas!P8)</f>
        <v>2.8567488023289074</v>
      </c>
      <c r="R8" s="496">
        <f>IF(Receitas!R4&gt;'Premissas Gerais'!$E$7,0,Receitas!Q8)</f>
        <v>2.8567488023289074</v>
      </c>
      <c r="S8" s="496">
        <f>IF(Receitas!S4&gt;'Premissas Gerais'!$E$7,0,Receitas!R8)</f>
        <v>2.8567488023289074</v>
      </c>
      <c r="T8" s="496">
        <f>IF(Receitas!T4&gt;'Premissas Gerais'!$E$7,0,Receitas!S8)</f>
        <v>2.8567488023289074</v>
      </c>
      <c r="U8" s="496">
        <f>IF(Receitas!U4&gt;'Premissas Gerais'!$E$7,0,Receitas!T8)</f>
        <v>2.8567488023289074</v>
      </c>
      <c r="V8" s="496">
        <f>IF(Receitas!V4&gt;'Premissas Gerais'!$E$7,0,Receitas!U8)</f>
        <v>2.8567488023289074</v>
      </c>
      <c r="W8" s="496">
        <f>IF(Receitas!W4&gt;'Premissas Gerais'!$E$7,0,Receitas!V8)</f>
        <v>2.8567488023289074</v>
      </c>
      <c r="X8" s="496">
        <f>IF(Receitas!X4&gt;'Premissas Gerais'!$E$7,0,Receitas!W8)</f>
        <v>2.8567488023289074</v>
      </c>
      <c r="Y8" s="496">
        <f>IF(Receitas!Y4&gt;'Premissas Gerais'!$E$7,0,Receitas!X8)</f>
        <v>2.8567488023289074</v>
      </c>
      <c r="Z8" s="496">
        <f>IF(Receitas!Z4&gt;'Premissas Gerais'!$E$7,0,Receitas!Y8)</f>
        <v>2.8567488023289074</v>
      </c>
      <c r="AA8" s="496">
        <f>IF(Receitas!AA4&gt;'Premissas Gerais'!$E$7,0,Receitas!Z8)</f>
        <v>2.8567488023289074</v>
      </c>
      <c r="AB8" s="496">
        <f>IF(Receitas!AB4&gt;'Premissas Gerais'!$E$7,0,Receitas!AA8)</f>
        <v>2.8567488023289074</v>
      </c>
      <c r="AC8" s="496">
        <f>IF(Receitas!AC4&gt;'Premissas Gerais'!$E$7,0,Receitas!AB8)</f>
        <v>2.8567488023289074</v>
      </c>
      <c r="AD8" s="496">
        <f>IF(Receitas!AD4&gt;'Premissas Gerais'!$E$7,0,Receitas!AC8)</f>
        <v>2.8567488023289074</v>
      </c>
      <c r="AE8" s="496">
        <f>IF(Receitas!AE4&gt;'Premissas Gerais'!$E$7,0,Receitas!AD8)</f>
        <v>2.8567488023289074</v>
      </c>
      <c r="AF8" s="496">
        <f>IF(Receitas!AF4&gt;'Premissas Gerais'!$E$7,0,Receitas!AE8)</f>
        <v>2.8567488023289074</v>
      </c>
      <c r="AG8" s="496">
        <f>IF(Receitas!AG4&gt;'Premissas Gerais'!$E$7,0,Receitas!AF8)</f>
        <v>2.8567488023289074</v>
      </c>
      <c r="AH8" s="496">
        <f>IF(Receitas!AH4&gt;'Premissas Gerais'!$E$7,0,Receitas!AG8)</f>
        <v>2.8567488023289074</v>
      </c>
    </row>
    <row r="9" spans="2:34" s="79" customFormat="1" ht="12" x14ac:dyDescent="0.3">
      <c r="B9" s="225"/>
      <c r="C9" s="173" t="s">
        <v>1</v>
      </c>
      <c r="D9" s="173"/>
      <c r="E9" s="497">
        <f>SUM(E10:E20)</f>
        <v>537260.18751166982</v>
      </c>
      <c r="F9" s="497">
        <f t="shared" ref="F9:AH9" si="28">SUM(F10:F20)</f>
        <v>534209.88364616095</v>
      </c>
      <c r="G9" s="497">
        <f t="shared" si="28"/>
        <v>531159.57978065172</v>
      </c>
      <c r="H9" s="497">
        <f t="shared" si="28"/>
        <v>528109.27591514273</v>
      </c>
      <c r="I9" s="497">
        <f t="shared" si="28"/>
        <v>525058.97204963362</v>
      </c>
      <c r="J9" s="497">
        <f t="shared" si="28"/>
        <v>522008.66818412446</v>
      </c>
      <c r="K9" s="497">
        <f t="shared" si="28"/>
        <v>518144.94995447953</v>
      </c>
      <c r="L9" s="497">
        <f t="shared" si="28"/>
        <v>514281.23172483477</v>
      </c>
      <c r="M9" s="497">
        <f t="shared" si="28"/>
        <v>510417.51349518984</v>
      </c>
      <c r="N9" s="497">
        <f t="shared" si="28"/>
        <v>506553.79526554496</v>
      </c>
      <c r="O9" s="497">
        <f t="shared" si="28"/>
        <v>503096.78421796806</v>
      </c>
      <c r="P9" s="497">
        <f t="shared" si="28"/>
        <v>498623.00521522132</v>
      </c>
      <c r="Q9" s="497">
        <f t="shared" si="28"/>
        <v>494149.22621247458</v>
      </c>
      <c r="R9" s="497">
        <f t="shared" si="28"/>
        <v>489675.44720972795</v>
      </c>
      <c r="S9" s="497">
        <f t="shared" si="28"/>
        <v>485201.66820698121</v>
      </c>
      <c r="T9" s="497">
        <f t="shared" si="28"/>
        <v>480931.2427952686</v>
      </c>
      <c r="U9" s="497">
        <f t="shared" si="28"/>
        <v>476254.11020148784</v>
      </c>
      <c r="V9" s="497">
        <f t="shared" si="28"/>
        <v>471576.97760770732</v>
      </c>
      <c r="W9" s="497">
        <f t="shared" si="28"/>
        <v>466899.84501392662</v>
      </c>
      <c r="X9" s="497">
        <f t="shared" si="28"/>
        <v>462222.71242014598</v>
      </c>
      <c r="Y9" s="497">
        <f t="shared" si="28"/>
        <v>457138.87264429755</v>
      </c>
      <c r="Z9" s="497">
        <f t="shared" si="28"/>
        <v>452461.74005051696</v>
      </c>
      <c r="AA9" s="497">
        <f t="shared" si="28"/>
        <v>447784.60745673627</v>
      </c>
      <c r="AB9" s="497">
        <f t="shared" si="28"/>
        <v>443107.47486295557</v>
      </c>
      <c r="AC9" s="497">
        <f t="shared" si="28"/>
        <v>438430.34226917499</v>
      </c>
      <c r="AD9" s="497">
        <f t="shared" si="28"/>
        <v>433753.20967539441</v>
      </c>
      <c r="AE9" s="497">
        <f t="shared" si="28"/>
        <v>429076.07708161377</v>
      </c>
      <c r="AF9" s="497">
        <f t="shared" si="28"/>
        <v>424398.94448783313</v>
      </c>
      <c r="AG9" s="497">
        <f t="shared" si="28"/>
        <v>419721.8118940526</v>
      </c>
      <c r="AH9" s="497">
        <f t="shared" si="28"/>
        <v>415044.67930027191</v>
      </c>
    </row>
    <row r="10" spans="2:34" s="1335" customFormat="1" ht="10.5" outlineLevel="1" x14ac:dyDescent="0.25">
      <c r="B10" s="1336"/>
      <c r="C10" s="1337" t="s">
        <v>10</v>
      </c>
      <c r="D10" s="1337"/>
      <c r="E10" s="1338">
        <f>IF((E8*'Modelo Tarifário'!$C$53*'Modelo Tarifário'!$E$35)*('Premissas Economias e Água'!F271)&gt;('Premissas Economias e Água'!F131*12*'Modelo Tarifário'!$D$29*'Modelo Tarifário'!$C$53*'Modelo Tarifário'!$E$35),(E8*'Modelo Tarifário'!$C$53*'Modelo Tarifário'!$E$35)*('Premissas Economias e Água'!F271),('Premissas Economias e Água'!F131*12*'Modelo Tarifário'!$D$29*'Modelo Tarifário'!$C$53*'Modelo Tarifário'!$E$35))</f>
        <v>76157.511960226228</v>
      </c>
      <c r="F10" s="1338">
        <f>IF((F8*'Modelo Tarifário'!$C$53*'Modelo Tarifário'!$E$35)*('Premissas Economias e Água'!G271)&gt;('Premissas Economias e Água'!G131*12*'Modelo Tarifário'!$D$29*'Modelo Tarifário'!$C$53*'Modelo Tarifário'!$E$35),(F8*'Modelo Tarifário'!$C$53*'Modelo Tarifário'!$E$35)*('Premissas Economias e Água'!G271),('Premissas Economias e Água'!G131*12*'Modelo Tarifário'!$D$29*'Modelo Tarifário'!$C$53*'Modelo Tarifário'!$E$35))</f>
        <v>75725.126388915349</v>
      </c>
      <c r="G10" s="1338">
        <f>IF((G8*'Modelo Tarifário'!$C$53*'Modelo Tarifário'!$E$35)*('Premissas Economias e Água'!H271)&gt;('Premissas Economias e Água'!H131*12*'Modelo Tarifário'!$D$29*'Modelo Tarifário'!$C$53*'Modelo Tarifário'!$E$35),(G8*'Modelo Tarifário'!$C$53*'Modelo Tarifário'!$E$35)*('Premissas Economias e Água'!H271),('Premissas Economias e Água'!H131*12*'Modelo Tarifário'!$D$29*'Modelo Tarifário'!$C$53*'Modelo Tarifário'!$E$35))</f>
        <v>75292.740817604441</v>
      </c>
      <c r="H10" s="1338">
        <f>IF((H8*'Modelo Tarifário'!$C$53*'Modelo Tarifário'!$E$35)*('Premissas Economias e Água'!I271)&gt;('Premissas Economias e Água'!I131*12*'Modelo Tarifário'!$D$29*'Modelo Tarifário'!$C$53*'Modelo Tarifário'!$E$35),(H8*'Modelo Tarifário'!$C$53*'Modelo Tarifário'!$E$35)*('Premissas Economias e Água'!I271),('Premissas Economias e Água'!I131*12*'Modelo Tarifário'!$D$29*'Modelo Tarifário'!$C$53*'Modelo Tarifário'!$E$35))</f>
        <v>74860.355246293562</v>
      </c>
      <c r="I10" s="1338">
        <f>IF((I8*'Modelo Tarifário'!$C$53*'Modelo Tarifário'!$E$35)*('Premissas Economias e Água'!J271)&gt;('Premissas Economias e Água'!J131*12*'Modelo Tarifário'!$D$29*'Modelo Tarifário'!$C$53*'Modelo Tarifário'!$E$35),(I8*'Modelo Tarifário'!$C$53*'Modelo Tarifário'!$E$35)*('Premissas Economias e Água'!J271),('Premissas Economias e Água'!J131*12*'Modelo Tarifário'!$D$29*'Modelo Tarifário'!$C$53*'Modelo Tarifário'!$E$35))</f>
        <v>74427.96967498264</v>
      </c>
      <c r="J10" s="1338">
        <f>IF((J8*'Modelo Tarifário'!$C$53*'Modelo Tarifário'!$E$35)*('Premissas Economias e Água'!K271)&gt;('Premissas Economias e Água'!K131*12*'Modelo Tarifário'!$D$29*'Modelo Tarifário'!$C$53*'Modelo Tarifário'!$E$35),(J8*'Modelo Tarifário'!$C$53*'Modelo Tarifário'!$E$35)*('Premissas Economias e Água'!K271),('Premissas Economias e Água'!K131*12*'Modelo Tarifário'!$D$29*'Modelo Tarifário'!$C$53*'Modelo Tarifário'!$E$35))</f>
        <v>73995.584103671747</v>
      </c>
      <c r="K10" s="1338">
        <f>IF((K8*'Modelo Tarifário'!$C$53*'Modelo Tarifário'!$E$35)*('Premissas Economias e Água'!L271)&gt;('Premissas Economias e Água'!L131*12*'Modelo Tarifário'!$D$29*'Modelo Tarifário'!$C$53*'Modelo Tarifário'!$E$35),(K8*'Modelo Tarifário'!$C$53*'Modelo Tarifário'!$E$35)*('Premissas Economias e Água'!L271),('Premissas Economias e Água'!L131*12*'Modelo Tarifário'!$D$29*'Modelo Tarifário'!$C$53*'Modelo Tarifário'!$E$35))</f>
        <v>73447.895713344609</v>
      </c>
      <c r="L10" s="1338">
        <f>IF((L8*'Modelo Tarifário'!$C$53*'Modelo Tarifário'!$E$35)*('Premissas Economias e Água'!M271)&gt;('Premissas Economias e Água'!M131*12*'Modelo Tarifário'!$D$29*'Modelo Tarifário'!$C$53*'Modelo Tarifário'!$E$35),(L8*'Modelo Tarifário'!$C$53*'Modelo Tarifário'!$E$35)*('Premissas Economias e Água'!M271),('Premissas Economias e Água'!M131*12*'Modelo Tarifário'!$D$29*'Modelo Tarifário'!$C$53*'Modelo Tarifário'!$E$35))</f>
        <v>72900.207323017486</v>
      </c>
      <c r="M10" s="1338">
        <f>IF((M8*'Modelo Tarifário'!$C$53*'Modelo Tarifário'!$E$35)*('Premissas Economias e Água'!N271)&gt;('Premissas Economias e Água'!N131*12*'Modelo Tarifário'!$D$29*'Modelo Tarifário'!$C$53*'Modelo Tarifário'!$E$35),(M8*'Modelo Tarifário'!$C$53*'Modelo Tarifário'!$E$35)*('Premissas Economias e Água'!N271),('Premissas Economias e Água'!N131*12*'Modelo Tarifário'!$D$29*'Modelo Tarifário'!$C$53*'Modelo Tarifário'!$E$35))</f>
        <v>72352.518932690335</v>
      </c>
      <c r="N10" s="1338">
        <f>IF((N8*'Modelo Tarifário'!$C$53*'Modelo Tarifário'!$E$35)*('Premissas Economias e Água'!O271)&gt;('Premissas Economias e Água'!O131*12*'Modelo Tarifário'!$D$29*'Modelo Tarifário'!$C$53*'Modelo Tarifário'!$E$35),(N8*'Modelo Tarifário'!$C$53*'Modelo Tarifário'!$E$35)*('Premissas Economias e Água'!O271),('Premissas Economias e Água'!O131*12*'Modelo Tarifário'!$D$29*'Modelo Tarifário'!$C$53*'Modelo Tarifário'!$E$35))</f>
        <v>71804.830542363197</v>
      </c>
      <c r="O10" s="1338">
        <f>IF((O8*'Modelo Tarifário'!$C$53*'Modelo Tarifário'!$E$35)*('Premissas Economias e Água'!P271)&gt;('Premissas Economias e Água'!P131*12*'Modelo Tarifário'!$D$29*'Modelo Tarifário'!$C$53*'Modelo Tarifário'!$E$35),(O8*'Modelo Tarifário'!$C$53*'Modelo Tarifário'!$E$35)*('Premissas Economias e Água'!P271),('Premissas Economias e Água'!P131*12*'Modelo Tarifário'!$D$29*'Modelo Tarifário'!$C$53*'Modelo Tarifário'!$E$35))</f>
        <v>71314.793561544182</v>
      </c>
      <c r="P10" s="1338">
        <f>IF((P8*'Modelo Tarifário'!$C$53*'Modelo Tarifário'!$E$35)*('Premissas Economias e Água'!Q271)&gt;('Premissas Economias e Água'!Q131*12*'Modelo Tarifário'!$D$29*'Modelo Tarifário'!$C$53*'Modelo Tarifário'!$E$35),(P8*'Modelo Tarifário'!$C$53*'Modelo Tarifário'!$E$35)*('Premissas Economias e Água'!Q271),('Premissas Economias e Água'!Q131*12*'Modelo Tarifário'!$D$29*'Modelo Tarifário'!$C$53*'Modelo Tarifário'!$E$35))</f>
        <v>70680.628056954869</v>
      </c>
      <c r="Q10" s="1338">
        <f>IF((Q8*'Modelo Tarifário'!$C$53*'Modelo Tarifário'!$E$35)*('Premissas Economias e Água'!R271)&gt;('Premissas Economias e Água'!R131*12*'Modelo Tarifário'!$D$29*'Modelo Tarifário'!$C$53*'Modelo Tarifário'!$E$35),(Q8*'Modelo Tarifário'!$C$53*'Modelo Tarifário'!$E$35)*('Premissas Economias e Água'!R271),('Premissas Economias e Água'!R131*12*'Modelo Tarifário'!$D$29*'Modelo Tarifário'!$C$53*'Modelo Tarifário'!$E$35))</f>
        <v>70046.462552365541</v>
      </c>
      <c r="R10" s="1338">
        <f>IF((R8*'Modelo Tarifário'!$C$53*'Modelo Tarifário'!$E$35)*('Premissas Economias e Água'!S271)&gt;('Premissas Economias e Água'!S131*12*'Modelo Tarifário'!$D$29*'Modelo Tarifário'!$C$53*'Modelo Tarifário'!$E$35),(R8*'Modelo Tarifário'!$C$53*'Modelo Tarifário'!$E$35)*('Premissas Economias e Água'!S271),('Premissas Economias e Água'!S131*12*'Modelo Tarifário'!$D$29*'Modelo Tarifário'!$C$53*'Modelo Tarifário'!$E$35))</f>
        <v>69412.297047776228</v>
      </c>
      <c r="S10" s="1338">
        <f>IF((S8*'Modelo Tarifário'!$C$53*'Modelo Tarifário'!$E$35)*('Premissas Economias e Água'!T271)&gt;('Premissas Economias e Água'!T131*12*'Modelo Tarifário'!$D$29*'Modelo Tarifário'!$C$53*'Modelo Tarifário'!$E$35),(S8*'Modelo Tarifário'!$C$53*'Modelo Tarifário'!$E$35)*('Premissas Economias e Água'!T271),('Premissas Economias e Água'!T131*12*'Modelo Tarifário'!$D$29*'Modelo Tarifário'!$C$53*'Modelo Tarifário'!$E$35))</f>
        <v>68778.131543186901</v>
      </c>
      <c r="T10" s="1338">
        <f>IF((T8*'Modelo Tarifário'!$C$53*'Modelo Tarifário'!$E$35)*('Premissas Economias e Água'!U271)&gt;('Premissas Economias e Água'!U131*12*'Modelo Tarifário'!$D$29*'Modelo Tarifário'!$C$53*'Modelo Tarifário'!$E$35),(T8*'Modelo Tarifário'!$C$53*'Modelo Tarifário'!$E$35)*('Premissas Economias e Água'!U271),('Premissas Economias e Água'!U131*12*'Modelo Tarifário'!$D$29*'Modelo Tarifário'!$C$53*'Modelo Tarifário'!$E$35))</f>
        <v>68172.791743351641</v>
      </c>
      <c r="U10" s="1338">
        <f>IF((U8*'Modelo Tarifário'!$C$53*'Modelo Tarifário'!$E$35)*('Premissas Economias e Água'!V271)&gt;('Premissas Economias e Água'!V131*12*'Modelo Tarifário'!$D$29*'Modelo Tarifário'!$C$53*'Modelo Tarifário'!$E$35),(U8*'Modelo Tarifário'!$C$53*'Modelo Tarifário'!$E$35)*('Premissas Economias e Água'!V271),('Premissas Economias e Água'!V131*12*'Modelo Tarifário'!$D$29*'Modelo Tarifário'!$C$53*'Modelo Tarifário'!$E$35))</f>
        <v>67509.800534008275</v>
      </c>
      <c r="V10" s="1338">
        <f>IF((V8*'Modelo Tarifário'!$C$53*'Modelo Tarifário'!$E$35)*('Premissas Economias e Água'!W271)&gt;('Premissas Economias e Água'!W131*12*'Modelo Tarifário'!$D$29*'Modelo Tarifário'!$C$53*'Modelo Tarifário'!$E$35),(V8*'Modelo Tarifário'!$C$53*'Modelo Tarifário'!$E$35)*('Premissas Economias e Água'!W271),('Premissas Economias e Água'!W131*12*'Modelo Tarifário'!$D$29*'Modelo Tarifário'!$C$53*'Modelo Tarifário'!$E$35))</f>
        <v>66846.809324664893</v>
      </c>
      <c r="W10" s="1338">
        <f>IF((W8*'Modelo Tarifário'!$C$53*'Modelo Tarifário'!$E$35)*('Premissas Economias e Água'!X271)&gt;('Premissas Economias e Água'!X131*12*'Modelo Tarifário'!$D$29*'Modelo Tarifário'!$C$53*'Modelo Tarifário'!$E$35),(W8*'Modelo Tarifário'!$C$53*'Modelo Tarifário'!$E$35)*('Premissas Economias e Água'!X271),('Premissas Economias e Água'!X131*12*'Modelo Tarifário'!$D$29*'Modelo Tarifário'!$C$53*'Modelo Tarifário'!$E$35))</f>
        <v>66183.818115321512</v>
      </c>
      <c r="X10" s="1338">
        <f>IF((X8*'Modelo Tarifário'!$C$53*'Modelo Tarifário'!$E$35)*('Premissas Economias e Água'!Y271)&gt;('Premissas Economias e Água'!Y131*12*'Modelo Tarifário'!$D$29*'Modelo Tarifário'!$C$53*'Modelo Tarifário'!$E$35),(X8*'Modelo Tarifário'!$C$53*'Modelo Tarifário'!$E$35)*('Premissas Economias e Água'!Y271),('Premissas Economias e Água'!Y131*12*'Modelo Tarifário'!$D$29*'Modelo Tarifário'!$C$53*'Modelo Tarifário'!$E$35))</f>
        <v>65520.826905978138</v>
      </c>
      <c r="Y10" s="1338">
        <f>IF((Y8*'Modelo Tarifário'!$C$53*'Modelo Tarifário'!$E$35)*('Premissas Economias e Água'!Z271)&gt;('Premissas Economias e Água'!Z131*12*'Modelo Tarifário'!$D$29*'Modelo Tarifário'!$C$53*'Modelo Tarifário'!$E$35),(Y8*'Modelo Tarifário'!$C$53*'Modelo Tarifário'!$E$35)*('Premissas Economias e Água'!Z271),('Premissas Economias e Água'!Z131*12*'Modelo Tarifário'!$D$29*'Modelo Tarifário'!$C$53*'Modelo Tarifário'!$E$35))</f>
        <v>64800.184287126642</v>
      </c>
      <c r="Z10" s="1338">
        <f>IF((Z8*'Modelo Tarifário'!$C$53*'Modelo Tarifário'!$E$35)*('Premissas Economias e Água'!AA271)&gt;('Premissas Economias e Água'!AA131*12*'Modelo Tarifário'!$D$29*'Modelo Tarifário'!$C$53*'Modelo Tarifário'!$E$35),(Z8*'Modelo Tarifário'!$C$53*'Modelo Tarifário'!$E$35)*('Premissas Economias e Água'!AA271),('Premissas Economias e Água'!AA131*12*'Modelo Tarifário'!$D$29*'Modelo Tarifário'!$C$53*'Modelo Tarifário'!$E$35))</f>
        <v>64137.193077783268</v>
      </c>
      <c r="AA10" s="1338">
        <f>IF((AA8*'Modelo Tarifário'!$C$53*'Modelo Tarifário'!$E$35)*('Premissas Economias e Água'!AB271)&gt;('Premissas Economias e Água'!AB131*12*'Modelo Tarifário'!$D$29*'Modelo Tarifário'!$C$53*'Modelo Tarifário'!$E$35),(AA8*'Modelo Tarifário'!$C$53*'Modelo Tarifário'!$E$35)*('Premissas Economias e Água'!AB271),('Premissas Economias e Água'!AB131*12*'Modelo Tarifário'!$D$29*'Modelo Tarifário'!$C$53*'Modelo Tarifário'!$E$35))</f>
        <v>63474.201868439886</v>
      </c>
      <c r="AB10" s="1338">
        <f>IF((AB8*'Modelo Tarifário'!$C$53*'Modelo Tarifário'!$E$35)*('Premissas Economias e Água'!AC271)&gt;('Premissas Economias e Água'!AC131*12*'Modelo Tarifário'!$D$29*'Modelo Tarifário'!$C$53*'Modelo Tarifário'!$E$35),(AB8*'Modelo Tarifário'!$C$53*'Modelo Tarifário'!$E$35)*('Premissas Economias e Água'!AC271),('Premissas Economias e Água'!AC131*12*'Modelo Tarifário'!$D$29*'Modelo Tarifário'!$C$53*'Modelo Tarifário'!$E$35))</f>
        <v>62811.210659096505</v>
      </c>
      <c r="AC10" s="1338">
        <f>IF((AC8*'Modelo Tarifário'!$C$53*'Modelo Tarifário'!$E$35)*('Premissas Economias e Água'!AD271)&gt;('Premissas Economias e Água'!AD131*12*'Modelo Tarifário'!$D$29*'Modelo Tarifário'!$C$53*'Modelo Tarifário'!$E$35),(AC8*'Modelo Tarifário'!$C$53*'Modelo Tarifário'!$E$35)*('Premissas Economias e Água'!AD271),('Premissas Economias e Água'!AD131*12*'Modelo Tarifário'!$D$29*'Modelo Tarifário'!$C$53*'Modelo Tarifário'!$E$35))</f>
        <v>62148.219449753138</v>
      </c>
      <c r="AD10" s="1338">
        <f>IF((AD8*'Modelo Tarifário'!$C$53*'Modelo Tarifário'!$E$35)*('Premissas Economias e Água'!AE271)&gt;('Premissas Economias e Água'!AE131*12*'Modelo Tarifário'!$D$29*'Modelo Tarifário'!$C$53*'Modelo Tarifário'!$E$35),(AD8*'Modelo Tarifário'!$C$53*'Modelo Tarifário'!$E$35)*('Premissas Economias e Água'!AE271),('Premissas Economias e Água'!AE131*12*'Modelo Tarifário'!$D$29*'Modelo Tarifário'!$C$53*'Modelo Tarifário'!$E$35))</f>
        <v>61485.228240409757</v>
      </c>
      <c r="AE10" s="1338">
        <f>IF((AE8*'Modelo Tarifário'!$C$53*'Modelo Tarifário'!$E$35)*('Premissas Economias e Água'!AF271)&gt;('Premissas Economias e Água'!AF131*12*'Modelo Tarifário'!$D$29*'Modelo Tarifário'!$C$53*'Modelo Tarifário'!$E$35),(AE8*'Modelo Tarifário'!$C$53*'Modelo Tarifário'!$E$35)*('Premissas Economias e Água'!AF271),('Premissas Economias e Água'!AF131*12*'Modelo Tarifário'!$D$29*'Modelo Tarifário'!$C$53*'Modelo Tarifário'!$E$35))</f>
        <v>60822.237031066368</v>
      </c>
      <c r="AF10" s="1338">
        <f>IF((AF8*'Modelo Tarifário'!$C$53*'Modelo Tarifário'!$E$35)*('Premissas Economias e Água'!AG271)&gt;('Premissas Economias e Água'!AG131*12*'Modelo Tarifário'!$D$29*'Modelo Tarifário'!$C$53*'Modelo Tarifário'!$E$35),(AF8*'Modelo Tarifário'!$C$53*'Modelo Tarifário'!$E$35)*('Premissas Economias e Água'!AG271),('Premissas Economias e Água'!AG131*12*'Modelo Tarifário'!$D$29*'Modelo Tarifário'!$C$53*'Modelo Tarifário'!$E$35))</f>
        <v>60159.245821723001</v>
      </c>
      <c r="AG10" s="1338">
        <f>IF((AG8*'Modelo Tarifário'!$C$53*'Modelo Tarifário'!$E$35)*('Premissas Economias e Água'!AH271)&gt;('Premissas Economias e Água'!AH131*12*'Modelo Tarifário'!$D$29*'Modelo Tarifário'!$C$53*'Modelo Tarifário'!$E$35),(AG8*'Modelo Tarifário'!$C$53*'Modelo Tarifário'!$E$35)*('Premissas Economias e Água'!AH271),('Premissas Economias e Água'!AH131*12*'Modelo Tarifário'!$D$29*'Modelo Tarifário'!$C$53*'Modelo Tarifário'!$E$35))</f>
        <v>59496.254612379627</v>
      </c>
      <c r="AH10" s="1338">
        <f>IF((AH8*'Modelo Tarifário'!$C$53*'Modelo Tarifário'!$E$35)*('Premissas Economias e Água'!AI271)&gt;('Premissas Economias e Água'!AI131*12*'Modelo Tarifário'!$D$29*'Modelo Tarifário'!$C$53*'Modelo Tarifário'!$E$35),(AH8*'Modelo Tarifário'!$C$53*'Modelo Tarifário'!$E$35)*('Premissas Economias e Água'!AI271),('Premissas Economias e Água'!AI131*12*'Modelo Tarifário'!$D$29*'Modelo Tarifário'!$C$53*'Modelo Tarifário'!$E$35))</f>
        <v>58833.263403036246</v>
      </c>
    </row>
    <row r="11" spans="2:34" s="1335" customFormat="1" ht="10.5" outlineLevel="1" x14ac:dyDescent="0.25">
      <c r="B11" s="1339"/>
      <c r="C11" s="1335" t="s">
        <v>277</v>
      </c>
      <c r="E11" s="1340">
        <f>IF(('Premissas Economias e Água'!F132*'Modelo Tarifário'!$I$36*'Modelo Tarifário'!$B$5*12*'Modelo Tarifário'!$E$36)&gt;('Premissas Economias e Água'!F132*12*'Modelo Tarifário'!$D$29*'Modelo Tarifário'!$E$36),('Premissas Economias e Água'!F132*'Modelo Tarifário'!$I$36*'Modelo Tarifário'!$B$5*12*'Modelo Tarifário'!$E$36),('Premissas Economias e Água'!F132*12*'Modelo Tarifário'!$D$29*'Modelo Tarifário'!$E$36))</f>
        <v>14864.623385228831</v>
      </c>
      <c r="F11" s="1340">
        <f>IF(('Premissas Economias e Água'!G132*'Modelo Tarifário'!$I$36*'Modelo Tarifário'!$B$5*12*'Modelo Tarifário'!$E$36)&gt;('Premissas Economias e Água'!G132*12*'Modelo Tarifário'!$D$29*'Modelo Tarifário'!$E$36),('Premissas Economias e Água'!G132*'Modelo Tarifário'!$I$36*'Modelo Tarifário'!$B$5*12*'Modelo Tarifário'!$E$36),('Premissas Economias e Água'!G132*12*'Modelo Tarifário'!$D$29*'Modelo Tarifário'!$E$36))</f>
        <v>14780.229232776741</v>
      </c>
      <c r="G11" s="1340">
        <f>IF(('Premissas Economias e Água'!H132*'Modelo Tarifário'!$I$36*'Modelo Tarifário'!$B$5*12*'Modelo Tarifário'!$E$36)&gt;('Premissas Economias e Água'!H132*12*'Modelo Tarifário'!$D$29*'Modelo Tarifário'!$E$36),('Premissas Economias e Água'!H132*'Modelo Tarifário'!$I$36*'Modelo Tarifário'!$B$5*12*'Modelo Tarifário'!$E$36),('Premissas Economias e Água'!H132*12*'Modelo Tarifário'!$D$29*'Modelo Tarifário'!$E$36))</f>
        <v>14695.835080324647</v>
      </c>
      <c r="H11" s="1340">
        <f>IF(('Premissas Economias e Água'!I132*'Modelo Tarifário'!$I$36*'Modelo Tarifário'!$B$5*12*'Modelo Tarifário'!$E$36)&gt;('Premissas Economias e Água'!I132*12*'Modelo Tarifário'!$D$29*'Modelo Tarifário'!$E$36),('Premissas Economias e Água'!I132*'Modelo Tarifário'!$I$36*'Modelo Tarifário'!$B$5*12*'Modelo Tarifário'!$E$36),('Premissas Economias e Água'!I132*12*'Modelo Tarifário'!$D$29*'Modelo Tarifário'!$E$36))</f>
        <v>14611.440927872552</v>
      </c>
      <c r="I11" s="1340">
        <f>IF(('Premissas Economias e Água'!J132*'Modelo Tarifário'!$I$36*'Modelo Tarifário'!$B$5*12*'Modelo Tarifário'!$E$36)&gt;('Premissas Economias e Água'!J132*12*'Modelo Tarifário'!$D$29*'Modelo Tarifário'!$E$36),('Premissas Economias e Água'!J132*'Modelo Tarifário'!$I$36*'Modelo Tarifário'!$B$5*12*'Modelo Tarifário'!$E$36),('Premissas Economias e Água'!J132*12*'Modelo Tarifário'!$D$29*'Modelo Tarifário'!$E$36))</f>
        <v>14527.046775420455</v>
      </c>
      <c r="J11" s="1340">
        <f>IF(('Premissas Economias e Água'!K132*'Modelo Tarifário'!$I$36*'Modelo Tarifário'!$B$5*12*'Modelo Tarifário'!$E$36)&gt;('Premissas Economias e Água'!K132*12*'Modelo Tarifário'!$D$29*'Modelo Tarifário'!$E$36),('Premissas Economias e Água'!K132*'Modelo Tarifário'!$I$36*'Modelo Tarifário'!$B$5*12*'Modelo Tarifário'!$E$36),('Premissas Economias e Água'!K132*12*'Modelo Tarifário'!$D$29*'Modelo Tarifário'!$E$36))</f>
        <v>14442.652622968364</v>
      </c>
      <c r="K11" s="1340">
        <f>IF(('Premissas Economias e Água'!L132*'Modelo Tarifário'!$I$36*'Modelo Tarifário'!$B$5*12*'Modelo Tarifário'!$E$36)&gt;('Premissas Economias e Água'!L132*12*'Modelo Tarifário'!$D$29*'Modelo Tarifário'!$E$36),('Premissas Economias e Água'!L132*'Modelo Tarifário'!$I$36*'Modelo Tarifário'!$B$5*12*'Modelo Tarifário'!$E$36),('Premissas Economias e Água'!L132*12*'Modelo Tarifário'!$D$29*'Modelo Tarifário'!$E$36))</f>
        <v>14335.75336319571</v>
      </c>
      <c r="L11" s="1340">
        <f>IF(('Premissas Economias e Água'!M132*'Modelo Tarifário'!$I$36*'Modelo Tarifário'!$B$5*12*'Modelo Tarifário'!$E$36)&gt;('Premissas Economias e Água'!M132*12*'Modelo Tarifário'!$D$29*'Modelo Tarifário'!$E$36),('Premissas Economias e Água'!M132*'Modelo Tarifário'!$I$36*'Modelo Tarifário'!$B$5*12*'Modelo Tarifário'!$E$36),('Premissas Economias e Água'!M132*12*'Modelo Tarifário'!$D$29*'Modelo Tarifário'!$E$36))</f>
        <v>14228.854103423058</v>
      </c>
      <c r="M11" s="1340">
        <f>IF(('Premissas Economias e Água'!N132*'Modelo Tarifário'!$I$36*'Modelo Tarifário'!$B$5*12*'Modelo Tarifário'!$E$36)&gt;('Premissas Economias e Água'!N132*12*'Modelo Tarifário'!$D$29*'Modelo Tarifário'!$E$36),('Premissas Economias e Água'!N132*'Modelo Tarifário'!$I$36*'Modelo Tarifário'!$B$5*12*'Modelo Tarifário'!$E$36),('Premissas Economias e Água'!N132*12*'Modelo Tarifário'!$D$29*'Modelo Tarifário'!$E$36))</f>
        <v>14121.954843650405</v>
      </c>
      <c r="N11" s="1340">
        <f>IF(('Premissas Economias e Água'!O132*'Modelo Tarifário'!$I$36*'Modelo Tarifário'!$B$5*12*'Modelo Tarifário'!$E$36)&gt;('Premissas Economias e Água'!O132*12*'Modelo Tarifário'!$D$29*'Modelo Tarifário'!$E$36),('Premissas Economias e Água'!O132*'Modelo Tarifário'!$I$36*'Modelo Tarifário'!$B$5*12*'Modelo Tarifário'!$E$36),('Premissas Economias e Água'!O132*12*'Modelo Tarifário'!$D$29*'Modelo Tarifário'!$E$36))</f>
        <v>14015.055583877751</v>
      </c>
      <c r="O11" s="1340">
        <f>IF(('Premissas Economias e Água'!P132*'Modelo Tarifário'!$I$36*'Modelo Tarifário'!$B$5*12*'Modelo Tarifário'!$E$36)&gt;('Premissas Economias e Água'!P132*12*'Modelo Tarifário'!$D$29*'Modelo Tarifário'!$E$36),('Premissas Economias e Água'!P132*'Modelo Tarifário'!$I$36*'Modelo Tarifário'!$B$5*12*'Modelo Tarifário'!$E$36),('Premissas Economias e Água'!P132*12*'Modelo Tarifário'!$D$29*'Modelo Tarifário'!$E$36))</f>
        <v>13919.40887776538</v>
      </c>
      <c r="P11" s="1340">
        <f>IF(('Premissas Economias e Água'!Q132*'Modelo Tarifário'!$I$36*'Modelo Tarifário'!$B$5*12*'Modelo Tarifário'!$E$36)&gt;('Premissas Economias e Água'!Q132*12*'Modelo Tarifário'!$D$29*'Modelo Tarifário'!$E$36),('Premissas Economias e Água'!Q132*'Modelo Tarifário'!$I$36*'Modelo Tarifário'!$B$5*12*'Modelo Tarifário'!$E$36),('Premissas Economias e Água'!Q132*12*'Modelo Tarifário'!$D$29*'Modelo Tarifário'!$E$36))</f>
        <v>13795.630787502309</v>
      </c>
      <c r="Q11" s="1340">
        <f>IF(('Premissas Economias e Água'!R132*'Modelo Tarifário'!$I$36*'Modelo Tarifário'!$B$5*12*'Modelo Tarifário'!$E$36)&gt;('Premissas Economias e Água'!R132*12*'Modelo Tarifário'!$D$29*'Modelo Tarifário'!$E$36),('Premissas Economias e Água'!R132*'Modelo Tarifário'!$I$36*'Modelo Tarifário'!$B$5*12*'Modelo Tarifário'!$E$36),('Premissas Economias e Água'!R132*12*'Modelo Tarifário'!$D$29*'Modelo Tarifário'!$E$36))</f>
        <v>13671.852697239236</v>
      </c>
      <c r="R11" s="1340">
        <f>IF(('Premissas Economias e Água'!S132*'Modelo Tarifário'!$I$36*'Modelo Tarifário'!$B$5*12*'Modelo Tarifário'!$E$36)&gt;('Premissas Economias e Água'!S132*12*'Modelo Tarifário'!$D$29*'Modelo Tarifário'!$E$36),('Premissas Economias e Água'!S132*'Modelo Tarifário'!$I$36*'Modelo Tarifário'!$B$5*12*'Modelo Tarifário'!$E$36),('Premissas Economias e Água'!S132*12*'Modelo Tarifário'!$D$29*'Modelo Tarifário'!$E$36))</f>
        <v>13548.074606976168</v>
      </c>
      <c r="S11" s="1340">
        <f>IF(('Premissas Economias e Água'!T132*'Modelo Tarifário'!$I$36*'Modelo Tarifário'!$B$5*12*'Modelo Tarifário'!$E$36)&gt;('Premissas Economias e Água'!T132*12*'Modelo Tarifário'!$D$29*'Modelo Tarifário'!$E$36),('Premissas Economias e Água'!T132*'Modelo Tarifário'!$I$36*'Modelo Tarifário'!$B$5*12*'Modelo Tarifário'!$E$36),('Premissas Economias e Água'!T132*12*'Modelo Tarifário'!$D$29*'Modelo Tarifário'!$E$36))</f>
        <v>13424.296516713095</v>
      </c>
      <c r="T11" s="1340">
        <f>IF(('Premissas Economias e Água'!U132*'Modelo Tarifário'!$I$36*'Modelo Tarifário'!$B$5*12*'Modelo Tarifário'!$E$36)&gt;('Premissas Economias e Água'!U132*12*'Modelo Tarifário'!$D$29*'Modelo Tarifário'!$E$36),('Premissas Economias e Água'!U132*'Modelo Tarifário'!$I$36*'Modelo Tarifário'!$B$5*12*'Modelo Tarifário'!$E$36),('Premissas Economias e Água'!U132*12*'Modelo Tarifário'!$D$29*'Modelo Tarifário'!$E$36))</f>
        <v>13306.144703280163</v>
      </c>
      <c r="U11" s="1340">
        <f>IF(('Premissas Economias e Água'!V132*'Modelo Tarifário'!$I$36*'Modelo Tarifário'!$B$5*12*'Modelo Tarifário'!$E$36)&gt;('Premissas Economias e Água'!V132*12*'Modelo Tarifário'!$D$29*'Modelo Tarifário'!$E$36),('Premissas Economias e Água'!V132*'Modelo Tarifário'!$I$36*'Modelo Tarifário'!$B$5*12*'Modelo Tarifário'!$E$36),('Premissas Economias e Água'!V132*12*'Modelo Tarifário'!$D$29*'Modelo Tarifário'!$E$36))</f>
        <v>13176.740336186953</v>
      </c>
      <c r="V11" s="1340">
        <f>IF(('Premissas Economias e Água'!W132*'Modelo Tarifário'!$I$36*'Modelo Tarifário'!$B$5*12*'Modelo Tarifário'!$E$36)&gt;('Premissas Economias e Água'!W132*12*'Modelo Tarifário'!$D$29*'Modelo Tarifário'!$E$36),('Premissas Economias e Água'!W132*'Modelo Tarifário'!$I$36*'Modelo Tarifário'!$B$5*12*'Modelo Tarifário'!$E$36),('Premissas Economias e Água'!W132*12*'Modelo Tarifário'!$D$29*'Modelo Tarifário'!$E$36))</f>
        <v>13047.335969093741</v>
      </c>
      <c r="W11" s="1340">
        <f>IF(('Premissas Economias e Água'!X132*'Modelo Tarifário'!$I$36*'Modelo Tarifário'!$B$5*12*'Modelo Tarifário'!$E$36)&gt;('Premissas Economias e Água'!X132*12*'Modelo Tarifário'!$D$29*'Modelo Tarifário'!$E$36),('Premissas Economias e Água'!X132*'Modelo Tarifário'!$I$36*'Modelo Tarifário'!$B$5*12*'Modelo Tarifário'!$E$36),('Premissas Economias e Água'!X132*12*'Modelo Tarifário'!$D$29*'Modelo Tarifário'!$E$36))</f>
        <v>12917.931602000528</v>
      </c>
      <c r="X11" s="1340">
        <f>IF(('Premissas Economias e Água'!Y132*'Modelo Tarifário'!$I$36*'Modelo Tarifário'!$B$5*12*'Modelo Tarifário'!$E$36)&gt;('Premissas Economias e Água'!Y132*12*'Modelo Tarifário'!$D$29*'Modelo Tarifário'!$E$36),('Premissas Economias e Água'!Y132*'Modelo Tarifário'!$I$36*'Modelo Tarifário'!$B$5*12*'Modelo Tarifário'!$E$36),('Premissas Economias e Água'!Y132*12*'Modelo Tarifário'!$D$29*'Modelo Tarifário'!$E$36))</f>
        <v>12788.52723490732</v>
      </c>
      <c r="Y11" s="1340">
        <f>IF(('Premissas Economias e Água'!Z132*'Modelo Tarifário'!$I$36*'Modelo Tarifário'!$B$5*12*'Modelo Tarifário'!$E$36)&gt;('Premissas Economias e Água'!Z132*12*'Modelo Tarifário'!$D$29*'Modelo Tarifário'!$E$36),('Premissas Economias e Água'!Z132*'Modelo Tarifário'!$I$36*'Modelo Tarifário'!$B$5*12*'Modelo Tarifário'!$E$36),('Premissas Economias e Água'!Z132*12*'Modelo Tarifário'!$D$29*'Modelo Tarifário'!$E$36))</f>
        <v>12647.87031415383</v>
      </c>
      <c r="Z11" s="1340">
        <f>IF(('Premissas Economias e Água'!AA132*'Modelo Tarifário'!$I$36*'Modelo Tarifário'!$B$5*12*'Modelo Tarifário'!$E$36)&gt;('Premissas Economias e Água'!AA132*12*'Modelo Tarifário'!$D$29*'Modelo Tarifário'!$E$36),('Premissas Economias e Água'!AA132*'Modelo Tarifário'!$I$36*'Modelo Tarifário'!$B$5*12*'Modelo Tarifário'!$E$36),('Premissas Economias e Água'!AA132*12*'Modelo Tarifário'!$D$29*'Modelo Tarifário'!$E$36))</f>
        <v>12518.46594706062</v>
      </c>
      <c r="AA11" s="1340">
        <f>IF(('Premissas Economias e Água'!AB132*'Modelo Tarifário'!$I$36*'Modelo Tarifário'!$B$5*12*'Modelo Tarifário'!$E$36)&gt;('Premissas Economias e Água'!AB132*12*'Modelo Tarifário'!$D$29*'Modelo Tarifário'!$E$36),('Premissas Economias e Água'!AB132*'Modelo Tarifário'!$I$36*'Modelo Tarifário'!$B$5*12*'Modelo Tarifário'!$E$36),('Premissas Economias e Água'!AB132*12*'Modelo Tarifário'!$D$29*'Modelo Tarifário'!$E$36))</f>
        <v>12389.061579967409</v>
      </c>
      <c r="AB11" s="1340">
        <f>IF(('Premissas Economias e Água'!AC132*'Modelo Tarifário'!$I$36*'Modelo Tarifário'!$B$5*12*'Modelo Tarifário'!$E$36)&gt;('Premissas Economias e Água'!AC132*12*'Modelo Tarifário'!$D$29*'Modelo Tarifário'!$E$36),('Premissas Economias e Água'!AC132*'Modelo Tarifário'!$I$36*'Modelo Tarifário'!$B$5*12*'Modelo Tarifário'!$E$36),('Premissas Economias e Água'!AC132*12*'Modelo Tarifário'!$D$29*'Modelo Tarifário'!$E$36))</f>
        <v>12259.657212874195</v>
      </c>
      <c r="AC11" s="1340">
        <f>IF(('Premissas Economias e Água'!AD132*'Modelo Tarifário'!$I$36*'Modelo Tarifário'!$B$5*12*'Modelo Tarifário'!$E$36)&gt;('Premissas Economias e Água'!AD132*12*'Modelo Tarifário'!$D$29*'Modelo Tarifário'!$E$36),('Premissas Economias e Água'!AD132*'Modelo Tarifário'!$I$36*'Modelo Tarifário'!$B$5*12*'Modelo Tarifário'!$E$36),('Premissas Economias e Água'!AD132*12*'Modelo Tarifário'!$D$29*'Modelo Tarifário'!$E$36))</f>
        <v>12130.252845780988</v>
      </c>
      <c r="AD11" s="1340">
        <f>IF(('Premissas Economias e Água'!AE132*'Modelo Tarifário'!$I$36*'Modelo Tarifário'!$B$5*12*'Modelo Tarifário'!$E$36)&gt;('Premissas Economias e Água'!AE132*12*'Modelo Tarifário'!$D$29*'Modelo Tarifário'!$E$36),('Premissas Economias e Água'!AE132*'Modelo Tarifário'!$I$36*'Modelo Tarifário'!$B$5*12*'Modelo Tarifário'!$E$36),('Premissas Economias e Água'!AE132*12*'Modelo Tarifário'!$D$29*'Modelo Tarifário'!$E$36))</f>
        <v>12000.848478687776</v>
      </c>
      <c r="AE11" s="1340">
        <f>IF(('Premissas Economias e Água'!AF132*'Modelo Tarifário'!$I$36*'Modelo Tarifário'!$B$5*12*'Modelo Tarifário'!$E$36)&gt;('Premissas Economias e Água'!AF132*12*'Modelo Tarifário'!$D$29*'Modelo Tarifário'!$E$36),('Premissas Economias e Água'!AF132*'Modelo Tarifário'!$I$36*'Modelo Tarifário'!$B$5*12*'Modelo Tarifário'!$E$36),('Premissas Economias e Água'!AF132*12*'Modelo Tarifário'!$D$29*'Modelo Tarifário'!$E$36))</f>
        <v>11871.444111594565</v>
      </c>
      <c r="AF11" s="1340">
        <f>IF(('Premissas Economias e Água'!AG132*'Modelo Tarifário'!$I$36*'Modelo Tarifário'!$B$5*12*'Modelo Tarifário'!$E$36)&gt;('Premissas Economias e Água'!AG132*12*'Modelo Tarifário'!$D$29*'Modelo Tarifário'!$E$36),('Premissas Economias e Água'!AG132*'Modelo Tarifário'!$I$36*'Modelo Tarifário'!$B$5*12*'Modelo Tarifário'!$E$36),('Premissas Economias e Água'!AG132*12*'Modelo Tarifário'!$D$29*'Modelo Tarifário'!$E$36))</f>
        <v>11742.039744501353</v>
      </c>
      <c r="AG11" s="1340">
        <f>IF(('Premissas Economias e Água'!AH132*'Modelo Tarifário'!$I$36*'Modelo Tarifário'!$B$5*12*'Modelo Tarifário'!$E$36)&gt;('Premissas Economias e Água'!AH132*12*'Modelo Tarifário'!$D$29*'Modelo Tarifário'!$E$36),('Premissas Economias e Água'!AH132*'Modelo Tarifário'!$I$36*'Modelo Tarifário'!$B$5*12*'Modelo Tarifário'!$E$36),('Premissas Economias e Água'!AH132*12*'Modelo Tarifário'!$D$29*'Modelo Tarifário'!$E$36))</f>
        <v>11612.635377408144</v>
      </c>
      <c r="AH11" s="1340">
        <f>IF(('Premissas Economias e Água'!AI132*'Modelo Tarifário'!$I$36*'Modelo Tarifário'!$B$5*12*'Modelo Tarifário'!$E$36)&gt;('Premissas Economias e Água'!AI132*12*'Modelo Tarifário'!$D$29*'Modelo Tarifário'!$E$36),('Premissas Economias e Água'!AI132*'Modelo Tarifário'!$I$36*'Modelo Tarifário'!$B$5*12*'Modelo Tarifário'!$E$36),('Premissas Economias e Água'!AI132*12*'Modelo Tarifário'!$D$29*'Modelo Tarifário'!$E$36))</f>
        <v>11483.231010314932</v>
      </c>
    </row>
    <row r="12" spans="2:34" s="1335" customFormat="1" ht="10.5" outlineLevel="1" x14ac:dyDescent="0.25">
      <c r="B12" s="1339"/>
      <c r="C12" s="1335" t="s">
        <v>278</v>
      </c>
      <c r="E12" s="1340">
        <f>IF(((E8*'Modelo Tarifário'!$C$53*'Modelo Tarifário'!$E$37)*('Premissas Economias e Água'!F273))&gt;('Premissas Economias e Água'!F133*12*'Modelo Tarifário'!$D$29*'Modelo Tarifário'!$C$53*'Modelo Tarifário'!$E$37),(E8*'Modelo Tarifário'!$C$53*'Modelo Tarifário'!$E$37)*('Premissas Economias e Água'!F273),('Premissas Economias e Água'!F133*12*'Modelo Tarifário'!$D$29*'Modelo Tarifário'!$C$53*'Modelo Tarifário'!$E$37))</f>
        <v>64975.669829546649</v>
      </c>
      <c r="F12" s="1340">
        <f>IF(((F8*'Modelo Tarifário'!$C$53*'Modelo Tarifário'!$E$37)*('Premissas Economias e Água'!G273))&gt;('Premissas Economias e Água'!G133*12*'Modelo Tarifário'!$D$29*'Modelo Tarifário'!$C$53*'Modelo Tarifário'!$E$37),(F8*'Modelo Tarifário'!$C$53*'Modelo Tarifário'!$E$37)*('Premissas Economias e Água'!G273),('Premissas Economias e Água'!G133*12*'Modelo Tarifário'!$D$29*'Modelo Tarifário'!$C$53*'Modelo Tarifário'!$E$37))</f>
        <v>64606.769357387995</v>
      </c>
      <c r="G12" s="1340">
        <f>IF(((G8*'Modelo Tarifário'!$C$53*'Modelo Tarifário'!$E$37)*('Premissas Economias e Água'!H273))&gt;('Premissas Economias e Água'!H133*12*'Modelo Tarifário'!$D$29*'Modelo Tarifário'!$C$53*'Modelo Tarifário'!$E$37),(G8*'Modelo Tarifário'!$C$53*'Modelo Tarifário'!$E$37)*('Premissas Economias e Água'!H273),('Premissas Economias e Água'!H133*12*'Modelo Tarifário'!$D$29*'Modelo Tarifário'!$C$53*'Modelo Tarifário'!$E$37))</f>
        <v>64237.86888522932</v>
      </c>
      <c r="H12" s="1340">
        <f>IF(((H8*'Modelo Tarifário'!$C$53*'Modelo Tarifário'!$E$37)*('Premissas Economias e Água'!I273))&gt;('Premissas Economias e Água'!I133*12*'Modelo Tarifário'!$D$29*'Modelo Tarifário'!$C$53*'Modelo Tarifário'!$E$37),(H8*'Modelo Tarifário'!$C$53*'Modelo Tarifário'!$E$37)*('Premissas Economias e Água'!I273),('Premissas Economias e Água'!I133*12*'Modelo Tarifário'!$D$29*'Modelo Tarifário'!$C$53*'Modelo Tarifário'!$E$37))</f>
        <v>63868.968413070666</v>
      </c>
      <c r="I12" s="1340">
        <f>IF(((I8*'Modelo Tarifário'!$C$53*'Modelo Tarifário'!$E$37)*('Premissas Economias e Água'!J273))&gt;('Premissas Economias e Água'!J133*12*'Modelo Tarifário'!$D$29*'Modelo Tarifário'!$C$53*'Modelo Tarifário'!$E$37),(I8*'Modelo Tarifário'!$C$53*'Modelo Tarifário'!$E$37)*('Premissas Economias e Água'!J273),('Premissas Economias e Água'!J133*12*'Modelo Tarifário'!$D$29*'Modelo Tarifário'!$C$53*'Modelo Tarifário'!$E$37))</f>
        <v>63500.067940911991</v>
      </c>
      <c r="J12" s="1340">
        <f>IF(((J8*'Modelo Tarifário'!$C$53*'Modelo Tarifário'!$E$37)*('Premissas Economias e Água'!K273))&gt;('Premissas Economias e Água'!K133*12*'Modelo Tarifário'!$D$29*'Modelo Tarifário'!$C$53*'Modelo Tarifário'!$E$37),(J8*'Modelo Tarifário'!$C$53*'Modelo Tarifário'!$E$37)*('Premissas Economias e Água'!K273),('Premissas Economias e Água'!K133*12*'Modelo Tarifário'!$D$29*'Modelo Tarifário'!$C$53*'Modelo Tarifário'!$E$37))</f>
        <v>63131.167468753323</v>
      </c>
      <c r="K12" s="1340">
        <f>IF(((K8*'Modelo Tarifário'!$C$53*'Modelo Tarifário'!$E$37)*('Premissas Economias e Água'!L273))&gt;('Premissas Economias e Água'!L133*12*'Modelo Tarifário'!$D$29*'Modelo Tarifário'!$C$53*'Modelo Tarifário'!$E$37),(K8*'Modelo Tarifário'!$C$53*'Modelo Tarifário'!$E$37)*('Premissas Economias e Água'!L273),('Premissas Economias e Água'!L133*12*'Modelo Tarifário'!$D$29*'Modelo Tarifário'!$C$53*'Modelo Tarifário'!$E$37))</f>
        <v>62663.893537352342</v>
      </c>
      <c r="L12" s="1340">
        <f>IF(((L8*'Modelo Tarifário'!$C$53*'Modelo Tarifário'!$E$37)*('Premissas Economias e Água'!M273))&gt;('Premissas Economias e Água'!M133*12*'Modelo Tarifário'!$D$29*'Modelo Tarifário'!$C$53*'Modelo Tarifário'!$E$37),(L8*'Modelo Tarifário'!$C$53*'Modelo Tarifário'!$E$37)*('Premissas Economias e Água'!M273),('Premissas Economias e Água'!M133*12*'Modelo Tarifário'!$D$29*'Modelo Tarifário'!$C$53*'Modelo Tarifário'!$E$37))</f>
        <v>62196.619605951368</v>
      </c>
      <c r="M12" s="1340">
        <f>IF(((M8*'Modelo Tarifário'!$C$53*'Modelo Tarifário'!$E$37)*('Premissas Economias e Água'!N273))&gt;('Premissas Economias e Água'!N133*12*'Modelo Tarifário'!$D$29*'Modelo Tarifário'!$C$53*'Modelo Tarifário'!$E$37),(M8*'Modelo Tarifário'!$C$53*'Modelo Tarifário'!$E$37)*('Premissas Economias e Água'!N273),('Premissas Economias e Água'!N133*12*'Modelo Tarifário'!$D$29*'Modelo Tarifário'!$C$53*'Modelo Tarifário'!$E$37))</f>
        <v>61729.345674550394</v>
      </c>
      <c r="N12" s="1340">
        <f>IF(((N8*'Modelo Tarifário'!$C$53*'Modelo Tarifário'!$E$37)*('Premissas Economias e Água'!O273))&gt;('Premissas Economias e Água'!O133*12*'Modelo Tarifário'!$D$29*'Modelo Tarifário'!$C$53*'Modelo Tarifário'!$E$37),(N8*'Modelo Tarifário'!$C$53*'Modelo Tarifário'!$E$37)*('Premissas Economias e Água'!O273),('Premissas Economias e Água'!O133*12*'Modelo Tarifário'!$D$29*'Modelo Tarifário'!$C$53*'Modelo Tarifário'!$E$37))</f>
        <v>61262.071743149412</v>
      </c>
      <c r="O12" s="1340">
        <f>IF(((O8*'Modelo Tarifário'!$C$53*'Modelo Tarifário'!$E$37)*('Premissas Economias e Água'!P273))&gt;('Premissas Economias e Água'!P133*12*'Modelo Tarifário'!$D$29*'Modelo Tarifário'!$C$53*'Modelo Tarifário'!$E$37),(O8*'Modelo Tarifário'!$C$53*'Modelo Tarifário'!$E$37)*('Premissas Economias e Água'!P273),('Premissas Economias e Água'!P133*12*'Modelo Tarifário'!$D$29*'Modelo Tarifário'!$C$53*'Modelo Tarifário'!$E$37))</f>
        <v>60843.984541369595</v>
      </c>
      <c r="P12" s="1340">
        <f>IF(((P8*'Modelo Tarifário'!$C$53*'Modelo Tarifário'!$E$37)*('Premissas Economias e Água'!Q273))&gt;('Premissas Economias e Água'!Q133*12*'Modelo Tarifário'!$D$29*'Modelo Tarifário'!$C$53*'Modelo Tarifário'!$E$37),(P8*'Modelo Tarifário'!$C$53*'Modelo Tarifário'!$E$37)*('Premissas Economias e Água'!Q273),('Premissas Economias e Água'!Q133*12*'Modelo Tarifário'!$D$29*'Modelo Tarifário'!$C$53*'Modelo Tarifário'!$E$37))</f>
        <v>60302.930515536878</v>
      </c>
      <c r="Q12" s="1340">
        <f>IF(((Q8*'Modelo Tarifário'!$C$53*'Modelo Tarifário'!$E$37)*('Premissas Economias e Água'!R273))&gt;('Premissas Economias e Água'!R133*12*'Modelo Tarifário'!$D$29*'Modelo Tarifário'!$C$53*'Modelo Tarifário'!$E$37),(Q8*'Modelo Tarifário'!$C$53*'Modelo Tarifário'!$E$37)*('Premissas Economias e Água'!R273),('Premissas Economias e Água'!R133*12*'Modelo Tarifário'!$D$29*'Modelo Tarifário'!$C$53*'Modelo Tarifário'!$E$37))</f>
        <v>59761.876489704162</v>
      </c>
      <c r="R12" s="1340">
        <f>IF(((R8*'Modelo Tarifário'!$C$53*'Modelo Tarifário'!$E$37)*('Premissas Economias e Água'!S273))&gt;('Premissas Economias e Água'!S133*12*'Modelo Tarifário'!$D$29*'Modelo Tarifário'!$C$53*'Modelo Tarifário'!$E$37),(R8*'Modelo Tarifário'!$C$53*'Modelo Tarifário'!$E$37)*('Premissas Economias e Água'!S273),('Premissas Economias e Água'!S133*12*'Modelo Tarifário'!$D$29*'Modelo Tarifário'!$C$53*'Modelo Tarifário'!$E$37))</f>
        <v>59220.822463871446</v>
      </c>
      <c r="S12" s="1340">
        <f>IF(((S8*'Modelo Tarifário'!$C$53*'Modelo Tarifário'!$E$37)*('Premissas Economias e Água'!T273))&gt;('Premissas Economias e Água'!T133*12*'Modelo Tarifário'!$D$29*'Modelo Tarifário'!$C$53*'Modelo Tarifário'!$E$37),(S8*'Modelo Tarifário'!$C$53*'Modelo Tarifário'!$E$37)*('Premissas Economias e Água'!T273),('Premissas Economias e Água'!T133*12*'Modelo Tarifário'!$D$29*'Modelo Tarifário'!$C$53*'Modelo Tarifário'!$E$37))</f>
        <v>58679.768438038729</v>
      </c>
      <c r="T12" s="1340">
        <f>IF(((T8*'Modelo Tarifário'!$C$53*'Modelo Tarifário'!$E$37)*('Premissas Economias e Água'!U273))&gt;('Premissas Economias e Água'!U133*12*'Modelo Tarifário'!$D$29*'Modelo Tarifário'!$C$53*'Modelo Tarifário'!$E$37),(T8*'Modelo Tarifário'!$C$53*'Modelo Tarifário'!$E$37)*('Premissas Economias e Água'!U273),('Premissas Economias e Água'!U133*12*'Modelo Tarifário'!$D$29*'Modelo Tarifário'!$C$53*'Modelo Tarifário'!$E$37))</f>
        <v>58163.307777016606</v>
      </c>
      <c r="U12" s="1340">
        <f>IF(((U8*'Modelo Tarifário'!$C$53*'Modelo Tarifário'!$E$37)*('Premissas Economias e Água'!V273))&gt;('Premissas Economias e Água'!V133*12*'Modelo Tarifário'!$D$29*'Modelo Tarifário'!$C$53*'Modelo Tarifário'!$E$37),(U8*'Modelo Tarifário'!$C$53*'Modelo Tarifário'!$E$37)*('Premissas Economias e Água'!V273),('Premissas Economias e Água'!V133*12*'Modelo Tarifário'!$D$29*'Modelo Tarifário'!$C$53*'Modelo Tarifário'!$E$37))</f>
        <v>57597.660386373311</v>
      </c>
      <c r="V12" s="1340">
        <f>IF(((V8*'Modelo Tarifário'!$C$53*'Modelo Tarifário'!$E$37)*('Premissas Economias e Água'!W273))&gt;('Premissas Economias e Água'!W133*12*'Modelo Tarifário'!$D$29*'Modelo Tarifário'!$C$53*'Modelo Tarifário'!$E$37),(V8*'Modelo Tarifário'!$C$53*'Modelo Tarifário'!$E$37)*('Premissas Economias e Água'!W273),('Premissas Economias e Água'!W133*12*'Modelo Tarifário'!$D$29*'Modelo Tarifário'!$C$53*'Modelo Tarifário'!$E$37))</f>
        <v>57032.012995730016</v>
      </c>
      <c r="W12" s="1340">
        <f>IF(((W8*'Modelo Tarifário'!$C$53*'Modelo Tarifário'!$E$37)*('Premissas Economias e Água'!X273))&gt;('Premissas Economias e Água'!X133*12*'Modelo Tarifário'!$D$29*'Modelo Tarifário'!$C$53*'Modelo Tarifário'!$E$37),(W8*'Modelo Tarifário'!$C$53*'Modelo Tarifário'!$E$37)*('Premissas Economias e Água'!X273),('Premissas Economias e Água'!X133*12*'Modelo Tarifário'!$D$29*'Modelo Tarifário'!$C$53*'Modelo Tarifário'!$E$37))</f>
        <v>56466.365605086728</v>
      </c>
      <c r="X12" s="1340">
        <f>IF(((X8*'Modelo Tarifário'!$C$53*'Modelo Tarifário'!$E$37)*('Premissas Economias e Água'!Y273))&gt;('Premissas Economias e Água'!Y133*12*'Modelo Tarifário'!$D$29*'Modelo Tarifário'!$C$53*'Modelo Tarifário'!$E$37),(X8*'Modelo Tarifário'!$C$53*'Modelo Tarifário'!$E$37)*('Premissas Economias e Água'!Y273),('Premissas Economias e Água'!Y133*12*'Modelo Tarifário'!$D$29*'Modelo Tarifário'!$C$53*'Modelo Tarifário'!$E$37))</f>
        <v>55900.718214443434</v>
      </c>
      <c r="Y12" s="1340">
        <f>IF(((Y8*'Modelo Tarifário'!$C$53*'Modelo Tarifário'!$E$37)*('Premissas Economias e Água'!Z273))&gt;('Premissas Economias e Água'!Z133*12*'Modelo Tarifário'!$D$29*'Modelo Tarifário'!$C$53*'Modelo Tarifário'!$E$37),(Y8*'Modelo Tarifário'!$C$53*'Modelo Tarifário'!$E$37)*('Premissas Economias e Água'!Z273),('Premissas Economias e Água'!Z133*12*'Modelo Tarifário'!$D$29*'Modelo Tarifário'!$C$53*'Modelo Tarifário'!$E$37))</f>
        <v>55285.884094178989</v>
      </c>
      <c r="Z12" s="1340">
        <f>IF(((Z8*'Modelo Tarifário'!$C$53*'Modelo Tarifário'!$E$37)*('Premissas Economias e Água'!AA273))&gt;('Premissas Economias e Água'!AA133*12*'Modelo Tarifário'!$D$29*'Modelo Tarifário'!$C$53*'Modelo Tarifário'!$E$37),(Z8*'Modelo Tarifário'!$C$53*'Modelo Tarifário'!$E$37)*('Premissas Economias e Água'!AA273),('Premissas Economias e Água'!AA133*12*'Modelo Tarifário'!$D$29*'Modelo Tarifário'!$C$53*'Modelo Tarifário'!$E$37))</f>
        <v>54720.236703535702</v>
      </c>
      <c r="AA12" s="1340">
        <f>IF(((AA8*'Modelo Tarifário'!$C$53*'Modelo Tarifário'!$E$37)*('Premissas Economias e Água'!AB273))&gt;('Premissas Economias e Água'!AB133*12*'Modelo Tarifário'!$D$29*'Modelo Tarifário'!$C$53*'Modelo Tarifário'!$E$37),(AA8*'Modelo Tarifário'!$C$53*'Modelo Tarifário'!$E$37)*('Premissas Economias e Água'!AB273),('Premissas Economias e Água'!AB133*12*'Modelo Tarifário'!$D$29*'Modelo Tarifário'!$C$53*'Modelo Tarifário'!$E$37))</f>
        <v>54154.589312892414</v>
      </c>
      <c r="AB12" s="1340">
        <f>IF(((AB8*'Modelo Tarifário'!$C$53*'Modelo Tarifário'!$E$37)*('Premissas Economias e Água'!AC273))&gt;('Premissas Economias e Água'!AC133*12*'Modelo Tarifário'!$D$29*'Modelo Tarifário'!$C$53*'Modelo Tarifário'!$E$37),(AB8*'Modelo Tarifário'!$C$53*'Modelo Tarifário'!$E$37)*('Premissas Economias e Água'!AC273),('Premissas Economias e Água'!AC133*12*'Modelo Tarifário'!$D$29*'Modelo Tarifário'!$C$53*'Modelo Tarifário'!$E$37))</f>
        <v>53588.941922249127</v>
      </c>
      <c r="AC12" s="1340">
        <f>IF(((AC8*'Modelo Tarifário'!$C$53*'Modelo Tarifário'!$E$37)*('Premissas Economias e Água'!AD273))&gt;('Premissas Economias e Água'!AD133*12*'Modelo Tarifário'!$D$29*'Modelo Tarifário'!$C$53*'Modelo Tarifário'!$E$37),(AC8*'Modelo Tarifário'!$C$53*'Modelo Tarifário'!$E$37)*('Premissas Economias e Água'!AD273),('Premissas Economias e Água'!AD133*12*'Modelo Tarifário'!$D$29*'Modelo Tarifário'!$C$53*'Modelo Tarifário'!$E$37))</f>
        <v>53023.294531605832</v>
      </c>
      <c r="AD12" s="1340">
        <f>IF(((AD8*'Modelo Tarifário'!$C$53*'Modelo Tarifário'!$E$37)*('Premissas Economias e Água'!AE273))&gt;('Premissas Economias e Água'!AE133*12*'Modelo Tarifário'!$D$29*'Modelo Tarifário'!$C$53*'Modelo Tarifário'!$E$37),(AD8*'Modelo Tarifário'!$C$53*'Modelo Tarifário'!$E$37)*('Premissas Economias e Água'!AE273),('Premissas Economias e Água'!AE133*12*'Modelo Tarifário'!$D$29*'Modelo Tarifário'!$C$53*'Modelo Tarifário'!$E$37))</f>
        <v>52457.647140962545</v>
      </c>
      <c r="AE12" s="1340">
        <f>IF(((AE8*'Modelo Tarifário'!$C$53*'Modelo Tarifário'!$E$37)*('Premissas Economias e Água'!AF273))&gt;('Premissas Economias e Água'!AF133*12*'Modelo Tarifário'!$D$29*'Modelo Tarifário'!$C$53*'Modelo Tarifário'!$E$37),(AE8*'Modelo Tarifário'!$C$53*'Modelo Tarifário'!$E$37)*('Premissas Economias e Água'!AF273),('Premissas Economias e Água'!AF133*12*'Modelo Tarifário'!$D$29*'Modelo Tarifário'!$C$53*'Modelo Tarifário'!$E$37))</f>
        <v>51891.99975031925</v>
      </c>
      <c r="AF12" s="1340">
        <f>IF(((AF8*'Modelo Tarifário'!$C$53*'Modelo Tarifário'!$E$37)*('Premissas Economias e Água'!AG273))&gt;('Premissas Economias e Água'!AG133*12*'Modelo Tarifário'!$D$29*'Modelo Tarifário'!$C$53*'Modelo Tarifário'!$E$37),(AF8*'Modelo Tarifário'!$C$53*'Modelo Tarifário'!$E$37)*('Premissas Economias e Água'!AG273),('Premissas Economias e Água'!AG133*12*'Modelo Tarifário'!$D$29*'Modelo Tarifário'!$C$53*'Modelo Tarifário'!$E$37))</f>
        <v>51326.352359675955</v>
      </c>
      <c r="AG12" s="1340">
        <f>IF(((AG8*'Modelo Tarifário'!$C$53*'Modelo Tarifário'!$E$37)*('Premissas Economias e Água'!AH273))&gt;('Premissas Economias e Água'!AH133*12*'Modelo Tarifário'!$D$29*'Modelo Tarifário'!$C$53*'Modelo Tarifário'!$E$37),(AG8*'Modelo Tarifário'!$C$53*'Modelo Tarifário'!$E$37)*('Premissas Economias e Água'!AH273),('Premissas Economias e Água'!AH133*12*'Modelo Tarifário'!$D$29*'Modelo Tarifário'!$C$53*'Modelo Tarifário'!$E$37))</f>
        <v>50760.704969032668</v>
      </c>
      <c r="AH12" s="1340">
        <f>IF(((AH8*'Modelo Tarifário'!$C$53*'Modelo Tarifário'!$E$37)*('Premissas Economias e Água'!AI273))&gt;('Premissas Economias e Água'!AI133*12*'Modelo Tarifário'!$D$29*'Modelo Tarifário'!$C$53*'Modelo Tarifário'!$E$37),(AH8*'Modelo Tarifário'!$C$53*'Modelo Tarifário'!$E$37)*('Premissas Economias e Água'!AI273),('Premissas Economias e Água'!AI133*12*'Modelo Tarifário'!$D$29*'Modelo Tarifário'!$C$53*'Modelo Tarifário'!$E$37))</f>
        <v>50195.057578389387</v>
      </c>
    </row>
    <row r="13" spans="2:34" s="1335" customFormat="1" ht="10.5" outlineLevel="1" x14ac:dyDescent="0.25">
      <c r="B13" s="1339"/>
      <c r="C13" s="1335" t="s">
        <v>279</v>
      </c>
      <c r="E13" s="1340">
        <f>IF(((E8*'Modelo Tarifário'!$C$53*'Modelo Tarifário'!$E$38)*('Premissas Economias e Água'!F274))&gt;('Premissas Economias e Água'!F134*12*'Modelo Tarifário'!$D$29*'Modelo Tarifário'!$C$53*'Modelo Tarifário'!$E$38),(E8*'Modelo Tarifário'!$C$53*'Modelo Tarifário'!$E$38)*('Premissas Economias e Água'!F274),('Premissas Economias e Água'!F134*12*'Modelo Tarifário'!$D$29*'Modelo Tarifário'!$C$53*'Modelo Tarifário'!$E$38))</f>
        <v>93426.585299965052</v>
      </c>
      <c r="F13" s="1340">
        <f>IF(((F8*'Modelo Tarifário'!$C$53*'Modelo Tarifário'!$E$38)*('Premissas Economias e Água'!G274))&gt;('Premissas Economias e Água'!G134*12*'Modelo Tarifário'!$D$29*'Modelo Tarifário'!$C$53*'Modelo Tarifário'!$E$38),(F8*'Modelo Tarifário'!$C$53*'Modelo Tarifário'!$E$38)*('Premissas Economias e Água'!G274),('Premissas Economias e Água'!G134*12*'Modelo Tarifário'!$D$29*'Modelo Tarifário'!$C$53*'Modelo Tarifário'!$E$38))</f>
        <v>92896.154270631436</v>
      </c>
      <c r="G13" s="1340">
        <f>IF(((G8*'Modelo Tarifário'!$C$53*'Modelo Tarifário'!$E$38)*('Premissas Economias e Água'!H274))&gt;('Premissas Economias e Água'!H134*12*'Modelo Tarifário'!$D$29*'Modelo Tarifário'!$C$53*'Modelo Tarifário'!$E$38),(G8*'Modelo Tarifário'!$C$53*'Modelo Tarifário'!$E$38)*('Premissas Economias e Água'!H274),('Premissas Economias e Água'!H134*12*'Modelo Tarifário'!$D$29*'Modelo Tarifário'!$C$53*'Modelo Tarifário'!$E$38))</f>
        <v>92365.723241297776</v>
      </c>
      <c r="H13" s="1340">
        <f>IF(((H8*'Modelo Tarifário'!$C$53*'Modelo Tarifário'!$E$38)*('Premissas Economias e Água'!I274))&gt;('Premissas Economias e Água'!I134*12*'Modelo Tarifário'!$D$29*'Modelo Tarifário'!$C$53*'Modelo Tarifário'!$E$38),(H8*'Modelo Tarifário'!$C$53*'Modelo Tarifário'!$E$38)*('Premissas Economias e Água'!I274),('Premissas Economias e Água'!I134*12*'Modelo Tarifário'!$D$29*'Modelo Tarifário'!$C$53*'Modelo Tarifário'!$E$38))</f>
        <v>91835.292211964144</v>
      </c>
      <c r="I13" s="1340">
        <f>IF(((I8*'Modelo Tarifário'!$C$53*'Modelo Tarifário'!$E$38)*('Premissas Economias e Água'!J274))&gt;('Premissas Economias e Água'!J134*12*'Modelo Tarifário'!$D$29*'Modelo Tarifário'!$C$53*'Modelo Tarifário'!$E$38),(I8*'Modelo Tarifário'!$C$53*'Modelo Tarifário'!$E$38)*('Premissas Economias e Água'!J274),('Premissas Economias e Água'!J134*12*'Modelo Tarifário'!$D$29*'Modelo Tarifário'!$C$53*'Modelo Tarifário'!$E$38))</f>
        <v>91304.861182630499</v>
      </c>
      <c r="J13" s="1340">
        <f>IF(((J8*'Modelo Tarifário'!$C$53*'Modelo Tarifário'!$E$38)*('Premissas Economias e Água'!K274))&gt;('Premissas Economias e Água'!K134*12*'Modelo Tarifário'!$D$29*'Modelo Tarifário'!$C$53*'Modelo Tarifário'!$E$38),(J8*'Modelo Tarifário'!$C$53*'Modelo Tarifário'!$E$38)*('Premissas Economias e Água'!K274),('Premissas Economias e Água'!K134*12*'Modelo Tarifário'!$D$29*'Modelo Tarifário'!$C$53*'Modelo Tarifário'!$E$38))</f>
        <v>90774.430153296868</v>
      </c>
      <c r="K13" s="1340">
        <f>IF(((K8*'Modelo Tarifário'!$C$53*'Modelo Tarifário'!$E$38)*('Premissas Economias e Água'!L274))&gt;('Premissas Economias e Água'!L134*12*'Modelo Tarifário'!$D$29*'Modelo Tarifário'!$C$53*'Modelo Tarifário'!$E$38),(K8*'Modelo Tarifário'!$C$53*'Modelo Tarifário'!$E$38)*('Premissas Economias e Água'!L274),('Premissas Economias e Água'!L134*12*'Modelo Tarifário'!$D$29*'Modelo Tarifário'!$C$53*'Modelo Tarifário'!$E$38))</f>
        <v>90102.550849474253</v>
      </c>
      <c r="L13" s="1340">
        <f>IF(((L8*'Modelo Tarifário'!$C$53*'Modelo Tarifário'!$E$38)*('Premissas Economias e Água'!M274))&gt;('Premissas Economias e Água'!M134*12*'Modelo Tarifário'!$D$29*'Modelo Tarifário'!$C$53*'Modelo Tarifário'!$E$38),(L8*'Modelo Tarifário'!$C$53*'Modelo Tarifário'!$E$38)*('Premissas Economias e Água'!M274),('Premissas Economias e Água'!M134*12*'Modelo Tarifário'!$D$29*'Modelo Tarifário'!$C$53*'Modelo Tarifário'!$E$38))</f>
        <v>89430.671545651654</v>
      </c>
      <c r="M13" s="1340">
        <f>IF(((M8*'Modelo Tarifário'!$C$53*'Modelo Tarifário'!$E$38)*('Premissas Economias e Água'!N274))&gt;('Premissas Economias e Água'!N134*12*'Modelo Tarifário'!$D$29*'Modelo Tarifário'!$C$53*'Modelo Tarifário'!$E$38),(M8*'Modelo Tarifário'!$C$53*'Modelo Tarifário'!$E$38)*('Premissas Economias e Água'!N274),('Premissas Economias e Água'!N134*12*'Modelo Tarifário'!$D$29*'Modelo Tarifário'!$C$53*'Modelo Tarifário'!$E$38))</f>
        <v>88758.792241829025</v>
      </c>
      <c r="N13" s="1340">
        <f>IF(((N8*'Modelo Tarifário'!$C$53*'Modelo Tarifário'!$E$38)*('Premissas Economias e Água'!O274))&gt;('Premissas Economias e Água'!O134*12*'Modelo Tarifário'!$D$29*'Modelo Tarifário'!$C$53*'Modelo Tarifário'!$E$38),(N8*'Modelo Tarifário'!$C$53*'Modelo Tarifário'!$E$38)*('Premissas Economias e Água'!O274),('Premissas Economias e Água'!O134*12*'Modelo Tarifário'!$D$29*'Modelo Tarifário'!$C$53*'Modelo Tarifário'!$E$38))</f>
        <v>88086.912938006411</v>
      </c>
      <c r="O13" s="1340">
        <f>IF(((O8*'Modelo Tarifário'!$C$53*'Modelo Tarifário'!$E$38)*('Premissas Economias e Água'!P274))&gt;('Premissas Economias e Água'!P134*12*'Modelo Tarifário'!$D$29*'Modelo Tarifário'!$C$53*'Modelo Tarifário'!$E$38),(O8*'Modelo Tarifário'!$C$53*'Modelo Tarifário'!$E$38)*('Premissas Economias e Água'!P274),('Premissas Economias e Água'!P134*12*'Modelo Tarifário'!$D$29*'Modelo Tarifário'!$C$53*'Modelo Tarifário'!$E$38))</f>
        <v>87485.757771428311</v>
      </c>
      <c r="P13" s="1340">
        <f>IF(((P8*'Modelo Tarifário'!$C$53*'Modelo Tarifário'!$E$38)*('Premissas Economias e Água'!Q274))&gt;('Premissas Economias e Água'!Q134*12*'Modelo Tarifário'!$D$29*'Modelo Tarifário'!$C$53*'Modelo Tarifário'!$E$38),(P8*'Modelo Tarifário'!$C$53*'Modelo Tarifário'!$E$38)*('Premissas Economias e Água'!Q274),('Premissas Economias e Água'!Q134*12*'Modelo Tarifário'!$D$29*'Modelo Tarifário'!$C$53*'Modelo Tarifário'!$E$38))</f>
        <v>86707.792261738956</v>
      </c>
      <c r="Q13" s="1340">
        <f>IF(((Q8*'Modelo Tarifário'!$C$53*'Modelo Tarifário'!$E$38)*('Premissas Economias e Água'!R274))&gt;('Premissas Economias e Água'!R134*12*'Modelo Tarifário'!$D$29*'Modelo Tarifário'!$C$53*'Modelo Tarifário'!$E$38),(Q8*'Modelo Tarifário'!$C$53*'Modelo Tarifário'!$E$38)*('Premissas Economias e Água'!R274),('Premissas Economias e Água'!R134*12*'Modelo Tarifário'!$D$29*'Modelo Tarifário'!$C$53*'Modelo Tarifário'!$E$38))</f>
        <v>85929.826752049616</v>
      </c>
      <c r="R13" s="1340">
        <f>IF(((R8*'Modelo Tarifário'!$C$53*'Modelo Tarifário'!$E$38)*('Premissas Economias e Água'!S274))&gt;('Premissas Economias e Água'!S134*12*'Modelo Tarifário'!$D$29*'Modelo Tarifário'!$C$53*'Modelo Tarifário'!$E$38),(R8*'Modelo Tarifário'!$C$53*'Modelo Tarifário'!$E$38)*('Premissas Economias e Água'!S274),('Premissas Economias e Água'!S134*12*'Modelo Tarifário'!$D$29*'Modelo Tarifário'!$C$53*'Modelo Tarifário'!$E$38))</f>
        <v>85151.86124236029</v>
      </c>
      <c r="S13" s="1340">
        <f>IF(((S8*'Modelo Tarifário'!$C$53*'Modelo Tarifário'!$E$38)*('Premissas Economias e Água'!T274))&gt;('Premissas Economias e Água'!T134*12*'Modelo Tarifário'!$D$29*'Modelo Tarifário'!$C$53*'Modelo Tarifário'!$E$38),(S8*'Modelo Tarifário'!$C$53*'Modelo Tarifário'!$E$38)*('Premissas Economias e Água'!T274),('Premissas Economias e Água'!T134*12*'Modelo Tarifário'!$D$29*'Modelo Tarifário'!$C$53*'Modelo Tarifário'!$E$38))</f>
        <v>84373.895732670935</v>
      </c>
      <c r="T13" s="1340">
        <f>IF(((T8*'Modelo Tarifário'!$C$53*'Modelo Tarifário'!$E$38)*('Premissas Economias e Água'!U274))&gt;('Premissas Economias e Água'!U134*12*'Modelo Tarifário'!$D$29*'Modelo Tarifário'!$C$53*'Modelo Tarifário'!$E$38),(T8*'Modelo Tarifário'!$C$53*'Modelo Tarifário'!$E$38)*('Premissas Economias e Água'!U274),('Premissas Economias e Água'!U134*12*'Modelo Tarifário'!$D$29*'Modelo Tarifário'!$C$53*'Modelo Tarifário'!$E$38))</f>
        <v>83631.292291603851</v>
      </c>
      <c r="U13" s="1340">
        <f>IF(((U8*'Modelo Tarifário'!$C$53*'Modelo Tarifário'!$E$38)*('Premissas Economias e Água'!V274))&gt;('Premissas Economias e Água'!V134*12*'Modelo Tarifário'!$D$29*'Modelo Tarifário'!$C$53*'Modelo Tarifário'!$E$38),(U8*'Modelo Tarifário'!$C$53*'Modelo Tarifário'!$E$38)*('Premissas Economias e Água'!V274),('Premissas Economias e Água'!V134*12*'Modelo Tarifário'!$D$29*'Modelo Tarifário'!$C$53*'Modelo Tarifário'!$E$38))</f>
        <v>82817.964713292269</v>
      </c>
      <c r="V13" s="1340">
        <f>IF(((V8*'Modelo Tarifário'!$C$53*'Modelo Tarifário'!$E$38)*('Premissas Economias e Água'!W274))&gt;('Premissas Economias e Água'!W134*12*'Modelo Tarifário'!$D$29*'Modelo Tarifário'!$C$53*'Modelo Tarifário'!$E$38),(V8*'Modelo Tarifário'!$C$53*'Modelo Tarifário'!$E$38)*('Premissas Economias e Água'!W274),('Premissas Economias e Água'!W134*12*'Modelo Tarifário'!$D$29*'Modelo Tarifário'!$C$53*'Modelo Tarifário'!$E$38))</f>
        <v>82004.637134980687</v>
      </c>
      <c r="W13" s="1340">
        <f>IF(((W8*'Modelo Tarifário'!$C$53*'Modelo Tarifário'!$E$38)*('Premissas Economias e Água'!X274))&gt;('Premissas Economias e Água'!X134*12*'Modelo Tarifário'!$D$29*'Modelo Tarifário'!$C$53*'Modelo Tarifário'!$E$38),(W8*'Modelo Tarifário'!$C$53*'Modelo Tarifário'!$E$38)*('Premissas Economias e Água'!X274),('Premissas Economias e Água'!X134*12*'Modelo Tarifário'!$D$29*'Modelo Tarifário'!$C$53*'Modelo Tarifário'!$E$38))</f>
        <v>81191.309556669104</v>
      </c>
      <c r="X13" s="1340">
        <f>IF(((X8*'Modelo Tarifário'!$C$53*'Modelo Tarifário'!$E$38)*('Premissas Economias e Água'!Y274))&gt;('Premissas Economias e Água'!Y134*12*'Modelo Tarifário'!$D$29*'Modelo Tarifário'!$C$53*'Modelo Tarifário'!$E$38),(X8*'Modelo Tarifário'!$C$53*'Modelo Tarifário'!$E$38)*('Premissas Economias e Água'!Y274),('Premissas Economias e Água'!Y134*12*'Modelo Tarifário'!$D$29*'Modelo Tarifário'!$C$53*'Modelo Tarifário'!$E$38))</f>
        <v>80377.981978357522</v>
      </c>
      <c r="Y13" s="1340">
        <f>IF(((Y8*'Modelo Tarifário'!$C$53*'Modelo Tarifário'!$E$38)*('Premissas Economias e Água'!Z274))&gt;('Premissas Economias e Água'!Z134*12*'Modelo Tarifário'!$D$29*'Modelo Tarifário'!$C$53*'Modelo Tarifário'!$E$38),(Y8*'Modelo Tarifário'!$C$53*'Modelo Tarifário'!$E$38)*('Premissas Economias e Água'!Z274),('Premissas Economias e Água'!Z134*12*'Modelo Tarifário'!$D$29*'Modelo Tarifário'!$C$53*'Modelo Tarifário'!$E$38))</f>
        <v>79493.930262801456</v>
      </c>
      <c r="Z13" s="1340">
        <f>IF(((Z8*'Modelo Tarifário'!$C$53*'Modelo Tarifário'!$E$38)*('Premissas Economias e Água'!AA274))&gt;('Premissas Economias e Água'!AA134*12*'Modelo Tarifário'!$D$29*'Modelo Tarifário'!$C$53*'Modelo Tarifário'!$E$38),(Z8*'Modelo Tarifário'!$C$53*'Modelo Tarifário'!$E$38)*('Premissas Economias e Água'!AA274),('Premissas Economias e Água'!AA134*12*'Modelo Tarifário'!$D$29*'Modelo Tarifário'!$C$53*'Modelo Tarifário'!$E$38))</f>
        <v>78680.602684489888</v>
      </c>
      <c r="AA13" s="1340">
        <f>IF(((AA8*'Modelo Tarifário'!$C$53*'Modelo Tarifário'!$E$38)*('Premissas Economias e Água'!AB274))&gt;('Premissas Economias e Água'!AB134*12*'Modelo Tarifário'!$D$29*'Modelo Tarifário'!$C$53*'Modelo Tarifário'!$E$38),(AA8*'Modelo Tarifário'!$C$53*'Modelo Tarifário'!$E$38)*('Premissas Economias e Água'!AB274),('Premissas Economias e Água'!AB134*12*'Modelo Tarifário'!$D$29*'Modelo Tarifário'!$C$53*'Modelo Tarifário'!$E$38))</f>
        <v>77867.275106178306</v>
      </c>
      <c r="AB13" s="1340">
        <f>IF(((AB8*'Modelo Tarifário'!$C$53*'Modelo Tarifário'!$E$38)*('Premissas Economias e Água'!AC274))&gt;('Premissas Economias e Água'!AC134*12*'Modelo Tarifário'!$D$29*'Modelo Tarifário'!$C$53*'Modelo Tarifário'!$E$38),(AB8*'Modelo Tarifário'!$C$53*'Modelo Tarifário'!$E$38)*('Premissas Economias e Água'!AC274),('Premissas Economias e Água'!AC134*12*'Modelo Tarifário'!$D$29*'Modelo Tarifário'!$C$53*'Modelo Tarifário'!$E$38))</f>
        <v>77053.947527866723</v>
      </c>
      <c r="AC13" s="1340">
        <f>IF(((AC8*'Modelo Tarifário'!$C$53*'Modelo Tarifário'!$E$38)*('Premissas Economias e Água'!AD274))&gt;('Premissas Economias e Água'!AD134*12*'Modelo Tarifário'!$D$29*'Modelo Tarifário'!$C$53*'Modelo Tarifário'!$E$38),(AC8*'Modelo Tarifário'!$C$53*'Modelo Tarifário'!$E$38)*('Premissas Economias e Água'!AD274),('Premissas Economias e Água'!AD134*12*'Modelo Tarifário'!$D$29*'Modelo Tarifário'!$C$53*'Modelo Tarifário'!$E$38))</f>
        <v>76240.619949555141</v>
      </c>
      <c r="AD13" s="1340">
        <f>IF(((AD8*'Modelo Tarifário'!$C$53*'Modelo Tarifário'!$E$38)*('Premissas Economias e Água'!AE274))&gt;('Premissas Economias e Água'!AE134*12*'Modelo Tarifário'!$D$29*'Modelo Tarifário'!$C$53*'Modelo Tarifário'!$E$38),(AD8*'Modelo Tarifário'!$C$53*'Modelo Tarifário'!$E$38)*('Premissas Economias e Água'!AE274),('Premissas Economias e Água'!AE134*12*'Modelo Tarifário'!$D$29*'Modelo Tarifário'!$C$53*'Modelo Tarifário'!$E$38))</f>
        <v>75427.292371243544</v>
      </c>
      <c r="AE13" s="1340">
        <f>IF(((AE8*'Modelo Tarifário'!$C$53*'Modelo Tarifário'!$E$38)*('Premissas Economias e Água'!AF274))&gt;('Premissas Economias e Água'!AF134*12*'Modelo Tarifário'!$D$29*'Modelo Tarifário'!$C$53*'Modelo Tarifário'!$E$38),(AE8*'Modelo Tarifário'!$C$53*'Modelo Tarifário'!$E$38)*('Premissas Economias e Água'!AF274),('Premissas Economias e Água'!AF134*12*'Modelo Tarifário'!$D$29*'Modelo Tarifário'!$C$53*'Modelo Tarifário'!$E$38))</f>
        <v>74613.964792931976</v>
      </c>
      <c r="AF13" s="1340">
        <f>IF(((AF8*'Modelo Tarifário'!$C$53*'Modelo Tarifário'!$E$38)*('Premissas Economias e Água'!AG274))&gt;('Premissas Economias e Água'!AG134*12*'Modelo Tarifário'!$D$29*'Modelo Tarifário'!$C$53*'Modelo Tarifário'!$E$38),(AF8*'Modelo Tarifário'!$C$53*'Modelo Tarifário'!$E$38)*('Premissas Economias e Água'!AG274),('Premissas Economias e Água'!AG134*12*'Modelo Tarifário'!$D$29*'Modelo Tarifário'!$C$53*'Modelo Tarifário'!$E$38))</f>
        <v>73800.637214620394</v>
      </c>
      <c r="AG13" s="1340">
        <f>IF(((AG8*'Modelo Tarifário'!$C$53*'Modelo Tarifário'!$E$38)*('Premissas Economias e Água'!AH274))&gt;('Premissas Economias e Água'!AH134*12*'Modelo Tarifário'!$D$29*'Modelo Tarifário'!$C$53*'Modelo Tarifário'!$E$38),(AG8*'Modelo Tarifário'!$C$53*'Modelo Tarifário'!$E$38)*('Premissas Economias e Água'!AH274),('Premissas Economias e Água'!AH134*12*'Modelo Tarifário'!$D$29*'Modelo Tarifário'!$C$53*'Modelo Tarifário'!$E$38))</f>
        <v>72987.309636308826</v>
      </c>
      <c r="AH13" s="1340">
        <f>IF(((AH8*'Modelo Tarifário'!$C$53*'Modelo Tarifário'!$E$38)*('Premissas Economias e Água'!AI274))&gt;('Premissas Economias e Água'!AI134*12*'Modelo Tarifário'!$D$29*'Modelo Tarifário'!$C$53*'Modelo Tarifário'!$E$38),(AH8*'Modelo Tarifário'!$C$53*'Modelo Tarifário'!$E$38)*('Premissas Economias e Água'!AI274),('Premissas Economias e Água'!AI134*12*'Modelo Tarifário'!$D$29*'Modelo Tarifário'!$C$53*'Modelo Tarifário'!$E$38))</f>
        <v>72173.982057997244</v>
      </c>
    </row>
    <row r="14" spans="2:34" s="1335" customFormat="1" ht="10.5" outlineLevel="1" x14ac:dyDescent="0.25">
      <c r="B14" s="1339"/>
      <c r="C14" s="1335" t="s">
        <v>280</v>
      </c>
      <c r="E14" s="1340">
        <f>IF(((E8*'Modelo Tarifário'!$C$53*'Modelo Tarifário'!$E$39)*('Premissas Economias e Água'!F275))&gt;('Premissas Economias e Água'!F135*12*'Modelo Tarifário'!$D$29*'Modelo Tarifário'!$C$53*'Modelo Tarifário'!$E$39),(E8*'Modelo Tarifário'!$C$53*'Modelo Tarifário'!$E$39)*('Premissas Economias e Água'!F275),('Premissas Economias e Água'!F135*12*'Modelo Tarifário'!$D$29*'Modelo Tarifário'!$C$53*'Modelo Tarifário'!$E$39))</f>
        <v>107680.99792368176</v>
      </c>
      <c r="F14" s="1340">
        <f>IF(((F8*'Modelo Tarifário'!$C$53*'Modelo Tarifário'!$E$39)*('Premissas Economias e Água'!G275))&gt;('Premissas Economias e Água'!G135*12*'Modelo Tarifário'!$D$29*'Modelo Tarifário'!$C$53*'Modelo Tarifário'!$E$39),(F8*'Modelo Tarifário'!$C$53*'Modelo Tarifário'!$E$39)*('Premissas Economias e Água'!G275),('Premissas Economias e Água'!G135*12*'Modelo Tarifário'!$D$29*'Modelo Tarifário'!$C$53*'Modelo Tarifário'!$E$39))</f>
        <v>107069.63722388798</v>
      </c>
      <c r="G14" s="1340">
        <f>IF(((G8*'Modelo Tarifário'!$C$53*'Modelo Tarifário'!$E$39)*('Premissas Economias e Água'!H275))&gt;('Premissas Economias e Água'!H135*12*'Modelo Tarifário'!$D$29*'Modelo Tarifário'!$C$53*'Modelo Tarifário'!$E$39),(G8*'Modelo Tarifário'!$C$53*'Modelo Tarifário'!$E$39)*('Premissas Economias e Água'!H275),('Premissas Economias e Água'!H135*12*'Modelo Tarifário'!$D$29*'Modelo Tarifário'!$C$53*'Modelo Tarifário'!$E$39))</f>
        <v>106458.27652409418</v>
      </c>
      <c r="H14" s="1340">
        <f>IF(((H8*'Modelo Tarifário'!$C$53*'Modelo Tarifário'!$E$39)*('Premissas Economias e Água'!I275))&gt;('Premissas Economias e Água'!I135*12*'Modelo Tarifário'!$D$29*'Modelo Tarifário'!$C$53*'Modelo Tarifário'!$E$39),(H8*'Modelo Tarifário'!$C$53*'Modelo Tarifário'!$E$39)*('Premissas Economias e Água'!I275),('Premissas Economias e Água'!I135*12*'Modelo Tarifário'!$D$29*'Modelo Tarifário'!$C$53*'Modelo Tarifário'!$E$39))</f>
        <v>105846.91582430039</v>
      </c>
      <c r="I14" s="1340">
        <f>IF(((I8*'Modelo Tarifário'!$C$53*'Modelo Tarifário'!$E$39)*('Premissas Economias e Água'!J275))&gt;('Premissas Economias e Água'!J135*12*'Modelo Tarifário'!$D$29*'Modelo Tarifário'!$C$53*'Modelo Tarifário'!$E$39),(I8*'Modelo Tarifário'!$C$53*'Modelo Tarifário'!$E$39)*('Premissas Economias e Água'!J275),('Premissas Economias e Água'!J135*12*'Modelo Tarifário'!$D$29*'Modelo Tarifário'!$C$53*'Modelo Tarifário'!$E$39))</f>
        <v>105235.55512450657</v>
      </c>
      <c r="J14" s="1340">
        <f>IF(((J8*'Modelo Tarifário'!$C$53*'Modelo Tarifário'!$E$39)*('Premissas Economias e Água'!K275))&gt;('Premissas Economias e Água'!K135*12*'Modelo Tarifário'!$D$29*'Modelo Tarifário'!$C$53*'Modelo Tarifário'!$E$39),(J8*'Modelo Tarifário'!$C$53*'Modelo Tarifário'!$E$39)*('Premissas Economias e Água'!K275),('Premissas Economias e Água'!K135*12*'Modelo Tarifário'!$D$29*'Modelo Tarifário'!$C$53*'Modelo Tarifário'!$E$39))</f>
        <v>104624.19442471277</v>
      </c>
      <c r="K14" s="1340">
        <f>IF(((K8*'Modelo Tarifário'!$C$53*'Modelo Tarifário'!$E$39)*('Premissas Economias e Água'!L275))&gt;('Premissas Economias e Água'!L135*12*'Modelo Tarifário'!$D$29*'Modelo Tarifário'!$C$53*'Modelo Tarifário'!$E$39),(K8*'Modelo Tarifário'!$C$53*'Modelo Tarifário'!$E$39)*('Premissas Economias e Água'!L275),('Premissas Economias e Água'!L135*12*'Modelo Tarifário'!$D$29*'Modelo Tarifário'!$C$53*'Modelo Tarifário'!$E$39))</f>
        <v>103849.80420497395</v>
      </c>
      <c r="L14" s="1340">
        <f>IF(((L8*'Modelo Tarifário'!$C$53*'Modelo Tarifário'!$E$39)*('Premissas Economias e Água'!M275))&gt;('Premissas Economias e Água'!M135*12*'Modelo Tarifário'!$D$29*'Modelo Tarifário'!$C$53*'Modelo Tarifário'!$E$39),(L8*'Modelo Tarifário'!$C$53*'Modelo Tarifário'!$E$39)*('Premissas Economias e Água'!M275),('Premissas Economias e Água'!M135*12*'Modelo Tarifário'!$D$29*'Modelo Tarifário'!$C$53*'Modelo Tarifário'!$E$39))</f>
        <v>103075.41398523514</v>
      </c>
      <c r="M14" s="1340">
        <f>IF(((M8*'Modelo Tarifário'!$C$53*'Modelo Tarifário'!$E$39)*('Premissas Economias e Água'!N275))&gt;('Premissas Economias e Água'!N135*12*'Modelo Tarifário'!$D$29*'Modelo Tarifário'!$C$53*'Modelo Tarifário'!$E$39),(M8*'Modelo Tarifário'!$C$53*'Modelo Tarifário'!$E$39)*('Premissas Economias e Água'!N275),('Premissas Economias e Água'!N135*12*'Modelo Tarifário'!$D$29*'Modelo Tarifário'!$C$53*'Modelo Tarifário'!$E$39))</f>
        <v>102301.02376549633</v>
      </c>
      <c r="N14" s="1340">
        <f>IF(((N8*'Modelo Tarifário'!$C$53*'Modelo Tarifário'!$E$39)*('Premissas Economias e Água'!O275))&gt;('Premissas Economias e Água'!O135*12*'Modelo Tarifário'!$D$29*'Modelo Tarifário'!$C$53*'Modelo Tarifário'!$E$39),(N8*'Modelo Tarifário'!$C$53*'Modelo Tarifário'!$E$39)*('Premissas Economias e Água'!O275),('Premissas Economias e Água'!O135*12*'Modelo Tarifário'!$D$29*'Modelo Tarifário'!$C$53*'Modelo Tarifário'!$E$39))</f>
        <v>101526.63354575749</v>
      </c>
      <c r="O14" s="1340">
        <f>IF(((O8*'Modelo Tarifário'!$C$53*'Modelo Tarifário'!$E$39)*('Premissas Economias e Água'!P275))&gt;('Premissas Economias e Água'!P135*12*'Modelo Tarifário'!$D$29*'Modelo Tarifário'!$C$53*'Modelo Tarifário'!$E$39),(O8*'Modelo Tarifário'!$C$53*'Modelo Tarifário'!$E$39)*('Premissas Economias e Água'!P275),('Premissas Economias e Água'!P135*12*'Modelo Tarifário'!$D$29*'Modelo Tarifário'!$C$53*'Modelo Tarifário'!$E$39))</f>
        <v>100833.7580859912</v>
      </c>
      <c r="P14" s="1340">
        <f>IF(((P8*'Modelo Tarifário'!$C$53*'Modelo Tarifário'!$E$39)*('Premissas Economias e Água'!Q275))&gt;('Premissas Economias e Água'!Q135*12*'Modelo Tarifário'!$D$29*'Modelo Tarifário'!$C$53*'Modelo Tarifário'!$E$39),(P8*'Modelo Tarifário'!$C$53*'Modelo Tarifário'!$E$39)*('Premissas Economias e Água'!Q275),('Premissas Economias e Água'!Q135*12*'Modelo Tarifário'!$D$29*'Modelo Tarifário'!$C$53*'Modelo Tarifário'!$E$39))</f>
        <v>99937.095726293614</v>
      </c>
      <c r="Q14" s="1340">
        <f>IF(((Q8*'Modelo Tarifário'!$C$53*'Modelo Tarifário'!$E$39)*('Premissas Economias e Água'!R275))&gt;('Premissas Economias e Água'!R135*12*'Modelo Tarifário'!$D$29*'Modelo Tarifário'!$C$53*'Modelo Tarifário'!$E$39),(Q8*'Modelo Tarifário'!$C$53*'Modelo Tarifário'!$E$39)*('Premissas Economias e Água'!R275),('Premissas Economias e Água'!R135*12*'Modelo Tarifário'!$D$29*'Modelo Tarifário'!$C$53*'Modelo Tarifário'!$E$39))</f>
        <v>99040.433366596015</v>
      </c>
      <c r="R14" s="1340">
        <f>IF(((R8*'Modelo Tarifário'!$C$53*'Modelo Tarifário'!$E$39)*('Premissas Economias e Água'!S275))&gt;('Premissas Economias e Água'!S135*12*'Modelo Tarifário'!$D$29*'Modelo Tarifário'!$C$53*'Modelo Tarifário'!$E$39),(R8*'Modelo Tarifário'!$C$53*'Modelo Tarifário'!$E$39)*('Premissas Economias e Água'!S275),('Premissas Economias e Água'!S135*12*'Modelo Tarifário'!$D$29*'Modelo Tarifário'!$C$53*'Modelo Tarifário'!$E$39))</f>
        <v>98143.771006898474</v>
      </c>
      <c r="S14" s="1340">
        <f>IF(((S8*'Modelo Tarifário'!$C$53*'Modelo Tarifário'!$E$39)*('Premissas Economias e Água'!T275))&gt;('Premissas Economias e Água'!T135*12*'Modelo Tarifário'!$D$29*'Modelo Tarifário'!$C$53*'Modelo Tarifário'!$E$39),(S8*'Modelo Tarifário'!$C$53*'Modelo Tarifário'!$E$39)*('Premissas Economias e Água'!T275),('Premissas Economias e Água'!T135*12*'Modelo Tarifário'!$D$29*'Modelo Tarifário'!$C$53*'Modelo Tarifário'!$E$39))</f>
        <v>97247.108647200876</v>
      </c>
      <c r="T14" s="1340">
        <f>IF(((T8*'Modelo Tarifário'!$C$53*'Modelo Tarifário'!$E$39)*('Premissas Economias e Água'!U275))&gt;('Premissas Economias e Água'!U135*12*'Modelo Tarifário'!$D$29*'Modelo Tarifário'!$C$53*'Modelo Tarifário'!$E$39),(T8*'Modelo Tarifário'!$C$53*'Modelo Tarifário'!$E$39)*('Premissas Economias e Água'!U275),('Premissas Economias e Água'!U135*12*'Modelo Tarifário'!$D$29*'Modelo Tarifário'!$C$53*'Modelo Tarifário'!$E$39))</f>
        <v>96391.203667489564</v>
      </c>
      <c r="U14" s="1340">
        <f>IF(((U8*'Modelo Tarifário'!$C$53*'Modelo Tarifário'!$E$39)*('Premissas Economias e Água'!V275))&gt;('Premissas Economias e Água'!V135*12*'Modelo Tarifário'!$D$29*'Modelo Tarifário'!$C$53*'Modelo Tarifário'!$E$39),(U8*'Modelo Tarifário'!$C$53*'Modelo Tarifário'!$E$39)*('Premissas Economias e Água'!V275),('Premissas Economias e Água'!V135*12*'Modelo Tarifário'!$D$29*'Modelo Tarifário'!$C$53*'Modelo Tarifário'!$E$39))</f>
        <v>95453.783927805707</v>
      </c>
      <c r="V14" s="1340">
        <f>IF(((V8*'Modelo Tarifário'!$C$53*'Modelo Tarifário'!$E$39)*('Premissas Economias e Água'!W275))&gt;('Premissas Economias e Água'!W135*12*'Modelo Tarifário'!$D$29*'Modelo Tarifário'!$C$53*'Modelo Tarifário'!$E$39),(V8*'Modelo Tarifário'!$C$53*'Modelo Tarifário'!$E$39)*('Premissas Economias e Água'!W275),('Premissas Economias e Água'!W135*12*'Modelo Tarifário'!$D$29*'Modelo Tarifário'!$C$53*'Modelo Tarifário'!$E$39))</f>
        <v>94516.364188121894</v>
      </c>
      <c r="W14" s="1340">
        <f>IF(((W8*'Modelo Tarifário'!$C$53*'Modelo Tarifário'!$E$39)*('Premissas Economias e Água'!X275))&gt;('Premissas Economias e Água'!X135*12*'Modelo Tarifário'!$D$29*'Modelo Tarifário'!$C$53*'Modelo Tarifário'!$E$39),(W8*'Modelo Tarifário'!$C$53*'Modelo Tarifário'!$E$39)*('Premissas Economias e Água'!X275),('Premissas Economias e Água'!X135*12*'Modelo Tarifário'!$D$29*'Modelo Tarifário'!$C$53*'Modelo Tarifário'!$E$39))</f>
        <v>93578.944448438066</v>
      </c>
      <c r="X14" s="1340">
        <f>IF(((X8*'Modelo Tarifário'!$C$53*'Modelo Tarifário'!$E$39)*('Premissas Economias e Água'!Y275))&gt;('Premissas Economias e Água'!Y135*12*'Modelo Tarifário'!$D$29*'Modelo Tarifário'!$C$53*'Modelo Tarifário'!$E$39),(X8*'Modelo Tarifário'!$C$53*'Modelo Tarifário'!$E$39)*('Premissas Economias e Água'!Y275),('Premissas Economias e Água'!Y135*12*'Modelo Tarifário'!$D$29*'Modelo Tarifário'!$C$53*'Modelo Tarifário'!$E$39))</f>
        <v>92641.524708754223</v>
      </c>
      <c r="Y14" s="1340">
        <f>IF(((Y8*'Modelo Tarifário'!$C$53*'Modelo Tarifário'!$E$39)*('Premissas Economias e Água'!Z275))&gt;('Premissas Economias e Água'!Z135*12*'Modelo Tarifário'!$D$29*'Modelo Tarifário'!$C$53*'Modelo Tarifário'!$E$39),(Y8*'Modelo Tarifário'!$C$53*'Modelo Tarifário'!$E$39)*('Premissas Economias e Água'!Z275),('Premissas Economias e Água'!Z135*12*'Modelo Tarifário'!$D$29*'Modelo Tarifário'!$C$53*'Modelo Tarifário'!$E$39))</f>
        <v>91622.590209097893</v>
      </c>
      <c r="Z14" s="1340">
        <f>IF(((Z8*'Modelo Tarifário'!$C$53*'Modelo Tarifário'!$E$39)*('Premissas Economias e Água'!AA275))&gt;('Premissas Economias e Água'!AA135*12*'Modelo Tarifário'!$D$29*'Modelo Tarifário'!$C$53*'Modelo Tarifário'!$E$39),(Z8*'Modelo Tarifário'!$C$53*'Modelo Tarifário'!$E$39)*('Premissas Economias e Água'!AA275),('Premissas Economias e Água'!AA135*12*'Modelo Tarifário'!$D$29*'Modelo Tarifário'!$C$53*'Modelo Tarifário'!$E$39))</f>
        <v>90685.170469414064</v>
      </c>
      <c r="AA14" s="1340">
        <f>IF(((AA8*'Modelo Tarifário'!$C$53*'Modelo Tarifário'!$E$39)*('Premissas Economias e Água'!AB275))&gt;('Premissas Economias e Água'!AB135*12*'Modelo Tarifário'!$D$29*'Modelo Tarifário'!$C$53*'Modelo Tarifário'!$E$39),(AA8*'Modelo Tarifário'!$C$53*'Modelo Tarifário'!$E$39)*('Premissas Economias e Água'!AB275),('Premissas Economias e Água'!AB135*12*'Modelo Tarifário'!$D$29*'Modelo Tarifário'!$C$53*'Modelo Tarifário'!$E$39))</f>
        <v>89747.750729730236</v>
      </c>
      <c r="AB14" s="1340">
        <f>IF(((AB8*'Modelo Tarifário'!$C$53*'Modelo Tarifário'!$E$39)*('Premissas Economias e Água'!AC275))&gt;('Premissas Economias e Água'!AC135*12*'Modelo Tarifário'!$D$29*'Modelo Tarifário'!$C$53*'Modelo Tarifário'!$E$39),(AB8*'Modelo Tarifário'!$C$53*'Modelo Tarifário'!$E$39)*('Premissas Economias e Água'!AC275),('Premissas Economias e Água'!AC135*12*'Modelo Tarifário'!$D$29*'Modelo Tarifário'!$C$53*'Modelo Tarifário'!$E$39))</f>
        <v>88810.330990046394</v>
      </c>
      <c r="AC14" s="1340">
        <f>IF(((AC8*'Modelo Tarifário'!$C$53*'Modelo Tarifário'!$E$39)*('Premissas Economias e Água'!AD275))&gt;('Premissas Economias e Água'!AD135*12*'Modelo Tarifário'!$D$29*'Modelo Tarifário'!$C$53*'Modelo Tarifário'!$E$39),(AC8*'Modelo Tarifário'!$C$53*'Modelo Tarifário'!$E$39)*('Premissas Economias e Água'!AD275),('Premissas Economias e Água'!AD135*12*'Modelo Tarifário'!$D$29*'Modelo Tarifário'!$C$53*'Modelo Tarifário'!$E$39))</f>
        <v>87872.911250362566</v>
      </c>
      <c r="AD14" s="1340">
        <f>IF(((AD8*'Modelo Tarifário'!$C$53*'Modelo Tarifário'!$E$39)*('Premissas Economias e Água'!AE275))&gt;('Premissas Economias e Água'!AE135*12*'Modelo Tarifário'!$D$29*'Modelo Tarifário'!$C$53*'Modelo Tarifário'!$E$39),(AD8*'Modelo Tarifário'!$C$53*'Modelo Tarifário'!$E$39)*('Premissas Economias e Água'!AE275),('Premissas Economias e Água'!AE135*12*'Modelo Tarifário'!$D$29*'Modelo Tarifário'!$C$53*'Modelo Tarifário'!$E$39))</f>
        <v>86935.491510678738</v>
      </c>
      <c r="AE14" s="1340">
        <f>IF(((AE8*'Modelo Tarifário'!$C$53*'Modelo Tarifário'!$E$39)*('Premissas Economias e Água'!AF275))&gt;('Premissas Economias e Água'!AF135*12*'Modelo Tarifário'!$D$29*'Modelo Tarifário'!$C$53*'Modelo Tarifário'!$E$39),(AE8*'Modelo Tarifário'!$C$53*'Modelo Tarifário'!$E$39)*('Premissas Economias e Água'!AF275),('Premissas Economias e Água'!AF135*12*'Modelo Tarifário'!$D$29*'Modelo Tarifário'!$C$53*'Modelo Tarifário'!$E$39))</f>
        <v>85998.071770994909</v>
      </c>
      <c r="AF14" s="1340">
        <f>IF(((AF8*'Modelo Tarifário'!$C$53*'Modelo Tarifário'!$E$39)*('Premissas Economias e Água'!AG275))&gt;('Premissas Economias e Água'!AG135*12*'Modelo Tarifário'!$D$29*'Modelo Tarifário'!$C$53*'Modelo Tarifário'!$E$39),(AF8*'Modelo Tarifário'!$C$53*'Modelo Tarifário'!$E$39)*('Premissas Economias e Água'!AG275),('Premissas Economias e Água'!AG135*12*'Modelo Tarifário'!$D$29*'Modelo Tarifário'!$C$53*'Modelo Tarifário'!$E$39))</f>
        <v>85060.652031311081</v>
      </c>
      <c r="AG14" s="1340">
        <f>IF(((AG8*'Modelo Tarifário'!$C$53*'Modelo Tarifário'!$E$39)*('Premissas Economias e Água'!AH275))&gt;('Premissas Economias e Água'!AH135*12*'Modelo Tarifário'!$D$29*'Modelo Tarifário'!$C$53*'Modelo Tarifário'!$E$39),(AG8*'Modelo Tarifário'!$C$53*'Modelo Tarifário'!$E$39)*('Premissas Economias e Água'!AH275),('Premissas Economias e Água'!AH135*12*'Modelo Tarifário'!$D$29*'Modelo Tarifário'!$C$53*'Modelo Tarifário'!$E$39))</f>
        <v>84123.232291627253</v>
      </c>
      <c r="AH14" s="1340">
        <f>IF(((AH8*'Modelo Tarifário'!$C$53*'Modelo Tarifário'!$E$39)*('Premissas Economias e Água'!AI275))&gt;('Premissas Economias e Água'!AI135*12*'Modelo Tarifário'!$D$29*'Modelo Tarifário'!$C$53*'Modelo Tarifário'!$E$39),(AH8*'Modelo Tarifário'!$C$53*'Modelo Tarifário'!$E$39)*('Premissas Economias e Água'!AI275),('Premissas Economias e Água'!AI135*12*'Modelo Tarifário'!$D$29*'Modelo Tarifário'!$C$53*'Modelo Tarifário'!$E$39))</f>
        <v>83185.812551943425</v>
      </c>
    </row>
    <row r="15" spans="2:34" s="1335" customFormat="1" ht="10.5" outlineLevel="1" x14ac:dyDescent="0.25">
      <c r="B15" s="1339"/>
      <c r="C15" s="1335" t="s">
        <v>281</v>
      </c>
      <c r="E15" s="1340">
        <f>IF(((E8*'Modelo Tarifário'!$C$53*'Modelo Tarifário'!$E$40)*('Premissas Economias e Água'!F276))&gt;('Premissas Economias e Água'!F136*12*'Modelo Tarifário'!$D$29*'Modelo Tarifário'!$C$53*'Modelo Tarifário'!$E$40),(E8*'Modelo Tarifário'!$C$53*'Modelo Tarifário'!$E$40)*('Premissas Economias e Água'!F276),('Premissas Economias e Água'!F136*12*'Modelo Tarifário'!$D$29*'Modelo Tarifário'!$C$53*'Modelo Tarifário'!$E$40))</f>
        <v>77316.353466189306</v>
      </c>
      <c r="F15" s="1340">
        <f>IF(((F8*'Modelo Tarifário'!$C$53*'Modelo Tarifário'!$E$40)*('Premissas Economias e Água'!G276))&gt;('Premissas Economias e Água'!G136*12*'Modelo Tarifário'!$D$29*'Modelo Tarifário'!$C$53*'Modelo Tarifário'!$E$40),(F8*'Modelo Tarifário'!$C$53*'Modelo Tarifário'!$E$40)*('Premissas Economias e Água'!G276),('Premissas Economias e Água'!G136*12*'Modelo Tarifário'!$D$29*'Modelo Tarifário'!$C$53*'Modelo Tarifário'!$E$40))</f>
        <v>76877.388552490287</v>
      </c>
      <c r="G15" s="1340">
        <f>IF(((G8*'Modelo Tarifário'!$C$53*'Modelo Tarifário'!$E$40)*('Premissas Economias e Água'!H276))&gt;('Premissas Economias e Água'!H136*12*'Modelo Tarifário'!$D$29*'Modelo Tarifário'!$C$53*'Modelo Tarifário'!$E$40),(G8*'Modelo Tarifário'!$C$53*'Modelo Tarifário'!$E$40)*('Premissas Economias e Água'!H276),('Premissas Economias e Água'!H136*12*'Modelo Tarifário'!$D$29*'Modelo Tarifário'!$C$53*'Modelo Tarifário'!$E$40))</f>
        <v>76438.423638791239</v>
      </c>
      <c r="H15" s="1340">
        <f>IF(((H8*'Modelo Tarifário'!$C$53*'Modelo Tarifário'!$E$40)*('Premissas Economias e Água'!I276))&gt;('Premissas Economias e Água'!I136*12*'Modelo Tarifário'!$D$29*'Modelo Tarifário'!$C$53*'Modelo Tarifário'!$E$40),(H8*'Modelo Tarifário'!$C$53*'Modelo Tarifário'!$E$40)*('Premissas Economias e Água'!I276),('Premissas Economias e Água'!I136*12*'Modelo Tarifário'!$D$29*'Modelo Tarifário'!$C$53*'Modelo Tarifário'!$E$40))</f>
        <v>75999.458725092234</v>
      </c>
      <c r="I15" s="1340">
        <f>IF(((I8*'Modelo Tarifário'!$C$53*'Modelo Tarifário'!$E$40)*('Premissas Economias e Água'!J276))&gt;('Premissas Economias e Água'!J136*12*'Modelo Tarifário'!$D$29*'Modelo Tarifário'!$C$53*'Modelo Tarifário'!$E$40),(I8*'Modelo Tarifário'!$C$53*'Modelo Tarifário'!$E$40)*('Premissas Economias e Água'!J276),('Premissas Economias e Água'!J136*12*'Modelo Tarifário'!$D$29*'Modelo Tarifário'!$C$53*'Modelo Tarifário'!$E$40))</f>
        <v>75560.493811393186</v>
      </c>
      <c r="J15" s="1340">
        <f>IF(((J8*'Modelo Tarifário'!$C$53*'Modelo Tarifário'!$E$40)*('Premissas Economias e Água'!K276))&gt;('Premissas Economias e Água'!K136*12*'Modelo Tarifário'!$D$29*'Modelo Tarifário'!$C$53*'Modelo Tarifário'!$E$40),(J8*'Modelo Tarifário'!$C$53*'Modelo Tarifário'!$E$40)*('Premissas Economias e Água'!K276),('Premissas Economias e Água'!K136*12*'Modelo Tarifário'!$D$29*'Modelo Tarifário'!$C$53*'Modelo Tarifário'!$E$40))</f>
        <v>75121.528897694167</v>
      </c>
      <c r="K15" s="1340">
        <f>IF(((K8*'Modelo Tarifário'!$C$53*'Modelo Tarifário'!$E$40)*('Premissas Economias e Água'!L276))&gt;('Premissas Economias e Água'!L136*12*'Modelo Tarifário'!$D$29*'Modelo Tarifário'!$C$53*'Modelo Tarifário'!$E$40),(K8*'Modelo Tarifário'!$C$53*'Modelo Tarifário'!$E$40)*('Premissas Economias e Água'!L276),('Premissas Economias e Água'!L136*12*'Modelo Tarifário'!$D$29*'Modelo Tarifário'!$C$53*'Modelo Tarifário'!$E$40))</f>
        <v>74565.50667367538</v>
      </c>
      <c r="L15" s="1340">
        <f>IF(((L8*'Modelo Tarifário'!$C$53*'Modelo Tarifário'!$E$40)*('Premissas Economias e Água'!M276))&gt;('Premissas Economias e Água'!M136*12*'Modelo Tarifário'!$D$29*'Modelo Tarifário'!$C$53*'Modelo Tarifário'!$E$40),(L8*'Modelo Tarifário'!$C$53*'Modelo Tarifário'!$E$40)*('Premissas Economias e Água'!M276),('Premissas Economias e Água'!M136*12*'Modelo Tarifário'!$D$29*'Modelo Tarifário'!$C$53*'Modelo Tarifário'!$E$40))</f>
        <v>74009.484449656622</v>
      </c>
      <c r="M15" s="1340">
        <f>IF(((M8*'Modelo Tarifário'!$C$53*'Modelo Tarifário'!$E$40)*('Premissas Economias e Água'!N276))&gt;('Premissas Economias e Água'!N136*12*'Modelo Tarifário'!$D$29*'Modelo Tarifário'!$C$53*'Modelo Tarifário'!$E$40),(M8*'Modelo Tarifário'!$C$53*'Modelo Tarifário'!$E$40)*('Premissas Economias e Água'!N276),('Premissas Economias e Água'!N136*12*'Modelo Tarifário'!$D$29*'Modelo Tarifário'!$C$53*'Modelo Tarifário'!$E$40))</f>
        <v>73453.462225637835</v>
      </c>
      <c r="N15" s="1340">
        <f>IF(((N8*'Modelo Tarifário'!$C$53*'Modelo Tarifário'!$E$40)*('Premissas Economias e Água'!O276))&gt;('Premissas Economias e Água'!O136*12*'Modelo Tarifário'!$D$29*'Modelo Tarifário'!$C$53*'Modelo Tarifário'!$E$40),(N8*'Modelo Tarifário'!$C$53*'Modelo Tarifário'!$E$40)*('Premissas Economias e Água'!O276),('Premissas Economias e Água'!O136*12*'Modelo Tarifário'!$D$29*'Modelo Tarifário'!$C$53*'Modelo Tarifário'!$E$40))</f>
        <v>72897.440001619063</v>
      </c>
      <c r="O15" s="1340">
        <f>IF(((O8*'Modelo Tarifário'!$C$53*'Modelo Tarifário'!$E$40)*('Premissas Economias e Água'!P276))&gt;('Premissas Economias e Água'!P136*12*'Modelo Tarifário'!$D$29*'Modelo Tarifário'!$C$53*'Modelo Tarifário'!$E$40),(O8*'Modelo Tarifário'!$C$53*'Modelo Tarifário'!$E$40)*('Premissas Economias e Água'!P276),('Premissas Economias e Água'!P136*12*'Modelo Tarifário'!$D$29*'Modelo Tarifário'!$C$53*'Modelo Tarifário'!$E$40))</f>
        <v>72399.94643276016</v>
      </c>
      <c r="P15" s="1340">
        <f>IF(((P8*'Modelo Tarifário'!$C$53*'Modelo Tarifário'!$E$40)*('Premissas Economias e Água'!Q276))&gt;('Premissas Economias e Água'!Q136*12*'Modelo Tarifário'!$D$29*'Modelo Tarifário'!$C$53*'Modelo Tarifário'!$E$40),(P8*'Modelo Tarifário'!$C$53*'Modelo Tarifário'!$E$40)*('Premissas Economias e Água'!Q276),('Premissas Economias e Água'!Q136*12*'Modelo Tarifário'!$D$29*'Modelo Tarifário'!$C$53*'Modelo Tarifário'!$E$40))</f>
        <v>71756.131226001584</v>
      </c>
      <c r="Q15" s="1340">
        <f>IF(((Q8*'Modelo Tarifário'!$C$53*'Modelo Tarifário'!$E$40)*('Premissas Economias e Água'!R276))&gt;('Premissas Economias e Água'!R136*12*'Modelo Tarifário'!$D$29*'Modelo Tarifário'!$C$53*'Modelo Tarifário'!$E$40),(Q8*'Modelo Tarifário'!$C$53*'Modelo Tarifário'!$E$40)*('Premissas Economias e Água'!R276),('Premissas Economias e Água'!R136*12*'Modelo Tarifário'!$D$29*'Modelo Tarifário'!$C$53*'Modelo Tarifário'!$E$40))</f>
        <v>71112.316019243008</v>
      </c>
      <c r="R15" s="1340">
        <f>IF(((R8*'Modelo Tarifário'!$C$53*'Modelo Tarifário'!$E$40)*('Premissas Economias e Água'!S276))&gt;('Premissas Economias e Água'!S136*12*'Modelo Tarifário'!$D$29*'Modelo Tarifário'!$C$53*'Modelo Tarifário'!$E$40),(R8*'Modelo Tarifário'!$C$53*'Modelo Tarifário'!$E$40)*('Premissas Economias e Água'!S276),('Premissas Economias e Água'!S136*12*'Modelo Tarifário'!$D$29*'Modelo Tarifário'!$C$53*'Modelo Tarifário'!$E$40))</f>
        <v>70468.500812484432</v>
      </c>
      <c r="S15" s="1340">
        <f>IF(((S8*'Modelo Tarifário'!$C$53*'Modelo Tarifário'!$E$40)*('Premissas Economias e Água'!T276))&gt;('Premissas Economias e Água'!T136*12*'Modelo Tarifário'!$D$29*'Modelo Tarifário'!$C$53*'Modelo Tarifário'!$E$40),(S8*'Modelo Tarifário'!$C$53*'Modelo Tarifário'!$E$40)*('Premissas Economias e Água'!T276),('Premissas Economias e Água'!T136*12*'Modelo Tarifário'!$D$29*'Modelo Tarifário'!$C$53*'Modelo Tarifário'!$E$40))</f>
        <v>69824.685605725841</v>
      </c>
      <c r="T15" s="1340">
        <f>IF(((T8*'Modelo Tarifário'!$C$53*'Modelo Tarifário'!$E$40)*('Premissas Economias e Água'!U276))&gt;('Premissas Economias e Água'!U136*12*'Modelo Tarifário'!$D$29*'Modelo Tarifário'!$C$53*'Modelo Tarifário'!$E$40),(T8*'Modelo Tarifário'!$C$53*'Modelo Tarifário'!$E$40)*('Premissas Economias e Água'!U276),('Premissas Economias e Água'!U136*12*'Modelo Tarifário'!$D$29*'Modelo Tarifário'!$C$53*'Modelo Tarifário'!$E$40))</f>
        <v>69210.134726547214</v>
      </c>
      <c r="U15" s="1340">
        <f>IF(((U8*'Modelo Tarifário'!$C$53*'Modelo Tarifário'!$E$40)*('Premissas Economias e Água'!V276))&gt;('Premissas Economias e Água'!V136*12*'Modelo Tarifário'!$D$29*'Modelo Tarifário'!$C$53*'Modelo Tarifário'!$E$40),(U8*'Modelo Tarifário'!$C$53*'Modelo Tarifário'!$E$40)*('Premissas Economias e Água'!V276),('Premissas Economias e Água'!V136*12*'Modelo Tarifário'!$D$29*'Modelo Tarifário'!$C$53*'Modelo Tarifário'!$E$40))</f>
        <v>68537.055192208689</v>
      </c>
      <c r="V15" s="1340">
        <f>IF(((V8*'Modelo Tarifário'!$C$53*'Modelo Tarifário'!$E$40)*('Premissas Economias e Água'!W276))&gt;('Premissas Economias e Água'!W136*12*'Modelo Tarifário'!$D$29*'Modelo Tarifário'!$C$53*'Modelo Tarifário'!$E$40),(V8*'Modelo Tarifário'!$C$53*'Modelo Tarifário'!$E$40)*('Premissas Economias e Água'!W276),('Premissas Economias e Água'!W136*12*'Modelo Tarifário'!$D$29*'Modelo Tarifário'!$C$53*'Modelo Tarifário'!$E$40))</f>
        <v>67863.975657870178</v>
      </c>
      <c r="W15" s="1340">
        <f>IF(((W8*'Modelo Tarifário'!$C$53*'Modelo Tarifário'!$E$40)*('Premissas Economias e Água'!X276))&gt;('Premissas Economias e Água'!X136*12*'Modelo Tarifário'!$D$29*'Modelo Tarifário'!$C$53*'Modelo Tarifário'!$E$40),(W8*'Modelo Tarifário'!$C$53*'Modelo Tarifário'!$E$40)*('Premissas Economias e Água'!X276),('Premissas Economias e Água'!X136*12*'Modelo Tarifário'!$D$29*'Modelo Tarifário'!$C$53*'Modelo Tarifário'!$E$40))</f>
        <v>67190.896123531653</v>
      </c>
      <c r="X15" s="1340">
        <f>IF(((X8*'Modelo Tarifário'!$C$53*'Modelo Tarifário'!$E$40)*('Premissas Economias e Água'!Y276))&gt;('Premissas Economias e Água'!Y136*12*'Modelo Tarifário'!$D$29*'Modelo Tarifário'!$C$53*'Modelo Tarifário'!$E$40),(X8*'Modelo Tarifário'!$C$53*'Modelo Tarifário'!$E$40)*('Premissas Economias e Água'!Y276),('Premissas Economias e Água'!Y136*12*'Modelo Tarifário'!$D$29*'Modelo Tarifário'!$C$53*'Modelo Tarifário'!$E$40))</f>
        <v>66517.816589193142</v>
      </c>
      <c r="Y15" s="1340">
        <f>IF(((Y8*'Modelo Tarifário'!$C$53*'Modelo Tarifário'!$E$40)*('Premissas Economias e Água'!Z276))&gt;('Premissas Economias e Água'!Z136*12*'Modelo Tarifário'!$D$29*'Modelo Tarifário'!$C$53*'Modelo Tarifário'!$E$40),(Y8*'Modelo Tarifário'!$C$53*'Modelo Tarifário'!$E$40)*('Premissas Economias e Água'!Z276),('Premissas Economias e Água'!Z136*12*'Modelo Tarifário'!$D$29*'Modelo Tarifário'!$C$53*'Modelo Tarifário'!$E$40))</f>
        <v>65786.208399694777</v>
      </c>
      <c r="Z15" s="1340">
        <f>IF(((Z8*'Modelo Tarifário'!$C$53*'Modelo Tarifário'!$E$40)*('Premissas Economias e Água'!AA276))&gt;('Premissas Economias e Água'!AA136*12*'Modelo Tarifário'!$D$29*'Modelo Tarifário'!$C$53*'Modelo Tarifário'!$E$40),(Z8*'Modelo Tarifário'!$C$53*'Modelo Tarifário'!$E$40)*('Premissas Economias e Água'!AA276),('Premissas Economias e Água'!AA136*12*'Modelo Tarifário'!$D$29*'Modelo Tarifário'!$C$53*'Modelo Tarifário'!$E$40))</f>
        <v>65113.128865356259</v>
      </c>
      <c r="AA15" s="1340">
        <f>IF(((AA8*'Modelo Tarifário'!$C$53*'Modelo Tarifário'!$E$40)*('Premissas Economias e Água'!AB276))&gt;('Premissas Economias e Água'!AB136*12*'Modelo Tarifário'!$D$29*'Modelo Tarifário'!$C$53*'Modelo Tarifário'!$E$40),(AA8*'Modelo Tarifário'!$C$53*'Modelo Tarifário'!$E$40)*('Premissas Economias e Água'!AB276),('Premissas Economias e Água'!AB136*12*'Modelo Tarifário'!$D$29*'Modelo Tarifário'!$C$53*'Modelo Tarifário'!$E$40))</f>
        <v>64440.049331017733</v>
      </c>
      <c r="AB15" s="1340">
        <f>IF(((AB8*'Modelo Tarifário'!$C$53*'Modelo Tarifário'!$E$40)*('Premissas Economias e Água'!AC276))&gt;('Premissas Economias e Água'!AC136*12*'Modelo Tarifário'!$D$29*'Modelo Tarifário'!$C$53*'Modelo Tarifário'!$E$40),(AB8*'Modelo Tarifário'!$C$53*'Modelo Tarifário'!$E$40)*('Premissas Economias e Água'!AC276),('Premissas Economias e Água'!AC136*12*'Modelo Tarifário'!$D$29*'Modelo Tarifário'!$C$53*'Modelo Tarifário'!$E$40))</f>
        <v>63766.969796679223</v>
      </c>
      <c r="AC15" s="1340">
        <f>IF(((AC8*'Modelo Tarifário'!$C$53*'Modelo Tarifário'!$E$40)*('Premissas Economias e Água'!AD276))&gt;('Premissas Economias e Água'!AD136*12*'Modelo Tarifário'!$D$29*'Modelo Tarifário'!$C$53*'Modelo Tarifário'!$E$40),(AC8*'Modelo Tarifário'!$C$53*'Modelo Tarifário'!$E$40)*('Premissas Economias e Água'!AD276),('Premissas Economias e Água'!AD136*12*'Modelo Tarifário'!$D$29*'Modelo Tarifário'!$C$53*'Modelo Tarifário'!$E$40))</f>
        <v>63093.890262340712</v>
      </c>
      <c r="AD15" s="1340">
        <f>IF(((AD8*'Modelo Tarifário'!$C$53*'Modelo Tarifário'!$E$40)*('Premissas Economias e Água'!AE276))&gt;('Premissas Economias e Água'!AE136*12*'Modelo Tarifário'!$D$29*'Modelo Tarifário'!$C$53*'Modelo Tarifário'!$E$40),(AD8*'Modelo Tarifário'!$C$53*'Modelo Tarifário'!$E$40)*('Premissas Economias e Água'!AE276),('Premissas Economias e Água'!AE136*12*'Modelo Tarifário'!$D$29*'Modelo Tarifário'!$C$53*'Modelo Tarifário'!$E$40))</f>
        <v>62420.810728002194</v>
      </c>
      <c r="AE15" s="1340">
        <f>IF(((AE8*'Modelo Tarifário'!$C$53*'Modelo Tarifário'!$E$40)*('Premissas Economias e Água'!AF276))&gt;('Premissas Economias e Água'!AF136*12*'Modelo Tarifário'!$D$29*'Modelo Tarifário'!$C$53*'Modelo Tarifário'!$E$40),(AE8*'Modelo Tarifário'!$C$53*'Modelo Tarifário'!$E$40)*('Premissas Economias e Água'!AF276),('Premissas Economias e Água'!AF136*12*'Modelo Tarifário'!$D$29*'Modelo Tarifário'!$C$53*'Modelo Tarifário'!$E$40))</f>
        <v>61747.731193663683</v>
      </c>
      <c r="AF15" s="1340">
        <f>IF(((AF8*'Modelo Tarifário'!$C$53*'Modelo Tarifário'!$E$40)*('Premissas Economias e Água'!AG276))&gt;('Premissas Economias e Água'!AG136*12*'Modelo Tarifário'!$D$29*'Modelo Tarifário'!$C$53*'Modelo Tarifário'!$E$40),(AF8*'Modelo Tarifário'!$C$53*'Modelo Tarifário'!$E$40)*('Premissas Economias e Água'!AG276),('Premissas Economias e Água'!AG136*12*'Modelo Tarifário'!$D$29*'Modelo Tarifário'!$C$53*'Modelo Tarifário'!$E$40))</f>
        <v>61074.651659325158</v>
      </c>
      <c r="AG15" s="1340">
        <f>IF(((AG8*'Modelo Tarifário'!$C$53*'Modelo Tarifário'!$E$40)*('Premissas Economias e Água'!AH276))&gt;('Premissas Economias e Água'!AH136*12*'Modelo Tarifário'!$D$29*'Modelo Tarifário'!$C$53*'Modelo Tarifário'!$E$40),(AG8*'Modelo Tarifário'!$C$53*'Modelo Tarifário'!$E$40)*('Premissas Economias e Água'!AH276),('Premissas Economias e Água'!AH136*12*'Modelo Tarifário'!$D$29*'Modelo Tarifário'!$C$53*'Modelo Tarifário'!$E$40))</f>
        <v>60401.572124986655</v>
      </c>
      <c r="AH15" s="1340">
        <f>IF(((AH8*'Modelo Tarifário'!$C$53*'Modelo Tarifário'!$E$40)*('Premissas Economias e Água'!AI276))&gt;('Premissas Economias e Água'!AI136*12*'Modelo Tarifário'!$D$29*'Modelo Tarifário'!$C$53*'Modelo Tarifário'!$E$40),(AH8*'Modelo Tarifário'!$C$53*'Modelo Tarifário'!$E$40)*('Premissas Economias e Água'!AI276),('Premissas Economias e Água'!AI136*12*'Modelo Tarifário'!$D$29*'Modelo Tarifário'!$C$53*'Modelo Tarifário'!$E$40))</f>
        <v>59728.492590648144</v>
      </c>
    </row>
    <row r="16" spans="2:34" s="1335" customFormat="1" ht="10.5" outlineLevel="1" x14ac:dyDescent="0.25">
      <c r="B16" s="1339"/>
      <c r="C16" s="1335" t="s">
        <v>282</v>
      </c>
      <c r="E16" s="1340">
        <f>IF(((E8*'Modelo Tarifário'!$C$53*'Modelo Tarifário'!$E$41)*('Premissas Economias e Água'!F277))&gt;('Premissas Economias e Água'!F137*12*'Modelo Tarifário'!$D$29*'Modelo Tarifário'!$C$53*'Modelo Tarifário'!$E$41),(E8*'Modelo Tarifário'!$C$53*'Modelo Tarifário'!$E$41)*('Premissas Economias e Água'!F277),('Premissas Economias e Água'!F137*12*'Modelo Tarifário'!$D$29*'Modelo Tarifário'!$C$53*'Modelo Tarifário'!$E$41))</f>
        <v>70400.817612960032</v>
      </c>
      <c r="F16" s="1340">
        <f>IF(((F8*'Modelo Tarifário'!$C$53*'Modelo Tarifário'!$E$41)*('Premissas Economias e Água'!G277))&gt;('Premissas Economias e Água'!G137*12*'Modelo Tarifário'!$D$29*'Modelo Tarifário'!$C$53*'Modelo Tarifário'!$E$41),(F8*'Modelo Tarifário'!$C$53*'Modelo Tarifário'!$E$41)*('Premissas Economias e Água'!G277),('Premissas Economias e Água'!G137*12*'Modelo Tarifário'!$D$29*'Modelo Tarifário'!$C$53*'Modelo Tarifário'!$E$41))</f>
        <v>70001.115771856945</v>
      </c>
      <c r="G16" s="1340">
        <f>IF(((G8*'Modelo Tarifário'!$C$53*'Modelo Tarifário'!$E$41)*('Premissas Economias e Água'!H277))&gt;('Premissas Economias e Água'!H137*12*'Modelo Tarifário'!$D$29*'Modelo Tarifário'!$C$53*'Modelo Tarifário'!$E$41),(G8*'Modelo Tarifário'!$C$53*'Modelo Tarifário'!$E$41)*('Premissas Economias e Água'!H277),('Premissas Economias e Água'!H137*12*'Modelo Tarifário'!$D$29*'Modelo Tarifário'!$C$53*'Modelo Tarifário'!$E$41))</f>
        <v>69601.413930753828</v>
      </c>
      <c r="H16" s="1340">
        <f>IF(((H8*'Modelo Tarifário'!$C$53*'Modelo Tarifário'!$E$41)*('Premissas Economias e Água'!I277))&gt;('Premissas Economias e Água'!I137*12*'Modelo Tarifário'!$D$29*'Modelo Tarifário'!$C$53*'Modelo Tarifário'!$E$41),(H8*'Modelo Tarifário'!$C$53*'Modelo Tarifário'!$E$41)*('Premissas Economias e Água'!I277),('Premissas Economias e Água'!I137*12*'Modelo Tarifário'!$D$29*'Modelo Tarifário'!$C$53*'Modelo Tarifário'!$E$41))</f>
        <v>69201.71208965074</v>
      </c>
      <c r="I16" s="1340">
        <f>IF(((I8*'Modelo Tarifário'!$C$53*'Modelo Tarifário'!$E$41)*('Premissas Economias e Água'!J277))&gt;('Premissas Economias e Água'!J137*12*'Modelo Tarifário'!$D$29*'Modelo Tarifário'!$C$53*'Modelo Tarifário'!$E$41),(I8*'Modelo Tarifário'!$C$53*'Modelo Tarifário'!$E$41)*('Premissas Economias e Água'!J277),('Premissas Economias e Água'!J137*12*'Modelo Tarifário'!$D$29*'Modelo Tarifário'!$C$53*'Modelo Tarifário'!$E$41))</f>
        <v>68802.010248547624</v>
      </c>
      <c r="J16" s="1340">
        <f>IF(((J8*'Modelo Tarifário'!$C$53*'Modelo Tarifário'!$E$41)*('Premissas Economias e Água'!K277))&gt;('Premissas Economias e Água'!K137*12*'Modelo Tarifário'!$D$29*'Modelo Tarifário'!$C$53*'Modelo Tarifário'!$E$41),(J8*'Modelo Tarifário'!$C$53*'Modelo Tarifário'!$E$41)*('Premissas Economias e Água'!K277),('Premissas Economias e Água'!K137*12*'Modelo Tarifário'!$D$29*'Modelo Tarifário'!$C$53*'Modelo Tarifário'!$E$41))</f>
        <v>68402.308407444521</v>
      </c>
      <c r="K16" s="1340">
        <f>IF(((K8*'Modelo Tarifário'!$C$53*'Modelo Tarifário'!$E$41)*('Premissas Economias e Água'!L277))&gt;('Premissas Economias e Água'!L137*12*'Modelo Tarifário'!$D$29*'Modelo Tarifário'!$C$53*'Modelo Tarifário'!$E$41),(K8*'Modelo Tarifário'!$C$53*'Modelo Tarifário'!$E$41)*('Premissas Economias e Água'!L277),('Premissas Economias e Água'!L137*12*'Modelo Tarifário'!$D$29*'Modelo Tarifário'!$C$53*'Modelo Tarifário'!$E$41))</f>
        <v>67896.019408713924</v>
      </c>
      <c r="L16" s="1340">
        <f>IF(((L8*'Modelo Tarifário'!$C$53*'Modelo Tarifário'!$E$41)*('Premissas Economias e Água'!M277))&gt;('Premissas Economias e Água'!M137*12*'Modelo Tarifário'!$D$29*'Modelo Tarifário'!$C$53*'Modelo Tarifário'!$E$41),(L8*'Modelo Tarifário'!$C$53*'Modelo Tarifário'!$E$41)*('Premissas Economias e Água'!M277),('Premissas Economias e Água'!M137*12*'Modelo Tarifário'!$D$29*'Modelo Tarifário'!$C$53*'Modelo Tarifário'!$E$41))</f>
        <v>67389.730409983327</v>
      </c>
      <c r="M16" s="1340">
        <f>IF(((M8*'Modelo Tarifário'!$C$53*'Modelo Tarifário'!$E$41)*('Premissas Economias e Água'!N277))&gt;('Premissas Economias e Água'!N137*12*'Modelo Tarifário'!$D$29*'Modelo Tarifário'!$C$53*'Modelo Tarifário'!$E$41),(M8*'Modelo Tarifário'!$C$53*'Modelo Tarifário'!$E$41)*('Premissas Economias e Água'!N277),('Premissas Economias e Água'!N137*12*'Modelo Tarifário'!$D$29*'Modelo Tarifário'!$C$53*'Modelo Tarifário'!$E$41))</f>
        <v>66883.44141125273</v>
      </c>
      <c r="N16" s="1340">
        <f>IF(((N8*'Modelo Tarifário'!$C$53*'Modelo Tarifário'!$E$41)*('Premissas Economias e Água'!O277))&gt;('Premissas Economias e Água'!O137*12*'Modelo Tarifário'!$D$29*'Modelo Tarifário'!$C$53*'Modelo Tarifário'!$E$41),(N8*'Modelo Tarifário'!$C$53*'Modelo Tarifário'!$E$41)*('Premissas Economias e Água'!O277),('Premissas Economias e Água'!O137*12*'Modelo Tarifário'!$D$29*'Modelo Tarifário'!$C$53*'Modelo Tarifário'!$E$41))</f>
        <v>66377.152412522119</v>
      </c>
      <c r="O16" s="1340">
        <f>IF(((O8*'Modelo Tarifário'!$C$53*'Modelo Tarifário'!$E$41)*('Premissas Economias e Água'!P277))&gt;('Premissas Economias e Água'!P137*12*'Modelo Tarifário'!$D$29*'Modelo Tarifário'!$C$53*'Modelo Tarifário'!$E$41),(O8*'Modelo Tarifário'!$C$53*'Modelo Tarifário'!$E$41)*('Premissas Economias e Água'!P277),('Premissas Economias e Água'!P137*12*'Modelo Tarifário'!$D$29*'Modelo Tarifário'!$C$53*'Modelo Tarifário'!$E$41))</f>
        <v>65924.156992605276</v>
      </c>
      <c r="P16" s="1340">
        <f>IF(((P8*'Modelo Tarifário'!$C$53*'Modelo Tarifário'!$E$41)*('Premissas Economias e Água'!Q277))&gt;('Premissas Economias e Água'!Q137*12*'Modelo Tarifário'!$D$29*'Modelo Tarifário'!$C$53*'Modelo Tarifário'!$E$41),(P8*'Modelo Tarifário'!$C$53*'Modelo Tarifário'!$E$41)*('Premissas Economias e Água'!Q277),('Premissas Economias e Água'!Q137*12*'Modelo Tarifário'!$D$29*'Modelo Tarifário'!$C$53*'Modelo Tarifário'!$E$41))</f>
        <v>65337.927625654054</v>
      </c>
      <c r="Q16" s="1340">
        <f>IF(((Q8*'Modelo Tarifário'!$C$53*'Modelo Tarifário'!$E$41)*('Premissas Economias e Água'!R277))&gt;('Premissas Economias e Água'!R137*12*'Modelo Tarifário'!$D$29*'Modelo Tarifário'!$C$53*'Modelo Tarifário'!$E$41),(Q8*'Modelo Tarifário'!$C$53*'Modelo Tarifário'!$E$41)*('Premissas Economias e Água'!R277),('Premissas Economias e Água'!R137*12*'Modelo Tarifário'!$D$29*'Modelo Tarifário'!$C$53*'Modelo Tarifário'!$E$41))</f>
        <v>64751.698258702832</v>
      </c>
      <c r="R16" s="1340">
        <f>IF(((R8*'Modelo Tarifário'!$C$53*'Modelo Tarifário'!$E$41)*('Premissas Economias e Água'!S277))&gt;('Premissas Economias e Água'!S137*12*'Modelo Tarifário'!$D$29*'Modelo Tarifário'!$C$53*'Modelo Tarifário'!$E$41),(R8*'Modelo Tarifário'!$C$53*'Modelo Tarifário'!$E$41)*('Premissas Economias e Água'!S277),('Premissas Economias e Água'!S137*12*'Modelo Tarifário'!$D$29*'Modelo Tarifário'!$C$53*'Modelo Tarifário'!$E$41))</f>
        <v>64165.468891751618</v>
      </c>
      <c r="S16" s="1340">
        <f>IF(((S8*'Modelo Tarifário'!$C$53*'Modelo Tarifário'!$E$41)*('Premissas Economias e Água'!T277))&gt;('Premissas Economias e Água'!T137*12*'Modelo Tarifário'!$D$29*'Modelo Tarifário'!$C$53*'Modelo Tarifário'!$E$41),(S8*'Modelo Tarifário'!$C$53*'Modelo Tarifário'!$E$41)*('Premissas Economias e Água'!T277),('Premissas Economias e Água'!T137*12*'Modelo Tarifário'!$D$29*'Modelo Tarifário'!$C$53*'Modelo Tarifário'!$E$41))</f>
        <v>63579.239524800403</v>
      </c>
      <c r="T16" s="1340">
        <f>IF(((T8*'Modelo Tarifário'!$C$53*'Modelo Tarifário'!$E$41)*('Premissas Economias e Água'!U277))&gt;('Premissas Economias e Água'!U137*12*'Modelo Tarifário'!$D$29*'Modelo Tarifário'!$C$53*'Modelo Tarifário'!$E$41),(T8*'Modelo Tarifário'!$C$53*'Modelo Tarifário'!$E$41)*('Premissas Economias e Água'!U277),('Premissas Economias e Água'!U137*12*'Modelo Tarifário'!$D$29*'Modelo Tarifário'!$C$53*'Modelo Tarifário'!$E$41))</f>
        <v>63019.656947256051</v>
      </c>
      <c r="U16" s="1340">
        <f>IF(((U8*'Modelo Tarifário'!$C$53*'Modelo Tarifário'!$E$41)*('Premissas Economias e Água'!V277))&gt;('Premissas Economias e Água'!V137*12*'Modelo Tarifário'!$D$29*'Modelo Tarifário'!$C$53*'Modelo Tarifário'!$E$41),(U8*'Modelo Tarifário'!$C$53*'Modelo Tarifário'!$E$41)*('Premissas Economias e Água'!V277),('Premissas Economias e Água'!V137*12*'Modelo Tarifário'!$D$29*'Modelo Tarifário'!$C$53*'Modelo Tarifário'!$E$41))</f>
        <v>62406.780790897952</v>
      </c>
      <c r="V16" s="1340">
        <f>IF(((V8*'Modelo Tarifário'!$C$53*'Modelo Tarifário'!$E$41)*('Premissas Economias e Água'!W277))&gt;('Premissas Economias e Água'!W137*12*'Modelo Tarifário'!$D$29*'Modelo Tarifário'!$C$53*'Modelo Tarifário'!$E$41),(V8*'Modelo Tarifário'!$C$53*'Modelo Tarifário'!$E$41)*('Premissas Economias e Água'!W277),('Premissas Economias e Água'!W137*12*'Modelo Tarifário'!$D$29*'Modelo Tarifário'!$C$53*'Modelo Tarifário'!$E$41))</f>
        <v>61793.904634539867</v>
      </c>
      <c r="W16" s="1340">
        <f>IF(((W8*'Modelo Tarifário'!$C$53*'Modelo Tarifário'!$E$41)*('Premissas Economias e Água'!X277))&gt;('Premissas Economias e Água'!X137*12*'Modelo Tarifário'!$D$29*'Modelo Tarifário'!$C$53*'Modelo Tarifário'!$E$41),(W8*'Modelo Tarifário'!$C$53*'Modelo Tarifário'!$E$41)*('Premissas Economias e Água'!X277),('Premissas Economias e Água'!X137*12*'Modelo Tarifário'!$D$29*'Modelo Tarifário'!$C$53*'Modelo Tarifário'!$E$41))</f>
        <v>61181.028478181775</v>
      </c>
      <c r="X16" s="1340">
        <f>IF(((X8*'Modelo Tarifário'!$C$53*'Modelo Tarifário'!$E$41)*('Premissas Economias e Água'!Y277))&gt;('Premissas Economias e Água'!Y137*12*'Modelo Tarifário'!$D$29*'Modelo Tarifário'!$C$53*'Modelo Tarifário'!$E$41),(X8*'Modelo Tarifário'!$C$53*'Modelo Tarifário'!$E$41)*('Premissas Economias e Água'!Y277),('Premissas Economias e Água'!Y137*12*'Modelo Tarifário'!$D$29*'Modelo Tarifário'!$C$53*'Modelo Tarifário'!$E$41))</f>
        <v>60568.152321823676</v>
      </c>
      <c r="Y16" s="1340">
        <f>IF(((Y8*'Modelo Tarifário'!$C$53*'Modelo Tarifário'!$E$41)*('Premissas Economias e Água'!Z277))&gt;('Premissas Economias e Água'!Z137*12*'Modelo Tarifário'!$D$29*'Modelo Tarifário'!$C$53*'Modelo Tarifário'!$E$41),(Y8*'Modelo Tarifário'!$C$53*'Modelo Tarifário'!$E$41)*('Premissas Economias e Água'!Z277),('Premissas Economias e Água'!Z137*12*'Modelo Tarifário'!$D$29*'Modelo Tarifário'!$C$53*'Modelo Tarifário'!$E$41))</f>
        <v>59901.982586651844</v>
      </c>
      <c r="Z16" s="1340">
        <f>IF(((Z8*'Modelo Tarifário'!$C$53*'Modelo Tarifário'!$E$41)*('Premissas Economias e Água'!AA277))&gt;('Premissas Economias e Água'!AA137*12*'Modelo Tarifário'!$D$29*'Modelo Tarifário'!$C$53*'Modelo Tarifário'!$E$41),(Z8*'Modelo Tarifário'!$C$53*'Modelo Tarifário'!$E$41)*('Premissas Economias e Água'!AA277),('Premissas Economias e Água'!AA137*12*'Modelo Tarifário'!$D$29*'Modelo Tarifário'!$C$53*'Modelo Tarifário'!$E$41))</f>
        <v>59289.106430293745</v>
      </c>
      <c r="AA16" s="1340">
        <f>IF(((AA8*'Modelo Tarifário'!$C$53*'Modelo Tarifário'!$E$41)*('Premissas Economias e Água'!AB277))&gt;('Premissas Economias e Água'!AB137*12*'Modelo Tarifário'!$D$29*'Modelo Tarifário'!$C$53*'Modelo Tarifário'!$E$41),(AA8*'Modelo Tarifário'!$C$53*'Modelo Tarifário'!$E$41)*('Premissas Economias e Água'!AB277),('Premissas Economias e Água'!AB137*12*'Modelo Tarifário'!$D$29*'Modelo Tarifário'!$C$53*'Modelo Tarifário'!$E$41))</f>
        <v>58676.23027393566</v>
      </c>
      <c r="AB16" s="1340">
        <f>IF(((AB8*'Modelo Tarifário'!$C$53*'Modelo Tarifário'!$E$41)*('Premissas Economias e Água'!AC277))&gt;('Premissas Economias e Água'!AC137*12*'Modelo Tarifário'!$D$29*'Modelo Tarifário'!$C$53*'Modelo Tarifário'!$E$41),(AB8*'Modelo Tarifário'!$C$53*'Modelo Tarifário'!$E$41)*('Premissas Economias e Água'!AC277),('Premissas Economias e Água'!AC137*12*'Modelo Tarifário'!$D$29*'Modelo Tarifário'!$C$53*'Modelo Tarifário'!$E$41))</f>
        <v>58063.354117577568</v>
      </c>
      <c r="AC16" s="1340">
        <f>IF(((AC8*'Modelo Tarifário'!$C$53*'Modelo Tarifário'!$E$41)*('Premissas Economias e Água'!AD277))&gt;('Premissas Economias e Água'!AD137*12*'Modelo Tarifário'!$D$29*'Modelo Tarifário'!$C$53*'Modelo Tarifário'!$E$41),(AC8*'Modelo Tarifário'!$C$53*'Modelo Tarifário'!$E$41)*('Premissas Economias e Água'!AD277),('Premissas Economias e Água'!AD137*12*'Modelo Tarifário'!$D$29*'Modelo Tarifário'!$C$53*'Modelo Tarifário'!$E$41))</f>
        <v>57450.477961219469</v>
      </c>
      <c r="AD16" s="1340">
        <f>IF(((AD8*'Modelo Tarifário'!$C$53*'Modelo Tarifário'!$E$41)*('Premissas Economias e Água'!AE277))&gt;('Premissas Economias e Água'!AE137*12*'Modelo Tarifário'!$D$29*'Modelo Tarifário'!$C$53*'Modelo Tarifário'!$E$41),(AD8*'Modelo Tarifário'!$C$53*'Modelo Tarifário'!$E$41)*('Premissas Economias e Água'!AE277),('Premissas Economias e Água'!AE137*12*'Modelo Tarifário'!$D$29*'Modelo Tarifário'!$C$53*'Modelo Tarifário'!$E$41))</f>
        <v>56837.601804861377</v>
      </c>
      <c r="AE16" s="1340">
        <f>IF(((AE8*'Modelo Tarifário'!$C$53*'Modelo Tarifário'!$E$41)*('Premissas Economias e Água'!AF277))&gt;('Premissas Economias e Água'!AF137*12*'Modelo Tarifário'!$D$29*'Modelo Tarifário'!$C$53*'Modelo Tarifário'!$E$41),(AE8*'Modelo Tarifário'!$C$53*'Modelo Tarifário'!$E$41)*('Premissas Economias e Água'!AF277),('Premissas Economias e Água'!AF137*12*'Modelo Tarifário'!$D$29*'Modelo Tarifário'!$C$53*'Modelo Tarifário'!$E$41))</f>
        <v>56224.725648503292</v>
      </c>
      <c r="AF16" s="1340">
        <f>IF(((AF8*'Modelo Tarifário'!$C$53*'Modelo Tarifário'!$E$41)*('Premissas Economias e Água'!AG277))&gt;('Premissas Economias e Água'!AG137*12*'Modelo Tarifário'!$D$29*'Modelo Tarifário'!$C$53*'Modelo Tarifário'!$E$41),(AF8*'Modelo Tarifário'!$C$53*'Modelo Tarifário'!$E$41)*('Premissas Economias e Água'!AG277),('Premissas Economias e Água'!AG137*12*'Modelo Tarifário'!$D$29*'Modelo Tarifário'!$C$53*'Modelo Tarifário'!$E$41))</f>
        <v>55611.849492145193</v>
      </c>
      <c r="AG16" s="1340">
        <f>IF(((AG8*'Modelo Tarifário'!$C$53*'Modelo Tarifário'!$E$41)*('Premissas Economias e Água'!AH277))&gt;('Premissas Economias e Água'!AH137*12*'Modelo Tarifário'!$D$29*'Modelo Tarifário'!$C$53*'Modelo Tarifário'!$E$41),(AG8*'Modelo Tarifário'!$C$53*'Modelo Tarifário'!$E$41)*('Premissas Economias e Água'!AH277),('Premissas Economias e Água'!AH137*12*'Modelo Tarifário'!$D$29*'Modelo Tarifário'!$C$53*'Modelo Tarifário'!$E$41))</f>
        <v>54998.973335787108</v>
      </c>
      <c r="AH16" s="1340">
        <f>IF(((AH8*'Modelo Tarifário'!$C$53*'Modelo Tarifário'!$E$41)*('Premissas Economias e Água'!AI277))&gt;('Premissas Economias e Água'!AI137*12*'Modelo Tarifário'!$D$29*'Modelo Tarifário'!$C$53*'Modelo Tarifário'!$E$41),(AH8*'Modelo Tarifário'!$C$53*'Modelo Tarifário'!$E$41)*('Premissas Economias e Água'!AI277),('Premissas Economias e Água'!AI137*12*'Modelo Tarifário'!$D$29*'Modelo Tarifário'!$C$53*'Modelo Tarifário'!$E$41))</f>
        <v>54386.097179429009</v>
      </c>
    </row>
    <row r="17" spans="2:34" s="1335" customFormat="1" ht="10.5" outlineLevel="1" x14ac:dyDescent="0.25">
      <c r="B17" s="1339"/>
      <c r="C17" s="1335" t="s">
        <v>283</v>
      </c>
      <c r="E17" s="1340">
        <f>IF(((E8*'Modelo Tarifário'!$C$53*'Modelo Tarifário'!$E$42)*('Premissas Economias e Água'!F278))&gt;('Premissas Economias e Água'!F138*12*'Modelo Tarifário'!$D$29*'Modelo Tarifário'!$C$53*'Modelo Tarifário'!$E$42),(E8*'Modelo Tarifário'!$C$53*'Modelo Tarifário'!$E$42)*('Premissas Economias e Água'!F278),('Premissas Economias e Água'!F138*12*'Modelo Tarifário'!$D$29*'Modelo Tarifário'!$C$53*'Modelo Tarifário'!$E$42))</f>
        <v>16949.158028450227</v>
      </c>
      <c r="F17" s="1340">
        <f>IF(((F8*'Modelo Tarifário'!$C$53*'Modelo Tarifário'!$E$42)*('Premissas Economias e Água'!G278))&gt;('Premissas Economias e Água'!G138*12*'Modelo Tarifário'!$D$29*'Modelo Tarifário'!$C$53*'Modelo Tarifário'!$E$42),(F8*'Modelo Tarifário'!$C$53*'Modelo Tarifário'!$E$42)*('Premissas Economias e Água'!G278),('Premissas Economias e Água'!G138*12*'Modelo Tarifário'!$D$29*'Modelo Tarifário'!$C$53*'Modelo Tarifário'!$E$42))</f>
        <v>16852.928895056302</v>
      </c>
      <c r="G17" s="1340">
        <f>IF(((G8*'Modelo Tarifário'!$C$53*'Modelo Tarifário'!$E$42)*('Premissas Economias e Água'!H278))&gt;('Premissas Economias e Água'!H138*12*'Modelo Tarifário'!$D$29*'Modelo Tarifário'!$C$53*'Modelo Tarifário'!$E$42),(G8*'Modelo Tarifário'!$C$53*'Modelo Tarifário'!$E$42)*('Premissas Economias e Água'!H278),('Premissas Economias e Água'!H138*12*'Modelo Tarifário'!$D$29*'Modelo Tarifário'!$C$53*'Modelo Tarifário'!$E$42))</f>
        <v>16756.699761662374</v>
      </c>
      <c r="H17" s="1340">
        <f>IF(((H8*'Modelo Tarifário'!$C$53*'Modelo Tarifário'!$E$42)*('Premissas Economias e Água'!I278))&gt;('Premissas Economias e Água'!I138*12*'Modelo Tarifário'!$D$29*'Modelo Tarifário'!$C$53*'Modelo Tarifário'!$E$42),(H8*'Modelo Tarifário'!$C$53*'Modelo Tarifário'!$E$42)*('Premissas Economias e Água'!I278),('Premissas Economias e Água'!I138*12*'Modelo Tarifário'!$D$29*'Modelo Tarifário'!$C$53*'Modelo Tarifário'!$E$42))</f>
        <v>16660.470628268449</v>
      </c>
      <c r="I17" s="1340">
        <f>IF(((I8*'Modelo Tarifário'!$C$53*'Modelo Tarifário'!$E$42)*('Premissas Economias e Água'!J278))&gt;('Premissas Economias e Água'!J138*12*'Modelo Tarifário'!$D$29*'Modelo Tarifário'!$C$53*'Modelo Tarifário'!$E$42),(I8*'Modelo Tarifário'!$C$53*'Modelo Tarifário'!$E$42)*('Premissas Economias e Água'!J278),('Premissas Economias e Água'!J138*12*'Modelo Tarifário'!$D$29*'Modelo Tarifário'!$C$53*'Modelo Tarifário'!$E$42))</f>
        <v>16564.241494874521</v>
      </c>
      <c r="J17" s="1340">
        <f>IF(((J8*'Modelo Tarifário'!$C$53*'Modelo Tarifário'!$E$42)*('Premissas Economias e Água'!K278))&gt;('Premissas Economias e Água'!K138*12*'Modelo Tarifário'!$D$29*'Modelo Tarifário'!$C$53*'Modelo Tarifário'!$E$42),(J8*'Modelo Tarifário'!$C$53*'Modelo Tarifário'!$E$42)*('Premissas Economias e Água'!K278),('Premissas Economias e Água'!K138*12*'Modelo Tarifário'!$D$29*'Modelo Tarifário'!$C$53*'Modelo Tarifário'!$E$42))</f>
        <v>16468.012361480596</v>
      </c>
      <c r="K17" s="1340">
        <f>IF(((K8*'Modelo Tarifário'!$C$53*'Modelo Tarifário'!$E$42)*('Premissas Economias e Água'!L278))&gt;('Premissas Economias e Água'!L138*12*'Modelo Tarifário'!$D$29*'Modelo Tarifário'!$C$53*'Modelo Tarifário'!$E$42),(K8*'Modelo Tarifário'!$C$53*'Modelo Tarifário'!$E$42)*('Premissas Economias e Água'!L278),('Premissas Economias e Água'!L138*12*'Modelo Tarifário'!$D$29*'Modelo Tarifário'!$C$53*'Modelo Tarifário'!$E$42))</f>
        <v>16346.122125848289</v>
      </c>
      <c r="L17" s="1340">
        <f>IF(((L8*'Modelo Tarifário'!$C$53*'Modelo Tarifário'!$E$42)*('Premissas Economias e Água'!M278))&gt;('Premissas Economias e Água'!M138*12*'Modelo Tarifário'!$D$29*'Modelo Tarifário'!$C$53*'Modelo Tarifário'!$E$42),(L8*'Modelo Tarifário'!$C$53*'Modelo Tarifário'!$E$42)*('Premissas Economias e Água'!M278),('Premissas Economias e Água'!M138*12*'Modelo Tarifário'!$D$29*'Modelo Tarifário'!$C$53*'Modelo Tarifário'!$E$42))</f>
        <v>16224.231890215982</v>
      </c>
      <c r="M17" s="1340">
        <f>IF(((M8*'Modelo Tarifário'!$C$53*'Modelo Tarifário'!$E$42)*('Premissas Economias e Água'!N278))&gt;('Premissas Economias e Água'!N138*12*'Modelo Tarifário'!$D$29*'Modelo Tarifário'!$C$53*'Modelo Tarifário'!$E$42),(M8*'Modelo Tarifário'!$C$53*'Modelo Tarifário'!$E$42)*('Premissas Economias e Água'!N278),('Premissas Economias e Água'!N138*12*'Modelo Tarifário'!$D$29*'Modelo Tarifário'!$C$53*'Modelo Tarifário'!$E$42))</f>
        <v>16102.341654583675</v>
      </c>
      <c r="N17" s="1340">
        <f>IF(((N8*'Modelo Tarifário'!$C$53*'Modelo Tarifário'!$E$42)*('Premissas Economias e Água'!O278))&gt;('Premissas Economias e Água'!O138*12*'Modelo Tarifário'!$D$29*'Modelo Tarifário'!$C$53*'Modelo Tarifário'!$E$42),(N8*'Modelo Tarifário'!$C$53*'Modelo Tarifário'!$E$42)*('Premissas Economias e Água'!O278),('Premissas Economias e Água'!O138*12*'Modelo Tarifário'!$D$29*'Modelo Tarifário'!$C$53*'Modelo Tarifário'!$E$42))</f>
        <v>15980.451418951367</v>
      </c>
      <c r="O17" s="1340">
        <f>IF(((O8*'Modelo Tarifário'!$C$53*'Modelo Tarifário'!$E$42)*('Premissas Economias e Água'!P278))&gt;('Premissas Economias e Água'!P138*12*'Modelo Tarifário'!$D$29*'Modelo Tarifário'!$C$53*'Modelo Tarifário'!$E$42),(O8*'Modelo Tarifário'!$C$53*'Modelo Tarifário'!$E$42)*('Premissas Economias e Água'!P278),('Premissas Economias e Água'!P138*12*'Modelo Tarifário'!$D$29*'Modelo Tarifário'!$C$53*'Modelo Tarifário'!$E$42))</f>
        <v>15871.391734438253</v>
      </c>
      <c r="P17" s="1340">
        <f>IF(((P8*'Modelo Tarifário'!$C$53*'Modelo Tarifário'!$E$42)*('Premissas Economias e Água'!Q278))&gt;('Premissas Economias e Água'!Q138*12*'Modelo Tarifário'!$D$29*'Modelo Tarifário'!$C$53*'Modelo Tarifário'!$E$42),(P8*'Modelo Tarifário'!$C$53*'Modelo Tarifário'!$E$42)*('Premissas Economias e Água'!Q278),('Premissas Economias e Água'!Q138*12*'Modelo Tarifário'!$D$29*'Modelo Tarifário'!$C$53*'Modelo Tarifário'!$E$42))</f>
        <v>15730.255672127161</v>
      </c>
      <c r="Q17" s="1340">
        <f>IF(((Q8*'Modelo Tarifário'!$C$53*'Modelo Tarifário'!$E$42)*('Premissas Economias e Água'!R278))&gt;('Premissas Economias e Água'!R138*12*'Modelo Tarifário'!$D$29*'Modelo Tarifário'!$C$53*'Modelo Tarifário'!$E$42),(Q8*'Modelo Tarifário'!$C$53*'Modelo Tarifário'!$E$42)*('Premissas Economias e Água'!R278),('Premissas Economias e Água'!R138*12*'Modelo Tarifário'!$D$29*'Modelo Tarifário'!$C$53*'Modelo Tarifário'!$E$42))</f>
        <v>15589.119609816069</v>
      </c>
      <c r="R17" s="1340">
        <f>IF(((R8*'Modelo Tarifário'!$C$53*'Modelo Tarifário'!$E$42)*('Premissas Economias e Água'!S278))&gt;('Premissas Economias e Água'!S138*12*'Modelo Tarifário'!$D$29*'Modelo Tarifário'!$C$53*'Modelo Tarifário'!$E$42),(R8*'Modelo Tarifário'!$C$53*'Modelo Tarifário'!$E$42)*('Premissas Economias e Água'!S278),('Premissas Economias e Água'!S138*12*'Modelo Tarifário'!$D$29*'Modelo Tarifário'!$C$53*'Modelo Tarifário'!$E$42))</f>
        <v>15447.983547504979</v>
      </c>
      <c r="S17" s="1340">
        <f>IF(((S8*'Modelo Tarifário'!$C$53*'Modelo Tarifário'!$E$42)*('Premissas Economias e Água'!T278))&gt;('Premissas Economias e Água'!T138*12*'Modelo Tarifário'!$D$29*'Modelo Tarifário'!$C$53*'Modelo Tarifário'!$E$42),(S8*'Modelo Tarifário'!$C$53*'Modelo Tarifário'!$E$42)*('Premissas Economias e Água'!T278),('Premissas Economias e Água'!T138*12*'Modelo Tarifário'!$D$29*'Modelo Tarifário'!$C$53*'Modelo Tarifário'!$E$42))</f>
        <v>15306.847485193883</v>
      </c>
      <c r="T17" s="1340">
        <f>IF(((T8*'Modelo Tarifário'!$C$53*'Modelo Tarifário'!$E$42)*('Premissas Economias e Água'!U278))&gt;('Premissas Economias e Água'!U138*12*'Modelo Tarifário'!$D$29*'Modelo Tarifário'!$C$53*'Modelo Tarifário'!$E$42),(T8*'Modelo Tarifário'!$C$53*'Modelo Tarifário'!$E$42)*('Premissas Economias e Água'!U278),('Premissas Economias e Água'!U138*12*'Modelo Tarifário'!$D$29*'Modelo Tarifário'!$C$53*'Modelo Tarifário'!$E$42))</f>
        <v>15172.126698442387</v>
      </c>
      <c r="U17" s="1340">
        <f>IF(((U8*'Modelo Tarifário'!$C$53*'Modelo Tarifário'!$E$42)*('Premissas Economias e Água'!V278))&gt;('Premissas Economias e Água'!V138*12*'Modelo Tarifário'!$D$29*'Modelo Tarifário'!$C$53*'Modelo Tarifário'!$E$42),(U8*'Modelo Tarifário'!$C$53*'Modelo Tarifário'!$E$42)*('Premissas Economias e Água'!V278),('Premissas Economias e Água'!V138*12*'Modelo Tarifário'!$D$29*'Modelo Tarifário'!$C$53*'Modelo Tarifário'!$E$42))</f>
        <v>15024.5753605717</v>
      </c>
      <c r="V17" s="1340">
        <f>IF(((V8*'Modelo Tarifário'!$C$53*'Modelo Tarifário'!$E$42)*('Premissas Economias e Água'!W278))&gt;('Premissas Economias e Água'!W138*12*'Modelo Tarifário'!$D$29*'Modelo Tarifário'!$C$53*'Modelo Tarifário'!$E$42),(V8*'Modelo Tarifário'!$C$53*'Modelo Tarifário'!$E$42)*('Premissas Economias e Água'!W278),('Premissas Economias e Água'!W138*12*'Modelo Tarifário'!$D$29*'Modelo Tarifário'!$C$53*'Modelo Tarifário'!$E$42))</f>
        <v>14877.024022701013</v>
      </c>
      <c r="W17" s="1340">
        <f>IF(((W8*'Modelo Tarifário'!$C$53*'Modelo Tarifário'!$E$42)*('Premissas Economias e Água'!X278))&gt;('Premissas Economias e Água'!X138*12*'Modelo Tarifário'!$D$29*'Modelo Tarifário'!$C$53*'Modelo Tarifário'!$E$42),(W8*'Modelo Tarifário'!$C$53*'Modelo Tarifário'!$E$42)*('Premissas Economias e Água'!X278),('Premissas Economias e Água'!X138*12*'Modelo Tarifário'!$D$29*'Modelo Tarifário'!$C$53*'Modelo Tarifário'!$E$42))</f>
        <v>14729.472684830327</v>
      </c>
      <c r="X17" s="1340">
        <f>IF(((X8*'Modelo Tarifário'!$C$53*'Modelo Tarifário'!$E$42)*('Premissas Economias e Água'!Y278))&gt;('Premissas Economias e Água'!Y138*12*'Modelo Tarifário'!$D$29*'Modelo Tarifário'!$C$53*'Modelo Tarifário'!$E$42),(X8*'Modelo Tarifário'!$C$53*'Modelo Tarifário'!$E$42)*('Premissas Economias e Água'!Y278),('Premissas Economias e Água'!Y138*12*'Modelo Tarifário'!$D$29*'Modelo Tarifário'!$C$53*'Modelo Tarifário'!$E$42))</f>
        <v>14581.92134695964</v>
      </c>
      <c r="Y17" s="1340">
        <f>IF(((Y8*'Modelo Tarifário'!$C$53*'Modelo Tarifário'!$E$42)*('Premissas Economias e Água'!Z278))&gt;('Premissas Economias e Água'!Z138*12*'Modelo Tarifário'!$D$29*'Modelo Tarifário'!$C$53*'Modelo Tarifário'!$E$42),(Y8*'Modelo Tarifário'!$C$53*'Modelo Tarifário'!$E$42)*('Premissas Economias e Água'!Z278),('Premissas Economias e Água'!Z138*12*'Modelo Tarifário'!$D$29*'Modelo Tarifário'!$C$53*'Modelo Tarifário'!$E$42))</f>
        <v>14421.539457969762</v>
      </c>
      <c r="Z17" s="1340">
        <f>IF(((Z8*'Modelo Tarifário'!$C$53*'Modelo Tarifário'!$E$42)*('Premissas Economias e Água'!AA278))&gt;('Premissas Economias e Água'!AA138*12*'Modelo Tarifário'!$D$29*'Modelo Tarifário'!$C$53*'Modelo Tarifário'!$E$42),(Z8*'Modelo Tarifário'!$C$53*'Modelo Tarifário'!$E$42)*('Premissas Economias e Água'!AA278),('Premissas Economias e Água'!AA138*12*'Modelo Tarifário'!$D$29*'Modelo Tarifário'!$C$53*'Modelo Tarifário'!$E$42))</f>
        <v>14273.988120099075</v>
      </c>
      <c r="AA17" s="1340">
        <f>IF(((AA8*'Modelo Tarifário'!$C$53*'Modelo Tarifário'!$E$42)*('Premissas Economias e Água'!AB278))&gt;('Premissas Economias e Água'!AB138*12*'Modelo Tarifário'!$D$29*'Modelo Tarifário'!$C$53*'Modelo Tarifário'!$E$42),(AA8*'Modelo Tarifário'!$C$53*'Modelo Tarifário'!$E$42)*('Premissas Economias e Água'!AB278),('Premissas Economias e Água'!AB138*12*'Modelo Tarifário'!$D$29*'Modelo Tarifário'!$C$53*'Modelo Tarifário'!$E$42))</f>
        <v>14126.436782228389</v>
      </c>
      <c r="AB17" s="1340">
        <f>IF(((AB8*'Modelo Tarifário'!$C$53*'Modelo Tarifário'!$E$42)*('Premissas Economias e Água'!AC278))&gt;('Premissas Economias e Água'!AC138*12*'Modelo Tarifário'!$D$29*'Modelo Tarifário'!$C$53*'Modelo Tarifário'!$E$42),(AB8*'Modelo Tarifário'!$C$53*'Modelo Tarifário'!$E$42)*('Premissas Economias e Água'!AC278),('Premissas Economias e Água'!AC138*12*'Modelo Tarifário'!$D$29*'Modelo Tarifário'!$C$53*'Modelo Tarifário'!$E$42))</f>
        <v>13978.885444357702</v>
      </c>
      <c r="AC17" s="1340">
        <f>IF(((AC8*'Modelo Tarifário'!$C$53*'Modelo Tarifário'!$E$42)*('Premissas Economias e Água'!AD278))&gt;('Premissas Economias e Água'!AD138*12*'Modelo Tarifário'!$D$29*'Modelo Tarifário'!$C$53*'Modelo Tarifário'!$E$42),(AC8*'Modelo Tarifário'!$C$53*'Modelo Tarifário'!$E$42)*('Premissas Economias e Água'!AD278),('Premissas Economias e Água'!AD138*12*'Modelo Tarifário'!$D$29*'Modelo Tarifário'!$C$53*'Modelo Tarifário'!$E$42))</f>
        <v>13831.334106487015</v>
      </c>
      <c r="AD17" s="1340">
        <f>IF(((AD8*'Modelo Tarifário'!$C$53*'Modelo Tarifário'!$E$42)*('Premissas Economias e Água'!AE278))&gt;('Premissas Economias e Água'!AE138*12*'Modelo Tarifário'!$D$29*'Modelo Tarifário'!$C$53*'Modelo Tarifário'!$E$42),(AD8*'Modelo Tarifário'!$C$53*'Modelo Tarifário'!$E$42)*('Premissas Economias e Água'!AE278),('Premissas Economias e Água'!AE138*12*'Modelo Tarifário'!$D$29*'Modelo Tarifário'!$C$53*'Modelo Tarifário'!$E$42))</f>
        <v>13683.782768616327</v>
      </c>
      <c r="AE17" s="1340">
        <f>IF(((AE8*'Modelo Tarifário'!$C$53*'Modelo Tarifário'!$E$42)*('Premissas Economias e Água'!AF278))&gt;('Premissas Economias e Água'!AF138*12*'Modelo Tarifário'!$D$29*'Modelo Tarifário'!$C$53*'Modelo Tarifário'!$E$42),(AE8*'Modelo Tarifário'!$C$53*'Modelo Tarifário'!$E$42)*('Premissas Economias e Água'!AF278),('Premissas Economias e Água'!AF138*12*'Modelo Tarifário'!$D$29*'Modelo Tarifário'!$C$53*'Modelo Tarifário'!$E$42))</f>
        <v>13536.231430745638</v>
      </c>
      <c r="AF17" s="1340">
        <f>IF(((AF8*'Modelo Tarifário'!$C$53*'Modelo Tarifário'!$E$42)*('Premissas Economias e Água'!AG278))&gt;('Premissas Economias e Água'!AG138*12*'Modelo Tarifário'!$D$29*'Modelo Tarifário'!$C$53*'Modelo Tarifário'!$E$42),(AF8*'Modelo Tarifário'!$C$53*'Modelo Tarifário'!$E$42)*('Premissas Economias e Água'!AG278),('Premissas Economias e Água'!AG138*12*'Modelo Tarifário'!$D$29*'Modelo Tarifário'!$C$53*'Modelo Tarifário'!$E$42))</f>
        <v>13388.680092874951</v>
      </c>
      <c r="AG17" s="1340">
        <f>IF(((AG8*'Modelo Tarifário'!$C$53*'Modelo Tarifário'!$E$42)*('Premissas Economias e Água'!AH278))&gt;('Premissas Economias e Água'!AH138*12*'Modelo Tarifário'!$D$29*'Modelo Tarifário'!$C$53*'Modelo Tarifário'!$E$42),(AG8*'Modelo Tarifário'!$C$53*'Modelo Tarifário'!$E$42)*('Premissas Economias e Água'!AH278),('Premissas Economias e Água'!AH138*12*'Modelo Tarifário'!$D$29*'Modelo Tarifário'!$C$53*'Modelo Tarifário'!$E$42))</f>
        <v>13241.128755004265</v>
      </c>
      <c r="AH17" s="1340">
        <f>IF(((AH8*'Modelo Tarifário'!$C$53*'Modelo Tarifário'!$E$42)*('Premissas Economias e Água'!AI278))&gt;('Premissas Economias e Água'!AI138*12*'Modelo Tarifário'!$D$29*'Modelo Tarifário'!$C$53*'Modelo Tarifário'!$E$42),(AH8*'Modelo Tarifário'!$C$53*'Modelo Tarifário'!$E$42)*('Premissas Economias e Água'!AI278),('Premissas Economias e Água'!AI138*12*'Modelo Tarifário'!$D$29*'Modelo Tarifário'!$C$53*'Modelo Tarifário'!$E$42))</f>
        <v>13093.577417133582</v>
      </c>
    </row>
    <row r="18" spans="2:34" s="1335" customFormat="1" ht="10.5" outlineLevel="1" x14ac:dyDescent="0.25">
      <c r="B18" s="1339"/>
      <c r="C18" s="1335" t="s">
        <v>12</v>
      </c>
      <c r="E18" s="1340">
        <f>IF(((E8*'Modelo Tarifário'!$C$53*'Modelo Tarifário'!$E$43)*('Premissas Economias e Água'!F279))&gt;('Premissas Economias e Água'!F139*12*'Modelo Tarifário'!$D$29*'Modelo Tarifário'!$C$53*'Modelo Tarifário'!$E$43),(E8*'Modelo Tarifário'!$C$53*'Modelo Tarifário'!$E$43)*('Premissas Economias e Água'!F279),('Premissas Economias e Água'!F139*12*'Modelo Tarifário'!$D$29*'Modelo Tarifário'!$C$53*'Modelo Tarifário'!$E$43))</f>
        <v>15488.470005421796</v>
      </c>
      <c r="F18" s="1340">
        <f>IF(((F8*'Modelo Tarifário'!$C$53*'Modelo Tarifário'!$E$43)*('Premissas Economias e Água'!G279))&gt;('Premissas Economias e Água'!G139*12*'Modelo Tarifário'!$D$29*'Modelo Tarifário'!$C$53*'Modelo Tarifário'!$E$43),(F8*'Modelo Tarifário'!$C$53*'Modelo Tarifário'!$E$43)*('Premissas Economias e Água'!G279),('Premissas Economias e Água'!G139*12*'Modelo Tarifário'!$D$29*'Modelo Tarifário'!$C$53*'Modelo Tarifário'!$E$43))</f>
        <v>15400.533953157856</v>
      </c>
      <c r="G18" s="1340">
        <f>IF(((G8*'Modelo Tarifário'!$C$53*'Modelo Tarifário'!$E$43)*('Premissas Economias e Água'!H279))&gt;('Premissas Economias e Água'!H139*12*'Modelo Tarifário'!$D$29*'Modelo Tarifário'!$C$53*'Modelo Tarifário'!$E$43),(G8*'Modelo Tarifário'!$C$53*'Modelo Tarifário'!$E$43)*('Premissas Economias e Água'!H279),('Premissas Economias e Água'!H139*12*'Modelo Tarifário'!$D$29*'Modelo Tarifário'!$C$53*'Modelo Tarifário'!$E$43))</f>
        <v>15312.597900893918</v>
      </c>
      <c r="H18" s="1340">
        <f>IF(((H8*'Modelo Tarifário'!$C$53*'Modelo Tarifário'!$E$43)*('Premissas Economias e Água'!I279))&gt;('Premissas Economias e Água'!I139*12*'Modelo Tarifário'!$D$29*'Modelo Tarifário'!$C$53*'Modelo Tarifário'!$E$43),(H8*'Modelo Tarifário'!$C$53*'Modelo Tarifário'!$E$43)*('Premissas Economias e Água'!I279),('Premissas Economias e Água'!I139*12*'Modelo Tarifário'!$D$29*'Modelo Tarifário'!$C$53*'Modelo Tarifário'!$E$43))</f>
        <v>15224.661848629979</v>
      </c>
      <c r="I18" s="1340">
        <f>IF(((I8*'Modelo Tarifário'!$C$53*'Modelo Tarifário'!$E$43)*('Premissas Economias e Água'!J279))&gt;('Premissas Economias e Água'!J139*12*'Modelo Tarifário'!$D$29*'Modelo Tarifário'!$C$53*'Modelo Tarifário'!$E$43),(I8*'Modelo Tarifário'!$C$53*'Modelo Tarifário'!$E$43)*('Premissas Economias e Água'!J279),('Premissas Economias e Água'!J139*12*'Modelo Tarifário'!$D$29*'Modelo Tarifário'!$C$53*'Modelo Tarifário'!$E$43))</f>
        <v>15136.72579636604</v>
      </c>
      <c r="J18" s="1340">
        <f>IF(((J8*'Modelo Tarifário'!$C$53*'Modelo Tarifário'!$E$43)*('Premissas Economias e Água'!K279))&gt;('Premissas Economias e Água'!K139*12*'Modelo Tarifário'!$D$29*'Modelo Tarifário'!$C$53*'Modelo Tarifário'!$E$43),(J8*'Modelo Tarifário'!$C$53*'Modelo Tarifário'!$E$43)*('Premissas Economias e Água'!K279),('Premissas Economias e Água'!K139*12*'Modelo Tarifário'!$D$29*'Modelo Tarifário'!$C$53*'Modelo Tarifário'!$E$43))</f>
        <v>15048.789744102101</v>
      </c>
      <c r="K18" s="1340">
        <f>IF(((K8*'Modelo Tarifário'!$C$53*'Modelo Tarifário'!$E$43)*('Premissas Economias e Água'!L279))&gt;('Premissas Economias e Água'!L139*12*'Modelo Tarifário'!$D$29*'Modelo Tarifário'!$C$53*'Modelo Tarifário'!$E$43),(K8*'Modelo Tarifário'!$C$53*'Modelo Tarifário'!$E$43)*('Premissas Economias e Água'!L279),('Premissas Economias e Água'!L139*12*'Modelo Tarifário'!$D$29*'Modelo Tarifário'!$C$53*'Modelo Tarifário'!$E$43))</f>
        <v>14937.404077901112</v>
      </c>
      <c r="L18" s="1340">
        <f>IF(((L8*'Modelo Tarifário'!$C$53*'Modelo Tarifário'!$E$43)*('Premissas Economias e Água'!M279))&gt;('Premissas Economias e Água'!M139*12*'Modelo Tarifário'!$D$29*'Modelo Tarifário'!$C$53*'Modelo Tarifário'!$E$43),(L8*'Modelo Tarifário'!$C$53*'Modelo Tarifário'!$E$43)*('Premissas Economias e Água'!M279),('Premissas Economias e Água'!M139*12*'Modelo Tarifário'!$D$29*'Modelo Tarifário'!$C$53*'Modelo Tarifário'!$E$43))</f>
        <v>14826.018411700119</v>
      </c>
      <c r="M18" s="1340">
        <f>IF(((M8*'Modelo Tarifário'!$C$53*'Modelo Tarifário'!$E$43)*('Premissas Economias e Água'!N279))&gt;('Premissas Economias e Água'!N139*12*'Modelo Tarifário'!$D$29*'Modelo Tarifário'!$C$53*'Modelo Tarifário'!$E$43),(M8*'Modelo Tarifário'!$C$53*'Modelo Tarifário'!$E$43)*('Premissas Economias e Água'!N279),('Premissas Economias e Água'!N139*12*'Modelo Tarifário'!$D$29*'Modelo Tarifário'!$C$53*'Modelo Tarifário'!$E$43))</f>
        <v>14714.63274549913</v>
      </c>
      <c r="N18" s="1340">
        <f>IF(((N8*'Modelo Tarifário'!$C$53*'Modelo Tarifário'!$E$43)*('Premissas Economias e Água'!O279))&gt;('Premissas Economias e Água'!O139*12*'Modelo Tarifário'!$D$29*'Modelo Tarifário'!$C$53*'Modelo Tarifário'!$E$43),(N8*'Modelo Tarifário'!$C$53*'Modelo Tarifário'!$E$43)*('Premissas Economias e Água'!O279),('Premissas Economias e Água'!O139*12*'Modelo Tarifário'!$D$29*'Modelo Tarifário'!$C$53*'Modelo Tarifário'!$E$43))</f>
        <v>14603.24707929814</v>
      </c>
      <c r="O18" s="1340">
        <f>IF(((O8*'Modelo Tarifário'!$C$53*'Modelo Tarifário'!$E$43)*('Premissas Economias e Água'!P279))&gt;('Premissas Economias e Água'!P139*12*'Modelo Tarifário'!$D$29*'Modelo Tarifário'!$C$53*'Modelo Tarifário'!$E$43),(O8*'Modelo Tarifário'!$C$53*'Modelo Tarifário'!$E$43)*('Premissas Economias e Água'!P279),('Premissas Economias e Água'!P139*12*'Modelo Tarifário'!$D$29*'Modelo Tarifário'!$C$53*'Modelo Tarifário'!$E$43))</f>
        <v>14503.586220065677</v>
      </c>
      <c r="P18" s="1340">
        <f>IF(((P8*'Modelo Tarifário'!$C$53*'Modelo Tarifário'!$E$43)*('Premissas Economias e Água'!Q279))&gt;('Premissas Economias e Água'!Q139*12*'Modelo Tarifário'!$D$29*'Modelo Tarifário'!$C$53*'Modelo Tarifário'!$E$43),(P8*'Modelo Tarifário'!$C$53*'Modelo Tarifário'!$E$43)*('Premissas Economias e Água'!Q279),('Premissas Economias e Água'!Q139*12*'Modelo Tarifário'!$D$29*'Modelo Tarifário'!$C$53*'Modelo Tarifário'!$E$43))</f>
        <v>14374.6133434119</v>
      </c>
      <c r="Q18" s="1340">
        <f>IF(((Q8*'Modelo Tarifário'!$C$53*'Modelo Tarifário'!$E$43)*('Premissas Economias e Água'!R279))&gt;('Premissas Economias e Água'!R139*12*'Modelo Tarifário'!$D$29*'Modelo Tarifário'!$C$53*'Modelo Tarifário'!$E$43),(Q8*'Modelo Tarifário'!$C$53*'Modelo Tarifário'!$E$43)*('Premissas Economias e Água'!R279),('Premissas Economias e Água'!R139*12*'Modelo Tarifário'!$D$29*'Modelo Tarifário'!$C$53*'Modelo Tarifário'!$E$43))</f>
        <v>14245.640466758123</v>
      </c>
      <c r="R18" s="1340">
        <f>IF(((R8*'Modelo Tarifário'!$C$53*'Modelo Tarifário'!$E$43)*('Premissas Economias e Água'!S279))&gt;('Premissas Economias e Água'!S139*12*'Modelo Tarifário'!$D$29*'Modelo Tarifário'!$C$53*'Modelo Tarifário'!$E$43),(R8*'Modelo Tarifário'!$C$53*'Modelo Tarifário'!$E$43)*('Premissas Economias e Água'!S279),('Premissas Economias e Água'!S139*12*'Modelo Tarifário'!$D$29*'Modelo Tarifário'!$C$53*'Modelo Tarifário'!$E$43))</f>
        <v>14116.667590104345</v>
      </c>
      <c r="S18" s="1340">
        <f>IF(((S8*'Modelo Tarifário'!$C$53*'Modelo Tarifário'!$E$43)*('Premissas Economias e Água'!T279))&gt;('Premissas Economias e Água'!T139*12*'Modelo Tarifário'!$D$29*'Modelo Tarifário'!$C$53*'Modelo Tarifário'!$E$43),(S8*'Modelo Tarifário'!$C$53*'Modelo Tarifário'!$E$43)*('Premissas Economias e Água'!T279),('Premissas Economias e Água'!T139*12*'Modelo Tarifário'!$D$29*'Modelo Tarifário'!$C$53*'Modelo Tarifário'!$E$43))</f>
        <v>13987.69471345057</v>
      </c>
      <c r="T18" s="1340">
        <f>IF(((T8*'Modelo Tarifário'!$C$53*'Modelo Tarifário'!$E$43)*('Premissas Economias e Água'!U279))&gt;('Premissas Economias e Água'!U139*12*'Modelo Tarifário'!$D$29*'Modelo Tarifário'!$C$53*'Modelo Tarifário'!$E$43),(T8*'Modelo Tarifário'!$C$53*'Modelo Tarifário'!$E$43)*('Premissas Economias e Água'!U279),('Premissas Economias e Água'!U139*12*'Modelo Tarifário'!$D$29*'Modelo Tarifário'!$C$53*'Modelo Tarifário'!$E$43))</f>
        <v>13864.584240281056</v>
      </c>
      <c r="U18" s="1340">
        <f>IF(((U8*'Modelo Tarifário'!$C$53*'Modelo Tarifário'!$E$43)*('Premissas Economias e Água'!V279))&gt;('Premissas Economias e Água'!V139*12*'Modelo Tarifário'!$D$29*'Modelo Tarifário'!$C$53*'Modelo Tarifário'!$E$43),(U8*'Modelo Tarifário'!$C$53*'Modelo Tarifário'!$E$43)*('Premissas Economias e Água'!V279),('Premissas Economias e Água'!V139*12*'Modelo Tarifário'!$D$29*'Modelo Tarifário'!$C$53*'Modelo Tarifário'!$E$43))</f>
        <v>13729.748960143013</v>
      </c>
      <c r="V18" s="1340">
        <f>IF(((V8*'Modelo Tarifário'!$C$53*'Modelo Tarifário'!$E$43)*('Premissas Economias e Água'!W279))&gt;('Premissas Economias e Água'!W139*12*'Modelo Tarifário'!$D$29*'Modelo Tarifário'!$C$53*'Modelo Tarifário'!$E$43),(V8*'Modelo Tarifário'!$C$53*'Modelo Tarifário'!$E$43)*('Premissas Economias e Água'!W279),('Premissas Economias e Água'!W139*12*'Modelo Tarifário'!$D$29*'Modelo Tarifário'!$C$53*'Modelo Tarifário'!$E$43))</f>
        <v>13594.913680004976</v>
      </c>
      <c r="W18" s="1340">
        <f>IF(((W8*'Modelo Tarifário'!$C$53*'Modelo Tarifário'!$E$43)*('Premissas Economias e Água'!X279))&gt;('Premissas Economias e Água'!X139*12*'Modelo Tarifário'!$D$29*'Modelo Tarifário'!$C$53*'Modelo Tarifário'!$E$43),(W8*'Modelo Tarifário'!$C$53*'Modelo Tarifário'!$E$43)*('Premissas Economias e Água'!X279),('Premissas Economias e Água'!X139*12*'Modelo Tarifário'!$D$29*'Modelo Tarifário'!$C$53*'Modelo Tarifário'!$E$43))</f>
        <v>13460.078399866932</v>
      </c>
      <c r="X18" s="1340">
        <f>IF(((X8*'Modelo Tarifário'!$C$53*'Modelo Tarifário'!$E$43)*('Premissas Economias e Água'!Y279))&gt;('Premissas Economias e Água'!Y139*12*'Modelo Tarifário'!$D$29*'Modelo Tarifário'!$C$53*'Modelo Tarifário'!$E$43),(X8*'Modelo Tarifário'!$C$53*'Modelo Tarifário'!$E$43)*('Premissas Economias e Água'!Y279),('Premissas Economias e Água'!Y139*12*'Modelo Tarifário'!$D$29*'Modelo Tarifário'!$C$53*'Modelo Tarifário'!$E$43))</f>
        <v>13325.243119728895</v>
      </c>
      <c r="Y18" s="1340">
        <f>IF(((Y8*'Modelo Tarifário'!$C$53*'Modelo Tarifário'!$E$43)*('Premissas Economias e Água'!Z279))&gt;('Premissas Economias e Água'!Z139*12*'Modelo Tarifário'!$D$29*'Modelo Tarifário'!$C$53*'Modelo Tarifário'!$E$43),(Y8*'Modelo Tarifário'!$C$53*'Modelo Tarifário'!$E$43)*('Premissas Economias e Água'!Z279),('Premissas Economias e Água'!Z139*12*'Modelo Tarifário'!$D$29*'Modelo Tarifário'!$C$53*'Modelo Tarifário'!$E$43))</f>
        <v>13178.683032622328</v>
      </c>
      <c r="Z18" s="1340">
        <f>IF(((Z8*'Modelo Tarifário'!$C$53*'Modelo Tarifário'!$E$43)*('Premissas Economias e Água'!AA279))&gt;('Premissas Economias e Água'!AA139*12*'Modelo Tarifário'!$D$29*'Modelo Tarifário'!$C$53*'Modelo Tarifário'!$E$43),(Z8*'Modelo Tarifário'!$C$53*'Modelo Tarifário'!$E$43)*('Premissas Economias e Água'!AA279),('Premissas Economias e Água'!AA139*12*'Modelo Tarifário'!$D$29*'Modelo Tarifário'!$C$53*'Modelo Tarifário'!$E$43))</f>
        <v>13043.847752484291</v>
      </c>
      <c r="AA18" s="1340">
        <f>IF(((AA8*'Modelo Tarifário'!$C$53*'Modelo Tarifário'!$E$43)*('Premissas Economias e Água'!AB279))&gt;('Premissas Economias e Água'!AB139*12*'Modelo Tarifário'!$D$29*'Modelo Tarifário'!$C$53*'Modelo Tarifário'!$E$43),(AA8*'Modelo Tarifário'!$C$53*'Modelo Tarifário'!$E$43)*('Premissas Economias e Água'!AB279),('Premissas Economias e Água'!AB139*12*'Modelo Tarifário'!$D$29*'Modelo Tarifário'!$C$53*'Modelo Tarifário'!$E$43))</f>
        <v>12909.01247234625</v>
      </c>
      <c r="AB18" s="1340">
        <f>IF(((AB8*'Modelo Tarifário'!$C$53*'Modelo Tarifário'!$E$43)*('Premissas Economias e Água'!AC279))&gt;('Premissas Economias e Água'!AC139*12*'Modelo Tarifário'!$D$29*'Modelo Tarifário'!$C$53*'Modelo Tarifário'!$E$43),(AB8*'Modelo Tarifário'!$C$53*'Modelo Tarifário'!$E$43)*('Premissas Economias e Água'!AC279),('Premissas Economias e Água'!AC139*12*'Modelo Tarifário'!$D$29*'Modelo Tarifário'!$C$53*'Modelo Tarifário'!$E$43))</f>
        <v>12774.17719220821</v>
      </c>
      <c r="AC18" s="1340">
        <f>IF(((AC8*'Modelo Tarifário'!$C$53*'Modelo Tarifário'!$E$43)*('Premissas Economias e Água'!AD279))&gt;('Premissas Economias e Água'!AD139*12*'Modelo Tarifário'!$D$29*'Modelo Tarifário'!$C$53*'Modelo Tarifário'!$E$43),(AC8*'Modelo Tarifário'!$C$53*'Modelo Tarifário'!$E$43)*('Premissas Economias e Água'!AD279),('Premissas Economias e Água'!AD139*12*'Modelo Tarifário'!$D$29*'Modelo Tarifário'!$C$53*'Modelo Tarifário'!$E$43))</f>
        <v>12639.341912070171</v>
      </c>
      <c r="AD18" s="1340">
        <f>IF(((AD8*'Modelo Tarifário'!$C$53*'Modelo Tarifário'!$E$43)*('Premissas Economias e Água'!AE279))&gt;('Premissas Economias e Água'!AE139*12*'Modelo Tarifário'!$D$29*'Modelo Tarifário'!$C$53*'Modelo Tarifário'!$E$43),(AD8*'Modelo Tarifário'!$C$53*'Modelo Tarifário'!$E$43)*('Premissas Economias e Água'!AE279),('Premissas Economias e Água'!AE139*12*'Modelo Tarifário'!$D$29*'Modelo Tarifário'!$C$53*'Modelo Tarifário'!$E$43))</f>
        <v>12504.50663193213</v>
      </c>
      <c r="AE18" s="1340">
        <f>IF(((AE8*'Modelo Tarifário'!$C$53*'Modelo Tarifário'!$E$43)*('Premissas Economias e Água'!AF279))&gt;('Premissas Economias e Água'!AF139*12*'Modelo Tarifário'!$D$29*'Modelo Tarifário'!$C$53*'Modelo Tarifário'!$E$43),(AE8*'Modelo Tarifário'!$C$53*'Modelo Tarifário'!$E$43)*('Premissas Economias e Água'!AF279),('Premissas Economias e Água'!AF139*12*'Modelo Tarifário'!$D$29*'Modelo Tarifário'!$C$53*'Modelo Tarifário'!$E$43))</f>
        <v>12369.67135179409</v>
      </c>
      <c r="AF18" s="1340">
        <f>IF(((AF8*'Modelo Tarifário'!$C$53*'Modelo Tarifário'!$E$43)*('Premissas Economias e Água'!AG279))&gt;('Premissas Economias e Água'!AG139*12*'Modelo Tarifário'!$D$29*'Modelo Tarifário'!$C$53*'Modelo Tarifário'!$E$43),(AF8*'Modelo Tarifário'!$C$53*'Modelo Tarifário'!$E$43)*('Premissas Economias e Água'!AG279),('Premissas Economias e Água'!AG139*12*'Modelo Tarifário'!$D$29*'Modelo Tarifário'!$C$53*'Modelo Tarifário'!$E$43))</f>
        <v>12234.836071656053</v>
      </c>
      <c r="AG18" s="1340">
        <f>IF(((AG8*'Modelo Tarifário'!$C$53*'Modelo Tarifário'!$E$43)*('Premissas Economias e Água'!AH279))&gt;('Premissas Economias e Água'!AH139*12*'Modelo Tarifário'!$D$29*'Modelo Tarifário'!$C$53*'Modelo Tarifário'!$E$43),(AG8*'Modelo Tarifário'!$C$53*'Modelo Tarifário'!$E$43)*('Premissas Economias e Água'!AH279),('Premissas Economias e Água'!AH139*12*'Modelo Tarifário'!$D$29*'Modelo Tarifário'!$C$53*'Modelo Tarifário'!$E$43))</f>
        <v>12100.000791518009</v>
      </c>
      <c r="AH18" s="1340">
        <f>IF(((AH8*'Modelo Tarifário'!$C$53*'Modelo Tarifário'!$E$43)*('Premissas Economias e Água'!AI279))&gt;('Premissas Economias e Água'!AI139*12*'Modelo Tarifário'!$D$29*'Modelo Tarifário'!$C$53*'Modelo Tarifário'!$E$43),(AH8*'Modelo Tarifário'!$C$53*'Modelo Tarifário'!$E$43)*('Premissas Economias e Água'!AI279),('Premissas Economias e Água'!AI139*12*'Modelo Tarifário'!$D$29*'Modelo Tarifário'!$C$53*'Modelo Tarifário'!$E$43))</f>
        <v>11965.165511379972</v>
      </c>
    </row>
    <row r="19" spans="2:34" s="1335" customFormat="1" ht="10.5" outlineLevel="1" x14ac:dyDescent="0.25">
      <c r="B19" s="1339"/>
      <c r="C19" s="1335" t="s">
        <v>13</v>
      </c>
      <c r="E19" s="1340">
        <f>IF(((E8*'Modelo Tarifário'!$C$53*'Modelo Tarifário'!$E$44)*('Premissas Economias e Água'!F280))&gt;('Premissas Economias e Água'!F140*12*'Modelo Tarifário'!$D$29*'Modelo Tarifário'!$C$53*'Modelo Tarifário'!$E$44),(E8*'Modelo Tarifário'!$C$53*'Modelo Tarifário'!$E$44)*('Premissas Economias e Água'!F280),('Premissas Economias e Água'!F140*12*'Modelo Tarifário'!$D$29*'Modelo Tarifário'!$C$53*'Modelo Tarifário'!$E$44))</f>
        <v>0</v>
      </c>
      <c r="F19" s="1340">
        <f>IF(((F8*'Modelo Tarifário'!$C$53*'Modelo Tarifário'!$E$44)*('Premissas Economias e Água'!G280))&gt;('Premissas Economias e Água'!G140*12*'Modelo Tarifário'!$D$29*'Modelo Tarifário'!$C$53*'Modelo Tarifário'!$E$44),(F8*'Modelo Tarifário'!$C$53*'Modelo Tarifário'!$E$44)*('Premissas Economias e Água'!G280),('Premissas Economias e Água'!G140*12*'Modelo Tarifário'!$D$29*'Modelo Tarifário'!$C$53*'Modelo Tarifário'!$E$44))</f>
        <v>0</v>
      </c>
      <c r="G19" s="1340">
        <f>IF(((G8*'Modelo Tarifário'!$C$53*'Modelo Tarifário'!$E$44)*('Premissas Economias e Água'!H280))&gt;('Premissas Economias e Água'!H140*12*'Modelo Tarifário'!$D$29*'Modelo Tarifário'!$C$53*'Modelo Tarifário'!$E$44),(G8*'Modelo Tarifário'!$C$53*'Modelo Tarifário'!$E$44)*('Premissas Economias e Água'!H280),('Premissas Economias e Água'!H140*12*'Modelo Tarifário'!$D$29*'Modelo Tarifário'!$C$53*'Modelo Tarifário'!$E$44))</f>
        <v>0</v>
      </c>
      <c r="H19" s="1340">
        <f>IF(((H8*'Modelo Tarifário'!$C$53*'Modelo Tarifário'!$E$44)*('Premissas Economias e Água'!I280))&gt;('Premissas Economias e Água'!I140*12*'Modelo Tarifário'!$D$29*'Modelo Tarifário'!$C$53*'Modelo Tarifário'!$E$44),(H8*'Modelo Tarifário'!$C$53*'Modelo Tarifário'!$E$44)*('Premissas Economias e Água'!I280),('Premissas Economias e Água'!I140*12*'Modelo Tarifário'!$D$29*'Modelo Tarifário'!$C$53*'Modelo Tarifário'!$E$44))</f>
        <v>0</v>
      </c>
      <c r="I19" s="1340">
        <f>IF(((I8*'Modelo Tarifário'!$C$53*'Modelo Tarifário'!$E$44)*('Premissas Economias e Água'!J280))&gt;('Premissas Economias e Água'!J140*12*'Modelo Tarifário'!$D$29*'Modelo Tarifário'!$C$53*'Modelo Tarifário'!$E$44),(I8*'Modelo Tarifário'!$C$53*'Modelo Tarifário'!$E$44)*('Premissas Economias e Água'!J280),('Premissas Economias e Água'!J140*12*'Modelo Tarifário'!$D$29*'Modelo Tarifário'!$C$53*'Modelo Tarifário'!$E$44))</f>
        <v>0</v>
      </c>
      <c r="J19" s="1340">
        <f>IF(((J8*'Modelo Tarifário'!$C$53*'Modelo Tarifário'!$E$44)*('Premissas Economias e Água'!K280))&gt;('Premissas Economias e Água'!K140*12*'Modelo Tarifário'!$D$29*'Modelo Tarifário'!$C$53*'Modelo Tarifário'!$E$44),(J8*'Modelo Tarifário'!$C$53*'Modelo Tarifário'!$E$44)*('Premissas Economias e Água'!K280),('Premissas Economias e Água'!K140*12*'Modelo Tarifário'!$D$29*'Modelo Tarifário'!$C$53*'Modelo Tarifário'!$E$44))</f>
        <v>0</v>
      </c>
      <c r="K19" s="1340">
        <f>IF(((K8*'Modelo Tarifário'!$C$53*'Modelo Tarifário'!$E$44)*('Premissas Economias e Água'!L280))&gt;('Premissas Economias e Água'!L140*12*'Modelo Tarifário'!$D$29*'Modelo Tarifário'!$C$53*'Modelo Tarifário'!$E$44),(K8*'Modelo Tarifário'!$C$53*'Modelo Tarifário'!$E$44)*('Premissas Economias e Água'!L280),('Premissas Economias e Água'!L140*12*'Modelo Tarifário'!$D$29*'Modelo Tarifário'!$C$53*'Modelo Tarifário'!$E$44))</f>
        <v>0</v>
      </c>
      <c r="L19" s="1340">
        <f>IF(((L8*'Modelo Tarifário'!$C$53*'Modelo Tarifário'!$E$44)*('Premissas Economias e Água'!M280))&gt;('Premissas Economias e Água'!M140*12*'Modelo Tarifário'!$D$29*'Modelo Tarifário'!$C$53*'Modelo Tarifário'!$E$44),(L8*'Modelo Tarifário'!$C$53*'Modelo Tarifário'!$E$44)*('Premissas Economias e Água'!M280),('Premissas Economias e Água'!M140*12*'Modelo Tarifário'!$D$29*'Modelo Tarifário'!$C$53*'Modelo Tarifário'!$E$44))</f>
        <v>0</v>
      </c>
      <c r="M19" s="1340">
        <f>IF(((M8*'Modelo Tarifário'!$C$53*'Modelo Tarifário'!$E$44)*('Premissas Economias e Água'!N280))&gt;('Premissas Economias e Água'!N140*12*'Modelo Tarifário'!$D$29*'Modelo Tarifário'!$C$53*'Modelo Tarifário'!$E$44),(M8*'Modelo Tarifário'!$C$53*'Modelo Tarifário'!$E$44)*('Premissas Economias e Água'!N280),('Premissas Economias e Água'!N140*12*'Modelo Tarifário'!$D$29*'Modelo Tarifário'!$C$53*'Modelo Tarifário'!$E$44))</f>
        <v>0</v>
      </c>
      <c r="N19" s="1340">
        <f>IF(((N8*'Modelo Tarifário'!$C$53*'Modelo Tarifário'!$E$44)*('Premissas Economias e Água'!O280))&gt;('Premissas Economias e Água'!O140*12*'Modelo Tarifário'!$D$29*'Modelo Tarifário'!$C$53*'Modelo Tarifário'!$E$44),(N8*'Modelo Tarifário'!$C$53*'Modelo Tarifário'!$E$44)*('Premissas Economias e Água'!O280),('Premissas Economias e Água'!O140*12*'Modelo Tarifário'!$D$29*'Modelo Tarifário'!$C$53*'Modelo Tarifário'!$E$44))</f>
        <v>0</v>
      </c>
      <c r="O19" s="1340">
        <f>IF(((O8*'Modelo Tarifário'!$C$53*'Modelo Tarifário'!$E$44)*('Premissas Economias e Água'!P280))&gt;('Premissas Economias e Água'!P140*12*'Modelo Tarifário'!$D$29*'Modelo Tarifário'!$C$53*'Modelo Tarifário'!$E$44),(O8*'Modelo Tarifário'!$C$53*'Modelo Tarifário'!$E$44)*('Premissas Economias e Água'!P280),('Premissas Economias e Água'!P140*12*'Modelo Tarifário'!$D$29*'Modelo Tarifário'!$C$53*'Modelo Tarifário'!$E$44))</f>
        <v>0</v>
      </c>
      <c r="P19" s="1340">
        <f>IF(((P8*'Modelo Tarifário'!$C$53*'Modelo Tarifário'!$E$44)*('Premissas Economias e Água'!Q280))&gt;('Premissas Economias e Água'!Q140*12*'Modelo Tarifário'!$D$29*'Modelo Tarifário'!$C$53*'Modelo Tarifário'!$E$44),(P8*'Modelo Tarifário'!$C$53*'Modelo Tarifário'!$E$44)*('Premissas Economias e Água'!Q280),('Premissas Economias e Água'!Q140*12*'Modelo Tarifário'!$D$29*'Modelo Tarifário'!$C$53*'Modelo Tarifário'!$E$44))</f>
        <v>0</v>
      </c>
      <c r="Q19" s="1340">
        <f>IF(((Q8*'Modelo Tarifário'!$C$53*'Modelo Tarifário'!$E$44)*('Premissas Economias e Água'!R280))&gt;('Premissas Economias e Água'!R140*12*'Modelo Tarifário'!$D$29*'Modelo Tarifário'!$C$53*'Modelo Tarifário'!$E$44),(Q8*'Modelo Tarifário'!$C$53*'Modelo Tarifário'!$E$44)*('Premissas Economias e Água'!R280),('Premissas Economias e Água'!R140*12*'Modelo Tarifário'!$D$29*'Modelo Tarifário'!$C$53*'Modelo Tarifário'!$E$44))</f>
        <v>0</v>
      </c>
      <c r="R19" s="1340">
        <f>IF(((R8*'Modelo Tarifário'!$C$53*'Modelo Tarifário'!$E$44)*('Premissas Economias e Água'!S280))&gt;('Premissas Economias e Água'!S140*12*'Modelo Tarifário'!$D$29*'Modelo Tarifário'!$C$53*'Modelo Tarifário'!$E$44),(R8*'Modelo Tarifário'!$C$53*'Modelo Tarifário'!$E$44)*('Premissas Economias e Água'!S280),('Premissas Economias e Água'!S140*12*'Modelo Tarifário'!$D$29*'Modelo Tarifário'!$C$53*'Modelo Tarifário'!$E$44))</f>
        <v>0</v>
      </c>
      <c r="S19" s="1340">
        <f>IF(((S8*'Modelo Tarifário'!$C$53*'Modelo Tarifário'!$E$44)*('Premissas Economias e Água'!T280))&gt;('Premissas Economias e Água'!T140*12*'Modelo Tarifário'!$D$29*'Modelo Tarifário'!$C$53*'Modelo Tarifário'!$E$44),(S8*'Modelo Tarifário'!$C$53*'Modelo Tarifário'!$E$44)*('Premissas Economias e Água'!T280),('Premissas Economias e Água'!T140*12*'Modelo Tarifário'!$D$29*'Modelo Tarifário'!$C$53*'Modelo Tarifário'!$E$44))</f>
        <v>0</v>
      </c>
      <c r="T19" s="1340">
        <f>IF(((T8*'Modelo Tarifário'!$C$53*'Modelo Tarifário'!$E$44)*('Premissas Economias e Água'!U280))&gt;('Premissas Economias e Água'!U140*12*'Modelo Tarifário'!$D$29*'Modelo Tarifário'!$C$53*'Modelo Tarifário'!$E$44),(T8*'Modelo Tarifário'!$C$53*'Modelo Tarifário'!$E$44)*('Premissas Economias e Água'!U280),('Premissas Economias e Água'!U140*12*'Modelo Tarifário'!$D$29*'Modelo Tarifário'!$C$53*'Modelo Tarifário'!$E$44))</f>
        <v>0</v>
      </c>
      <c r="U19" s="1340">
        <f>IF(((U8*'Modelo Tarifário'!$C$53*'Modelo Tarifário'!$E$44)*('Premissas Economias e Água'!V280))&gt;('Premissas Economias e Água'!V140*12*'Modelo Tarifário'!$D$29*'Modelo Tarifário'!$C$53*'Modelo Tarifário'!$E$44),(U8*'Modelo Tarifário'!$C$53*'Modelo Tarifário'!$E$44)*('Premissas Economias e Água'!V280),('Premissas Economias e Água'!V140*12*'Modelo Tarifário'!$D$29*'Modelo Tarifário'!$C$53*'Modelo Tarifário'!$E$44))</f>
        <v>0</v>
      </c>
      <c r="V19" s="1340">
        <f>IF(((V8*'Modelo Tarifário'!$C$53*'Modelo Tarifário'!$E$44)*('Premissas Economias e Água'!W280))&gt;('Premissas Economias e Água'!W140*12*'Modelo Tarifário'!$D$29*'Modelo Tarifário'!$C$53*'Modelo Tarifário'!$E$44),(V8*'Modelo Tarifário'!$C$53*'Modelo Tarifário'!$E$44)*('Premissas Economias e Água'!W280),('Premissas Economias e Água'!W140*12*'Modelo Tarifário'!$D$29*'Modelo Tarifário'!$C$53*'Modelo Tarifário'!$E$44))</f>
        <v>0</v>
      </c>
      <c r="W19" s="1340">
        <f>IF(((W8*'Modelo Tarifário'!$C$53*'Modelo Tarifário'!$E$44)*('Premissas Economias e Água'!X280))&gt;('Premissas Economias e Água'!X140*12*'Modelo Tarifário'!$D$29*'Modelo Tarifário'!$C$53*'Modelo Tarifário'!$E$44),(W8*'Modelo Tarifário'!$C$53*'Modelo Tarifário'!$E$44)*('Premissas Economias e Água'!X280),('Premissas Economias e Água'!X140*12*'Modelo Tarifário'!$D$29*'Modelo Tarifário'!$C$53*'Modelo Tarifário'!$E$44))</f>
        <v>0</v>
      </c>
      <c r="X19" s="1340">
        <f>IF(((X8*'Modelo Tarifário'!$C$53*'Modelo Tarifário'!$E$44)*('Premissas Economias e Água'!Y280))&gt;('Premissas Economias e Água'!Y140*12*'Modelo Tarifário'!$D$29*'Modelo Tarifário'!$C$53*'Modelo Tarifário'!$E$44),(X8*'Modelo Tarifário'!$C$53*'Modelo Tarifário'!$E$44)*('Premissas Economias e Água'!Y280),('Premissas Economias e Água'!Y140*12*'Modelo Tarifário'!$D$29*'Modelo Tarifário'!$C$53*'Modelo Tarifário'!$E$44))</f>
        <v>0</v>
      </c>
      <c r="Y19" s="1340">
        <f>IF(((Y8*'Modelo Tarifário'!$C$53*'Modelo Tarifário'!$E$44)*('Premissas Economias e Água'!Z280))&gt;('Premissas Economias e Água'!Z140*12*'Modelo Tarifário'!$D$29*'Modelo Tarifário'!$C$53*'Modelo Tarifário'!$E$44),(Y8*'Modelo Tarifário'!$C$53*'Modelo Tarifário'!$E$44)*('Premissas Economias e Água'!Z280),('Premissas Economias e Água'!Z140*12*'Modelo Tarifário'!$D$29*'Modelo Tarifário'!$C$53*'Modelo Tarifário'!$E$44))</f>
        <v>0</v>
      </c>
      <c r="Z19" s="1340">
        <f>IF(((Z8*'Modelo Tarifário'!$C$53*'Modelo Tarifário'!$E$44)*('Premissas Economias e Água'!AA280))&gt;('Premissas Economias e Água'!AA140*12*'Modelo Tarifário'!$D$29*'Modelo Tarifário'!$C$53*'Modelo Tarifário'!$E$44),(Z8*'Modelo Tarifário'!$C$53*'Modelo Tarifário'!$E$44)*('Premissas Economias e Água'!AA280),('Premissas Economias e Água'!AA140*12*'Modelo Tarifário'!$D$29*'Modelo Tarifário'!$C$53*'Modelo Tarifário'!$E$44))</f>
        <v>0</v>
      </c>
      <c r="AA19" s="1340">
        <f>IF(((AA8*'Modelo Tarifário'!$C$53*'Modelo Tarifário'!$E$44)*('Premissas Economias e Água'!AB280))&gt;('Premissas Economias e Água'!AB140*12*'Modelo Tarifário'!$D$29*'Modelo Tarifário'!$C$53*'Modelo Tarifário'!$E$44),(AA8*'Modelo Tarifário'!$C$53*'Modelo Tarifário'!$E$44)*('Premissas Economias e Água'!AB280),('Premissas Economias e Água'!AB140*12*'Modelo Tarifário'!$D$29*'Modelo Tarifário'!$C$53*'Modelo Tarifário'!$E$44))</f>
        <v>0</v>
      </c>
      <c r="AB19" s="1340">
        <f>IF(((AB8*'Modelo Tarifário'!$C$53*'Modelo Tarifário'!$E$44)*('Premissas Economias e Água'!AC280))&gt;('Premissas Economias e Água'!AC140*12*'Modelo Tarifário'!$D$29*'Modelo Tarifário'!$C$53*'Modelo Tarifário'!$E$44),(AB8*'Modelo Tarifário'!$C$53*'Modelo Tarifário'!$E$44)*('Premissas Economias e Água'!AC280),('Premissas Economias e Água'!AC140*12*'Modelo Tarifário'!$D$29*'Modelo Tarifário'!$C$53*'Modelo Tarifário'!$E$44))</f>
        <v>0</v>
      </c>
      <c r="AC19" s="1340">
        <f>IF(((AC8*'Modelo Tarifário'!$C$53*'Modelo Tarifário'!$E$44)*('Premissas Economias e Água'!AD280))&gt;('Premissas Economias e Água'!AD140*12*'Modelo Tarifário'!$D$29*'Modelo Tarifário'!$C$53*'Modelo Tarifário'!$E$44),(AC8*'Modelo Tarifário'!$C$53*'Modelo Tarifário'!$E$44)*('Premissas Economias e Água'!AD280),('Premissas Economias e Água'!AD140*12*'Modelo Tarifário'!$D$29*'Modelo Tarifário'!$C$53*'Modelo Tarifário'!$E$44))</f>
        <v>0</v>
      </c>
      <c r="AD19" s="1340">
        <f>IF(((AD8*'Modelo Tarifário'!$C$53*'Modelo Tarifário'!$E$44)*('Premissas Economias e Água'!AE280))&gt;('Premissas Economias e Água'!AE140*12*'Modelo Tarifário'!$D$29*'Modelo Tarifário'!$C$53*'Modelo Tarifário'!$E$44),(AD8*'Modelo Tarifário'!$C$53*'Modelo Tarifário'!$E$44)*('Premissas Economias e Água'!AE280),('Premissas Economias e Água'!AE140*12*'Modelo Tarifário'!$D$29*'Modelo Tarifário'!$C$53*'Modelo Tarifário'!$E$44))</f>
        <v>0</v>
      </c>
      <c r="AE19" s="1340">
        <f>IF(((AE8*'Modelo Tarifário'!$C$53*'Modelo Tarifário'!$E$44)*('Premissas Economias e Água'!AF280))&gt;('Premissas Economias e Água'!AF140*12*'Modelo Tarifário'!$D$29*'Modelo Tarifário'!$C$53*'Modelo Tarifário'!$E$44),(AE8*'Modelo Tarifário'!$C$53*'Modelo Tarifário'!$E$44)*('Premissas Economias e Água'!AF280),('Premissas Economias e Água'!AF140*12*'Modelo Tarifário'!$D$29*'Modelo Tarifário'!$C$53*'Modelo Tarifário'!$E$44))</f>
        <v>0</v>
      </c>
      <c r="AF19" s="1340">
        <f>IF(((AF8*'Modelo Tarifário'!$C$53*'Modelo Tarifário'!$E$44)*('Premissas Economias e Água'!AG280))&gt;('Premissas Economias e Água'!AG140*12*'Modelo Tarifário'!$D$29*'Modelo Tarifário'!$C$53*'Modelo Tarifário'!$E$44),(AF8*'Modelo Tarifário'!$C$53*'Modelo Tarifário'!$E$44)*('Premissas Economias e Água'!AG280),('Premissas Economias e Água'!AG140*12*'Modelo Tarifário'!$D$29*'Modelo Tarifário'!$C$53*'Modelo Tarifário'!$E$44))</f>
        <v>0</v>
      </c>
      <c r="AG19" s="1340">
        <f>IF(((AG8*'Modelo Tarifário'!$C$53*'Modelo Tarifário'!$E$44)*('Premissas Economias e Água'!AH280))&gt;('Premissas Economias e Água'!AH140*12*'Modelo Tarifário'!$D$29*'Modelo Tarifário'!$C$53*'Modelo Tarifário'!$E$44),(AG8*'Modelo Tarifário'!$C$53*'Modelo Tarifário'!$E$44)*('Premissas Economias e Água'!AH280),('Premissas Economias e Água'!AH140*12*'Modelo Tarifário'!$D$29*'Modelo Tarifário'!$C$53*'Modelo Tarifário'!$E$44))</f>
        <v>0</v>
      </c>
      <c r="AH19" s="1340">
        <f>IF(((AH8*'Modelo Tarifário'!$C$53*'Modelo Tarifário'!$E$44)*('Premissas Economias e Água'!AI280))&gt;('Premissas Economias e Água'!AI140*12*'Modelo Tarifário'!$D$29*'Modelo Tarifário'!$C$53*'Modelo Tarifário'!$E$44),(AH8*'Modelo Tarifário'!$C$53*'Modelo Tarifário'!$E$44)*('Premissas Economias e Água'!AI280),('Premissas Economias e Água'!AI140*12*'Modelo Tarifário'!$D$29*'Modelo Tarifário'!$C$53*'Modelo Tarifário'!$E$44))</f>
        <v>0</v>
      </c>
    </row>
    <row r="20" spans="2:34" s="1335" customFormat="1" ht="10.5" outlineLevel="1" x14ac:dyDescent="0.25">
      <c r="B20" s="1341"/>
      <c r="C20" s="1342" t="s">
        <v>14</v>
      </c>
      <c r="D20" s="1343"/>
      <c r="E20" s="1344">
        <f>IF(((E8*'Modelo Tarifário'!$C$53*'Modelo Tarifário'!$E$45)*('Premissas Economias e Água'!F281))&gt;('Premissas Economias e Água'!F141*12*'Modelo Tarifário'!$D$29*'Modelo Tarifário'!$C$53*'Modelo Tarifário'!$E$45),(E8*'Modelo Tarifário'!$C$53*'Modelo Tarifário'!$E$45)*('Premissas Economias e Água'!F281),('Premissas Economias e Água'!F141*12*'Modelo Tarifário'!$D$29*'Modelo Tarifário'!$C$53*'Modelo Tarifário'!$E$45))</f>
        <v>0</v>
      </c>
      <c r="F20" s="1344">
        <f>IF(((F8*'Modelo Tarifário'!$C$53*'Modelo Tarifário'!$E$45)*('Premissas Economias e Água'!G281))&gt;('Premissas Economias e Água'!G141*12*'Modelo Tarifário'!$D$29*'Modelo Tarifário'!$C$53*'Modelo Tarifário'!$E$45),(F8*'Modelo Tarifário'!$C$53*'Modelo Tarifário'!$E$45)*('Premissas Economias e Água'!G281),('Premissas Economias e Água'!G141*12*'Modelo Tarifário'!$D$29*'Modelo Tarifário'!$C$53*'Modelo Tarifário'!$E$45))</f>
        <v>0</v>
      </c>
      <c r="G20" s="1344">
        <f>IF(((G8*'Modelo Tarifário'!$C$53*'Modelo Tarifário'!$E$45)*('Premissas Economias e Água'!H281))&gt;('Premissas Economias e Água'!H141*12*'Modelo Tarifário'!$D$29*'Modelo Tarifário'!$C$53*'Modelo Tarifário'!$E$45),(G8*'Modelo Tarifário'!$C$53*'Modelo Tarifário'!$E$45)*('Premissas Economias e Água'!H281),('Premissas Economias e Água'!H141*12*'Modelo Tarifário'!$D$29*'Modelo Tarifário'!$C$53*'Modelo Tarifário'!$E$45))</f>
        <v>0</v>
      </c>
      <c r="H20" s="1344">
        <f>IF(((H8*'Modelo Tarifário'!$C$53*'Modelo Tarifário'!$E$45)*('Premissas Economias e Água'!I281))&gt;('Premissas Economias e Água'!I141*12*'Modelo Tarifário'!$D$29*'Modelo Tarifário'!$C$53*'Modelo Tarifário'!$E$45),(H8*'Modelo Tarifário'!$C$53*'Modelo Tarifário'!$E$45)*('Premissas Economias e Água'!I281),('Premissas Economias e Água'!I141*12*'Modelo Tarifário'!$D$29*'Modelo Tarifário'!$C$53*'Modelo Tarifário'!$E$45))</f>
        <v>0</v>
      </c>
      <c r="I20" s="1344">
        <f>IF(((I8*'Modelo Tarifário'!$C$53*'Modelo Tarifário'!$E$45)*('Premissas Economias e Água'!J281))&gt;('Premissas Economias e Água'!J141*12*'Modelo Tarifário'!$D$29*'Modelo Tarifário'!$C$53*'Modelo Tarifário'!$E$45),(I8*'Modelo Tarifário'!$C$53*'Modelo Tarifário'!$E$45)*('Premissas Economias e Água'!J281),('Premissas Economias e Água'!J141*12*'Modelo Tarifário'!$D$29*'Modelo Tarifário'!$C$53*'Modelo Tarifário'!$E$45))</f>
        <v>0</v>
      </c>
      <c r="J20" s="1344">
        <f>IF(((J8*'Modelo Tarifário'!$C$53*'Modelo Tarifário'!$E$45)*('Premissas Economias e Água'!K281))&gt;('Premissas Economias e Água'!K141*12*'Modelo Tarifário'!$D$29*'Modelo Tarifário'!$C$53*'Modelo Tarifário'!$E$45),(J8*'Modelo Tarifário'!$C$53*'Modelo Tarifário'!$E$45)*('Premissas Economias e Água'!K281),('Premissas Economias e Água'!K141*12*'Modelo Tarifário'!$D$29*'Modelo Tarifário'!$C$53*'Modelo Tarifário'!$E$45))</f>
        <v>0</v>
      </c>
      <c r="K20" s="1344">
        <f>IF(((K8*'Modelo Tarifário'!$C$53*'Modelo Tarifário'!$E$45)*('Premissas Economias e Água'!L281))&gt;('Premissas Economias e Água'!L141*12*'Modelo Tarifário'!$D$29*'Modelo Tarifário'!$C$53*'Modelo Tarifário'!$E$45),(K8*'Modelo Tarifário'!$C$53*'Modelo Tarifário'!$E$45)*('Premissas Economias e Água'!L281),('Premissas Economias e Água'!L141*12*'Modelo Tarifário'!$D$29*'Modelo Tarifário'!$C$53*'Modelo Tarifário'!$E$45))</f>
        <v>0</v>
      </c>
      <c r="L20" s="1344">
        <f>IF(((L8*'Modelo Tarifário'!$C$53*'Modelo Tarifário'!$E$45)*('Premissas Economias e Água'!M281))&gt;('Premissas Economias e Água'!M141*12*'Modelo Tarifário'!$D$29*'Modelo Tarifário'!$C$53*'Modelo Tarifário'!$E$45),(L8*'Modelo Tarifário'!$C$53*'Modelo Tarifário'!$E$45)*('Premissas Economias e Água'!M281),('Premissas Economias e Água'!M141*12*'Modelo Tarifário'!$D$29*'Modelo Tarifário'!$C$53*'Modelo Tarifário'!$E$45))</f>
        <v>0</v>
      </c>
      <c r="M20" s="1344">
        <f>IF(((M8*'Modelo Tarifário'!$C$53*'Modelo Tarifário'!$E$45)*('Premissas Economias e Água'!N281))&gt;('Premissas Economias e Água'!N141*12*'Modelo Tarifário'!$D$29*'Modelo Tarifário'!$C$53*'Modelo Tarifário'!$E$45),(M8*'Modelo Tarifário'!$C$53*'Modelo Tarifário'!$E$45)*('Premissas Economias e Água'!N281),('Premissas Economias e Água'!N141*12*'Modelo Tarifário'!$D$29*'Modelo Tarifário'!$C$53*'Modelo Tarifário'!$E$45))</f>
        <v>0</v>
      </c>
      <c r="N20" s="1344">
        <f>IF(((N8*'Modelo Tarifário'!$C$53*'Modelo Tarifário'!$E$45)*('Premissas Economias e Água'!O281))&gt;('Premissas Economias e Água'!O141*12*'Modelo Tarifário'!$D$29*'Modelo Tarifário'!$C$53*'Modelo Tarifário'!$E$45),(N8*'Modelo Tarifário'!$C$53*'Modelo Tarifário'!$E$45)*('Premissas Economias e Água'!O281),('Premissas Economias e Água'!O141*12*'Modelo Tarifário'!$D$29*'Modelo Tarifário'!$C$53*'Modelo Tarifário'!$E$45))</f>
        <v>0</v>
      </c>
      <c r="O20" s="1344">
        <f>IF(((O8*'Modelo Tarifário'!$C$53*'Modelo Tarifário'!$E$45)*('Premissas Economias e Água'!P281))&gt;('Premissas Economias e Água'!P141*12*'Modelo Tarifário'!$D$29*'Modelo Tarifário'!$C$53*'Modelo Tarifário'!$E$45),(O8*'Modelo Tarifário'!$C$53*'Modelo Tarifário'!$E$45)*('Premissas Economias e Água'!P281),('Premissas Economias e Água'!P141*12*'Modelo Tarifário'!$D$29*'Modelo Tarifário'!$C$53*'Modelo Tarifário'!$E$45))</f>
        <v>0</v>
      </c>
      <c r="P20" s="1344">
        <f>IF(((P8*'Modelo Tarifário'!$C$53*'Modelo Tarifário'!$E$45)*('Premissas Economias e Água'!Q281))&gt;('Premissas Economias e Água'!Q141*12*'Modelo Tarifário'!$D$29*'Modelo Tarifário'!$C$53*'Modelo Tarifário'!$E$45),(P8*'Modelo Tarifário'!$C$53*'Modelo Tarifário'!$E$45)*('Premissas Economias e Água'!Q281),('Premissas Economias e Água'!Q141*12*'Modelo Tarifário'!$D$29*'Modelo Tarifário'!$C$53*'Modelo Tarifário'!$E$45))</f>
        <v>0</v>
      </c>
      <c r="Q20" s="1344">
        <f>IF(((Q8*'Modelo Tarifário'!$C$53*'Modelo Tarifário'!$E$45)*('Premissas Economias e Água'!R281))&gt;('Premissas Economias e Água'!R141*12*'Modelo Tarifário'!$D$29*'Modelo Tarifário'!$C$53*'Modelo Tarifário'!$E$45),(Q8*'Modelo Tarifário'!$C$53*'Modelo Tarifário'!$E$45)*('Premissas Economias e Água'!R281),('Premissas Economias e Água'!R141*12*'Modelo Tarifário'!$D$29*'Modelo Tarifário'!$C$53*'Modelo Tarifário'!$E$45))</f>
        <v>0</v>
      </c>
      <c r="R20" s="1344">
        <f>IF(((R8*'Modelo Tarifário'!$C$53*'Modelo Tarifário'!$E$45)*('Premissas Economias e Água'!S281))&gt;('Premissas Economias e Água'!S141*12*'Modelo Tarifário'!$D$29*'Modelo Tarifário'!$C$53*'Modelo Tarifário'!$E$45),(R8*'Modelo Tarifário'!$C$53*'Modelo Tarifário'!$E$45)*('Premissas Economias e Água'!S281),('Premissas Economias e Água'!S141*12*'Modelo Tarifário'!$D$29*'Modelo Tarifário'!$C$53*'Modelo Tarifário'!$E$45))</f>
        <v>0</v>
      </c>
      <c r="S20" s="1344">
        <f>IF(((S8*'Modelo Tarifário'!$C$53*'Modelo Tarifário'!$E$45)*('Premissas Economias e Água'!T281))&gt;('Premissas Economias e Água'!T141*12*'Modelo Tarifário'!$D$29*'Modelo Tarifário'!$C$53*'Modelo Tarifário'!$E$45),(S8*'Modelo Tarifário'!$C$53*'Modelo Tarifário'!$E$45)*('Premissas Economias e Água'!T281),('Premissas Economias e Água'!T141*12*'Modelo Tarifário'!$D$29*'Modelo Tarifário'!$C$53*'Modelo Tarifário'!$E$45))</f>
        <v>0</v>
      </c>
      <c r="T20" s="1344">
        <f>IF(((T8*'Modelo Tarifário'!$C$53*'Modelo Tarifário'!$E$45)*('Premissas Economias e Água'!U281))&gt;('Premissas Economias e Água'!U141*12*'Modelo Tarifário'!$D$29*'Modelo Tarifário'!$C$53*'Modelo Tarifário'!$E$45),(T8*'Modelo Tarifário'!$C$53*'Modelo Tarifário'!$E$45)*('Premissas Economias e Água'!U281),('Premissas Economias e Água'!U141*12*'Modelo Tarifário'!$D$29*'Modelo Tarifário'!$C$53*'Modelo Tarifário'!$E$45))</f>
        <v>0</v>
      </c>
      <c r="U20" s="1344">
        <f>IF(((U8*'Modelo Tarifário'!$C$53*'Modelo Tarifário'!$E$45)*('Premissas Economias e Água'!V281))&gt;('Premissas Economias e Água'!V141*12*'Modelo Tarifário'!$D$29*'Modelo Tarifário'!$C$53*'Modelo Tarifário'!$E$45),(U8*'Modelo Tarifário'!$C$53*'Modelo Tarifário'!$E$45)*('Premissas Economias e Água'!V281),('Premissas Economias e Água'!V141*12*'Modelo Tarifário'!$D$29*'Modelo Tarifário'!$C$53*'Modelo Tarifário'!$E$45))</f>
        <v>0</v>
      </c>
      <c r="V20" s="1344">
        <f>IF(((V8*'Modelo Tarifário'!$C$53*'Modelo Tarifário'!$E$45)*('Premissas Economias e Água'!W281))&gt;('Premissas Economias e Água'!W141*12*'Modelo Tarifário'!$D$29*'Modelo Tarifário'!$C$53*'Modelo Tarifário'!$E$45),(V8*'Modelo Tarifário'!$C$53*'Modelo Tarifário'!$E$45)*('Premissas Economias e Água'!W281),('Premissas Economias e Água'!W141*12*'Modelo Tarifário'!$D$29*'Modelo Tarifário'!$C$53*'Modelo Tarifário'!$E$45))</f>
        <v>0</v>
      </c>
      <c r="W20" s="1344">
        <f>IF(((W8*'Modelo Tarifário'!$C$53*'Modelo Tarifário'!$E$45)*('Premissas Economias e Água'!X281))&gt;('Premissas Economias e Água'!X141*12*'Modelo Tarifário'!$D$29*'Modelo Tarifário'!$C$53*'Modelo Tarifário'!$E$45),(W8*'Modelo Tarifário'!$C$53*'Modelo Tarifário'!$E$45)*('Premissas Economias e Água'!X281),('Premissas Economias e Água'!X141*12*'Modelo Tarifário'!$D$29*'Modelo Tarifário'!$C$53*'Modelo Tarifário'!$E$45))</f>
        <v>0</v>
      </c>
      <c r="X20" s="1344">
        <f>IF(((X8*'Modelo Tarifário'!$C$53*'Modelo Tarifário'!$E$45)*('Premissas Economias e Água'!Y281))&gt;('Premissas Economias e Água'!Y141*12*'Modelo Tarifário'!$D$29*'Modelo Tarifário'!$C$53*'Modelo Tarifário'!$E$45),(X8*'Modelo Tarifário'!$C$53*'Modelo Tarifário'!$E$45)*('Premissas Economias e Água'!Y281),('Premissas Economias e Água'!Y141*12*'Modelo Tarifário'!$D$29*'Modelo Tarifário'!$C$53*'Modelo Tarifário'!$E$45))</f>
        <v>0</v>
      </c>
      <c r="Y20" s="1344">
        <f>IF(((Y8*'Modelo Tarifário'!$C$53*'Modelo Tarifário'!$E$45)*('Premissas Economias e Água'!Z281))&gt;('Premissas Economias e Água'!Z141*12*'Modelo Tarifário'!$D$29*'Modelo Tarifário'!$C$53*'Modelo Tarifário'!$E$45),(Y8*'Modelo Tarifário'!$C$53*'Modelo Tarifário'!$E$45)*('Premissas Economias e Água'!Z281),('Premissas Economias e Água'!Z141*12*'Modelo Tarifário'!$D$29*'Modelo Tarifário'!$C$53*'Modelo Tarifário'!$E$45))</f>
        <v>0</v>
      </c>
      <c r="Z20" s="1344">
        <f>IF(((Z8*'Modelo Tarifário'!$C$53*'Modelo Tarifário'!$E$45)*('Premissas Economias e Água'!AA281))&gt;('Premissas Economias e Água'!AA141*12*'Modelo Tarifário'!$D$29*'Modelo Tarifário'!$C$53*'Modelo Tarifário'!$E$45),(Z8*'Modelo Tarifário'!$C$53*'Modelo Tarifário'!$E$45)*('Premissas Economias e Água'!AA281),('Premissas Economias e Água'!AA141*12*'Modelo Tarifário'!$D$29*'Modelo Tarifário'!$C$53*'Modelo Tarifário'!$E$45))</f>
        <v>0</v>
      </c>
      <c r="AA20" s="1344">
        <f>IF(((AA8*'Modelo Tarifário'!$C$53*'Modelo Tarifário'!$E$45)*('Premissas Economias e Água'!AB281))&gt;('Premissas Economias e Água'!AB141*12*'Modelo Tarifário'!$D$29*'Modelo Tarifário'!$C$53*'Modelo Tarifário'!$E$45),(AA8*'Modelo Tarifário'!$C$53*'Modelo Tarifário'!$E$45)*('Premissas Economias e Água'!AB281),('Premissas Economias e Água'!AB141*12*'Modelo Tarifário'!$D$29*'Modelo Tarifário'!$C$53*'Modelo Tarifário'!$E$45))</f>
        <v>0</v>
      </c>
      <c r="AB20" s="1344">
        <f>IF(((AB8*'Modelo Tarifário'!$C$53*'Modelo Tarifário'!$E$45)*('Premissas Economias e Água'!AC281))&gt;('Premissas Economias e Água'!AC141*12*'Modelo Tarifário'!$D$29*'Modelo Tarifário'!$C$53*'Modelo Tarifário'!$E$45),(AB8*'Modelo Tarifário'!$C$53*'Modelo Tarifário'!$E$45)*('Premissas Economias e Água'!AC281),('Premissas Economias e Água'!AC141*12*'Modelo Tarifário'!$D$29*'Modelo Tarifário'!$C$53*'Modelo Tarifário'!$E$45))</f>
        <v>0</v>
      </c>
      <c r="AC20" s="1344">
        <f>IF(((AC8*'Modelo Tarifário'!$C$53*'Modelo Tarifário'!$E$45)*('Premissas Economias e Água'!AD281))&gt;('Premissas Economias e Água'!AD141*12*'Modelo Tarifário'!$D$29*'Modelo Tarifário'!$C$53*'Modelo Tarifário'!$E$45),(AC8*'Modelo Tarifário'!$C$53*'Modelo Tarifário'!$E$45)*('Premissas Economias e Água'!AD281),('Premissas Economias e Água'!AD141*12*'Modelo Tarifário'!$D$29*'Modelo Tarifário'!$C$53*'Modelo Tarifário'!$E$45))</f>
        <v>0</v>
      </c>
      <c r="AD20" s="1344">
        <f>IF(((AD8*'Modelo Tarifário'!$C$53*'Modelo Tarifário'!$E$45)*('Premissas Economias e Água'!AE281))&gt;('Premissas Economias e Água'!AE141*12*'Modelo Tarifário'!$D$29*'Modelo Tarifário'!$C$53*'Modelo Tarifário'!$E$45),(AD8*'Modelo Tarifário'!$C$53*'Modelo Tarifário'!$E$45)*('Premissas Economias e Água'!AE281),('Premissas Economias e Água'!AE141*12*'Modelo Tarifário'!$D$29*'Modelo Tarifário'!$C$53*'Modelo Tarifário'!$E$45))</f>
        <v>0</v>
      </c>
      <c r="AE20" s="1344">
        <f>IF(((AE8*'Modelo Tarifário'!$C$53*'Modelo Tarifário'!$E$45)*('Premissas Economias e Água'!AF281))&gt;('Premissas Economias e Água'!AF141*12*'Modelo Tarifário'!$D$29*'Modelo Tarifário'!$C$53*'Modelo Tarifário'!$E$45),(AE8*'Modelo Tarifário'!$C$53*'Modelo Tarifário'!$E$45)*('Premissas Economias e Água'!AF281),('Premissas Economias e Água'!AF141*12*'Modelo Tarifário'!$D$29*'Modelo Tarifário'!$C$53*'Modelo Tarifário'!$E$45))</f>
        <v>0</v>
      </c>
      <c r="AF20" s="1344">
        <f>IF(((AF8*'Modelo Tarifário'!$C$53*'Modelo Tarifário'!$E$45)*('Premissas Economias e Água'!AG281))&gt;('Premissas Economias e Água'!AG141*12*'Modelo Tarifário'!$D$29*'Modelo Tarifário'!$C$53*'Modelo Tarifário'!$E$45),(AF8*'Modelo Tarifário'!$C$53*'Modelo Tarifário'!$E$45)*('Premissas Economias e Água'!AG281),('Premissas Economias e Água'!AG141*12*'Modelo Tarifário'!$D$29*'Modelo Tarifário'!$C$53*'Modelo Tarifário'!$E$45))</f>
        <v>0</v>
      </c>
      <c r="AG20" s="1344">
        <f>IF(((AG8*'Modelo Tarifário'!$C$53*'Modelo Tarifário'!$E$45)*('Premissas Economias e Água'!AH281))&gt;('Premissas Economias e Água'!AH141*12*'Modelo Tarifário'!$D$29*'Modelo Tarifário'!$C$53*'Modelo Tarifário'!$E$45),(AG8*'Modelo Tarifário'!$C$53*'Modelo Tarifário'!$E$45)*('Premissas Economias e Água'!AH281),('Premissas Economias e Água'!AH141*12*'Modelo Tarifário'!$D$29*'Modelo Tarifário'!$C$53*'Modelo Tarifário'!$E$45))</f>
        <v>0</v>
      </c>
      <c r="AH20" s="1344">
        <f>IF(((AH8*'Modelo Tarifário'!$C$53*'Modelo Tarifário'!$E$45)*('Premissas Economias e Água'!AI281))&gt;('Premissas Economias e Água'!AI141*12*'Modelo Tarifário'!$D$29*'Modelo Tarifário'!$C$53*'Modelo Tarifário'!$E$45),(AH8*'Modelo Tarifário'!$C$53*'Modelo Tarifário'!$E$45)*('Premissas Economias e Água'!AI281),('Premissas Economias e Água'!AI141*12*'Modelo Tarifário'!$D$29*'Modelo Tarifário'!$C$53*'Modelo Tarifário'!$E$45))</f>
        <v>0</v>
      </c>
    </row>
    <row r="21" spans="2:34" s="79" customFormat="1" ht="12" x14ac:dyDescent="0.3">
      <c r="B21" s="225"/>
      <c r="C21" s="173" t="s">
        <v>2</v>
      </c>
      <c r="D21" s="173"/>
      <c r="E21" s="497">
        <f>SUM(E22:E32)</f>
        <v>4966988.8943468425</v>
      </c>
      <c r="F21" s="497">
        <f t="shared" ref="F21:AH21" si="29">SUM(F22:F32)</f>
        <v>4969784.5111924233</v>
      </c>
      <c r="G21" s="497">
        <f t="shared" si="29"/>
        <v>4972580.1280380031</v>
      </c>
      <c r="H21" s="497">
        <f t="shared" si="29"/>
        <v>4975375.7448835829</v>
      </c>
      <c r="I21" s="497">
        <f t="shared" si="29"/>
        <v>4978171.3617291627</v>
      </c>
      <c r="J21" s="497">
        <f t="shared" si="29"/>
        <v>4981295.8746742215</v>
      </c>
      <c r="K21" s="497">
        <f t="shared" si="29"/>
        <v>4973895.7124359217</v>
      </c>
      <c r="L21" s="497">
        <f t="shared" si="29"/>
        <v>4966495.5501976227</v>
      </c>
      <c r="M21" s="497">
        <f t="shared" si="29"/>
        <v>4959095.3879593229</v>
      </c>
      <c r="N21" s="497">
        <f t="shared" si="29"/>
        <v>4951695.2257210221</v>
      </c>
      <c r="O21" s="497">
        <f t="shared" si="29"/>
        <v>4944295.0634827232</v>
      </c>
      <c r="P21" s="497">
        <f t="shared" si="29"/>
        <v>4929988.0831553442</v>
      </c>
      <c r="Q21" s="497">
        <f t="shared" si="29"/>
        <v>4915681.1028279625</v>
      </c>
      <c r="R21" s="497">
        <f t="shared" si="29"/>
        <v>4901374.1225005854</v>
      </c>
      <c r="S21" s="497">
        <f t="shared" si="29"/>
        <v>4887067.1421732046</v>
      </c>
      <c r="T21" s="497">
        <f t="shared" si="29"/>
        <v>4872431.2657463448</v>
      </c>
      <c r="U21" s="497">
        <f t="shared" si="29"/>
        <v>4851875.2595288446</v>
      </c>
      <c r="V21" s="497">
        <f t="shared" si="29"/>
        <v>4831319.2533113463</v>
      </c>
      <c r="W21" s="497">
        <f t="shared" si="29"/>
        <v>4810763.2470938461</v>
      </c>
      <c r="X21" s="497">
        <f t="shared" si="29"/>
        <v>4790207.2408763478</v>
      </c>
      <c r="Y21" s="497">
        <f t="shared" si="29"/>
        <v>4769815.6827085884</v>
      </c>
      <c r="Z21" s="497">
        <f t="shared" si="29"/>
        <v>4749259.6764910882</v>
      </c>
      <c r="AA21" s="497">
        <f t="shared" si="29"/>
        <v>4728703.670273589</v>
      </c>
      <c r="AB21" s="497">
        <f t="shared" si="29"/>
        <v>4708147.6640560888</v>
      </c>
      <c r="AC21" s="497">
        <f t="shared" si="29"/>
        <v>4687591.6578385886</v>
      </c>
      <c r="AD21" s="497">
        <f t="shared" si="29"/>
        <v>4667035.6516210893</v>
      </c>
      <c r="AE21" s="497">
        <f t="shared" si="29"/>
        <v>4646479.645403591</v>
      </c>
      <c r="AF21" s="497">
        <f t="shared" si="29"/>
        <v>4625923.6391860917</v>
      </c>
      <c r="AG21" s="497">
        <f t="shared" si="29"/>
        <v>4605367.6329685906</v>
      </c>
      <c r="AH21" s="497">
        <f t="shared" si="29"/>
        <v>4584811.6267510913</v>
      </c>
    </row>
    <row r="22" spans="2:34" s="79" customFormat="1" ht="12" outlineLevel="1" x14ac:dyDescent="0.3">
      <c r="B22" s="1336"/>
      <c r="C22" s="1337" t="s">
        <v>10</v>
      </c>
      <c r="D22" s="1337"/>
      <c r="E22" s="1338">
        <f>IF(((E8*'Modelo Tarifário'!$C$54*'Modelo Tarifário'!$E$35)*('Premissas Economias e Água'!F286))&gt;('Premissas Economias e Água'!F146*'Modelo Tarifário'!$D$29*12*'Modelo Tarifário'!$C$54*'Modelo Tarifário'!$E$35),(E8*'Modelo Tarifário'!$C$54*'Modelo Tarifário'!$E$35)*('Premissas Economias e Água'!F286),'Premissas Economias e Água'!F146*'Modelo Tarifário'!$D$29*12*'Modelo Tarifário'!$C$54*'Modelo Tarifário'!$E$35)</f>
        <v>792581.46602508775</v>
      </c>
      <c r="F22" s="1338">
        <f>IF(((F8*'Modelo Tarifário'!$C$54*'Modelo Tarifário'!$E$35)*('Premissas Economias e Água'!G286))&gt;('Premissas Economias e Água'!G146*'Modelo Tarifário'!$D$29*12*'Modelo Tarifário'!$C$54*'Modelo Tarifário'!$E$35),(F8*'Modelo Tarifário'!$C$54*'Modelo Tarifário'!$E$35)*('Premissas Economias e Água'!G286),'Premissas Economias e Água'!G146*'Modelo Tarifário'!$D$29*12*'Modelo Tarifário'!$C$54*'Modelo Tarifário'!$E$35)</f>
        <v>793027.56206940068</v>
      </c>
      <c r="G22" s="1338">
        <f>IF(((G8*'Modelo Tarifário'!$C$54*'Modelo Tarifário'!$E$35)*('Premissas Economias e Água'!H286))&gt;('Premissas Economias e Água'!H146*'Modelo Tarifário'!$D$29*12*'Modelo Tarifário'!$C$54*'Modelo Tarifário'!$E$35),(G8*'Modelo Tarifário'!$C$54*'Modelo Tarifário'!$E$35)*('Premissas Economias e Água'!H286),'Premissas Economias e Água'!H146*'Modelo Tarifário'!$D$29*12*'Modelo Tarifário'!$C$54*'Modelo Tarifário'!$E$35)</f>
        <v>793473.65811371361</v>
      </c>
      <c r="H22" s="1338">
        <f>IF(((H8*'Modelo Tarifário'!$C$54*'Modelo Tarifário'!$E$35)*('Premissas Economias e Água'!I286))&gt;('Premissas Economias e Água'!I146*'Modelo Tarifário'!$D$29*12*'Modelo Tarifário'!$C$54*'Modelo Tarifário'!$E$35),(H8*'Modelo Tarifário'!$C$54*'Modelo Tarifário'!$E$35)*('Premissas Economias e Água'!I286),'Premissas Economias e Água'!I146*'Modelo Tarifário'!$D$29*12*'Modelo Tarifário'!$C$54*'Modelo Tarifário'!$E$35)</f>
        <v>793919.75415802631</v>
      </c>
      <c r="I22" s="1338">
        <f>IF(((I8*'Modelo Tarifário'!$C$54*'Modelo Tarifário'!$E$35)*('Premissas Economias e Água'!J286))&gt;('Premissas Economias e Água'!J146*'Modelo Tarifário'!$D$29*12*'Modelo Tarifário'!$C$54*'Modelo Tarifário'!$E$35),(I8*'Modelo Tarifário'!$C$54*'Modelo Tarifário'!$E$35)*('Premissas Economias e Água'!J286),'Premissas Economias e Água'!J146*'Modelo Tarifário'!$D$29*12*'Modelo Tarifário'!$C$54*'Modelo Tarifário'!$E$35)</f>
        <v>794365.85020233935</v>
      </c>
      <c r="J22" s="1338">
        <f>IF(((J8*'Modelo Tarifário'!$C$54*'Modelo Tarifário'!$E$35)*('Premissas Economias e Água'!K286))&gt;('Premissas Economias e Água'!K146*'Modelo Tarifário'!$D$29*12*'Modelo Tarifário'!$C$54*'Modelo Tarifário'!$E$35),(J8*'Modelo Tarifário'!$C$54*'Modelo Tarifário'!$E$35)*('Premissas Economias e Água'!K286),'Premissas Economias e Água'!K146*'Modelo Tarifário'!$D$29*12*'Modelo Tarifário'!$C$54*'Modelo Tarifário'!$E$35)</f>
        <v>794864.42813421844</v>
      </c>
      <c r="K22" s="1338">
        <f>IF(((K8*'Modelo Tarifário'!$C$54*'Modelo Tarifário'!$E$35)*('Premissas Economias e Água'!L286))&gt;('Premissas Economias e Água'!L146*'Modelo Tarifário'!$D$29*12*'Modelo Tarifário'!$C$54*'Modelo Tarifário'!$E$35),(K8*'Modelo Tarifário'!$C$54*'Modelo Tarifário'!$E$35)*('Premissas Economias e Água'!L286),'Premissas Economias e Água'!L146*'Modelo Tarifário'!$D$29*12*'Modelo Tarifário'!$C$54*'Modelo Tarifário'!$E$35)</f>
        <v>793683.58566397836</v>
      </c>
      <c r="L22" s="1338">
        <f>IF(((L8*'Modelo Tarifário'!$C$54*'Modelo Tarifário'!$E$35)*('Premissas Economias e Água'!M286))&gt;('Premissas Economias e Água'!M146*'Modelo Tarifário'!$D$29*12*'Modelo Tarifário'!$C$54*'Modelo Tarifário'!$E$35),(L8*'Modelo Tarifário'!$C$54*'Modelo Tarifário'!$E$35)*('Premissas Economias e Água'!M286),'Premissas Economias e Água'!M146*'Modelo Tarifário'!$D$29*12*'Modelo Tarifário'!$C$54*'Modelo Tarifário'!$E$35)</f>
        <v>792502.7431937384</v>
      </c>
      <c r="M22" s="1338">
        <f>IF(((M8*'Modelo Tarifário'!$C$54*'Modelo Tarifário'!$E$35)*('Premissas Economias e Água'!N286))&gt;('Premissas Economias e Água'!N146*'Modelo Tarifário'!$D$29*12*'Modelo Tarifário'!$C$54*'Modelo Tarifário'!$E$35),(M8*'Modelo Tarifário'!$C$54*'Modelo Tarifário'!$E$35)*('Premissas Economias e Água'!N286),'Premissas Economias e Água'!N146*'Modelo Tarifário'!$D$29*12*'Modelo Tarifário'!$C$54*'Modelo Tarifário'!$E$35)</f>
        <v>791321.90072349831</v>
      </c>
      <c r="N22" s="1338">
        <f>IF(((N8*'Modelo Tarifário'!$C$54*'Modelo Tarifário'!$E$35)*('Premissas Economias e Água'!O286))&gt;('Premissas Economias e Água'!O146*'Modelo Tarifário'!$D$29*12*'Modelo Tarifário'!$C$54*'Modelo Tarifário'!$E$35),(N8*'Modelo Tarifário'!$C$54*'Modelo Tarifário'!$E$35)*('Premissas Economias e Água'!O286),'Premissas Economias e Água'!O146*'Modelo Tarifário'!$D$29*12*'Modelo Tarifário'!$C$54*'Modelo Tarifário'!$E$35)</f>
        <v>790141.05825325847</v>
      </c>
      <c r="O22" s="1338">
        <f>IF(((O8*'Modelo Tarifário'!$C$54*'Modelo Tarifário'!$E$35)*('Premissas Economias e Água'!P286))&gt;('Premissas Economias e Água'!P146*'Modelo Tarifário'!$D$29*12*'Modelo Tarifário'!$C$54*'Modelo Tarifário'!$E$35),(O8*'Modelo Tarifário'!$C$54*'Modelo Tarifário'!$E$35)*('Premissas Economias e Água'!P286),'Premissas Economias e Água'!P146*'Modelo Tarifário'!$D$29*12*'Modelo Tarifário'!$C$54*'Modelo Tarifário'!$E$35)</f>
        <v>788960.2157830185</v>
      </c>
      <c r="P22" s="1338">
        <f>IF(((P8*'Modelo Tarifário'!$C$54*'Modelo Tarifário'!$E$35)*('Premissas Economias e Água'!Q286))&gt;('Premissas Economias e Água'!Q146*'Modelo Tarifário'!$D$29*12*'Modelo Tarifário'!$C$54*'Modelo Tarifário'!$E$35),(P8*'Modelo Tarifário'!$C$54*'Modelo Tarifário'!$E$35)*('Premissas Economias e Água'!Q286),'Premissas Economias e Água'!Q146*'Modelo Tarifário'!$D$29*12*'Modelo Tarifário'!$C$54*'Modelo Tarifário'!$E$35)</f>
        <v>786677.2536738877</v>
      </c>
      <c r="Q22" s="1338">
        <f>IF(((Q8*'Modelo Tarifário'!$C$54*'Modelo Tarifário'!$E$35)*('Premissas Economias e Água'!R286))&gt;('Premissas Economias e Água'!R146*'Modelo Tarifário'!$D$29*12*'Modelo Tarifário'!$C$54*'Modelo Tarifário'!$E$35),(Q8*'Modelo Tarifário'!$C$54*'Modelo Tarifário'!$E$35)*('Premissas Economias e Água'!R286),'Premissas Economias e Água'!R146*'Modelo Tarifário'!$D$29*12*'Modelo Tarifário'!$C$54*'Modelo Tarifário'!$E$35)</f>
        <v>784394.29156475712</v>
      </c>
      <c r="R22" s="1338">
        <f>IF(((R8*'Modelo Tarifário'!$C$54*'Modelo Tarifário'!$E$35)*('Premissas Economias e Água'!S286))&gt;('Premissas Economias e Água'!S146*'Modelo Tarifário'!$D$29*12*'Modelo Tarifário'!$C$54*'Modelo Tarifário'!$E$35),(R8*'Modelo Tarifário'!$C$54*'Modelo Tarifário'!$E$35)*('Premissas Economias e Água'!S286),'Premissas Economias e Água'!S146*'Modelo Tarifário'!$D$29*12*'Modelo Tarifário'!$C$54*'Modelo Tarifário'!$E$35)</f>
        <v>782111.32945562655</v>
      </c>
      <c r="S22" s="1338">
        <f>IF(((S8*'Modelo Tarifário'!$C$54*'Modelo Tarifário'!$E$35)*('Premissas Economias e Água'!T286))&gt;('Premissas Economias e Água'!T146*'Modelo Tarifário'!$D$29*12*'Modelo Tarifário'!$C$54*'Modelo Tarifário'!$E$35),(S8*'Modelo Tarifário'!$C$54*'Modelo Tarifário'!$E$35)*('Premissas Economias e Água'!T286),'Premissas Economias e Água'!T146*'Modelo Tarifário'!$D$29*12*'Modelo Tarifário'!$C$54*'Modelo Tarifário'!$E$35)</f>
        <v>779828.36734649574</v>
      </c>
      <c r="T22" s="1338">
        <f>IF(((T8*'Modelo Tarifário'!$C$54*'Modelo Tarifário'!$E$35)*('Premissas Economias e Água'!U286))&gt;('Premissas Economias e Água'!U146*'Modelo Tarifário'!$D$29*12*'Modelo Tarifário'!$C$54*'Modelo Tarifário'!$E$35),(T8*'Modelo Tarifário'!$C$54*'Modelo Tarifário'!$E$35)*('Premissas Economias e Água'!U286),'Premissas Economias e Água'!U146*'Modelo Tarifário'!$D$29*12*'Modelo Tarifário'!$C$54*'Modelo Tarifário'!$E$35)</f>
        <v>777492.92334979889</v>
      </c>
      <c r="U22" s="1338">
        <f>IF(((U8*'Modelo Tarifário'!$C$54*'Modelo Tarifário'!$E$35)*('Premissas Economias e Água'!V286))&gt;('Premissas Economias e Água'!V146*'Modelo Tarifário'!$D$29*12*'Modelo Tarifário'!$C$54*'Modelo Tarifário'!$E$35),(U8*'Modelo Tarifário'!$C$54*'Modelo Tarifário'!$E$35)*('Premissas Economias e Água'!V286),'Premissas Economias e Água'!V146*'Modelo Tarifário'!$D$29*12*'Modelo Tarifário'!$C$54*'Modelo Tarifário'!$E$35)</f>
        <v>774212.80537691002</v>
      </c>
      <c r="V22" s="1338">
        <f>IF(((V8*'Modelo Tarifário'!$C$54*'Modelo Tarifário'!$E$35)*('Premissas Economias e Água'!W286))&gt;('Premissas Economias e Água'!W146*'Modelo Tarifário'!$D$29*12*'Modelo Tarifário'!$C$54*'Modelo Tarifário'!$E$35),(V8*'Modelo Tarifário'!$C$54*'Modelo Tarifário'!$E$35)*('Premissas Economias e Água'!W286),'Premissas Economias e Água'!W146*'Modelo Tarifário'!$D$29*12*'Modelo Tarifário'!$C$54*'Modelo Tarifário'!$E$35)</f>
        <v>770932.68740402104</v>
      </c>
      <c r="W22" s="1338">
        <f>IF(((W8*'Modelo Tarifário'!$C$54*'Modelo Tarifário'!$E$35)*('Premissas Economias e Água'!X286))&gt;('Premissas Economias e Água'!X146*'Modelo Tarifário'!$D$29*12*'Modelo Tarifário'!$C$54*'Modelo Tarifário'!$E$35),(W8*'Modelo Tarifário'!$C$54*'Modelo Tarifário'!$E$35)*('Premissas Economias e Água'!X286),'Premissas Economias e Água'!X146*'Modelo Tarifário'!$D$29*12*'Modelo Tarifário'!$C$54*'Modelo Tarifário'!$E$35)</f>
        <v>767652.56943113217</v>
      </c>
      <c r="X22" s="1338">
        <f>IF(((X8*'Modelo Tarifário'!$C$54*'Modelo Tarifário'!$E$35)*('Premissas Economias e Água'!Y286))&gt;('Premissas Economias e Água'!Y146*'Modelo Tarifário'!$D$29*12*'Modelo Tarifário'!$C$54*'Modelo Tarifário'!$E$35),(X8*'Modelo Tarifário'!$C$54*'Modelo Tarifário'!$E$35)*('Premissas Economias e Água'!Y286),'Premissas Economias e Água'!Y146*'Modelo Tarifário'!$D$29*12*'Modelo Tarifário'!$C$54*'Modelo Tarifário'!$E$35)</f>
        <v>764372.45145824342</v>
      </c>
      <c r="Y22" s="1338">
        <f>IF(((Y8*'Modelo Tarifário'!$C$54*'Modelo Tarifário'!$E$35)*('Premissas Economias e Água'!Z286))&gt;('Premissas Economias e Água'!Z146*'Modelo Tarifário'!$D$29*12*'Modelo Tarifário'!$C$54*'Modelo Tarifário'!$E$35),(Y8*'Modelo Tarifário'!$C$54*'Modelo Tarifário'!$E$35)*('Premissas Economias e Água'!Z286),'Premissas Economias e Água'!Z146*'Modelo Tarifário'!$D$29*12*'Modelo Tarifário'!$C$54*'Modelo Tarifário'!$E$35)</f>
        <v>761118.57442913775</v>
      </c>
      <c r="Z22" s="1338">
        <f>IF(((Z8*'Modelo Tarifário'!$C$54*'Modelo Tarifário'!$E$35)*('Premissas Economias e Água'!AA286))&gt;('Premissas Economias e Água'!AA146*'Modelo Tarifário'!$D$29*12*'Modelo Tarifário'!$C$54*'Modelo Tarifário'!$E$35),(Z8*'Modelo Tarifário'!$C$54*'Modelo Tarifário'!$E$35)*('Premissas Economias e Água'!AA286),'Premissas Economias e Água'!AA146*'Modelo Tarifário'!$D$29*12*'Modelo Tarifário'!$C$54*'Modelo Tarifário'!$E$35)</f>
        <v>757838.45645624853</v>
      </c>
      <c r="AA22" s="1338">
        <f>IF(((AA8*'Modelo Tarifário'!$C$54*'Modelo Tarifário'!$E$35)*('Premissas Economias e Água'!AB286))&gt;('Premissas Economias e Água'!AB146*'Modelo Tarifário'!$D$29*12*'Modelo Tarifário'!$C$54*'Modelo Tarifário'!$E$35),(AA8*'Modelo Tarifário'!$C$54*'Modelo Tarifário'!$E$35)*('Premissas Economias e Água'!AB286),'Premissas Economias e Água'!AB146*'Modelo Tarifário'!$D$29*12*'Modelo Tarifário'!$C$54*'Modelo Tarifário'!$E$35)</f>
        <v>754558.3384833599</v>
      </c>
      <c r="AB22" s="1338">
        <f>IF(((AB8*'Modelo Tarifário'!$C$54*'Modelo Tarifário'!$E$35)*('Premissas Economias e Água'!AC286))&gt;('Premissas Economias e Água'!AC146*'Modelo Tarifário'!$D$29*12*'Modelo Tarifário'!$C$54*'Modelo Tarifário'!$E$35),(AB8*'Modelo Tarifário'!$C$54*'Modelo Tarifário'!$E$35)*('Premissas Economias e Água'!AC286),'Premissas Economias e Água'!AC146*'Modelo Tarifário'!$D$29*12*'Modelo Tarifário'!$C$54*'Modelo Tarifário'!$E$35)</f>
        <v>751278.22051047091</v>
      </c>
      <c r="AC22" s="1338">
        <f>IF(((AC8*'Modelo Tarifário'!$C$54*'Modelo Tarifário'!$E$35)*('Premissas Economias e Água'!AD286))&gt;('Premissas Economias e Água'!AD146*'Modelo Tarifário'!$D$29*12*'Modelo Tarifário'!$C$54*'Modelo Tarifário'!$E$35),(AC8*'Modelo Tarifário'!$C$54*'Modelo Tarifário'!$E$35)*('Premissas Economias e Água'!AD286),'Premissas Economias e Água'!AD146*'Modelo Tarifário'!$D$29*12*'Modelo Tarifário'!$C$54*'Modelo Tarifário'!$E$35)</f>
        <v>747998.10253758193</v>
      </c>
      <c r="AD22" s="1338">
        <f>IF(((AD8*'Modelo Tarifário'!$C$54*'Modelo Tarifário'!$E$35)*('Premissas Economias e Água'!AE286))&gt;('Premissas Economias e Água'!AE146*'Modelo Tarifário'!$D$29*12*'Modelo Tarifário'!$C$54*'Modelo Tarifário'!$E$35),(AD8*'Modelo Tarifário'!$C$54*'Modelo Tarifário'!$E$35)*('Premissas Economias e Água'!AE286),'Premissas Economias e Água'!AE146*'Modelo Tarifário'!$D$29*12*'Modelo Tarifário'!$C$54*'Modelo Tarifário'!$E$35)</f>
        <v>744717.98456469306</v>
      </c>
      <c r="AE22" s="1338">
        <f>IF(((AE8*'Modelo Tarifário'!$C$54*'Modelo Tarifário'!$E$35)*('Premissas Economias e Água'!AF286))&gt;('Premissas Economias e Água'!AF146*'Modelo Tarifário'!$D$29*12*'Modelo Tarifário'!$C$54*'Modelo Tarifário'!$E$35),(AE8*'Modelo Tarifário'!$C$54*'Modelo Tarifário'!$E$35)*('Premissas Economias e Água'!AF286),'Premissas Economias e Água'!AF146*'Modelo Tarifário'!$D$29*12*'Modelo Tarifário'!$C$54*'Modelo Tarifário'!$E$35)</f>
        <v>741437.8665918042</v>
      </c>
      <c r="AF22" s="1338">
        <f>IF(((AF8*'Modelo Tarifário'!$C$54*'Modelo Tarifário'!$E$35)*('Premissas Economias e Água'!AG286))&gt;('Premissas Economias e Água'!AG146*'Modelo Tarifário'!$D$29*12*'Modelo Tarifário'!$C$54*'Modelo Tarifário'!$E$35),(AF8*'Modelo Tarifário'!$C$54*'Modelo Tarifário'!$E$35)*('Premissas Economias e Água'!AG286),'Premissas Economias e Água'!AG146*'Modelo Tarifário'!$D$29*12*'Modelo Tarifário'!$C$54*'Modelo Tarifário'!$E$35)</f>
        <v>738157.74861891544</v>
      </c>
      <c r="AG22" s="1338">
        <f>IF(((AG8*'Modelo Tarifário'!$C$54*'Modelo Tarifário'!$E$35)*('Premissas Economias e Água'!AH286))&gt;('Premissas Economias e Água'!AH146*'Modelo Tarifário'!$D$29*12*'Modelo Tarifário'!$C$54*'Modelo Tarifário'!$E$35),(AG8*'Modelo Tarifário'!$C$54*'Modelo Tarifário'!$E$35)*('Premissas Economias e Água'!AH286),'Premissas Economias e Água'!AH146*'Modelo Tarifário'!$D$29*12*'Modelo Tarifário'!$C$54*'Modelo Tarifário'!$E$35)</f>
        <v>734877.63064602634</v>
      </c>
      <c r="AH22" s="1338">
        <f>IF(((AH8*'Modelo Tarifário'!$C$54*'Modelo Tarifário'!$E$35)*('Premissas Economias e Água'!AI286))&gt;('Premissas Economias e Água'!AI146*'Modelo Tarifário'!$D$29*12*'Modelo Tarifário'!$C$54*'Modelo Tarifário'!$E$35),(AH8*'Modelo Tarifário'!$C$54*'Modelo Tarifário'!$E$35)*('Premissas Economias e Água'!AI286),'Premissas Economias e Água'!AI146*'Modelo Tarifário'!$D$29*12*'Modelo Tarifário'!$C$54*'Modelo Tarifário'!$E$35)</f>
        <v>731597.51267313759</v>
      </c>
    </row>
    <row r="23" spans="2:34" s="79" customFormat="1" ht="12" outlineLevel="1" x14ac:dyDescent="0.3">
      <c r="B23" s="1339"/>
      <c r="C23" s="1335" t="s">
        <v>277</v>
      </c>
      <c r="D23" s="1742"/>
      <c r="E23" s="1340">
        <f>IF(('Premissas Economias e Água'!F147*'Modelo Tarifário'!$I$36*12*'Modelo Tarifário'!$B$5*'Modelo Tarifário'!$E$36)&gt;('Premissas Economias e Água'!F147*'Modelo Tarifário'!$D$29*12*'Modelo Tarifário'!$E$36),('Premissas Economias e Água'!F147*'Modelo Tarifário'!$I$36*12*'Modelo Tarifário'!$B$5*'Modelo Tarifário'!$E$36),('Premissas Economias e Água'!F147*'Modelo Tarifário'!$D$29*12*'Modelo Tarifário'!$E$36))</f>
        <v>90099.879453602014</v>
      </c>
      <c r="F23" s="1340">
        <f>IF(('Premissas Economias e Água'!G147*'Modelo Tarifário'!$I$36*12*'Modelo Tarifário'!$B$5*'Modelo Tarifário'!$E$36)&gt;('Premissas Economias e Água'!G147*'Modelo Tarifário'!$D$29*12*'Modelo Tarifário'!$E$36),('Premissas Economias e Água'!G147*'Modelo Tarifário'!$I$36*12*'Modelo Tarifário'!$B$5*'Modelo Tarifário'!$E$36),('Premissas Economias e Água'!G147*'Modelo Tarifário'!$D$29*12*'Modelo Tarifário'!$E$36))</f>
        <v>90150.591212001935</v>
      </c>
      <c r="G23" s="1340">
        <f>IF(('Premissas Economias e Água'!H147*'Modelo Tarifário'!$I$36*12*'Modelo Tarifário'!$B$5*'Modelo Tarifário'!$E$36)&gt;('Premissas Economias e Água'!H147*'Modelo Tarifário'!$D$29*12*'Modelo Tarifário'!$E$36),('Premissas Economias e Água'!H147*'Modelo Tarifário'!$I$36*12*'Modelo Tarifário'!$B$5*'Modelo Tarifário'!$E$36),('Premissas Economias e Água'!H147*'Modelo Tarifário'!$D$29*12*'Modelo Tarifário'!$E$36))</f>
        <v>90201.302970401855</v>
      </c>
      <c r="H23" s="1340">
        <f>IF(('Premissas Economias e Água'!I147*'Modelo Tarifário'!$I$36*12*'Modelo Tarifário'!$B$5*'Modelo Tarifário'!$E$36)&gt;('Premissas Economias e Água'!I147*'Modelo Tarifário'!$D$29*12*'Modelo Tarifário'!$E$36),('Premissas Economias e Água'!I147*'Modelo Tarifário'!$I$36*12*'Modelo Tarifário'!$B$5*'Modelo Tarifário'!$E$36),('Premissas Economias e Água'!I147*'Modelo Tarifário'!$D$29*12*'Modelo Tarifário'!$E$36))</f>
        <v>90252.014728801776</v>
      </c>
      <c r="I23" s="1340">
        <f>IF(('Premissas Economias e Água'!J147*'Modelo Tarifário'!$I$36*12*'Modelo Tarifário'!$B$5*'Modelo Tarifário'!$E$36)&gt;('Premissas Economias e Água'!J147*'Modelo Tarifário'!$D$29*12*'Modelo Tarifário'!$E$36),('Premissas Economias e Água'!J147*'Modelo Tarifário'!$I$36*12*'Modelo Tarifário'!$B$5*'Modelo Tarifário'!$E$36),('Premissas Economias e Água'!J147*'Modelo Tarifário'!$D$29*12*'Modelo Tarifário'!$E$36))</f>
        <v>90302.726487201697</v>
      </c>
      <c r="J23" s="1340">
        <f>IF(('Premissas Economias e Água'!K147*'Modelo Tarifário'!$I$36*12*'Modelo Tarifário'!$B$5*'Modelo Tarifário'!$E$36)&gt;('Premissas Economias e Água'!K147*'Modelo Tarifário'!$D$29*12*'Modelo Tarifário'!$E$36),('Premissas Economias e Água'!K147*'Modelo Tarifário'!$I$36*12*'Modelo Tarifário'!$B$5*'Modelo Tarifário'!$E$36),('Premissas Economias e Água'!K147*'Modelo Tarifário'!$D$29*12*'Modelo Tarifário'!$E$36))</f>
        <v>90359.404334825143</v>
      </c>
      <c r="K23" s="1340">
        <f>IF(('Premissas Economias e Água'!L147*'Modelo Tarifário'!$I$36*12*'Modelo Tarifário'!$B$5*'Modelo Tarifário'!$E$36)&gt;('Premissas Economias e Água'!L147*'Modelo Tarifário'!$D$29*12*'Modelo Tarifário'!$E$36),('Premissas Economias e Água'!L147*'Modelo Tarifário'!$I$36*12*'Modelo Tarifário'!$B$5*'Modelo Tarifário'!$E$36),('Premissas Economias e Água'!L147*'Modelo Tarifário'!$D$29*12*'Modelo Tarifário'!$E$36))</f>
        <v>90225.167327295931</v>
      </c>
      <c r="L23" s="1340">
        <f>IF(('Premissas Economias e Água'!M147*'Modelo Tarifário'!$I$36*12*'Modelo Tarifário'!$B$5*'Modelo Tarifário'!$E$36)&gt;('Premissas Economias e Água'!M147*'Modelo Tarifário'!$D$29*12*'Modelo Tarifário'!$E$36),('Premissas Economias e Água'!M147*'Modelo Tarifário'!$I$36*12*'Modelo Tarifário'!$B$5*'Modelo Tarifário'!$E$36),('Premissas Economias e Água'!M147*'Modelo Tarifário'!$D$29*12*'Modelo Tarifário'!$E$36))</f>
        <v>90090.930319766718</v>
      </c>
      <c r="M23" s="1340">
        <f>IF(('Premissas Economias e Água'!N147*'Modelo Tarifário'!$I$36*12*'Modelo Tarifário'!$B$5*'Modelo Tarifário'!$E$36)&gt;('Premissas Economias e Água'!N147*'Modelo Tarifário'!$D$29*12*'Modelo Tarifário'!$E$36),('Premissas Economias e Água'!N147*'Modelo Tarifário'!$I$36*12*'Modelo Tarifário'!$B$5*'Modelo Tarifário'!$E$36),('Premissas Economias e Água'!N147*'Modelo Tarifário'!$D$29*12*'Modelo Tarifário'!$E$36))</f>
        <v>89956.693312237519</v>
      </c>
      <c r="N23" s="1340">
        <f>IF(('Premissas Economias e Água'!O147*'Modelo Tarifário'!$I$36*12*'Modelo Tarifário'!$B$5*'Modelo Tarifário'!$E$36)&gt;('Premissas Economias e Água'!O147*'Modelo Tarifário'!$D$29*12*'Modelo Tarifário'!$E$36),('Premissas Economias e Água'!O147*'Modelo Tarifário'!$I$36*12*'Modelo Tarifário'!$B$5*'Modelo Tarifário'!$E$36),('Premissas Economias e Água'!O147*'Modelo Tarifário'!$D$29*12*'Modelo Tarifário'!$E$36))</f>
        <v>89822.456304708321</v>
      </c>
      <c r="O23" s="1340">
        <f>IF(('Premissas Economias e Água'!P147*'Modelo Tarifário'!$I$36*12*'Modelo Tarifário'!$B$5*'Modelo Tarifário'!$E$36)&gt;('Premissas Economias e Água'!P147*'Modelo Tarifário'!$D$29*12*'Modelo Tarifário'!$E$36),('Premissas Economias e Água'!P147*'Modelo Tarifário'!$I$36*12*'Modelo Tarifário'!$B$5*'Modelo Tarifário'!$E$36),('Premissas Economias e Água'!P147*'Modelo Tarifário'!$D$29*12*'Modelo Tarifário'!$E$36))</f>
        <v>89688.219297179123</v>
      </c>
      <c r="P23" s="1340">
        <f>IF(('Premissas Economias e Água'!Q147*'Modelo Tarifário'!$I$36*12*'Modelo Tarifário'!$B$5*'Modelo Tarifário'!$E$36)&gt;('Premissas Economias e Água'!Q147*'Modelo Tarifário'!$D$29*12*'Modelo Tarifário'!$E$36),('Premissas Economias e Água'!Q147*'Modelo Tarifário'!$I$36*12*'Modelo Tarifário'!$B$5*'Modelo Tarifário'!$E$36),('Premissas Economias e Água'!Q147*'Modelo Tarifário'!$D$29*12*'Modelo Tarifário'!$E$36))</f>
        <v>89428.694415955979</v>
      </c>
      <c r="Q23" s="1340">
        <f>IF(('Premissas Economias e Água'!R147*'Modelo Tarifário'!$I$36*12*'Modelo Tarifário'!$B$5*'Modelo Tarifário'!$E$36)&gt;('Premissas Economias e Água'!R147*'Modelo Tarifário'!$D$29*12*'Modelo Tarifário'!$E$36),('Premissas Economias e Água'!R147*'Modelo Tarifário'!$I$36*12*'Modelo Tarifário'!$B$5*'Modelo Tarifário'!$E$36),('Premissas Economias e Água'!R147*'Modelo Tarifário'!$D$29*12*'Modelo Tarifário'!$E$36))</f>
        <v>89169.16953473285</v>
      </c>
      <c r="R23" s="1340">
        <f>IF(('Premissas Economias e Água'!S147*'Modelo Tarifário'!$I$36*12*'Modelo Tarifário'!$B$5*'Modelo Tarifário'!$E$36)&gt;('Premissas Economias e Água'!S147*'Modelo Tarifário'!$D$29*12*'Modelo Tarifário'!$E$36),('Premissas Economias e Água'!S147*'Modelo Tarifário'!$I$36*12*'Modelo Tarifário'!$B$5*'Modelo Tarifário'!$E$36),('Premissas Economias e Água'!S147*'Modelo Tarifário'!$D$29*12*'Modelo Tarifário'!$E$36))</f>
        <v>88909.64465350972</v>
      </c>
      <c r="S23" s="1340">
        <f>IF(('Premissas Economias e Água'!T147*'Modelo Tarifário'!$I$36*12*'Modelo Tarifário'!$B$5*'Modelo Tarifário'!$E$36)&gt;('Premissas Economias e Água'!T147*'Modelo Tarifário'!$D$29*12*'Modelo Tarifário'!$E$36),('Premissas Economias e Água'!T147*'Modelo Tarifário'!$I$36*12*'Modelo Tarifário'!$B$5*'Modelo Tarifário'!$E$36),('Premissas Economias e Água'!T147*'Modelo Tarifário'!$D$29*12*'Modelo Tarifário'!$E$36))</f>
        <v>88650.119772286605</v>
      </c>
      <c r="T23" s="1340">
        <f>IF(('Premissas Economias e Água'!U147*'Modelo Tarifário'!$I$36*12*'Modelo Tarifário'!$B$5*'Modelo Tarifário'!$E$36)&gt;('Premissas Economias e Água'!U147*'Modelo Tarifário'!$D$29*12*'Modelo Tarifário'!$E$36),('Premissas Economias e Água'!U147*'Modelo Tarifário'!$I$36*12*'Modelo Tarifário'!$B$5*'Modelo Tarifário'!$E$36),('Premissas Economias e Água'!U147*'Modelo Tarifário'!$D$29*12*'Modelo Tarifário'!$E$36))</f>
        <v>88384.62880183995</v>
      </c>
      <c r="U23" s="1340">
        <f>IF(('Premissas Economias e Água'!V147*'Modelo Tarifário'!$I$36*12*'Modelo Tarifário'!$B$5*'Modelo Tarifário'!$E$36)&gt;('Premissas Economias e Água'!V147*'Modelo Tarifário'!$D$29*12*'Modelo Tarifário'!$E$36),('Premissas Economias e Água'!V147*'Modelo Tarifário'!$I$36*12*'Modelo Tarifário'!$B$5*'Modelo Tarifário'!$E$36),('Premissas Economias e Água'!V147*'Modelo Tarifário'!$D$29*12*'Modelo Tarifário'!$E$36))</f>
        <v>88011.748225369942</v>
      </c>
      <c r="V23" s="1340">
        <f>IF(('Premissas Economias e Água'!W147*'Modelo Tarifário'!$I$36*12*'Modelo Tarifário'!$B$5*'Modelo Tarifário'!$E$36)&gt;('Premissas Economias e Água'!W147*'Modelo Tarifário'!$D$29*12*'Modelo Tarifário'!$E$36),('Premissas Economias e Água'!W147*'Modelo Tarifário'!$I$36*12*'Modelo Tarifário'!$B$5*'Modelo Tarifário'!$E$36),('Premissas Economias e Água'!W147*'Modelo Tarifário'!$D$29*12*'Modelo Tarifário'!$E$36))</f>
        <v>87638.867648899934</v>
      </c>
      <c r="W23" s="1340">
        <f>IF(('Premissas Economias e Água'!X147*'Modelo Tarifário'!$I$36*12*'Modelo Tarifário'!$B$5*'Modelo Tarifário'!$E$36)&gt;('Premissas Economias e Água'!X147*'Modelo Tarifário'!$D$29*12*'Modelo Tarifário'!$E$36),('Premissas Economias e Água'!X147*'Modelo Tarifário'!$I$36*12*'Modelo Tarifário'!$B$5*'Modelo Tarifário'!$E$36),('Premissas Economias e Água'!X147*'Modelo Tarifário'!$D$29*12*'Modelo Tarifário'!$E$36))</f>
        <v>87265.987072429925</v>
      </c>
      <c r="X23" s="1340">
        <f>IF(('Premissas Economias e Água'!Y147*'Modelo Tarifário'!$I$36*12*'Modelo Tarifário'!$B$5*'Modelo Tarifário'!$E$36)&gt;('Premissas Economias e Água'!Y147*'Modelo Tarifário'!$D$29*12*'Modelo Tarifário'!$E$36),('Premissas Economias e Água'!Y147*'Modelo Tarifário'!$I$36*12*'Modelo Tarifário'!$B$5*'Modelo Tarifário'!$E$36),('Premissas Economias e Água'!Y147*'Modelo Tarifário'!$D$29*12*'Modelo Tarifário'!$E$36))</f>
        <v>86893.106495959917</v>
      </c>
      <c r="Y23" s="1340">
        <f>IF(('Premissas Economias e Água'!Z147*'Modelo Tarifário'!$I$36*12*'Modelo Tarifário'!$B$5*'Modelo Tarifário'!$E$36)&gt;('Premissas Economias e Água'!Z147*'Modelo Tarifário'!$D$29*12*'Modelo Tarifário'!$E$36),('Premissas Economias e Água'!Z147*'Modelo Tarifário'!$I$36*12*'Modelo Tarifário'!$B$5*'Modelo Tarifário'!$E$36),('Premissas Economias e Água'!Z147*'Modelo Tarifário'!$D$29*12*'Modelo Tarifário'!$E$36))</f>
        <v>86523.208964101665</v>
      </c>
      <c r="Z23" s="1340">
        <f>IF(('Premissas Economias e Água'!AA147*'Modelo Tarifário'!$I$36*12*'Modelo Tarifário'!$B$5*'Modelo Tarifário'!$E$36)&gt;('Premissas Economias e Água'!AA147*'Modelo Tarifário'!$D$29*12*'Modelo Tarifário'!$E$36),('Premissas Economias e Água'!AA147*'Modelo Tarifário'!$I$36*12*'Modelo Tarifário'!$B$5*'Modelo Tarifário'!$E$36),('Premissas Economias e Água'!AA147*'Modelo Tarifário'!$D$29*12*'Modelo Tarifário'!$E$36))</f>
        <v>86150.328387631642</v>
      </c>
      <c r="AA23" s="1340">
        <f>IF(('Premissas Economias e Água'!AB147*'Modelo Tarifário'!$I$36*12*'Modelo Tarifário'!$B$5*'Modelo Tarifário'!$E$36)&gt;('Premissas Economias e Água'!AB147*'Modelo Tarifário'!$D$29*12*'Modelo Tarifário'!$E$36),('Premissas Economias e Água'!AB147*'Modelo Tarifário'!$I$36*12*'Modelo Tarifário'!$B$5*'Modelo Tarifário'!$E$36),('Premissas Economias e Água'!AB147*'Modelo Tarifário'!$D$29*12*'Modelo Tarifário'!$E$36))</f>
        <v>85777.447811161634</v>
      </c>
      <c r="AB23" s="1340">
        <f>IF(('Premissas Economias e Água'!AC147*'Modelo Tarifário'!$I$36*12*'Modelo Tarifário'!$B$5*'Modelo Tarifário'!$E$36)&gt;('Premissas Economias e Água'!AC147*'Modelo Tarifário'!$D$29*12*'Modelo Tarifário'!$E$36),('Premissas Economias e Água'!AC147*'Modelo Tarifário'!$I$36*12*'Modelo Tarifário'!$B$5*'Modelo Tarifário'!$E$36),('Premissas Economias e Água'!AC147*'Modelo Tarifário'!$D$29*12*'Modelo Tarifário'!$E$36))</f>
        <v>85404.567234691611</v>
      </c>
      <c r="AC23" s="1340">
        <f>IF(('Premissas Economias e Água'!AD147*'Modelo Tarifário'!$I$36*12*'Modelo Tarifário'!$B$5*'Modelo Tarifário'!$E$36)&gt;('Premissas Economias e Água'!AD147*'Modelo Tarifário'!$D$29*12*'Modelo Tarifário'!$E$36),('Premissas Economias e Água'!AD147*'Modelo Tarifário'!$I$36*12*'Modelo Tarifário'!$B$5*'Modelo Tarifário'!$E$36),('Premissas Economias e Água'!AD147*'Modelo Tarifário'!$D$29*12*'Modelo Tarifário'!$E$36))</f>
        <v>85031.686658221603</v>
      </c>
      <c r="AD23" s="1340">
        <f>IF(('Premissas Economias e Água'!AE147*'Modelo Tarifário'!$I$36*12*'Modelo Tarifário'!$B$5*'Modelo Tarifário'!$E$36)&gt;('Premissas Economias e Água'!AE147*'Modelo Tarifário'!$D$29*12*'Modelo Tarifário'!$E$36),('Premissas Economias e Água'!AE147*'Modelo Tarifário'!$I$36*12*'Modelo Tarifário'!$B$5*'Modelo Tarifário'!$E$36),('Premissas Economias e Água'!AE147*'Modelo Tarifário'!$D$29*12*'Modelo Tarifário'!$E$36))</f>
        <v>84658.806081751594</v>
      </c>
      <c r="AE23" s="1340">
        <f>IF(('Premissas Economias e Água'!AF147*'Modelo Tarifário'!$I$36*12*'Modelo Tarifário'!$B$5*'Modelo Tarifário'!$E$36)&gt;('Premissas Economias e Água'!AF147*'Modelo Tarifário'!$D$29*12*'Modelo Tarifário'!$E$36),('Premissas Economias e Água'!AF147*'Modelo Tarifário'!$I$36*12*'Modelo Tarifário'!$B$5*'Modelo Tarifário'!$E$36),('Premissas Economias e Água'!AF147*'Modelo Tarifário'!$D$29*12*'Modelo Tarifário'!$E$36))</f>
        <v>84285.925505281572</v>
      </c>
      <c r="AF23" s="1340">
        <f>IF(('Premissas Economias e Água'!AG147*'Modelo Tarifário'!$I$36*12*'Modelo Tarifário'!$B$5*'Modelo Tarifário'!$E$36)&gt;('Premissas Economias e Água'!AG147*'Modelo Tarifário'!$D$29*12*'Modelo Tarifário'!$E$36),('Premissas Economias e Água'!AG147*'Modelo Tarifário'!$I$36*12*'Modelo Tarifário'!$B$5*'Modelo Tarifário'!$E$36),('Premissas Economias e Água'!AG147*'Modelo Tarifário'!$D$29*12*'Modelo Tarifário'!$E$36))</f>
        <v>83913.044928811563</v>
      </c>
      <c r="AG23" s="1340">
        <f>IF(('Premissas Economias e Água'!AH147*'Modelo Tarifário'!$I$36*12*'Modelo Tarifário'!$B$5*'Modelo Tarifário'!$E$36)&gt;('Premissas Economias e Água'!AH147*'Modelo Tarifário'!$D$29*12*'Modelo Tarifário'!$E$36),('Premissas Economias e Água'!AH147*'Modelo Tarifário'!$I$36*12*'Modelo Tarifário'!$B$5*'Modelo Tarifário'!$E$36),('Premissas Economias e Água'!AH147*'Modelo Tarifário'!$D$29*12*'Modelo Tarifário'!$E$36))</f>
        <v>83540.164352341555</v>
      </c>
      <c r="AH23" s="1340">
        <f>IF(('Premissas Economias e Água'!AI147*'Modelo Tarifário'!$I$36*12*'Modelo Tarifário'!$B$5*'Modelo Tarifário'!$E$36)&gt;('Premissas Economias e Água'!AI147*'Modelo Tarifário'!$D$29*12*'Modelo Tarifário'!$E$36),('Premissas Economias e Água'!AI147*'Modelo Tarifário'!$I$36*12*'Modelo Tarifário'!$B$5*'Modelo Tarifário'!$E$36),('Premissas Economias e Água'!AI147*'Modelo Tarifário'!$D$29*12*'Modelo Tarifário'!$E$36))</f>
        <v>83167.283775871547</v>
      </c>
    </row>
    <row r="24" spans="2:34" s="79" customFormat="1" ht="12" outlineLevel="1" x14ac:dyDescent="0.3">
      <c r="B24" s="1339"/>
      <c r="C24" s="1335" t="s">
        <v>278</v>
      </c>
      <c r="D24" s="1335"/>
      <c r="E24" s="1340">
        <f>IF(((E8*'Modelo Tarifário'!$C$54*'Modelo Tarifário'!$E$37)*('Premissas Economias e Água'!F288))&gt;('Premissas Economias e Água'!F148*'Modelo Tarifário'!$D$29*12*'Modelo Tarifário'!$C$54*'Modelo Tarifário'!$E$37),(E8*'Modelo Tarifário'!$C$54*'Modelo Tarifário'!$E$37)*('Premissas Economias e Água'!F288),('Premissas Economias e Água'!F148*'Modelo Tarifário'!$D$29*12*'Modelo Tarifário'!$C$54*'Modelo Tarifário'!$E$37))</f>
        <v>596646.99016733468</v>
      </c>
      <c r="F24" s="1340">
        <f>IF(((F8*'Modelo Tarifário'!$C$54*'Modelo Tarifário'!$E$37)*('Premissas Economias e Água'!G288))&gt;('Premissas Economias e Água'!G148*'Modelo Tarifário'!$D$29*12*'Modelo Tarifário'!$C$54*'Modelo Tarifário'!$E$37),(F8*'Modelo Tarifário'!$C$54*'Modelo Tarifário'!$E$37)*('Premissas Economias e Água'!G288),('Premissas Economias e Água'!G148*'Modelo Tarifário'!$D$29*12*'Modelo Tarifário'!$C$54*'Modelo Tarifário'!$E$37))</f>
        <v>596982.80657684477</v>
      </c>
      <c r="G24" s="1340">
        <f>IF(((G8*'Modelo Tarifário'!$C$54*'Modelo Tarifário'!$E$37)*('Premissas Economias e Água'!H288))&gt;('Premissas Economias e Água'!H148*'Modelo Tarifário'!$D$29*12*'Modelo Tarifário'!$C$54*'Modelo Tarifário'!$E$37),(G8*'Modelo Tarifário'!$C$54*'Modelo Tarifário'!$E$37)*('Premissas Economias e Água'!H288),('Premissas Economias e Água'!H148*'Modelo Tarifário'!$D$29*12*'Modelo Tarifário'!$C$54*'Modelo Tarifário'!$E$37))</f>
        <v>597318.62298635487</v>
      </c>
      <c r="H24" s="1340">
        <f>IF(((H8*'Modelo Tarifário'!$C$54*'Modelo Tarifário'!$E$37)*('Premissas Economias e Água'!I288))&gt;('Premissas Economias e Água'!I148*'Modelo Tarifário'!$D$29*12*'Modelo Tarifário'!$C$54*'Modelo Tarifário'!$E$37),(H8*'Modelo Tarifário'!$C$54*'Modelo Tarifário'!$E$37)*('Premissas Economias e Água'!I288),('Premissas Economias e Água'!I148*'Modelo Tarifário'!$D$29*12*'Modelo Tarifário'!$C$54*'Modelo Tarifário'!$E$37))</f>
        <v>597654.43939586496</v>
      </c>
      <c r="I24" s="1340">
        <f>IF(((I8*'Modelo Tarifário'!$C$54*'Modelo Tarifário'!$E$37)*('Premissas Economias e Água'!J288))&gt;('Premissas Economias e Água'!J148*'Modelo Tarifário'!$D$29*12*'Modelo Tarifário'!$C$54*'Modelo Tarifário'!$E$37),(I8*'Modelo Tarifário'!$C$54*'Modelo Tarifário'!$E$37)*('Premissas Economias e Água'!J288),('Premissas Economias e Água'!J148*'Modelo Tarifário'!$D$29*12*'Modelo Tarifário'!$C$54*'Modelo Tarifário'!$E$37))</f>
        <v>597990.25580537529</v>
      </c>
      <c r="J24" s="1340">
        <f>IF(((J8*'Modelo Tarifário'!$C$54*'Modelo Tarifário'!$E$37)*('Premissas Economias e Água'!K288))&gt;('Premissas Economias e Água'!K148*'Modelo Tarifário'!$D$29*12*'Modelo Tarifário'!$C$54*'Modelo Tarifário'!$E$37),(J8*'Modelo Tarifário'!$C$54*'Modelo Tarifário'!$E$37)*('Premissas Economias e Água'!K288),('Premissas Economias e Água'!K148*'Modelo Tarifário'!$D$29*12*'Modelo Tarifário'!$C$54*'Modelo Tarifário'!$E$37))</f>
        <v>598365.58002776897</v>
      </c>
      <c r="K24" s="1340">
        <f>IF(((K8*'Modelo Tarifário'!$C$54*'Modelo Tarifário'!$E$37)*('Premissas Economias e Água'!L288))&gt;('Premissas Economias e Água'!L148*'Modelo Tarifário'!$D$29*12*'Modelo Tarifário'!$C$54*'Modelo Tarifário'!$E$37),(K8*'Modelo Tarifário'!$C$54*'Modelo Tarifário'!$E$37)*('Premissas Economias e Água'!L288),('Premissas Economias e Água'!L148*'Modelo Tarifário'!$D$29*12*'Modelo Tarifário'!$C$54*'Modelo Tarifário'!$E$37))</f>
        <v>597476.6542378891</v>
      </c>
      <c r="L24" s="1340">
        <f>IF(((L8*'Modelo Tarifário'!$C$54*'Modelo Tarifário'!$E$37)*('Premissas Economias e Água'!M288))&gt;('Premissas Economias e Água'!M148*'Modelo Tarifário'!$D$29*12*'Modelo Tarifário'!$C$54*'Modelo Tarifário'!$E$37),(L8*'Modelo Tarifário'!$C$54*'Modelo Tarifário'!$E$37)*('Premissas Economias e Água'!M288),('Premissas Economias e Água'!M148*'Modelo Tarifário'!$D$29*12*'Modelo Tarifário'!$C$54*'Modelo Tarifário'!$E$37))</f>
        <v>596587.72844800935</v>
      </c>
      <c r="M24" s="1340">
        <f>IF(((M8*'Modelo Tarifário'!$C$54*'Modelo Tarifário'!$E$37)*('Premissas Economias e Água'!N288))&gt;('Premissas Economias e Água'!N148*'Modelo Tarifário'!$D$29*12*'Modelo Tarifário'!$C$54*'Modelo Tarifário'!$E$37),(M8*'Modelo Tarifário'!$C$54*'Modelo Tarifário'!$E$37)*('Premissas Economias e Água'!N288),('Premissas Economias e Água'!N148*'Modelo Tarifário'!$D$29*12*'Modelo Tarifário'!$C$54*'Modelo Tarifário'!$E$37))</f>
        <v>595698.80265812948</v>
      </c>
      <c r="N24" s="1340">
        <f>IF(((N8*'Modelo Tarifário'!$C$54*'Modelo Tarifário'!$E$37)*('Premissas Economias e Água'!O288))&gt;('Premissas Economias e Água'!O148*'Modelo Tarifário'!$D$29*12*'Modelo Tarifário'!$C$54*'Modelo Tarifário'!$E$37),(N8*'Modelo Tarifário'!$C$54*'Modelo Tarifário'!$E$37)*('Premissas Economias e Água'!O288),('Premissas Economias e Água'!O148*'Modelo Tarifário'!$D$29*12*'Modelo Tarifário'!$C$54*'Modelo Tarifário'!$E$37))</f>
        <v>594809.87686824962</v>
      </c>
      <c r="O24" s="1340">
        <f>IF(((O8*'Modelo Tarifário'!$C$54*'Modelo Tarifário'!$E$37)*('Premissas Economias e Água'!P288))&gt;('Premissas Economias e Água'!P148*'Modelo Tarifário'!$D$29*12*'Modelo Tarifário'!$C$54*'Modelo Tarifário'!$E$37),(O8*'Modelo Tarifário'!$C$54*'Modelo Tarifário'!$E$37)*('Premissas Economias e Água'!P288),('Premissas Economias e Água'!P148*'Modelo Tarifário'!$D$29*12*'Modelo Tarifário'!$C$54*'Modelo Tarifário'!$E$37))</f>
        <v>593920.95107836986</v>
      </c>
      <c r="P24" s="1340">
        <f>IF(((P8*'Modelo Tarifário'!$C$54*'Modelo Tarifário'!$E$37)*('Premissas Economias e Água'!Q288))&gt;('Premissas Economias e Água'!Q148*'Modelo Tarifário'!$D$29*12*'Modelo Tarifário'!$C$54*'Modelo Tarifário'!$E$37),(P8*'Modelo Tarifário'!$C$54*'Modelo Tarifário'!$E$37)*('Premissas Economias e Água'!Q288),('Premissas Economias e Água'!Q148*'Modelo Tarifário'!$D$29*12*'Modelo Tarifário'!$C$54*'Modelo Tarifário'!$E$37))</f>
        <v>592202.36121793557</v>
      </c>
      <c r="Q24" s="1340">
        <f>IF(((Q8*'Modelo Tarifário'!$C$54*'Modelo Tarifário'!$E$37)*('Premissas Economias e Água'!R288))&gt;('Premissas Economias e Água'!R148*'Modelo Tarifário'!$D$29*12*'Modelo Tarifário'!$C$54*'Modelo Tarifário'!$E$37),(Q8*'Modelo Tarifário'!$C$54*'Modelo Tarifário'!$E$37)*('Premissas Economias e Água'!R288),('Premissas Economias e Água'!R148*'Modelo Tarifário'!$D$29*12*'Modelo Tarifário'!$C$54*'Modelo Tarifário'!$E$37))</f>
        <v>590483.77135750116</v>
      </c>
      <c r="R24" s="1340">
        <f>IF(((R8*'Modelo Tarifário'!$C$54*'Modelo Tarifário'!$E$37)*('Premissas Economias e Água'!S288))&gt;('Premissas Economias e Água'!S148*'Modelo Tarifário'!$D$29*12*'Modelo Tarifário'!$C$54*'Modelo Tarifário'!$E$37),(R8*'Modelo Tarifário'!$C$54*'Modelo Tarifário'!$E$37)*('Premissas Economias e Água'!S288),('Premissas Economias e Água'!S148*'Modelo Tarifário'!$D$29*12*'Modelo Tarifário'!$C$54*'Modelo Tarifário'!$E$37))</f>
        <v>588765.18149706698</v>
      </c>
      <c r="S24" s="1340">
        <f>IF(((S8*'Modelo Tarifário'!$C$54*'Modelo Tarifário'!$E$37)*('Premissas Economias e Água'!T288))&gt;('Premissas Economias e Água'!T148*'Modelo Tarifário'!$D$29*12*'Modelo Tarifário'!$C$54*'Modelo Tarifário'!$E$37),(S8*'Modelo Tarifário'!$C$54*'Modelo Tarifário'!$E$37)*('Premissas Economias e Água'!T288),('Premissas Economias e Água'!T148*'Modelo Tarifário'!$D$29*12*'Modelo Tarifário'!$C$54*'Modelo Tarifário'!$E$37))</f>
        <v>587046.59163663245</v>
      </c>
      <c r="T24" s="1340">
        <f>IF(((T8*'Modelo Tarifário'!$C$54*'Modelo Tarifário'!$E$37)*('Premissas Economias e Água'!U288))&gt;('Premissas Economias e Água'!U148*'Modelo Tarifário'!$D$29*12*'Modelo Tarifário'!$C$54*'Modelo Tarifário'!$E$37),(T8*'Modelo Tarifário'!$C$54*'Modelo Tarifário'!$E$37)*('Premissas Economias e Água'!U288),('Premissas Economias e Água'!U148*'Modelo Tarifário'!$D$29*12*'Modelo Tarifário'!$C$54*'Modelo Tarifário'!$E$37))</f>
        <v>585288.49396331469</v>
      </c>
      <c r="U24" s="1340">
        <f>IF(((U8*'Modelo Tarifário'!$C$54*'Modelo Tarifário'!$E$37)*('Premissas Economias e Água'!V288))&gt;('Premissas Economias e Água'!V148*'Modelo Tarifário'!$D$29*12*'Modelo Tarifário'!$C$54*'Modelo Tarifário'!$E$37),(U8*'Modelo Tarifário'!$C$54*'Modelo Tarifário'!$E$37)*('Premissas Economias e Água'!V288),('Premissas Economias e Água'!V148*'Modelo Tarifário'!$D$29*12*'Modelo Tarifário'!$C$54*'Modelo Tarifário'!$E$37))</f>
        <v>582819.25565809291</v>
      </c>
      <c r="V24" s="1340">
        <f>IF(((V8*'Modelo Tarifário'!$C$54*'Modelo Tarifário'!$E$37)*('Premissas Economias e Água'!W288))&gt;('Premissas Economias e Água'!W148*'Modelo Tarifário'!$D$29*12*'Modelo Tarifário'!$C$54*'Modelo Tarifário'!$E$37),(V8*'Modelo Tarifário'!$C$54*'Modelo Tarifário'!$E$37)*('Premissas Economias e Água'!W288),('Premissas Economias e Água'!W148*'Modelo Tarifário'!$D$29*12*'Modelo Tarifário'!$C$54*'Modelo Tarifário'!$E$37))</f>
        <v>580350.01735287125</v>
      </c>
      <c r="W24" s="1340">
        <f>IF(((W8*'Modelo Tarifário'!$C$54*'Modelo Tarifário'!$E$37)*('Premissas Economias e Água'!X288))&gt;('Premissas Economias e Água'!X148*'Modelo Tarifário'!$D$29*12*'Modelo Tarifário'!$C$54*'Modelo Tarifário'!$E$37),(W8*'Modelo Tarifário'!$C$54*'Modelo Tarifário'!$E$37)*('Premissas Economias e Água'!X288),('Premissas Economias e Água'!X148*'Modelo Tarifário'!$D$29*12*'Modelo Tarifário'!$C$54*'Modelo Tarifário'!$E$37))</f>
        <v>577880.77904764959</v>
      </c>
      <c r="X24" s="1340">
        <f>IF(((X8*'Modelo Tarifário'!$C$54*'Modelo Tarifário'!$E$37)*('Premissas Economias e Água'!Y288))&gt;('Premissas Economias e Água'!Y148*'Modelo Tarifário'!$D$29*12*'Modelo Tarifário'!$C$54*'Modelo Tarifário'!$E$37),(X8*'Modelo Tarifário'!$C$54*'Modelo Tarifário'!$E$37)*('Premissas Economias e Água'!Y288),('Premissas Economias e Água'!Y148*'Modelo Tarifário'!$D$29*12*'Modelo Tarifário'!$C$54*'Modelo Tarifário'!$E$37))</f>
        <v>575411.54074242781</v>
      </c>
      <c r="Y24" s="1340">
        <f>IF(((Y8*'Modelo Tarifário'!$C$54*'Modelo Tarifário'!$E$37)*('Premissas Economias e Água'!Z288))&gt;('Premissas Economias e Água'!Z148*'Modelo Tarifário'!$D$29*12*'Modelo Tarifário'!$C$54*'Modelo Tarifário'!$E$37),(Y8*'Modelo Tarifário'!$C$54*'Modelo Tarifário'!$E$37)*('Premissas Economias e Água'!Z288),('Premissas Economias e Água'!Z148*'Modelo Tarifário'!$D$29*12*'Modelo Tarifário'!$C$54*'Modelo Tarifário'!$E$37))</f>
        <v>572962.05634364788</v>
      </c>
      <c r="Z24" s="1340">
        <f>IF(((Z8*'Modelo Tarifário'!$C$54*'Modelo Tarifário'!$E$37)*('Premissas Economias e Água'!AA288))&gt;('Premissas Economias e Água'!AA148*'Modelo Tarifário'!$D$29*12*'Modelo Tarifário'!$C$54*'Modelo Tarifário'!$E$37),(Z8*'Modelo Tarifário'!$C$54*'Modelo Tarifário'!$E$37)*('Premissas Economias e Água'!AA288),('Premissas Economias e Água'!AA148*'Modelo Tarifário'!$D$29*12*'Modelo Tarifário'!$C$54*'Modelo Tarifário'!$E$37))</f>
        <v>570492.81803842611</v>
      </c>
      <c r="AA24" s="1340">
        <f>IF(((AA8*'Modelo Tarifário'!$C$54*'Modelo Tarifário'!$E$37)*('Premissas Economias e Água'!AB288))&gt;('Premissas Economias e Água'!AB148*'Modelo Tarifário'!$D$29*12*'Modelo Tarifário'!$C$54*'Modelo Tarifário'!$E$37),(AA8*'Modelo Tarifário'!$C$54*'Modelo Tarifário'!$E$37)*('Premissas Economias e Água'!AB288),('Premissas Economias e Água'!AB148*'Modelo Tarifário'!$D$29*12*'Modelo Tarifário'!$C$54*'Modelo Tarifário'!$E$37))</f>
        <v>568023.57973320445</v>
      </c>
      <c r="AB24" s="1340">
        <f>IF(((AB8*'Modelo Tarifário'!$C$54*'Modelo Tarifário'!$E$37)*('Premissas Economias e Água'!AC288))&gt;('Premissas Economias e Água'!AC148*'Modelo Tarifário'!$D$29*12*'Modelo Tarifário'!$C$54*'Modelo Tarifário'!$E$37),(AB8*'Modelo Tarifário'!$C$54*'Modelo Tarifário'!$E$37)*('Premissas Economias e Água'!AC288),('Premissas Economias e Água'!AC148*'Modelo Tarifário'!$D$29*12*'Modelo Tarifário'!$C$54*'Modelo Tarifário'!$E$37))</f>
        <v>565554.34142798278</v>
      </c>
      <c r="AC24" s="1340">
        <f>IF(((AC8*'Modelo Tarifário'!$C$54*'Modelo Tarifário'!$E$37)*('Premissas Economias e Água'!AD288))&gt;('Premissas Economias e Água'!AD148*'Modelo Tarifário'!$D$29*12*'Modelo Tarifário'!$C$54*'Modelo Tarifário'!$E$37),(AC8*'Modelo Tarifário'!$C$54*'Modelo Tarifário'!$E$37)*('Premissas Economias e Água'!AD288),('Premissas Economias e Água'!AD148*'Modelo Tarifário'!$D$29*12*'Modelo Tarifário'!$C$54*'Modelo Tarifário'!$E$37))</f>
        <v>563085.10312276101</v>
      </c>
      <c r="AD24" s="1340">
        <f>IF(((AD8*'Modelo Tarifário'!$C$54*'Modelo Tarifário'!$E$37)*('Premissas Economias e Água'!AE288))&gt;('Premissas Economias e Água'!AE148*'Modelo Tarifário'!$D$29*12*'Modelo Tarifário'!$C$54*'Modelo Tarifário'!$E$37),(AD8*'Modelo Tarifário'!$C$54*'Modelo Tarifário'!$E$37)*('Premissas Economias e Água'!AE288),('Premissas Economias e Água'!AE148*'Modelo Tarifário'!$D$29*12*'Modelo Tarifário'!$C$54*'Modelo Tarifário'!$E$37))</f>
        <v>560615.86481753923</v>
      </c>
      <c r="AE24" s="1340">
        <f>IF(((AE8*'Modelo Tarifário'!$C$54*'Modelo Tarifário'!$E$37)*('Premissas Economias e Água'!AF288))&gt;('Premissas Economias e Água'!AF148*'Modelo Tarifário'!$D$29*12*'Modelo Tarifário'!$C$54*'Modelo Tarifário'!$E$37),(AE8*'Modelo Tarifário'!$C$54*'Modelo Tarifário'!$E$37)*('Premissas Economias e Água'!AF288),('Premissas Economias e Água'!AF148*'Modelo Tarifário'!$D$29*12*'Modelo Tarifário'!$C$54*'Modelo Tarifário'!$E$37))</f>
        <v>558146.62651231769</v>
      </c>
      <c r="AF24" s="1340">
        <f>IF(((AF8*'Modelo Tarifário'!$C$54*'Modelo Tarifário'!$E$37)*('Premissas Economias e Água'!AG288))&gt;('Premissas Economias e Água'!AG148*'Modelo Tarifário'!$D$29*12*'Modelo Tarifário'!$C$54*'Modelo Tarifário'!$E$37),(AF8*'Modelo Tarifário'!$C$54*'Modelo Tarifário'!$E$37)*('Premissas Economias e Água'!AG288),('Premissas Economias e Água'!AG148*'Modelo Tarifário'!$D$29*12*'Modelo Tarifário'!$C$54*'Modelo Tarifário'!$E$37))</f>
        <v>555677.38820709591</v>
      </c>
      <c r="AG24" s="1340">
        <f>IF(((AG8*'Modelo Tarifário'!$C$54*'Modelo Tarifário'!$E$37)*('Premissas Economias e Água'!AH288))&gt;('Premissas Economias e Água'!AH148*'Modelo Tarifário'!$D$29*12*'Modelo Tarifário'!$C$54*'Modelo Tarifário'!$E$37),(AG8*'Modelo Tarifário'!$C$54*'Modelo Tarifário'!$E$37)*('Premissas Economias e Água'!AH288),('Premissas Economias e Água'!AH148*'Modelo Tarifário'!$D$29*12*'Modelo Tarifário'!$C$54*'Modelo Tarifário'!$E$37))</f>
        <v>553208.14990187401</v>
      </c>
      <c r="AH24" s="1340">
        <f>IF(((AH8*'Modelo Tarifário'!$C$54*'Modelo Tarifário'!$E$37)*('Premissas Economias e Água'!AI288))&gt;('Premissas Economias e Água'!AI148*'Modelo Tarifário'!$D$29*12*'Modelo Tarifário'!$C$54*'Modelo Tarifário'!$E$37),(AH8*'Modelo Tarifário'!$C$54*'Modelo Tarifário'!$E$37)*('Premissas Economias e Água'!AI288),('Premissas Economias e Água'!AI148*'Modelo Tarifário'!$D$29*12*'Modelo Tarifário'!$C$54*'Modelo Tarifário'!$E$37))</f>
        <v>550738.91159665235</v>
      </c>
    </row>
    <row r="25" spans="2:34" s="79" customFormat="1" ht="12" outlineLevel="1" x14ac:dyDescent="0.3">
      <c r="B25" s="1339"/>
      <c r="C25" s="1335" t="s">
        <v>279</v>
      </c>
      <c r="D25" s="1335"/>
      <c r="E25" s="1340">
        <f>IF(((E8*'Modelo Tarifário'!$C$54*'Modelo Tarifário'!$E$38)*('Premissas Economias e Água'!F289))&gt;('Premissas Economias e Água'!F149*'Modelo Tarifário'!$D$29*12*'Modelo Tarifário'!$C$54*'Modelo Tarifário'!$E$38),(E8*'Modelo Tarifário'!$C$54*'Modelo Tarifário'!$E$38)*('Premissas Economias e Água'!F289),('Premissas Economias e Água'!F149*'Modelo Tarifário'!$D$29*12*'Modelo Tarifário'!$C$54*'Modelo Tarifário'!$E$38))</f>
        <v>821460.62937277602</v>
      </c>
      <c r="F25" s="1340">
        <f>IF(((F8*'Modelo Tarifário'!$C$54*'Modelo Tarifário'!$E$38)*('Premissas Economias e Água'!G289))&gt;('Premissas Economias e Água'!G149*'Modelo Tarifário'!$D$29*12*'Modelo Tarifário'!$C$54*'Modelo Tarifário'!$E$38),(F8*'Modelo Tarifário'!$C$54*'Modelo Tarifário'!$E$38)*('Premissas Economias e Água'!G289),('Premissas Economias e Água'!G149*'Modelo Tarifário'!$D$29*12*'Modelo Tarifário'!$C$54*'Modelo Tarifário'!$E$38))</f>
        <v>821922.97974687663</v>
      </c>
      <c r="G25" s="1340">
        <f>IF(((G8*'Modelo Tarifário'!$C$54*'Modelo Tarifário'!$E$38)*('Premissas Economias e Água'!H289))&gt;('Premissas Economias e Água'!H149*'Modelo Tarifário'!$D$29*12*'Modelo Tarifário'!$C$54*'Modelo Tarifário'!$E$38),(G8*'Modelo Tarifário'!$C$54*'Modelo Tarifário'!$E$38)*('Premissas Economias e Água'!H289),('Premissas Economias e Água'!H149*'Modelo Tarifário'!$D$29*12*'Modelo Tarifário'!$C$54*'Modelo Tarifário'!$E$38))</f>
        <v>822385.33012097725</v>
      </c>
      <c r="H25" s="1340">
        <f>IF(((H8*'Modelo Tarifário'!$C$54*'Modelo Tarifário'!$E$38)*('Premissas Economias e Água'!I289))&gt;('Premissas Economias e Água'!I149*'Modelo Tarifário'!$D$29*12*'Modelo Tarifário'!$C$54*'Modelo Tarifário'!$E$38),(H8*'Modelo Tarifário'!$C$54*'Modelo Tarifário'!$E$38)*('Premissas Economias e Água'!I289),('Premissas Economias e Água'!I149*'Modelo Tarifário'!$D$29*12*'Modelo Tarifário'!$C$54*'Modelo Tarifário'!$E$38))</f>
        <v>822847.68049507798</v>
      </c>
      <c r="I25" s="1340">
        <f>IF(((I8*'Modelo Tarifário'!$C$54*'Modelo Tarifário'!$E$38)*('Premissas Economias e Água'!J289))&gt;('Premissas Economias e Água'!J149*'Modelo Tarifário'!$D$29*12*'Modelo Tarifário'!$C$54*'Modelo Tarifário'!$E$38),(I8*'Modelo Tarifário'!$C$54*'Modelo Tarifário'!$E$38)*('Premissas Economias e Água'!J289),('Premissas Economias e Água'!J149*'Modelo Tarifário'!$D$29*12*'Modelo Tarifário'!$C$54*'Modelo Tarifário'!$E$38))</f>
        <v>823310.03086917882</v>
      </c>
      <c r="J25" s="1340">
        <f>IF(((J8*'Modelo Tarifário'!$C$54*'Modelo Tarifário'!$E$38)*('Premissas Economias e Água'!K289))&gt;('Premissas Economias e Água'!K149*'Modelo Tarifário'!$D$29*12*'Modelo Tarifário'!$C$54*'Modelo Tarifário'!$E$38),(J8*'Modelo Tarifário'!$C$54*'Modelo Tarifário'!$E$38)*('Premissas Economias e Água'!K289),('Premissas Economias e Água'!K149*'Modelo Tarifário'!$D$29*12*'Modelo Tarifário'!$C$54*'Modelo Tarifário'!$E$38))</f>
        <v>823826.77540493826</v>
      </c>
      <c r="K25" s="1340">
        <f>IF(((K8*'Modelo Tarifário'!$C$54*'Modelo Tarifário'!$E$38)*('Premissas Economias e Água'!L289))&gt;('Premissas Economias e Água'!L149*'Modelo Tarifário'!$D$29*12*'Modelo Tarifário'!$C$54*'Modelo Tarifário'!$E$38),(K8*'Modelo Tarifário'!$C$54*'Modelo Tarifário'!$E$38)*('Premissas Economias e Água'!L289),('Premissas Economias e Água'!L149*'Modelo Tarifário'!$D$29*12*'Modelo Tarifário'!$C$54*'Modelo Tarifário'!$E$38))</f>
        <v>822602.90676761291</v>
      </c>
      <c r="L25" s="1340">
        <f>IF(((L8*'Modelo Tarifário'!$C$54*'Modelo Tarifário'!$E$38)*('Premissas Economias e Água'!M289))&gt;('Premissas Economias e Água'!M149*'Modelo Tarifário'!$D$29*12*'Modelo Tarifário'!$C$54*'Modelo Tarifário'!$E$38),(L8*'Modelo Tarifário'!$C$54*'Modelo Tarifário'!$E$38)*('Premissas Economias e Água'!M289),('Premissas Economias e Água'!M149*'Modelo Tarifário'!$D$29*12*'Modelo Tarifário'!$C$54*'Modelo Tarifário'!$E$38))</f>
        <v>821379.03813028755</v>
      </c>
      <c r="M25" s="1340">
        <f>IF(((M8*'Modelo Tarifário'!$C$54*'Modelo Tarifário'!$E$38)*('Premissas Economias e Água'!N289))&gt;('Premissas Economias e Água'!N149*'Modelo Tarifário'!$D$29*12*'Modelo Tarifário'!$C$54*'Modelo Tarifário'!$E$38),(M8*'Modelo Tarifário'!$C$54*'Modelo Tarifário'!$E$38)*('Premissas Economias e Água'!N289),('Premissas Economias e Água'!N149*'Modelo Tarifário'!$D$29*12*'Modelo Tarifário'!$C$54*'Modelo Tarifário'!$E$38))</f>
        <v>820155.16949296219</v>
      </c>
      <c r="N25" s="1340">
        <f>IF(((N8*'Modelo Tarifário'!$C$54*'Modelo Tarifário'!$E$38)*('Premissas Economias e Água'!O289))&gt;('Premissas Economias e Água'!O149*'Modelo Tarifário'!$D$29*12*'Modelo Tarifário'!$C$54*'Modelo Tarifário'!$E$38),(N8*'Modelo Tarifário'!$C$54*'Modelo Tarifário'!$E$38)*('Premissas Economias e Água'!O289),('Premissas Economias e Água'!O149*'Modelo Tarifário'!$D$29*12*'Modelo Tarifário'!$C$54*'Modelo Tarifário'!$E$38))</f>
        <v>818931.30085563706</v>
      </c>
      <c r="O25" s="1340">
        <f>IF(((O8*'Modelo Tarifário'!$C$54*'Modelo Tarifário'!$E$38)*('Premissas Economias e Água'!P289))&gt;('Premissas Economias e Água'!P149*'Modelo Tarifário'!$D$29*12*'Modelo Tarifário'!$C$54*'Modelo Tarifário'!$E$38),(O8*'Modelo Tarifário'!$C$54*'Modelo Tarifário'!$E$38)*('Premissas Economias e Água'!P289),('Premissas Economias e Água'!P149*'Modelo Tarifário'!$D$29*12*'Modelo Tarifário'!$C$54*'Modelo Tarifário'!$E$38))</f>
        <v>817707.43221831147</v>
      </c>
      <c r="P25" s="1340">
        <f>IF(((P8*'Modelo Tarifário'!$C$54*'Modelo Tarifário'!$E$38)*('Premissas Economias e Água'!Q289))&gt;('Premissas Economias e Água'!Q149*'Modelo Tarifário'!$D$29*12*'Modelo Tarifário'!$C$54*'Modelo Tarifário'!$E$38),(P8*'Modelo Tarifário'!$C$54*'Modelo Tarifário'!$E$38)*('Premissas Economias e Água'!Q289),('Premissas Economias e Água'!Q149*'Modelo Tarifário'!$D$29*12*'Modelo Tarifário'!$C$54*'Modelo Tarifário'!$E$38))</f>
        <v>815341.28618614911</v>
      </c>
      <c r="Q25" s="1340">
        <f>IF(((Q8*'Modelo Tarifário'!$C$54*'Modelo Tarifário'!$E$38)*('Premissas Economias e Água'!R289))&gt;('Premissas Economias e Água'!R149*'Modelo Tarifário'!$D$29*12*'Modelo Tarifário'!$C$54*'Modelo Tarifário'!$E$38),(Q8*'Modelo Tarifário'!$C$54*'Modelo Tarifário'!$E$38)*('Premissas Economias e Água'!R289),('Premissas Economias e Água'!R149*'Modelo Tarifário'!$D$29*12*'Modelo Tarifário'!$C$54*'Modelo Tarifário'!$E$38))</f>
        <v>812975.14015398663</v>
      </c>
      <c r="R25" s="1340">
        <f>IF(((R8*'Modelo Tarifário'!$C$54*'Modelo Tarifário'!$E$38)*('Premissas Economias e Água'!S289))&gt;('Premissas Economias e Água'!S149*'Modelo Tarifário'!$D$29*12*'Modelo Tarifário'!$C$54*'Modelo Tarifário'!$E$38),(R8*'Modelo Tarifário'!$C$54*'Modelo Tarifário'!$E$38)*('Premissas Economias e Água'!S289),('Premissas Economias e Água'!S149*'Modelo Tarifário'!$D$29*12*'Modelo Tarifário'!$C$54*'Modelo Tarifário'!$E$38))</f>
        <v>810608.99412182462</v>
      </c>
      <c r="S25" s="1340">
        <f>IF(((S8*'Modelo Tarifário'!$C$54*'Modelo Tarifário'!$E$38)*('Premissas Economias e Água'!T289))&gt;('Premissas Economias e Água'!T149*'Modelo Tarifário'!$D$29*12*'Modelo Tarifário'!$C$54*'Modelo Tarifário'!$E$38),(S8*'Modelo Tarifário'!$C$54*'Modelo Tarifário'!$E$38)*('Premissas Economias e Água'!T289),('Premissas Economias e Água'!T149*'Modelo Tarifário'!$D$29*12*'Modelo Tarifário'!$C$54*'Modelo Tarifário'!$E$38))</f>
        <v>808242.84808966215</v>
      </c>
      <c r="T25" s="1340">
        <f>IF(((T8*'Modelo Tarifário'!$C$54*'Modelo Tarifário'!$E$38)*('Premissas Economias e Água'!U289))&gt;('Premissas Economias e Água'!U149*'Modelo Tarifário'!$D$29*12*'Modelo Tarifário'!$C$54*'Modelo Tarifário'!$E$38),(T8*'Modelo Tarifário'!$C$54*'Modelo Tarifário'!$E$38)*('Premissas Economias e Água'!U289),('Premissas Economias e Água'!U149*'Modelo Tarifário'!$D$29*12*'Modelo Tarifário'!$C$54*'Modelo Tarifário'!$E$38))</f>
        <v>805822.30789584108</v>
      </c>
      <c r="U25" s="1340">
        <f>IF(((U8*'Modelo Tarifário'!$C$54*'Modelo Tarifário'!$E$38)*('Premissas Economias e Água'!V289))&gt;('Premissas Economias e Água'!V149*'Modelo Tarifário'!$D$29*12*'Modelo Tarifário'!$C$54*'Modelo Tarifário'!$E$38),(U8*'Modelo Tarifário'!$C$54*'Modelo Tarifário'!$E$38)*('Premissas Economias e Água'!V289),('Premissas Economias e Água'!V149*'Modelo Tarifário'!$D$29*12*'Modelo Tarifário'!$C$54*'Modelo Tarifário'!$E$38))</f>
        <v>802422.67279215925</v>
      </c>
      <c r="V25" s="1340">
        <f>IF(((V8*'Modelo Tarifário'!$C$54*'Modelo Tarifário'!$E$38)*('Premissas Economias e Água'!W289))&gt;('Premissas Economias e Água'!W149*'Modelo Tarifário'!$D$29*12*'Modelo Tarifário'!$C$54*'Modelo Tarifário'!$E$38),(V8*'Modelo Tarifário'!$C$54*'Modelo Tarifário'!$E$38)*('Premissas Economias e Água'!W289),('Premissas Economias e Água'!W149*'Modelo Tarifário'!$D$29*12*'Modelo Tarifário'!$C$54*'Modelo Tarifário'!$E$38))</f>
        <v>799023.03768847778</v>
      </c>
      <c r="W25" s="1340">
        <f>IF(((W8*'Modelo Tarifário'!$C$54*'Modelo Tarifário'!$E$38)*('Premissas Economias e Água'!X289))&gt;('Premissas Economias e Água'!X149*'Modelo Tarifário'!$D$29*12*'Modelo Tarifário'!$C$54*'Modelo Tarifário'!$E$38),(W8*'Modelo Tarifário'!$C$54*'Modelo Tarifário'!$E$38)*('Premissas Economias e Água'!X289),('Premissas Economias e Água'!X149*'Modelo Tarifário'!$D$29*12*'Modelo Tarifário'!$C$54*'Modelo Tarifário'!$E$38))</f>
        <v>795623.40258479642</v>
      </c>
      <c r="X25" s="1340">
        <f>IF(((X8*'Modelo Tarifário'!$C$54*'Modelo Tarifário'!$E$38)*('Premissas Economias e Água'!Y289))&gt;('Premissas Economias e Água'!Y149*'Modelo Tarifário'!$D$29*12*'Modelo Tarifário'!$C$54*'Modelo Tarifário'!$E$38),(X8*'Modelo Tarifário'!$C$54*'Modelo Tarifário'!$E$38)*('Premissas Economias e Água'!Y289),('Premissas Economias e Água'!Y149*'Modelo Tarifário'!$D$29*12*'Modelo Tarifário'!$C$54*'Modelo Tarifário'!$E$38))</f>
        <v>792223.76748111472</v>
      </c>
      <c r="Y25" s="1340">
        <f>IF(((Y8*'Modelo Tarifário'!$C$54*'Modelo Tarifário'!$E$38)*('Premissas Economias e Água'!Z289))&gt;('Premissas Economias e Água'!Z149*'Modelo Tarifário'!$D$29*12*'Modelo Tarifário'!$C$54*'Modelo Tarifário'!$E$38),(Y8*'Modelo Tarifário'!$C$54*'Modelo Tarifário'!$E$38)*('Premissas Economias e Água'!Z289),('Premissas Economias e Água'!Z149*'Modelo Tarifário'!$D$29*12*'Modelo Tarifário'!$C$54*'Modelo Tarifário'!$E$38))</f>
        <v>788851.32945826277</v>
      </c>
      <c r="Z25" s="1340">
        <f>IF(((Z8*'Modelo Tarifário'!$C$54*'Modelo Tarifário'!$E$38)*('Premissas Economias e Água'!AA289))&gt;('Premissas Economias e Água'!AA149*'Modelo Tarifário'!$D$29*12*'Modelo Tarifário'!$C$54*'Modelo Tarifário'!$E$38),(Z8*'Modelo Tarifário'!$C$54*'Modelo Tarifário'!$E$38)*('Premissas Economias e Água'!AA289),('Premissas Economias e Água'!AA149*'Modelo Tarifário'!$D$29*12*'Modelo Tarifário'!$C$54*'Modelo Tarifário'!$E$38))</f>
        <v>785451.69435458118</v>
      </c>
      <c r="AA25" s="1340">
        <f>IF(((AA8*'Modelo Tarifário'!$C$54*'Modelo Tarifário'!$E$38)*('Premissas Economias e Água'!AB289))&gt;('Premissas Economias e Água'!AB149*'Modelo Tarifário'!$D$29*12*'Modelo Tarifário'!$C$54*'Modelo Tarifário'!$E$38),(AA8*'Modelo Tarifário'!$C$54*'Modelo Tarifário'!$E$38)*('Premissas Economias e Água'!AB289),('Premissas Economias e Água'!AB149*'Modelo Tarifário'!$D$29*12*'Modelo Tarifário'!$C$54*'Modelo Tarifário'!$E$38))</f>
        <v>782052.05925089959</v>
      </c>
      <c r="AB25" s="1340">
        <f>IF(((AB8*'Modelo Tarifário'!$C$54*'Modelo Tarifário'!$E$38)*('Premissas Economias e Água'!AC289))&gt;('Premissas Economias e Água'!AC149*'Modelo Tarifário'!$D$29*12*'Modelo Tarifário'!$C$54*'Modelo Tarifário'!$E$38),(AB8*'Modelo Tarifário'!$C$54*'Modelo Tarifário'!$E$38)*('Premissas Economias e Água'!AC289),('Premissas Economias e Água'!AC149*'Modelo Tarifário'!$D$29*12*'Modelo Tarifário'!$C$54*'Modelo Tarifário'!$E$38))</f>
        <v>778652.42414721812</v>
      </c>
      <c r="AC25" s="1340">
        <f>IF(((AC8*'Modelo Tarifário'!$C$54*'Modelo Tarifário'!$E$38)*('Premissas Economias e Água'!AD289))&gt;('Premissas Economias e Água'!AD149*'Modelo Tarifário'!$D$29*12*'Modelo Tarifário'!$C$54*'Modelo Tarifário'!$E$38),(AC8*'Modelo Tarifário'!$C$54*'Modelo Tarifário'!$E$38)*('Premissas Economias e Água'!AD289),('Premissas Economias e Água'!AD149*'Modelo Tarifário'!$D$29*12*'Modelo Tarifário'!$C$54*'Modelo Tarifário'!$E$38))</f>
        <v>775252.78904353653</v>
      </c>
      <c r="AD25" s="1340">
        <f>IF(((AD8*'Modelo Tarifário'!$C$54*'Modelo Tarifário'!$E$38)*('Premissas Economias e Água'!AE289))&gt;('Premissas Economias e Água'!AE149*'Modelo Tarifário'!$D$29*12*'Modelo Tarifário'!$C$54*'Modelo Tarifário'!$E$38),(AD8*'Modelo Tarifário'!$C$54*'Modelo Tarifário'!$E$38)*('Premissas Economias e Água'!AE289),('Premissas Economias e Água'!AE149*'Modelo Tarifário'!$D$29*12*'Modelo Tarifário'!$C$54*'Modelo Tarifário'!$E$38))</f>
        <v>771853.15393985505</v>
      </c>
      <c r="AE25" s="1340">
        <f>IF(((AE8*'Modelo Tarifário'!$C$54*'Modelo Tarifário'!$E$38)*('Premissas Economias e Água'!AF289))&gt;('Premissas Economias e Água'!AF149*'Modelo Tarifário'!$D$29*12*'Modelo Tarifário'!$C$54*'Modelo Tarifário'!$E$38),(AE8*'Modelo Tarifário'!$C$54*'Modelo Tarifário'!$E$38)*('Premissas Economias e Água'!AF289),('Premissas Economias e Água'!AF149*'Modelo Tarifário'!$D$29*12*'Modelo Tarifário'!$C$54*'Modelo Tarifário'!$E$38))</f>
        <v>768453.51883617358</v>
      </c>
      <c r="AF25" s="1340">
        <f>IF(((AF8*'Modelo Tarifário'!$C$54*'Modelo Tarifário'!$E$38)*('Premissas Economias e Água'!AG289))&gt;('Premissas Economias e Água'!AG149*'Modelo Tarifário'!$D$29*12*'Modelo Tarifário'!$C$54*'Modelo Tarifário'!$E$38),(AF8*'Modelo Tarifário'!$C$54*'Modelo Tarifário'!$E$38)*('Premissas Economias e Água'!AG289),('Premissas Economias e Água'!AG149*'Modelo Tarifário'!$D$29*12*'Modelo Tarifário'!$C$54*'Modelo Tarifário'!$E$38))</f>
        <v>765053.88373249199</v>
      </c>
      <c r="AG25" s="1340">
        <f>IF(((AG8*'Modelo Tarifário'!$C$54*'Modelo Tarifário'!$E$38)*('Premissas Economias e Água'!AH289))&gt;('Premissas Economias e Água'!AH149*'Modelo Tarifário'!$D$29*12*'Modelo Tarifário'!$C$54*'Modelo Tarifário'!$E$38),(AG8*'Modelo Tarifário'!$C$54*'Modelo Tarifário'!$E$38)*('Premissas Economias e Água'!AH289),('Premissas Economias e Água'!AH149*'Modelo Tarifário'!$D$29*12*'Modelo Tarifário'!$C$54*'Modelo Tarifário'!$E$38))</f>
        <v>761654.2486288104</v>
      </c>
      <c r="AH25" s="1340">
        <f>IF(((AH8*'Modelo Tarifário'!$C$54*'Modelo Tarifário'!$E$38)*('Premissas Economias e Água'!AI289))&gt;('Premissas Economias e Água'!AI149*'Modelo Tarifário'!$D$29*12*'Modelo Tarifário'!$C$54*'Modelo Tarifário'!$E$38),(AH8*'Modelo Tarifário'!$C$54*'Modelo Tarifário'!$E$38)*('Premissas Economias e Água'!AI289),('Premissas Economias e Água'!AI149*'Modelo Tarifário'!$D$29*12*'Modelo Tarifário'!$C$54*'Modelo Tarifário'!$E$38))</f>
        <v>758254.61352512892</v>
      </c>
    </row>
    <row r="26" spans="2:34" s="79" customFormat="1" ht="12" outlineLevel="1" x14ac:dyDescent="0.3">
      <c r="B26" s="1339"/>
      <c r="C26" s="1335" t="s">
        <v>280</v>
      </c>
      <c r="D26" s="1335"/>
      <c r="E26" s="1340">
        <f>IF(((E8*'Modelo Tarifário'!$C$54*'Modelo Tarifário'!$E$39)*('Premissas Economias e Água'!F290))&gt;('Premissas Economias e Água'!F150*'Modelo Tarifário'!$D$29*12*'Modelo Tarifário'!$C$54*'Modelo Tarifário'!$E$39),(E8*'Modelo Tarifário'!$C$54*'Modelo Tarifário'!$E$39)*('Premissas Economias e Água'!F290),('Premissas Economias e Água'!F150*'Modelo Tarifário'!$D$29*12*'Modelo Tarifário'!$C$54*'Modelo Tarifário'!$E$39))</f>
        <v>686793.0727998066</v>
      </c>
      <c r="F26" s="1340">
        <f>IF(((F8*'Modelo Tarifário'!$C$54*'Modelo Tarifário'!$E$39)*('Premissas Economias e Água'!G290))&gt;('Premissas Economias e Água'!G150*'Modelo Tarifário'!$D$29*12*'Modelo Tarifário'!$C$54*'Modelo Tarifário'!$E$39),(F8*'Modelo Tarifário'!$C$54*'Modelo Tarifário'!$E$39)*('Premissas Economias e Água'!G290),('Premissas Economias e Água'!G150*'Modelo Tarifário'!$D$29*12*'Modelo Tarifário'!$C$54*'Modelo Tarifário'!$E$39))</f>
        <v>687179.62697268417</v>
      </c>
      <c r="G26" s="1340">
        <f>IF(((G8*'Modelo Tarifário'!$C$54*'Modelo Tarifário'!$E$39)*('Premissas Economias e Água'!H290))&gt;('Premissas Economias e Água'!H150*'Modelo Tarifário'!$D$29*12*'Modelo Tarifário'!$C$54*'Modelo Tarifário'!$E$39),(G8*'Modelo Tarifário'!$C$54*'Modelo Tarifário'!$E$39)*('Premissas Economias e Água'!H290),('Premissas Economias e Água'!H150*'Modelo Tarifário'!$D$29*12*'Modelo Tarifário'!$C$54*'Modelo Tarifário'!$E$39))</f>
        <v>687566.18114556186</v>
      </c>
      <c r="H26" s="1340">
        <f>IF(((H8*'Modelo Tarifário'!$C$54*'Modelo Tarifário'!$E$39)*('Premissas Economias e Água'!I290))&gt;('Premissas Economias e Água'!I150*'Modelo Tarifário'!$D$29*12*'Modelo Tarifário'!$C$54*'Modelo Tarifário'!$E$39),(H8*'Modelo Tarifário'!$C$54*'Modelo Tarifário'!$E$39)*('Premissas Economias e Água'!I290),('Premissas Economias e Água'!I150*'Modelo Tarifário'!$D$29*12*'Modelo Tarifário'!$C$54*'Modelo Tarifário'!$E$39))</f>
        <v>687952.73531843943</v>
      </c>
      <c r="I26" s="1340">
        <f>IF(((I8*'Modelo Tarifário'!$C$54*'Modelo Tarifário'!$E$39)*('Premissas Economias e Água'!J290))&gt;('Premissas Economias e Água'!J150*'Modelo Tarifário'!$D$29*12*'Modelo Tarifário'!$C$54*'Modelo Tarifário'!$E$39),(I8*'Modelo Tarifário'!$C$54*'Modelo Tarifário'!$E$39)*('Premissas Economias e Água'!J290),('Premissas Economias e Água'!J150*'Modelo Tarifário'!$D$29*12*'Modelo Tarifário'!$C$54*'Modelo Tarifário'!$E$39))</f>
        <v>688339.28949131712</v>
      </c>
      <c r="J26" s="1340">
        <f>IF(((J8*'Modelo Tarifário'!$C$54*'Modelo Tarifário'!$E$39)*('Premissas Economias e Água'!K290))&gt;('Premissas Economias e Água'!K150*'Modelo Tarifário'!$D$29*12*'Modelo Tarifário'!$C$54*'Modelo Tarifário'!$E$39),(J8*'Modelo Tarifário'!$C$54*'Modelo Tarifário'!$E$39)*('Premissas Economias e Água'!K290),('Premissas Economias e Água'!K150*'Modelo Tarifário'!$D$29*12*'Modelo Tarifário'!$C$54*'Modelo Tarifário'!$E$39))</f>
        <v>688771.32062570984</v>
      </c>
      <c r="K26" s="1340">
        <f>IF(((K8*'Modelo Tarifário'!$C$54*'Modelo Tarifário'!$E$39)*('Premissas Economias e Água'!L290))&gt;('Premissas Economias e Água'!L150*'Modelo Tarifário'!$D$29*12*'Modelo Tarifário'!$C$54*'Modelo Tarifário'!$E$39),(K8*'Modelo Tarifário'!$C$54*'Modelo Tarifário'!$E$39)*('Premissas Economias e Água'!L290),('Premissas Economias e Água'!L150*'Modelo Tarifário'!$D$29*12*'Modelo Tarifário'!$C$54*'Modelo Tarifário'!$E$39))</f>
        <v>687748.08899162186</v>
      </c>
      <c r="L26" s="1340">
        <f>IF(((L8*'Modelo Tarifário'!$C$54*'Modelo Tarifário'!$E$39)*('Premissas Economias e Água'!M290))&gt;('Premissas Economias e Água'!M150*'Modelo Tarifário'!$D$29*12*'Modelo Tarifário'!$C$54*'Modelo Tarifário'!$E$39),(L8*'Modelo Tarifário'!$C$54*'Modelo Tarifário'!$E$39)*('Premissas Economias e Água'!M290),('Premissas Economias e Água'!M150*'Modelo Tarifário'!$D$29*12*'Modelo Tarifário'!$C$54*'Modelo Tarifário'!$E$39))</f>
        <v>686724.85735753388</v>
      </c>
      <c r="M26" s="1340">
        <f>IF(((M8*'Modelo Tarifário'!$C$54*'Modelo Tarifário'!$E$39)*('Premissas Economias e Água'!N290))&gt;('Premissas Economias e Água'!N150*'Modelo Tarifário'!$D$29*12*'Modelo Tarifário'!$C$54*'Modelo Tarifário'!$E$39),(M8*'Modelo Tarifário'!$C$54*'Modelo Tarifário'!$E$39)*('Premissas Economias e Água'!N290),('Premissas Economias e Água'!N150*'Modelo Tarifário'!$D$29*12*'Modelo Tarifário'!$C$54*'Modelo Tarifário'!$E$39))</f>
        <v>685701.62572344614</v>
      </c>
      <c r="N26" s="1340">
        <f>IF(((N8*'Modelo Tarifário'!$C$54*'Modelo Tarifário'!$E$39)*('Premissas Economias e Água'!O290))&gt;('Premissas Economias e Água'!O150*'Modelo Tarifário'!$D$29*12*'Modelo Tarifário'!$C$54*'Modelo Tarifário'!$E$39),(N8*'Modelo Tarifário'!$C$54*'Modelo Tarifário'!$E$39)*('Premissas Economias e Água'!O290),('Premissas Economias e Água'!O150*'Modelo Tarifário'!$D$29*12*'Modelo Tarifário'!$C$54*'Modelo Tarifário'!$E$39))</f>
        <v>684678.39408935816</v>
      </c>
      <c r="O26" s="1340">
        <f>IF(((O8*'Modelo Tarifário'!$C$54*'Modelo Tarifário'!$E$39)*('Premissas Economias e Água'!P290))&gt;('Premissas Economias e Água'!P150*'Modelo Tarifário'!$D$29*12*'Modelo Tarifário'!$C$54*'Modelo Tarifário'!$E$39),(O8*'Modelo Tarifário'!$C$54*'Modelo Tarifário'!$E$39)*('Premissas Economias e Água'!P290),('Premissas Economias e Água'!P150*'Modelo Tarifário'!$D$29*12*'Modelo Tarifário'!$C$54*'Modelo Tarifário'!$E$39))</f>
        <v>683655.1624552703</v>
      </c>
      <c r="P26" s="1340">
        <f>IF(((P8*'Modelo Tarifário'!$C$54*'Modelo Tarifário'!$E$39)*('Premissas Economias e Água'!Q290))&gt;('Premissas Economias e Água'!Q150*'Modelo Tarifário'!$D$29*12*'Modelo Tarifário'!$C$54*'Modelo Tarifário'!$E$39),(P8*'Modelo Tarifário'!$C$54*'Modelo Tarifário'!$E$39)*('Premissas Economias e Água'!Q290),('Premissas Economias e Água'!Q150*'Modelo Tarifário'!$D$29*12*'Modelo Tarifário'!$C$54*'Modelo Tarifário'!$E$39))</f>
        <v>681676.91462936695</v>
      </c>
      <c r="Q26" s="1340">
        <f>IF(((Q8*'Modelo Tarifário'!$C$54*'Modelo Tarifário'!$E$39)*('Premissas Economias e Água'!R290))&gt;('Premissas Economias e Água'!R150*'Modelo Tarifário'!$D$29*12*'Modelo Tarifário'!$C$54*'Modelo Tarifário'!$E$39),(Q8*'Modelo Tarifário'!$C$54*'Modelo Tarifário'!$E$39)*('Premissas Economias e Água'!R290),('Premissas Economias e Água'!R150*'Modelo Tarifário'!$D$29*12*'Modelo Tarifário'!$C$54*'Modelo Tarifário'!$E$39))</f>
        <v>679698.66680346359</v>
      </c>
      <c r="R26" s="1340">
        <f>IF(((R8*'Modelo Tarifário'!$C$54*'Modelo Tarifário'!$E$39)*('Premissas Economias e Água'!S290))&gt;('Premissas Economias e Água'!S150*'Modelo Tarifário'!$D$29*12*'Modelo Tarifário'!$C$54*'Modelo Tarifário'!$E$39),(R8*'Modelo Tarifário'!$C$54*'Modelo Tarifário'!$E$39)*('Premissas Economias e Água'!S290),('Premissas Economias e Água'!S150*'Modelo Tarifário'!$D$29*12*'Modelo Tarifário'!$C$54*'Modelo Tarifário'!$E$39))</f>
        <v>677720.41897756048</v>
      </c>
      <c r="S26" s="1340">
        <f>IF(((S8*'Modelo Tarifário'!$C$54*'Modelo Tarifário'!$E$39)*('Premissas Economias e Água'!T290))&gt;('Premissas Economias e Água'!T150*'Modelo Tarifário'!$D$29*12*'Modelo Tarifário'!$C$54*'Modelo Tarifário'!$E$39),(S8*'Modelo Tarifário'!$C$54*'Modelo Tarifário'!$E$39)*('Premissas Economias e Água'!T290),('Premissas Economias e Água'!T150*'Modelo Tarifário'!$D$29*12*'Modelo Tarifário'!$C$54*'Modelo Tarifário'!$E$39))</f>
        <v>675742.17115165712</v>
      </c>
      <c r="T26" s="1340">
        <f>IF(((T8*'Modelo Tarifário'!$C$54*'Modelo Tarifário'!$E$39)*('Premissas Economias e Água'!U290))&gt;('Premissas Economias e Água'!U150*'Modelo Tarifário'!$D$29*12*'Modelo Tarifário'!$C$54*'Modelo Tarifário'!$E$39),(T8*'Modelo Tarifário'!$C$54*'Modelo Tarifário'!$E$39)*('Premissas Economias e Água'!U290),('Premissas Economias e Água'!U150*'Modelo Tarifário'!$D$29*12*'Modelo Tarifário'!$C$54*'Modelo Tarifário'!$E$39))</f>
        <v>673718.44636423886</v>
      </c>
      <c r="U26" s="1340">
        <f>IF(((U8*'Modelo Tarifário'!$C$54*'Modelo Tarifário'!$E$39)*('Premissas Economias e Água'!V290))&gt;('Premissas Economias e Água'!V150*'Modelo Tarifário'!$D$29*12*'Modelo Tarifário'!$C$54*'Modelo Tarifário'!$E$39),(U8*'Modelo Tarifário'!$C$54*'Modelo Tarifário'!$E$39)*('Premissas Economias e Água'!V290),('Premissas Economias e Água'!V150*'Modelo Tarifário'!$D$29*12*'Modelo Tarifário'!$C$54*'Modelo Tarifário'!$E$39))</f>
        <v>670876.13626955019</v>
      </c>
      <c r="V26" s="1340">
        <f>IF(((V8*'Modelo Tarifário'!$C$54*'Modelo Tarifário'!$E$39)*('Premissas Economias e Água'!W290))&gt;('Premissas Economias e Água'!W150*'Modelo Tarifário'!$D$29*12*'Modelo Tarifário'!$C$54*'Modelo Tarifário'!$E$39),(V8*'Modelo Tarifário'!$C$54*'Modelo Tarifário'!$E$39)*('Premissas Economias e Água'!W290),('Premissas Economias e Água'!W150*'Modelo Tarifário'!$D$29*12*'Modelo Tarifário'!$C$54*'Modelo Tarifário'!$E$39))</f>
        <v>668033.82617486152</v>
      </c>
      <c r="W26" s="1340">
        <f>IF(((W8*'Modelo Tarifário'!$C$54*'Modelo Tarifário'!$E$39)*('Premissas Economias e Água'!X290))&gt;('Premissas Economias e Água'!X150*'Modelo Tarifário'!$D$29*12*'Modelo Tarifário'!$C$54*'Modelo Tarifário'!$E$39),(W8*'Modelo Tarifário'!$C$54*'Modelo Tarifário'!$E$39)*('Premissas Economias e Água'!X290),('Premissas Economias e Água'!X150*'Modelo Tarifário'!$D$29*12*'Modelo Tarifário'!$C$54*'Modelo Tarifário'!$E$39))</f>
        <v>665191.51608017285</v>
      </c>
      <c r="X26" s="1340">
        <f>IF(((X8*'Modelo Tarifário'!$C$54*'Modelo Tarifário'!$E$39)*('Premissas Economias e Água'!Y290))&gt;('Premissas Economias e Água'!Y150*'Modelo Tarifário'!$D$29*12*'Modelo Tarifário'!$C$54*'Modelo Tarifário'!$E$39),(X8*'Modelo Tarifário'!$C$54*'Modelo Tarifário'!$E$39)*('Premissas Economias e Água'!Y290),('Premissas Economias e Água'!Y150*'Modelo Tarifário'!$D$29*12*'Modelo Tarifário'!$C$54*'Modelo Tarifário'!$E$39))</f>
        <v>662349.2059854843</v>
      </c>
      <c r="Y26" s="1340">
        <f>IF(((Y8*'Modelo Tarifário'!$C$54*'Modelo Tarifário'!$E$39)*('Premissas Economias e Água'!Z290))&gt;('Premissas Economias e Água'!Z150*'Modelo Tarifário'!$D$29*12*'Modelo Tarifário'!$C$54*'Modelo Tarifário'!$E$39),(Y8*'Modelo Tarifário'!$C$54*'Modelo Tarifário'!$E$39)*('Premissas Economias e Água'!Z290),('Premissas Economias e Água'!Z150*'Modelo Tarifário'!$D$29*12*'Modelo Tarifário'!$C$54*'Modelo Tarifário'!$E$39))</f>
        <v>659529.6343715532</v>
      </c>
      <c r="Z26" s="1340">
        <f>IF(((Z8*'Modelo Tarifário'!$C$54*'Modelo Tarifário'!$E$39)*('Premissas Economias e Água'!AA290))&gt;('Premissas Economias e Água'!AA150*'Modelo Tarifário'!$D$29*12*'Modelo Tarifário'!$C$54*'Modelo Tarifário'!$E$39),(Z8*'Modelo Tarifário'!$C$54*'Modelo Tarifário'!$E$39)*('Premissas Economias e Água'!AA290),('Premissas Economias e Água'!AA150*'Modelo Tarifário'!$D$29*12*'Modelo Tarifário'!$C$54*'Modelo Tarifário'!$E$39))</f>
        <v>656687.32427686441</v>
      </c>
      <c r="AA26" s="1340">
        <f>IF(((AA8*'Modelo Tarifário'!$C$54*'Modelo Tarifário'!$E$39)*('Premissas Economias e Água'!AB290))&gt;('Premissas Economias e Água'!AB150*'Modelo Tarifário'!$D$29*12*'Modelo Tarifário'!$C$54*'Modelo Tarifário'!$E$39),(AA8*'Modelo Tarifário'!$C$54*'Modelo Tarifário'!$E$39)*('Premissas Economias e Água'!AB290),('Premissas Economias e Água'!AB150*'Modelo Tarifário'!$D$29*12*'Modelo Tarifário'!$C$54*'Modelo Tarifário'!$E$39))</f>
        <v>653845.01418217586</v>
      </c>
      <c r="AB26" s="1340">
        <f>IF(((AB8*'Modelo Tarifário'!$C$54*'Modelo Tarifário'!$E$39)*('Premissas Economias e Água'!AC290))&gt;('Premissas Economias e Água'!AC150*'Modelo Tarifário'!$D$29*12*'Modelo Tarifário'!$C$54*'Modelo Tarifário'!$E$39),(AB8*'Modelo Tarifário'!$C$54*'Modelo Tarifário'!$E$39)*('Premissas Economias e Água'!AC290),('Premissas Economias e Água'!AC150*'Modelo Tarifário'!$D$29*12*'Modelo Tarifário'!$C$54*'Modelo Tarifário'!$E$39))</f>
        <v>651002.70408748719</v>
      </c>
      <c r="AC26" s="1340">
        <f>IF(((AC8*'Modelo Tarifário'!$C$54*'Modelo Tarifário'!$E$39)*('Premissas Economias e Água'!AD290))&gt;('Premissas Economias e Água'!AD150*'Modelo Tarifário'!$D$29*12*'Modelo Tarifário'!$C$54*'Modelo Tarifário'!$E$39),(AC8*'Modelo Tarifário'!$C$54*'Modelo Tarifário'!$E$39)*('Premissas Economias e Água'!AD290),('Premissas Economias e Água'!AD150*'Modelo Tarifário'!$D$29*12*'Modelo Tarifário'!$C$54*'Modelo Tarifário'!$E$39))</f>
        <v>648160.3939927984</v>
      </c>
      <c r="AD26" s="1340">
        <f>IF(((AD8*'Modelo Tarifário'!$C$54*'Modelo Tarifário'!$E$39)*('Premissas Economias e Água'!AE290))&gt;('Premissas Economias e Água'!AE150*'Modelo Tarifário'!$D$29*12*'Modelo Tarifário'!$C$54*'Modelo Tarifário'!$E$39),(AD8*'Modelo Tarifário'!$C$54*'Modelo Tarifário'!$E$39)*('Premissas Economias e Água'!AE290),('Premissas Economias e Água'!AE150*'Modelo Tarifário'!$D$29*12*'Modelo Tarifário'!$C$54*'Modelo Tarifário'!$E$39))</f>
        <v>645318.08389810985</v>
      </c>
      <c r="AE26" s="1340">
        <f>IF(((AE8*'Modelo Tarifário'!$C$54*'Modelo Tarifário'!$E$39)*('Premissas Economias e Água'!AF290))&gt;('Premissas Economias e Água'!AF150*'Modelo Tarifário'!$D$29*12*'Modelo Tarifário'!$C$54*'Modelo Tarifário'!$E$39),(AE8*'Modelo Tarifário'!$C$54*'Modelo Tarifário'!$E$39)*('Premissas Economias e Água'!AF290),('Premissas Economias e Água'!AF150*'Modelo Tarifário'!$D$29*12*'Modelo Tarifário'!$C$54*'Modelo Tarifário'!$E$39))</f>
        <v>642475.77380342118</v>
      </c>
      <c r="AF26" s="1340">
        <f>IF(((AF8*'Modelo Tarifário'!$C$54*'Modelo Tarifário'!$E$39)*('Premissas Economias e Água'!AG290))&gt;('Premissas Economias e Água'!AG150*'Modelo Tarifário'!$D$29*12*'Modelo Tarifário'!$C$54*'Modelo Tarifário'!$E$39),(AF8*'Modelo Tarifário'!$C$54*'Modelo Tarifário'!$E$39)*('Premissas Economias e Água'!AG290),('Premissas Economias e Água'!AG150*'Modelo Tarifário'!$D$29*12*'Modelo Tarifário'!$C$54*'Modelo Tarifário'!$E$39))</f>
        <v>639633.46370873263</v>
      </c>
      <c r="AG26" s="1340">
        <f>IF(((AG8*'Modelo Tarifário'!$C$54*'Modelo Tarifário'!$E$39)*('Premissas Economias e Água'!AH290))&gt;('Premissas Economias e Água'!AH150*'Modelo Tarifário'!$D$29*12*'Modelo Tarifário'!$C$54*'Modelo Tarifário'!$E$39),(AG8*'Modelo Tarifário'!$C$54*'Modelo Tarifário'!$E$39)*('Premissas Economias e Água'!AH290),('Premissas Economias e Água'!AH150*'Modelo Tarifário'!$D$29*12*'Modelo Tarifário'!$C$54*'Modelo Tarifário'!$E$39))</f>
        <v>636791.15361404384</v>
      </c>
      <c r="AH26" s="1340">
        <f>IF(((AH8*'Modelo Tarifário'!$C$54*'Modelo Tarifário'!$E$39)*('Premissas Economias e Água'!AI290))&gt;('Premissas Economias e Água'!AI150*'Modelo Tarifário'!$D$29*12*'Modelo Tarifário'!$C$54*'Modelo Tarifário'!$E$39),(AH8*'Modelo Tarifário'!$C$54*'Modelo Tarifário'!$E$39)*('Premissas Economias e Água'!AI290),('Premissas Economias e Água'!AI150*'Modelo Tarifário'!$D$29*12*'Modelo Tarifário'!$C$54*'Modelo Tarifário'!$E$39))</f>
        <v>633948.84351935529</v>
      </c>
    </row>
    <row r="27" spans="2:34" s="79" customFormat="1" ht="12" outlineLevel="1" x14ac:dyDescent="0.3">
      <c r="B27" s="1339"/>
      <c r="C27" s="1335" t="s">
        <v>281</v>
      </c>
      <c r="D27" s="1335"/>
      <c r="E27" s="1340">
        <f>IF(((E8*'Modelo Tarifário'!$C$54*'Modelo Tarifário'!$E$40)*('Premissas Economias e Água'!F291))&gt;('Premissas Economias e Água'!F151*'Modelo Tarifário'!$D$29*12*'Modelo Tarifário'!$C$54*'Modelo Tarifário'!$E$40),(E8*'Modelo Tarifário'!$C$54*'Modelo Tarifário'!$E$40)*('Premissas Economias e Água'!F291),('Premissas Economias e Água'!F151*'Modelo Tarifário'!$D$29*12*'Modelo Tarifário'!$C$54*'Modelo Tarifário'!$E$40))</f>
        <v>425417.20459930797</v>
      </c>
      <c r="F27" s="1340">
        <f>IF(((F8*'Modelo Tarifário'!$C$54*'Modelo Tarifário'!$E$40)*('Premissas Economias e Água'!G291))&gt;('Premissas Economias e Água'!G151*'Modelo Tarifário'!$D$29*12*'Modelo Tarifário'!$C$54*'Modelo Tarifário'!$E$40),(F8*'Modelo Tarifário'!$C$54*'Modelo Tarifário'!$E$40)*('Premissas Economias e Água'!G291),('Premissas Economias e Água'!G151*'Modelo Tarifário'!$D$29*12*'Modelo Tarifário'!$C$54*'Modelo Tarifário'!$E$40))</f>
        <v>425656.64614606299</v>
      </c>
      <c r="G27" s="1340">
        <f>IF(((G8*'Modelo Tarifário'!$C$54*'Modelo Tarifário'!$E$40)*('Premissas Economias e Água'!H291))&gt;('Premissas Economias e Água'!H151*'Modelo Tarifário'!$D$29*12*'Modelo Tarifário'!$C$54*'Modelo Tarifário'!$E$40),(G8*'Modelo Tarifário'!$C$54*'Modelo Tarifário'!$E$40)*('Premissas Economias e Água'!H291),('Premissas Economias e Água'!H151*'Modelo Tarifário'!$D$29*12*'Modelo Tarifário'!$C$54*'Modelo Tarifário'!$E$40))</f>
        <v>425896.08769281796</v>
      </c>
      <c r="H27" s="1340">
        <f>IF(((H8*'Modelo Tarifário'!$C$54*'Modelo Tarifário'!$E$40)*('Premissas Economias e Água'!I291))&gt;('Premissas Economias e Água'!I151*'Modelo Tarifário'!$D$29*12*'Modelo Tarifário'!$C$54*'Modelo Tarifário'!$E$40),(H8*'Modelo Tarifário'!$C$54*'Modelo Tarifário'!$E$40)*('Premissas Economias e Água'!I291),('Premissas Economias e Água'!I151*'Modelo Tarifário'!$D$29*12*'Modelo Tarifário'!$C$54*'Modelo Tarifário'!$E$40))</f>
        <v>426135.52923957293</v>
      </c>
      <c r="I27" s="1340">
        <f>IF(((I8*'Modelo Tarifário'!$C$54*'Modelo Tarifário'!$E$40)*('Premissas Economias e Água'!J291))&gt;('Premissas Economias e Água'!J151*'Modelo Tarifário'!$D$29*12*'Modelo Tarifário'!$C$54*'Modelo Tarifário'!$E$40),(I8*'Modelo Tarifário'!$C$54*'Modelo Tarifário'!$E$40)*('Premissas Economias e Água'!J291),('Premissas Economias e Água'!J151*'Modelo Tarifário'!$D$29*12*'Modelo Tarifário'!$C$54*'Modelo Tarifário'!$E$40))</f>
        <v>426374.97078632796</v>
      </c>
      <c r="J27" s="1340">
        <f>IF(((J8*'Modelo Tarifário'!$C$54*'Modelo Tarifário'!$E$40)*('Premissas Economias e Água'!K291))&gt;('Premissas Economias e Água'!K151*'Modelo Tarifário'!$D$29*12*'Modelo Tarifário'!$C$54*'Modelo Tarifário'!$E$40),(J8*'Modelo Tarifário'!$C$54*'Modelo Tarifário'!$E$40)*('Premissas Economias e Água'!K291),('Premissas Economias e Água'!K151*'Modelo Tarifário'!$D$29*12*'Modelo Tarifário'!$C$54*'Modelo Tarifário'!$E$40))</f>
        <v>426642.58192681888</v>
      </c>
      <c r="K27" s="1340">
        <f>IF(((K8*'Modelo Tarifário'!$C$54*'Modelo Tarifário'!$E$40)*('Premissas Economias e Água'!L291))&gt;('Premissas Economias e Água'!L151*'Modelo Tarifário'!$D$29*12*'Modelo Tarifário'!$C$54*'Modelo Tarifário'!$E$40),(K8*'Modelo Tarifário'!$C$54*'Modelo Tarifário'!$E$40)*('Premissas Economias e Água'!L291),('Premissas Economias e Água'!L151*'Modelo Tarifário'!$D$29*12*'Modelo Tarifário'!$C$54*'Modelo Tarifário'!$E$40))</f>
        <v>426008.76606776146</v>
      </c>
      <c r="L27" s="1340">
        <f>IF(((L8*'Modelo Tarifário'!$C$54*'Modelo Tarifário'!$E$40)*('Premissas Economias e Água'!M291))&gt;('Premissas Economias e Água'!M151*'Modelo Tarifário'!$D$29*12*'Modelo Tarifário'!$C$54*'Modelo Tarifário'!$E$40),(L8*'Modelo Tarifário'!$C$54*'Modelo Tarifário'!$E$40)*('Premissas Economias e Água'!M291),('Premissas Economias e Água'!M151*'Modelo Tarifário'!$D$29*12*'Modelo Tarifário'!$C$54*'Modelo Tarifário'!$E$40))</f>
        <v>425374.9502087041</v>
      </c>
      <c r="M27" s="1340">
        <f>IF(((M8*'Modelo Tarifário'!$C$54*'Modelo Tarifário'!$E$40)*('Premissas Economias e Água'!N291))&gt;('Premissas Economias e Água'!N151*'Modelo Tarifário'!$D$29*12*'Modelo Tarifário'!$C$54*'Modelo Tarifário'!$E$40),(M8*'Modelo Tarifário'!$C$54*'Modelo Tarifário'!$E$40)*('Premissas Economias e Água'!N291),('Premissas Economias e Água'!N151*'Modelo Tarifário'!$D$29*12*'Modelo Tarifário'!$C$54*'Modelo Tarifário'!$E$40))</f>
        <v>424741.13434964675</v>
      </c>
      <c r="N27" s="1340">
        <f>IF(((N8*'Modelo Tarifário'!$C$54*'Modelo Tarifário'!$E$40)*('Premissas Economias e Água'!O291))&gt;('Premissas Economias e Água'!O151*'Modelo Tarifário'!$D$29*12*'Modelo Tarifário'!$C$54*'Modelo Tarifário'!$E$40),(N8*'Modelo Tarifário'!$C$54*'Modelo Tarifário'!$E$40)*('Premissas Economias e Água'!O291),('Premissas Economias e Água'!O151*'Modelo Tarifário'!$D$29*12*'Modelo Tarifário'!$C$54*'Modelo Tarifário'!$E$40))</f>
        <v>424107.31849058939</v>
      </c>
      <c r="O27" s="1340">
        <f>IF(((O8*'Modelo Tarifário'!$C$54*'Modelo Tarifário'!$E$40)*('Premissas Economias e Água'!P291))&gt;('Premissas Economias e Água'!P151*'Modelo Tarifário'!$D$29*12*'Modelo Tarifário'!$C$54*'Modelo Tarifário'!$E$40),(O8*'Modelo Tarifário'!$C$54*'Modelo Tarifário'!$E$40)*('Premissas Economias e Água'!P291),('Premissas Economias e Água'!P151*'Modelo Tarifário'!$D$29*12*'Modelo Tarifário'!$C$54*'Modelo Tarifário'!$E$40))</f>
        <v>423473.50263153203</v>
      </c>
      <c r="P27" s="1340">
        <f>IF(((P8*'Modelo Tarifário'!$C$54*'Modelo Tarifário'!$E$40)*('Premissas Economias e Água'!Q291))&gt;('Premissas Economias e Água'!Q151*'Modelo Tarifário'!$D$29*12*'Modelo Tarifário'!$C$54*'Modelo Tarifário'!$E$40),(P8*'Modelo Tarifário'!$C$54*'Modelo Tarifário'!$E$40)*('Premissas Economias e Água'!Q291),('Premissas Economias e Água'!Q151*'Modelo Tarifário'!$D$29*12*'Modelo Tarifário'!$C$54*'Modelo Tarifário'!$E$40))</f>
        <v>422248.125304021</v>
      </c>
      <c r="Q27" s="1340">
        <f>IF(((Q8*'Modelo Tarifário'!$C$54*'Modelo Tarifário'!$E$40)*('Premissas Economias e Água'!R291))&gt;('Premissas Economias e Água'!R151*'Modelo Tarifário'!$D$29*12*'Modelo Tarifário'!$C$54*'Modelo Tarifário'!$E$40),(Q8*'Modelo Tarifário'!$C$54*'Modelo Tarifário'!$E$40)*('Premissas Economias e Água'!R291),('Premissas Economias e Água'!R151*'Modelo Tarifário'!$D$29*12*'Modelo Tarifário'!$C$54*'Modelo Tarifário'!$E$40))</f>
        <v>421022.74797651009</v>
      </c>
      <c r="R27" s="1340">
        <f>IF(((R8*'Modelo Tarifário'!$C$54*'Modelo Tarifário'!$E$40)*('Premissas Economias e Água'!S291))&gt;('Premissas Economias e Água'!S151*'Modelo Tarifário'!$D$29*12*'Modelo Tarifário'!$C$54*'Modelo Tarifário'!$E$40),(R8*'Modelo Tarifário'!$C$54*'Modelo Tarifário'!$E$40)*('Premissas Economias e Água'!S291),('Premissas Economias e Água'!S151*'Modelo Tarifário'!$D$29*12*'Modelo Tarifário'!$C$54*'Modelo Tarifário'!$E$40))</f>
        <v>419797.37064899929</v>
      </c>
      <c r="S27" s="1340">
        <f>IF(((S8*'Modelo Tarifário'!$C$54*'Modelo Tarifário'!$E$40)*('Premissas Economias e Água'!T291))&gt;('Premissas Economias e Água'!T151*'Modelo Tarifário'!$D$29*12*'Modelo Tarifário'!$C$54*'Modelo Tarifário'!$E$40),(S8*'Modelo Tarifário'!$C$54*'Modelo Tarifário'!$E$40)*('Premissas Economias e Água'!T291),('Premissas Economias e Água'!T151*'Modelo Tarifário'!$D$29*12*'Modelo Tarifário'!$C$54*'Modelo Tarifário'!$E$40))</f>
        <v>418571.99332148832</v>
      </c>
      <c r="T27" s="1340">
        <f>IF(((T8*'Modelo Tarifário'!$C$54*'Modelo Tarifário'!$E$40)*('Premissas Economias e Água'!U291))&gt;('Premissas Economias e Água'!U151*'Modelo Tarifário'!$D$29*12*'Modelo Tarifário'!$C$54*'Modelo Tarifário'!$E$40),(T8*'Modelo Tarifário'!$C$54*'Modelo Tarifário'!$E$40)*('Premissas Economias e Água'!U291),('Premissas Economias e Água'!U151*'Modelo Tarifário'!$D$29*12*'Modelo Tarifário'!$C$54*'Modelo Tarifário'!$E$40))</f>
        <v>417318.44640024158</v>
      </c>
      <c r="U27" s="1340">
        <f>IF(((U8*'Modelo Tarifário'!$C$54*'Modelo Tarifário'!$E$40)*('Premissas Economias e Água'!V291))&gt;('Premissas Economias e Água'!V151*'Modelo Tarifário'!$D$29*12*'Modelo Tarifário'!$C$54*'Modelo Tarifário'!$E$40),(U8*'Modelo Tarifário'!$C$54*'Modelo Tarifário'!$E$40)*('Premissas Economias e Água'!V291),('Premissas Economias e Água'!V151*'Modelo Tarifário'!$D$29*12*'Modelo Tarifário'!$C$54*'Modelo Tarifário'!$E$40))</f>
        <v>415557.84679174889</v>
      </c>
      <c r="V27" s="1340">
        <f>IF(((V8*'Modelo Tarifário'!$C$54*'Modelo Tarifário'!$E$40)*('Premissas Economias e Água'!W291))&gt;('Premissas Economias e Água'!W151*'Modelo Tarifário'!$D$29*12*'Modelo Tarifário'!$C$54*'Modelo Tarifário'!$E$40),(V8*'Modelo Tarifário'!$C$54*'Modelo Tarifário'!$E$40)*('Premissas Economias e Água'!W291),('Premissas Economias e Água'!W151*'Modelo Tarifário'!$D$29*12*'Modelo Tarifário'!$C$54*'Modelo Tarifário'!$E$40))</f>
        <v>413797.24718325614</v>
      </c>
      <c r="W27" s="1340">
        <f>IF(((W8*'Modelo Tarifário'!$C$54*'Modelo Tarifário'!$E$40)*('Premissas Economias e Água'!X291))&gt;('Premissas Economias e Água'!X151*'Modelo Tarifário'!$D$29*12*'Modelo Tarifário'!$C$54*'Modelo Tarifário'!$E$40),(W8*'Modelo Tarifário'!$C$54*'Modelo Tarifário'!$E$40)*('Premissas Economias e Água'!X291),('Premissas Economias e Água'!X151*'Modelo Tarifário'!$D$29*12*'Modelo Tarifário'!$C$54*'Modelo Tarifário'!$E$40))</f>
        <v>412036.64757476345</v>
      </c>
      <c r="X27" s="1340">
        <f>IF(((X8*'Modelo Tarifário'!$C$54*'Modelo Tarifário'!$E$40)*('Premissas Economias e Água'!Y291))&gt;('Premissas Economias e Água'!Y151*'Modelo Tarifário'!$D$29*12*'Modelo Tarifário'!$C$54*'Modelo Tarifário'!$E$40),(X8*'Modelo Tarifário'!$C$54*'Modelo Tarifário'!$E$40)*('Premissas Economias e Água'!Y291),('Premissas Economias e Água'!Y151*'Modelo Tarifário'!$D$29*12*'Modelo Tarifário'!$C$54*'Modelo Tarifário'!$E$40))</f>
        <v>410276.04796627077</v>
      </c>
      <c r="Y27" s="1340">
        <f>IF(((Y8*'Modelo Tarifário'!$C$54*'Modelo Tarifário'!$E$40)*('Premissas Economias e Água'!Z291))&gt;('Premissas Economias e Água'!Z151*'Modelo Tarifário'!$D$29*12*'Modelo Tarifário'!$C$54*'Modelo Tarifário'!$E$40),(Y8*'Modelo Tarifário'!$C$54*'Modelo Tarifário'!$E$40)*('Premissas Economias e Água'!Z291),('Premissas Economias e Água'!Z151*'Modelo Tarifário'!$D$29*12*'Modelo Tarifário'!$C$54*'Modelo Tarifário'!$E$40))</f>
        <v>408529.53315464599</v>
      </c>
      <c r="Z27" s="1340">
        <f>IF(((Z8*'Modelo Tarifário'!$C$54*'Modelo Tarifário'!$E$40)*('Premissas Economias e Água'!AA291))&gt;('Premissas Economias e Água'!AA151*'Modelo Tarifário'!$D$29*12*'Modelo Tarifário'!$C$54*'Modelo Tarifário'!$E$40),(Z8*'Modelo Tarifário'!$C$54*'Modelo Tarifário'!$E$40)*('Premissas Economias e Água'!AA291),('Premissas Economias e Água'!AA151*'Modelo Tarifário'!$D$29*12*'Modelo Tarifário'!$C$54*'Modelo Tarifário'!$E$40))</f>
        <v>406768.93354615325</v>
      </c>
      <c r="AA27" s="1340">
        <f>IF(((AA8*'Modelo Tarifário'!$C$54*'Modelo Tarifário'!$E$40)*('Premissas Economias e Água'!AB291))&gt;('Premissas Economias e Água'!AB151*'Modelo Tarifário'!$D$29*12*'Modelo Tarifário'!$C$54*'Modelo Tarifário'!$E$40),(AA8*'Modelo Tarifário'!$C$54*'Modelo Tarifário'!$E$40)*('Premissas Economias e Água'!AB291),('Premissas Economias e Água'!AB151*'Modelo Tarifário'!$D$29*12*'Modelo Tarifário'!$C$54*'Modelo Tarifário'!$E$40))</f>
        <v>405008.33393766062</v>
      </c>
      <c r="AB27" s="1340">
        <f>IF(((AB8*'Modelo Tarifário'!$C$54*'Modelo Tarifário'!$E$40)*('Premissas Economias e Água'!AC291))&gt;('Premissas Economias e Água'!AC151*'Modelo Tarifário'!$D$29*12*'Modelo Tarifário'!$C$54*'Modelo Tarifário'!$E$40),(AB8*'Modelo Tarifário'!$C$54*'Modelo Tarifário'!$E$40)*('Premissas Economias e Água'!AC291),('Premissas Economias e Água'!AC151*'Modelo Tarifário'!$D$29*12*'Modelo Tarifário'!$C$54*'Modelo Tarifário'!$E$40))</f>
        <v>403247.73432916787</v>
      </c>
      <c r="AC27" s="1340">
        <f>IF(((AC8*'Modelo Tarifário'!$C$54*'Modelo Tarifário'!$E$40)*('Premissas Economias e Água'!AD291))&gt;('Premissas Economias e Água'!AD151*'Modelo Tarifário'!$D$29*12*'Modelo Tarifário'!$C$54*'Modelo Tarifário'!$E$40),(AC8*'Modelo Tarifário'!$C$54*'Modelo Tarifário'!$E$40)*('Premissas Economias e Água'!AD291),('Premissas Economias e Água'!AD151*'Modelo Tarifário'!$D$29*12*'Modelo Tarifário'!$C$54*'Modelo Tarifário'!$E$40))</f>
        <v>401487.13472067512</v>
      </c>
      <c r="AD27" s="1340">
        <f>IF(((AD8*'Modelo Tarifário'!$C$54*'Modelo Tarifário'!$E$40)*('Premissas Economias e Água'!AE291))&gt;('Premissas Economias e Água'!AE151*'Modelo Tarifário'!$D$29*12*'Modelo Tarifário'!$C$54*'Modelo Tarifário'!$E$40),(AD8*'Modelo Tarifário'!$C$54*'Modelo Tarifário'!$E$40)*('Premissas Economias e Água'!AE291),('Premissas Economias e Água'!AE151*'Modelo Tarifário'!$D$29*12*'Modelo Tarifário'!$C$54*'Modelo Tarifário'!$E$40))</f>
        <v>399726.53511218244</v>
      </c>
      <c r="AE27" s="1340">
        <f>IF(((AE8*'Modelo Tarifário'!$C$54*'Modelo Tarifário'!$E$40)*('Premissas Economias e Água'!AF291))&gt;('Premissas Economias e Água'!AF151*'Modelo Tarifário'!$D$29*12*'Modelo Tarifário'!$C$54*'Modelo Tarifário'!$E$40),(AE8*'Modelo Tarifário'!$C$54*'Modelo Tarifário'!$E$40)*('Premissas Economias e Água'!AF291),('Premissas Economias e Água'!AF151*'Modelo Tarifário'!$D$29*12*'Modelo Tarifário'!$C$54*'Modelo Tarifário'!$E$40))</f>
        <v>397965.93550368981</v>
      </c>
      <c r="AF27" s="1340">
        <f>IF(((AF8*'Modelo Tarifário'!$C$54*'Modelo Tarifário'!$E$40)*('Premissas Economias e Água'!AG291))&gt;('Premissas Economias e Água'!AG151*'Modelo Tarifário'!$D$29*12*'Modelo Tarifário'!$C$54*'Modelo Tarifário'!$E$40),(AF8*'Modelo Tarifário'!$C$54*'Modelo Tarifário'!$E$40)*('Premissas Economias e Água'!AG291),('Premissas Economias e Água'!AG151*'Modelo Tarifário'!$D$29*12*'Modelo Tarifário'!$C$54*'Modelo Tarifário'!$E$40))</f>
        <v>396205.33589519712</v>
      </c>
      <c r="AG27" s="1340">
        <f>IF(((AG8*'Modelo Tarifário'!$C$54*'Modelo Tarifário'!$E$40)*('Premissas Economias e Água'!AH291))&gt;('Premissas Economias e Água'!AH151*'Modelo Tarifário'!$D$29*12*'Modelo Tarifário'!$C$54*'Modelo Tarifário'!$E$40),(AG8*'Modelo Tarifário'!$C$54*'Modelo Tarifário'!$E$40)*('Premissas Economias e Água'!AH291),('Premissas Economias e Água'!AH151*'Modelo Tarifário'!$D$29*12*'Modelo Tarifário'!$C$54*'Modelo Tarifário'!$E$40))</f>
        <v>394444.73628670437</v>
      </c>
      <c r="AH27" s="1340">
        <f>IF(((AH8*'Modelo Tarifário'!$C$54*'Modelo Tarifário'!$E$40)*('Premissas Economias e Água'!AI291))&gt;('Premissas Economias e Água'!AI151*'Modelo Tarifário'!$D$29*12*'Modelo Tarifário'!$C$54*'Modelo Tarifário'!$E$40),(AH8*'Modelo Tarifário'!$C$54*'Modelo Tarifário'!$E$40)*('Premissas Economias e Água'!AI291),('Premissas Economias e Água'!AI151*'Modelo Tarifário'!$D$29*12*'Modelo Tarifário'!$C$54*'Modelo Tarifário'!$E$40))</f>
        <v>392684.13667821168</v>
      </c>
    </row>
    <row r="28" spans="2:34" s="79" customFormat="1" ht="12" outlineLevel="1" x14ac:dyDescent="0.3">
      <c r="B28" s="1339"/>
      <c r="C28" s="1335" t="s">
        <v>282</v>
      </c>
      <c r="D28" s="1335"/>
      <c r="E28" s="1340">
        <f>IF(((E8*'Modelo Tarifário'!$C$54*'Modelo Tarifário'!$E$41)*('Premissas Economias e Água'!F292))&gt;('Premissas Economias e Água'!F152*'Modelo Tarifário'!$D$29*12*'Modelo Tarifário'!$C$54*'Modelo Tarifário'!$E$41),(E8*'Modelo Tarifário'!$C$54*'Modelo Tarifário'!$E$41)*('Premissas Economias e Água'!F292),('Premissas Economias e Água'!F152*'Modelo Tarifário'!$D$29*12*'Modelo Tarifário'!$C$54*'Modelo Tarifário'!$E$41))</f>
        <v>391545.63509206666</v>
      </c>
      <c r="F28" s="1340">
        <f>IF(((F8*'Modelo Tarifário'!$C$54*'Modelo Tarifário'!$E$41)*('Premissas Economias e Água'!G292))&gt;('Premissas Economias e Água'!G152*'Modelo Tarifário'!$D$29*12*'Modelo Tarifário'!$C$54*'Modelo Tarifário'!$E$41),(F8*'Modelo Tarifário'!$C$54*'Modelo Tarifário'!$E$41)*('Premissas Economias e Água'!G292),('Premissas Economias e Água'!G152*'Modelo Tarifário'!$D$29*12*'Modelo Tarifário'!$C$54*'Modelo Tarifário'!$E$41))</f>
        <v>391766.01238635101</v>
      </c>
      <c r="G28" s="1340">
        <f>IF(((G8*'Modelo Tarifário'!$C$54*'Modelo Tarifário'!$E$41)*('Premissas Economias e Água'!H292))&gt;('Premissas Economias e Água'!H152*'Modelo Tarifário'!$D$29*12*'Modelo Tarifário'!$C$54*'Modelo Tarifário'!$E$41),(G8*'Modelo Tarifário'!$C$54*'Modelo Tarifário'!$E$41)*('Premissas Economias e Água'!H292),('Premissas Economias e Água'!H152*'Modelo Tarifário'!$D$29*12*'Modelo Tarifário'!$C$54*'Modelo Tarifário'!$E$41))</f>
        <v>391986.38968063542</v>
      </c>
      <c r="H28" s="1340">
        <f>IF(((H8*'Modelo Tarifário'!$C$54*'Modelo Tarifário'!$E$41)*('Premissas Economias e Água'!I292))&gt;('Premissas Economias e Água'!I152*'Modelo Tarifário'!$D$29*12*'Modelo Tarifário'!$C$54*'Modelo Tarifário'!$E$41),(H8*'Modelo Tarifário'!$C$54*'Modelo Tarifário'!$E$41)*('Premissas Economias e Água'!I292),('Premissas Economias e Água'!I152*'Modelo Tarifário'!$D$29*12*'Modelo Tarifário'!$C$54*'Modelo Tarifário'!$E$41))</f>
        <v>392206.76697491977</v>
      </c>
      <c r="I28" s="1340">
        <f>IF(((I8*'Modelo Tarifário'!$C$54*'Modelo Tarifário'!$E$41)*('Premissas Economias e Água'!J292))&gt;('Premissas Economias e Água'!J152*'Modelo Tarifário'!$D$29*12*'Modelo Tarifário'!$C$54*'Modelo Tarifário'!$E$41),(I8*'Modelo Tarifário'!$C$54*'Modelo Tarifário'!$E$41)*('Premissas Economias e Água'!J292),('Premissas Economias e Água'!J152*'Modelo Tarifário'!$D$29*12*'Modelo Tarifário'!$C$54*'Modelo Tarifário'!$E$41))</f>
        <v>392427.14426920417</v>
      </c>
      <c r="J28" s="1340">
        <f>IF(((J8*'Modelo Tarifário'!$C$54*'Modelo Tarifário'!$E$41)*('Premissas Economias e Água'!K292))&gt;('Premissas Economias e Água'!K152*'Modelo Tarifário'!$D$29*12*'Modelo Tarifário'!$C$54*'Modelo Tarifário'!$E$41),(J8*'Modelo Tarifário'!$C$54*'Modelo Tarifário'!$E$41)*('Premissas Economias e Água'!K292),('Premissas Economias e Água'!K152*'Modelo Tarifário'!$D$29*12*'Modelo Tarifário'!$C$54*'Modelo Tarifário'!$E$41))</f>
        <v>392673.44830399257</v>
      </c>
      <c r="K28" s="1340">
        <f>IF(((K8*'Modelo Tarifário'!$C$54*'Modelo Tarifário'!$E$41)*('Premissas Economias e Água'!L292))&gt;('Premissas Economias e Água'!L152*'Modelo Tarifário'!$D$29*12*'Modelo Tarifário'!$C$54*'Modelo Tarifário'!$E$41),(K8*'Modelo Tarifário'!$C$54*'Modelo Tarifário'!$E$41)*('Premissas Economias e Água'!L292),('Premissas Economias e Água'!L152*'Modelo Tarifário'!$D$29*12*'Modelo Tarifário'!$C$54*'Modelo Tarifário'!$E$41))</f>
        <v>392090.0966426516</v>
      </c>
      <c r="L28" s="1340">
        <f>IF(((L8*'Modelo Tarifário'!$C$54*'Modelo Tarifário'!$E$41)*('Premissas Economias e Água'!M292))&gt;('Premissas Economias e Água'!M152*'Modelo Tarifário'!$D$29*12*'Modelo Tarifário'!$C$54*'Modelo Tarifário'!$E$41),(L8*'Modelo Tarifário'!$C$54*'Modelo Tarifário'!$E$41)*('Premissas Economias e Água'!M292),('Premissas Economias e Água'!M152*'Modelo Tarifário'!$D$29*12*'Modelo Tarifário'!$C$54*'Modelo Tarifário'!$E$41))</f>
        <v>391506.74498131062</v>
      </c>
      <c r="M28" s="1340">
        <f>IF(((M8*'Modelo Tarifário'!$C$54*'Modelo Tarifário'!$E$41)*('Premissas Economias e Água'!N292))&gt;('Premissas Economias e Água'!N152*'Modelo Tarifário'!$D$29*12*'Modelo Tarifário'!$C$54*'Modelo Tarifário'!$E$41),(M8*'Modelo Tarifário'!$C$54*'Modelo Tarifário'!$E$41)*('Premissas Economias e Água'!N292),('Premissas Economias e Água'!N152*'Modelo Tarifário'!$D$29*12*'Modelo Tarifário'!$C$54*'Modelo Tarifário'!$E$41))</f>
        <v>390923.39331996965</v>
      </c>
      <c r="N28" s="1340">
        <f>IF(((N8*'Modelo Tarifário'!$C$54*'Modelo Tarifário'!$E$41)*('Premissas Economias e Água'!O292))&gt;('Premissas Economias e Água'!O152*'Modelo Tarifário'!$D$29*12*'Modelo Tarifário'!$C$54*'Modelo Tarifário'!$E$41),(N8*'Modelo Tarifário'!$C$54*'Modelo Tarifário'!$E$41)*('Premissas Economias e Água'!O292),('Premissas Economias e Água'!O152*'Modelo Tarifário'!$D$29*12*'Modelo Tarifário'!$C$54*'Modelo Tarifário'!$E$41))</f>
        <v>390340.04165862862</v>
      </c>
      <c r="O28" s="1340">
        <f>IF(((O8*'Modelo Tarifário'!$C$54*'Modelo Tarifário'!$E$41)*('Premissas Economias e Água'!P292))&gt;('Premissas Economias e Água'!P152*'Modelo Tarifário'!$D$29*12*'Modelo Tarifário'!$C$54*'Modelo Tarifário'!$E$41),(O8*'Modelo Tarifário'!$C$54*'Modelo Tarifário'!$E$41)*('Premissas Economias e Água'!P292),('Premissas Economias e Água'!P152*'Modelo Tarifário'!$D$29*12*'Modelo Tarifário'!$C$54*'Modelo Tarifário'!$E$41))</f>
        <v>389756.68999728764</v>
      </c>
      <c r="P28" s="1340">
        <f>IF(((P8*'Modelo Tarifário'!$C$54*'Modelo Tarifário'!$E$41)*('Premissas Economias e Água'!Q292))&gt;('Premissas Economias e Água'!Q152*'Modelo Tarifário'!$D$29*12*'Modelo Tarifário'!$C$54*'Modelo Tarifário'!$E$41),(P8*'Modelo Tarifário'!$C$54*'Modelo Tarifário'!$E$41)*('Premissas Economias e Água'!Q292),('Premissas Economias e Água'!Q152*'Modelo Tarifário'!$D$29*12*'Modelo Tarifário'!$C$54*'Modelo Tarifário'!$E$41))</f>
        <v>388628.87678536179</v>
      </c>
      <c r="Q28" s="1340">
        <f>IF(((Q8*'Modelo Tarifário'!$C$54*'Modelo Tarifário'!$E$41)*('Premissas Economias e Água'!R292))&gt;('Premissas Economias e Água'!R152*'Modelo Tarifário'!$D$29*12*'Modelo Tarifário'!$C$54*'Modelo Tarifário'!$E$41),(Q8*'Modelo Tarifário'!$C$54*'Modelo Tarifário'!$E$41)*('Premissas Economias e Água'!R292),('Premissas Economias e Água'!R152*'Modelo Tarifário'!$D$29*12*'Modelo Tarifário'!$C$54*'Modelo Tarifário'!$E$41))</f>
        <v>387501.06357343582</v>
      </c>
      <c r="R28" s="1340">
        <f>IF(((R8*'Modelo Tarifário'!$C$54*'Modelo Tarifário'!$E$41)*('Premissas Economias e Água'!S292))&gt;('Premissas Economias e Água'!S152*'Modelo Tarifário'!$D$29*12*'Modelo Tarifário'!$C$54*'Modelo Tarifário'!$E$41),(R8*'Modelo Tarifário'!$C$54*'Modelo Tarifário'!$E$41)*('Premissas Economias e Água'!S292),('Premissas Economias e Água'!S152*'Modelo Tarifário'!$D$29*12*'Modelo Tarifário'!$C$54*'Modelo Tarifário'!$E$41))</f>
        <v>386373.25036151003</v>
      </c>
      <c r="S28" s="1340">
        <f>IF(((S8*'Modelo Tarifário'!$C$54*'Modelo Tarifário'!$E$41)*('Premissas Economias e Água'!T292))&gt;('Premissas Economias e Água'!T152*'Modelo Tarifário'!$D$29*12*'Modelo Tarifário'!$C$54*'Modelo Tarifário'!$E$41),(S8*'Modelo Tarifário'!$C$54*'Modelo Tarifário'!$E$41)*('Premissas Economias e Água'!T292),('Premissas Economias e Água'!T152*'Modelo Tarifário'!$D$29*12*'Modelo Tarifário'!$C$54*'Modelo Tarifário'!$E$41))</f>
        <v>385245.43714958406</v>
      </c>
      <c r="T28" s="1340">
        <f>IF(((T8*'Modelo Tarifário'!$C$54*'Modelo Tarifário'!$E$41)*('Premissas Economias e Água'!U292))&gt;('Premissas Economias e Água'!U152*'Modelo Tarifário'!$D$29*12*'Modelo Tarifário'!$C$54*'Modelo Tarifário'!$E$41),(T8*'Modelo Tarifário'!$C$54*'Modelo Tarifário'!$E$41)*('Premissas Economias e Água'!U292),('Premissas Economias e Água'!U152*'Modelo Tarifário'!$D$29*12*'Modelo Tarifário'!$C$54*'Modelo Tarifário'!$E$41))</f>
        <v>384091.69719715411</v>
      </c>
      <c r="U28" s="1340">
        <f>IF(((U8*'Modelo Tarifário'!$C$54*'Modelo Tarifário'!$E$41)*('Premissas Economias e Água'!V292))&gt;('Premissas Economias e Água'!V152*'Modelo Tarifário'!$D$29*12*'Modelo Tarifário'!$C$54*'Modelo Tarifário'!$E$41),(U8*'Modelo Tarifário'!$C$54*'Modelo Tarifário'!$E$41)*('Premissas Economias e Água'!V292),('Premissas Economias e Água'!V152*'Modelo Tarifário'!$D$29*12*'Modelo Tarifário'!$C$54*'Modelo Tarifário'!$E$41))</f>
        <v>382471.27591565147</v>
      </c>
      <c r="V28" s="1340">
        <f>IF(((V8*'Modelo Tarifário'!$C$54*'Modelo Tarifário'!$E$41)*('Premissas Economias e Água'!W292))&gt;('Premissas Economias e Água'!W152*'Modelo Tarifário'!$D$29*12*'Modelo Tarifário'!$C$54*'Modelo Tarifário'!$E$41),(V8*'Modelo Tarifário'!$C$54*'Modelo Tarifário'!$E$41)*('Premissas Economias e Água'!W292),('Premissas Economias e Água'!W152*'Modelo Tarifário'!$D$29*12*'Modelo Tarifário'!$C$54*'Modelo Tarifário'!$E$41))</f>
        <v>380850.85463414871</v>
      </c>
      <c r="W28" s="1340">
        <f>IF(((W8*'Modelo Tarifário'!$C$54*'Modelo Tarifário'!$E$41)*('Premissas Economias e Água'!X292))&gt;('Premissas Economias e Água'!X152*'Modelo Tarifário'!$D$29*12*'Modelo Tarifário'!$C$54*'Modelo Tarifário'!$E$41),(W8*'Modelo Tarifário'!$C$54*'Modelo Tarifário'!$E$41)*('Premissas Economias e Água'!X292),('Premissas Economias e Água'!X152*'Modelo Tarifário'!$D$29*12*'Modelo Tarifário'!$C$54*'Modelo Tarifário'!$E$41))</f>
        <v>379230.43335264595</v>
      </c>
      <c r="X28" s="1340">
        <f>IF(((X8*'Modelo Tarifário'!$C$54*'Modelo Tarifário'!$E$41)*('Premissas Economias e Água'!Y292))&gt;('Premissas Economias e Água'!Y152*'Modelo Tarifário'!$D$29*12*'Modelo Tarifário'!$C$54*'Modelo Tarifário'!$E$41),(X8*'Modelo Tarifário'!$C$54*'Modelo Tarifário'!$E$41)*('Premissas Economias e Água'!Y292),('Premissas Economias e Água'!Y152*'Modelo Tarifário'!$D$29*12*'Modelo Tarifário'!$C$54*'Modelo Tarifário'!$E$41))</f>
        <v>377610.01207114331</v>
      </c>
      <c r="Y28" s="1340">
        <f>IF(((Y8*'Modelo Tarifário'!$C$54*'Modelo Tarifário'!$E$41)*('Premissas Economias e Água'!Z292))&gt;('Premissas Economias e Água'!Z152*'Modelo Tarifário'!$D$29*12*'Modelo Tarifário'!$C$54*'Modelo Tarifário'!$E$41),(Y8*'Modelo Tarifário'!$C$54*'Modelo Tarifário'!$E$41)*('Premissas Economias e Água'!Z292),('Premissas Economias e Água'!Z152*'Modelo Tarifário'!$D$29*12*'Modelo Tarifário'!$C$54*'Modelo Tarifário'!$E$41))</f>
        <v>376002.55415989255</v>
      </c>
      <c r="Z28" s="1340">
        <f>IF(((Z8*'Modelo Tarifário'!$C$54*'Modelo Tarifário'!$E$41)*('Premissas Economias e Água'!AA292))&gt;('Premissas Economias e Água'!AA152*'Modelo Tarifário'!$D$29*12*'Modelo Tarifário'!$C$54*'Modelo Tarifário'!$E$41),(Z8*'Modelo Tarifário'!$C$54*'Modelo Tarifário'!$E$41)*('Premissas Economias e Água'!AA292),('Premissas Economias e Água'!AA152*'Modelo Tarifário'!$D$29*12*'Modelo Tarifário'!$C$54*'Modelo Tarifário'!$E$41))</f>
        <v>374382.13287838979</v>
      </c>
      <c r="AA28" s="1340">
        <f>IF(((AA8*'Modelo Tarifário'!$C$54*'Modelo Tarifário'!$E$41)*('Premissas Economias e Água'!AB292))&gt;('Premissas Economias e Água'!AB152*'Modelo Tarifário'!$D$29*12*'Modelo Tarifário'!$C$54*'Modelo Tarifário'!$E$41),(AA8*'Modelo Tarifário'!$C$54*'Modelo Tarifário'!$E$41)*('Premissas Economias e Água'!AB292),('Premissas Economias e Água'!AB152*'Modelo Tarifário'!$D$29*12*'Modelo Tarifário'!$C$54*'Modelo Tarifário'!$E$41))</f>
        <v>372761.71159688709</v>
      </c>
      <c r="AB28" s="1340">
        <f>IF(((AB8*'Modelo Tarifário'!$C$54*'Modelo Tarifário'!$E$41)*('Premissas Economias e Água'!AC292))&gt;('Premissas Economias e Água'!AC152*'Modelo Tarifário'!$D$29*12*'Modelo Tarifário'!$C$54*'Modelo Tarifário'!$E$41),(AB8*'Modelo Tarifário'!$C$54*'Modelo Tarifário'!$E$41)*('Premissas Economias e Água'!AC292),('Premissas Economias e Água'!AC152*'Modelo Tarifário'!$D$29*12*'Modelo Tarifário'!$C$54*'Modelo Tarifário'!$E$41))</f>
        <v>371141.29031538434</v>
      </c>
      <c r="AC28" s="1340">
        <f>IF(((AC8*'Modelo Tarifário'!$C$54*'Modelo Tarifário'!$E$41)*('Premissas Economias e Água'!AD292))&gt;('Premissas Economias e Água'!AD152*'Modelo Tarifário'!$D$29*12*'Modelo Tarifário'!$C$54*'Modelo Tarifário'!$E$41),(AC8*'Modelo Tarifário'!$C$54*'Modelo Tarifário'!$E$41)*('Premissas Economias e Água'!AD292),('Premissas Economias e Água'!AD152*'Modelo Tarifário'!$D$29*12*'Modelo Tarifário'!$C$54*'Modelo Tarifário'!$E$41))</f>
        <v>369520.86903388158</v>
      </c>
      <c r="AD28" s="1340">
        <f>IF(((AD8*'Modelo Tarifário'!$C$54*'Modelo Tarifário'!$E$41)*('Premissas Economias e Água'!AE292))&gt;('Premissas Economias e Água'!AE152*'Modelo Tarifário'!$D$29*12*'Modelo Tarifário'!$C$54*'Modelo Tarifário'!$E$41),(AD8*'Modelo Tarifário'!$C$54*'Modelo Tarifário'!$E$41)*('Premissas Economias e Água'!AE292),('Premissas Economias e Água'!AE152*'Modelo Tarifário'!$D$29*12*'Modelo Tarifário'!$C$54*'Modelo Tarifário'!$E$41))</f>
        <v>367900.44775237888</v>
      </c>
      <c r="AE28" s="1340">
        <f>IF(((AE8*'Modelo Tarifário'!$C$54*'Modelo Tarifário'!$E$41)*('Premissas Economias e Água'!AF292))&gt;('Premissas Economias e Água'!AF152*'Modelo Tarifário'!$D$29*12*'Modelo Tarifário'!$C$54*'Modelo Tarifário'!$E$41),(AE8*'Modelo Tarifário'!$C$54*'Modelo Tarifário'!$E$41)*('Premissas Economias e Água'!AF292),('Premissas Economias e Água'!AF152*'Modelo Tarifário'!$D$29*12*'Modelo Tarifário'!$C$54*'Modelo Tarifário'!$E$41))</f>
        <v>366280.02647087618</v>
      </c>
      <c r="AF28" s="1340">
        <f>IF(((AF8*'Modelo Tarifário'!$C$54*'Modelo Tarifário'!$E$41)*('Premissas Economias e Água'!AG292))&gt;('Premissas Economias e Água'!AG152*'Modelo Tarifário'!$D$29*12*'Modelo Tarifário'!$C$54*'Modelo Tarifário'!$E$41),(AF8*'Modelo Tarifário'!$C$54*'Modelo Tarifário'!$E$41)*('Premissas Economias e Água'!AG292),('Premissas Economias e Água'!AG152*'Modelo Tarifário'!$D$29*12*'Modelo Tarifário'!$C$54*'Modelo Tarifário'!$E$41))</f>
        <v>364659.60518937348</v>
      </c>
      <c r="AG28" s="1340">
        <f>IF(((AG8*'Modelo Tarifário'!$C$54*'Modelo Tarifário'!$E$41)*('Premissas Economias e Água'!AH292))&gt;('Premissas Economias e Água'!AH152*'Modelo Tarifário'!$D$29*12*'Modelo Tarifário'!$C$54*'Modelo Tarifário'!$E$41),(AG8*'Modelo Tarifário'!$C$54*'Modelo Tarifário'!$E$41)*('Premissas Economias e Água'!AH292),('Premissas Economias e Água'!AH152*'Modelo Tarifário'!$D$29*12*'Modelo Tarifário'!$C$54*'Modelo Tarifário'!$E$41))</f>
        <v>363039.18390787073</v>
      </c>
      <c r="AH28" s="1340">
        <f>IF(((AH8*'Modelo Tarifário'!$C$54*'Modelo Tarifário'!$E$41)*('Premissas Economias e Água'!AI292))&gt;('Premissas Economias e Água'!AI152*'Modelo Tarifário'!$D$29*12*'Modelo Tarifário'!$C$54*'Modelo Tarifário'!$E$41),(AH8*'Modelo Tarifário'!$C$54*'Modelo Tarifário'!$E$41)*('Premissas Economias e Água'!AI292),('Premissas Economias e Água'!AI152*'Modelo Tarifário'!$D$29*12*'Modelo Tarifário'!$C$54*'Modelo Tarifário'!$E$41))</f>
        <v>361418.76262636803</v>
      </c>
    </row>
    <row r="29" spans="2:34" s="79" customFormat="1" ht="12" outlineLevel="1" x14ac:dyDescent="0.3">
      <c r="B29" s="1339"/>
      <c r="C29" s="1335" t="s">
        <v>283</v>
      </c>
      <c r="D29" s="1335"/>
      <c r="E29" s="1340">
        <f>IF(((E8*'Modelo Tarifário'!$C$54*'Modelo Tarifário'!$E$42)*('Premissas Economias e Água'!F293))&gt;('Premissas Economias e Água'!F153*'Modelo Tarifário'!$D$29*12*'Modelo Tarifário'!$C$54*'Modelo Tarifário'!$E$42),(E8*'Modelo Tarifário'!$C$54*'Modelo Tarifário'!$E$42)*('Premissas Economias e Água'!F293),('Premissas Economias e Água'!F153*'Modelo Tarifário'!$D$29*12*'Modelo Tarifário'!$C$54*'Modelo Tarifário'!$E$42))</f>
        <v>47524.98651516471</v>
      </c>
      <c r="F29" s="1340">
        <f>IF(((F8*'Modelo Tarifário'!$C$54*'Modelo Tarifário'!$E$42)*('Premissas Economias e Água'!G293))&gt;('Premissas Economias e Água'!G153*'Modelo Tarifário'!$D$29*12*'Modelo Tarifário'!$C$54*'Modelo Tarifário'!$E$42),(F8*'Modelo Tarifário'!$C$54*'Modelo Tarifário'!$E$42)*('Premissas Economias e Água'!G293),('Premissas Economias e Água'!G153*'Modelo Tarifário'!$D$29*12*'Modelo Tarifário'!$C$54*'Modelo Tarifário'!$E$42))</f>
        <v>47551.735448112595</v>
      </c>
      <c r="G29" s="1340">
        <f>IF(((G8*'Modelo Tarifário'!$C$54*'Modelo Tarifário'!$E$42)*('Premissas Economias e Água'!H293))&gt;('Premissas Economias e Água'!H153*'Modelo Tarifário'!$D$29*12*'Modelo Tarifário'!$C$54*'Modelo Tarifário'!$E$42),(G8*'Modelo Tarifário'!$C$54*'Modelo Tarifário'!$E$42)*('Premissas Economias e Água'!H293),('Premissas Economias e Água'!H153*'Modelo Tarifário'!$D$29*12*'Modelo Tarifário'!$C$54*'Modelo Tarifário'!$E$42))</f>
        <v>47578.484381060473</v>
      </c>
      <c r="H29" s="1340">
        <f>IF(((H8*'Modelo Tarifário'!$C$54*'Modelo Tarifário'!$E$42)*('Premissas Economias e Água'!I293))&gt;('Premissas Economias e Água'!I153*'Modelo Tarifário'!$D$29*12*'Modelo Tarifário'!$C$54*'Modelo Tarifário'!$E$42),(H8*'Modelo Tarifário'!$C$54*'Modelo Tarifário'!$E$42)*('Premissas Economias e Água'!I293),('Premissas Economias e Água'!I153*'Modelo Tarifário'!$D$29*12*'Modelo Tarifário'!$C$54*'Modelo Tarifário'!$E$42))</f>
        <v>47605.23331400835</v>
      </c>
      <c r="I29" s="1340">
        <f>IF(((I8*'Modelo Tarifário'!$C$54*'Modelo Tarifário'!$E$42)*('Premissas Economias e Água'!J293))&gt;('Premissas Economias e Água'!J153*'Modelo Tarifário'!$D$29*12*'Modelo Tarifário'!$C$54*'Modelo Tarifário'!$E$42),(I8*'Modelo Tarifário'!$C$54*'Modelo Tarifário'!$E$42)*('Premissas Economias e Água'!J293),('Premissas Economias e Água'!J153*'Modelo Tarifário'!$D$29*12*'Modelo Tarifário'!$C$54*'Modelo Tarifário'!$E$42))</f>
        <v>47631.982246956235</v>
      </c>
      <c r="J29" s="1340">
        <f>IF(((J8*'Modelo Tarifário'!$C$54*'Modelo Tarifário'!$E$42)*('Premissas Economias e Água'!K293))&gt;('Premissas Economias e Água'!K153*'Modelo Tarifário'!$D$29*12*'Modelo Tarifário'!$C$54*'Modelo Tarifário'!$E$42),(J8*'Modelo Tarifário'!$C$54*'Modelo Tarifário'!$E$42)*('Premissas Economias e Água'!K293),('Premissas Economias e Água'!K153*'Modelo Tarifário'!$D$29*12*'Modelo Tarifário'!$C$54*'Modelo Tarifário'!$E$42))</f>
        <v>47661.878113192106</v>
      </c>
      <c r="K29" s="1340">
        <f>IF(((K8*'Modelo Tarifário'!$C$54*'Modelo Tarifário'!$E$42)*('Premissas Economias e Água'!L293))&gt;('Premissas Economias e Água'!L153*'Modelo Tarifário'!$D$29*12*'Modelo Tarifário'!$C$54*'Modelo Tarifário'!$E$42),(K8*'Modelo Tarifário'!$C$54*'Modelo Tarifário'!$E$42)*('Premissas Economias e Água'!L293),('Premissas Economias e Água'!L153*'Modelo Tarifário'!$D$29*12*'Modelo Tarifário'!$C$54*'Modelo Tarifário'!$E$42))</f>
        <v>47591.072114212409</v>
      </c>
      <c r="L29" s="1340">
        <f>IF(((L8*'Modelo Tarifário'!$C$54*'Modelo Tarifário'!$E$42)*('Premissas Economias e Água'!M293))&gt;('Premissas Economias e Água'!M153*'Modelo Tarifário'!$D$29*12*'Modelo Tarifário'!$C$54*'Modelo Tarifário'!$E$42),(L8*'Modelo Tarifário'!$C$54*'Modelo Tarifário'!$E$42)*('Premissas Economias e Água'!M293),('Premissas Economias e Água'!M153*'Modelo Tarifário'!$D$29*12*'Modelo Tarifário'!$C$54*'Modelo Tarifário'!$E$42))</f>
        <v>47520.266115232727</v>
      </c>
      <c r="M29" s="1340">
        <f>IF(((M8*'Modelo Tarifário'!$C$54*'Modelo Tarifário'!$E$42)*('Premissas Economias e Água'!N293))&gt;('Premissas Economias e Água'!N153*'Modelo Tarifário'!$D$29*12*'Modelo Tarifário'!$C$54*'Modelo Tarifário'!$E$42),(M8*'Modelo Tarifário'!$C$54*'Modelo Tarifário'!$E$42)*('Premissas Economias e Água'!N293),('Premissas Economias e Água'!N153*'Modelo Tarifário'!$D$29*12*'Modelo Tarifário'!$C$54*'Modelo Tarifário'!$E$42))</f>
        <v>47449.460116253053</v>
      </c>
      <c r="N29" s="1340">
        <f>IF(((N8*'Modelo Tarifário'!$C$54*'Modelo Tarifário'!$E$42)*('Premissas Economias e Água'!O293))&gt;('Premissas Economias e Água'!O153*'Modelo Tarifário'!$D$29*12*'Modelo Tarifário'!$C$54*'Modelo Tarifário'!$E$42),(N8*'Modelo Tarifário'!$C$54*'Modelo Tarifário'!$E$42)*('Premissas Economias e Água'!O293),('Premissas Economias e Água'!O153*'Modelo Tarifário'!$D$29*12*'Modelo Tarifário'!$C$54*'Modelo Tarifário'!$E$42))</f>
        <v>47378.654117273363</v>
      </c>
      <c r="O29" s="1340">
        <f>IF(((O8*'Modelo Tarifário'!$C$54*'Modelo Tarifário'!$E$42)*('Premissas Economias e Água'!P293))&gt;('Premissas Economias e Água'!P153*'Modelo Tarifário'!$D$29*12*'Modelo Tarifário'!$C$54*'Modelo Tarifário'!$E$42),(O8*'Modelo Tarifário'!$C$54*'Modelo Tarifário'!$E$42)*('Premissas Economias e Água'!P293),('Premissas Economias e Água'!P153*'Modelo Tarifário'!$D$29*12*'Modelo Tarifário'!$C$54*'Modelo Tarifário'!$E$42))</f>
        <v>47307.848118293674</v>
      </c>
      <c r="P29" s="1340">
        <f>IF(((P8*'Modelo Tarifário'!$C$54*'Modelo Tarifário'!$E$42)*('Premissas Economias e Água'!Q293))&gt;('Premissas Economias e Água'!Q153*'Modelo Tarifário'!$D$29*12*'Modelo Tarifário'!$C$54*'Modelo Tarifário'!$E$42),(P8*'Modelo Tarifário'!$C$54*'Modelo Tarifário'!$E$42)*('Premissas Economias e Água'!Q293),('Premissas Economias e Água'!Q153*'Modelo Tarifário'!$D$29*12*'Modelo Tarifário'!$C$54*'Modelo Tarifário'!$E$42))</f>
        <v>47170.956520266278</v>
      </c>
      <c r="Q29" s="1340">
        <f>IF(((Q8*'Modelo Tarifário'!$C$54*'Modelo Tarifário'!$E$42)*('Premissas Economias e Água'!R293))&gt;('Premissas Economias e Água'!R153*'Modelo Tarifário'!$D$29*12*'Modelo Tarifário'!$C$54*'Modelo Tarifário'!$E$42),(Q8*'Modelo Tarifário'!$C$54*'Modelo Tarifário'!$E$42)*('Premissas Economias e Água'!R293),('Premissas Economias e Água'!R153*'Modelo Tarifário'!$D$29*12*'Modelo Tarifário'!$C$54*'Modelo Tarifário'!$E$42))</f>
        <v>47034.064922238897</v>
      </c>
      <c r="R29" s="1340">
        <f>IF(((R8*'Modelo Tarifário'!$C$54*'Modelo Tarifário'!$E$42)*('Premissas Economias e Água'!S293))&gt;('Premissas Economias e Água'!S153*'Modelo Tarifário'!$D$29*12*'Modelo Tarifário'!$C$54*'Modelo Tarifário'!$E$42),(R8*'Modelo Tarifário'!$C$54*'Modelo Tarifário'!$E$42)*('Premissas Economias e Água'!S293),('Premissas Economias e Água'!S153*'Modelo Tarifário'!$D$29*12*'Modelo Tarifário'!$C$54*'Modelo Tarifário'!$E$42))</f>
        <v>46897.173324211508</v>
      </c>
      <c r="S29" s="1340">
        <f>IF(((S8*'Modelo Tarifário'!$C$54*'Modelo Tarifário'!$E$42)*('Premissas Economias e Água'!T293))&gt;('Premissas Economias e Água'!T153*'Modelo Tarifário'!$D$29*12*'Modelo Tarifário'!$C$54*'Modelo Tarifário'!$E$42),(S8*'Modelo Tarifário'!$C$54*'Modelo Tarifário'!$E$42)*('Premissas Economias e Água'!T293),('Premissas Economias e Água'!T153*'Modelo Tarifário'!$D$29*12*'Modelo Tarifário'!$C$54*'Modelo Tarifário'!$E$42))</f>
        <v>46760.281726184112</v>
      </c>
      <c r="T29" s="1340">
        <f>IF(((T8*'Modelo Tarifário'!$C$54*'Modelo Tarifário'!$E$42)*('Premissas Economias e Água'!U293))&gt;('Premissas Economias e Água'!U153*'Modelo Tarifário'!$D$29*12*'Modelo Tarifário'!$C$54*'Modelo Tarifário'!$E$42),(T8*'Modelo Tarifário'!$C$54*'Modelo Tarifário'!$E$42)*('Premissas Economias e Água'!U293),('Premissas Economias e Água'!U153*'Modelo Tarifário'!$D$29*12*'Modelo Tarifário'!$C$54*'Modelo Tarifário'!$E$42))</f>
        <v>46620.243194868737</v>
      </c>
      <c r="U29" s="1340">
        <f>IF(((U8*'Modelo Tarifário'!$C$54*'Modelo Tarifário'!$E$42)*('Premissas Economias e Água'!V293))&gt;('Premissas Economias e Água'!V153*'Modelo Tarifário'!$D$29*12*'Modelo Tarifário'!$C$54*'Modelo Tarifário'!$E$42),(U8*'Modelo Tarifário'!$C$54*'Modelo Tarifário'!$E$42)*('Premissas Economias e Água'!V293),('Premissas Economias e Água'!V153*'Modelo Tarifário'!$D$29*12*'Modelo Tarifário'!$C$54*'Modelo Tarifário'!$E$42))</f>
        <v>46423.559864369607</v>
      </c>
      <c r="V29" s="1340">
        <f>IF(((V8*'Modelo Tarifário'!$C$54*'Modelo Tarifário'!$E$42)*('Premissas Economias e Água'!W293))&gt;('Premissas Economias e Água'!W153*'Modelo Tarifário'!$D$29*12*'Modelo Tarifário'!$C$54*'Modelo Tarifário'!$E$42),(V8*'Modelo Tarifário'!$C$54*'Modelo Tarifário'!$E$42)*('Premissas Economias e Água'!W293),('Premissas Economias e Água'!W153*'Modelo Tarifário'!$D$29*12*'Modelo Tarifário'!$C$54*'Modelo Tarifário'!$E$42))</f>
        <v>46226.876533870483</v>
      </c>
      <c r="W29" s="1340">
        <f>IF(((W8*'Modelo Tarifário'!$C$54*'Modelo Tarifário'!$E$42)*('Premissas Economias e Água'!X293))&gt;('Premissas Economias e Água'!X153*'Modelo Tarifário'!$D$29*12*'Modelo Tarifário'!$C$54*'Modelo Tarifário'!$E$42),(W8*'Modelo Tarifário'!$C$54*'Modelo Tarifário'!$E$42)*('Premissas Economias e Água'!X293),('Premissas Economias e Água'!X153*'Modelo Tarifário'!$D$29*12*'Modelo Tarifário'!$C$54*'Modelo Tarifário'!$E$42))</f>
        <v>46030.193203371353</v>
      </c>
      <c r="X29" s="1340">
        <f>IF(((X8*'Modelo Tarifário'!$C$54*'Modelo Tarifário'!$E$42)*('Premissas Economias e Água'!Y293))&gt;('Premissas Economias e Água'!Y153*'Modelo Tarifário'!$D$29*12*'Modelo Tarifário'!$C$54*'Modelo Tarifário'!$E$42),(X8*'Modelo Tarifário'!$C$54*'Modelo Tarifário'!$E$42)*('Premissas Economias e Água'!Y293),('Premissas Economias e Água'!Y153*'Modelo Tarifário'!$D$29*12*'Modelo Tarifário'!$C$54*'Modelo Tarifário'!$E$42))</f>
        <v>45833.509872872237</v>
      </c>
      <c r="Y29" s="1340">
        <f>IF(((Y8*'Modelo Tarifário'!$C$54*'Modelo Tarifário'!$E$42)*('Premissas Economias e Água'!Z293))&gt;('Premissas Economias e Água'!Z153*'Modelo Tarifário'!$D$29*12*'Modelo Tarifário'!$C$54*'Modelo Tarifário'!$E$42),(Y8*'Modelo Tarifário'!$C$54*'Modelo Tarifário'!$E$42)*('Premissas Economias e Água'!Z293),('Premissas Economias e Água'!Z153*'Modelo Tarifário'!$D$29*12*'Modelo Tarifário'!$C$54*'Modelo Tarifário'!$E$42))</f>
        <v>45638.400009017103</v>
      </c>
      <c r="Z29" s="1340">
        <f>IF(((Z8*'Modelo Tarifário'!$C$54*'Modelo Tarifário'!$E$42)*('Premissas Economias e Água'!AA293))&gt;('Premissas Economias e Água'!AA153*'Modelo Tarifário'!$D$29*12*'Modelo Tarifário'!$C$54*'Modelo Tarifário'!$E$42),(Z8*'Modelo Tarifário'!$C$54*'Modelo Tarifário'!$E$42)*('Premissas Economias e Água'!AA293),('Premissas Economias e Água'!AA153*'Modelo Tarifário'!$D$29*12*'Modelo Tarifário'!$C$54*'Modelo Tarifário'!$E$42))</f>
        <v>45441.716678517972</v>
      </c>
      <c r="AA29" s="1340">
        <f>IF(((AA8*'Modelo Tarifário'!$C$54*'Modelo Tarifário'!$E$42)*('Premissas Economias e Água'!AB293))&gt;('Premissas Economias e Água'!AB153*'Modelo Tarifário'!$D$29*12*'Modelo Tarifário'!$C$54*'Modelo Tarifário'!$E$42),(AA8*'Modelo Tarifário'!$C$54*'Modelo Tarifário'!$E$42)*('Premissas Economias e Água'!AB293),('Premissas Economias e Água'!AB153*'Modelo Tarifário'!$D$29*12*'Modelo Tarifário'!$C$54*'Modelo Tarifário'!$E$42))</f>
        <v>45245.033348018856</v>
      </c>
      <c r="AB29" s="1340">
        <f>IF(((AB8*'Modelo Tarifário'!$C$54*'Modelo Tarifário'!$E$42)*('Premissas Economias e Água'!AC293))&gt;('Premissas Economias e Água'!AC153*'Modelo Tarifário'!$D$29*12*'Modelo Tarifário'!$C$54*'Modelo Tarifário'!$E$42),(AB8*'Modelo Tarifário'!$C$54*'Modelo Tarifário'!$E$42)*('Premissas Economias e Água'!AC293),('Premissas Economias e Água'!AC153*'Modelo Tarifário'!$D$29*12*'Modelo Tarifário'!$C$54*'Modelo Tarifário'!$E$42))</f>
        <v>45048.350017519726</v>
      </c>
      <c r="AC29" s="1340">
        <f>IF(((AC8*'Modelo Tarifário'!$C$54*'Modelo Tarifário'!$E$42)*('Premissas Economias e Água'!AD293))&gt;('Premissas Economias e Água'!AD153*'Modelo Tarifário'!$D$29*12*'Modelo Tarifário'!$C$54*'Modelo Tarifário'!$E$42),(AC8*'Modelo Tarifário'!$C$54*'Modelo Tarifário'!$E$42)*('Premissas Economias e Água'!AD293),('Premissas Economias e Água'!AD153*'Modelo Tarifário'!$D$29*12*'Modelo Tarifário'!$C$54*'Modelo Tarifário'!$E$42))</f>
        <v>44851.666687020595</v>
      </c>
      <c r="AD29" s="1340">
        <f>IF(((AD8*'Modelo Tarifário'!$C$54*'Modelo Tarifário'!$E$42)*('Premissas Economias e Água'!AE293))&gt;('Premissas Economias e Água'!AE153*'Modelo Tarifário'!$D$29*12*'Modelo Tarifário'!$C$54*'Modelo Tarifário'!$E$42),(AD8*'Modelo Tarifário'!$C$54*'Modelo Tarifário'!$E$42)*('Premissas Economias e Água'!AE293),('Premissas Economias e Água'!AE153*'Modelo Tarifário'!$D$29*12*'Modelo Tarifário'!$C$54*'Modelo Tarifário'!$E$42))</f>
        <v>44654.983356521472</v>
      </c>
      <c r="AE29" s="1340">
        <f>IF(((AE8*'Modelo Tarifário'!$C$54*'Modelo Tarifário'!$E$42)*('Premissas Economias e Água'!AF293))&gt;('Premissas Economias e Água'!AF153*'Modelo Tarifário'!$D$29*12*'Modelo Tarifário'!$C$54*'Modelo Tarifário'!$E$42),(AE8*'Modelo Tarifário'!$C$54*'Modelo Tarifário'!$E$42)*('Premissas Economias e Água'!AF293),('Premissas Economias e Água'!AF153*'Modelo Tarifário'!$D$29*12*'Modelo Tarifário'!$C$54*'Modelo Tarifário'!$E$42))</f>
        <v>44458.300026022342</v>
      </c>
      <c r="AF29" s="1340">
        <f>IF(((AF8*'Modelo Tarifário'!$C$54*'Modelo Tarifário'!$E$42)*('Premissas Economias e Água'!AG293))&gt;('Premissas Economias e Água'!AG153*'Modelo Tarifário'!$D$29*12*'Modelo Tarifário'!$C$54*'Modelo Tarifário'!$E$42),(AF8*'Modelo Tarifário'!$C$54*'Modelo Tarifário'!$E$42)*('Premissas Economias e Água'!AG293),('Premissas Economias e Água'!AG153*'Modelo Tarifário'!$D$29*12*'Modelo Tarifário'!$C$54*'Modelo Tarifário'!$E$42))</f>
        <v>44261.616695523226</v>
      </c>
      <c r="AG29" s="1340">
        <f>IF(((AG8*'Modelo Tarifário'!$C$54*'Modelo Tarifário'!$E$42)*('Premissas Economias e Água'!AH293))&gt;('Premissas Economias e Água'!AH153*'Modelo Tarifário'!$D$29*12*'Modelo Tarifário'!$C$54*'Modelo Tarifário'!$E$42),(AG8*'Modelo Tarifário'!$C$54*'Modelo Tarifário'!$E$42)*('Premissas Economias e Água'!AH293),('Premissas Economias e Água'!AH153*'Modelo Tarifário'!$D$29*12*'Modelo Tarifário'!$C$54*'Modelo Tarifário'!$E$42))</f>
        <v>44064.933365024095</v>
      </c>
      <c r="AH29" s="1340">
        <f>IF(((AH8*'Modelo Tarifário'!$C$54*'Modelo Tarifário'!$E$42)*('Premissas Economias e Água'!AI293))&gt;('Premissas Economias e Água'!AI153*'Modelo Tarifário'!$D$29*12*'Modelo Tarifário'!$C$54*'Modelo Tarifário'!$E$42),(AH8*'Modelo Tarifário'!$C$54*'Modelo Tarifário'!$E$42)*('Premissas Economias e Água'!AI293),('Premissas Economias e Água'!AI153*'Modelo Tarifário'!$D$29*12*'Modelo Tarifário'!$C$54*'Modelo Tarifário'!$E$42))</f>
        <v>43868.250034524972</v>
      </c>
    </row>
    <row r="30" spans="2:34" s="79" customFormat="1" ht="12" outlineLevel="1" x14ac:dyDescent="0.3">
      <c r="B30" s="1339"/>
      <c r="C30" s="1335" t="s">
        <v>12</v>
      </c>
      <c r="D30" s="1335"/>
      <c r="E30" s="1340">
        <f>IF(((E8*'Modelo Tarifário'!$C$54*'Modelo Tarifário'!$E$43)*('Premissas Economias e Água'!F294))&gt;('Premissas Economias e Água'!F154*'Modelo Tarifário'!$D$29*12*'Modelo Tarifário'!$C$54*'Modelo Tarifário'!$E$43),(E8*'Modelo Tarifário'!$C$54*'Modelo Tarifário'!$E$43)*('Premissas Economias e Água'!F294),('Premissas Economias e Água'!F154*'Modelo Tarifário'!$D$29*12*'Modelo Tarifário'!$C$54*'Modelo Tarifário'!$E$43))</f>
        <v>800452.4371305235</v>
      </c>
      <c r="F30" s="1340">
        <f>IF(((F8*'Modelo Tarifário'!$C$54*'Modelo Tarifário'!$E$43)*('Premissas Economias e Água'!G294))&gt;('Premissas Economias e Água'!G154*'Modelo Tarifário'!$D$29*12*'Modelo Tarifário'!$C$54*'Modelo Tarifário'!$E$43),(F8*'Modelo Tarifário'!$C$54*'Modelo Tarifário'!$E$43)*('Premissas Economias e Água'!G294),('Premissas Economias e Água'!G154*'Modelo Tarifário'!$D$29*12*'Modelo Tarifário'!$C$54*'Modelo Tarifário'!$E$43))</f>
        <v>800902.96326716826</v>
      </c>
      <c r="G30" s="1340">
        <f>IF(((G8*'Modelo Tarifário'!$C$54*'Modelo Tarifário'!$E$43)*('Premissas Economias e Água'!H294))&gt;('Premissas Economias e Água'!H154*'Modelo Tarifário'!$D$29*12*'Modelo Tarifário'!$C$54*'Modelo Tarifário'!$E$43),(G8*'Modelo Tarifário'!$C$54*'Modelo Tarifário'!$E$43)*('Premissas Economias e Água'!H294),('Premissas Economias e Água'!H154*'Modelo Tarifário'!$D$29*12*'Modelo Tarifário'!$C$54*'Modelo Tarifário'!$E$43))</f>
        <v>801353.48940381315</v>
      </c>
      <c r="H30" s="1340">
        <f>IF(((H8*'Modelo Tarifário'!$C$54*'Modelo Tarifário'!$E$43)*('Premissas Economias e Água'!I294))&gt;('Premissas Economias e Água'!I154*'Modelo Tarifário'!$D$29*12*'Modelo Tarifário'!$C$54*'Modelo Tarifário'!$E$43),(H8*'Modelo Tarifário'!$C$54*'Modelo Tarifário'!$E$43)*('Premissas Economias e Água'!I294),('Premissas Economias e Água'!I154*'Modelo Tarifário'!$D$29*12*'Modelo Tarifário'!$C$54*'Modelo Tarifário'!$E$43))</f>
        <v>801804.01554045756</v>
      </c>
      <c r="I30" s="1340">
        <f>IF(((I8*'Modelo Tarifário'!$C$54*'Modelo Tarifário'!$E$43)*('Premissas Economias e Água'!J294))&gt;('Premissas Economias e Água'!J154*'Modelo Tarifário'!$D$29*12*'Modelo Tarifário'!$C$54*'Modelo Tarifário'!$E$43),(I8*'Modelo Tarifário'!$C$54*'Modelo Tarifário'!$E$43)*('Premissas Economias e Água'!J294),('Premissas Economias e Água'!J154*'Modelo Tarifário'!$D$29*12*'Modelo Tarifário'!$C$54*'Modelo Tarifário'!$E$43))</f>
        <v>802254.54167710268</v>
      </c>
      <c r="J30" s="1340">
        <f>IF(((J8*'Modelo Tarifário'!$C$54*'Modelo Tarifário'!$E$43)*('Premissas Economias e Água'!K294))&gt;('Premissas Economias e Água'!K154*'Modelo Tarifário'!$D$29*12*'Modelo Tarifário'!$C$54*'Modelo Tarifário'!$E$43),(J8*'Modelo Tarifário'!$C$54*'Modelo Tarifário'!$E$43)*('Premissas Economias e Água'!K294),('Premissas Economias e Água'!K154*'Modelo Tarifário'!$D$29*12*'Modelo Tarifário'!$C$54*'Modelo Tarifário'!$E$43))</f>
        <v>802758.07088864665</v>
      </c>
      <c r="K30" s="1340">
        <f>IF(((K8*'Modelo Tarifário'!$C$54*'Modelo Tarifário'!$E$43)*('Premissas Economias e Água'!L294))&gt;('Premissas Economias e Água'!L154*'Modelo Tarifário'!$D$29*12*'Modelo Tarifário'!$C$54*'Modelo Tarifário'!$E$43),(K8*'Modelo Tarifário'!$C$54*'Modelo Tarifário'!$E$43)*('Premissas Economias e Água'!L294),('Premissas Economias e Água'!L154*'Modelo Tarifário'!$D$29*12*'Modelo Tarifário'!$C$54*'Modelo Tarifário'!$E$43))</f>
        <v>801565.50170341053</v>
      </c>
      <c r="L30" s="1340">
        <f>IF(((L8*'Modelo Tarifário'!$C$54*'Modelo Tarifário'!$E$43)*('Premissas Economias e Água'!M294))&gt;('Premissas Economias e Água'!M154*'Modelo Tarifário'!$D$29*12*'Modelo Tarifário'!$C$54*'Modelo Tarifário'!$E$43),(L8*'Modelo Tarifário'!$C$54*'Modelo Tarifário'!$E$43)*('Premissas Economias e Água'!M294),('Premissas Economias e Água'!M154*'Modelo Tarifário'!$D$29*12*'Modelo Tarifário'!$C$54*'Modelo Tarifário'!$E$43))</f>
        <v>800372.93251817441</v>
      </c>
      <c r="M30" s="1340">
        <f>IF(((M8*'Modelo Tarifário'!$C$54*'Modelo Tarifário'!$E$43)*('Premissas Economias e Água'!N294))&gt;('Premissas Economias e Água'!N154*'Modelo Tarifário'!$D$29*12*'Modelo Tarifário'!$C$54*'Modelo Tarifário'!$E$43),(M8*'Modelo Tarifário'!$C$54*'Modelo Tarifário'!$E$43)*('Premissas Economias e Água'!N294),('Premissas Economias e Água'!N154*'Modelo Tarifário'!$D$29*12*'Modelo Tarifário'!$C$54*'Modelo Tarifário'!$E$43))</f>
        <v>799180.36333293817</v>
      </c>
      <c r="N30" s="1340">
        <f>IF(((N8*'Modelo Tarifário'!$C$54*'Modelo Tarifário'!$E$43)*('Premissas Economias e Água'!O294))&gt;('Premissas Economias e Água'!O154*'Modelo Tarifário'!$D$29*12*'Modelo Tarifário'!$C$54*'Modelo Tarifário'!$E$43),(N8*'Modelo Tarifário'!$C$54*'Modelo Tarifário'!$E$43)*('Premissas Economias e Água'!O294),('Premissas Economias e Água'!O154*'Modelo Tarifário'!$D$29*12*'Modelo Tarifário'!$C$54*'Modelo Tarifário'!$E$43))</f>
        <v>797987.79414770193</v>
      </c>
      <c r="O30" s="1340">
        <f>IF(((O8*'Modelo Tarifário'!$C$54*'Modelo Tarifário'!$E$43)*('Premissas Economias e Água'!P294))&gt;('Premissas Economias e Água'!P154*'Modelo Tarifário'!$D$29*12*'Modelo Tarifário'!$C$54*'Modelo Tarifário'!$E$43),(O8*'Modelo Tarifário'!$C$54*'Modelo Tarifário'!$E$43)*('Premissas Economias e Água'!P294),('Premissas Economias e Água'!P154*'Modelo Tarifário'!$D$29*12*'Modelo Tarifário'!$C$54*'Modelo Tarifário'!$E$43))</f>
        <v>796795.22496246581</v>
      </c>
      <c r="P30" s="1340">
        <f>IF(((P8*'Modelo Tarifário'!$C$54*'Modelo Tarifário'!$E$43)*('Premissas Economias e Água'!Q294))&gt;('Premissas Economias e Água'!Q154*'Modelo Tarifário'!$D$29*12*'Modelo Tarifário'!$C$54*'Modelo Tarifário'!$E$43),(P8*'Modelo Tarifário'!$C$54*'Modelo Tarifário'!$E$43)*('Premissas Economias e Água'!Q294),('Premissas Economias e Água'!Q154*'Modelo Tarifário'!$D$29*12*'Modelo Tarifário'!$C$54*'Modelo Tarifário'!$E$43))</f>
        <v>794489.59120434267</v>
      </c>
      <c r="Q30" s="1340">
        <f>IF(((Q8*'Modelo Tarifário'!$C$54*'Modelo Tarifário'!$E$43)*('Premissas Economias e Água'!R294))&gt;('Premissas Economias e Água'!R154*'Modelo Tarifário'!$D$29*12*'Modelo Tarifário'!$C$54*'Modelo Tarifário'!$E$43),(Q8*'Modelo Tarifário'!$C$54*'Modelo Tarifário'!$E$43)*('Premissas Economias e Água'!R294),('Premissas Economias e Água'!R154*'Modelo Tarifário'!$D$29*12*'Modelo Tarifário'!$C$54*'Modelo Tarifário'!$E$43))</f>
        <v>792183.95744621917</v>
      </c>
      <c r="R30" s="1340">
        <f>IF(((R8*'Modelo Tarifário'!$C$54*'Modelo Tarifário'!$E$43)*('Premissas Economias e Água'!S294))&gt;('Premissas Economias e Água'!S154*'Modelo Tarifário'!$D$29*12*'Modelo Tarifário'!$C$54*'Modelo Tarifário'!$E$43),(R8*'Modelo Tarifário'!$C$54*'Modelo Tarifário'!$E$43)*('Premissas Economias e Água'!S294),('Premissas Economias e Água'!S154*'Modelo Tarifário'!$D$29*12*'Modelo Tarifário'!$C$54*'Modelo Tarifário'!$E$43))</f>
        <v>789878.32368809602</v>
      </c>
      <c r="S30" s="1340">
        <f>IF(((S8*'Modelo Tarifário'!$C$54*'Modelo Tarifário'!$E$43)*('Premissas Economias e Água'!T294))&gt;('Premissas Economias e Água'!T154*'Modelo Tarifário'!$D$29*12*'Modelo Tarifário'!$C$54*'Modelo Tarifário'!$E$43),(S8*'Modelo Tarifário'!$C$54*'Modelo Tarifário'!$E$43)*('Premissas Economias e Água'!T294),('Premissas Economias e Água'!T154*'Modelo Tarifário'!$D$29*12*'Modelo Tarifário'!$C$54*'Modelo Tarifário'!$E$43))</f>
        <v>787572.68992997264</v>
      </c>
      <c r="T30" s="1340">
        <f>IF(((T8*'Modelo Tarifário'!$C$54*'Modelo Tarifário'!$E$43)*('Premissas Economias e Água'!U294))&gt;('Premissas Economias e Água'!U154*'Modelo Tarifário'!$D$29*12*'Modelo Tarifário'!$C$54*'Modelo Tarifário'!$E$43),(T8*'Modelo Tarifário'!$C$54*'Modelo Tarifário'!$E$43)*('Premissas Economias e Água'!U294),('Premissas Economias e Água'!U154*'Modelo Tarifário'!$D$29*12*'Modelo Tarifário'!$C$54*'Modelo Tarifário'!$E$43))</f>
        <v>785214.05309695005</v>
      </c>
      <c r="U30" s="1340">
        <f>IF(((U8*'Modelo Tarifário'!$C$54*'Modelo Tarifário'!$E$43)*('Premissas Economias e Água'!V294))&gt;('Premissas Economias e Água'!V154*'Modelo Tarifário'!$D$29*12*'Modelo Tarifário'!$C$54*'Modelo Tarifário'!$E$43),(U8*'Modelo Tarifário'!$C$54*'Modelo Tarifário'!$E$43)*('Premissas Economias e Água'!V294),('Premissas Economias e Água'!V154*'Modelo Tarifário'!$D$29*12*'Modelo Tarifário'!$C$54*'Modelo Tarifário'!$E$43))</f>
        <v>781901.36091573851</v>
      </c>
      <c r="V30" s="1340">
        <f>IF(((V8*'Modelo Tarifário'!$C$54*'Modelo Tarifário'!$E$43)*('Premissas Economias e Água'!W294))&gt;('Premissas Economias e Água'!W154*'Modelo Tarifário'!$D$29*12*'Modelo Tarifário'!$C$54*'Modelo Tarifário'!$E$43),(V8*'Modelo Tarifário'!$C$54*'Modelo Tarifário'!$E$43)*('Premissas Economias e Água'!W294),('Premissas Economias e Água'!W154*'Modelo Tarifário'!$D$29*12*'Modelo Tarifário'!$C$54*'Modelo Tarifário'!$E$43))</f>
        <v>778588.66873452696</v>
      </c>
      <c r="W30" s="1340">
        <f>IF(((W8*'Modelo Tarifário'!$C$54*'Modelo Tarifário'!$E$43)*('Premissas Economias e Água'!X294))&gt;('Premissas Economias e Água'!X154*'Modelo Tarifário'!$D$29*12*'Modelo Tarifário'!$C$54*'Modelo Tarifário'!$E$43),(W8*'Modelo Tarifário'!$C$54*'Modelo Tarifário'!$E$43)*('Premissas Economias e Água'!X294),('Premissas Economias e Água'!X154*'Modelo Tarifário'!$D$29*12*'Modelo Tarifário'!$C$54*'Modelo Tarifário'!$E$43))</f>
        <v>775275.97655331518</v>
      </c>
      <c r="X30" s="1340">
        <f>IF(((X8*'Modelo Tarifário'!$C$54*'Modelo Tarifário'!$E$43)*('Premissas Economias e Água'!Y294))&gt;('Premissas Economias e Água'!Y154*'Modelo Tarifário'!$D$29*12*'Modelo Tarifário'!$C$54*'Modelo Tarifário'!$E$43),(X8*'Modelo Tarifário'!$C$54*'Modelo Tarifário'!$E$43)*('Premissas Economias e Água'!Y294),('Premissas Economias e Água'!Y154*'Modelo Tarifário'!$D$29*12*'Modelo Tarifário'!$C$54*'Modelo Tarifário'!$E$43))</f>
        <v>771963.28437210363</v>
      </c>
      <c r="Y30" s="1340">
        <f>IF(((Y8*'Modelo Tarifário'!$C$54*'Modelo Tarifário'!$E$43)*('Premissas Economias e Água'!Z294))&gt;('Premissas Economias e Água'!Z154*'Modelo Tarifário'!$D$29*12*'Modelo Tarifário'!$C$54*'Modelo Tarifário'!$E$43),(Y8*'Modelo Tarifário'!$C$54*'Modelo Tarifário'!$E$43)*('Premissas Economias e Água'!Z294),('Premissas Economias e Água'!Z154*'Modelo Tarifário'!$D$29*12*'Modelo Tarifário'!$C$54*'Modelo Tarifário'!$E$43))</f>
        <v>768677.09372834163</v>
      </c>
      <c r="Z30" s="1340">
        <f>IF(((Z8*'Modelo Tarifário'!$C$54*'Modelo Tarifário'!$E$43)*('Premissas Economias e Água'!AA294))&gt;('Premissas Economias e Água'!AA154*'Modelo Tarifário'!$D$29*12*'Modelo Tarifário'!$C$54*'Modelo Tarifário'!$E$43),(Z8*'Modelo Tarifário'!$C$54*'Modelo Tarifário'!$E$43)*('Premissas Economias e Água'!AA294),('Premissas Economias e Água'!AA154*'Modelo Tarifário'!$D$29*12*'Modelo Tarifário'!$C$54*'Modelo Tarifário'!$E$43))</f>
        <v>765364.40154713008</v>
      </c>
      <c r="AA30" s="1340">
        <f>IF(((AA8*'Modelo Tarifário'!$C$54*'Modelo Tarifário'!$E$43)*('Premissas Economias e Água'!AB294))&gt;('Premissas Economias e Água'!AB154*'Modelo Tarifário'!$D$29*12*'Modelo Tarifário'!$C$54*'Modelo Tarifário'!$E$43),(AA8*'Modelo Tarifário'!$C$54*'Modelo Tarifário'!$E$43)*('Premissas Economias e Água'!AB294),('Premissas Economias e Água'!AB154*'Modelo Tarifário'!$D$29*12*'Modelo Tarifário'!$C$54*'Modelo Tarifário'!$E$43))</f>
        <v>762051.70936591853</v>
      </c>
      <c r="AB30" s="1340">
        <f>IF(((AB8*'Modelo Tarifário'!$C$54*'Modelo Tarifário'!$E$43)*('Premissas Economias e Água'!AC294))&gt;('Premissas Economias e Água'!AC154*'Modelo Tarifário'!$D$29*12*'Modelo Tarifário'!$C$54*'Modelo Tarifário'!$E$43),(AB8*'Modelo Tarifário'!$C$54*'Modelo Tarifário'!$E$43)*('Premissas Economias e Água'!AC294),('Premissas Economias e Água'!AC154*'Modelo Tarifário'!$D$29*12*'Modelo Tarifário'!$C$54*'Modelo Tarifário'!$E$43))</f>
        <v>758739.01718470687</v>
      </c>
      <c r="AC30" s="1340">
        <f>IF(((AC8*'Modelo Tarifário'!$C$54*'Modelo Tarifário'!$E$43)*('Premissas Economias e Água'!AD294))&gt;('Premissas Economias e Água'!AD154*'Modelo Tarifário'!$D$29*12*'Modelo Tarifário'!$C$54*'Modelo Tarifário'!$E$43),(AC8*'Modelo Tarifário'!$C$54*'Modelo Tarifário'!$E$43)*('Premissas Economias e Água'!AD294),('Premissas Economias e Água'!AD154*'Modelo Tarifário'!$D$29*12*'Modelo Tarifário'!$C$54*'Modelo Tarifário'!$E$43))</f>
        <v>755426.32500349521</v>
      </c>
      <c r="AD30" s="1340">
        <f>IF(((AD8*'Modelo Tarifário'!$C$54*'Modelo Tarifário'!$E$43)*('Premissas Economias e Água'!AE294))&gt;('Premissas Economias e Água'!AE154*'Modelo Tarifário'!$D$29*12*'Modelo Tarifário'!$C$54*'Modelo Tarifário'!$E$43),(AD8*'Modelo Tarifário'!$C$54*'Modelo Tarifário'!$E$43)*('Premissas Economias e Água'!AE294),('Premissas Economias e Água'!AE154*'Modelo Tarifário'!$D$29*12*'Modelo Tarifário'!$C$54*'Modelo Tarifário'!$E$43))</f>
        <v>752113.63282228378</v>
      </c>
      <c r="AE30" s="1340">
        <f>IF(((AE8*'Modelo Tarifário'!$C$54*'Modelo Tarifário'!$E$43)*('Premissas Economias e Água'!AF294))&gt;('Premissas Economias e Água'!AF154*'Modelo Tarifário'!$D$29*12*'Modelo Tarifário'!$C$54*'Modelo Tarifário'!$E$43),(AE8*'Modelo Tarifário'!$C$54*'Modelo Tarifário'!$E$43)*('Premissas Economias e Água'!AF294),('Premissas Economias e Água'!AF154*'Modelo Tarifário'!$D$29*12*'Modelo Tarifário'!$C$54*'Modelo Tarifário'!$E$43))</f>
        <v>748800.940641072</v>
      </c>
      <c r="AF30" s="1340">
        <f>IF(((AF8*'Modelo Tarifário'!$C$54*'Modelo Tarifário'!$E$43)*('Premissas Economias e Água'!AG294))&gt;('Premissas Economias e Água'!AG154*'Modelo Tarifário'!$D$29*12*'Modelo Tarifário'!$C$54*'Modelo Tarifário'!$E$43),(AF8*'Modelo Tarifário'!$C$54*'Modelo Tarifário'!$E$43)*('Premissas Economias e Água'!AG294),('Premissas Economias e Água'!AG154*'Modelo Tarifário'!$D$29*12*'Modelo Tarifário'!$C$54*'Modelo Tarifário'!$E$43))</f>
        <v>745488.24845986045</v>
      </c>
      <c r="AG30" s="1340">
        <f>IF(((AG8*'Modelo Tarifário'!$C$54*'Modelo Tarifário'!$E$43)*('Premissas Economias e Água'!AH294))&gt;('Premissas Economias e Água'!AH154*'Modelo Tarifário'!$D$29*12*'Modelo Tarifário'!$C$54*'Modelo Tarifário'!$E$43),(AG8*'Modelo Tarifário'!$C$54*'Modelo Tarifário'!$E$43)*('Premissas Economias e Água'!AH294),('Premissas Economias e Água'!AH154*'Modelo Tarifário'!$D$29*12*'Modelo Tarifário'!$C$54*'Modelo Tarifário'!$E$43))</f>
        <v>742175.55627864879</v>
      </c>
      <c r="AH30" s="1340">
        <f>IF(((AH8*'Modelo Tarifário'!$C$54*'Modelo Tarifário'!$E$43)*('Premissas Economias e Água'!AI294))&gt;('Premissas Economias e Água'!AI154*'Modelo Tarifário'!$D$29*12*'Modelo Tarifário'!$C$54*'Modelo Tarifário'!$E$43),(AH8*'Modelo Tarifário'!$C$54*'Modelo Tarifário'!$E$43)*('Premissas Economias e Água'!AI294),('Premissas Economias e Água'!AI154*'Modelo Tarifário'!$D$29*12*'Modelo Tarifário'!$C$54*'Modelo Tarifário'!$E$43))</f>
        <v>738862.86409743724</v>
      </c>
    </row>
    <row r="31" spans="2:34" s="79" customFormat="1" ht="12" outlineLevel="1" x14ac:dyDescent="0.3">
      <c r="B31" s="1339"/>
      <c r="C31" s="1335" t="s">
        <v>13</v>
      </c>
      <c r="D31" s="1335"/>
      <c r="E31" s="1340">
        <f>IF(((E8*'Modelo Tarifário'!$C$54*'Modelo Tarifário'!$E$44)*('Premissas Economias e Água'!F295))&gt;('Premissas Economias e Água'!F155*'Modelo Tarifário'!$D$29*12*'Modelo Tarifário'!$C$54*'Modelo Tarifário'!$E$44),(E8*'Modelo Tarifário'!$C$54*'Modelo Tarifário'!$E$44)*('Premissas Economias e Água'!F295),('Premissas Economias e Água'!F155*'Modelo Tarifário'!$D$29*12*'Modelo Tarifário'!$C$54*'Modelo Tarifário'!$E$44))</f>
        <v>114579.58315742209</v>
      </c>
      <c r="F31" s="1340">
        <f>IF(((F8*'Modelo Tarifário'!$C$54*'Modelo Tarifário'!$E$44)*('Premissas Economias e Água'!G295))&gt;('Premissas Economias e Água'!G155*'Modelo Tarifário'!$D$29*12*'Modelo Tarifário'!$C$54*'Modelo Tarifário'!$E$44),(F8*'Modelo Tarifário'!$C$54*'Modelo Tarifário'!$E$44)*('Premissas Economias e Água'!G295),('Premissas Economias e Água'!G155*'Modelo Tarifário'!$D$29*12*'Modelo Tarifário'!$C$54*'Modelo Tarifário'!$E$44))</f>
        <v>114644.07305656379</v>
      </c>
      <c r="G31" s="1340">
        <f>IF(((G8*'Modelo Tarifário'!$C$54*'Modelo Tarifário'!$E$44)*('Premissas Economias e Água'!H295))&gt;('Premissas Economias e Água'!H155*'Modelo Tarifário'!$D$29*12*'Modelo Tarifário'!$C$54*'Modelo Tarifário'!$E$44),(G8*'Modelo Tarifário'!$C$54*'Modelo Tarifário'!$E$44)*('Premissas Economias e Água'!H295),('Premissas Economias e Água'!H155*'Modelo Tarifário'!$D$29*12*'Modelo Tarifário'!$C$54*'Modelo Tarifário'!$E$44))</f>
        <v>114708.56295570551</v>
      </c>
      <c r="H31" s="1340">
        <f>IF(((H8*'Modelo Tarifário'!$C$54*'Modelo Tarifário'!$E$44)*('Premissas Economias e Água'!I295))&gt;('Premissas Economias e Água'!I155*'Modelo Tarifário'!$D$29*12*'Modelo Tarifário'!$C$54*'Modelo Tarifário'!$E$44),(H8*'Modelo Tarifário'!$C$54*'Modelo Tarifário'!$E$44)*('Premissas Economias e Água'!I295),('Premissas Economias e Água'!I155*'Modelo Tarifário'!$D$29*12*'Modelo Tarifário'!$C$54*'Modelo Tarifário'!$E$44))</f>
        <v>114773.05285484719</v>
      </c>
      <c r="I31" s="1340">
        <f>IF(((I8*'Modelo Tarifário'!$C$54*'Modelo Tarifário'!$E$44)*('Premissas Economias e Água'!J295))&gt;('Premissas Economias e Água'!J155*'Modelo Tarifário'!$D$29*12*'Modelo Tarifário'!$C$54*'Modelo Tarifário'!$E$44),(I8*'Modelo Tarifário'!$C$54*'Modelo Tarifário'!$E$44)*('Premissas Economias e Água'!J295),('Premissas Economias e Água'!J155*'Modelo Tarifário'!$D$29*12*'Modelo Tarifário'!$C$54*'Modelo Tarifário'!$E$44))</f>
        <v>114837.54275398894</v>
      </c>
      <c r="J31" s="1340">
        <f>IF(((J8*'Modelo Tarifário'!$C$54*'Modelo Tarifário'!$E$44)*('Premissas Economias e Água'!K295))&gt;('Premissas Economias e Água'!K155*'Modelo Tarifário'!$D$29*12*'Modelo Tarifário'!$C$54*'Modelo Tarifário'!$E$44),(J8*'Modelo Tarifário'!$C$54*'Modelo Tarifário'!$E$44)*('Premissas Economias e Água'!K295),('Premissas Economias e Água'!K155*'Modelo Tarifário'!$D$29*12*'Modelo Tarifário'!$C$54*'Modelo Tarifário'!$E$44))</f>
        <v>114909.61970008847</v>
      </c>
      <c r="K31" s="1340">
        <f>IF(((K8*'Modelo Tarifário'!$C$54*'Modelo Tarifário'!$E$44)*('Premissas Economias e Água'!L295))&gt;('Premissas Economias e Água'!L155*'Modelo Tarifário'!$D$29*12*'Modelo Tarifário'!$C$54*'Modelo Tarifário'!$E$44),(K8*'Modelo Tarifário'!$C$54*'Modelo Tarifário'!$E$44)*('Premissas Economias e Água'!L295),('Premissas Economias e Água'!L155*'Modelo Tarifário'!$D$29*12*'Modelo Tarifário'!$C$54*'Modelo Tarifário'!$E$44))</f>
        <v>114738.9111435369</v>
      </c>
      <c r="L31" s="1340">
        <f>IF(((L8*'Modelo Tarifário'!$C$54*'Modelo Tarifário'!$E$44)*('Premissas Economias e Água'!M295))&gt;('Premissas Economias e Água'!M155*'Modelo Tarifário'!$D$29*12*'Modelo Tarifário'!$C$54*'Modelo Tarifário'!$E$44),(L8*'Modelo Tarifário'!$C$54*'Modelo Tarifário'!$E$44)*('Premissas Economias e Água'!M295),('Premissas Economias e Água'!M155*'Modelo Tarifário'!$D$29*12*'Modelo Tarifário'!$C$54*'Modelo Tarifário'!$E$44))</f>
        <v>114568.20258698532</v>
      </c>
      <c r="M31" s="1340">
        <f>IF(((M8*'Modelo Tarifário'!$C$54*'Modelo Tarifário'!$E$44)*('Premissas Economias e Água'!N295))&gt;('Premissas Economias e Água'!N155*'Modelo Tarifário'!$D$29*12*'Modelo Tarifário'!$C$54*'Modelo Tarifário'!$E$44),(M8*'Modelo Tarifário'!$C$54*'Modelo Tarifário'!$E$44)*('Premissas Economias e Água'!N295),('Premissas Economias e Água'!N155*'Modelo Tarifário'!$D$29*12*'Modelo Tarifário'!$C$54*'Modelo Tarifário'!$E$44))</f>
        <v>114397.49403043374</v>
      </c>
      <c r="N31" s="1340">
        <f>IF(((N8*'Modelo Tarifário'!$C$54*'Modelo Tarifário'!$E$44)*('Premissas Economias e Água'!O295))&gt;('Premissas Economias e Água'!O155*'Modelo Tarifário'!$D$29*12*'Modelo Tarifário'!$C$54*'Modelo Tarifário'!$E$44),(N8*'Modelo Tarifário'!$C$54*'Modelo Tarifário'!$E$44)*('Premissas Economias e Água'!O295),('Premissas Economias e Água'!O155*'Modelo Tarifário'!$D$29*12*'Modelo Tarifário'!$C$54*'Modelo Tarifário'!$E$44))</f>
        <v>114226.78547388216</v>
      </c>
      <c r="O31" s="1340">
        <f>IF(((O8*'Modelo Tarifário'!$C$54*'Modelo Tarifário'!$E$44)*('Premissas Economias e Água'!P295))&gt;('Premissas Economias e Água'!P155*'Modelo Tarifário'!$D$29*12*'Modelo Tarifário'!$C$54*'Modelo Tarifário'!$E$44),(O8*'Modelo Tarifário'!$C$54*'Modelo Tarifário'!$E$44)*('Premissas Economias e Água'!P295),('Premissas Economias e Água'!P155*'Modelo Tarifário'!$D$29*12*'Modelo Tarifário'!$C$54*'Modelo Tarifário'!$E$44))</f>
        <v>114056.07691733059</v>
      </c>
      <c r="P31" s="1340">
        <f>IF(((P8*'Modelo Tarifário'!$C$54*'Modelo Tarifário'!$E$44)*('Premissas Economias e Água'!Q295))&gt;('Premissas Economias e Água'!Q155*'Modelo Tarifário'!$D$29*12*'Modelo Tarifário'!$C$54*'Modelo Tarifário'!$E$44),(P8*'Modelo Tarifário'!$C$54*'Modelo Tarifário'!$E$44)*('Premissas Economias e Água'!Q295),('Premissas Economias e Água'!Q155*'Modelo Tarifário'!$D$29*12*'Modelo Tarifário'!$C$54*'Modelo Tarifário'!$E$44))</f>
        <v>113726.04037466417</v>
      </c>
      <c r="Q31" s="1340">
        <f>IF(((Q8*'Modelo Tarifário'!$C$54*'Modelo Tarifário'!$E$44)*('Premissas Economias e Água'!R295))&gt;('Premissas Economias e Água'!R155*'Modelo Tarifário'!$D$29*12*'Modelo Tarifário'!$C$54*'Modelo Tarifário'!$E$44),(Q8*'Modelo Tarifário'!$C$54*'Modelo Tarifário'!$E$44)*('Premissas Economias e Água'!R295),('Premissas Economias e Água'!R155*'Modelo Tarifário'!$D$29*12*'Modelo Tarifário'!$C$54*'Modelo Tarifário'!$E$44))</f>
        <v>113396.00383199778</v>
      </c>
      <c r="R31" s="1340">
        <f>IF(((R8*'Modelo Tarifário'!$C$54*'Modelo Tarifário'!$E$44)*('Premissas Economias e Água'!S295))&gt;('Premissas Economias e Água'!S155*'Modelo Tarifário'!$D$29*12*'Modelo Tarifário'!$C$54*'Modelo Tarifário'!$E$44),(R8*'Modelo Tarifário'!$C$54*'Modelo Tarifário'!$E$44)*('Premissas Economias e Água'!S295),('Premissas Economias e Água'!S155*'Modelo Tarifário'!$D$29*12*'Modelo Tarifário'!$C$54*'Modelo Tarifário'!$E$44))</f>
        <v>113065.9672893314</v>
      </c>
      <c r="S31" s="1340">
        <f>IF(((S8*'Modelo Tarifário'!$C$54*'Modelo Tarifário'!$E$44)*('Premissas Economias e Água'!T295))&gt;('Premissas Economias e Água'!T155*'Modelo Tarifário'!$D$29*12*'Modelo Tarifário'!$C$54*'Modelo Tarifário'!$E$44),(S8*'Modelo Tarifário'!$C$54*'Modelo Tarifário'!$E$44)*('Premissas Economias e Água'!T295),('Premissas Economias e Água'!T155*'Modelo Tarifário'!$D$29*12*'Modelo Tarifário'!$C$54*'Modelo Tarifário'!$E$44))</f>
        <v>112735.93074666499</v>
      </c>
      <c r="T31" s="1340">
        <f>IF(((T8*'Modelo Tarifário'!$C$54*'Modelo Tarifário'!$E$44)*('Premissas Economias e Água'!U295))&gt;('Premissas Economias e Água'!U155*'Modelo Tarifário'!$D$29*12*'Modelo Tarifário'!$C$54*'Modelo Tarifário'!$E$44),(T8*'Modelo Tarifário'!$C$54*'Modelo Tarifário'!$E$44)*('Premissas Economias e Água'!U295),('Premissas Economias e Água'!U155*'Modelo Tarifário'!$D$29*12*'Modelo Tarifário'!$C$54*'Modelo Tarifário'!$E$44))</f>
        <v>112398.30715704076</v>
      </c>
      <c r="U31" s="1340">
        <f>IF(((U8*'Modelo Tarifário'!$C$54*'Modelo Tarifário'!$E$44)*('Premissas Economias e Água'!V295))&gt;('Premissas Economias e Água'!V155*'Modelo Tarifário'!$D$29*12*'Modelo Tarifário'!$C$54*'Modelo Tarifário'!$E$44),(U8*'Modelo Tarifário'!$C$54*'Modelo Tarifário'!$E$44)*('Premissas Economias e Água'!V295),('Premissas Economias e Água'!V155*'Modelo Tarifário'!$D$29*12*'Modelo Tarifário'!$C$54*'Modelo Tarifário'!$E$44))</f>
        <v>111924.11672217525</v>
      </c>
      <c r="V31" s="1340">
        <f>IF(((V8*'Modelo Tarifário'!$C$54*'Modelo Tarifário'!$E$44)*('Premissas Economias e Água'!W295))&gt;('Premissas Economias e Água'!W155*'Modelo Tarifário'!$D$29*12*'Modelo Tarifário'!$C$54*'Modelo Tarifário'!$E$44),(V8*'Modelo Tarifário'!$C$54*'Modelo Tarifário'!$E$44)*('Premissas Economias e Água'!W295),('Premissas Economias e Água'!W155*'Modelo Tarifário'!$D$29*12*'Modelo Tarifário'!$C$54*'Modelo Tarifário'!$E$44))</f>
        <v>111449.92628730975</v>
      </c>
      <c r="W31" s="1340">
        <f>IF(((W8*'Modelo Tarifário'!$C$54*'Modelo Tarifário'!$E$44)*('Premissas Economias e Água'!X295))&gt;('Premissas Economias e Água'!X155*'Modelo Tarifário'!$D$29*12*'Modelo Tarifário'!$C$54*'Modelo Tarifário'!$E$44),(W8*'Modelo Tarifário'!$C$54*'Modelo Tarifário'!$E$44)*('Premissas Economias e Água'!X295),('Premissas Economias e Água'!X155*'Modelo Tarifário'!$D$29*12*'Modelo Tarifário'!$C$54*'Modelo Tarifário'!$E$44))</f>
        <v>110975.73585244424</v>
      </c>
      <c r="X31" s="1340">
        <f>IF(((X8*'Modelo Tarifário'!$C$54*'Modelo Tarifário'!$E$44)*('Premissas Economias e Água'!Y295))&gt;('Premissas Economias e Água'!Y155*'Modelo Tarifário'!$D$29*12*'Modelo Tarifário'!$C$54*'Modelo Tarifário'!$E$44),(X8*'Modelo Tarifário'!$C$54*'Modelo Tarifário'!$E$44)*('Premissas Economias e Água'!Y295),('Premissas Economias e Água'!Y155*'Modelo Tarifário'!$D$29*12*'Modelo Tarifário'!$C$54*'Modelo Tarifário'!$E$44))</f>
        <v>110501.54541757876</v>
      </c>
      <c r="Y31" s="1340">
        <f>IF(((Y8*'Modelo Tarifário'!$C$54*'Modelo Tarifário'!$E$44)*('Premissas Economias e Água'!Z295))&gt;('Premissas Economias e Água'!Z155*'Modelo Tarifário'!$D$29*12*'Modelo Tarifário'!$C$54*'Modelo Tarifário'!$E$44),(Y8*'Modelo Tarifário'!$C$54*'Modelo Tarifário'!$E$44)*('Premissas Economias e Água'!Z295),('Premissas Economias e Água'!Z155*'Modelo Tarifário'!$D$29*12*'Modelo Tarifário'!$C$54*'Modelo Tarifário'!$E$44))</f>
        <v>110031.14850619217</v>
      </c>
      <c r="Z31" s="1340">
        <f>IF(((Z8*'Modelo Tarifário'!$C$54*'Modelo Tarifário'!$E$44)*('Premissas Economias e Água'!AA295))&gt;('Premissas Economias e Água'!AA155*'Modelo Tarifário'!$D$29*12*'Modelo Tarifário'!$C$54*'Modelo Tarifário'!$E$44),(Z8*'Modelo Tarifário'!$C$54*'Modelo Tarifário'!$E$44)*('Premissas Economias e Água'!AA295),('Premissas Economias e Água'!AA155*'Modelo Tarifário'!$D$29*12*'Modelo Tarifário'!$C$54*'Modelo Tarifário'!$E$44))</f>
        <v>109556.95807132665</v>
      </c>
      <c r="AA31" s="1340">
        <f>IF(((AA8*'Modelo Tarifário'!$C$54*'Modelo Tarifário'!$E$44)*('Premissas Economias e Água'!AB295))&gt;('Premissas Economias e Água'!AB155*'Modelo Tarifário'!$D$29*12*'Modelo Tarifário'!$C$54*'Modelo Tarifário'!$E$44),(AA8*'Modelo Tarifário'!$C$54*'Modelo Tarifário'!$E$44)*('Premissas Economias e Água'!AB295),('Premissas Economias e Água'!AB155*'Modelo Tarifário'!$D$29*12*'Modelo Tarifário'!$C$54*'Modelo Tarifário'!$E$44))</f>
        <v>109082.76763646114</v>
      </c>
      <c r="AB31" s="1340">
        <f>IF(((AB8*'Modelo Tarifário'!$C$54*'Modelo Tarifário'!$E$44)*('Premissas Economias e Água'!AC295))&gt;('Premissas Economias e Água'!AC155*'Modelo Tarifário'!$D$29*12*'Modelo Tarifário'!$C$54*'Modelo Tarifário'!$E$44),(AB8*'Modelo Tarifário'!$C$54*'Modelo Tarifário'!$E$44)*('Premissas Economias e Água'!AC295),('Premissas Economias e Água'!AC155*'Modelo Tarifário'!$D$29*12*'Modelo Tarifário'!$C$54*'Modelo Tarifário'!$E$44))</f>
        <v>108608.57720159563</v>
      </c>
      <c r="AC31" s="1340">
        <f>IF(((AC8*'Modelo Tarifário'!$C$54*'Modelo Tarifário'!$E$44)*('Premissas Economias e Água'!AD295))&gt;('Premissas Economias e Água'!AD155*'Modelo Tarifário'!$D$29*12*'Modelo Tarifário'!$C$54*'Modelo Tarifário'!$E$44),(AC8*'Modelo Tarifário'!$C$54*'Modelo Tarifário'!$E$44)*('Premissas Economias e Água'!AD295),('Premissas Economias e Água'!AD155*'Modelo Tarifário'!$D$29*12*'Modelo Tarifário'!$C$54*'Modelo Tarifário'!$E$44))</f>
        <v>108134.38676673011</v>
      </c>
      <c r="AD31" s="1340">
        <f>IF(((AD8*'Modelo Tarifário'!$C$54*'Modelo Tarifário'!$E$44)*('Premissas Economias e Água'!AE295))&gt;('Premissas Economias e Água'!AE155*'Modelo Tarifário'!$D$29*12*'Modelo Tarifário'!$C$54*'Modelo Tarifário'!$E$44),(AD8*'Modelo Tarifário'!$C$54*'Modelo Tarifário'!$E$44)*('Premissas Economias e Água'!AE295),('Premissas Economias e Água'!AE155*'Modelo Tarifário'!$D$29*12*'Modelo Tarifário'!$C$54*'Modelo Tarifário'!$E$44))</f>
        <v>107660.1963318646</v>
      </c>
      <c r="AE31" s="1340">
        <f>IF(((AE8*'Modelo Tarifário'!$C$54*'Modelo Tarifário'!$E$44)*('Premissas Economias e Água'!AF295))&gt;('Premissas Economias e Água'!AF155*'Modelo Tarifário'!$D$29*12*'Modelo Tarifário'!$C$54*'Modelo Tarifário'!$E$44),(AE8*'Modelo Tarifário'!$C$54*'Modelo Tarifário'!$E$44)*('Premissas Economias e Água'!AF295),('Premissas Economias e Água'!AF155*'Modelo Tarifário'!$D$29*12*'Modelo Tarifário'!$C$54*'Modelo Tarifário'!$E$44))</f>
        <v>107186.00589699909</v>
      </c>
      <c r="AF31" s="1340">
        <f>IF(((AF8*'Modelo Tarifário'!$C$54*'Modelo Tarifário'!$E$44)*('Premissas Economias e Água'!AG295))&gt;('Premissas Economias e Água'!AG155*'Modelo Tarifário'!$D$29*12*'Modelo Tarifário'!$C$54*'Modelo Tarifário'!$E$44),(AF8*'Modelo Tarifário'!$C$54*'Modelo Tarifário'!$E$44)*('Premissas Economias e Água'!AG295),('Premissas Economias e Água'!AG155*'Modelo Tarifário'!$D$29*12*'Modelo Tarifário'!$C$54*'Modelo Tarifário'!$E$44))</f>
        <v>106711.81546213361</v>
      </c>
      <c r="AG31" s="1340">
        <f>IF(((AG8*'Modelo Tarifário'!$C$54*'Modelo Tarifário'!$E$44)*('Premissas Economias e Água'!AH295))&gt;('Premissas Economias e Água'!AH155*'Modelo Tarifário'!$D$29*12*'Modelo Tarifário'!$C$54*'Modelo Tarifário'!$E$44),(AG8*'Modelo Tarifário'!$C$54*'Modelo Tarifário'!$E$44)*('Premissas Economias e Água'!AH295),('Premissas Economias e Água'!AH155*'Modelo Tarifário'!$D$29*12*'Modelo Tarifário'!$C$54*'Modelo Tarifário'!$E$44))</f>
        <v>106237.62502726808</v>
      </c>
      <c r="AH31" s="1340">
        <f>IF(((AH8*'Modelo Tarifário'!$C$54*'Modelo Tarifário'!$E$44)*('Premissas Economias e Água'!AI295))&gt;('Premissas Economias e Água'!AI155*'Modelo Tarifário'!$D$29*12*'Modelo Tarifário'!$C$54*'Modelo Tarifário'!$E$44),(AH8*'Modelo Tarifário'!$C$54*'Modelo Tarifário'!$E$44)*('Premissas Economias e Água'!AI295),('Premissas Economias e Água'!AI155*'Modelo Tarifário'!$D$29*12*'Modelo Tarifário'!$C$54*'Modelo Tarifário'!$E$44))</f>
        <v>105763.4345924026</v>
      </c>
    </row>
    <row r="32" spans="2:34" s="79" customFormat="1" ht="12" outlineLevel="1" x14ac:dyDescent="0.3">
      <c r="B32" s="1341"/>
      <c r="C32" s="1342" t="s">
        <v>14</v>
      </c>
      <c r="D32" s="1343"/>
      <c r="E32" s="1344">
        <f>IF(((E8*'Modelo Tarifário'!$C$54*'Modelo Tarifário'!$E$45)*('Premissas Economias e Água'!F296))&gt;('Premissas Economias e Água'!F156*'Modelo Tarifário'!$D$29*12*'Modelo Tarifário'!$C$54*'Modelo Tarifário'!$E$45),(E8*'Modelo Tarifário'!$C$54*'Modelo Tarifário'!$E$45)*('Premissas Economias e Água'!F296),('Premissas Economias e Água'!F156*'Modelo Tarifário'!$D$29*12*'Modelo Tarifário'!$C$54*'Modelo Tarifário'!$E$45))</f>
        <v>199887.01003375094</v>
      </c>
      <c r="F32" s="1344">
        <f>IF(((F8*'Modelo Tarifário'!$C$54*'Modelo Tarifário'!$E$45)*('Premissas Economias e Água'!G296))&gt;('Premissas Economias e Água'!G156*'Modelo Tarifário'!$D$29*12*'Modelo Tarifário'!$C$54*'Modelo Tarifário'!$E$45),(F8*'Modelo Tarifário'!$C$54*'Modelo Tarifário'!$E$45)*('Premissas Economias e Água'!G296),('Premissas Economias e Água'!G156*'Modelo Tarifário'!$D$29*12*'Modelo Tarifário'!$C$54*'Modelo Tarifário'!$E$45))</f>
        <v>199999.51431035579</v>
      </c>
      <c r="G32" s="1344">
        <f>IF(((G8*'Modelo Tarifário'!$C$54*'Modelo Tarifário'!$E$45)*('Premissas Economias e Água'!H296))&gt;('Premissas Economias e Água'!H156*'Modelo Tarifário'!$D$29*12*'Modelo Tarifário'!$C$54*'Modelo Tarifário'!$E$45),(G8*'Modelo Tarifário'!$C$54*'Modelo Tarifário'!$E$45)*('Premissas Economias e Água'!H296),('Premissas Economias e Água'!H156*'Modelo Tarifário'!$D$29*12*'Modelo Tarifário'!$C$54*'Modelo Tarifário'!$E$45))</f>
        <v>200112.01858696068</v>
      </c>
      <c r="H32" s="1344">
        <f>IF(((H8*'Modelo Tarifário'!$C$54*'Modelo Tarifário'!$E$45)*('Premissas Economias e Água'!I296))&gt;('Premissas Economias e Água'!I156*'Modelo Tarifário'!$D$29*12*'Modelo Tarifário'!$C$54*'Modelo Tarifário'!$E$45),(H8*'Modelo Tarifário'!$C$54*'Modelo Tarifário'!$E$45)*('Premissas Economias e Água'!I296),('Premissas Economias e Água'!I156*'Modelo Tarifário'!$D$29*12*'Modelo Tarifário'!$C$54*'Modelo Tarifário'!$E$45))</f>
        <v>200224.52286356551</v>
      </c>
      <c r="I32" s="1344">
        <f>IF(((I8*'Modelo Tarifário'!$C$54*'Modelo Tarifário'!$E$45)*('Premissas Economias e Água'!J296))&gt;('Premissas Economias e Água'!J156*'Modelo Tarifário'!$D$29*12*'Modelo Tarifário'!$C$54*'Modelo Tarifário'!$E$45),(I8*'Modelo Tarifário'!$C$54*'Modelo Tarifário'!$E$45)*('Premissas Economias e Água'!J296),('Premissas Economias e Água'!J156*'Modelo Tarifário'!$D$29*12*'Modelo Tarifário'!$C$54*'Modelo Tarifário'!$E$45))</f>
        <v>200337.02714017042</v>
      </c>
      <c r="J32" s="1344">
        <f>IF(((J8*'Modelo Tarifário'!$C$54*'Modelo Tarifário'!$E$45)*('Premissas Economias e Água'!K296))&gt;('Premissas Economias e Água'!K156*'Modelo Tarifário'!$D$29*12*'Modelo Tarifário'!$C$54*'Modelo Tarifário'!$E$45),(J8*'Modelo Tarifário'!$C$54*'Modelo Tarifário'!$E$45)*('Premissas Economias e Água'!K296),('Premissas Economias e Água'!K156*'Modelo Tarifário'!$D$29*12*'Modelo Tarifário'!$C$54*'Modelo Tarifário'!$E$45))</f>
        <v>200462.76721402296</v>
      </c>
      <c r="K32" s="1344">
        <f>IF(((K8*'Modelo Tarifário'!$C$54*'Modelo Tarifário'!$E$45)*('Premissas Economias e Água'!L296))&gt;('Premissas Economias e Água'!L156*'Modelo Tarifário'!$D$29*12*'Modelo Tarifário'!$C$54*'Modelo Tarifário'!$E$45),(K8*'Modelo Tarifário'!$C$54*'Modelo Tarifário'!$E$45)*('Premissas Economias e Água'!L296),('Premissas Economias e Água'!L156*'Modelo Tarifário'!$D$29*12*'Modelo Tarifário'!$C$54*'Modelo Tarifário'!$E$45))</f>
        <v>200164.96177595117</v>
      </c>
      <c r="L32" s="1344">
        <f>IF(((L8*'Modelo Tarifário'!$C$54*'Modelo Tarifário'!$E$45)*('Premissas Economias e Água'!M296))&gt;('Premissas Economias e Água'!M156*'Modelo Tarifário'!$D$29*12*'Modelo Tarifário'!$C$54*'Modelo Tarifário'!$E$45),(L8*'Modelo Tarifário'!$C$54*'Modelo Tarifário'!$E$45)*('Premissas Economias e Água'!M296),('Premissas Economias e Água'!M156*'Modelo Tarifário'!$D$29*12*'Modelo Tarifário'!$C$54*'Modelo Tarifário'!$E$45))</f>
        <v>199867.15633787945</v>
      </c>
      <c r="M32" s="1344">
        <f>IF(((M8*'Modelo Tarifário'!$C$54*'Modelo Tarifário'!$E$45)*('Premissas Economias e Água'!N296))&gt;('Premissas Economias e Água'!N156*'Modelo Tarifário'!$D$29*12*'Modelo Tarifário'!$C$54*'Modelo Tarifário'!$E$45),(M8*'Modelo Tarifário'!$C$54*'Modelo Tarifário'!$E$45)*('Premissas Economias e Água'!N296),('Premissas Economias e Água'!N156*'Modelo Tarifário'!$D$29*12*'Modelo Tarifário'!$C$54*'Modelo Tarifário'!$E$45))</f>
        <v>199569.35089980773</v>
      </c>
      <c r="N32" s="1344">
        <f>IF(((N8*'Modelo Tarifário'!$C$54*'Modelo Tarifário'!$E$45)*('Premissas Economias e Água'!O296))&gt;('Premissas Economias e Água'!O156*'Modelo Tarifário'!$D$29*12*'Modelo Tarifário'!$C$54*'Modelo Tarifário'!$E$45),(N8*'Modelo Tarifário'!$C$54*'Modelo Tarifário'!$E$45)*('Premissas Economias e Água'!O296),('Premissas Economias e Água'!O156*'Modelo Tarifário'!$D$29*12*'Modelo Tarifário'!$C$54*'Modelo Tarifário'!$E$45))</f>
        <v>199271.54546173598</v>
      </c>
      <c r="O32" s="1344">
        <f>IF(((O8*'Modelo Tarifário'!$C$54*'Modelo Tarifário'!$E$45)*('Premissas Economias e Água'!P296))&gt;('Premissas Economias e Água'!P156*'Modelo Tarifário'!$D$29*12*'Modelo Tarifário'!$C$54*'Modelo Tarifário'!$E$45),(O8*'Modelo Tarifário'!$C$54*'Modelo Tarifário'!$E$45)*('Premissas Economias e Água'!P296),('Premissas Economias e Água'!P156*'Modelo Tarifário'!$D$29*12*'Modelo Tarifário'!$C$54*'Modelo Tarifário'!$E$45))</f>
        <v>198973.74002366426</v>
      </c>
      <c r="P32" s="1344">
        <f>IF(((P8*'Modelo Tarifário'!$C$54*'Modelo Tarifário'!$E$45)*('Premissas Economias e Água'!Q296))&gt;('Premissas Economias e Água'!Q156*'Modelo Tarifário'!$D$29*12*'Modelo Tarifário'!$C$54*'Modelo Tarifário'!$E$45),(P8*'Modelo Tarifário'!$C$54*'Modelo Tarifário'!$E$45)*('Premissas Economias e Água'!Q296),('Premissas Economias e Água'!Q156*'Modelo Tarifário'!$D$29*12*'Modelo Tarifário'!$C$54*'Modelo Tarifário'!$E$45))</f>
        <v>198397.98284339221</v>
      </c>
      <c r="Q32" s="1344">
        <f>IF(((Q8*'Modelo Tarifário'!$C$54*'Modelo Tarifário'!$E$45)*('Premissas Economias e Água'!R296))&gt;('Premissas Economias e Água'!R156*'Modelo Tarifário'!$D$29*12*'Modelo Tarifário'!$C$54*'Modelo Tarifário'!$E$45),(Q8*'Modelo Tarifário'!$C$54*'Modelo Tarifário'!$E$45)*('Premissas Economias e Água'!R296),('Premissas Economias e Água'!R156*'Modelo Tarifário'!$D$29*12*'Modelo Tarifário'!$C$54*'Modelo Tarifário'!$E$45))</f>
        <v>197822.22566312019</v>
      </c>
      <c r="R32" s="1344">
        <f>IF(((R8*'Modelo Tarifário'!$C$54*'Modelo Tarifário'!$E$45)*('Premissas Economias e Água'!S296))&gt;('Premissas Economias e Água'!S156*'Modelo Tarifário'!$D$29*12*'Modelo Tarifário'!$C$54*'Modelo Tarifário'!$E$45),(R8*'Modelo Tarifário'!$C$54*'Modelo Tarifário'!$E$45)*('Premissas Economias e Água'!S296),('Premissas Economias e Água'!S156*'Modelo Tarifário'!$D$29*12*'Modelo Tarifário'!$C$54*'Modelo Tarifário'!$E$45))</f>
        <v>197246.4684828482</v>
      </c>
      <c r="S32" s="1344">
        <f>IF(((S8*'Modelo Tarifário'!$C$54*'Modelo Tarifário'!$E$45)*('Premissas Economias e Água'!T296))&gt;('Premissas Economias e Água'!T156*'Modelo Tarifário'!$D$29*12*'Modelo Tarifário'!$C$54*'Modelo Tarifário'!$E$45),(S8*'Modelo Tarifário'!$C$54*'Modelo Tarifário'!$E$45)*('Premissas Economias e Água'!T296),('Premissas Economias e Água'!T156*'Modelo Tarifário'!$D$29*12*'Modelo Tarifário'!$C$54*'Modelo Tarifário'!$E$45))</f>
        <v>196670.71130257612</v>
      </c>
      <c r="T32" s="1344">
        <f>IF(((T8*'Modelo Tarifário'!$C$54*'Modelo Tarifário'!$E$45)*('Premissas Economias e Água'!U296))&gt;('Premissas Economias e Água'!U156*'Modelo Tarifário'!$D$29*12*'Modelo Tarifário'!$C$54*'Modelo Tarifário'!$E$45),(T8*'Modelo Tarifário'!$C$54*'Modelo Tarifário'!$E$45)*('Premissas Economias e Água'!U296),('Premissas Economias e Água'!U156*'Modelo Tarifário'!$D$29*12*'Modelo Tarifário'!$C$54*'Modelo Tarifário'!$E$45))</f>
        <v>196081.71832505648</v>
      </c>
      <c r="U32" s="1344">
        <f>IF(((U8*'Modelo Tarifário'!$C$54*'Modelo Tarifário'!$E$45)*('Premissas Economias e Água'!V296))&gt;('Premissas Economias e Água'!V156*'Modelo Tarifário'!$D$29*12*'Modelo Tarifário'!$C$54*'Modelo Tarifário'!$E$45),(U8*'Modelo Tarifário'!$C$54*'Modelo Tarifário'!$E$45)*('Premissas Economias e Água'!V296),('Premissas Economias e Água'!V156*'Modelo Tarifário'!$D$29*12*'Modelo Tarifário'!$C$54*'Modelo Tarifário'!$E$45))</f>
        <v>195254.48099707943</v>
      </c>
      <c r="V32" s="1344">
        <f>IF(((V8*'Modelo Tarifário'!$C$54*'Modelo Tarifário'!$E$45)*('Premissas Economias e Água'!W296))&gt;('Premissas Economias e Água'!W156*'Modelo Tarifário'!$D$29*12*'Modelo Tarifário'!$C$54*'Modelo Tarifário'!$E$45),(V8*'Modelo Tarifário'!$C$54*'Modelo Tarifário'!$E$45)*('Premissas Economias e Água'!W296),('Premissas Economias e Água'!W156*'Modelo Tarifário'!$D$29*12*'Modelo Tarifário'!$C$54*'Modelo Tarifário'!$E$45))</f>
        <v>194427.24366910238</v>
      </c>
      <c r="W32" s="1344">
        <f>IF(((W8*'Modelo Tarifário'!$C$54*'Modelo Tarifário'!$E$45)*('Premissas Economias e Água'!X296))&gt;('Premissas Economias e Água'!X156*'Modelo Tarifário'!$D$29*12*'Modelo Tarifário'!$C$54*'Modelo Tarifário'!$E$45),(W8*'Modelo Tarifário'!$C$54*'Modelo Tarifário'!$E$45)*('Premissas Economias e Água'!X296),('Premissas Economias e Água'!X156*'Modelo Tarifário'!$D$29*12*'Modelo Tarifário'!$C$54*'Modelo Tarifário'!$E$45))</f>
        <v>193600.00634112529</v>
      </c>
      <c r="X32" s="1344">
        <f>IF(((X8*'Modelo Tarifário'!$C$54*'Modelo Tarifário'!$E$45)*('Premissas Economias e Água'!Y296))&gt;('Premissas Economias e Água'!Y156*'Modelo Tarifário'!$D$29*12*'Modelo Tarifário'!$C$54*'Modelo Tarifário'!$E$45),(X8*'Modelo Tarifário'!$C$54*'Modelo Tarifário'!$E$45)*('Premissas Economias e Água'!Y296),('Premissas Economias e Água'!Y156*'Modelo Tarifário'!$D$29*12*'Modelo Tarifário'!$C$54*'Modelo Tarifário'!$E$45))</f>
        <v>192772.7690131483</v>
      </c>
      <c r="Y32" s="1344">
        <f>IF(((Y8*'Modelo Tarifário'!$C$54*'Modelo Tarifário'!$E$45)*('Premissas Economias e Água'!Z296))&gt;('Premissas Economias e Água'!Z156*'Modelo Tarifário'!$D$29*12*'Modelo Tarifário'!$C$54*'Modelo Tarifário'!$E$45),(Y8*'Modelo Tarifário'!$C$54*'Modelo Tarifário'!$E$45)*('Premissas Economias e Água'!Z296),('Premissas Economias e Água'!Z156*'Modelo Tarifário'!$D$29*12*'Modelo Tarifário'!$C$54*'Modelo Tarifário'!$E$45))</f>
        <v>191952.14958379508</v>
      </c>
      <c r="Z32" s="1344">
        <f>IF(((Z8*'Modelo Tarifário'!$C$54*'Modelo Tarifário'!$E$45)*('Premissas Economias e Água'!AA296))&gt;('Premissas Economias e Água'!AA156*'Modelo Tarifário'!$D$29*12*'Modelo Tarifário'!$C$54*'Modelo Tarifário'!$E$45),(Z8*'Modelo Tarifário'!$C$54*'Modelo Tarifário'!$E$45)*('Premissas Economias e Água'!AA296),('Premissas Economias e Água'!AA156*'Modelo Tarifário'!$D$29*12*'Modelo Tarifário'!$C$54*'Modelo Tarifário'!$E$45))</f>
        <v>191124.91225581797</v>
      </c>
      <c r="AA32" s="1344">
        <f>IF(((AA8*'Modelo Tarifário'!$C$54*'Modelo Tarifário'!$E$45)*('Premissas Economias e Água'!AB296))&gt;('Premissas Economias e Água'!AB156*'Modelo Tarifário'!$D$29*12*'Modelo Tarifário'!$C$54*'Modelo Tarifário'!$E$45),(AA8*'Modelo Tarifário'!$C$54*'Modelo Tarifário'!$E$45)*('Premissas Economias e Água'!AB296),('Premissas Economias e Água'!AB156*'Modelo Tarifário'!$D$29*12*'Modelo Tarifário'!$C$54*'Modelo Tarifário'!$E$45))</f>
        <v>190297.67492784094</v>
      </c>
      <c r="AB32" s="1344">
        <f>IF(((AB8*'Modelo Tarifário'!$C$54*'Modelo Tarifário'!$E$45)*('Premissas Economias e Água'!AC296))&gt;('Premissas Economias e Água'!AC156*'Modelo Tarifário'!$D$29*12*'Modelo Tarifário'!$C$54*'Modelo Tarifário'!$E$45),(AB8*'Modelo Tarifário'!$C$54*'Modelo Tarifário'!$E$45)*('Premissas Economias e Água'!AC296),('Premissas Economias e Água'!AC156*'Modelo Tarifário'!$D$29*12*'Modelo Tarifário'!$C$54*'Modelo Tarifário'!$E$45))</f>
        <v>189470.43759986392</v>
      </c>
      <c r="AC32" s="1344">
        <f>IF(((AC8*'Modelo Tarifário'!$C$54*'Modelo Tarifário'!$E$45)*('Premissas Economias e Água'!AD296))&gt;('Premissas Economias e Água'!AD156*'Modelo Tarifário'!$D$29*12*'Modelo Tarifário'!$C$54*'Modelo Tarifário'!$E$45),(AC8*'Modelo Tarifário'!$C$54*'Modelo Tarifário'!$E$45)*('Premissas Economias e Água'!AD296),('Premissas Economias e Água'!AD156*'Modelo Tarifário'!$D$29*12*'Modelo Tarifário'!$C$54*'Modelo Tarifário'!$E$45))</f>
        <v>188643.20027188683</v>
      </c>
      <c r="AD32" s="1344">
        <f>IF(((AD8*'Modelo Tarifário'!$C$54*'Modelo Tarifário'!$E$45)*('Premissas Economias e Água'!AE296))&gt;('Premissas Economias e Água'!AE156*'Modelo Tarifário'!$D$29*12*'Modelo Tarifário'!$C$54*'Modelo Tarifário'!$E$45),(AD8*'Modelo Tarifário'!$C$54*'Modelo Tarifário'!$E$45)*('Premissas Economias e Água'!AE296),('Premissas Economias e Água'!AE156*'Modelo Tarifário'!$D$29*12*'Modelo Tarifário'!$C$54*'Modelo Tarifário'!$E$45))</f>
        <v>187815.96294390978</v>
      </c>
      <c r="AE32" s="1344">
        <f>IF(((AE8*'Modelo Tarifário'!$C$54*'Modelo Tarifário'!$E$45)*('Premissas Economias e Água'!AF296))&gt;('Premissas Economias e Água'!AF156*'Modelo Tarifário'!$D$29*12*'Modelo Tarifário'!$C$54*'Modelo Tarifário'!$E$45),(AE8*'Modelo Tarifário'!$C$54*'Modelo Tarifário'!$E$45)*('Premissas Economias e Água'!AF296),('Premissas Economias e Água'!AF156*'Modelo Tarifário'!$D$29*12*'Modelo Tarifário'!$C$54*'Modelo Tarifário'!$E$45))</f>
        <v>186988.72561593272</v>
      </c>
      <c r="AF32" s="1344">
        <f>IF(((AF8*'Modelo Tarifário'!$C$54*'Modelo Tarifário'!$E$45)*('Premissas Economias e Água'!AG296))&gt;('Premissas Economias e Água'!AG156*'Modelo Tarifário'!$D$29*12*'Modelo Tarifário'!$C$54*'Modelo Tarifário'!$E$45),(AF8*'Modelo Tarifário'!$C$54*'Modelo Tarifário'!$E$45)*('Premissas Economias e Água'!AG296),('Premissas Economias e Água'!AG156*'Modelo Tarifário'!$D$29*12*'Modelo Tarifário'!$C$54*'Modelo Tarifário'!$E$45))</f>
        <v>186161.4882879557</v>
      </c>
      <c r="AG32" s="1344">
        <f>IF(((AG8*'Modelo Tarifário'!$C$54*'Modelo Tarifário'!$E$45)*('Premissas Economias e Água'!AH296))&gt;('Premissas Economias e Água'!AH156*'Modelo Tarifário'!$D$29*12*'Modelo Tarifário'!$C$54*'Modelo Tarifário'!$E$45),(AG8*'Modelo Tarifário'!$C$54*'Modelo Tarifário'!$E$45)*('Premissas Economias e Água'!AH296),('Premissas Economias e Água'!AH156*'Modelo Tarifário'!$D$29*12*'Modelo Tarifário'!$C$54*'Modelo Tarifário'!$E$45))</f>
        <v>185334.25095997861</v>
      </c>
      <c r="AH32" s="1344">
        <f>IF(((AH8*'Modelo Tarifário'!$C$54*'Modelo Tarifário'!$E$45)*('Premissas Economias e Água'!AI296))&gt;('Premissas Economias e Água'!AI156*'Modelo Tarifário'!$D$29*12*'Modelo Tarifário'!$C$54*'Modelo Tarifário'!$E$45),(AH8*'Modelo Tarifário'!$C$54*'Modelo Tarifário'!$E$45)*('Premissas Economias e Água'!AI296),('Premissas Economias e Água'!AI156*'Modelo Tarifário'!$D$29*12*'Modelo Tarifário'!$C$54*'Modelo Tarifário'!$E$45))</f>
        <v>184507.01363200159</v>
      </c>
    </row>
    <row r="33" spans="2:34" s="79" customFormat="1" ht="12" x14ac:dyDescent="0.3">
      <c r="B33" s="225"/>
      <c r="C33" s="173" t="s">
        <v>3</v>
      </c>
      <c r="D33" s="173"/>
      <c r="E33" s="497">
        <f>SUM(E34:E44)</f>
        <v>513137.08263196837</v>
      </c>
      <c r="F33" s="497">
        <f t="shared" ref="F33:AH33" si="30">SUM(F34:F44)</f>
        <v>513700.04158164683</v>
      </c>
      <c r="G33" s="497">
        <f t="shared" si="30"/>
        <v>514263.00053132541</v>
      </c>
      <c r="H33" s="497">
        <f t="shared" si="30"/>
        <v>514825.95948100399</v>
      </c>
      <c r="I33" s="497">
        <f t="shared" si="30"/>
        <v>515388.91843068256</v>
      </c>
      <c r="J33" s="497">
        <f t="shared" si="30"/>
        <v>516233.3568552002</v>
      </c>
      <c r="K33" s="497">
        <f t="shared" si="30"/>
        <v>516092.61711778055</v>
      </c>
      <c r="L33" s="497">
        <f t="shared" si="30"/>
        <v>515951.87738036079</v>
      </c>
      <c r="M33" s="497">
        <f t="shared" si="30"/>
        <v>515811.13764294126</v>
      </c>
      <c r="N33" s="497">
        <f t="shared" si="30"/>
        <v>515670.39790552168</v>
      </c>
      <c r="O33" s="497">
        <f t="shared" si="30"/>
        <v>515248.1786932628</v>
      </c>
      <c r="P33" s="497">
        <f t="shared" si="30"/>
        <v>514122.26079390582</v>
      </c>
      <c r="Q33" s="497">
        <f t="shared" si="30"/>
        <v>512996.34289454867</v>
      </c>
      <c r="R33" s="497">
        <f t="shared" si="30"/>
        <v>511870.42499519174</v>
      </c>
      <c r="S33" s="497">
        <f t="shared" si="30"/>
        <v>510744.50709583471</v>
      </c>
      <c r="T33" s="497">
        <f t="shared" si="30"/>
        <v>509759.3289338972</v>
      </c>
      <c r="U33" s="497">
        <f t="shared" si="30"/>
        <v>508070.45208486181</v>
      </c>
      <c r="V33" s="497">
        <f t="shared" si="30"/>
        <v>506381.5752358262</v>
      </c>
      <c r="W33" s="497">
        <f t="shared" si="30"/>
        <v>504692.69838679058</v>
      </c>
      <c r="X33" s="497">
        <f t="shared" si="30"/>
        <v>503003.82153775496</v>
      </c>
      <c r="Y33" s="497">
        <f t="shared" si="30"/>
        <v>501314.94468871958</v>
      </c>
      <c r="Z33" s="497">
        <f t="shared" si="30"/>
        <v>499626.06783968385</v>
      </c>
      <c r="AA33" s="497">
        <f t="shared" si="30"/>
        <v>497937.19099064835</v>
      </c>
      <c r="AB33" s="497">
        <f t="shared" si="30"/>
        <v>496248.31414161285</v>
      </c>
      <c r="AC33" s="497">
        <f t="shared" si="30"/>
        <v>494559.43729257735</v>
      </c>
      <c r="AD33" s="497">
        <f t="shared" si="30"/>
        <v>492870.56044354179</v>
      </c>
      <c r="AE33" s="497">
        <f t="shared" si="30"/>
        <v>491181.68359450618</v>
      </c>
      <c r="AF33" s="497">
        <f t="shared" si="30"/>
        <v>489492.80674547056</v>
      </c>
      <c r="AG33" s="497">
        <f t="shared" si="30"/>
        <v>487803.92989643506</v>
      </c>
      <c r="AH33" s="497">
        <f t="shared" si="30"/>
        <v>486115.05304739956</v>
      </c>
    </row>
    <row r="34" spans="2:34" s="79" customFormat="1" ht="12" hidden="1" outlineLevel="1" x14ac:dyDescent="0.3">
      <c r="B34" s="1336"/>
      <c r="C34" s="1337" t="s">
        <v>10</v>
      </c>
      <c r="D34" s="1337"/>
      <c r="E34" s="1338">
        <f>IF(((E8*'Modelo Tarifário'!$C$55*'Modelo Tarifário'!$E$35)*('Premissas Economias e Água'!F301))&gt;('Premissas Economias e Água'!F161*12*'Modelo Tarifário'!$D$29*'Modelo Tarifário'!$C$55*'Modelo Tarifário'!$E$35),(E8*'Modelo Tarifário'!$C$55*'Modelo Tarifário'!$E$35)*('Premissas Economias e Água'!F301),('Premissas Economias e Água'!F161*12*'Modelo Tarifário'!$D$29*'Modelo Tarifário'!$C$55*'Modelo Tarifário'!$E$35))</f>
        <v>186302.04205114534</v>
      </c>
      <c r="F34" s="1338">
        <f>IF(((F8*'Modelo Tarifário'!$C$55*'Modelo Tarifário'!$E$35)*('Premissas Economias e Água'!G301))&gt;('Premissas Economias e Água'!G161*12*'Modelo Tarifário'!$D$29*'Modelo Tarifário'!$C$55*'Modelo Tarifário'!$E$35),(F8*'Modelo Tarifário'!$C$55*'Modelo Tarifário'!$E$35)*('Premissas Economias e Água'!G301),('Premissas Economias e Água'!G161*12*'Modelo Tarifário'!$D$29*'Modelo Tarifário'!$C$55*'Modelo Tarifário'!$E$35))</f>
        <v>186506.43266228205</v>
      </c>
      <c r="G34" s="1338">
        <f>IF(((G8*'Modelo Tarifário'!$C$55*'Modelo Tarifário'!$E$35)*('Premissas Economias e Água'!H301))&gt;('Premissas Economias e Água'!H161*12*'Modelo Tarifário'!$D$29*'Modelo Tarifário'!$C$55*'Modelo Tarifário'!$E$35),(G8*'Modelo Tarifário'!$C$55*'Modelo Tarifário'!$E$35)*('Premissas Economias e Água'!H301),('Premissas Economias e Água'!H161*12*'Modelo Tarifário'!$D$29*'Modelo Tarifário'!$C$55*'Modelo Tarifário'!$E$35))</f>
        <v>186710.82327341882</v>
      </c>
      <c r="H34" s="1338">
        <f>IF(((H8*'Modelo Tarifário'!$C$55*'Modelo Tarifário'!$E$35)*('Premissas Economias e Água'!I301))&gt;('Premissas Economias e Água'!I161*12*'Modelo Tarifário'!$D$29*'Modelo Tarifário'!$C$55*'Modelo Tarifário'!$E$35),(H8*'Modelo Tarifário'!$C$55*'Modelo Tarifário'!$E$35)*('Premissas Economias e Água'!I301),('Premissas Economias e Água'!I161*12*'Modelo Tarifário'!$D$29*'Modelo Tarifário'!$C$55*'Modelo Tarifário'!$E$35))</f>
        <v>186915.21388455559</v>
      </c>
      <c r="I34" s="1338">
        <f>IF(((I8*'Modelo Tarifário'!$C$55*'Modelo Tarifário'!$E$35)*('Premissas Economias e Água'!J301))&gt;('Premissas Economias e Água'!J161*12*'Modelo Tarifário'!$D$29*'Modelo Tarifário'!$C$55*'Modelo Tarifário'!$E$35),(I8*'Modelo Tarifário'!$C$55*'Modelo Tarifário'!$E$35)*('Premissas Economias e Água'!J301),('Premissas Economias e Água'!J161*12*'Modelo Tarifário'!$D$29*'Modelo Tarifário'!$C$55*'Modelo Tarifário'!$E$35))</f>
        <v>187119.60449569233</v>
      </c>
      <c r="J34" s="1338">
        <f>IF(((J8*'Modelo Tarifário'!$C$55*'Modelo Tarifário'!$E$35)*('Premissas Economias e Água'!K301))&gt;('Premissas Economias e Água'!K161*12*'Modelo Tarifário'!$D$29*'Modelo Tarifário'!$C$55*'Modelo Tarifário'!$E$35),(J8*'Modelo Tarifário'!$C$55*'Modelo Tarifário'!$E$35)*('Premissas Economias e Água'!K301),('Premissas Economias e Água'!K161*12*'Modelo Tarifário'!$D$29*'Modelo Tarifário'!$C$55*'Modelo Tarifário'!$E$35))</f>
        <v>187426.19041239741</v>
      </c>
      <c r="K34" s="1338">
        <f>IF(((K8*'Modelo Tarifário'!$C$55*'Modelo Tarifário'!$E$35)*('Premissas Economias e Água'!L301))&gt;('Premissas Economias e Água'!L161*12*'Modelo Tarifário'!$D$29*'Modelo Tarifário'!$C$55*'Modelo Tarifário'!$E$35),(K8*'Modelo Tarifário'!$C$55*'Modelo Tarifário'!$E$35)*('Premissas Economias e Água'!L301),('Premissas Economias e Água'!L161*12*'Modelo Tarifário'!$D$29*'Modelo Tarifário'!$C$55*'Modelo Tarifário'!$E$35))</f>
        <v>187375.09275961327</v>
      </c>
      <c r="L34" s="1338">
        <f>IF(((L8*'Modelo Tarifário'!$C$55*'Modelo Tarifário'!$E$35)*('Premissas Economias e Água'!M301))&gt;('Premissas Economias e Água'!M161*12*'Modelo Tarifário'!$D$29*'Modelo Tarifário'!$C$55*'Modelo Tarifário'!$E$35),(L8*'Modelo Tarifário'!$C$55*'Modelo Tarifário'!$E$35)*('Premissas Economias e Água'!M301),('Premissas Economias e Água'!M161*12*'Modelo Tarifário'!$D$29*'Modelo Tarifário'!$C$55*'Modelo Tarifário'!$E$35))</f>
        <v>187323.99510682904</v>
      </c>
      <c r="M34" s="1338">
        <f>IF(((M8*'Modelo Tarifário'!$C$55*'Modelo Tarifário'!$E$35)*('Premissas Economias e Água'!N301))&gt;('Premissas Economias e Água'!N161*12*'Modelo Tarifário'!$D$29*'Modelo Tarifário'!$C$55*'Modelo Tarifário'!$E$35),(M8*'Modelo Tarifário'!$C$55*'Modelo Tarifário'!$E$35)*('Premissas Economias e Água'!N301),('Premissas Economias e Água'!N161*12*'Modelo Tarifário'!$D$29*'Modelo Tarifário'!$C$55*'Modelo Tarifário'!$E$35))</f>
        <v>187272.89745404487</v>
      </c>
      <c r="N34" s="1338">
        <f>IF(((N8*'Modelo Tarifário'!$C$55*'Modelo Tarifário'!$E$35)*('Premissas Economias e Água'!O301))&gt;('Premissas Economias e Água'!O161*12*'Modelo Tarifário'!$D$29*'Modelo Tarifário'!$C$55*'Modelo Tarifário'!$E$35),(N8*'Modelo Tarifário'!$C$55*'Modelo Tarifário'!$E$35)*('Premissas Economias e Água'!O301),('Premissas Economias e Água'!O161*12*'Modelo Tarifário'!$D$29*'Modelo Tarifário'!$C$55*'Modelo Tarifário'!$E$35))</f>
        <v>187221.79980126073</v>
      </c>
      <c r="O34" s="1338">
        <f>IF(((O8*'Modelo Tarifário'!$C$55*'Modelo Tarifário'!$E$35)*('Premissas Economias e Água'!P301))&gt;('Premissas Economias e Água'!P161*12*'Modelo Tarifário'!$D$29*'Modelo Tarifário'!$C$55*'Modelo Tarifário'!$E$35),(O8*'Modelo Tarifário'!$C$55*'Modelo Tarifário'!$E$35)*('Premissas Economias e Água'!P301),('Premissas Economias e Água'!P161*12*'Modelo Tarifário'!$D$29*'Modelo Tarifário'!$C$55*'Modelo Tarifário'!$E$35))</f>
        <v>187068.50684290813</v>
      </c>
      <c r="P34" s="1338">
        <f>IF(((P8*'Modelo Tarifário'!$C$55*'Modelo Tarifário'!$E$35)*('Premissas Economias e Água'!Q301))&gt;('Premissas Economias e Água'!Q161*12*'Modelo Tarifário'!$D$29*'Modelo Tarifário'!$C$55*'Modelo Tarifário'!$E$35),(P8*'Modelo Tarifário'!$C$55*'Modelo Tarifário'!$E$35)*('Premissas Economias e Água'!Q301),('Premissas Economias e Água'!Q161*12*'Modelo Tarifário'!$D$29*'Modelo Tarifário'!$C$55*'Modelo Tarifário'!$E$35))</f>
        <v>186659.72562063465</v>
      </c>
      <c r="Q34" s="1338">
        <f>IF(((Q8*'Modelo Tarifário'!$C$55*'Modelo Tarifário'!$E$35)*('Premissas Economias e Água'!R301))&gt;('Premissas Economias e Água'!R161*12*'Modelo Tarifário'!$D$29*'Modelo Tarifário'!$C$55*'Modelo Tarifário'!$E$35),(Q8*'Modelo Tarifário'!$C$55*'Modelo Tarifário'!$E$35)*('Premissas Economias e Água'!R301),('Premissas Economias e Água'!R161*12*'Modelo Tarifário'!$D$29*'Modelo Tarifário'!$C$55*'Modelo Tarifário'!$E$35))</f>
        <v>186250.94439836114</v>
      </c>
      <c r="R34" s="1338">
        <f>IF(((R8*'Modelo Tarifário'!$C$55*'Modelo Tarifário'!$E$35)*('Premissas Economias e Água'!S301))&gt;('Premissas Economias e Água'!S161*12*'Modelo Tarifário'!$D$29*'Modelo Tarifário'!$C$55*'Modelo Tarifário'!$E$35),(R8*'Modelo Tarifário'!$C$55*'Modelo Tarifário'!$E$35)*('Premissas Economias e Água'!S301),('Premissas Economias e Água'!S161*12*'Modelo Tarifário'!$D$29*'Modelo Tarifário'!$C$55*'Modelo Tarifário'!$E$35))</f>
        <v>185842.16317608766</v>
      </c>
      <c r="S34" s="1338">
        <f>IF(((S8*'Modelo Tarifário'!$C$55*'Modelo Tarifário'!$E$35)*('Premissas Economias e Água'!T301))&gt;('Premissas Economias e Água'!T161*12*'Modelo Tarifário'!$D$29*'Modelo Tarifário'!$C$55*'Modelo Tarifário'!$E$35),(S8*'Modelo Tarifário'!$C$55*'Modelo Tarifário'!$E$35)*('Premissas Economias e Água'!T301),('Premissas Economias e Água'!T161*12*'Modelo Tarifário'!$D$29*'Modelo Tarifário'!$C$55*'Modelo Tarifário'!$E$35))</f>
        <v>185433.38195381415</v>
      </c>
      <c r="T34" s="1338">
        <f>IF(((T8*'Modelo Tarifário'!$C$55*'Modelo Tarifário'!$E$35)*('Premissas Economias e Água'!U301))&gt;('Premissas Economias e Água'!U161*12*'Modelo Tarifário'!$D$29*'Modelo Tarifário'!$C$55*'Modelo Tarifário'!$E$35),(T8*'Modelo Tarifário'!$C$55*'Modelo Tarifário'!$E$35)*('Premissas Economias e Água'!U301),('Premissas Economias e Água'!U161*12*'Modelo Tarifário'!$D$29*'Modelo Tarifário'!$C$55*'Modelo Tarifário'!$E$35))</f>
        <v>185075.69838432485</v>
      </c>
      <c r="U34" s="1338">
        <f>IF(((U8*'Modelo Tarifário'!$C$55*'Modelo Tarifário'!$E$35)*('Premissas Economias e Água'!V301))&gt;('Premissas Economias e Água'!V161*12*'Modelo Tarifário'!$D$29*'Modelo Tarifário'!$C$55*'Modelo Tarifário'!$E$35),(U8*'Modelo Tarifário'!$C$55*'Modelo Tarifário'!$E$35)*('Premissas Economias e Água'!V301),('Premissas Economias e Água'!V161*12*'Modelo Tarifário'!$D$29*'Modelo Tarifário'!$C$55*'Modelo Tarifário'!$E$35))</f>
        <v>184462.5265509146</v>
      </c>
      <c r="V34" s="1338">
        <f>IF(((V8*'Modelo Tarifário'!$C$55*'Modelo Tarifário'!$E$35)*('Premissas Economias e Água'!W301))&gt;('Premissas Economias e Água'!W161*12*'Modelo Tarifário'!$D$29*'Modelo Tarifário'!$C$55*'Modelo Tarifário'!$E$35),(V8*'Modelo Tarifário'!$C$55*'Modelo Tarifário'!$E$35)*('Premissas Economias e Água'!W301),('Premissas Economias e Água'!W161*12*'Modelo Tarifário'!$D$29*'Modelo Tarifário'!$C$55*'Modelo Tarifário'!$E$35))</f>
        <v>183849.35471750435</v>
      </c>
      <c r="W34" s="1338">
        <f>IF(((W8*'Modelo Tarifário'!$C$55*'Modelo Tarifário'!$E$35)*('Premissas Economias e Água'!X301))&gt;('Premissas Economias e Água'!X161*12*'Modelo Tarifário'!$D$29*'Modelo Tarifário'!$C$55*'Modelo Tarifário'!$E$35),(W8*'Modelo Tarifário'!$C$55*'Modelo Tarifário'!$E$35)*('Premissas Economias e Água'!X301),('Premissas Economias e Água'!X161*12*'Modelo Tarifário'!$D$29*'Modelo Tarifário'!$C$55*'Modelo Tarifário'!$E$35))</f>
        <v>183236.18288409413</v>
      </c>
      <c r="X34" s="1338">
        <f>IF(((X8*'Modelo Tarifário'!$C$55*'Modelo Tarifário'!$E$35)*('Premissas Economias e Água'!Y301))&gt;('Premissas Economias e Água'!Y161*12*'Modelo Tarifário'!$D$29*'Modelo Tarifário'!$C$55*'Modelo Tarifário'!$E$35),(X8*'Modelo Tarifário'!$C$55*'Modelo Tarifário'!$E$35)*('Premissas Economias e Água'!Y301),('Premissas Economias e Água'!Y161*12*'Modelo Tarifário'!$D$29*'Modelo Tarifário'!$C$55*'Modelo Tarifário'!$E$35))</f>
        <v>182623.01105068385</v>
      </c>
      <c r="Y34" s="1338">
        <f>IF(((Y8*'Modelo Tarifário'!$C$55*'Modelo Tarifário'!$E$35)*('Premissas Economias e Água'!Z301))&gt;('Premissas Economias e Água'!Z161*12*'Modelo Tarifário'!$D$29*'Modelo Tarifário'!$C$55*'Modelo Tarifário'!$E$35),(Y8*'Modelo Tarifário'!$C$55*'Modelo Tarifário'!$E$35)*('Premissas Economias e Água'!Z301),('Premissas Economias e Água'!Z161*12*'Modelo Tarifário'!$D$29*'Modelo Tarifário'!$C$55*'Modelo Tarifário'!$E$35))</f>
        <v>182009.83921727363</v>
      </c>
      <c r="Z34" s="1338">
        <f>IF(((Z8*'Modelo Tarifário'!$C$55*'Modelo Tarifário'!$E$35)*('Premissas Economias e Água'!AA301))&gt;('Premissas Economias e Água'!AA161*12*'Modelo Tarifário'!$D$29*'Modelo Tarifário'!$C$55*'Modelo Tarifário'!$E$35),(Z8*'Modelo Tarifário'!$C$55*'Modelo Tarifário'!$E$35)*('Premissas Economias e Água'!AA301),('Premissas Economias e Água'!AA161*12*'Modelo Tarifário'!$D$29*'Modelo Tarifário'!$C$55*'Modelo Tarifário'!$E$35))</f>
        <v>181396.66738386339</v>
      </c>
      <c r="AA34" s="1338">
        <f>IF(((AA8*'Modelo Tarifário'!$C$55*'Modelo Tarifário'!$E$35)*('Premissas Economias e Água'!AB301))&gt;('Premissas Economias e Água'!AB161*12*'Modelo Tarifário'!$D$29*'Modelo Tarifário'!$C$55*'Modelo Tarifário'!$E$35),(AA8*'Modelo Tarifário'!$C$55*'Modelo Tarifário'!$E$35)*('Premissas Economias e Água'!AB301),('Premissas Economias e Água'!AB161*12*'Modelo Tarifário'!$D$29*'Modelo Tarifário'!$C$55*'Modelo Tarifário'!$E$35))</f>
        <v>180783.49555045314</v>
      </c>
      <c r="AB34" s="1338">
        <f>IF(((AB8*'Modelo Tarifário'!$C$55*'Modelo Tarifário'!$E$35)*('Premissas Economias e Água'!AC301))&gt;('Premissas Economias e Água'!AC161*12*'Modelo Tarifário'!$D$29*'Modelo Tarifário'!$C$55*'Modelo Tarifário'!$E$35),(AB8*'Modelo Tarifário'!$C$55*'Modelo Tarifário'!$E$35)*('Premissas Economias e Água'!AC301),('Premissas Economias e Água'!AC161*12*'Modelo Tarifário'!$D$29*'Modelo Tarifário'!$C$55*'Modelo Tarifário'!$E$35))</f>
        <v>180170.32371704289</v>
      </c>
      <c r="AC34" s="1338">
        <f>IF(((AC8*'Modelo Tarifário'!$C$55*'Modelo Tarifário'!$E$35)*('Premissas Economias e Água'!AD301))&gt;('Premissas Economias e Água'!AD161*12*'Modelo Tarifário'!$D$29*'Modelo Tarifário'!$C$55*'Modelo Tarifário'!$E$35),(AC8*'Modelo Tarifário'!$C$55*'Modelo Tarifário'!$E$35)*('Premissas Economias e Água'!AD301),('Premissas Economias e Água'!AD161*12*'Modelo Tarifário'!$D$29*'Modelo Tarifário'!$C$55*'Modelo Tarifário'!$E$35))</f>
        <v>179557.15188363264</v>
      </c>
      <c r="AD34" s="1338">
        <f>IF(((AD8*'Modelo Tarifário'!$C$55*'Modelo Tarifário'!$E$35)*('Premissas Economias e Água'!AE301))&gt;('Premissas Economias e Água'!AE161*12*'Modelo Tarifário'!$D$29*'Modelo Tarifário'!$C$55*'Modelo Tarifário'!$E$35),(AD8*'Modelo Tarifário'!$C$55*'Modelo Tarifário'!$E$35)*('Premissas Economias e Água'!AE301),('Premissas Economias e Água'!AE161*12*'Modelo Tarifário'!$D$29*'Modelo Tarifário'!$C$55*'Modelo Tarifário'!$E$35))</f>
        <v>178943.98005022242</v>
      </c>
      <c r="AE34" s="1338">
        <f>IF(((AE8*'Modelo Tarifário'!$C$55*'Modelo Tarifário'!$E$35)*('Premissas Economias e Água'!AF301))&gt;('Premissas Economias e Água'!AF161*12*'Modelo Tarifário'!$D$29*'Modelo Tarifário'!$C$55*'Modelo Tarifário'!$E$35),(AE8*'Modelo Tarifário'!$C$55*'Modelo Tarifário'!$E$35)*('Premissas Economias e Água'!AF301),('Premissas Economias e Água'!AF161*12*'Modelo Tarifário'!$D$29*'Modelo Tarifário'!$C$55*'Modelo Tarifário'!$E$35))</f>
        <v>178330.80821681215</v>
      </c>
      <c r="AF34" s="1338">
        <f>IF(((AF8*'Modelo Tarifário'!$C$55*'Modelo Tarifário'!$E$35)*('Premissas Economias e Água'!AG301))&gt;('Premissas Economias e Água'!AG161*12*'Modelo Tarifário'!$D$29*'Modelo Tarifário'!$C$55*'Modelo Tarifário'!$E$35),(AF8*'Modelo Tarifário'!$C$55*'Modelo Tarifário'!$E$35)*('Premissas Economias e Água'!AG301),('Premissas Economias e Água'!AG161*12*'Modelo Tarifário'!$D$29*'Modelo Tarifário'!$C$55*'Modelo Tarifário'!$E$35))</f>
        <v>177717.63638340193</v>
      </c>
      <c r="AG34" s="1338">
        <f>IF(((AG8*'Modelo Tarifário'!$C$55*'Modelo Tarifário'!$E$35)*('Premissas Economias e Água'!AH301))&gt;('Premissas Economias e Água'!AH161*12*'Modelo Tarifário'!$D$29*'Modelo Tarifário'!$C$55*'Modelo Tarifário'!$E$35),(AG8*'Modelo Tarifário'!$C$55*'Modelo Tarifário'!$E$35)*('Premissas Economias e Água'!AH301),('Premissas Economias e Água'!AH161*12*'Modelo Tarifário'!$D$29*'Modelo Tarifário'!$C$55*'Modelo Tarifário'!$E$35))</f>
        <v>177104.46454999168</v>
      </c>
      <c r="AH34" s="1338">
        <f>IF(((AH8*'Modelo Tarifário'!$C$55*'Modelo Tarifário'!$E$35)*('Premissas Economias e Água'!AI301))&gt;('Premissas Economias e Água'!AI161*12*'Modelo Tarifário'!$D$29*'Modelo Tarifário'!$C$55*'Modelo Tarifário'!$E$35),(AH8*'Modelo Tarifário'!$C$55*'Modelo Tarifário'!$E$35)*('Premissas Economias e Água'!AI301),('Premissas Economias e Água'!AI161*12*'Modelo Tarifário'!$D$29*'Modelo Tarifário'!$C$55*'Modelo Tarifário'!$E$35))</f>
        <v>176491.29271658143</v>
      </c>
    </row>
    <row r="35" spans="2:34" s="79" customFormat="1" ht="12" hidden="1" outlineLevel="1" x14ac:dyDescent="0.3">
      <c r="B35" s="1339"/>
      <c r="C35" s="1335" t="s">
        <v>277</v>
      </c>
      <c r="D35" s="1335"/>
      <c r="E35" s="1340">
        <f>IF(('Premissas Economias e Água'!F162*'Modelo Tarifário'!$I$36*12*'Modelo Tarifário'!$B$5*'Modelo Tarifário'!$E$36)&gt;('Premissas Economias e Água'!F162*12*'Modelo Tarifário'!$D$29*'Modelo Tarifário'!$E$36),('Premissas Economias e Água'!F162*'Modelo Tarifário'!$I$36*12*'Modelo Tarifário'!$B$5*'Modelo Tarifário'!$E$36),('Premissas Economias e Água'!F162*12*'Modelo Tarifário'!$D$29*'Modelo Tarifário'!$E$36))</f>
        <v>9413.0643708041734</v>
      </c>
      <c r="F35" s="1340">
        <f>IF(('Premissas Economias e Água'!G162*'Modelo Tarifário'!$I$36*12*'Modelo Tarifário'!$B$5*'Modelo Tarifário'!$E$36)&gt;('Premissas Economias e Água'!G162*12*'Modelo Tarifário'!$D$29*'Modelo Tarifário'!$E$36),('Premissas Economias e Água'!G162*'Modelo Tarifário'!$I$36*12*'Modelo Tarifário'!$B$5*'Modelo Tarifário'!$E$36),('Premissas Economias e Água'!G162*12*'Modelo Tarifário'!$D$29*'Modelo Tarifário'!$E$36))</f>
        <v>9423.3913750508036</v>
      </c>
      <c r="G35" s="1340">
        <f>IF(('Premissas Economias e Água'!H162*'Modelo Tarifário'!$I$36*12*'Modelo Tarifário'!$B$5*'Modelo Tarifário'!$E$36)&gt;('Premissas Economias e Água'!H162*12*'Modelo Tarifário'!$D$29*'Modelo Tarifário'!$E$36),('Premissas Economias e Água'!H162*'Modelo Tarifário'!$I$36*12*'Modelo Tarifário'!$B$5*'Modelo Tarifário'!$E$36),('Premissas Economias e Água'!H162*12*'Modelo Tarifário'!$D$29*'Modelo Tarifário'!$E$36))</f>
        <v>9433.7183792974356</v>
      </c>
      <c r="H35" s="1340">
        <f>IF(('Premissas Economias e Água'!I162*'Modelo Tarifário'!$I$36*12*'Modelo Tarifário'!$B$5*'Modelo Tarifário'!$E$36)&gt;('Premissas Economias e Água'!I162*12*'Modelo Tarifário'!$D$29*'Modelo Tarifário'!$E$36),('Premissas Economias e Água'!I162*'Modelo Tarifário'!$I$36*12*'Modelo Tarifário'!$B$5*'Modelo Tarifário'!$E$36),('Premissas Economias e Água'!I162*12*'Modelo Tarifário'!$D$29*'Modelo Tarifário'!$E$36))</f>
        <v>9444.0453835440658</v>
      </c>
      <c r="I35" s="1340">
        <f>IF(('Premissas Economias e Água'!J162*'Modelo Tarifário'!$I$36*12*'Modelo Tarifário'!$B$5*'Modelo Tarifário'!$E$36)&gt;('Premissas Economias e Água'!J162*12*'Modelo Tarifário'!$D$29*'Modelo Tarifário'!$E$36),('Premissas Economias e Água'!J162*'Modelo Tarifário'!$I$36*12*'Modelo Tarifário'!$B$5*'Modelo Tarifário'!$E$36),('Premissas Economias e Água'!J162*12*'Modelo Tarifário'!$D$29*'Modelo Tarifário'!$E$36))</f>
        <v>9454.3723877906978</v>
      </c>
      <c r="J35" s="1340">
        <f>IF(('Premissas Economias e Água'!K162*'Modelo Tarifário'!$I$36*12*'Modelo Tarifário'!$B$5*'Modelo Tarifário'!$E$36)&gt;('Premissas Economias e Água'!K162*12*'Modelo Tarifário'!$D$29*'Modelo Tarifário'!$E$36),('Premissas Economias e Água'!K162*'Modelo Tarifário'!$I$36*12*'Modelo Tarifário'!$B$5*'Modelo Tarifário'!$E$36),('Premissas Economias e Água'!K162*12*'Modelo Tarifário'!$D$29*'Modelo Tarifário'!$E$36))</f>
        <v>9469.8628941606439</v>
      </c>
      <c r="K35" s="1340">
        <f>IF(('Premissas Economias e Água'!L162*'Modelo Tarifário'!$I$36*12*'Modelo Tarifário'!$B$5*'Modelo Tarifário'!$E$36)&gt;('Premissas Economias e Água'!L162*12*'Modelo Tarifário'!$D$29*'Modelo Tarifário'!$E$36),('Premissas Economias e Água'!L162*'Modelo Tarifário'!$I$36*12*'Modelo Tarifário'!$B$5*'Modelo Tarifário'!$E$36),('Premissas Economias e Água'!L162*12*'Modelo Tarifário'!$D$29*'Modelo Tarifário'!$E$36))</f>
        <v>9467.2811430989859</v>
      </c>
      <c r="L35" s="1340">
        <f>IF(('Premissas Economias e Água'!M162*'Modelo Tarifário'!$I$36*12*'Modelo Tarifário'!$B$5*'Modelo Tarifário'!$E$36)&gt;('Premissas Economias e Água'!M162*12*'Modelo Tarifário'!$D$29*'Modelo Tarifário'!$E$36),('Premissas Economias e Água'!M162*'Modelo Tarifário'!$I$36*12*'Modelo Tarifário'!$B$5*'Modelo Tarifário'!$E$36),('Premissas Economias e Água'!M162*12*'Modelo Tarifário'!$D$29*'Modelo Tarifário'!$E$36))</f>
        <v>9464.6993920373279</v>
      </c>
      <c r="M35" s="1340">
        <f>IF(('Premissas Economias e Água'!N162*'Modelo Tarifário'!$I$36*12*'Modelo Tarifário'!$B$5*'Modelo Tarifário'!$E$36)&gt;('Premissas Economias e Água'!N162*12*'Modelo Tarifário'!$D$29*'Modelo Tarifário'!$E$36),('Premissas Economias e Água'!N162*'Modelo Tarifário'!$I$36*12*'Modelo Tarifário'!$B$5*'Modelo Tarifário'!$E$36),('Premissas Economias e Água'!N162*12*'Modelo Tarifário'!$D$29*'Modelo Tarifário'!$E$36))</f>
        <v>9462.1176409756699</v>
      </c>
      <c r="N35" s="1340">
        <f>IF(('Premissas Economias e Água'!O162*'Modelo Tarifário'!$I$36*12*'Modelo Tarifário'!$B$5*'Modelo Tarifário'!$E$36)&gt;('Premissas Economias e Água'!O162*12*'Modelo Tarifário'!$D$29*'Modelo Tarifário'!$E$36),('Premissas Economias e Água'!O162*'Modelo Tarifário'!$I$36*12*'Modelo Tarifário'!$B$5*'Modelo Tarifário'!$E$36),('Premissas Economias e Água'!O162*12*'Modelo Tarifário'!$D$29*'Modelo Tarifário'!$E$36))</f>
        <v>9459.5358899140119</v>
      </c>
      <c r="O35" s="1340">
        <f>IF(('Premissas Economias e Água'!P162*'Modelo Tarifário'!$I$36*12*'Modelo Tarifário'!$B$5*'Modelo Tarifário'!$E$36)&gt;('Premissas Economias e Água'!P162*12*'Modelo Tarifário'!$D$29*'Modelo Tarifário'!$E$36),('Premissas Economias e Água'!P162*'Modelo Tarifário'!$I$36*12*'Modelo Tarifário'!$B$5*'Modelo Tarifário'!$E$36),('Premissas Economias e Água'!P162*12*'Modelo Tarifário'!$D$29*'Modelo Tarifário'!$E$36))</f>
        <v>9451.7906367290398</v>
      </c>
      <c r="P35" s="1340">
        <f>IF(('Premissas Economias e Água'!Q162*'Modelo Tarifário'!$I$36*12*'Modelo Tarifário'!$B$5*'Modelo Tarifário'!$E$36)&gt;('Premissas Economias e Água'!Q162*12*'Modelo Tarifário'!$D$29*'Modelo Tarifário'!$E$36),('Premissas Economias e Água'!Q162*'Modelo Tarifário'!$I$36*12*'Modelo Tarifário'!$B$5*'Modelo Tarifário'!$E$36),('Premissas Economias e Água'!Q162*12*'Modelo Tarifário'!$D$29*'Modelo Tarifário'!$E$36))</f>
        <v>9431.1366282357758</v>
      </c>
      <c r="Q35" s="1340">
        <f>IF(('Premissas Economias e Água'!R162*'Modelo Tarifário'!$I$36*12*'Modelo Tarifário'!$B$5*'Modelo Tarifário'!$E$36)&gt;('Premissas Economias e Água'!R162*12*'Modelo Tarifário'!$D$29*'Modelo Tarifário'!$E$36),('Premissas Economias e Água'!R162*'Modelo Tarifário'!$I$36*12*'Modelo Tarifário'!$B$5*'Modelo Tarifário'!$E$36),('Premissas Economias e Água'!R162*12*'Modelo Tarifário'!$D$29*'Modelo Tarifário'!$E$36))</f>
        <v>9410.4826197425136</v>
      </c>
      <c r="R35" s="1340">
        <f>IF(('Premissas Economias e Água'!S162*'Modelo Tarifário'!$I$36*12*'Modelo Tarifário'!$B$5*'Modelo Tarifário'!$E$36)&gt;('Premissas Economias e Água'!S162*12*'Modelo Tarifário'!$D$29*'Modelo Tarifário'!$E$36),('Premissas Economias e Água'!S162*'Modelo Tarifário'!$I$36*12*'Modelo Tarifário'!$B$5*'Modelo Tarifário'!$E$36),('Premissas Economias e Água'!S162*12*'Modelo Tarifário'!$D$29*'Modelo Tarifário'!$E$36))</f>
        <v>9389.8286112492515</v>
      </c>
      <c r="S35" s="1340">
        <f>IF(('Premissas Economias e Água'!T162*'Modelo Tarifário'!$I$36*12*'Modelo Tarifário'!$B$5*'Modelo Tarifário'!$E$36)&gt;('Premissas Economias e Água'!T162*12*'Modelo Tarifário'!$D$29*'Modelo Tarifário'!$E$36),('Premissas Economias e Água'!T162*'Modelo Tarifário'!$I$36*12*'Modelo Tarifário'!$B$5*'Modelo Tarifário'!$E$36),('Premissas Economias e Água'!T162*12*'Modelo Tarifário'!$D$29*'Modelo Tarifário'!$E$36))</f>
        <v>9369.1746027559893</v>
      </c>
      <c r="T35" s="1340">
        <f>IF(('Premissas Economias e Água'!U162*'Modelo Tarifário'!$I$36*12*'Modelo Tarifário'!$B$5*'Modelo Tarifário'!$E$36)&gt;('Premissas Economias e Água'!U162*12*'Modelo Tarifário'!$D$29*'Modelo Tarifário'!$E$36),('Premissas Economias e Água'!U162*'Modelo Tarifário'!$I$36*12*'Modelo Tarifário'!$B$5*'Modelo Tarifário'!$E$36),('Premissas Economias e Água'!U162*12*'Modelo Tarifário'!$D$29*'Modelo Tarifário'!$E$36))</f>
        <v>9351.102345324387</v>
      </c>
      <c r="U35" s="1340">
        <f>IF(('Premissas Economias e Água'!V162*'Modelo Tarifário'!$I$36*12*'Modelo Tarifário'!$B$5*'Modelo Tarifário'!$E$36)&gt;('Premissas Economias e Água'!V162*12*'Modelo Tarifário'!$D$29*'Modelo Tarifário'!$E$36),('Premissas Economias e Água'!V162*'Modelo Tarifário'!$I$36*12*'Modelo Tarifário'!$B$5*'Modelo Tarifário'!$E$36),('Premissas Economias e Água'!V162*12*'Modelo Tarifário'!$D$29*'Modelo Tarifário'!$E$36))</f>
        <v>9320.1213325844947</v>
      </c>
      <c r="V35" s="1340">
        <f>IF(('Premissas Economias e Água'!W162*'Modelo Tarifário'!$I$36*12*'Modelo Tarifário'!$B$5*'Modelo Tarifário'!$E$36)&gt;('Premissas Economias e Água'!W162*12*'Modelo Tarifário'!$D$29*'Modelo Tarifário'!$E$36),('Premissas Economias e Água'!W162*'Modelo Tarifário'!$I$36*12*'Modelo Tarifário'!$B$5*'Modelo Tarifário'!$E$36),('Premissas Economias e Água'!W162*12*'Modelo Tarifário'!$D$29*'Modelo Tarifário'!$E$36))</f>
        <v>9289.1403198446005</v>
      </c>
      <c r="W35" s="1340">
        <f>IF(('Premissas Economias e Água'!X162*'Modelo Tarifário'!$I$36*12*'Modelo Tarifário'!$B$5*'Modelo Tarifário'!$E$36)&gt;('Premissas Economias e Água'!X162*12*'Modelo Tarifário'!$D$29*'Modelo Tarifário'!$E$36),('Premissas Economias e Água'!X162*'Modelo Tarifário'!$I$36*12*'Modelo Tarifário'!$B$5*'Modelo Tarifário'!$E$36),('Premissas Economias e Água'!X162*12*'Modelo Tarifário'!$D$29*'Modelo Tarifário'!$E$36))</f>
        <v>9258.1593071047082</v>
      </c>
      <c r="X35" s="1340">
        <f>IF(('Premissas Economias e Água'!Y162*'Modelo Tarifário'!$I$36*12*'Modelo Tarifário'!$B$5*'Modelo Tarifário'!$E$36)&gt;('Premissas Economias e Água'!Y162*12*'Modelo Tarifário'!$D$29*'Modelo Tarifário'!$E$36),('Premissas Economias e Água'!Y162*'Modelo Tarifário'!$I$36*12*'Modelo Tarifário'!$B$5*'Modelo Tarifário'!$E$36),('Premissas Economias e Água'!Y162*12*'Modelo Tarifário'!$D$29*'Modelo Tarifário'!$E$36))</f>
        <v>9227.1782943648159</v>
      </c>
      <c r="Y35" s="1340">
        <f>IF(('Premissas Economias e Água'!Z162*'Modelo Tarifário'!$I$36*12*'Modelo Tarifário'!$B$5*'Modelo Tarifário'!$E$36)&gt;('Premissas Economias e Água'!Z162*12*'Modelo Tarifário'!$D$29*'Modelo Tarifário'!$E$36),('Premissas Economias e Água'!Z162*'Modelo Tarifário'!$I$36*12*'Modelo Tarifário'!$B$5*'Modelo Tarifário'!$E$36),('Premissas Economias e Água'!Z162*12*'Modelo Tarifário'!$D$29*'Modelo Tarifário'!$E$36))</f>
        <v>9196.1972816249217</v>
      </c>
      <c r="Z35" s="1340">
        <f>IF(('Premissas Economias e Água'!AA162*'Modelo Tarifário'!$I$36*12*'Modelo Tarifário'!$B$5*'Modelo Tarifário'!$E$36)&gt;('Premissas Economias e Água'!AA162*12*'Modelo Tarifário'!$D$29*'Modelo Tarifário'!$E$36),('Premissas Economias e Água'!AA162*'Modelo Tarifário'!$I$36*12*'Modelo Tarifário'!$B$5*'Modelo Tarifário'!$E$36),('Premissas Economias e Água'!AA162*12*'Modelo Tarifário'!$D$29*'Modelo Tarifário'!$E$36))</f>
        <v>9165.2162688850294</v>
      </c>
      <c r="AA35" s="1340">
        <f>IF(('Premissas Economias e Água'!AB162*'Modelo Tarifário'!$I$36*12*'Modelo Tarifário'!$B$5*'Modelo Tarifário'!$E$36)&gt;('Premissas Economias e Água'!AB162*12*'Modelo Tarifário'!$D$29*'Modelo Tarifário'!$E$36),('Premissas Economias e Água'!AB162*'Modelo Tarifário'!$I$36*12*'Modelo Tarifário'!$B$5*'Modelo Tarifário'!$E$36),('Premissas Economias e Água'!AB162*12*'Modelo Tarifário'!$D$29*'Modelo Tarifário'!$E$36))</f>
        <v>9134.2352561451353</v>
      </c>
      <c r="AB35" s="1340">
        <f>IF(('Premissas Economias e Água'!AC162*'Modelo Tarifário'!$I$36*12*'Modelo Tarifário'!$B$5*'Modelo Tarifário'!$E$36)&gt;('Premissas Economias e Água'!AC162*12*'Modelo Tarifário'!$D$29*'Modelo Tarifário'!$E$36),('Premissas Economias e Água'!AC162*'Modelo Tarifário'!$I$36*12*'Modelo Tarifário'!$B$5*'Modelo Tarifário'!$E$36),('Premissas Economias e Água'!AC162*12*'Modelo Tarifário'!$D$29*'Modelo Tarifário'!$E$36))</f>
        <v>9103.2542434052411</v>
      </c>
      <c r="AC35" s="1340">
        <f>IF(('Premissas Economias e Água'!AD162*'Modelo Tarifário'!$I$36*12*'Modelo Tarifário'!$B$5*'Modelo Tarifário'!$E$36)&gt;('Premissas Economias e Água'!AD162*12*'Modelo Tarifário'!$D$29*'Modelo Tarifário'!$E$36),('Premissas Economias e Água'!AD162*'Modelo Tarifário'!$I$36*12*'Modelo Tarifário'!$B$5*'Modelo Tarifário'!$E$36),('Premissas Economias e Água'!AD162*12*'Modelo Tarifário'!$D$29*'Modelo Tarifário'!$E$36))</f>
        <v>9072.2732306653488</v>
      </c>
      <c r="AD35" s="1340">
        <f>IF(('Premissas Economias e Água'!AE162*'Modelo Tarifário'!$I$36*12*'Modelo Tarifário'!$B$5*'Modelo Tarifário'!$E$36)&gt;('Premissas Economias e Água'!AE162*12*'Modelo Tarifário'!$D$29*'Modelo Tarifário'!$E$36),('Premissas Economias e Água'!AE162*'Modelo Tarifário'!$I$36*12*'Modelo Tarifário'!$B$5*'Modelo Tarifário'!$E$36),('Premissas Economias e Água'!AE162*12*'Modelo Tarifário'!$D$29*'Modelo Tarifário'!$E$36))</f>
        <v>9041.2922179254565</v>
      </c>
      <c r="AE35" s="1340">
        <f>IF(('Premissas Economias e Água'!AF162*'Modelo Tarifário'!$I$36*12*'Modelo Tarifário'!$B$5*'Modelo Tarifário'!$E$36)&gt;('Premissas Economias e Água'!AF162*12*'Modelo Tarifário'!$D$29*'Modelo Tarifário'!$E$36),('Premissas Economias e Água'!AF162*'Modelo Tarifário'!$I$36*12*'Modelo Tarifário'!$B$5*'Modelo Tarifário'!$E$36),('Premissas Economias e Água'!AF162*12*'Modelo Tarifário'!$D$29*'Modelo Tarifário'!$E$36))</f>
        <v>9010.3112051855624</v>
      </c>
      <c r="AF35" s="1340">
        <f>IF(('Premissas Economias e Água'!AG162*'Modelo Tarifário'!$I$36*12*'Modelo Tarifário'!$B$5*'Modelo Tarifário'!$E$36)&gt;('Premissas Economias e Água'!AG162*12*'Modelo Tarifário'!$D$29*'Modelo Tarifário'!$E$36),('Premissas Economias e Água'!AG162*'Modelo Tarifário'!$I$36*12*'Modelo Tarifário'!$B$5*'Modelo Tarifário'!$E$36),('Premissas Economias e Água'!AG162*12*'Modelo Tarifário'!$D$29*'Modelo Tarifário'!$E$36))</f>
        <v>8979.33019244567</v>
      </c>
      <c r="AG35" s="1340">
        <f>IF(('Premissas Economias e Água'!AH162*'Modelo Tarifário'!$I$36*12*'Modelo Tarifário'!$B$5*'Modelo Tarifário'!$E$36)&gt;('Premissas Economias e Água'!AH162*12*'Modelo Tarifário'!$D$29*'Modelo Tarifário'!$E$36),('Premissas Economias e Água'!AH162*'Modelo Tarifário'!$I$36*12*'Modelo Tarifário'!$B$5*'Modelo Tarifário'!$E$36),('Premissas Economias e Água'!AH162*12*'Modelo Tarifário'!$D$29*'Modelo Tarifário'!$E$36))</f>
        <v>8948.3491797057777</v>
      </c>
      <c r="AH35" s="1340">
        <f>IF(('Premissas Economias e Água'!AI162*'Modelo Tarifário'!$I$36*12*'Modelo Tarifário'!$B$5*'Modelo Tarifário'!$E$36)&gt;('Premissas Economias e Água'!AI162*12*'Modelo Tarifário'!$D$29*'Modelo Tarifário'!$E$36),('Premissas Economias e Água'!AI162*'Modelo Tarifário'!$I$36*12*'Modelo Tarifário'!$B$5*'Modelo Tarifário'!$E$36),('Premissas Economias e Água'!AI162*12*'Modelo Tarifário'!$D$29*'Modelo Tarifário'!$E$36))</f>
        <v>8917.3681669658836</v>
      </c>
    </row>
    <row r="36" spans="2:34" s="79" customFormat="1" ht="12" hidden="1" outlineLevel="1" x14ac:dyDescent="0.3">
      <c r="B36" s="1339"/>
      <c r="C36" s="1335" t="s">
        <v>278</v>
      </c>
      <c r="D36" s="1335"/>
      <c r="E36" s="1340">
        <f>IF(((E8*'Modelo Tarifário'!$C$55*'Modelo Tarifário'!$E$37)*('Premissas Economias e Água'!F303))&gt;('Premissas Economias e Água'!F163*12*'Modelo Tarifário'!$D$29*'Modelo Tarifário'!$C$55*'Modelo Tarifário'!$E$37),(E8*'Modelo Tarifário'!$C$55*'Modelo Tarifário'!$E$37)*('Premissas Economias e Água'!F303),('Premissas Economias e Água'!F163*12*'Modelo Tarifário'!$D$29*'Modelo Tarifário'!$C$55*'Modelo Tarifário'!$E$37))</f>
        <v>41146.024812805961</v>
      </c>
      <c r="F36" s="1340">
        <f>IF(((F8*'Modelo Tarifário'!$C$55*'Modelo Tarifário'!$E$37)*('Premissas Economias e Água'!G303))&gt;('Premissas Economias e Água'!G163*12*'Modelo Tarifário'!$D$29*'Modelo Tarifário'!$C$55*'Modelo Tarifário'!$E$37),(F8*'Modelo Tarifário'!$C$55*'Modelo Tarifário'!$E$37)*('Premissas Economias e Água'!G303),('Premissas Economias e Água'!G163*12*'Modelo Tarifário'!$D$29*'Modelo Tarifário'!$C$55*'Modelo Tarifário'!$E$37))</f>
        <v>41191.165816440414</v>
      </c>
      <c r="G36" s="1340">
        <f>IF(((G8*'Modelo Tarifário'!$C$55*'Modelo Tarifário'!$E$37)*('Premissas Economias e Água'!H303))&gt;('Premissas Economias e Água'!H163*12*'Modelo Tarifário'!$D$29*'Modelo Tarifário'!$C$55*'Modelo Tarifário'!$E$37),(G8*'Modelo Tarifário'!$C$55*'Modelo Tarifário'!$E$37)*('Premissas Economias e Água'!H303),('Premissas Economias e Água'!H163*12*'Modelo Tarifário'!$D$29*'Modelo Tarifário'!$C$55*'Modelo Tarifário'!$E$37))</f>
        <v>41236.306820074875</v>
      </c>
      <c r="H36" s="1340">
        <f>IF(((H8*'Modelo Tarifário'!$C$55*'Modelo Tarifário'!$E$37)*('Premissas Economias e Água'!I303))&gt;('Premissas Economias e Água'!I163*12*'Modelo Tarifário'!$D$29*'Modelo Tarifário'!$C$55*'Modelo Tarifário'!$E$37),(H8*'Modelo Tarifário'!$C$55*'Modelo Tarifário'!$E$37)*('Premissas Economias e Água'!I303),('Premissas Economias e Água'!I163*12*'Modelo Tarifário'!$D$29*'Modelo Tarifário'!$C$55*'Modelo Tarifário'!$E$37))</f>
        <v>41281.447823709321</v>
      </c>
      <c r="I36" s="1340">
        <f>IF(((I8*'Modelo Tarifário'!$C$55*'Modelo Tarifário'!$E$37)*('Premissas Economias e Água'!J303))&gt;('Premissas Economias e Água'!J163*12*'Modelo Tarifário'!$D$29*'Modelo Tarifário'!$C$55*'Modelo Tarifário'!$E$37),(I8*'Modelo Tarifário'!$C$55*'Modelo Tarifário'!$E$37)*('Premissas Economias e Água'!J303),('Premissas Economias e Água'!J163*12*'Modelo Tarifário'!$D$29*'Modelo Tarifário'!$C$55*'Modelo Tarifário'!$E$37))</f>
        <v>41326.588827343781</v>
      </c>
      <c r="J36" s="1340">
        <f>IF(((J8*'Modelo Tarifário'!$C$55*'Modelo Tarifário'!$E$37)*('Premissas Economias e Água'!K303))&gt;('Premissas Economias e Água'!K163*12*'Modelo Tarifário'!$D$29*'Modelo Tarifário'!$C$55*'Modelo Tarifário'!$E$37),(J8*'Modelo Tarifário'!$C$55*'Modelo Tarifário'!$E$37)*('Premissas Economias e Água'!K303),('Premissas Economias e Água'!K163*12*'Modelo Tarifário'!$D$29*'Modelo Tarifário'!$C$55*'Modelo Tarifário'!$E$37))</f>
        <v>41394.300332795465</v>
      </c>
      <c r="K36" s="1340">
        <f>IF(((K8*'Modelo Tarifário'!$C$55*'Modelo Tarifário'!$E$37)*('Premissas Economias e Água'!L303))&gt;('Premissas Economias e Água'!L163*12*'Modelo Tarifário'!$D$29*'Modelo Tarifário'!$C$55*'Modelo Tarifário'!$E$37),(K8*'Modelo Tarifário'!$C$55*'Modelo Tarifário'!$E$37)*('Premissas Economias e Água'!L303),('Premissas Economias e Água'!L163*12*'Modelo Tarifário'!$D$29*'Modelo Tarifário'!$C$55*'Modelo Tarifário'!$E$37))</f>
        <v>41383.015081886842</v>
      </c>
      <c r="L36" s="1340">
        <f>IF(((L8*'Modelo Tarifário'!$C$55*'Modelo Tarifário'!$E$37)*('Premissas Economias e Água'!M303))&gt;('Premissas Economias e Água'!M163*12*'Modelo Tarifário'!$D$29*'Modelo Tarifário'!$C$55*'Modelo Tarifário'!$E$37),(L8*'Modelo Tarifário'!$C$55*'Modelo Tarifário'!$E$37)*('Premissas Economias e Água'!M303),('Premissas Economias e Água'!M163*12*'Modelo Tarifário'!$D$29*'Modelo Tarifário'!$C$55*'Modelo Tarifário'!$E$37))</f>
        <v>41371.729830978235</v>
      </c>
      <c r="M36" s="1340">
        <f>IF(((M8*'Modelo Tarifário'!$C$55*'Modelo Tarifário'!$E$37)*('Premissas Economias e Água'!N303))&gt;('Premissas Economias e Água'!N163*12*'Modelo Tarifário'!$D$29*'Modelo Tarifário'!$C$55*'Modelo Tarifário'!$E$37),(M8*'Modelo Tarifário'!$C$55*'Modelo Tarifário'!$E$37)*('Premissas Economias e Água'!N303),('Premissas Economias e Água'!N163*12*'Modelo Tarifário'!$D$29*'Modelo Tarifário'!$C$55*'Modelo Tarifário'!$E$37))</f>
        <v>41360.444580069619</v>
      </c>
      <c r="N36" s="1340">
        <f>IF(((N8*'Modelo Tarifário'!$C$55*'Modelo Tarifário'!$E$37)*('Premissas Economias e Água'!O303))&gt;('Premissas Economias e Água'!O163*12*'Modelo Tarifário'!$D$29*'Modelo Tarifário'!$C$55*'Modelo Tarifário'!$E$37),(N8*'Modelo Tarifário'!$C$55*'Modelo Tarifário'!$E$37)*('Premissas Economias e Água'!O303),('Premissas Economias e Água'!O163*12*'Modelo Tarifário'!$D$29*'Modelo Tarifário'!$C$55*'Modelo Tarifário'!$E$37))</f>
        <v>41349.159329161004</v>
      </c>
      <c r="O36" s="1340">
        <f>IF(((O8*'Modelo Tarifário'!$C$55*'Modelo Tarifário'!$E$37)*('Premissas Economias e Água'!P303))&gt;('Premissas Economias e Água'!P163*12*'Modelo Tarifário'!$D$29*'Modelo Tarifário'!$C$55*'Modelo Tarifário'!$E$37),(O8*'Modelo Tarifário'!$C$55*'Modelo Tarifário'!$E$37)*('Premissas Economias e Água'!P303),('Premissas Economias e Água'!P163*12*'Modelo Tarifário'!$D$29*'Modelo Tarifário'!$C$55*'Modelo Tarifário'!$E$37))</f>
        <v>41315.303576435173</v>
      </c>
      <c r="P36" s="1340">
        <f>IF(((P8*'Modelo Tarifário'!$C$55*'Modelo Tarifário'!$E$37)*('Premissas Economias e Água'!Q303))&gt;('Premissas Economias e Água'!Q163*12*'Modelo Tarifário'!$D$29*'Modelo Tarifário'!$C$55*'Modelo Tarifário'!$E$37),(P8*'Modelo Tarifário'!$C$55*'Modelo Tarifário'!$E$37)*('Premissas Economias e Água'!Q303),('Premissas Economias e Água'!Q163*12*'Modelo Tarifário'!$D$29*'Modelo Tarifário'!$C$55*'Modelo Tarifário'!$E$37))</f>
        <v>41225.021569166252</v>
      </c>
      <c r="Q36" s="1340">
        <f>IF(((Q8*'Modelo Tarifário'!$C$55*'Modelo Tarifário'!$E$37)*('Premissas Economias e Água'!R303))&gt;('Premissas Economias e Água'!R163*12*'Modelo Tarifário'!$D$29*'Modelo Tarifário'!$C$55*'Modelo Tarifário'!$E$37),(Q8*'Modelo Tarifário'!$C$55*'Modelo Tarifário'!$E$37)*('Premissas Economias e Água'!R303),('Premissas Economias e Água'!R163*12*'Modelo Tarifário'!$D$29*'Modelo Tarifário'!$C$55*'Modelo Tarifário'!$E$37))</f>
        <v>41134.739561897346</v>
      </c>
      <c r="R36" s="1340">
        <f>IF(((R8*'Modelo Tarifário'!$C$55*'Modelo Tarifário'!$E$37)*('Premissas Economias e Água'!S303))&gt;('Premissas Economias e Água'!S163*12*'Modelo Tarifário'!$D$29*'Modelo Tarifário'!$C$55*'Modelo Tarifário'!$E$37),(R8*'Modelo Tarifário'!$C$55*'Modelo Tarifário'!$E$37)*('Premissas Economias e Água'!S303),('Premissas Economias e Água'!S163*12*'Modelo Tarifário'!$D$29*'Modelo Tarifário'!$C$55*'Modelo Tarifário'!$E$37))</f>
        <v>41044.45755462844</v>
      </c>
      <c r="S36" s="1340">
        <f>IF(((S8*'Modelo Tarifário'!$C$55*'Modelo Tarifário'!$E$37)*('Premissas Economias e Água'!T303))&gt;('Premissas Economias e Água'!T163*12*'Modelo Tarifário'!$D$29*'Modelo Tarifário'!$C$55*'Modelo Tarifário'!$E$37),(S8*'Modelo Tarifário'!$C$55*'Modelo Tarifário'!$E$37)*('Premissas Economias e Água'!T303),('Premissas Economias e Água'!T163*12*'Modelo Tarifário'!$D$29*'Modelo Tarifário'!$C$55*'Modelo Tarifário'!$E$37))</f>
        <v>40954.175547359526</v>
      </c>
      <c r="T36" s="1340">
        <f>IF(((T8*'Modelo Tarifário'!$C$55*'Modelo Tarifário'!$E$37)*('Premissas Economias e Água'!U303))&gt;('Premissas Economias e Água'!U163*12*'Modelo Tarifário'!$D$29*'Modelo Tarifário'!$C$55*'Modelo Tarifário'!$E$37),(T8*'Modelo Tarifário'!$C$55*'Modelo Tarifário'!$E$37)*('Premissas Economias e Água'!U303),('Premissas Economias e Água'!U163*12*'Modelo Tarifário'!$D$29*'Modelo Tarifário'!$C$55*'Modelo Tarifário'!$E$37))</f>
        <v>40875.178790999227</v>
      </c>
      <c r="U36" s="1340">
        <f>IF(((U8*'Modelo Tarifário'!$C$55*'Modelo Tarifário'!$E$37)*('Premissas Economias e Água'!V303))&gt;('Premissas Economias e Água'!V163*12*'Modelo Tarifário'!$D$29*'Modelo Tarifário'!$C$55*'Modelo Tarifário'!$E$37),(U8*'Modelo Tarifário'!$C$55*'Modelo Tarifário'!$E$37)*('Premissas Economias e Água'!V303),('Premissas Economias e Água'!V163*12*'Modelo Tarifário'!$D$29*'Modelo Tarifário'!$C$55*'Modelo Tarifário'!$E$37))</f>
        <v>40739.755780095868</v>
      </c>
      <c r="V36" s="1340">
        <f>IF(((V8*'Modelo Tarifário'!$C$55*'Modelo Tarifário'!$E$37)*('Premissas Economias e Água'!W303))&gt;('Premissas Economias e Água'!W163*12*'Modelo Tarifário'!$D$29*'Modelo Tarifário'!$C$55*'Modelo Tarifário'!$E$37),(V8*'Modelo Tarifário'!$C$55*'Modelo Tarifário'!$E$37)*('Premissas Economias e Água'!W303),('Premissas Economias e Água'!W163*12*'Modelo Tarifário'!$D$29*'Modelo Tarifário'!$C$55*'Modelo Tarifário'!$E$37))</f>
        <v>40604.332769192493</v>
      </c>
      <c r="W36" s="1340">
        <f>IF(((W8*'Modelo Tarifário'!$C$55*'Modelo Tarifário'!$E$37)*('Premissas Economias e Água'!X303))&gt;('Premissas Economias e Água'!X163*12*'Modelo Tarifário'!$D$29*'Modelo Tarifário'!$C$55*'Modelo Tarifário'!$E$37),(W8*'Modelo Tarifário'!$C$55*'Modelo Tarifário'!$E$37)*('Premissas Economias e Água'!X303),('Premissas Economias e Água'!X163*12*'Modelo Tarifário'!$D$29*'Modelo Tarifário'!$C$55*'Modelo Tarifário'!$E$37))</f>
        <v>40468.909758289134</v>
      </c>
      <c r="X36" s="1340">
        <f>IF(((X8*'Modelo Tarifário'!$C$55*'Modelo Tarifário'!$E$37)*('Premissas Economias e Água'!Y303))&gt;('Premissas Economias e Água'!Y163*12*'Modelo Tarifário'!$D$29*'Modelo Tarifário'!$C$55*'Modelo Tarifário'!$E$37),(X8*'Modelo Tarifário'!$C$55*'Modelo Tarifário'!$E$37)*('Premissas Economias e Água'!Y303),('Premissas Economias e Água'!Y163*12*'Modelo Tarifário'!$D$29*'Modelo Tarifário'!$C$55*'Modelo Tarifário'!$E$37))</f>
        <v>40333.486747385767</v>
      </c>
      <c r="Y36" s="1340">
        <f>IF(((Y8*'Modelo Tarifário'!$C$55*'Modelo Tarifário'!$E$37)*('Premissas Economias e Água'!Z303))&gt;('Premissas Economias e Água'!Z163*12*'Modelo Tarifário'!$D$29*'Modelo Tarifário'!$C$55*'Modelo Tarifário'!$E$37),(Y8*'Modelo Tarifário'!$C$55*'Modelo Tarifário'!$E$37)*('Premissas Economias e Água'!Z303),('Premissas Economias e Água'!Z163*12*'Modelo Tarifário'!$D$29*'Modelo Tarifário'!$C$55*'Modelo Tarifário'!$E$37))</f>
        <v>40198.0637364824</v>
      </c>
      <c r="Z36" s="1340">
        <f>IF(((Z8*'Modelo Tarifário'!$C$55*'Modelo Tarifário'!$E$37)*('Premissas Economias e Água'!AA303))&gt;('Premissas Economias e Água'!AA163*12*'Modelo Tarifário'!$D$29*'Modelo Tarifário'!$C$55*'Modelo Tarifário'!$E$37),(Z8*'Modelo Tarifário'!$C$55*'Modelo Tarifário'!$E$37)*('Premissas Economias e Água'!AA303),('Premissas Economias e Água'!AA163*12*'Modelo Tarifário'!$D$29*'Modelo Tarifário'!$C$55*'Modelo Tarifário'!$E$37))</f>
        <v>40062.640725579033</v>
      </c>
      <c r="AA36" s="1340">
        <f>IF(((AA8*'Modelo Tarifário'!$C$55*'Modelo Tarifário'!$E$37)*('Premissas Economias e Água'!AB303))&gt;('Premissas Economias e Água'!AB163*12*'Modelo Tarifário'!$D$29*'Modelo Tarifário'!$C$55*'Modelo Tarifário'!$E$37),(AA8*'Modelo Tarifário'!$C$55*'Modelo Tarifário'!$E$37)*('Premissas Economias e Água'!AB303),('Premissas Economias e Água'!AB163*12*'Modelo Tarifário'!$D$29*'Modelo Tarifário'!$C$55*'Modelo Tarifário'!$E$37))</f>
        <v>39927.217714675666</v>
      </c>
      <c r="AB36" s="1340">
        <f>IF(((AB8*'Modelo Tarifário'!$C$55*'Modelo Tarifário'!$E$37)*('Premissas Economias e Água'!AC303))&gt;('Premissas Economias e Água'!AC163*12*'Modelo Tarifário'!$D$29*'Modelo Tarifário'!$C$55*'Modelo Tarifário'!$E$37),(AB8*'Modelo Tarifário'!$C$55*'Modelo Tarifário'!$E$37)*('Premissas Economias e Água'!AC303),('Premissas Economias e Água'!AC163*12*'Modelo Tarifário'!$D$29*'Modelo Tarifário'!$C$55*'Modelo Tarifário'!$E$37))</f>
        <v>39791.794703772306</v>
      </c>
      <c r="AC36" s="1340">
        <f>IF(((AC8*'Modelo Tarifário'!$C$55*'Modelo Tarifário'!$E$37)*('Premissas Economias e Água'!AD303))&gt;('Premissas Economias e Água'!AD163*12*'Modelo Tarifário'!$D$29*'Modelo Tarifário'!$C$55*'Modelo Tarifário'!$E$37),(AC8*'Modelo Tarifário'!$C$55*'Modelo Tarifário'!$E$37)*('Premissas Economias e Água'!AD303),('Premissas Economias e Água'!AD163*12*'Modelo Tarifário'!$D$29*'Modelo Tarifário'!$C$55*'Modelo Tarifário'!$E$37))</f>
        <v>39656.371692868932</v>
      </c>
      <c r="AD36" s="1340">
        <f>IF(((AD8*'Modelo Tarifário'!$C$55*'Modelo Tarifário'!$E$37)*('Premissas Economias e Água'!AE303))&gt;('Premissas Economias e Água'!AE163*12*'Modelo Tarifário'!$D$29*'Modelo Tarifário'!$C$55*'Modelo Tarifário'!$E$37),(AD8*'Modelo Tarifário'!$C$55*'Modelo Tarifário'!$E$37)*('Premissas Economias e Água'!AE303),('Premissas Economias e Água'!AE163*12*'Modelo Tarifário'!$D$29*'Modelo Tarifário'!$C$55*'Modelo Tarifário'!$E$37))</f>
        <v>39520.948681965565</v>
      </c>
      <c r="AE36" s="1340">
        <f>IF(((AE8*'Modelo Tarifário'!$C$55*'Modelo Tarifário'!$E$37)*('Premissas Economias e Água'!AF303))&gt;('Premissas Economias e Água'!AF163*12*'Modelo Tarifário'!$D$29*'Modelo Tarifário'!$C$55*'Modelo Tarifário'!$E$37),(AE8*'Modelo Tarifário'!$C$55*'Modelo Tarifário'!$E$37)*('Premissas Economias e Água'!AF303),('Premissas Economias e Água'!AF163*12*'Modelo Tarifário'!$D$29*'Modelo Tarifário'!$C$55*'Modelo Tarifário'!$E$37))</f>
        <v>39385.525671062198</v>
      </c>
      <c r="AF36" s="1340">
        <f>IF(((AF8*'Modelo Tarifário'!$C$55*'Modelo Tarifário'!$E$37)*('Premissas Economias e Água'!AG303))&gt;('Premissas Economias e Água'!AG163*12*'Modelo Tarifário'!$D$29*'Modelo Tarifário'!$C$55*'Modelo Tarifário'!$E$37),(AF8*'Modelo Tarifário'!$C$55*'Modelo Tarifário'!$E$37)*('Premissas Economias e Água'!AG303),('Premissas Economias e Água'!AG163*12*'Modelo Tarifário'!$D$29*'Modelo Tarifário'!$C$55*'Modelo Tarifário'!$E$37))</f>
        <v>39250.102660158838</v>
      </c>
      <c r="AG36" s="1340">
        <f>IF(((AG8*'Modelo Tarifário'!$C$55*'Modelo Tarifário'!$E$37)*('Premissas Economias e Água'!AH303))&gt;('Premissas Economias e Água'!AH163*12*'Modelo Tarifário'!$D$29*'Modelo Tarifário'!$C$55*'Modelo Tarifário'!$E$37),(AG8*'Modelo Tarifário'!$C$55*'Modelo Tarifário'!$E$37)*('Premissas Economias e Água'!AH303),('Premissas Economias e Água'!AH163*12*'Modelo Tarifário'!$D$29*'Modelo Tarifário'!$C$55*'Modelo Tarifário'!$E$37))</f>
        <v>39114.679649255471</v>
      </c>
      <c r="AH36" s="1340">
        <f>IF(((AH8*'Modelo Tarifário'!$C$55*'Modelo Tarifário'!$E$37)*('Premissas Economias e Água'!AI303))&gt;('Premissas Economias e Água'!AI163*12*'Modelo Tarifário'!$D$29*'Modelo Tarifário'!$C$55*'Modelo Tarifário'!$E$37),(AH8*'Modelo Tarifário'!$C$55*'Modelo Tarifário'!$E$37)*('Premissas Economias e Água'!AI303),('Premissas Economias e Água'!AI163*12*'Modelo Tarifário'!$D$29*'Modelo Tarifário'!$C$55*'Modelo Tarifário'!$E$37))</f>
        <v>38979.256638352104</v>
      </c>
    </row>
    <row r="37" spans="2:34" s="79" customFormat="1" ht="12" hidden="1" outlineLevel="1" x14ac:dyDescent="0.3">
      <c r="B37" s="1339"/>
      <c r="C37" s="1335" t="s">
        <v>279</v>
      </c>
      <c r="D37" s="1335"/>
      <c r="E37" s="1340">
        <f>IF(((E8*'Modelo Tarifário'!$C$55*'Modelo Tarifário'!$E$38)*('Premissas Economias e Água'!F304))&gt;('Premissas Economias e Água'!F164*12*'Modelo Tarifário'!$D$29*'Modelo Tarifário'!$C$55*'Modelo Tarifário'!$E$38),(E8*'Modelo Tarifário'!$C$55*'Modelo Tarifário'!$E$38)*('Premissas Economias e Água'!F304),('Premissas Economias e Água'!F164*12*'Modelo Tarifário'!$D$29*'Modelo Tarifário'!$C$55*'Modelo Tarifário'!$E$38))</f>
        <v>47313.814527041868</v>
      </c>
      <c r="F37" s="1340">
        <f>IF(((F8*'Modelo Tarifário'!$C$55*'Modelo Tarifário'!$E$38)*('Premissas Economias e Água'!G304))&gt;('Premissas Economias e Água'!G164*12*'Modelo Tarifário'!$D$29*'Modelo Tarifário'!$C$55*'Modelo Tarifário'!$E$38),(F8*'Modelo Tarifário'!$C$55*'Modelo Tarifário'!$E$38)*('Premissas Economias e Água'!G304),('Premissas Economias e Água'!G164*12*'Modelo Tarifário'!$D$29*'Modelo Tarifário'!$C$55*'Modelo Tarifário'!$E$38))</f>
        <v>47365.722167773667</v>
      </c>
      <c r="G37" s="1340">
        <f>IF(((G8*'Modelo Tarifário'!$C$55*'Modelo Tarifário'!$E$38)*('Premissas Economias e Água'!H304))&gt;('Premissas Economias e Água'!H164*12*'Modelo Tarifário'!$D$29*'Modelo Tarifário'!$C$55*'Modelo Tarifário'!$E$38),(G8*'Modelo Tarifário'!$C$55*'Modelo Tarifário'!$E$38)*('Premissas Economias e Água'!H304),('Premissas Economias e Água'!H164*12*'Modelo Tarifário'!$D$29*'Modelo Tarifário'!$C$55*'Modelo Tarifário'!$E$38))</f>
        <v>47417.62980850548</v>
      </c>
      <c r="H37" s="1340">
        <f>IF(((H8*'Modelo Tarifário'!$C$55*'Modelo Tarifário'!$E$38)*('Premissas Economias e Água'!I304))&gt;('Premissas Economias e Água'!I164*12*'Modelo Tarifário'!$D$29*'Modelo Tarifário'!$C$55*'Modelo Tarifário'!$E$38),(H8*'Modelo Tarifário'!$C$55*'Modelo Tarifário'!$E$38)*('Premissas Economias e Água'!I304),('Premissas Economias e Água'!I164*12*'Modelo Tarifário'!$D$29*'Modelo Tarifário'!$C$55*'Modelo Tarifário'!$E$38))</f>
        <v>47469.537449237294</v>
      </c>
      <c r="I37" s="1340">
        <f>IF(((I8*'Modelo Tarifário'!$C$55*'Modelo Tarifário'!$E$38)*('Premissas Economias e Água'!J304))&gt;('Premissas Economias e Água'!J164*12*'Modelo Tarifário'!$D$29*'Modelo Tarifário'!$C$55*'Modelo Tarifário'!$E$38),(I8*'Modelo Tarifário'!$C$55*'Modelo Tarifário'!$E$38)*('Premissas Economias e Água'!J304),('Premissas Economias e Água'!J164*12*'Modelo Tarifário'!$D$29*'Modelo Tarifário'!$C$55*'Modelo Tarifário'!$E$38))</f>
        <v>47521.4450899691</v>
      </c>
      <c r="J37" s="1340">
        <f>IF(((J8*'Modelo Tarifário'!$C$55*'Modelo Tarifário'!$E$38)*('Premissas Economias e Água'!K304))&gt;('Premissas Economias e Água'!K164*12*'Modelo Tarifário'!$D$29*'Modelo Tarifário'!$C$55*'Modelo Tarifário'!$E$38),(J8*'Modelo Tarifário'!$C$55*'Modelo Tarifário'!$E$38)*('Premissas Economias e Água'!K304),('Premissas Economias e Água'!K164*12*'Modelo Tarifário'!$D$29*'Modelo Tarifário'!$C$55*'Modelo Tarifário'!$E$38))</f>
        <v>47599.306551066802</v>
      </c>
      <c r="K37" s="1340">
        <f>IF(((K8*'Modelo Tarifário'!$C$55*'Modelo Tarifário'!$E$38)*('Premissas Economias e Água'!L304))&gt;('Premissas Economias e Água'!L164*12*'Modelo Tarifário'!$D$29*'Modelo Tarifário'!$C$55*'Modelo Tarifário'!$E$38),(K8*'Modelo Tarifário'!$C$55*'Modelo Tarifário'!$E$38)*('Premissas Economias e Água'!L304),('Premissas Economias e Água'!L164*12*'Modelo Tarifário'!$D$29*'Modelo Tarifário'!$C$55*'Modelo Tarifário'!$E$38))</f>
        <v>47586.329640883851</v>
      </c>
      <c r="L37" s="1340">
        <f>IF(((L8*'Modelo Tarifário'!$C$55*'Modelo Tarifário'!$E$38)*('Premissas Economias e Água'!M304))&gt;('Premissas Economias e Água'!M164*12*'Modelo Tarifário'!$D$29*'Modelo Tarifário'!$C$55*'Modelo Tarifário'!$E$38),(L8*'Modelo Tarifário'!$C$55*'Modelo Tarifário'!$E$38)*('Premissas Economias e Água'!M304),('Premissas Economias e Água'!M164*12*'Modelo Tarifário'!$D$29*'Modelo Tarifário'!$C$55*'Modelo Tarifário'!$E$38))</f>
        <v>47573.352730700899</v>
      </c>
      <c r="M37" s="1340">
        <f>IF(((M8*'Modelo Tarifário'!$C$55*'Modelo Tarifário'!$E$38)*('Premissas Economias e Água'!N304))&gt;('Premissas Economias e Água'!N164*12*'Modelo Tarifário'!$D$29*'Modelo Tarifário'!$C$55*'Modelo Tarifário'!$E$38),(M8*'Modelo Tarifário'!$C$55*'Modelo Tarifário'!$E$38)*('Premissas Economias e Água'!N304),('Premissas Economias e Água'!N164*12*'Modelo Tarifário'!$D$29*'Modelo Tarifário'!$C$55*'Modelo Tarifário'!$E$38))</f>
        <v>47560.375820517962</v>
      </c>
      <c r="N37" s="1340">
        <f>IF(((N8*'Modelo Tarifário'!$C$55*'Modelo Tarifário'!$E$38)*('Premissas Economias e Água'!O304))&gt;('Premissas Economias e Água'!O164*12*'Modelo Tarifário'!$D$29*'Modelo Tarifário'!$C$55*'Modelo Tarifário'!$E$38),(N8*'Modelo Tarifário'!$C$55*'Modelo Tarifário'!$E$38)*('Premissas Economias e Água'!O304),('Premissas Economias e Água'!O164*12*'Modelo Tarifário'!$D$29*'Modelo Tarifário'!$C$55*'Modelo Tarifário'!$E$38))</f>
        <v>47547.398910335003</v>
      </c>
      <c r="O37" s="1340">
        <f>IF(((O8*'Modelo Tarifário'!$C$55*'Modelo Tarifário'!$E$38)*('Premissas Economias e Água'!P304))&gt;('Premissas Economias e Água'!P164*12*'Modelo Tarifário'!$D$29*'Modelo Tarifário'!$C$55*'Modelo Tarifário'!$E$38),(O8*'Modelo Tarifário'!$C$55*'Modelo Tarifário'!$E$38)*('Premissas Economias e Água'!P304),('Premissas Economias e Água'!P164*12*'Modelo Tarifário'!$D$29*'Modelo Tarifário'!$C$55*'Modelo Tarifário'!$E$38))</f>
        <v>47508.468179786149</v>
      </c>
      <c r="P37" s="1340">
        <f>IF(((P8*'Modelo Tarifário'!$C$55*'Modelo Tarifário'!$E$38)*('Premissas Economias e Água'!Q304))&gt;('Premissas Economias e Água'!Q164*12*'Modelo Tarifário'!$D$29*'Modelo Tarifário'!$C$55*'Modelo Tarifário'!$E$38),(P8*'Modelo Tarifário'!$C$55*'Modelo Tarifário'!$E$38)*('Premissas Economias e Água'!Q304),('Premissas Economias e Água'!Q164*12*'Modelo Tarifário'!$D$29*'Modelo Tarifário'!$C$55*'Modelo Tarifário'!$E$38))</f>
        <v>47404.652898322529</v>
      </c>
      <c r="Q37" s="1340">
        <f>IF(((Q8*'Modelo Tarifário'!$C$55*'Modelo Tarifário'!$E$38)*('Premissas Economias e Água'!R304))&gt;('Premissas Economias e Água'!R164*12*'Modelo Tarifário'!$D$29*'Modelo Tarifário'!$C$55*'Modelo Tarifário'!$E$38),(Q8*'Modelo Tarifário'!$C$55*'Modelo Tarifário'!$E$38)*('Premissas Economias e Água'!R304),('Premissas Economias e Água'!R164*12*'Modelo Tarifário'!$D$29*'Modelo Tarifário'!$C$55*'Modelo Tarifário'!$E$38))</f>
        <v>47300.837616858909</v>
      </c>
      <c r="R37" s="1340">
        <f>IF(((R8*'Modelo Tarifário'!$C$55*'Modelo Tarifário'!$E$38)*('Premissas Economias e Água'!S304))&gt;('Premissas Economias e Água'!S164*12*'Modelo Tarifário'!$D$29*'Modelo Tarifário'!$C$55*'Modelo Tarifário'!$E$38),(R8*'Modelo Tarifário'!$C$55*'Modelo Tarifário'!$E$38)*('Premissas Economias e Água'!S304),('Premissas Economias e Água'!S164*12*'Modelo Tarifário'!$D$29*'Modelo Tarifário'!$C$55*'Modelo Tarifário'!$E$38))</f>
        <v>47197.022335395304</v>
      </c>
      <c r="S37" s="1340">
        <f>IF(((S8*'Modelo Tarifário'!$C$55*'Modelo Tarifário'!$E$38)*('Premissas Economias e Água'!T304))&gt;('Premissas Economias e Água'!T164*12*'Modelo Tarifário'!$D$29*'Modelo Tarifário'!$C$55*'Modelo Tarifário'!$E$38),(S8*'Modelo Tarifário'!$C$55*'Modelo Tarifário'!$E$38)*('Premissas Economias e Água'!T304),('Premissas Economias e Água'!T164*12*'Modelo Tarifário'!$D$29*'Modelo Tarifário'!$C$55*'Modelo Tarifário'!$E$38))</f>
        <v>47093.207053931692</v>
      </c>
      <c r="T37" s="1340">
        <f>IF(((T8*'Modelo Tarifário'!$C$55*'Modelo Tarifário'!$E$38)*('Premissas Economias e Água'!U304))&gt;('Premissas Economias e Água'!U164*12*'Modelo Tarifário'!$D$29*'Modelo Tarifário'!$C$55*'Modelo Tarifário'!$E$38),(T8*'Modelo Tarifário'!$C$55*'Modelo Tarifário'!$E$38)*('Premissas Economias e Água'!U304),('Premissas Economias e Água'!U164*12*'Modelo Tarifário'!$D$29*'Modelo Tarifário'!$C$55*'Modelo Tarifário'!$E$38))</f>
        <v>47002.368682651024</v>
      </c>
      <c r="U37" s="1340">
        <f>IF(((U8*'Modelo Tarifário'!$C$55*'Modelo Tarifário'!$E$38)*('Premissas Economias e Água'!V304))&gt;('Premissas Economias e Água'!V164*12*'Modelo Tarifário'!$D$29*'Modelo Tarifário'!$C$55*'Modelo Tarifário'!$E$38),(U8*'Modelo Tarifário'!$C$55*'Modelo Tarifário'!$E$38)*('Premissas Economias e Água'!V304),('Premissas Economias e Água'!V164*12*'Modelo Tarifário'!$D$29*'Modelo Tarifário'!$C$55*'Modelo Tarifário'!$E$38))</f>
        <v>46846.645760455613</v>
      </c>
      <c r="V37" s="1340">
        <f>IF(((V8*'Modelo Tarifário'!$C$55*'Modelo Tarifário'!$E$38)*('Premissas Economias e Água'!W304))&gt;('Premissas Economias e Água'!W164*12*'Modelo Tarifário'!$D$29*'Modelo Tarifário'!$C$55*'Modelo Tarifário'!$E$38),(V8*'Modelo Tarifário'!$C$55*'Modelo Tarifário'!$E$38)*('Premissas Economias e Água'!W304),('Premissas Economias e Água'!W164*12*'Modelo Tarifário'!$D$29*'Modelo Tarifário'!$C$55*'Modelo Tarifário'!$E$38))</f>
        <v>46690.922838260187</v>
      </c>
      <c r="W37" s="1340">
        <f>IF(((W8*'Modelo Tarifário'!$C$55*'Modelo Tarifário'!$E$38)*('Premissas Economias e Água'!X304))&gt;('Premissas Economias e Água'!X164*12*'Modelo Tarifário'!$D$29*'Modelo Tarifário'!$C$55*'Modelo Tarifário'!$E$38),(W8*'Modelo Tarifário'!$C$55*'Modelo Tarifário'!$E$38)*('Premissas Economias e Água'!X304),('Premissas Economias e Água'!X164*12*'Modelo Tarifário'!$D$29*'Modelo Tarifário'!$C$55*'Modelo Tarifário'!$E$38))</f>
        <v>46535.199916064768</v>
      </c>
      <c r="X37" s="1340">
        <f>IF(((X8*'Modelo Tarifário'!$C$55*'Modelo Tarifário'!$E$38)*('Premissas Economias e Água'!Y304))&gt;('Premissas Economias e Água'!Y164*12*'Modelo Tarifário'!$D$29*'Modelo Tarifário'!$C$55*'Modelo Tarifário'!$E$38),(X8*'Modelo Tarifário'!$C$55*'Modelo Tarifário'!$E$38)*('Premissas Economias e Água'!Y304),('Premissas Economias e Água'!Y164*12*'Modelo Tarifário'!$D$29*'Modelo Tarifário'!$C$55*'Modelo Tarifário'!$E$38))</f>
        <v>46379.47699386935</v>
      </c>
      <c r="Y37" s="1340">
        <f>IF(((Y8*'Modelo Tarifário'!$C$55*'Modelo Tarifário'!$E$38)*('Premissas Economias e Água'!Z304))&gt;('Premissas Economias e Água'!Z164*12*'Modelo Tarifário'!$D$29*'Modelo Tarifário'!$C$55*'Modelo Tarifário'!$E$38),(Y8*'Modelo Tarifário'!$C$55*'Modelo Tarifário'!$E$38)*('Premissas Economias e Água'!Z304),('Premissas Economias e Água'!Z164*12*'Modelo Tarifário'!$D$29*'Modelo Tarifário'!$C$55*'Modelo Tarifário'!$E$38))</f>
        <v>46223.754071673924</v>
      </c>
      <c r="Z37" s="1340">
        <f>IF(((Z8*'Modelo Tarifário'!$C$55*'Modelo Tarifário'!$E$38)*('Premissas Economias e Água'!AA304))&gt;('Premissas Economias e Água'!AA164*12*'Modelo Tarifário'!$D$29*'Modelo Tarifário'!$C$55*'Modelo Tarifário'!$E$38),(Z8*'Modelo Tarifário'!$C$55*'Modelo Tarifário'!$E$38)*('Premissas Economias e Água'!AA304),('Premissas Economias e Água'!AA164*12*'Modelo Tarifário'!$D$29*'Modelo Tarifário'!$C$55*'Modelo Tarifário'!$E$38))</f>
        <v>46068.031149478513</v>
      </c>
      <c r="AA37" s="1340">
        <f>IF(((AA8*'Modelo Tarifário'!$C$55*'Modelo Tarifário'!$E$38)*('Premissas Economias e Água'!AB304))&gt;('Premissas Economias e Água'!AB164*12*'Modelo Tarifário'!$D$29*'Modelo Tarifário'!$C$55*'Modelo Tarifário'!$E$38),(AA8*'Modelo Tarifário'!$C$55*'Modelo Tarifário'!$E$38)*('Premissas Economias e Água'!AB304),('Premissas Economias e Água'!AB164*12*'Modelo Tarifário'!$D$29*'Modelo Tarifário'!$C$55*'Modelo Tarifário'!$E$38))</f>
        <v>45912.30822728308</v>
      </c>
      <c r="AB37" s="1340">
        <f>IF(((AB8*'Modelo Tarifário'!$C$55*'Modelo Tarifário'!$E$38)*('Premissas Economias e Água'!AC304))&gt;('Premissas Economias e Água'!AC164*12*'Modelo Tarifário'!$D$29*'Modelo Tarifário'!$C$55*'Modelo Tarifário'!$E$38),(AB8*'Modelo Tarifário'!$C$55*'Modelo Tarifário'!$E$38)*('Premissas Economias e Água'!AC304),('Premissas Economias e Água'!AC164*12*'Modelo Tarifário'!$D$29*'Modelo Tarifário'!$C$55*'Modelo Tarifário'!$E$38))</f>
        <v>45756.585305087669</v>
      </c>
      <c r="AC37" s="1340">
        <f>IF(((AC8*'Modelo Tarifário'!$C$55*'Modelo Tarifário'!$E$38)*('Premissas Economias e Água'!AD304))&gt;('Premissas Economias e Água'!AD164*12*'Modelo Tarifário'!$D$29*'Modelo Tarifário'!$C$55*'Modelo Tarifário'!$E$38),(AC8*'Modelo Tarifário'!$C$55*'Modelo Tarifário'!$E$38)*('Premissas Economias e Água'!AD304),('Premissas Economias e Água'!AD164*12*'Modelo Tarifário'!$D$29*'Modelo Tarifário'!$C$55*'Modelo Tarifário'!$E$38))</f>
        <v>45600.862382892243</v>
      </c>
      <c r="AD37" s="1340">
        <f>IF(((AD8*'Modelo Tarifário'!$C$55*'Modelo Tarifário'!$E$38)*('Premissas Economias e Água'!AE304))&gt;('Premissas Economias e Água'!AE164*12*'Modelo Tarifário'!$D$29*'Modelo Tarifário'!$C$55*'Modelo Tarifário'!$E$38),(AD8*'Modelo Tarifário'!$C$55*'Modelo Tarifário'!$E$38)*('Premissas Economias e Água'!AE304),('Premissas Economias e Água'!AE164*12*'Modelo Tarifário'!$D$29*'Modelo Tarifário'!$C$55*'Modelo Tarifário'!$E$38))</f>
        <v>45445.139460696817</v>
      </c>
      <c r="AE37" s="1340">
        <f>IF(((AE8*'Modelo Tarifário'!$C$55*'Modelo Tarifário'!$E$38)*('Premissas Economias e Água'!AF304))&gt;('Premissas Economias e Água'!AF164*12*'Modelo Tarifário'!$D$29*'Modelo Tarifário'!$C$55*'Modelo Tarifário'!$E$38),(AE8*'Modelo Tarifário'!$C$55*'Modelo Tarifário'!$E$38)*('Premissas Economias e Água'!AF304),('Premissas Economias e Água'!AF164*12*'Modelo Tarifário'!$D$29*'Modelo Tarifário'!$C$55*'Modelo Tarifário'!$E$38))</f>
        <v>45289.416538501398</v>
      </c>
      <c r="AF37" s="1340">
        <f>IF(((AF8*'Modelo Tarifário'!$C$55*'Modelo Tarifário'!$E$38)*('Premissas Economias e Água'!AG304))&gt;('Premissas Economias e Água'!AG164*12*'Modelo Tarifário'!$D$29*'Modelo Tarifário'!$C$55*'Modelo Tarifário'!$E$38),(AF8*'Modelo Tarifário'!$C$55*'Modelo Tarifário'!$E$38)*('Premissas Economias e Água'!AG304),('Premissas Economias e Água'!AG164*12*'Modelo Tarifário'!$D$29*'Modelo Tarifário'!$C$55*'Modelo Tarifário'!$E$38))</f>
        <v>45133.69361630598</v>
      </c>
      <c r="AG37" s="1340">
        <f>IF(((AG8*'Modelo Tarifário'!$C$55*'Modelo Tarifário'!$E$38)*('Premissas Economias e Água'!AH304))&gt;('Premissas Economias e Água'!AH164*12*'Modelo Tarifário'!$D$29*'Modelo Tarifário'!$C$55*'Modelo Tarifário'!$E$38),(AG8*'Modelo Tarifário'!$C$55*'Modelo Tarifário'!$E$38)*('Premissas Economias e Água'!AH304),('Premissas Economias e Água'!AH164*12*'Modelo Tarifário'!$D$29*'Modelo Tarifário'!$C$55*'Modelo Tarifário'!$E$38))</f>
        <v>44977.970694110561</v>
      </c>
      <c r="AH37" s="1340">
        <f>IF(((AH8*'Modelo Tarifário'!$C$55*'Modelo Tarifário'!$E$38)*('Premissas Economias e Água'!AI304))&gt;('Premissas Economias e Água'!AI164*12*'Modelo Tarifário'!$D$29*'Modelo Tarifário'!$C$55*'Modelo Tarifário'!$E$38),(AH8*'Modelo Tarifário'!$C$55*'Modelo Tarifário'!$E$38)*('Premissas Economias e Água'!AI304),('Premissas Economias e Água'!AI164*12*'Modelo Tarifário'!$D$29*'Modelo Tarifário'!$C$55*'Modelo Tarifário'!$E$38))</f>
        <v>44822.24777191515</v>
      </c>
    </row>
    <row r="38" spans="2:34" s="79" customFormat="1" ht="12" hidden="1" outlineLevel="1" x14ac:dyDescent="0.3">
      <c r="B38" s="1339"/>
      <c r="C38" s="1335" t="s">
        <v>280</v>
      </c>
      <c r="D38" s="1335"/>
      <c r="E38" s="1340">
        <f>IF(((E8*'Modelo Tarifário'!$C$55*'Modelo Tarifário'!$E$39)*('Premissas Economias e Água'!F305))&gt;('Premissas Economias e Água'!F165*12*'Modelo Tarifário'!$D$29*'Modelo Tarifário'!$C$55*'Modelo Tarifário'!$E$39),(E8*'Modelo Tarifário'!$C$55*'Modelo Tarifário'!$E$39)*('Premissas Economias e Água'!F305),('Premissas Economias e Água'!F165*12*'Modelo Tarifário'!$D$29*'Modelo Tarifário'!$C$55*'Modelo Tarifário'!$E$39))</f>
        <v>39010.430048862341</v>
      </c>
      <c r="F38" s="1340">
        <f>IF(((F8*'Modelo Tarifário'!$C$55*'Modelo Tarifário'!$E$39)*('Premissas Economias e Água'!G305))&gt;('Premissas Economias e Água'!G165*12*'Modelo Tarifário'!$D$29*'Modelo Tarifário'!$C$55*'Modelo Tarifário'!$E$39),(F8*'Modelo Tarifário'!$C$55*'Modelo Tarifário'!$E$39)*('Premissas Economias e Água'!G305),('Premissas Economias e Água'!G165*12*'Modelo Tarifário'!$D$29*'Modelo Tarifário'!$C$55*'Modelo Tarifário'!$E$39))</f>
        <v>39053.228107061856</v>
      </c>
      <c r="G38" s="1340">
        <f>IF(((G8*'Modelo Tarifário'!$C$55*'Modelo Tarifário'!$E$39)*('Premissas Economias e Água'!H305))&gt;('Premissas Economias e Água'!H165*12*'Modelo Tarifário'!$D$29*'Modelo Tarifário'!$C$55*'Modelo Tarifário'!$E$39),(G8*'Modelo Tarifário'!$C$55*'Modelo Tarifário'!$E$39)*('Premissas Economias e Água'!H305),('Premissas Economias e Água'!H165*12*'Modelo Tarifário'!$D$29*'Modelo Tarifário'!$C$55*'Modelo Tarifário'!$E$39))</f>
        <v>39096.026165261377</v>
      </c>
      <c r="H38" s="1340">
        <f>IF(((H8*'Modelo Tarifário'!$C$55*'Modelo Tarifário'!$E$39)*('Premissas Economias e Água'!I305))&gt;('Premissas Economias e Água'!I165*12*'Modelo Tarifário'!$D$29*'Modelo Tarifário'!$C$55*'Modelo Tarifário'!$E$39),(H8*'Modelo Tarifário'!$C$55*'Modelo Tarifário'!$E$39)*('Premissas Economias e Água'!I305),('Premissas Economias e Água'!I165*12*'Modelo Tarifário'!$D$29*'Modelo Tarifário'!$C$55*'Modelo Tarifário'!$E$39))</f>
        <v>39138.824223460906</v>
      </c>
      <c r="I38" s="1340">
        <f>IF(((I8*'Modelo Tarifário'!$C$55*'Modelo Tarifário'!$E$39)*('Premissas Economias e Água'!J305))&gt;('Premissas Economias e Água'!J165*12*'Modelo Tarifário'!$D$29*'Modelo Tarifário'!$C$55*'Modelo Tarifário'!$E$39),(I8*'Modelo Tarifário'!$C$55*'Modelo Tarifário'!$E$39)*('Premissas Economias e Água'!J305),('Premissas Economias e Água'!J165*12*'Modelo Tarifário'!$D$29*'Modelo Tarifário'!$C$55*'Modelo Tarifário'!$E$39))</f>
        <v>39181.62228166042</v>
      </c>
      <c r="J38" s="1340">
        <f>IF(((J8*'Modelo Tarifário'!$C$55*'Modelo Tarifário'!$E$39)*('Premissas Economias e Água'!K305))&gt;('Premissas Economias e Água'!K165*12*'Modelo Tarifário'!$D$29*'Modelo Tarifário'!$C$55*'Modelo Tarifário'!$E$39),(J8*'Modelo Tarifário'!$C$55*'Modelo Tarifário'!$E$39)*('Premissas Economias e Água'!K305),('Premissas Economias e Água'!K165*12*'Modelo Tarifário'!$D$29*'Modelo Tarifário'!$C$55*'Modelo Tarifário'!$E$39))</f>
        <v>39245.819368959703</v>
      </c>
      <c r="K38" s="1340">
        <f>IF(((K8*'Modelo Tarifário'!$C$55*'Modelo Tarifário'!$E$39)*('Premissas Economias e Água'!L305))&gt;('Premissas Economias e Água'!L165*12*'Modelo Tarifário'!$D$29*'Modelo Tarifário'!$C$55*'Modelo Tarifário'!$E$39),(K8*'Modelo Tarifário'!$C$55*'Modelo Tarifário'!$E$39)*('Premissas Economias e Água'!L305),('Premissas Economias e Água'!L165*12*'Modelo Tarifário'!$D$29*'Modelo Tarifário'!$C$55*'Modelo Tarifário'!$E$39))</f>
        <v>39235.119854409815</v>
      </c>
      <c r="L38" s="1340">
        <f>IF(((L8*'Modelo Tarifário'!$C$55*'Modelo Tarifário'!$E$39)*('Premissas Economias e Água'!M305))&gt;('Premissas Economias e Água'!M165*12*'Modelo Tarifário'!$D$29*'Modelo Tarifário'!$C$55*'Modelo Tarifário'!$E$39),(L8*'Modelo Tarifário'!$C$55*'Modelo Tarifário'!$E$39)*('Premissas Economias e Água'!M305),('Premissas Economias e Água'!M165*12*'Modelo Tarifário'!$D$29*'Modelo Tarifário'!$C$55*'Modelo Tarifário'!$E$39))</f>
        <v>39224.420339859935</v>
      </c>
      <c r="M38" s="1340">
        <f>IF(((M8*'Modelo Tarifário'!$C$55*'Modelo Tarifário'!$E$39)*('Premissas Economias e Água'!N305))&gt;('Premissas Economias e Água'!N165*12*'Modelo Tarifário'!$D$29*'Modelo Tarifário'!$C$55*'Modelo Tarifário'!$E$39),(M8*'Modelo Tarifário'!$C$55*'Modelo Tarifário'!$E$39)*('Premissas Economias e Água'!N305),('Premissas Economias e Água'!N165*12*'Modelo Tarifário'!$D$29*'Modelo Tarifário'!$C$55*'Modelo Tarifário'!$E$39))</f>
        <v>39213.720825310062</v>
      </c>
      <c r="N38" s="1340">
        <f>IF(((N8*'Modelo Tarifário'!$C$55*'Modelo Tarifário'!$E$39)*('Premissas Economias e Água'!O305))&gt;('Premissas Economias e Água'!O165*12*'Modelo Tarifário'!$D$29*'Modelo Tarifário'!$C$55*'Modelo Tarifário'!$E$39),(N8*'Modelo Tarifário'!$C$55*'Modelo Tarifário'!$E$39)*('Premissas Economias e Água'!O305),('Premissas Economias e Água'!O165*12*'Modelo Tarifário'!$D$29*'Modelo Tarifário'!$C$55*'Modelo Tarifário'!$E$39))</f>
        <v>39203.021310760181</v>
      </c>
      <c r="O38" s="1340">
        <f>IF(((O8*'Modelo Tarifário'!$C$55*'Modelo Tarifário'!$E$39)*('Premissas Economias e Água'!P305))&gt;('Premissas Economias e Água'!P165*12*'Modelo Tarifário'!$D$29*'Modelo Tarifário'!$C$55*'Modelo Tarifário'!$E$39),(O8*'Modelo Tarifário'!$C$55*'Modelo Tarifário'!$E$39)*('Premissas Economias e Água'!P305),('Premissas Economias e Água'!P165*12*'Modelo Tarifário'!$D$29*'Modelo Tarifário'!$C$55*'Modelo Tarifário'!$E$39))</f>
        <v>39170.92276711054</v>
      </c>
      <c r="P38" s="1340">
        <f>IF(((P8*'Modelo Tarifário'!$C$55*'Modelo Tarifário'!$E$39)*('Premissas Economias e Água'!Q305))&gt;('Premissas Economias e Água'!Q165*12*'Modelo Tarifário'!$D$29*'Modelo Tarifário'!$C$55*'Modelo Tarifário'!$E$39),(P8*'Modelo Tarifário'!$C$55*'Modelo Tarifário'!$E$39)*('Premissas Economias e Água'!Q305),('Premissas Economias e Água'!Q165*12*'Modelo Tarifário'!$D$29*'Modelo Tarifário'!$C$55*'Modelo Tarifário'!$E$39))</f>
        <v>39085.326650711504</v>
      </c>
      <c r="Q38" s="1340">
        <f>IF(((Q8*'Modelo Tarifário'!$C$55*'Modelo Tarifário'!$E$39)*('Premissas Economias e Água'!R305))&gt;('Premissas Economias e Água'!R165*12*'Modelo Tarifário'!$D$29*'Modelo Tarifário'!$C$55*'Modelo Tarifário'!$E$39),(Q8*'Modelo Tarifário'!$C$55*'Modelo Tarifário'!$E$39)*('Premissas Economias e Água'!R305),('Premissas Economias e Água'!R165*12*'Modelo Tarifário'!$D$29*'Modelo Tarifário'!$C$55*'Modelo Tarifário'!$E$39))</f>
        <v>38999.730534312461</v>
      </c>
      <c r="R38" s="1340">
        <f>IF(((R8*'Modelo Tarifário'!$C$55*'Modelo Tarifário'!$E$39)*('Premissas Economias e Água'!S305))&gt;('Premissas Economias e Água'!S165*12*'Modelo Tarifário'!$D$29*'Modelo Tarifário'!$C$55*'Modelo Tarifário'!$E$39),(R8*'Modelo Tarifário'!$C$55*'Modelo Tarifário'!$E$39)*('Premissas Economias e Água'!S305),('Premissas Economias e Água'!S165*12*'Modelo Tarifário'!$D$29*'Modelo Tarifário'!$C$55*'Modelo Tarifário'!$E$39))</f>
        <v>38914.134417913425</v>
      </c>
      <c r="S38" s="1340">
        <f>IF(((S8*'Modelo Tarifário'!$C$55*'Modelo Tarifário'!$E$39)*('Premissas Economias e Água'!T305))&gt;('Premissas Economias e Água'!T165*12*'Modelo Tarifário'!$D$29*'Modelo Tarifário'!$C$55*'Modelo Tarifário'!$E$39),(S8*'Modelo Tarifário'!$C$55*'Modelo Tarifário'!$E$39)*('Premissas Economias e Água'!T305),('Premissas Economias e Água'!T165*12*'Modelo Tarifário'!$D$29*'Modelo Tarifário'!$C$55*'Modelo Tarifário'!$E$39))</f>
        <v>38828.538301514382</v>
      </c>
      <c r="T38" s="1340">
        <f>IF(((T8*'Modelo Tarifário'!$C$55*'Modelo Tarifário'!$E$39)*('Premissas Economias e Água'!U305))&gt;('Premissas Economias e Água'!U165*12*'Modelo Tarifário'!$D$29*'Modelo Tarifário'!$C$55*'Modelo Tarifário'!$E$39),(T8*'Modelo Tarifário'!$C$55*'Modelo Tarifário'!$E$39)*('Premissas Economias e Água'!U305),('Premissas Economias e Água'!U165*12*'Modelo Tarifário'!$D$29*'Modelo Tarifário'!$C$55*'Modelo Tarifário'!$E$39))</f>
        <v>38753.641699665219</v>
      </c>
      <c r="U38" s="1340">
        <f>IF(((U8*'Modelo Tarifário'!$C$55*'Modelo Tarifário'!$E$39)*('Premissas Economias e Água'!V305))&gt;('Premissas Economias e Água'!V165*12*'Modelo Tarifário'!$D$29*'Modelo Tarifário'!$C$55*'Modelo Tarifário'!$E$39),(U8*'Modelo Tarifário'!$C$55*'Modelo Tarifário'!$E$39)*('Premissas Economias e Água'!V305),('Premissas Economias e Água'!V165*12*'Modelo Tarifário'!$D$29*'Modelo Tarifário'!$C$55*'Modelo Tarifário'!$E$39))</f>
        <v>38625.247525066661</v>
      </c>
      <c r="V38" s="1340">
        <f>IF(((V8*'Modelo Tarifário'!$C$55*'Modelo Tarifário'!$E$39)*('Premissas Economias e Água'!W305))&gt;('Premissas Economias e Água'!W165*12*'Modelo Tarifário'!$D$29*'Modelo Tarifário'!$C$55*'Modelo Tarifário'!$E$39),(V8*'Modelo Tarifário'!$C$55*'Modelo Tarifário'!$E$39)*('Premissas Economias e Água'!W305),('Premissas Economias e Água'!W165*12*'Modelo Tarifário'!$D$29*'Modelo Tarifário'!$C$55*'Modelo Tarifário'!$E$39))</f>
        <v>38496.853350468096</v>
      </c>
      <c r="W38" s="1340">
        <f>IF(((W8*'Modelo Tarifário'!$C$55*'Modelo Tarifário'!$E$39)*('Premissas Economias e Água'!X305))&gt;('Premissas Economias e Água'!X165*12*'Modelo Tarifário'!$D$29*'Modelo Tarifário'!$C$55*'Modelo Tarifário'!$E$39),(W8*'Modelo Tarifário'!$C$55*'Modelo Tarifário'!$E$39)*('Premissas Economias e Água'!X305),('Premissas Economias e Água'!X165*12*'Modelo Tarifário'!$D$29*'Modelo Tarifário'!$C$55*'Modelo Tarifário'!$E$39))</f>
        <v>38368.459175869539</v>
      </c>
      <c r="X38" s="1340">
        <f>IF(((X8*'Modelo Tarifário'!$C$55*'Modelo Tarifário'!$E$39)*('Premissas Economias e Água'!Y305))&gt;('Premissas Economias e Água'!Y165*12*'Modelo Tarifário'!$D$29*'Modelo Tarifário'!$C$55*'Modelo Tarifário'!$E$39),(X8*'Modelo Tarifário'!$C$55*'Modelo Tarifário'!$E$39)*('Premissas Economias e Água'!Y305),('Premissas Economias e Água'!Y165*12*'Modelo Tarifário'!$D$29*'Modelo Tarifário'!$C$55*'Modelo Tarifário'!$E$39))</f>
        <v>38240.065001270981</v>
      </c>
      <c r="Y38" s="1340">
        <f>IF(((Y8*'Modelo Tarifário'!$C$55*'Modelo Tarifário'!$E$39)*('Premissas Economias e Água'!Z305))&gt;('Premissas Economias e Água'!Z165*12*'Modelo Tarifário'!$D$29*'Modelo Tarifário'!$C$55*'Modelo Tarifário'!$E$39),(Y8*'Modelo Tarifário'!$C$55*'Modelo Tarifário'!$E$39)*('Premissas Economias e Água'!Z305),('Premissas Economias e Água'!Z165*12*'Modelo Tarifário'!$D$29*'Modelo Tarifário'!$C$55*'Modelo Tarifário'!$E$39))</f>
        <v>38111.670826672424</v>
      </c>
      <c r="Z38" s="1340">
        <f>IF(((Z8*'Modelo Tarifário'!$C$55*'Modelo Tarifário'!$E$39)*('Premissas Economias e Água'!AA305))&gt;('Premissas Economias e Água'!AA165*12*'Modelo Tarifário'!$D$29*'Modelo Tarifário'!$C$55*'Modelo Tarifário'!$E$39),(Z8*'Modelo Tarifário'!$C$55*'Modelo Tarifário'!$E$39)*('Premissas Economias e Água'!AA305),('Premissas Economias e Água'!AA165*12*'Modelo Tarifário'!$D$29*'Modelo Tarifário'!$C$55*'Modelo Tarifário'!$E$39))</f>
        <v>37983.276652073859</v>
      </c>
      <c r="AA38" s="1340">
        <f>IF(((AA8*'Modelo Tarifário'!$C$55*'Modelo Tarifário'!$E$39)*('Premissas Economias e Água'!AB305))&gt;('Premissas Economias e Água'!AB165*12*'Modelo Tarifário'!$D$29*'Modelo Tarifário'!$C$55*'Modelo Tarifário'!$E$39),(AA8*'Modelo Tarifário'!$C$55*'Modelo Tarifário'!$E$39)*('Premissas Economias e Água'!AB305),('Premissas Economias e Água'!AB165*12*'Modelo Tarifário'!$D$29*'Modelo Tarifário'!$C$55*'Modelo Tarifário'!$E$39))</f>
        <v>37854.882477475301</v>
      </c>
      <c r="AB38" s="1340">
        <f>IF(((AB8*'Modelo Tarifário'!$C$55*'Modelo Tarifário'!$E$39)*('Premissas Economias e Água'!AC305))&gt;('Premissas Economias e Água'!AC165*12*'Modelo Tarifário'!$D$29*'Modelo Tarifário'!$C$55*'Modelo Tarifário'!$E$39),(AB8*'Modelo Tarifário'!$C$55*'Modelo Tarifário'!$E$39)*('Premissas Economias e Água'!AC305),('Premissas Economias e Água'!AC165*12*'Modelo Tarifário'!$D$29*'Modelo Tarifário'!$C$55*'Modelo Tarifário'!$E$39))</f>
        <v>37726.488302876744</v>
      </c>
      <c r="AC38" s="1340">
        <f>IF(((AC8*'Modelo Tarifário'!$C$55*'Modelo Tarifário'!$E$39)*('Premissas Economias e Água'!AD305))&gt;('Premissas Economias e Água'!AD165*12*'Modelo Tarifário'!$D$29*'Modelo Tarifário'!$C$55*'Modelo Tarifário'!$E$39),(AC8*'Modelo Tarifário'!$C$55*'Modelo Tarifário'!$E$39)*('Premissas Economias e Água'!AD305),('Premissas Economias e Água'!AD165*12*'Modelo Tarifário'!$D$29*'Modelo Tarifário'!$C$55*'Modelo Tarifário'!$E$39))</f>
        <v>37598.094128278186</v>
      </c>
      <c r="AD38" s="1340">
        <f>IF(((AD8*'Modelo Tarifário'!$C$55*'Modelo Tarifário'!$E$39)*('Premissas Economias e Água'!AE305))&gt;('Premissas Economias e Água'!AE165*12*'Modelo Tarifário'!$D$29*'Modelo Tarifário'!$C$55*'Modelo Tarifário'!$E$39),(AD8*'Modelo Tarifário'!$C$55*'Modelo Tarifário'!$E$39)*('Premissas Economias e Água'!AE305),('Premissas Economias e Água'!AE165*12*'Modelo Tarifário'!$D$29*'Modelo Tarifário'!$C$55*'Modelo Tarifário'!$E$39))</f>
        <v>37469.699953679628</v>
      </c>
      <c r="AE38" s="1340">
        <f>IF(((AE8*'Modelo Tarifário'!$C$55*'Modelo Tarifário'!$E$39)*('Premissas Economias e Água'!AF305))&gt;('Premissas Economias e Água'!AF165*12*'Modelo Tarifário'!$D$29*'Modelo Tarifário'!$C$55*'Modelo Tarifário'!$E$39),(AE8*'Modelo Tarifário'!$C$55*'Modelo Tarifário'!$E$39)*('Premissas Economias e Água'!AF305),('Premissas Economias e Água'!AF165*12*'Modelo Tarifário'!$D$29*'Modelo Tarifário'!$C$55*'Modelo Tarifário'!$E$39))</f>
        <v>37341.305779081064</v>
      </c>
      <c r="AF38" s="1340">
        <f>IF(((AF8*'Modelo Tarifário'!$C$55*'Modelo Tarifário'!$E$39)*('Premissas Economias e Água'!AG305))&gt;('Premissas Economias e Água'!AG165*12*'Modelo Tarifário'!$D$29*'Modelo Tarifário'!$C$55*'Modelo Tarifário'!$E$39),(AF8*'Modelo Tarifário'!$C$55*'Modelo Tarifário'!$E$39)*('Premissas Economias e Água'!AG305),('Premissas Economias e Água'!AG165*12*'Modelo Tarifário'!$D$29*'Modelo Tarifário'!$C$55*'Modelo Tarifário'!$E$39))</f>
        <v>37212.911604482506</v>
      </c>
      <c r="AG38" s="1340">
        <f>IF(((AG8*'Modelo Tarifário'!$C$55*'Modelo Tarifário'!$E$39)*('Premissas Economias e Água'!AH305))&gt;('Premissas Economias e Água'!AH165*12*'Modelo Tarifário'!$D$29*'Modelo Tarifário'!$C$55*'Modelo Tarifário'!$E$39),(AG8*'Modelo Tarifário'!$C$55*'Modelo Tarifário'!$E$39)*('Premissas Economias e Água'!AH305),('Premissas Economias e Água'!AH165*12*'Modelo Tarifário'!$D$29*'Modelo Tarifário'!$C$55*'Modelo Tarifário'!$E$39))</f>
        <v>37084.517429883948</v>
      </c>
      <c r="AH38" s="1340">
        <f>IF(((AH8*'Modelo Tarifário'!$C$55*'Modelo Tarifário'!$E$39)*('Premissas Economias e Água'!AI305))&gt;('Premissas Economias e Água'!AI165*12*'Modelo Tarifário'!$D$29*'Modelo Tarifário'!$C$55*'Modelo Tarifário'!$E$39),(AH8*'Modelo Tarifário'!$C$55*'Modelo Tarifário'!$E$39)*('Premissas Economias e Água'!AI305),('Premissas Economias e Água'!AI165*12*'Modelo Tarifário'!$D$29*'Modelo Tarifário'!$C$55*'Modelo Tarifário'!$E$39))</f>
        <v>36956.123255285391</v>
      </c>
    </row>
    <row r="39" spans="2:34" s="79" customFormat="1" ht="12" hidden="1" outlineLevel="1" x14ac:dyDescent="0.3">
      <c r="B39" s="1339"/>
      <c r="C39" s="1335" t="s">
        <v>281</v>
      </c>
      <c r="D39" s="1335"/>
      <c r="E39" s="1340">
        <f>IF(((E8*'Modelo Tarifário'!$C$55*'Modelo Tarifário'!$E$40)*('Premissas Economias e Água'!F306))&gt;('Premissas Economias e Água'!F166*12*'Modelo Tarifário'!$D$29*'Modelo Tarifário'!$C$55*'Modelo Tarifário'!$E$40),(E8*'Modelo Tarifário'!$C$55*'Modelo Tarifário'!$E$40)*('Premissas Economias e Água'!F306),('Premissas Economias e Água'!F166*12*'Modelo Tarifário'!$D$29*'Modelo Tarifário'!$C$55*'Modelo Tarifário'!$E$40))</f>
        <v>28009.994861522049</v>
      </c>
      <c r="F39" s="1340">
        <f>IF(((F8*'Modelo Tarifário'!$C$55*'Modelo Tarifário'!$E$40)*('Premissas Economias e Água'!G306))&gt;('Premissas Economias e Água'!G166*12*'Modelo Tarifário'!$D$29*'Modelo Tarifário'!$C$55*'Modelo Tarifário'!$E$40),(F8*'Modelo Tarifário'!$C$55*'Modelo Tarifário'!$E$40)*('Premissas Economias e Água'!G306),('Premissas Economias e Água'!G166*12*'Modelo Tarifário'!$D$29*'Modelo Tarifário'!$C$55*'Modelo Tarifário'!$E$40))</f>
        <v>28040.72442253304</v>
      </c>
      <c r="G39" s="1340">
        <f>IF(((G8*'Modelo Tarifário'!$C$55*'Modelo Tarifário'!$E$40)*('Premissas Economias e Água'!H306))&gt;('Premissas Economias e Água'!H166*12*'Modelo Tarifário'!$D$29*'Modelo Tarifário'!$C$55*'Modelo Tarifário'!$E$40),(G8*'Modelo Tarifário'!$C$55*'Modelo Tarifário'!$E$40)*('Premissas Economias e Água'!H306),('Premissas Economias e Água'!H166*12*'Modelo Tarifário'!$D$29*'Modelo Tarifário'!$C$55*'Modelo Tarifário'!$E$40))</f>
        <v>28071.453983544037</v>
      </c>
      <c r="H39" s="1340">
        <f>IF(((H8*'Modelo Tarifário'!$C$55*'Modelo Tarifário'!$E$40)*('Premissas Economias e Água'!I306))&gt;('Premissas Economias e Água'!I166*12*'Modelo Tarifário'!$D$29*'Modelo Tarifário'!$C$55*'Modelo Tarifário'!$E$40),(H8*'Modelo Tarifário'!$C$55*'Modelo Tarifário'!$E$40)*('Premissas Economias e Água'!I306),('Premissas Economias e Água'!I166*12*'Modelo Tarifário'!$D$29*'Modelo Tarifário'!$C$55*'Modelo Tarifário'!$E$40))</f>
        <v>28102.183544555035</v>
      </c>
      <c r="I39" s="1340">
        <f>IF(((I8*'Modelo Tarifário'!$C$55*'Modelo Tarifário'!$E$40)*('Premissas Economias e Água'!J306))&gt;('Premissas Economias e Água'!J166*12*'Modelo Tarifário'!$D$29*'Modelo Tarifário'!$C$55*'Modelo Tarifário'!$E$40),(I8*'Modelo Tarifário'!$C$55*'Modelo Tarifário'!$E$40)*('Premissas Economias e Água'!J306),('Premissas Economias e Água'!J166*12*'Modelo Tarifário'!$D$29*'Modelo Tarifário'!$C$55*'Modelo Tarifário'!$E$40))</f>
        <v>28132.913105566029</v>
      </c>
      <c r="J39" s="1340">
        <f>IF(((J8*'Modelo Tarifário'!$C$55*'Modelo Tarifário'!$E$40)*('Premissas Economias e Água'!K306))&gt;('Premissas Economias e Água'!K166*12*'Modelo Tarifário'!$D$29*'Modelo Tarifário'!$C$55*'Modelo Tarifário'!$E$40),(J8*'Modelo Tarifário'!$C$55*'Modelo Tarifário'!$E$40)*('Premissas Economias e Água'!K306),('Premissas Economias e Água'!K166*12*'Modelo Tarifário'!$D$29*'Modelo Tarifário'!$C$55*'Modelo Tarifário'!$E$40))</f>
        <v>28179.00744708252</v>
      </c>
      <c r="K39" s="1340">
        <f>IF(((K8*'Modelo Tarifário'!$C$55*'Modelo Tarifário'!$E$40)*('Premissas Economias e Água'!L306))&gt;('Premissas Economias e Água'!L166*12*'Modelo Tarifário'!$D$29*'Modelo Tarifário'!$C$55*'Modelo Tarifário'!$E$40),(K8*'Modelo Tarifário'!$C$55*'Modelo Tarifário'!$E$40)*('Premissas Economias e Água'!L306),('Premissas Economias e Água'!L166*12*'Modelo Tarifário'!$D$29*'Modelo Tarifário'!$C$55*'Modelo Tarifário'!$E$40))</f>
        <v>28171.32505682977</v>
      </c>
      <c r="L39" s="1340">
        <f>IF(((L8*'Modelo Tarifário'!$C$55*'Modelo Tarifário'!$E$40)*('Premissas Economias e Água'!M306))&gt;('Premissas Economias e Água'!M166*12*'Modelo Tarifário'!$D$29*'Modelo Tarifário'!$C$55*'Modelo Tarifário'!$E$40),(L8*'Modelo Tarifário'!$C$55*'Modelo Tarifário'!$E$40)*('Premissas Economias e Água'!M306),('Premissas Economias e Água'!M166*12*'Modelo Tarifário'!$D$29*'Modelo Tarifário'!$C$55*'Modelo Tarifário'!$E$40))</f>
        <v>28163.642666577023</v>
      </c>
      <c r="M39" s="1340">
        <f>IF(((M8*'Modelo Tarifário'!$C$55*'Modelo Tarifário'!$E$40)*('Premissas Economias e Água'!N306))&gt;('Premissas Economias e Água'!N166*12*'Modelo Tarifário'!$D$29*'Modelo Tarifário'!$C$55*'Modelo Tarifário'!$E$40),(M8*'Modelo Tarifário'!$C$55*'Modelo Tarifário'!$E$40)*('Premissas Economias e Água'!N306),('Premissas Economias e Água'!N166*12*'Modelo Tarifário'!$D$29*'Modelo Tarifário'!$C$55*'Modelo Tarifário'!$E$40))</f>
        <v>28155.960276324276</v>
      </c>
      <c r="N39" s="1340">
        <f>IF(((N8*'Modelo Tarifário'!$C$55*'Modelo Tarifário'!$E$40)*('Premissas Economias e Água'!O306))&gt;('Premissas Economias e Água'!O166*12*'Modelo Tarifário'!$D$29*'Modelo Tarifário'!$C$55*'Modelo Tarifário'!$E$40),(N8*'Modelo Tarifário'!$C$55*'Modelo Tarifário'!$E$40)*('Premissas Economias e Água'!O306),('Premissas Economias e Água'!O166*12*'Modelo Tarifário'!$D$29*'Modelo Tarifário'!$C$55*'Modelo Tarifário'!$E$40))</f>
        <v>28148.27788607153</v>
      </c>
      <c r="O39" s="1340">
        <f>IF(((O8*'Modelo Tarifário'!$C$55*'Modelo Tarifário'!$E$40)*('Premissas Economias e Água'!P306))&gt;('Premissas Economias e Água'!P166*12*'Modelo Tarifário'!$D$29*'Modelo Tarifário'!$C$55*'Modelo Tarifário'!$E$40),(O8*'Modelo Tarifário'!$C$55*'Modelo Tarifário'!$E$40)*('Premissas Economias e Água'!P306),('Premissas Economias e Água'!P166*12*'Modelo Tarifário'!$D$29*'Modelo Tarifário'!$C$55*'Modelo Tarifário'!$E$40))</f>
        <v>28125.230715313282</v>
      </c>
      <c r="P39" s="1340">
        <f>IF(((P8*'Modelo Tarifário'!$C$55*'Modelo Tarifário'!$E$40)*('Premissas Economias e Água'!Q306))&gt;('Premissas Economias e Água'!Q166*12*'Modelo Tarifário'!$D$29*'Modelo Tarifário'!$C$55*'Modelo Tarifário'!$E$40),(P8*'Modelo Tarifário'!$C$55*'Modelo Tarifário'!$E$40)*('Premissas Economias e Água'!Q306),('Premissas Economias e Água'!Q166*12*'Modelo Tarifário'!$D$29*'Modelo Tarifário'!$C$55*'Modelo Tarifário'!$E$40))</f>
        <v>28063.771593291287</v>
      </c>
      <c r="Q39" s="1340">
        <f>IF(((Q8*'Modelo Tarifário'!$C$55*'Modelo Tarifário'!$E$40)*('Premissas Economias e Água'!R306))&gt;('Premissas Economias e Água'!R166*12*'Modelo Tarifário'!$D$29*'Modelo Tarifário'!$C$55*'Modelo Tarifário'!$E$40),(Q8*'Modelo Tarifário'!$C$55*'Modelo Tarifário'!$E$40)*('Premissas Economias e Água'!R306),('Premissas Economias e Água'!R166*12*'Modelo Tarifário'!$D$29*'Modelo Tarifário'!$C$55*'Modelo Tarifário'!$E$40))</f>
        <v>28002.312471269302</v>
      </c>
      <c r="R39" s="1340">
        <f>IF(((R8*'Modelo Tarifário'!$C$55*'Modelo Tarifário'!$E$40)*('Premissas Economias e Água'!S306))&gt;('Premissas Economias e Água'!S166*12*'Modelo Tarifário'!$D$29*'Modelo Tarifário'!$C$55*'Modelo Tarifário'!$E$40),(R8*'Modelo Tarifário'!$C$55*'Modelo Tarifário'!$E$40)*('Premissas Economias e Água'!S306),('Premissas Economias e Água'!S166*12*'Modelo Tarifário'!$D$29*'Modelo Tarifário'!$C$55*'Modelo Tarifário'!$E$40))</f>
        <v>27940.853349247307</v>
      </c>
      <c r="S39" s="1340">
        <f>IF(((S8*'Modelo Tarifário'!$C$55*'Modelo Tarifário'!$E$40)*('Premissas Economias e Água'!T306))&gt;('Premissas Economias e Água'!T166*12*'Modelo Tarifário'!$D$29*'Modelo Tarifário'!$C$55*'Modelo Tarifário'!$E$40),(S8*'Modelo Tarifário'!$C$55*'Modelo Tarifário'!$E$40)*('Premissas Economias e Água'!T306),('Premissas Economias e Água'!T166*12*'Modelo Tarifário'!$D$29*'Modelo Tarifário'!$C$55*'Modelo Tarifário'!$E$40))</f>
        <v>27879.394227225319</v>
      </c>
      <c r="T39" s="1340">
        <f>IF(((T8*'Modelo Tarifário'!$C$55*'Modelo Tarifário'!$E$40)*('Premissas Economias e Água'!U306))&gt;('Premissas Economias e Água'!U166*12*'Modelo Tarifário'!$D$29*'Modelo Tarifário'!$C$55*'Modelo Tarifário'!$E$40),(T8*'Modelo Tarifário'!$C$55*'Modelo Tarifário'!$E$40)*('Premissas Economias e Água'!U306),('Premissas Economias e Água'!U166*12*'Modelo Tarifário'!$D$29*'Modelo Tarifário'!$C$55*'Modelo Tarifário'!$E$40))</f>
        <v>27825.617495456081</v>
      </c>
      <c r="U39" s="1340">
        <f>IF(((U8*'Modelo Tarifário'!$C$55*'Modelo Tarifário'!$E$40)*('Premissas Economias e Água'!V306))&gt;('Premissas Economias e Água'!V166*12*'Modelo Tarifário'!$D$29*'Modelo Tarifário'!$C$55*'Modelo Tarifário'!$E$40),(U8*'Modelo Tarifário'!$C$55*'Modelo Tarifário'!$E$40)*('Premissas Economias e Água'!V306),('Premissas Economias e Água'!V166*12*'Modelo Tarifário'!$D$29*'Modelo Tarifário'!$C$55*'Modelo Tarifário'!$E$40))</f>
        <v>27733.428812423092</v>
      </c>
      <c r="V39" s="1340">
        <f>IF(((V8*'Modelo Tarifário'!$C$55*'Modelo Tarifário'!$E$40)*('Premissas Economias e Água'!W306))&gt;('Premissas Economias e Água'!W166*12*'Modelo Tarifário'!$D$29*'Modelo Tarifário'!$C$55*'Modelo Tarifário'!$E$40),(V8*'Modelo Tarifário'!$C$55*'Modelo Tarifário'!$E$40)*('Premissas Economias e Água'!W306),('Premissas Economias e Água'!W166*12*'Modelo Tarifário'!$D$29*'Modelo Tarifário'!$C$55*'Modelo Tarifário'!$E$40))</f>
        <v>27641.240129390106</v>
      </c>
      <c r="W39" s="1340">
        <f>IF(((W8*'Modelo Tarifário'!$C$55*'Modelo Tarifário'!$E$40)*('Premissas Economias e Água'!X306))&gt;('Premissas Economias e Água'!X166*12*'Modelo Tarifário'!$D$29*'Modelo Tarifário'!$C$55*'Modelo Tarifário'!$E$40),(W8*'Modelo Tarifário'!$C$55*'Modelo Tarifário'!$E$40)*('Premissas Economias e Água'!X306),('Premissas Economias e Água'!X166*12*'Modelo Tarifário'!$D$29*'Modelo Tarifário'!$C$55*'Modelo Tarifário'!$E$40))</f>
        <v>27549.051446357123</v>
      </c>
      <c r="X39" s="1340">
        <f>IF(((X8*'Modelo Tarifário'!$C$55*'Modelo Tarifário'!$E$40)*('Premissas Economias e Água'!Y306))&gt;('Premissas Economias e Água'!Y166*12*'Modelo Tarifário'!$D$29*'Modelo Tarifário'!$C$55*'Modelo Tarifário'!$E$40),(X8*'Modelo Tarifário'!$C$55*'Modelo Tarifário'!$E$40)*('Premissas Economias e Água'!Y306),('Premissas Economias e Água'!Y166*12*'Modelo Tarifário'!$D$29*'Modelo Tarifário'!$C$55*'Modelo Tarifário'!$E$40))</f>
        <v>27456.862763324134</v>
      </c>
      <c r="Y39" s="1340">
        <f>IF(((Y8*'Modelo Tarifário'!$C$55*'Modelo Tarifário'!$E$40)*('Premissas Economias e Água'!Z306))&gt;('Premissas Economias e Água'!Z166*12*'Modelo Tarifário'!$D$29*'Modelo Tarifário'!$C$55*'Modelo Tarifário'!$E$40),(Y8*'Modelo Tarifário'!$C$55*'Modelo Tarifário'!$E$40)*('Premissas Economias e Água'!Z306),('Premissas Economias e Água'!Z166*12*'Modelo Tarifário'!$D$29*'Modelo Tarifário'!$C$55*'Modelo Tarifário'!$E$40))</f>
        <v>27364.674080291155</v>
      </c>
      <c r="Z39" s="1340">
        <f>IF(((Z8*'Modelo Tarifário'!$C$55*'Modelo Tarifário'!$E$40)*('Premissas Economias e Água'!AA306))&gt;('Premissas Economias e Água'!AA166*12*'Modelo Tarifário'!$D$29*'Modelo Tarifário'!$C$55*'Modelo Tarifário'!$E$40),(Z8*'Modelo Tarifário'!$C$55*'Modelo Tarifário'!$E$40)*('Premissas Economias e Água'!AA306),('Premissas Economias e Água'!AA166*12*'Modelo Tarifário'!$D$29*'Modelo Tarifário'!$C$55*'Modelo Tarifário'!$E$40))</f>
        <v>27272.485397258166</v>
      </c>
      <c r="AA39" s="1340">
        <f>IF(((AA8*'Modelo Tarifário'!$C$55*'Modelo Tarifário'!$E$40)*('Premissas Economias e Água'!AB306))&gt;('Premissas Economias e Água'!AB166*12*'Modelo Tarifário'!$D$29*'Modelo Tarifário'!$C$55*'Modelo Tarifário'!$E$40),(AA8*'Modelo Tarifário'!$C$55*'Modelo Tarifário'!$E$40)*('Premissas Economias e Água'!AB306),('Premissas Economias e Água'!AB166*12*'Modelo Tarifário'!$D$29*'Modelo Tarifário'!$C$55*'Modelo Tarifário'!$E$40))</f>
        <v>27180.296714225176</v>
      </c>
      <c r="AB39" s="1340">
        <f>IF(((AB8*'Modelo Tarifário'!$C$55*'Modelo Tarifário'!$E$40)*('Premissas Economias e Água'!AC306))&gt;('Premissas Economias e Água'!AC166*12*'Modelo Tarifário'!$D$29*'Modelo Tarifário'!$C$55*'Modelo Tarifário'!$E$40),(AB8*'Modelo Tarifário'!$C$55*'Modelo Tarifário'!$E$40)*('Premissas Economias e Água'!AC306),('Premissas Economias e Água'!AC166*12*'Modelo Tarifário'!$D$29*'Modelo Tarifário'!$C$55*'Modelo Tarifário'!$E$40))</f>
        <v>27088.108031192194</v>
      </c>
      <c r="AC39" s="1340">
        <f>IF(((AC8*'Modelo Tarifário'!$C$55*'Modelo Tarifário'!$E$40)*('Premissas Economias e Água'!AD306))&gt;('Premissas Economias e Água'!AD166*12*'Modelo Tarifário'!$D$29*'Modelo Tarifário'!$C$55*'Modelo Tarifário'!$E$40),(AC8*'Modelo Tarifário'!$C$55*'Modelo Tarifário'!$E$40)*('Premissas Economias e Água'!AD306),('Premissas Economias e Água'!AD166*12*'Modelo Tarifário'!$D$29*'Modelo Tarifário'!$C$55*'Modelo Tarifário'!$E$40))</f>
        <v>26995.919348159205</v>
      </c>
      <c r="AD39" s="1340">
        <f>IF(((AD8*'Modelo Tarifário'!$C$55*'Modelo Tarifário'!$E$40)*('Premissas Economias e Água'!AE306))&gt;('Premissas Economias e Água'!AE166*12*'Modelo Tarifário'!$D$29*'Modelo Tarifário'!$C$55*'Modelo Tarifário'!$E$40),(AD8*'Modelo Tarifário'!$C$55*'Modelo Tarifário'!$E$40)*('Premissas Economias e Água'!AE306),('Premissas Economias e Água'!AE166*12*'Modelo Tarifário'!$D$29*'Modelo Tarifário'!$C$55*'Modelo Tarifário'!$E$40))</f>
        <v>26903.730665126222</v>
      </c>
      <c r="AE39" s="1340">
        <f>IF(((AE8*'Modelo Tarifário'!$C$55*'Modelo Tarifário'!$E$40)*('Premissas Economias e Água'!AF306))&gt;('Premissas Economias e Água'!AF166*12*'Modelo Tarifário'!$D$29*'Modelo Tarifário'!$C$55*'Modelo Tarifário'!$E$40),(AE8*'Modelo Tarifário'!$C$55*'Modelo Tarifário'!$E$40)*('Premissas Economias e Água'!AF306),('Premissas Economias e Água'!AF166*12*'Modelo Tarifário'!$D$29*'Modelo Tarifário'!$C$55*'Modelo Tarifário'!$E$40))</f>
        <v>26811.541982093237</v>
      </c>
      <c r="AF39" s="1340">
        <f>IF(((AF8*'Modelo Tarifário'!$C$55*'Modelo Tarifário'!$E$40)*('Premissas Economias e Água'!AG306))&gt;('Premissas Economias e Água'!AG166*12*'Modelo Tarifário'!$D$29*'Modelo Tarifário'!$C$55*'Modelo Tarifário'!$E$40),(AF8*'Modelo Tarifário'!$C$55*'Modelo Tarifário'!$E$40)*('Premissas Economias e Água'!AG306),('Premissas Economias e Água'!AG166*12*'Modelo Tarifário'!$D$29*'Modelo Tarifário'!$C$55*'Modelo Tarifário'!$E$40))</f>
        <v>26719.353299060254</v>
      </c>
      <c r="AG39" s="1340">
        <f>IF(((AG8*'Modelo Tarifário'!$C$55*'Modelo Tarifário'!$E$40)*('Premissas Economias e Água'!AH306))&gt;('Premissas Economias e Água'!AH166*12*'Modelo Tarifário'!$D$29*'Modelo Tarifário'!$C$55*'Modelo Tarifário'!$E$40),(AG8*'Modelo Tarifário'!$C$55*'Modelo Tarifário'!$E$40)*('Premissas Economias e Água'!AH306),('Premissas Economias e Água'!AH166*12*'Modelo Tarifário'!$D$29*'Modelo Tarifário'!$C$55*'Modelo Tarifário'!$E$40))</f>
        <v>26627.164616027268</v>
      </c>
      <c r="AH39" s="1340">
        <f>IF(((AH8*'Modelo Tarifário'!$C$55*'Modelo Tarifário'!$E$40)*('Premissas Economias e Água'!AI306))&gt;('Premissas Economias e Água'!AI166*12*'Modelo Tarifário'!$D$29*'Modelo Tarifário'!$C$55*'Modelo Tarifário'!$E$40),(AH8*'Modelo Tarifário'!$C$55*'Modelo Tarifário'!$E$40)*('Premissas Economias e Água'!AI306),('Premissas Economias e Água'!AI166*12*'Modelo Tarifário'!$D$29*'Modelo Tarifário'!$C$55*'Modelo Tarifário'!$E$40))</f>
        <v>26534.975932994283</v>
      </c>
    </row>
    <row r="40" spans="2:34" s="79" customFormat="1" ht="12" hidden="1" outlineLevel="1" x14ac:dyDescent="0.3">
      <c r="B40" s="1339"/>
      <c r="C40" s="1335" t="s">
        <v>282</v>
      </c>
      <c r="D40" s="1335"/>
      <c r="E40" s="1340">
        <f>IF(((E8*'Modelo Tarifário'!$C$55*'Modelo Tarifário'!$E$41)*('Premissas Economias e Água'!F307))&gt;('Premissas Economias e Água'!F167*12*'Modelo Tarifário'!$D$29*'Modelo Tarifário'!$C$55*'Modelo Tarifário'!$E$41),(E8*'Modelo Tarifário'!$C$55*'Modelo Tarifário'!$E$41)*('Premissas Economias e Água'!F307),('Premissas Economias e Água'!F167*12*'Modelo Tarifário'!$D$29*'Modelo Tarifário'!$C$55*'Modelo Tarifário'!$E$41))</f>
        <v>25504.650066667869</v>
      </c>
      <c r="F40" s="1340">
        <f>IF(((F8*'Modelo Tarifário'!$C$55*'Modelo Tarifário'!$E$41)*('Premissas Economias e Água'!G307))&gt;('Premissas Economias e Água'!G167*12*'Modelo Tarifário'!$D$29*'Modelo Tarifário'!$C$55*'Modelo Tarifário'!$E$41),(F8*'Modelo Tarifário'!$C$55*'Modelo Tarifário'!$E$41)*('Premissas Economias e Água'!G307),('Premissas Economias e Água'!G167*12*'Modelo Tarifário'!$D$29*'Modelo Tarifário'!$C$55*'Modelo Tarifário'!$E$41))</f>
        <v>25532.631032182591</v>
      </c>
      <c r="G40" s="1340">
        <f>IF(((G8*'Modelo Tarifário'!$C$55*'Modelo Tarifário'!$E$41)*('Premissas Economias e Água'!H307))&gt;('Premissas Economias e Água'!H167*12*'Modelo Tarifário'!$D$29*'Modelo Tarifário'!$C$55*'Modelo Tarifário'!$E$41),(G8*'Modelo Tarifário'!$C$55*'Modelo Tarifário'!$E$41)*('Premissas Economias e Água'!H307),('Premissas Economias e Água'!H167*12*'Modelo Tarifário'!$D$29*'Modelo Tarifário'!$C$55*'Modelo Tarifário'!$E$41))</f>
        <v>25560.611997697313</v>
      </c>
      <c r="H40" s="1340">
        <f>IF(((H8*'Modelo Tarifário'!$C$55*'Modelo Tarifário'!$E$41)*('Premissas Economias e Água'!I307))&gt;('Premissas Economias e Água'!I167*12*'Modelo Tarifário'!$D$29*'Modelo Tarifário'!$C$55*'Modelo Tarifário'!$E$41),(H8*'Modelo Tarifário'!$C$55*'Modelo Tarifário'!$E$41)*('Premissas Economias e Água'!I307),('Premissas Economias e Água'!I167*12*'Modelo Tarifário'!$D$29*'Modelo Tarifário'!$C$55*'Modelo Tarifário'!$E$41))</f>
        <v>25588.592963212035</v>
      </c>
      <c r="I40" s="1340">
        <f>IF(((I8*'Modelo Tarifário'!$C$55*'Modelo Tarifário'!$E$41)*('Premissas Economias e Água'!J307))&gt;('Premissas Economias e Água'!J167*12*'Modelo Tarifário'!$D$29*'Modelo Tarifário'!$C$55*'Modelo Tarifário'!$E$41),(I8*'Modelo Tarifário'!$C$55*'Modelo Tarifário'!$E$41)*('Premissas Economias e Água'!J307),('Premissas Economias e Água'!J167*12*'Modelo Tarifário'!$D$29*'Modelo Tarifário'!$C$55*'Modelo Tarifário'!$E$41))</f>
        <v>25616.573928726753</v>
      </c>
      <c r="J40" s="1340">
        <f>IF(((J8*'Modelo Tarifário'!$C$55*'Modelo Tarifário'!$E$41)*('Premissas Economias e Água'!K307))&gt;('Premissas Economias e Água'!K167*12*'Modelo Tarifário'!$D$29*'Modelo Tarifário'!$C$55*'Modelo Tarifário'!$E$41),(J8*'Modelo Tarifário'!$C$55*'Modelo Tarifário'!$E$41)*('Premissas Economias e Água'!K307),('Premissas Economias e Água'!K167*12*'Modelo Tarifário'!$D$29*'Modelo Tarifário'!$C$55*'Modelo Tarifário'!$E$41))</f>
        <v>25658.545376998834</v>
      </c>
      <c r="K40" s="1340">
        <f>IF(((K8*'Modelo Tarifário'!$C$55*'Modelo Tarifário'!$E$41)*('Premissas Economias e Água'!L307))&gt;('Premissas Economias e Água'!L167*12*'Modelo Tarifário'!$D$29*'Modelo Tarifário'!$C$55*'Modelo Tarifário'!$E$41),(K8*'Modelo Tarifário'!$C$55*'Modelo Tarifário'!$E$41)*('Premissas Economias e Água'!L307),('Premissas Economias e Água'!L167*12*'Modelo Tarifário'!$D$29*'Modelo Tarifário'!$C$55*'Modelo Tarifário'!$E$41))</f>
        <v>25651.550135620153</v>
      </c>
      <c r="L40" s="1340">
        <f>IF(((L8*'Modelo Tarifário'!$C$55*'Modelo Tarifário'!$E$41)*('Premissas Economias e Água'!M307))&gt;('Premissas Economias e Água'!M167*12*'Modelo Tarifário'!$D$29*'Modelo Tarifário'!$C$55*'Modelo Tarifário'!$E$41),(L8*'Modelo Tarifário'!$C$55*'Modelo Tarifário'!$E$41)*('Premissas Economias e Água'!M307),('Premissas Economias e Água'!M167*12*'Modelo Tarifário'!$D$29*'Modelo Tarifário'!$C$55*'Modelo Tarifário'!$E$41))</f>
        <v>25644.554894241472</v>
      </c>
      <c r="M40" s="1340">
        <f>IF(((M8*'Modelo Tarifário'!$C$55*'Modelo Tarifário'!$E$41)*('Premissas Economias e Água'!N307))&gt;('Premissas Economias e Água'!N167*12*'Modelo Tarifário'!$D$29*'Modelo Tarifário'!$C$55*'Modelo Tarifário'!$E$41),(M8*'Modelo Tarifário'!$C$55*'Modelo Tarifário'!$E$41)*('Premissas Economias e Água'!N307),('Premissas Economias e Água'!N167*12*'Modelo Tarifário'!$D$29*'Modelo Tarifário'!$C$55*'Modelo Tarifário'!$E$41))</f>
        <v>25637.559652862798</v>
      </c>
      <c r="N40" s="1340">
        <f>IF(((N8*'Modelo Tarifário'!$C$55*'Modelo Tarifário'!$E$41)*('Premissas Economias e Água'!O307))&gt;('Premissas Economias e Água'!O167*12*'Modelo Tarifário'!$D$29*'Modelo Tarifário'!$C$55*'Modelo Tarifário'!$E$41),(N8*'Modelo Tarifário'!$C$55*'Modelo Tarifário'!$E$41)*('Premissas Economias e Água'!O307),('Premissas Economias e Água'!O167*12*'Modelo Tarifário'!$D$29*'Modelo Tarifário'!$C$55*'Modelo Tarifário'!$E$41))</f>
        <v>25630.564411484116</v>
      </c>
      <c r="O40" s="1340">
        <f>IF(((O8*'Modelo Tarifário'!$C$55*'Modelo Tarifário'!$E$41)*('Premissas Economias e Água'!P307))&gt;('Premissas Economias e Água'!P167*12*'Modelo Tarifário'!$D$29*'Modelo Tarifário'!$C$55*'Modelo Tarifário'!$E$41),(O8*'Modelo Tarifário'!$C$55*'Modelo Tarifário'!$E$41)*('Premissas Economias e Água'!P307),('Premissas Economias e Água'!P167*12*'Modelo Tarifário'!$D$29*'Modelo Tarifário'!$C$55*'Modelo Tarifário'!$E$41))</f>
        <v>25609.578687348076</v>
      </c>
      <c r="P40" s="1340">
        <f>IF(((P8*'Modelo Tarifário'!$C$55*'Modelo Tarifário'!$E$41)*('Premissas Economias e Água'!Q307))&gt;('Premissas Economias e Água'!Q167*12*'Modelo Tarifário'!$D$29*'Modelo Tarifário'!$C$55*'Modelo Tarifário'!$E$41),(P8*'Modelo Tarifário'!$C$55*'Modelo Tarifário'!$E$41)*('Premissas Economias e Água'!Q307),('Premissas Economias e Água'!Q167*12*'Modelo Tarifário'!$D$29*'Modelo Tarifário'!$C$55*'Modelo Tarifário'!$E$41))</f>
        <v>25553.616756318635</v>
      </c>
      <c r="Q40" s="1340">
        <f>IF(((Q8*'Modelo Tarifário'!$C$55*'Modelo Tarifário'!$E$41)*('Premissas Economias e Água'!R307))&gt;('Premissas Economias e Água'!R167*12*'Modelo Tarifário'!$D$29*'Modelo Tarifário'!$C$55*'Modelo Tarifário'!$E$41),(Q8*'Modelo Tarifário'!$C$55*'Modelo Tarifário'!$E$41)*('Premissas Economias e Água'!R307),('Premissas Economias e Água'!R167*12*'Modelo Tarifário'!$D$29*'Modelo Tarifário'!$C$55*'Modelo Tarifário'!$E$41))</f>
        <v>25497.654825289192</v>
      </c>
      <c r="R40" s="1340">
        <f>IF(((R8*'Modelo Tarifário'!$C$55*'Modelo Tarifário'!$E$41)*('Premissas Economias e Água'!S307))&gt;('Premissas Economias e Água'!S167*12*'Modelo Tarifário'!$D$29*'Modelo Tarifário'!$C$55*'Modelo Tarifário'!$E$41),(R8*'Modelo Tarifário'!$C$55*'Modelo Tarifário'!$E$41)*('Premissas Economias e Água'!S307),('Premissas Economias e Água'!S167*12*'Modelo Tarifário'!$D$29*'Modelo Tarifário'!$C$55*'Modelo Tarifário'!$E$41))</f>
        <v>25441.692894259751</v>
      </c>
      <c r="S40" s="1340">
        <f>IF(((S8*'Modelo Tarifário'!$C$55*'Modelo Tarifário'!$E$41)*('Premissas Economias e Água'!T307))&gt;('Premissas Economias e Água'!T167*12*'Modelo Tarifário'!$D$29*'Modelo Tarifário'!$C$55*'Modelo Tarifário'!$E$41),(S8*'Modelo Tarifário'!$C$55*'Modelo Tarifário'!$E$41)*('Premissas Economias e Água'!T307),('Premissas Economias e Água'!T167*12*'Modelo Tarifário'!$D$29*'Modelo Tarifário'!$C$55*'Modelo Tarifário'!$E$41))</f>
        <v>25385.730963230308</v>
      </c>
      <c r="T40" s="1340">
        <f>IF(((T8*'Modelo Tarifário'!$C$55*'Modelo Tarifário'!$E$41)*('Premissas Economias e Água'!U307))&gt;('Premissas Economias e Água'!U167*12*'Modelo Tarifário'!$D$29*'Modelo Tarifário'!$C$55*'Modelo Tarifário'!$E$41),(T8*'Modelo Tarifário'!$C$55*'Modelo Tarifário'!$E$41)*('Premissas Economias e Água'!U307),('Premissas Economias e Água'!U167*12*'Modelo Tarifário'!$D$29*'Modelo Tarifário'!$C$55*'Modelo Tarifário'!$E$41))</f>
        <v>25336.764273579545</v>
      </c>
      <c r="U40" s="1340">
        <f>IF(((U8*'Modelo Tarifário'!$C$55*'Modelo Tarifário'!$E$41)*('Premissas Economias e Água'!V307))&gt;('Premissas Economias e Água'!V167*12*'Modelo Tarifário'!$D$29*'Modelo Tarifário'!$C$55*'Modelo Tarifário'!$E$41),(U8*'Modelo Tarifário'!$C$55*'Modelo Tarifário'!$E$41)*('Premissas Economias e Água'!V307),('Premissas Economias e Água'!V167*12*'Modelo Tarifário'!$D$29*'Modelo Tarifário'!$C$55*'Modelo Tarifário'!$E$41))</f>
        <v>25252.821377035383</v>
      </c>
      <c r="V40" s="1340">
        <f>IF(((V8*'Modelo Tarifário'!$C$55*'Modelo Tarifário'!$E$41)*('Premissas Economias e Água'!W307))&gt;('Premissas Economias e Água'!W167*12*'Modelo Tarifário'!$D$29*'Modelo Tarifário'!$C$55*'Modelo Tarifário'!$E$41),(V8*'Modelo Tarifário'!$C$55*'Modelo Tarifário'!$E$41)*('Premissas Economias e Água'!W307),('Premissas Economias e Água'!W167*12*'Modelo Tarifário'!$D$29*'Modelo Tarifário'!$C$55*'Modelo Tarifário'!$E$41))</f>
        <v>25168.878480491221</v>
      </c>
      <c r="W40" s="1340">
        <f>IF(((W8*'Modelo Tarifário'!$C$55*'Modelo Tarifário'!$E$41)*('Premissas Economias e Água'!X307))&gt;('Premissas Economias e Água'!X167*12*'Modelo Tarifário'!$D$29*'Modelo Tarifário'!$C$55*'Modelo Tarifário'!$E$41),(W8*'Modelo Tarifário'!$C$55*'Modelo Tarifário'!$E$41)*('Premissas Economias e Água'!X307),('Premissas Economias e Água'!X167*12*'Modelo Tarifário'!$D$29*'Modelo Tarifário'!$C$55*'Modelo Tarifário'!$E$41))</f>
        <v>25084.935583947063</v>
      </c>
      <c r="X40" s="1340">
        <f>IF(((X8*'Modelo Tarifário'!$C$55*'Modelo Tarifário'!$E$41)*('Premissas Economias e Água'!Y307))&gt;('Premissas Economias e Água'!Y167*12*'Modelo Tarifário'!$D$29*'Modelo Tarifário'!$C$55*'Modelo Tarifário'!$E$41),(X8*'Modelo Tarifário'!$C$55*'Modelo Tarifário'!$E$41)*('Premissas Economias e Água'!Y307),('Premissas Economias e Água'!Y167*12*'Modelo Tarifário'!$D$29*'Modelo Tarifário'!$C$55*'Modelo Tarifário'!$E$41))</f>
        <v>25000.992687402897</v>
      </c>
      <c r="Y40" s="1340">
        <f>IF(((Y8*'Modelo Tarifário'!$C$55*'Modelo Tarifário'!$E$41)*('Premissas Economias e Água'!Z307))&gt;('Premissas Economias e Água'!Z167*12*'Modelo Tarifário'!$D$29*'Modelo Tarifário'!$C$55*'Modelo Tarifário'!$E$41),(Y8*'Modelo Tarifário'!$C$55*'Modelo Tarifário'!$E$41)*('Premissas Economias e Água'!Z307),('Premissas Economias e Água'!Z167*12*'Modelo Tarifário'!$D$29*'Modelo Tarifário'!$C$55*'Modelo Tarifário'!$E$41))</f>
        <v>24917.049790858739</v>
      </c>
      <c r="Z40" s="1340">
        <f>IF(((Z8*'Modelo Tarifário'!$C$55*'Modelo Tarifário'!$E$41)*('Premissas Economias e Água'!AA307))&gt;('Premissas Economias e Água'!AA167*12*'Modelo Tarifário'!$D$29*'Modelo Tarifário'!$C$55*'Modelo Tarifário'!$E$41),(Z8*'Modelo Tarifário'!$C$55*'Modelo Tarifário'!$E$41)*('Premissas Economias e Água'!AA307),('Premissas Economias e Água'!AA167*12*'Modelo Tarifário'!$D$29*'Modelo Tarifário'!$C$55*'Modelo Tarifário'!$E$41))</f>
        <v>24833.106894314576</v>
      </c>
      <c r="AA40" s="1340">
        <f>IF(((AA8*'Modelo Tarifário'!$C$55*'Modelo Tarifário'!$E$41)*('Premissas Economias e Água'!AB307))&gt;('Premissas Economias e Água'!AB167*12*'Modelo Tarifário'!$D$29*'Modelo Tarifário'!$C$55*'Modelo Tarifário'!$E$41),(AA8*'Modelo Tarifário'!$C$55*'Modelo Tarifário'!$E$41)*('Premissas Economias e Água'!AB307),('Premissas Economias e Água'!AB167*12*'Modelo Tarifário'!$D$29*'Modelo Tarifário'!$C$55*'Modelo Tarifário'!$E$41))</f>
        <v>24749.163997770407</v>
      </c>
      <c r="AB40" s="1340">
        <f>IF(((AB8*'Modelo Tarifário'!$C$55*'Modelo Tarifário'!$E$41)*('Premissas Economias e Água'!AC307))&gt;('Premissas Economias e Água'!AC167*12*'Modelo Tarifário'!$D$29*'Modelo Tarifário'!$C$55*'Modelo Tarifário'!$E$41),(AB8*'Modelo Tarifário'!$C$55*'Modelo Tarifário'!$E$41)*('Premissas Economias e Água'!AC307),('Premissas Economias e Água'!AC167*12*'Modelo Tarifário'!$D$29*'Modelo Tarifário'!$C$55*'Modelo Tarifário'!$E$41))</f>
        <v>24665.221101226252</v>
      </c>
      <c r="AC40" s="1340">
        <f>IF(((AC8*'Modelo Tarifário'!$C$55*'Modelo Tarifário'!$E$41)*('Premissas Economias e Água'!AD307))&gt;('Premissas Economias e Água'!AD167*12*'Modelo Tarifário'!$D$29*'Modelo Tarifário'!$C$55*'Modelo Tarifário'!$E$41),(AC8*'Modelo Tarifário'!$C$55*'Modelo Tarifário'!$E$41)*('Premissas Economias e Água'!AD307),('Premissas Economias e Água'!AD167*12*'Modelo Tarifário'!$D$29*'Modelo Tarifário'!$C$55*'Modelo Tarifário'!$E$41))</f>
        <v>24581.278204682087</v>
      </c>
      <c r="AD40" s="1340">
        <f>IF(((AD8*'Modelo Tarifário'!$C$55*'Modelo Tarifário'!$E$41)*('Premissas Economias e Água'!AE307))&gt;('Premissas Economias e Água'!AE167*12*'Modelo Tarifário'!$D$29*'Modelo Tarifário'!$C$55*'Modelo Tarifário'!$E$41),(AD8*'Modelo Tarifário'!$C$55*'Modelo Tarifário'!$E$41)*('Premissas Economias e Água'!AE307),('Premissas Economias e Água'!AE167*12*'Modelo Tarifário'!$D$29*'Modelo Tarifário'!$C$55*'Modelo Tarifário'!$E$41))</f>
        <v>24497.335308137925</v>
      </c>
      <c r="AE40" s="1340">
        <f>IF(((AE8*'Modelo Tarifário'!$C$55*'Modelo Tarifário'!$E$41)*('Premissas Economias e Água'!AF307))&gt;('Premissas Economias e Água'!AF167*12*'Modelo Tarifário'!$D$29*'Modelo Tarifário'!$C$55*'Modelo Tarifário'!$E$41),(AE8*'Modelo Tarifário'!$C$55*'Modelo Tarifário'!$E$41)*('Premissas Economias e Água'!AF307),('Premissas Economias e Água'!AF167*12*'Modelo Tarifário'!$D$29*'Modelo Tarifário'!$C$55*'Modelo Tarifário'!$E$41))</f>
        <v>24413.392411593763</v>
      </c>
      <c r="AF40" s="1340">
        <f>IF(((AF8*'Modelo Tarifário'!$C$55*'Modelo Tarifário'!$E$41)*('Premissas Economias e Água'!AG307))&gt;('Premissas Economias e Água'!AG167*12*'Modelo Tarifário'!$D$29*'Modelo Tarifário'!$C$55*'Modelo Tarifário'!$E$41),(AF8*'Modelo Tarifário'!$C$55*'Modelo Tarifário'!$E$41)*('Premissas Economias e Água'!AG307),('Premissas Economias e Água'!AG167*12*'Modelo Tarifário'!$D$29*'Modelo Tarifário'!$C$55*'Modelo Tarifário'!$E$41))</f>
        <v>24329.449515049604</v>
      </c>
      <c r="AG40" s="1340">
        <f>IF(((AG8*'Modelo Tarifário'!$C$55*'Modelo Tarifário'!$E$41)*('Premissas Economias e Água'!AH307))&gt;('Premissas Economias e Água'!AH167*12*'Modelo Tarifário'!$D$29*'Modelo Tarifário'!$C$55*'Modelo Tarifário'!$E$41),(AG8*'Modelo Tarifário'!$C$55*'Modelo Tarifário'!$E$41)*('Premissas Economias e Água'!AH307),('Premissas Economias e Água'!AH167*12*'Modelo Tarifário'!$D$29*'Modelo Tarifário'!$C$55*'Modelo Tarifário'!$E$41))</f>
        <v>24245.506618505438</v>
      </c>
      <c r="AH40" s="1340">
        <f>IF(((AH8*'Modelo Tarifário'!$C$55*'Modelo Tarifário'!$E$41)*('Premissas Economias e Água'!AI307))&gt;('Premissas Economias e Água'!AI167*12*'Modelo Tarifário'!$D$29*'Modelo Tarifário'!$C$55*'Modelo Tarifário'!$E$41),(AH8*'Modelo Tarifário'!$C$55*'Modelo Tarifário'!$E$41)*('Premissas Economias e Água'!AI307),('Premissas Economias e Água'!AI167*12*'Modelo Tarifário'!$D$29*'Modelo Tarifário'!$C$55*'Modelo Tarifário'!$E$41))</f>
        <v>24161.56372196128</v>
      </c>
    </row>
    <row r="41" spans="2:34" s="79" customFormat="1" ht="12" hidden="1" outlineLevel="1" x14ac:dyDescent="0.3">
      <c r="B41" s="1339"/>
      <c r="C41" s="1335" t="s">
        <v>283</v>
      </c>
      <c r="D41" s="1335"/>
      <c r="E41" s="1340">
        <f>IF(((E8*'Modelo Tarifário'!$C$55*'Modelo Tarifário'!$E$42)*('Premissas Economias e Água'!F308))&gt;('Premissas Economias e Água'!F168*12*'Modelo Tarifário'!$D$29*'Modelo Tarifário'!$C$55*'Modelo Tarifário'!$E$42),(E8*'Modelo Tarifário'!$C$55*'Modelo Tarifário'!$E$42)*('Premissas Economias e Água'!F308),('Premissas Economias e Água'!F168*12*'Modelo Tarifário'!$D$29*'Modelo Tarifário'!$C$55*'Modelo Tarifário'!$E$42))</f>
        <v>6140.3028984239927</v>
      </c>
      <c r="F41" s="1340">
        <f>IF(((F8*'Modelo Tarifário'!$C$55*'Modelo Tarifário'!$E$42)*('Premissas Economias e Água'!G308))&gt;('Premissas Economias e Água'!G168*12*'Modelo Tarifário'!$D$29*'Modelo Tarifário'!$C$55*'Modelo Tarifário'!$E$42),(F8*'Modelo Tarifário'!$C$55*'Modelo Tarifário'!$E$42)*('Premissas Economias e Água'!G308),('Premissas Economias e Água'!G168*12*'Modelo Tarifário'!$D$29*'Modelo Tarifário'!$C$55*'Modelo Tarifário'!$E$42))</f>
        <v>6147.039379936251</v>
      </c>
      <c r="G41" s="1340">
        <f>IF(((G8*'Modelo Tarifário'!$C$55*'Modelo Tarifário'!$E$42)*('Premissas Economias e Água'!H308))&gt;('Premissas Economias e Água'!H168*12*'Modelo Tarifário'!$D$29*'Modelo Tarifário'!$C$55*'Modelo Tarifário'!$E$42),(G8*'Modelo Tarifário'!$C$55*'Modelo Tarifário'!$E$42)*('Premissas Economias e Água'!H308),('Premissas Economias e Água'!H168*12*'Modelo Tarifário'!$D$29*'Modelo Tarifário'!$C$55*'Modelo Tarifário'!$E$42))</f>
        <v>6153.7758614485101</v>
      </c>
      <c r="H41" s="1340">
        <f>IF(((H8*'Modelo Tarifário'!$C$55*'Modelo Tarifário'!$E$42)*('Premissas Economias e Água'!I308))&gt;('Premissas Economias e Água'!I168*12*'Modelo Tarifário'!$D$29*'Modelo Tarifário'!$C$55*'Modelo Tarifário'!$E$42),(H8*'Modelo Tarifário'!$C$55*'Modelo Tarifário'!$E$42)*('Premissas Economias e Água'!I308),('Premissas Economias e Água'!I168*12*'Modelo Tarifário'!$D$29*'Modelo Tarifário'!$C$55*'Modelo Tarifário'!$E$42))</f>
        <v>6160.5123429607693</v>
      </c>
      <c r="I41" s="1340">
        <f>IF(((I8*'Modelo Tarifário'!$C$55*'Modelo Tarifário'!$E$42)*('Premissas Economias e Água'!J308))&gt;('Premissas Economias e Água'!J168*12*'Modelo Tarifário'!$D$29*'Modelo Tarifário'!$C$55*'Modelo Tarifário'!$E$42),(I8*'Modelo Tarifário'!$C$55*'Modelo Tarifário'!$E$42)*('Premissas Economias e Água'!J308),('Premissas Economias e Água'!J168*12*'Modelo Tarifário'!$D$29*'Modelo Tarifário'!$C$55*'Modelo Tarifário'!$E$42))</f>
        <v>6167.2488244730275</v>
      </c>
      <c r="J41" s="1340">
        <f>IF(((J8*'Modelo Tarifário'!$C$55*'Modelo Tarifário'!$E$42)*('Premissas Economias e Água'!K308))&gt;('Premissas Economias e Água'!K168*12*'Modelo Tarifário'!$D$29*'Modelo Tarifário'!$C$55*'Modelo Tarifário'!$E$42),(J8*'Modelo Tarifário'!$C$55*'Modelo Tarifário'!$E$42)*('Premissas Economias e Água'!K308),('Premissas Economias e Água'!K168*12*'Modelo Tarifário'!$D$29*'Modelo Tarifário'!$C$55*'Modelo Tarifário'!$E$42))</f>
        <v>6177.3535467414158</v>
      </c>
      <c r="K41" s="1340">
        <f>IF(((K8*'Modelo Tarifário'!$C$55*'Modelo Tarifário'!$E$42)*('Premissas Economias e Água'!L308))&gt;('Premissas Economias e Água'!L168*12*'Modelo Tarifário'!$D$29*'Modelo Tarifário'!$C$55*'Modelo Tarifário'!$E$42),(K8*'Modelo Tarifário'!$C$55*'Modelo Tarifário'!$E$42)*('Premissas Economias e Água'!L308),('Premissas Economias e Água'!L168*12*'Modelo Tarifário'!$D$29*'Modelo Tarifário'!$C$55*'Modelo Tarifário'!$E$42))</f>
        <v>6175.6694263633508</v>
      </c>
      <c r="L41" s="1340">
        <f>IF(((L8*'Modelo Tarifário'!$C$55*'Modelo Tarifário'!$E$42)*('Premissas Economias e Água'!M308))&gt;('Premissas Economias e Água'!M168*12*'Modelo Tarifário'!$D$29*'Modelo Tarifário'!$C$55*'Modelo Tarifário'!$E$42),(L8*'Modelo Tarifário'!$C$55*'Modelo Tarifário'!$E$42)*('Premissas Economias e Água'!M308),('Premissas Economias e Água'!M168*12*'Modelo Tarifário'!$D$29*'Modelo Tarifário'!$C$55*'Modelo Tarifário'!$E$42))</f>
        <v>6173.9853059852867</v>
      </c>
      <c r="M41" s="1340">
        <f>IF(((M8*'Modelo Tarifário'!$C$55*'Modelo Tarifário'!$E$42)*('Premissas Economias e Água'!N308))&gt;('Premissas Economias e Água'!N168*12*'Modelo Tarifário'!$D$29*'Modelo Tarifário'!$C$55*'Modelo Tarifário'!$E$42),(M8*'Modelo Tarifário'!$C$55*'Modelo Tarifário'!$E$42)*('Premissas Economias e Água'!N308),('Premissas Economias e Água'!N168*12*'Modelo Tarifário'!$D$29*'Modelo Tarifário'!$C$55*'Modelo Tarifário'!$E$42))</f>
        <v>6172.3011856072226</v>
      </c>
      <c r="N41" s="1340">
        <f>IF(((N8*'Modelo Tarifário'!$C$55*'Modelo Tarifário'!$E$42)*('Premissas Economias e Água'!O308))&gt;('Premissas Economias e Água'!O168*12*'Modelo Tarifário'!$D$29*'Modelo Tarifário'!$C$55*'Modelo Tarifário'!$E$42),(N8*'Modelo Tarifário'!$C$55*'Modelo Tarifário'!$E$42)*('Premissas Economias e Água'!O308),('Premissas Economias e Água'!O168*12*'Modelo Tarifário'!$D$29*'Modelo Tarifário'!$C$55*'Modelo Tarifário'!$E$42))</f>
        <v>6170.6170652291576</v>
      </c>
      <c r="O41" s="1340">
        <f>IF(((O8*'Modelo Tarifário'!$C$55*'Modelo Tarifário'!$E$42)*('Premissas Economias e Água'!P308))&gt;('Premissas Economias e Água'!P168*12*'Modelo Tarifário'!$D$29*'Modelo Tarifário'!$C$55*'Modelo Tarifário'!$E$42),(O8*'Modelo Tarifário'!$C$55*'Modelo Tarifário'!$E$42)*('Premissas Economias e Água'!P308),('Premissas Economias e Água'!P168*12*'Modelo Tarifário'!$D$29*'Modelo Tarifário'!$C$55*'Modelo Tarifário'!$E$42))</f>
        <v>6165.5647040949634</v>
      </c>
      <c r="P41" s="1340">
        <f>IF(((P8*'Modelo Tarifário'!$C$55*'Modelo Tarifário'!$E$42)*('Premissas Economias e Água'!Q308))&gt;('Premissas Economias e Água'!Q168*12*'Modelo Tarifário'!$D$29*'Modelo Tarifário'!$C$55*'Modelo Tarifário'!$E$42),(P8*'Modelo Tarifário'!$C$55*'Modelo Tarifário'!$E$42)*('Premissas Economias e Água'!Q308),('Premissas Economias e Água'!Q168*12*'Modelo Tarifário'!$D$29*'Modelo Tarifário'!$C$55*'Modelo Tarifário'!$E$42))</f>
        <v>6152.0917410704451</v>
      </c>
      <c r="Q41" s="1340">
        <f>IF(((Q8*'Modelo Tarifário'!$C$55*'Modelo Tarifário'!$E$42)*('Premissas Economias e Água'!R308))&gt;('Premissas Economias e Água'!R168*12*'Modelo Tarifário'!$D$29*'Modelo Tarifário'!$C$55*'Modelo Tarifário'!$E$42),(Q8*'Modelo Tarifário'!$C$55*'Modelo Tarifário'!$E$42)*('Premissas Economias e Água'!R308),('Premissas Economias e Água'!R168*12*'Modelo Tarifário'!$D$29*'Modelo Tarifário'!$C$55*'Modelo Tarifário'!$E$42))</f>
        <v>6138.6187780459277</v>
      </c>
      <c r="R41" s="1340">
        <f>IF(((R8*'Modelo Tarifário'!$C$55*'Modelo Tarifário'!$E$42)*('Premissas Economias e Água'!S308))&gt;('Premissas Economias e Água'!S168*12*'Modelo Tarifário'!$D$29*'Modelo Tarifário'!$C$55*'Modelo Tarifário'!$E$42),(R8*'Modelo Tarifário'!$C$55*'Modelo Tarifário'!$E$42)*('Premissas Economias e Água'!S308),('Premissas Economias e Água'!S168*12*'Modelo Tarifário'!$D$29*'Modelo Tarifário'!$C$55*'Modelo Tarifário'!$E$42))</f>
        <v>6125.1458150214085</v>
      </c>
      <c r="S41" s="1340">
        <f>IF(((S8*'Modelo Tarifário'!$C$55*'Modelo Tarifário'!$E$42)*('Premissas Economias e Água'!T308))&gt;('Premissas Economias e Água'!T168*12*'Modelo Tarifário'!$D$29*'Modelo Tarifário'!$C$55*'Modelo Tarifário'!$E$42),(S8*'Modelo Tarifário'!$C$55*'Modelo Tarifário'!$E$42)*('Premissas Economias e Água'!T308),('Premissas Economias e Água'!T168*12*'Modelo Tarifário'!$D$29*'Modelo Tarifário'!$C$55*'Modelo Tarifário'!$E$42))</f>
        <v>6111.6728519968919</v>
      </c>
      <c r="T41" s="1340">
        <f>IF(((T8*'Modelo Tarifário'!$C$55*'Modelo Tarifário'!$E$42)*('Premissas Economias e Água'!U308))&gt;('Premissas Economias e Água'!U168*12*'Modelo Tarifário'!$D$29*'Modelo Tarifário'!$C$55*'Modelo Tarifário'!$E$42),(T8*'Modelo Tarifário'!$C$55*'Modelo Tarifário'!$E$42)*('Premissas Economias e Água'!U308),('Premissas Economias e Água'!U168*12*'Modelo Tarifário'!$D$29*'Modelo Tarifário'!$C$55*'Modelo Tarifário'!$E$42))</f>
        <v>6099.8840093504377</v>
      </c>
      <c r="U41" s="1340">
        <f>IF(((U8*'Modelo Tarifário'!$C$55*'Modelo Tarifário'!$E$42)*('Premissas Economias e Água'!V308))&gt;('Premissas Economias e Água'!V168*12*'Modelo Tarifário'!$D$29*'Modelo Tarifário'!$C$55*'Modelo Tarifário'!$E$42),(U8*'Modelo Tarifário'!$C$55*'Modelo Tarifário'!$E$42)*('Premissas Economias e Água'!V308),('Premissas Economias e Água'!V168*12*'Modelo Tarifário'!$D$29*'Modelo Tarifário'!$C$55*'Modelo Tarifário'!$E$42))</f>
        <v>6079.6745648136612</v>
      </c>
      <c r="V41" s="1340">
        <f>IF(((V8*'Modelo Tarifário'!$C$55*'Modelo Tarifário'!$E$42)*('Premissas Economias e Água'!W308))&gt;('Premissas Economias e Água'!W168*12*'Modelo Tarifário'!$D$29*'Modelo Tarifário'!$C$55*'Modelo Tarifário'!$E$42),(V8*'Modelo Tarifário'!$C$55*'Modelo Tarifário'!$E$42)*('Premissas Economias e Água'!W308),('Premissas Economias e Água'!W168*12*'Modelo Tarifário'!$D$29*'Modelo Tarifário'!$C$55*'Modelo Tarifário'!$E$42))</f>
        <v>6059.4651202768846</v>
      </c>
      <c r="W41" s="1340">
        <f>IF(((W8*'Modelo Tarifário'!$C$55*'Modelo Tarifário'!$E$42)*('Premissas Economias e Água'!X308))&gt;('Premissas Economias e Água'!X168*12*'Modelo Tarifário'!$D$29*'Modelo Tarifário'!$C$55*'Modelo Tarifário'!$E$42),(W8*'Modelo Tarifário'!$C$55*'Modelo Tarifário'!$E$42)*('Premissas Economias e Água'!X308),('Premissas Economias e Água'!X168*12*'Modelo Tarifário'!$D$29*'Modelo Tarifário'!$C$55*'Modelo Tarifário'!$E$42))</f>
        <v>6039.255675740108</v>
      </c>
      <c r="X41" s="1340">
        <f>IF(((X8*'Modelo Tarifário'!$C$55*'Modelo Tarifário'!$E$42)*('Premissas Economias e Água'!Y308))&gt;('Premissas Economias e Água'!Y168*12*'Modelo Tarifário'!$D$29*'Modelo Tarifário'!$C$55*'Modelo Tarifário'!$E$42),(X8*'Modelo Tarifário'!$C$55*'Modelo Tarifário'!$E$42)*('Premissas Economias e Água'!Y308),('Premissas Economias e Água'!Y168*12*'Modelo Tarifário'!$D$29*'Modelo Tarifário'!$C$55*'Modelo Tarifário'!$E$42))</f>
        <v>6019.0462312033314</v>
      </c>
      <c r="Y41" s="1340">
        <f>IF(((Y8*'Modelo Tarifário'!$C$55*'Modelo Tarifário'!$E$42)*('Premissas Economias e Água'!Z308))&gt;('Premissas Economias e Água'!Z168*12*'Modelo Tarifário'!$D$29*'Modelo Tarifário'!$C$55*'Modelo Tarifário'!$E$42),(Y8*'Modelo Tarifário'!$C$55*'Modelo Tarifário'!$E$42)*('Premissas Economias e Água'!Z308),('Premissas Economias e Água'!Z168*12*'Modelo Tarifário'!$D$29*'Modelo Tarifário'!$C$55*'Modelo Tarifário'!$E$42))</f>
        <v>5998.8367866665549</v>
      </c>
      <c r="Z41" s="1340">
        <f>IF(((Z8*'Modelo Tarifário'!$C$55*'Modelo Tarifário'!$E$42)*('Premissas Economias e Água'!AA308))&gt;('Premissas Economias e Água'!AA168*12*'Modelo Tarifário'!$D$29*'Modelo Tarifário'!$C$55*'Modelo Tarifário'!$E$42),(Z8*'Modelo Tarifário'!$C$55*'Modelo Tarifário'!$E$42)*('Premissas Economias e Água'!AA308),('Premissas Economias e Água'!AA168*12*'Modelo Tarifário'!$D$29*'Modelo Tarifário'!$C$55*'Modelo Tarifário'!$E$42))</f>
        <v>5978.6273421297783</v>
      </c>
      <c r="AA41" s="1340">
        <f>IF(((AA8*'Modelo Tarifário'!$C$55*'Modelo Tarifário'!$E$42)*('Premissas Economias e Água'!AB308))&gt;('Premissas Economias e Água'!AB168*12*'Modelo Tarifário'!$D$29*'Modelo Tarifário'!$C$55*'Modelo Tarifário'!$E$42),(AA8*'Modelo Tarifário'!$C$55*'Modelo Tarifário'!$E$42)*('Premissas Economias e Água'!AB308),('Premissas Economias e Água'!AB168*12*'Modelo Tarifário'!$D$29*'Modelo Tarifário'!$C$55*'Modelo Tarifário'!$E$42))</f>
        <v>5958.4178975930008</v>
      </c>
      <c r="AB41" s="1340">
        <f>IF(((AB8*'Modelo Tarifário'!$C$55*'Modelo Tarifário'!$E$42)*('Premissas Economias e Água'!AC308))&gt;('Premissas Economias e Água'!AC168*12*'Modelo Tarifário'!$D$29*'Modelo Tarifário'!$C$55*'Modelo Tarifário'!$E$42),(AB8*'Modelo Tarifário'!$C$55*'Modelo Tarifário'!$E$42)*('Premissas Economias e Água'!AC308),('Premissas Economias e Água'!AC168*12*'Modelo Tarifário'!$D$29*'Modelo Tarifário'!$C$55*'Modelo Tarifário'!$E$42))</f>
        <v>5938.2084530562242</v>
      </c>
      <c r="AC41" s="1340">
        <f>IF(((AC8*'Modelo Tarifário'!$C$55*'Modelo Tarifário'!$E$42)*('Premissas Economias e Água'!AD308))&gt;('Premissas Economias e Água'!AD168*12*'Modelo Tarifário'!$D$29*'Modelo Tarifário'!$C$55*'Modelo Tarifário'!$E$42),(AC8*'Modelo Tarifário'!$C$55*'Modelo Tarifário'!$E$42)*('Premissas Economias e Água'!AD308),('Premissas Economias e Água'!AD168*12*'Modelo Tarifário'!$D$29*'Modelo Tarifário'!$C$55*'Modelo Tarifário'!$E$42))</f>
        <v>5917.9990085194477</v>
      </c>
      <c r="AD41" s="1340">
        <f>IF(((AD8*'Modelo Tarifário'!$C$55*'Modelo Tarifário'!$E$42)*('Premissas Economias e Água'!AE308))&gt;('Premissas Economias e Água'!AE168*12*'Modelo Tarifário'!$D$29*'Modelo Tarifário'!$C$55*'Modelo Tarifário'!$E$42),(AD8*'Modelo Tarifário'!$C$55*'Modelo Tarifário'!$E$42)*('Premissas Economias e Água'!AE308),('Premissas Economias e Água'!AE168*12*'Modelo Tarifário'!$D$29*'Modelo Tarifário'!$C$55*'Modelo Tarifário'!$E$42))</f>
        <v>5897.7895639826711</v>
      </c>
      <c r="AE41" s="1340">
        <f>IF(((AE8*'Modelo Tarifário'!$C$55*'Modelo Tarifário'!$E$42)*('Premissas Economias e Água'!AF308))&gt;('Premissas Economias e Água'!AF168*12*'Modelo Tarifário'!$D$29*'Modelo Tarifário'!$C$55*'Modelo Tarifário'!$E$42),(AE8*'Modelo Tarifário'!$C$55*'Modelo Tarifário'!$E$42)*('Premissas Economias e Água'!AF308),('Premissas Economias e Água'!AF168*12*'Modelo Tarifário'!$D$29*'Modelo Tarifário'!$C$55*'Modelo Tarifário'!$E$42))</f>
        <v>5877.5801194458945</v>
      </c>
      <c r="AF41" s="1340">
        <f>IF(((AF8*'Modelo Tarifário'!$C$55*'Modelo Tarifário'!$E$42)*('Premissas Economias e Água'!AG308))&gt;('Premissas Economias e Água'!AG168*12*'Modelo Tarifário'!$D$29*'Modelo Tarifário'!$C$55*'Modelo Tarifário'!$E$42),(AF8*'Modelo Tarifário'!$C$55*'Modelo Tarifário'!$E$42)*('Premissas Economias e Água'!AG308),('Premissas Economias e Água'!AG168*12*'Modelo Tarifário'!$D$29*'Modelo Tarifário'!$C$55*'Modelo Tarifário'!$E$42))</f>
        <v>5857.370674909118</v>
      </c>
      <c r="AG41" s="1340">
        <f>IF(((AG8*'Modelo Tarifário'!$C$55*'Modelo Tarifário'!$E$42)*('Premissas Economias e Água'!AH308))&gt;('Premissas Economias e Água'!AH168*12*'Modelo Tarifário'!$D$29*'Modelo Tarifário'!$C$55*'Modelo Tarifário'!$E$42),(AG8*'Modelo Tarifário'!$C$55*'Modelo Tarifário'!$E$42)*('Premissas Economias e Água'!AH308),('Premissas Economias e Água'!AH168*12*'Modelo Tarifário'!$D$29*'Modelo Tarifário'!$C$55*'Modelo Tarifário'!$E$42))</f>
        <v>5837.1612303723414</v>
      </c>
      <c r="AH41" s="1340">
        <f>IF(((AH8*'Modelo Tarifário'!$C$55*'Modelo Tarifário'!$E$42)*('Premissas Economias e Água'!AI308))&gt;('Premissas Economias e Água'!AI168*12*'Modelo Tarifário'!$D$29*'Modelo Tarifário'!$C$55*'Modelo Tarifário'!$E$42),(AH8*'Modelo Tarifário'!$C$55*'Modelo Tarifário'!$E$42)*('Premissas Economias e Água'!AI308),('Premissas Economias e Água'!AI168*12*'Modelo Tarifário'!$D$29*'Modelo Tarifário'!$C$55*'Modelo Tarifário'!$E$42))</f>
        <v>5816.9517858355648</v>
      </c>
    </row>
    <row r="42" spans="2:34" s="79" customFormat="1" ht="12" hidden="1" outlineLevel="1" x14ac:dyDescent="0.3">
      <c r="B42" s="1339"/>
      <c r="C42" s="1335" t="s">
        <v>12</v>
      </c>
      <c r="D42" s="1335"/>
      <c r="E42" s="1340">
        <f>IF(((E8*'Modelo Tarifário'!$C$55*'Modelo Tarifário'!$E$43)*('Premissas Economias e Água'!F309))&gt;('Premissas Economias e Água'!F169*12*'Modelo Tarifário'!$D$29*'Modelo Tarifário'!$C$55*'Modelo Tarifário'!$E$43),(E8*'Modelo Tarifário'!$C$55*'Modelo Tarifário'!$E$43)*('Premissas Economias e Água'!F309),('Premissas Economias e Água'!F169*12*'Modelo Tarifário'!$D$29*'Modelo Tarifário'!$C$55*'Modelo Tarifário'!$E$43))</f>
        <v>77205.287710504417</v>
      </c>
      <c r="F42" s="1340">
        <f>IF(((F8*'Modelo Tarifário'!$C$55*'Modelo Tarifário'!$E$43)*('Premissas Economias e Água'!G309))&gt;('Premissas Economias e Água'!G169*12*'Modelo Tarifário'!$D$29*'Modelo Tarifário'!$C$55*'Modelo Tarifário'!$E$43),(F8*'Modelo Tarifário'!$C$55*'Modelo Tarifário'!$E$43)*('Premissas Economias e Água'!G309),('Premissas Economias e Água'!G169*12*'Modelo Tarifário'!$D$29*'Modelo Tarifário'!$C$55*'Modelo Tarifário'!$E$43))</f>
        <v>77289.9890683876</v>
      </c>
      <c r="G42" s="1340">
        <f>IF(((G8*'Modelo Tarifário'!$C$55*'Modelo Tarifário'!$E$43)*('Premissas Economias e Água'!H309))&gt;('Premissas Economias e Água'!H169*12*'Modelo Tarifário'!$D$29*'Modelo Tarifário'!$C$55*'Modelo Tarifário'!$E$43),(G8*'Modelo Tarifário'!$C$55*'Modelo Tarifário'!$E$43)*('Premissas Economias e Água'!H309),('Premissas Economias e Água'!H169*12*'Modelo Tarifário'!$D$29*'Modelo Tarifário'!$C$55*'Modelo Tarifário'!$E$43))</f>
        <v>77374.690426270754</v>
      </c>
      <c r="H42" s="1340">
        <f>IF(((H8*'Modelo Tarifário'!$C$55*'Modelo Tarifário'!$E$43)*('Premissas Economias e Água'!I309))&gt;('Premissas Economias e Água'!I169*12*'Modelo Tarifário'!$D$29*'Modelo Tarifário'!$C$55*'Modelo Tarifário'!$E$43),(H8*'Modelo Tarifário'!$C$55*'Modelo Tarifário'!$E$43)*('Premissas Economias e Água'!I309),('Premissas Economias e Água'!I169*12*'Modelo Tarifário'!$D$29*'Modelo Tarifário'!$C$55*'Modelo Tarifário'!$E$43))</f>
        <v>77459.391784153922</v>
      </c>
      <c r="I42" s="1340">
        <f>IF(((I8*'Modelo Tarifário'!$C$55*'Modelo Tarifário'!$E$43)*('Premissas Economias e Água'!J309))&gt;('Premissas Economias e Água'!J169*12*'Modelo Tarifário'!$D$29*'Modelo Tarifário'!$C$55*'Modelo Tarifário'!$E$43),(I8*'Modelo Tarifário'!$C$55*'Modelo Tarifário'!$E$43)*('Premissas Economias e Água'!J309),('Premissas Economias e Água'!J169*12*'Modelo Tarifário'!$D$29*'Modelo Tarifário'!$C$55*'Modelo Tarifário'!$E$43))</f>
        <v>77544.093142037091</v>
      </c>
      <c r="J42" s="1340">
        <f>IF(((J8*'Modelo Tarifário'!$C$55*'Modelo Tarifário'!$E$43)*('Premissas Economias e Água'!K309))&gt;('Premissas Economias e Água'!K169*12*'Modelo Tarifário'!$D$29*'Modelo Tarifário'!$C$55*'Modelo Tarifário'!$E$43),(J8*'Modelo Tarifário'!$C$55*'Modelo Tarifário'!$E$43)*('Premissas Economias e Água'!K309),('Premissas Economias e Água'!K169*12*'Modelo Tarifário'!$D$29*'Modelo Tarifário'!$C$55*'Modelo Tarifário'!$E$43))</f>
        <v>77671.145178861843</v>
      </c>
      <c r="K42" s="1340">
        <f>IF(((K8*'Modelo Tarifário'!$C$55*'Modelo Tarifário'!$E$43)*('Premissas Economias e Água'!L309))&gt;('Premissas Economias e Água'!L169*12*'Modelo Tarifário'!$D$29*'Modelo Tarifário'!$C$55*'Modelo Tarifário'!$E$43),(K8*'Modelo Tarifário'!$C$55*'Modelo Tarifário'!$E$43)*('Premissas Economias e Água'!L309),('Premissas Economias e Água'!L169*12*'Modelo Tarifário'!$D$29*'Modelo Tarifário'!$C$55*'Modelo Tarifário'!$E$43))</f>
        <v>77649.969839391037</v>
      </c>
      <c r="L42" s="1340">
        <f>IF(((L8*'Modelo Tarifário'!$C$55*'Modelo Tarifário'!$E$43)*('Premissas Economias e Água'!M309))&gt;('Premissas Economias e Água'!M169*12*'Modelo Tarifário'!$D$29*'Modelo Tarifário'!$C$55*'Modelo Tarifário'!$E$43),(L8*'Modelo Tarifário'!$C$55*'Modelo Tarifário'!$E$43)*('Premissas Economias e Água'!M309),('Premissas Economias e Água'!M169*12*'Modelo Tarifário'!$D$29*'Modelo Tarifário'!$C$55*'Modelo Tarifário'!$E$43))</f>
        <v>77628.794499920245</v>
      </c>
      <c r="M42" s="1340">
        <f>IF(((M8*'Modelo Tarifário'!$C$55*'Modelo Tarifário'!$E$43)*('Premissas Economias e Água'!N309))&gt;('Premissas Economias e Água'!N169*12*'Modelo Tarifário'!$D$29*'Modelo Tarifário'!$C$55*'Modelo Tarifário'!$E$43),(M8*'Modelo Tarifário'!$C$55*'Modelo Tarifário'!$E$43)*('Premissas Economias e Água'!N309),('Premissas Economias e Água'!N169*12*'Modelo Tarifário'!$D$29*'Modelo Tarifário'!$C$55*'Modelo Tarifário'!$E$43))</f>
        <v>77607.619160449467</v>
      </c>
      <c r="N42" s="1340">
        <f>IF(((N8*'Modelo Tarifário'!$C$55*'Modelo Tarifário'!$E$43)*('Premissas Economias e Água'!O309))&gt;('Premissas Economias e Água'!O169*12*'Modelo Tarifário'!$D$29*'Modelo Tarifário'!$C$55*'Modelo Tarifário'!$E$43),(N8*'Modelo Tarifário'!$C$55*'Modelo Tarifário'!$E$43)*('Premissas Economias e Água'!O309),('Premissas Economias e Água'!O169*12*'Modelo Tarifário'!$D$29*'Modelo Tarifário'!$C$55*'Modelo Tarifário'!$E$43))</f>
        <v>77586.44382097866</v>
      </c>
      <c r="O42" s="1340">
        <f>IF(((O8*'Modelo Tarifário'!$C$55*'Modelo Tarifário'!$E$43)*('Premissas Economias e Água'!P309))&gt;('Premissas Economias e Água'!P169*12*'Modelo Tarifário'!$D$29*'Modelo Tarifário'!$C$55*'Modelo Tarifário'!$E$43),(O8*'Modelo Tarifário'!$C$55*'Modelo Tarifário'!$E$43)*('Premissas Economias e Água'!P309),('Premissas Economias e Água'!P169*12*'Modelo Tarifário'!$D$29*'Modelo Tarifário'!$C$55*'Modelo Tarifário'!$E$43))</f>
        <v>77522.917802566284</v>
      </c>
      <c r="P42" s="1340">
        <f>IF(((P8*'Modelo Tarifário'!$C$55*'Modelo Tarifário'!$E$43)*('Premissas Economias e Água'!Q309))&gt;('Premissas Economias e Água'!Q169*12*'Modelo Tarifário'!$D$29*'Modelo Tarifário'!$C$55*'Modelo Tarifário'!$E$43),(P8*'Modelo Tarifário'!$C$55*'Modelo Tarifário'!$E$43)*('Premissas Economias e Água'!Q309),('Premissas Economias e Água'!Q169*12*'Modelo Tarifário'!$D$29*'Modelo Tarifário'!$C$55*'Modelo Tarifário'!$E$43))</f>
        <v>77353.515086799962</v>
      </c>
      <c r="Q42" s="1340">
        <f>IF(((Q8*'Modelo Tarifário'!$C$55*'Modelo Tarifário'!$E$43)*('Premissas Economias e Água'!R309))&gt;('Premissas Economias e Água'!R169*12*'Modelo Tarifário'!$D$29*'Modelo Tarifário'!$C$55*'Modelo Tarifário'!$E$43),(Q8*'Modelo Tarifário'!$C$55*'Modelo Tarifário'!$E$43)*('Premissas Economias e Água'!R309),('Premissas Economias e Água'!R169*12*'Modelo Tarifário'!$D$29*'Modelo Tarifário'!$C$55*'Modelo Tarifário'!$E$43))</f>
        <v>77184.112371033625</v>
      </c>
      <c r="R42" s="1340">
        <f>IF(((R8*'Modelo Tarifário'!$C$55*'Modelo Tarifário'!$E$43)*('Premissas Economias e Água'!S309))&gt;('Premissas Economias e Água'!S169*12*'Modelo Tarifário'!$D$29*'Modelo Tarifário'!$C$55*'Modelo Tarifário'!$E$43),(R8*'Modelo Tarifário'!$C$55*'Modelo Tarifário'!$E$43)*('Premissas Economias e Água'!S309),('Premissas Economias e Água'!S169*12*'Modelo Tarifário'!$D$29*'Modelo Tarifário'!$C$55*'Modelo Tarifário'!$E$43))</f>
        <v>77014.709655267317</v>
      </c>
      <c r="S42" s="1340">
        <f>IF(((S8*'Modelo Tarifário'!$C$55*'Modelo Tarifário'!$E$43)*('Premissas Economias e Água'!T309))&gt;('Premissas Economias e Água'!T169*12*'Modelo Tarifário'!$D$29*'Modelo Tarifário'!$C$55*'Modelo Tarifário'!$E$43),(S8*'Modelo Tarifário'!$C$55*'Modelo Tarifário'!$E$43)*('Premissas Economias e Água'!T309),('Premissas Economias e Água'!T169*12*'Modelo Tarifário'!$D$29*'Modelo Tarifário'!$C$55*'Modelo Tarifário'!$E$43))</f>
        <v>76845.306939500981</v>
      </c>
      <c r="T42" s="1340">
        <f>IF(((T8*'Modelo Tarifário'!$C$55*'Modelo Tarifário'!$E$43)*('Premissas Economias e Água'!U309))&gt;('Premissas Economias e Água'!U169*12*'Modelo Tarifário'!$D$29*'Modelo Tarifário'!$C$55*'Modelo Tarifário'!$E$43),(T8*'Modelo Tarifário'!$C$55*'Modelo Tarifário'!$E$43)*('Premissas Economias e Água'!U309),('Premissas Economias e Água'!U169*12*'Modelo Tarifário'!$D$29*'Modelo Tarifário'!$C$55*'Modelo Tarifário'!$E$43))</f>
        <v>76697.079563205436</v>
      </c>
      <c r="U42" s="1340">
        <f>IF(((U8*'Modelo Tarifário'!$C$55*'Modelo Tarifário'!$E$43)*('Premissas Economias e Água'!V309))&gt;('Premissas Economias e Água'!V169*12*'Modelo Tarifário'!$D$29*'Modelo Tarifário'!$C$55*'Modelo Tarifário'!$E$43),(U8*'Modelo Tarifário'!$C$55*'Modelo Tarifário'!$E$43)*('Premissas Economias e Água'!V309),('Premissas Economias e Água'!V169*12*'Modelo Tarifário'!$D$29*'Modelo Tarifário'!$C$55*'Modelo Tarifário'!$E$43))</f>
        <v>76442.97548955596</v>
      </c>
      <c r="V42" s="1340">
        <f>IF(((V8*'Modelo Tarifário'!$C$55*'Modelo Tarifário'!$E$43)*('Premissas Economias e Água'!W309))&gt;('Premissas Economias e Água'!W169*12*'Modelo Tarifário'!$D$29*'Modelo Tarifário'!$C$55*'Modelo Tarifário'!$E$43),(V8*'Modelo Tarifário'!$C$55*'Modelo Tarifário'!$E$43)*('Premissas Economias e Água'!W309),('Premissas Economias e Água'!W169*12*'Modelo Tarifário'!$D$29*'Modelo Tarifário'!$C$55*'Modelo Tarifário'!$E$43))</f>
        <v>76188.871415906455</v>
      </c>
      <c r="W42" s="1340">
        <f>IF(((W8*'Modelo Tarifário'!$C$55*'Modelo Tarifário'!$E$43)*('Premissas Economias e Água'!X309))&gt;('Premissas Economias e Água'!X169*12*'Modelo Tarifário'!$D$29*'Modelo Tarifário'!$C$55*'Modelo Tarifário'!$E$43),(W8*'Modelo Tarifário'!$C$55*'Modelo Tarifário'!$E$43)*('Premissas Economias e Água'!X309),('Premissas Economias e Água'!X169*12*'Modelo Tarifário'!$D$29*'Modelo Tarifário'!$C$55*'Modelo Tarifário'!$E$43))</f>
        <v>75934.76734225695</v>
      </c>
      <c r="X42" s="1340">
        <f>IF(((X8*'Modelo Tarifário'!$C$55*'Modelo Tarifário'!$E$43)*('Premissas Economias e Água'!Y309))&gt;('Premissas Economias e Água'!Y169*12*'Modelo Tarifário'!$D$29*'Modelo Tarifário'!$C$55*'Modelo Tarifário'!$E$43),(X8*'Modelo Tarifário'!$C$55*'Modelo Tarifário'!$E$43)*('Premissas Economias e Água'!Y309),('Premissas Economias e Água'!Y169*12*'Modelo Tarifário'!$D$29*'Modelo Tarifário'!$C$55*'Modelo Tarifário'!$E$43))</f>
        <v>75680.663268607459</v>
      </c>
      <c r="Y42" s="1340">
        <f>IF(((Y8*'Modelo Tarifário'!$C$55*'Modelo Tarifário'!$E$43)*('Premissas Economias e Água'!Z309))&gt;('Premissas Economias e Água'!Z169*12*'Modelo Tarifário'!$D$29*'Modelo Tarifário'!$C$55*'Modelo Tarifário'!$E$43),(Y8*'Modelo Tarifário'!$C$55*'Modelo Tarifário'!$E$43)*('Premissas Economias e Água'!Z309),('Premissas Economias e Água'!Z169*12*'Modelo Tarifário'!$D$29*'Modelo Tarifário'!$C$55*'Modelo Tarifário'!$E$43))</f>
        <v>75426.559194957983</v>
      </c>
      <c r="Z42" s="1340">
        <f>IF(((Z8*'Modelo Tarifário'!$C$55*'Modelo Tarifário'!$E$43)*('Premissas Economias e Água'!AA309))&gt;('Premissas Economias e Água'!AA169*12*'Modelo Tarifário'!$D$29*'Modelo Tarifário'!$C$55*'Modelo Tarifário'!$E$43),(Z8*'Modelo Tarifário'!$C$55*'Modelo Tarifário'!$E$43)*('Premissas Economias e Água'!AA309),('Premissas Economias e Água'!AA169*12*'Modelo Tarifário'!$D$29*'Modelo Tarifário'!$C$55*'Modelo Tarifário'!$E$43))</f>
        <v>75172.455121308478</v>
      </c>
      <c r="AA42" s="1340">
        <f>IF(((AA8*'Modelo Tarifário'!$C$55*'Modelo Tarifário'!$E$43)*('Premissas Economias e Água'!AB309))&gt;('Premissas Economias e Água'!AB169*12*'Modelo Tarifário'!$D$29*'Modelo Tarifário'!$C$55*'Modelo Tarifário'!$E$43),(AA8*'Modelo Tarifário'!$C$55*'Modelo Tarifário'!$E$43)*('Premissas Economias e Água'!AB309),('Premissas Economias e Água'!AB169*12*'Modelo Tarifário'!$D$29*'Modelo Tarifário'!$C$55*'Modelo Tarifário'!$E$43))</f>
        <v>74918.351047658973</v>
      </c>
      <c r="AB42" s="1340">
        <f>IF(((AB8*'Modelo Tarifário'!$C$55*'Modelo Tarifário'!$E$43)*('Premissas Economias e Água'!AC309))&gt;('Premissas Economias e Água'!AC169*12*'Modelo Tarifário'!$D$29*'Modelo Tarifário'!$C$55*'Modelo Tarifário'!$E$43),(AB8*'Modelo Tarifário'!$C$55*'Modelo Tarifário'!$E$43)*('Premissas Economias e Água'!AC309),('Premissas Economias e Água'!AC169*12*'Modelo Tarifário'!$D$29*'Modelo Tarifário'!$C$55*'Modelo Tarifário'!$E$43))</f>
        <v>74664.246974009482</v>
      </c>
      <c r="AC42" s="1340">
        <f>IF(((AC8*'Modelo Tarifário'!$C$55*'Modelo Tarifário'!$E$43)*('Premissas Economias e Água'!AD309))&gt;('Premissas Economias e Água'!AD169*12*'Modelo Tarifário'!$D$29*'Modelo Tarifário'!$C$55*'Modelo Tarifário'!$E$43),(AC8*'Modelo Tarifário'!$C$55*'Modelo Tarifário'!$E$43)*('Premissas Economias e Água'!AD309),('Premissas Economias e Água'!AD169*12*'Modelo Tarifário'!$D$29*'Modelo Tarifário'!$C$55*'Modelo Tarifário'!$E$43))</f>
        <v>74410.142900359991</v>
      </c>
      <c r="AD42" s="1340">
        <f>IF(((AD8*'Modelo Tarifário'!$C$55*'Modelo Tarifário'!$E$43)*('Premissas Economias e Água'!AE309))&gt;('Premissas Economias e Água'!AE169*12*'Modelo Tarifário'!$D$29*'Modelo Tarifário'!$C$55*'Modelo Tarifário'!$E$43),(AD8*'Modelo Tarifário'!$C$55*'Modelo Tarifário'!$E$43)*('Premissas Economias e Água'!AE309),('Premissas Economias e Água'!AE169*12*'Modelo Tarifário'!$D$29*'Modelo Tarifário'!$C$55*'Modelo Tarifário'!$E$43))</f>
        <v>74156.038826710515</v>
      </c>
      <c r="AE42" s="1340">
        <f>IF(((AE8*'Modelo Tarifário'!$C$55*'Modelo Tarifário'!$E$43)*('Premissas Economias e Água'!AF309))&gt;('Premissas Economias e Água'!AF169*12*'Modelo Tarifário'!$D$29*'Modelo Tarifário'!$C$55*'Modelo Tarifário'!$E$43),(AE8*'Modelo Tarifário'!$C$55*'Modelo Tarifário'!$E$43)*('Premissas Economias e Água'!AF309),('Premissas Economias e Água'!AF169*12*'Modelo Tarifário'!$D$29*'Modelo Tarifário'!$C$55*'Modelo Tarifário'!$E$43))</f>
        <v>73901.93475306101</v>
      </c>
      <c r="AF42" s="1340">
        <f>IF(((AF8*'Modelo Tarifário'!$C$55*'Modelo Tarifário'!$E$43)*('Premissas Economias e Água'!AG309))&gt;('Premissas Economias e Água'!AG169*12*'Modelo Tarifário'!$D$29*'Modelo Tarifário'!$C$55*'Modelo Tarifário'!$E$43),(AF8*'Modelo Tarifário'!$C$55*'Modelo Tarifário'!$E$43)*('Premissas Economias e Água'!AG309),('Premissas Economias e Água'!AG169*12*'Modelo Tarifário'!$D$29*'Modelo Tarifário'!$C$55*'Modelo Tarifário'!$E$43))</f>
        <v>73647.830679411505</v>
      </c>
      <c r="AG42" s="1340">
        <f>IF(((AG8*'Modelo Tarifário'!$C$55*'Modelo Tarifário'!$E$43)*('Premissas Economias e Água'!AH309))&gt;('Premissas Economias e Água'!AH169*12*'Modelo Tarifário'!$D$29*'Modelo Tarifário'!$C$55*'Modelo Tarifário'!$E$43),(AG8*'Modelo Tarifário'!$C$55*'Modelo Tarifário'!$E$43)*('Premissas Economias e Água'!AH309),('Premissas Economias e Água'!AH169*12*'Modelo Tarifário'!$D$29*'Modelo Tarifário'!$C$55*'Modelo Tarifário'!$E$43))</f>
        <v>73393.726605762015</v>
      </c>
      <c r="AH42" s="1340">
        <f>IF(((AH8*'Modelo Tarifário'!$C$55*'Modelo Tarifário'!$E$43)*('Premissas Economias e Água'!AI309))&gt;('Premissas Economias e Água'!AI169*12*'Modelo Tarifário'!$D$29*'Modelo Tarifário'!$C$55*'Modelo Tarifário'!$E$43),(AH8*'Modelo Tarifário'!$C$55*'Modelo Tarifário'!$E$43)*('Premissas Economias e Água'!AI309),('Premissas Economias e Água'!AI169*12*'Modelo Tarifário'!$D$29*'Modelo Tarifário'!$C$55*'Modelo Tarifário'!$E$43))</f>
        <v>73139.622532112538</v>
      </c>
    </row>
    <row r="43" spans="2:34" s="79" customFormat="1" ht="12" hidden="1" outlineLevel="1" x14ac:dyDescent="0.3">
      <c r="B43" s="1339"/>
      <c r="C43" s="1335" t="s">
        <v>13</v>
      </c>
      <c r="D43" s="1335"/>
      <c r="E43" s="1340">
        <f>IF(((E8*'Modelo Tarifário'!$C$55*'Modelo Tarifário'!$E$44)*('Premissas Economias e Água'!F310))&gt;('Premissas Economias e Água'!F170*12*'Modelo Tarifário'!$D$29*'Modelo Tarifário'!$C$55*'Modelo Tarifário'!$E$44),(E8*'Modelo Tarifário'!$C$55*'Modelo Tarifário'!$E$44)*('Premissas Economias e Água'!F310),('Premissas Economias e Água'!F170*12*'Modelo Tarifário'!$D$29*'Modelo Tarifário'!$C$55*'Modelo Tarifário'!$E$44))</f>
        <v>4616.649676886118</v>
      </c>
      <c r="F43" s="1340">
        <f>IF(((F8*'Modelo Tarifário'!$C$55*'Modelo Tarifário'!$E$44)*('Premissas Economias e Água'!G310))&gt;('Premissas Economias e Água'!G170*12*'Modelo Tarifário'!$D$29*'Modelo Tarifário'!$C$55*'Modelo Tarifário'!$E$44),(F8*'Modelo Tarifário'!$C$55*'Modelo Tarifário'!$E$44)*('Premissas Economias e Água'!G310),('Premissas Economias e Água'!G170*12*'Modelo Tarifário'!$D$29*'Modelo Tarifário'!$C$55*'Modelo Tarifário'!$E$44))</f>
        <v>4621.7145695650934</v>
      </c>
      <c r="G43" s="1340">
        <f>IF(((G8*'Modelo Tarifário'!$C$55*'Modelo Tarifário'!$E$44)*('Premissas Economias e Água'!H310))&gt;('Premissas Economias e Água'!H170*12*'Modelo Tarifário'!$D$29*'Modelo Tarifário'!$C$55*'Modelo Tarifário'!$E$44),(G8*'Modelo Tarifário'!$C$55*'Modelo Tarifário'!$E$44)*('Premissas Economias e Água'!H310),('Premissas Economias e Água'!H170*12*'Modelo Tarifário'!$D$29*'Modelo Tarifário'!$C$55*'Modelo Tarifário'!$E$44))</f>
        <v>4626.7794622440688</v>
      </c>
      <c r="H43" s="1340">
        <f>IF(((H8*'Modelo Tarifário'!$C$55*'Modelo Tarifário'!$E$44)*('Premissas Economias e Água'!I310))&gt;('Premissas Economias e Água'!I170*12*'Modelo Tarifário'!$D$29*'Modelo Tarifário'!$C$55*'Modelo Tarifário'!$E$44),(H8*'Modelo Tarifário'!$C$55*'Modelo Tarifário'!$E$44)*('Premissas Economias e Água'!I310),('Premissas Economias e Água'!I170*12*'Modelo Tarifário'!$D$29*'Modelo Tarifário'!$C$55*'Modelo Tarifário'!$E$44))</f>
        <v>4631.8443549230442</v>
      </c>
      <c r="I43" s="1340">
        <f>IF(((I8*'Modelo Tarifário'!$C$55*'Modelo Tarifário'!$E$44)*('Premissas Economias e Água'!J310))&gt;('Premissas Economias e Água'!J170*12*'Modelo Tarifário'!$D$29*'Modelo Tarifário'!$C$55*'Modelo Tarifário'!$E$44),(I8*'Modelo Tarifário'!$C$55*'Modelo Tarifário'!$E$44)*('Premissas Economias e Água'!J310),('Premissas Economias e Água'!J170*12*'Modelo Tarifário'!$D$29*'Modelo Tarifário'!$C$55*'Modelo Tarifário'!$E$44))</f>
        <v>4636.9092476020196</v>
      </c>
      <c r="J43" s="1340">
        <f>IF(((J8*'Modelo Tarifário'!$C$55*'Modelo Tarifário'!$E$44)*('Premissas Economias e Água'!K310))&gt;('Premissas Economias e Água'!K170*12*'Modelo Tarifário'!$D$29*'Modelo Tarifário'!$C$55*'Modelo Tarifário'!$E$44),(J8*'Modelo Tarifário'!$C$55*'Modelo Tarifário'!$E$44)*('Premissas Economias e Água'!K310),('Premissas Economias e Água'!K170*12*'Modelo Tarifário'!$D$29*'Modelo Tarifário'!$C$55*'Modelo Tarifário'!$E$44))</f>
        <v>4644.5065866204823</v>
      </c>
      <c r="K43" s="1340">
        <f>IF(((K8*'Modelo Tarifário'!$C$55*'Modelo Tarifário'!$E$44)*('Premissas Economias e Água'!L310))&gt;('Premissas Economias e Água'!L170*12*'Modelo Tarifário'!$D$29*'Modelo Tarifário'!$C$55*'Modelo Tarifário'!$E$44),(K8*'Modelo Tarifário'!$C$55*'Modelo Tarifário'!$E$44)*('Premissas Economias e Água'!L310),('Premissas Economias e Água'!L170*12*'Modelo Tarifário'!$D$29*'Modelo Tarifário'!$C$55*'Modelo Tarifário'!$E$44))</f>
        <v>4643.2403634507382</v>
      </c>
      <c r="L43" s="1340">
        <f>IF(((L8*'Modelo Tarifário'!$C$55*'Modelo Tarifário'!$E$44)*('Premissas Economias e Água'!M310))&gt;('Premissas Economias e Água'!M170*12*'Modelo Tarifário'!$D$29*'Modelo Tarifário'!$C$55*'Modelo Tarifário'!$E$44),(L8*'Modelo Tarifário'!$C$55*'Modelo Tarifário'!$E$44)*('Premissas Economias e Água'!M310),('Premissas Economias e Água'!M170*12*'Modelo Tarifário'!$D$29*'Modelo Tarifário'!$C$55*'Modelo Tarifário'!$E$44))</f>
        <v>4641.9741402809941</v>
      </c>
      <c r="M43" s="1340">
        <f>IF(((M8*'Modelo Tarifário'!$C$55*'Modelo Tarifário'!$E$44)*('Premissas Economias e Água'!N310))&gt;('Premissas Economias e Água'!N170*12*'Modelo Tarifário'!$D$29*'Modelo Tarifário'!$C$55*'Modelo Tarifário'!$E$44),(M8*'Modelo Tarifário'!$C$55*'Modelo Tarifário'!$E$44)*('Premissas Economias e Água'!N310),('Premissas Economias e Água'!N170*12*'Modelo Tarifário'!$D$29*'Modelo Tarifário'!$C$55*'Modelo Tarifário'!$E$44))</f>
        <v>4640.7079171112518</v>
      </c>
      <c r="N43" s="1340">
        <f>IF(((N8*'Modelo Tarifário'!$C$55*'Modelo Tarifário'!$E$44)*('Premissas Economias e Água'!O310))&gt;('Premissas Economias e Água'!O170*12*'Modelo Tarifário'!$D$29*'Modelo Tarifário'!$C$55*'Modelo Tarifário'!$E$44),(N8*'Modelo Tarifário'!$C$55*'Modelo Tarifário'!$E$44)*('Premissas Economias e Água'!O310),('Premissas Economias e Água'!O170*12*'Modelo Tarifário'!$D$29*'Modelo Tarifário'!$C$55*'Modelo Tarifário'!$E$44))</f>
        <v>4639.4416939415078</v>
      </c>
      <c r="O43" s="1340">
        <f>IF(((O8*'Modelo Tarifário'!$C$55*'Modelo Tarifário'!$E$44)*('Premissas Economias e Água'!P310))&gt;('Premissas Economias e Água'!P170*12*'Modelo Tarifário'!$D$29*'Modelo Tarifário'!$C$55*'Modelo Tarifário'!$E$44),(O8*'Modelo Tarifário'!$C$55*'Modelo Tarifário'!$E$44)*('Premissas Economias e Água'!P310),('Premissas Economias e Água'!P170*12*'Modelo Tarifário'!$D$29*'Modelo Tarifário'!$C$55*'Modelo Tarifário'!$E$44))</f>
        <v>4635.6430244322755</v>
      </c>
      <c r="P43" s="1340">
        <f>IF(((P8*'Modelo Tarifário'!$C$55*'Modelo Tarifário'!$E$44)*('Premissas Economias e Água'!Q310))&gt;('Premissas Economias e Água'!Q170*12*'Modelo Tarifário'!$D$29*'Modelo Tarifário'!$C$55*'Modelo Tarifário'!$E$44),(P8*'Modelo Tarifário'!$C$55*'Modelo Tarifário'!$E$44)*('Premissas Economias e Água'!Q310),('Premissas Economias e Água'!Q170*12*'Modelo Tarifário'!$D$29*'Modelo Tarifário'!$C$55*'Modelo Tarifário'!$E$44))</f>
        <v>4625.5132390743247</v>
      </c>
      <c r="Q43" s="1340">
        <f>IF(((Q8*'Modelo Tarifário'!$C$55*'Modelo Tarifário'!$E$44)*('Premissas Economias e Água'!R310))&gt;('Premissas Economias e Água'!R170*12*'Modelo Tarifário'!$D$29*'Modelo Tarifário'!$C$55*'Modelo Tarifário'!$E$44),(Q8*'Modelo Tarifário'!$C$55*'Modelo Tarifário'!$E$44)*('Premissas Economias e Água'!R310),('Premissas Economias e Água'!R170*12*'Modelo Tarifário'!$D$29*'Modelo Tarifário'!$C$55*'Modelo Tarifário'!$E$44))</f>
        <v>4615.3834537163739</v>
      </c>
      <c r="R43" s="1340">
        <f>IF(((R8*'Modelo Tarifário'!$C$55*'Modelo Tarifário'!$E$44)*('Premissas Economias e Água'!S310))&gt;('Premissas Economias e Água'!S170*12*'Modelo Tarifário'!$D$29*'Modelo Tarifário'!$C$55*'Modelo Tarifário'!$E$44),(R8*'Modelo Tarifário'!$C$55*'Modelo Tarifário'!$E$44)*('Premissas Economias e Água'!S310),('Premissas Economias e Água'!S170*12*'Modelo Tarifário'!$D$29*'Modelo Tarifário'!$C$55*'Modelo Tarifário'!$E$44))</f>
        <v>4605.2536683584231</v>
      </c>
      <c r="S43" s="1340">
        <f>IF(((S8*'Modelo Tarifário'!$C$55*'Modelo Tarifário'!$E$44)*('Premissas Economias e Água'!T310))&gt;('Premissas Economias e Água'!T170*12*'Modelo Tarifário'!$D$29*'Modelo Tarifário'!$C$55*'Modelo Tarifário'!$E$44),(S8*'Modelo Tarifário'!$C$55*'Modelo Tarifário'!$E$44)*('Premissas Economias e Água'!T310),('Premissas Economias e Água'!T170*12*'Modelo Tarifário'!$D$29*'Modelo Tarifário'!$C$55*'Modelo Tarifário'!$E$44))</f>
        <v>4595.1238830004722</v>
      </c>
      <c r="T43" s="1340">
        <f>IF(((T8*'Modelo Tarifário'!$C$55*'Modelo Tarifário'!$E$44)*('Premissas Economias e Água'!U310))&gt;('Premissas Economias e Água'!U170*12*'Modelo Tarifário'!$D$29*'Modelo Tarifário'!$C$55*'Modelo Tarifário'!$E$44),(T8*'Modelo Tarifário'!$C$55*'Modelo Tarifário'!$E$44)*('Premissas Economias e Água'!U310),('Premissas Economias e Água'!U170*12*'Modelo Tarifário'!$D$29*'Modelo Tarifário'!$C$55*'Modelo Tarifário'!$E$44))</f>
        <v>4586.2603208122655</v>
      </c>
      <c r="U43" s="1340">
        <f>IF(((U8*'Modelo Tarifário'!$C$55*'Modelo Tarifário'!$E$44)*('Premissas Economias e Água'!V310))&gt;('Premissas Economias e Água'!V170*12*'Modelo Tarifário'!$D$29*'Modelo Tarifário'!$C$55*'Modelo Tarifário'!$E$44),(U8*'Modelo Tarifário'!$C$55*'Modelo Tarifário'!$E$44)*('Premissas Economias e Água'!V310),('Premissas Economias e Água'!V170*12*'Modelo Tarifário'!$D$29*'Modelo Tarifário'!$C$55*'Modelo Tarifário'!$E$44))</f>
        <v>4571.0656427753393</v>
      </c>
      <c r="V43" s="1340">
        <f>IF(((V8*'Modelo Tarifário'!$C$55*'Modelo Tarifário'!$E$44)*('Premissas Economias e Água'!W310))&gt;('Premissas Economias e Água'!W170*12*'Modelo Tarifário'!$D$29*'Modelo Tarifário'!$C$55*'Modelo Tarifário'!$E$44),(V8*'Modelo Tarifário'!$C$55*'Modelo Tarifário'!$E$44)*('Premissas Economias e Água'!W310),('Premissas Economias e Água'!W170*12*'Modelo Tarifário'!$D$29*'Modelo Tarifário'!$C$55*'Modelo Tarifário'!$E$44))</f>
        <v>4555.8709647384121</v>
      </c>
      <c r="W43" s="1340">
        <f>IF(((W8*'Modelo Tarifário'!$C$55*'Modelo Tarifário'!$E$44)*('Premissas Economias e Água'!X310))&gt;('Premissas Economias e Água'!X170*12*'Modelo Tarifário'!$D$29*'Modelo Tarifário'!$C$55*'Modelo Tarifário'!$E$44),(W8*'Modelo Tarifário'!$C$55*'Modelo Tarifário'!$E$44)*('Premissas Economias e Água'!X310),('Premissas Economias e Água'!X170*12*'Modelo Tarifário'!$D$29*'Modelo Tarifário'!$C$55*'Modelo Tarifário'!$E$44))</f>
        <v>4540.6762867014859</v>
      </c>
      <c r="X43" s="1340">
        <f>IF(((X8*'Modelo Tarifário'!$C$55*'Modelo Tarifário'!$E$44)*('Premissas Economias e Água'!Y310))&gt;('Premissas Economias e Água'!Y170*12*'Modelo Tarifário'!$D$29*'Modelo Tarifário'!$C$55*'Modelo Tarifário'!$E$44),(X8*'Modelo Tarifário'!$C$55*'Modelo Tarifário'!$E$44)*('Premissas Economias e Água'!Y310),('Premissas Economias e Água'!Y170*12*'Modelo Tarifário'!$D$29*'Modelo Tarifário'!$C$55*'Modelo Tarifário'!$E$44))</f>
        <v>4525.4816086645596</v>
      </c>
      <c r="Y43" s="1340">
        <f>IF(((Y8*'Modelo Tarifário'!$C$55*'Modelo Tarifário'!$E$44)*('Premissas Economias e Água'!Z310))&gt;('Premissas Economias e Água'!Z170*12*'Modelo Tarifário'!$D$29*'Modelo Tarifário'!$C$55*'Modelo Tarifário'!$E$44),(Y8*'Modelo Tarifário'!$C$55*'Modelo Tarifário'!$E$44)*('Premissas Economias e Água'!Z310),('Premissas Economias e Água'!Z170*12*'Modelo Tarifário'!$D$29*'Modelo Tarifário'!$C$55*'Modelo Tarifário'!$E$44))</f>
        <v>4510.2869306276334</v>
      </c>
      <c r="Z43" s="1340">
        <f>IF(((Z8*'Modelo Tarifário'!$C$55*'Modelo Tarifário'!$E$44)*('Premissas Economias e Água'!AA310))&gt;('Premissas Economias e Água'!AA170*12*'Modelo Tarifário'!$D$29*'Modelo Tarifário'!$C$55*'Modelo Tarifário'!$E$44),(Z8*'Modelo Tarifário'!$C$55*'Modelo Tarifário'!$E$44)*('Premissas Economias e Água'!AA310),('Premissas Economias e Água'!AA170*12*'Modelo Tarifário'!$D$29*'Modelo Tarifário'!$C$55*'Modelo Tarifário'!$E$44))</f>
        <v>4495.0922525907072</v>
      </c>
      <c r="AA43" s="1340">
        <f>IF(((AA8*'Modelo Tarifário'!$C$55*'Modelo Tarifário'!$E$44)*('Premissas Economias e Água'!AB310))&gt;('Premissas Economias e Água'!AB170*12*'Modelo Tarifário'!$D$29*'Modelo Tarifário'!$C$55*'Modelo Tarifário'!$E$44),(AA8*'Modelo Tarifário'!$C$55*'Modelo Tarifário'!$E$44)*('Premissas Economias e Água'!AB310),('Premissas Economias e Água'!AB170*12*'Modelo Tarifário'!$D$29*'Modelo Tarifário'!$C$55*'Modelo Tarifário'!$E$44))</f>
        <v>4479.89757455378</v>
      </c>
      <c r="AB43" s="1340">
        <f>IF(((AB8*'Modelo Tarifário'!$C$55*'Modelo Tarifário'!$E$44)*('Premissas Economias e Água'!AC310))&gt;('Premissas Economias e Água'!AC170*12*'Modelo Tarifário'!$D$29*'Modelo Tarifário'!$C$55*'Modelo Tarifário'!$E$44),(AB8*'Modelo Tarifário'!$C$55*'Modelo Tarifário'!$E$44)*('Premissas Economias e Água'!AC310),('Premissas Economias e Água'!AC170*12*'Modelo Tarifário'!$D$29*'Modelo Tarifário'!$C$55*'Modelo Tarifário'!$E$44))</f>
        <v>4464.7028965168547</v>
      </c>
      <c r="AC43" s="1340">
        <f>IF(((AC8*'Modelo Tarifário'!$C$55*'Modelo Tarifário'!$E$44)*('Premissas Economias e Água'!AD310))&gt;('Premissas Economias e Água'!AD170*12*'Modelo Tarifário'!$D$29*'Modelo Tarifário'!$C$55*'Modelo Tarifário'!$E$44),(AC8*'Modelo Tarifário'!$C$55*'Modelo Tarifário'!$E$44)*('Premissas Economias e Água'!AD310),('Premissas Economias e Água'!AD170*12*'Modelo Tarifário'!$D$29*'Modelo Tarifário'!$C$55*'Modelo Tarifário'!$E$44))</f>
        <v>4449.5082184799276</v>
      </c>
      <c r="AD43" s="1340">
        <f>IF(((AD8*'Modelo Tarifário'!$C$55*'Modelo Tarifário'!$E$44)*('Premissas Economias e Água'!AE310))&gt;('Premissas Economias e Água'!AE170*12*'Modelo Tarifário'!$D$29*'Modelo Tarifário'!$C$55*'Modelo Tarifário'!$E$44),(AD8*'Modelo Tarifário'!$C$55*'Modelo Tarifário'!$E$44)*('Premissas Economias e Água'!AE310),('Premissas Economias e Água'!AE170*12*'Modelo Tarifário'!$D$29*'Modelo Tarifário'!$C$55*'Modelo Tarifário'!$E$44))</f>
        <v>4434.3135404430022</v>
      </c>
      <c r="AE43" s="1340">
        <f>IF(((AE8*'Modelo Tarifário'!$C$55*'Modelo Tarifário'!$E$44)*('Premissas Economias e Água'!AF310))&gt;('Premissas Economias e Água'!AF170*12*'Modelo Tarifário'!$D$29*'Modelo Tarifário'!$C$55*'Modelo Tarifário'!$E$44),(AE8*'Modelo Tarifário'!$C$55*'Modelo Tarifário'!$E$44)*('Premissas Economias e Água'!AF310),('Premissas Economias e Água'!AF170*12*'Modelo Tarifário'!$D$29*'Modelo Tarifário'!$C$55*'Modelo Tarifário'!$E$44))</f>
        <v>4419.1188624060751</v>
      </c>
      <c r="AF43" s="1340">
        <f>IF(((AF8*'Modelo Tarifário'!$C$55*'Modelo Tarifário'!$E$44)*('Premissas Economias e Água'!AG310))&gt;('Premissas Economias e Água'!AG170*12*'Modelo Tarifário'!$D$29*'Modelo Tarifário'!$C$55*'Modelo Tarifário'!$E$44),(AF8*'Modelo Tarifário'!$C$55*'Modelo Tarifário'!$E$44)*('Premissas Economias e Água'!AG310),('Premissas Economias e Água'!AG170*12*'Modelo Tarifário'!$D$29*'Modelo Tarifário'!$C$55*'Modelo Tarifário'!$E$44))</f>
        <v>4403.9241843691489</v>
      </c>
      <c r="AG43" s="1340">
        <f>IF(((AG8*'Modelo Tarifário'!$C$55*'Modelo Tarifário'!$E$44)*('Premissas Economias e Água'!AH310))&gt;('Premissas Economias e Água'!AH170*12*'Modelo Tarifário'!$D$29*'Modelo Tarifário'!$C$55*'Modelo Tarifário'!$E$44),(AG8*'Modelo Tarifário'!$C$55*'Modelo Tarifário'!$E$44)*('Premissas Economias e Água'!AH310),('Premissas Economias e Água'!AH170*12*'Modelo Tarifário'!$D$29*'Modelo Tarifário'!$C$55*'Modelo Tarifário'!$E$44))</f>
        <v>4388.7295063322226</v>
      </c>
      <c r="AH43" s="1340">
        <f>IF(((AH8*'Modelo Tarifário'!$C$55*'Modelo Tarifário'!$E$44)*('Premissas Economias e Água'!AI310))&gt;('Premissas Economias e Água'!AI170*12*'Modelo Tarifário'!$D$29*'Modelo Tarifário'!$C$55*'Modelo Tarifário'!$E$44),(AH8*'Modelo Tarifário'!$C$55*'Modelo Tarifário'!$E$44)*('Premissas Economias e Água'!AI310),('Premissas Economias e Água'!AI170*12*'Modelo Tarifário'!$D$29*'Modelo Tarifário'!$C$55*'Modelo Tarifário'!$E$44))</f>
        <v>4373.5348282952964</v>
      </c>
    </row>
    <row r="44" spans="2:34" s="79" customFormat="1" ht="12" hidden="1" outlineLevel="1" x14ac:dyDescent="0.3">
      <c r="B44" s="1341"/>
      <c r="C44" s="1342" t="s">
        <v>14</v>
      </c>
      <c r="D44" s="1343"/>
      <c r="E44" s="1344">
        <f>IF(((E8*'Modelo Tarifário'!$C$55*'Modelo Tarifário'!$E$45)*('Premissas Economias e Água'!F311))&gt;('Premissas Economias e Água'!F171*12*'Modelo Tarifário'!$D$29*'Modelo Tarifário'!$C$55*'Modelo Tarifário'!$E$45),(E8*'Modelo Tarifário'!$C$55*'Modelo Tarifário'!$E$45)*('Premissas Economias e Água'!F311),('Premissas Economias e Água'!F171*12*'Modelo Tarifário'!$D$29*'Modelo Tarifário'!$C$55*'Modelo Tarifário'!$E$45))</f>
        <v>48474.821607304235</v>
      </c>
      <c r="F44" s="1344">
        <f>IF(((F8*'Modelo Tarifário'!$C$55*'Modelo Tarifário'!$E$45)*('Premissas Economias e Água'!G311))&gt;('Premissas Economias e Água'!G171*12*'Modelo Tarifário'!$D$29*'Modelo Tarifário'!$C$55*'Modelo Tarifário'!$E$45),(F8*'Modelo Tarifário'!$C$55*'Modelo Tarifário'!$E$45)*('Premissas Economias e Água'!G311),('Premissas Economias e Água'!G171*12*'Modelo Tarifário'!$D$29*'Modelo Tarifário'!$C$55*'Modelo Tarifário'!$E$45))</f>
        <v>48528.002980433477</v>
      </c>
      <c r="G44" s="1344">
        <f>IF(((G8*'Modelo Tarifário'!$C$55*'Modelo Tarifário'!$E$45)*('Premissas Economias e Água'!H311))&gt;('Premissas Economias e Água'!H171*12*'Modelo Tarifário'!$D$29*'Modelo Tarifário'!$C$55*'Modelo Tarifário'!$E$45),(G8*'Modelo Tarifário'!$C$55*'Modelo Tarifário'!$E$45)*('Premissas Economias e Água'!H311),('Premissas Economias e Água'!H171*12*'Modelo Tarifário'!$D$29*'Modelo Tarifário'!$C$55*'Modelo Tarifário'!$E$45))</f>
        <v>48581.184353562727</v>
      </c>
      <c r="H44" s="1344">
        <f>IF(((H8*'Modelo Tarifário'!$C$55*'Modelo Tarifário'!$E$45)*('Premissas Economias e Água'!I311))&gt;('Premissas Economias e Água'!I171*12*'Modelo Tarifário'!$D$29*'Modelo Tarifário'!$C$55*'Modelo Tarifário'!$E$45),(H8*'Modelo Tarifário'!$C$55*'Modelo Tarifário'!$E$45)*('Premissas Economias e Água'!I311),('Premissas Economias e Água'!I171*12*'Modelo Tarifário'!$D$29*'Modelo Tarifário'!$C$55*'Modelo Tarifário'!$E$45))</f>
        <v>48634.365726691969</v>
      </c>
      <c r="I44" s="1344">
        <f>IF(((I8*'Modelo Tarifário'!$C$55*'Modelo Tarifário'!$E$45)*('Premissas Economias e Água'!J311))&gt;('Premissas Economias e Água'!J171*12*'Modelo Tarifário'!$D$29*'Modelo Tarifário'!$C$55*'Modelo Tarifário'!$E$45),(I8*'Modelo Tarifário'!$C$55*'Modelo Tarifário'!$E$45)*('Premissas Economias e Água'!J311),('Premissas Economias e Água'!J171*12*'Modelo Tarifário'!$D$29*'Modelo Tarifário'!$C$55*'Modelo Tarifário'!$E$45))</f>
        <v>48687.547099821211</v>
      </c>
      <c r="J44" s="1344">
        <f>IF(((J8*'Modelo Tarifário'!$C$55*'Modelo Tarifário'!$E$45)*('Premissas Economias e Água'!K311))&gt;('Premissas Economias e Água'!K171*12*'Modelo Tarifário'!$D$29*'Modelo Tarifário'!$C$55*'Modelo Tarifário'!$E$45),(J8*'Modelo Tarifário'!$C$55*'Modelo Tarifário'!$E$45)*('Premissas Economias e Água'!K311),('Premissas Economias e Água'!K171*12*'Modelo Tarifário'!$D$29*'Modelo Tarifário'!$C$55*'Modelo Tarifário'!$E$45))</f>
        <v>48767.319159515071</v>
      </c>
      <c r="K44" s="1344">
        <f>IF(((K8*'Modelo Tarifário'!$C$55*'Modelo Tarifário'!$E$45)*('Premissas Economias e Água'!L311))&gt;('Premissas Economias e Água'!L171*12*'Modelo Tarifário'!$D$29*'Modelo Tarifário'!$C$55*'Modelo Tarifário'!$E$45),(K8*'Modelo Tarifário'!$C$55*'Modelo Tarifário'!$E$45)*('Premissas Economias e Água'!L311),('Premissas Economias e Água'!L171*12*'Modelo Tarifário'!$D$29*'Modelo Tarifário'!$C$55*'Modelo Tarifário'!$E$45))</f>
        <v>48754.023816232759</v>
      </c>
      <c r="L44" s="1344">
        <f>IF(((L8*'Modelo Tarifário'!$C$55*'Modelo Tarifário'!$E$45)*('Premissas Economias e Água'!M311))&gt;('Premissas Economias e Água'!M171*12*'Modelo Tarifário'!$D$29*'Modelo Tarifário'!$C$55*'Modelo Tarifário'!$E$45),(L8*'Modelo Tarifário'!$C$55*'Modelo Tarifário'!$E$45)*('Premissas Economias e Água'!M311),('Premissas Economias e Água'!M171*12*'Modelo Tarifário'!$D$29*'Modelo Tarifário'!$C$55*'Modelo Tarifário'!$E$45))</f>
        <v>48740.728472950446</v>
      </c>
      <c r="M44" s="1344">
        <f>IF(((M8*'Modelo Tarifário'!$C$55*'Modelo Tarifário'!$E$45)*('Premissas Economias e Água'!N311))&gt;('Premissas Economias e Água'!N171*12*'Modelo Tarifário'!$D$29*'Modelo Tarifário'!$C$55*'Modelo Tarifário'!$E$45),(M8*'Modelo Tarifário'!$C$55*'Modelo Tarifário'!$E$45)*('Premissas Economias e Água'!N311),('Premissas Economias e Água'!N171*12*'Modelo Tarifário'!$D$29*'Modelo Tarifário'!$C$55*'Modelo Tarifário'!$E$45))</f>
        <v>48727.433129668141</v>
      </c>
      <c r="N44" s="1344">
        <f>IF(((N8*'Modelo Tarifário'!$C$55*'Modelo Tarifário'!$E$45)*('Premissas Economias e Água'!O311))&gt;('Premissas Economias e Água'!O171*12*'Modelo Tarifário'!$D$29*'Modelo Tarifário'!$C$55*'Modelo Tarifário'!$E$45),(N8*'Modelo Tarifário'!$C$55*'Modelo Tarifário'!$E$45)*('Premissas Economias e Água'!O311),('Premissas Economias e Água'!O171*12*'Modelo Tarifário'!$D$29*'Modelo Tarifário'!$C$55*'Modelo Tarifário'!$E$45))</f>
        <v>48714.137786385836</v>
      </c>
      <c r="O44" s="1344">
        <f>IF(((O8*'Modelo Tarifário'!$C$55*'Modelo Tarifário'!$E$45)*('Premissas Economias e Água'!P311))&gt;('Premissas Economias e Água'!P171*12*'Modelo Tarifário'!$D$29*'Modelo Tarifário'!$C$55*'Modelo Tarifário'!$E$45),(O8*'Modelo Tarifário'!$C$55*'Modelo Tarifário'!$E$45)*('Premissas Economias e Água'!P311),('Premissas Economias e Água'!P171*12*'Modelo Tarifário'!$D$29*'Modelo Tarifário'!$C$55*'Modelo Tarifário'!$E$45))</f>
        <v>48674.251756538892</v>
      </c>
      <c r="P44" s="1344">
        <f>IF(((P8*'Modelo Tarifário'!$C$55*'Modelo Tarifário'!$E$45)*('Premissas Economias e Água'!Q311))&gt;('Premissas Economias e Água'!Q171*12*'Modelo Tarifário'!$D$29*'Modelo Tarifário'!$C$55*'Modelo Tarifário'!$E$45),(P8*'Modelo Tarifário'!$C$55*'Modelo Tarifário'!$E$45)*('Premissas Economias e Água'!Q311),('Premissas Economias e Água'!Q171*12*'Modelo Tarifário'!$D$29*'Modelo Tarifário'!$C$55*'Modelo Tarifário'!$E$45))</f>
        <v>48567.889010280414</v>
      </c>
      <c r="Q44" s="1344">
        <f>IF(((Q8*'Modelo Tarifário'!$C$55*'Modelo Tarifário'!$E$45)*('Premissas Economias e Água'!R311))&gt;('Premissas Economias e Água'!R171*12*'Modelo Tarifário'!$D$29*'Modelo Tarifário'!$C$55*'Modelo Tarifário'!$E$45),(Q8*'Modelo Tarifário'!$C$55*'Modelo Tarifário'!$E$45)*('Premissas Economias e Água'!R311),('Premissas Economias e Água'!R171*12*'Modelo Tarifário'!$D$29*'Modelo Tarifário'!$C$55*'Modelo Tarifário'!$E$45))</f>
        <v>48461.52626402193</v>
      </c>
      <c r="R44" s="1344">
        <f>IF(((R8*'Modelo Tarifário'!$C$55*'Modelo Tarifário'!$E$45)*('Premissas Economias e Água'!S311))&gt;('Premissas Economias e Água'!S171*12*'Modelo Tarifário'!$D$29*'Modelo Tarifário'!$C$55*'Modelo Tarifário'!$E$45),(R8*'Modelo Tarifário'!$C$55*'Modelo Tarifário'!$E$45)*('Premissas Economias e Água'!S311),('Premissas Economias e Água'!S171*12*'Modelo Tarifário'!$D$29*'Modelo Tarifário'!$C$55*'Modelo Tarifário'!$E$45))</f>
        <v>48355.163517763438</v>
      </c>
      <c r="S44" s="1344">
        <f>IF(((S8*'Modelo Tarifário'!$C$55*'Modelo Tarifário'!$E$45)*('Premissas Economias e Água'!T311))&gt;('Premissas Economias e Água'!T171*12*'Modelo Tarifário'!$D$29*'Modelo Tarifário'!$C$55*'Modelo Tarifário'!$E$45),(S8*'Modelo Tarifário'!$C$55*'Modelo Tarifário'!$E$45)*('Premissas Economias e Água'!T311),('Premissas Economias e Água'!T171*12*'Modelo Tarifário'!$D$29*'Modelo Tarifário'!$C$55*'Modelo Tarifário'!$E$45))</f>
        <v>48248.800771504961</v>
      </c>
      <c r="T44" s="1344">
        <f>IF(((T8*'Modelo Tarifário'!$C$55*'Modelo Tarifário'!$E$45)*('Premissas Economias e Água'!U311))&gt;('Premissas Economias e Água'!U171*12*'Modelo Tarifário'!$D$29*'Modelo Tarifário'!$C$55*'Modelo Tarifário'!$E$45),(T8*'Modelo Tarifário'!$C$55*'Modelo Tarifário'!$E$45)*('Premissas Economias e Água'!U311),('Premissas Economias e Água'!U171*12*'Modelo Tarifário'!$D$29*'Modelo Tarifário'!$C$55*'Modelo Tarifário'!$E$45))</f>
        <v>48155.733368528781</v>
      </c>
      <c r="U44" s="1344">
        <f>IF(((U8*'Modelo Tarifário'!$C$55*'Modelo Tarifário'!$E$45)*('Premissas Economias e Água'!V311))&gt;('Premissas Economias e Água'!V171*12*'Modelo Tarifário'!$D$29*'Modelo Tarifário'!$C$55*'Modelo Tarifário'!$E$45),(U8*'Modelo Tarifário'!$C$55*'Modelo Tarifário'!$E$45)*('Premissas Economias e Água'!V311),('Premissas Economias e Água'!V171*12*'Modelo Tarifário'!$D$29*'Modelo Tarifário'!$C$55*'Modelo Tarifário'!$E$45))</f>
        <v>47996.189249141054</v>
      </c>
      <c r="V44" s="1344">
        <f>IF(((V8*'Modelo Tarifário'!$C$55*'Modelo Tarifário'!$E$45)*('Premissas Economias e Água'!W311))&gt;('Premissas Economias e Água'!W171*12*'Modelo Tarifário'!$D$29*'Modelo Tarifário'!$C$55*'Modelo Tarifário'!$E$45),(V8*'Modelo Tarifário'!$C$55*'Modelo Tarifário'!$E$45)*('Premissas Economias e Água'!W311),('Premissas Economias e Água'!W171*12*'Modelo Tarifário'!$D$29*'Modelo Tarifário'!$C$55*'Modelo Tarifário'!$E$45))</f>
        <v>47836.645129753328</v>
      </c>
      <c r="W44" s="1344">
        <f>IF(((W8*'Modelo Tarifário'!$C$55*'Modelo Tarifário'!$E$45)*('Premissas Economias e Água'!X311))&gt;('Premissas Economias e Água'!X171*12*'Modelo Tarifário'!$D$29*'Modelo Tarifário'!$C$55*'Modelo Tarifário'!$E$45),(W8*'Modelo Tarifário'!$C$55*'Modelo Tarifário'!$E$45)*('Premissas Economias e Água'!X311),('Premissas Economias e Água'!X171*12*'Modelo Tarifário'!$D$29*'Modelo Tarifário'!$C$55*'Modelo Tarifário'!$E$45))</f>
        <v>47677.101010365608</v>
      </c>
      <c r="X44" s="1344">
        <f>IF(((X8*'Modelo Tarifário'!$C$55*'Modelo Tarifário'!$E$45)*('Premissas Economias e Água'!Y311))&gt;('Premissas Economias e Água'!Y171*12*'Modelo Tarifário'!$D$29*'Modelo Tarifário'!$C$55*'Modelo Tarifário'!$E$45),(X8*'Modelo Tarifário'!$C$55*'Modelo Tarifário'!$E$45)*('Premissas Economias e Água'!Y311),('Premissas Economias e Água'!Y171*12*'Modelo Tarifário'!$D$29*'Modelo Tarifário'!$C$55*'Modelo Tarifário'!$E$45))</f>
        <v>47517.556890977881</v>
      </c>
      <c r="Y44" s="1344">
        <f>IF(((Y8*'Modelo Tarifário'!$C$55*'Modelo Tarifário'!$E$45)*('Premissas Economias e Água'!Z311))&gt;('Premissas Economias e Água'!Z171*12*'Modelo Tarifário'!$D$29*'Modelo Tarifário'!$C$55*'Modelo Tarifário'!$E$45),(Y8*'Modelo Tarifário'!$C$55*'Modelo Tarifário'!$E$45)*('Premissas Economias e Água'!Z311),('Premissas Economias e Água'!Z171*12*'Modelo Tarifário'!$D$29*'Modelo Tarifário'!$C$55*'Modelo Tarifário'!$E$45))</f>
        <v>47358.012771590154</v>
      </c>
      <c r="Z44" s="1344">
        <f>IF(((Z8*'Modelo Tarifário'!$C$55*'Modelo Tarifário'!$E$45)*('Premissas Economias e Água'!AA311))&gt;('Premissas Economias e Água'!AA171*12*'Modelo Tarifário'!$D$29*'Modelo Tarifário'!$C$55*'Modelo Tarifário'!$E$45),(Z8*'Modelo Tarifário'!$C$55*'Modelo Tarifário'!$E$45)*('Premissas Economias e Água'!AA311),('Premissas Economias e Água'!AA171*12*'Modelo Tarifário'!$D$29*'Modelo Tarifário'!$C$55*'Modelo Tarifário'!$E$45))</f>
        <v>47198.468652202428</v>
      </c>
      <c r="AA44" s="1344">
        <f>IF(((AA8*'Modelo Tarifário'!$C$55*'Modelo Tarifário'!$E$45)*('Premissas Economias e Água'!AB311))&gt;('Premissas Economias e Água'!AB171*12*'Modelo Tarifário'!$D$29*'Modelo Tarifário'!$C$55*'Modelo Tarifário'!$E$45),(AA8*'Modelo Tarifário'!$C$55*'Modelo Tarifário'!$E$45)*('Premissas Economias e Água'!AB311),('Premissas Economias e Água'!AB171*12*'Modelo Tarifário'!$D$29*'Modelo Tarifário'!$C$55*'Modelo Tarifário'!$E$45))</f>
        <v>47038.924532814701</v>
      </c>
      <c r="AB44" s="1344">
        <f>IF(((AB8*'Modelo Tarifário'!$C$55*'Modelo Tarifário'!$E$45)*('Premissas Economias e Água'!AC311))&gt;('Premissas Economias e Água'!AC171*12*'Modelo Tarifário'!$D$29*'Modelo Tarifário'!$C$55*'Modelo Tarifário'!$E$45),(AB8*'Modelo Tarifário'!$C$55*'Modelo Tarifário'!$E$45)*('Premissas Economias e Água'!AC311),('Premissas Economias e Água'!AC171*12*'Modelo Tarifário'!$D$29*'Modelo Tarifário'!$C$55*'Modelo Tarifário'!$E$45))</f>
        <v>46879.380413426974</v>
      </c>
      <c r="AC44" s="1344">
        <f>IF(((AC8*'Modelo Tarifário'!$C$55*'Modelo Tarifário'!$E$45)*('Premissas Economias e Água'!AD311))&gt;('Premissas Economias e Água'!AD171*12*'Modelo Tarifário'!$D$29*'Modelo Tarifário'!$C$55*'Modelo Tarifário'!$E$45),(AC8*'Modelo Tarifário'!$C$55*'Modelo Tarifário'!$E$45)*('Premissas Economias e Água'!AD311),('Premissas Economias e Água'!AD171*12*'Modelo Tarifário'!$D$29*'Modelo Tarifário'!$C$55*'Modelo Tarifário'!$E$45))</f>
        <v>46719.83629403924</v>
      </c>
      <c r="AD44" s="1344">
        <f>IF(((AD8*'Modelo Tarifário'!$C$55*'Modelo Tarifário'!$E$45)*('Premissas Economias e Água'!AE311))&gt;('Premissas Economias e Água'!AE171*12*'Modelo Tarifário'!$D$29*'Modelo Tarifário'!$C$55*'Modelo Tarifário'!$E$45),(AD8*'Modelo Tarifário'!$C$55*'Modelo Tarifário'!$E$45)*('Premissas Economias e Água'!AE311),('Premissas Economias e Água'!AE171*12*'Modelo Tarifário'!$D$29*'Modelo Tarifário'!$C$55*'Modelo Tarifário'!$E$45))</f>
        <v>46560.29217465152</v>
      </c>
      <c r="AE44" s="1344">
        <f>IF(((AE8*'Modelo Tarifário'!$C$55*'Modelo Tarifário'!$E$45)*('Premissas Economias e Água'!AF311))&gt;('Premissas Economias e Água'!AF171*12*'Modelo Tarifário'!$D$29*'Modelo Tarifário'!$C$55*'Modelo Tarifário'!$E$45),(AE8*'Modelo Tarifário'!$C$55*'Modelo Tarifário'!$E$45)*('Premissas Economias e Água'!AF311),('Premissas Economias e Água'!AF171*12*'Modelo Tarifário'!$D$29*'Modelo Tarifário'!$C$55*'Modelo Tarifário'!$E$45))</f>
        <v>46400.748055263794</v>
      </c>
      <c r="AF44" s="1344">
        <f>IF(((AF8*'Modelo Tarifário'!$C$55*'Modelo Tarifário'!$E$45)*('Premissas Economias e Água'!AG311))&gt;('Premissas Economias e Água'!AG171*12*'Modelo Tarifário'!$D$29*'Modelo Tarifário'!$C$55*'Modelo Tarifário'!$E$45),(AF8*'Modelo Tarifário'!$C$55*'Modelo Tarifário'!$E$45)*('Premissas Economias e Água'!AG311),('Premissas Economias e Água'!AG171*12*'Modelo Tarifário'!$D$29*'Modelo Tarifário'!$C$55*'Modelo Tarifário'!$E$45))</f>
        <v>46241.203935876067</v>
      </c>
      <c r="AG44" s="1344">
        <f>IF(((AG8*'Modelo Tarifário'!$C$55*'Modelo Tarifário'!$E$45)*('Premissas Economias e Água'!AH311))&gt;('Premissas Economias e Água'!AH171*12*'Modelo Tarifário'!$D$29*'Modelo Tarifário'!$C$55*'Modelo Tarifário'!$E$45),(AG8*'Modelo Tarifário'!$C$55*'Modelo Tarifário'!$E$45)*('Premissas Economias e Água'!AH311),('Premissas Economias e Água'!AH171*12*'Modelo Tarifário'!$D$29*'Modelo Tarifário'!$C$55*'Modelo Tarifário'!$E$45))</f>
        <v>46081.65981648834</v>
      </c>
      <c r="AH44" s="1344">
        <f>IF(((AH8*'Modelo Tarifário'!$C$55*'Modelo Tarifário'!$E$45)*('Premissas Economias e Água'!AI311))&gt;('Premissas Economias e Água'!AI171*12*'Modelo Tarifário'!$D$29*'Modelo Tarifário'!$C$55*'Modelo Tarifário'!$E$45),(AH8*'Modelo Tarifário'!$C$55*'Modelo Tarifário'!$E$45)*('Premissas Economias e Água'!AI311),('Premissas Economias e Água'!AI171*12*'Modelo Tarifário'!$D$29*'Modelo Tarifário'!$C$55*'Modelo Tarifário'!$E$45))</f>
        <v>45922.11569710062</v>
      </c>
    </row>
    <row r="45" spans="2:34" s="79" customFormat="1" ht="12" collapsed="1" x14ac:dyDescent="0.3">
      <c r="B45" s="225"/>
      <c r="C45" s="173" t="s">
        <v>4</v>
      </c>
      <c r="D45" s="173"/>
      <c r="E45" s="497">
        <f>SUM(E46:E56)</f>
        <v>1053951.4801815809</v>
      </c>
      <c r="F45" s="497">
        <f t="shared" ref="F45:AH45" si="31">SUM(F46:F56)</f>
        <v>1063711.3660084195</v>
      </c>
      <c r="G45" s="497">
        <f t="shared" si="31"/>
        <v>1073471.2518352582</v>
      </c>
      <c r="H45" s="497">
        <f t="shared" si="31"/>
        <v>1083231.1376620966</v>
      </c>
      <c r="I45" s="497">
        <f t="shared" si="31"/>
        <v>1092991.0234889351</v>
      </c>
      <c r="J45" s="497">
        <f t="shared" si="31"/>
        <v>1102634.7201987877</v>
      </c>
      <c r="K45" s="497">
        <f t="shared" si="31"/>
        <v>1111116.5257387783</v>
      </c>
      <c r="L45" s="497">
        <f t="shared" si="31"/>
        <v>1119598.3312787691</v>
      </c>
      <c r="M45" s="497">
        <f t="shared" si="31"/>
        <v>1128080.1368187596</v>
      </c>
      <c r="N45" s="497">
        <f t="shared" si="31"/>
        <v>1136561.9423587504</v>
      </c>
      <c r="O45" s="497">
        <f t="shared" si="31"/>
        <v>1144927.5587817547</v>
      </c>
      <c r="P45" s="497">
        <f t="shared" si="31"/>
        <v>1151666.5275669529</v>
      </c>
      <c r="Q45" s="497">
        <f t="shared" si="31"/>
        <v>1158405.496352151</v>
      </c>
      <c r="R45" s="497">
        <f t="shared" si="31"/>
        <v>1165144.465137349</v>
      </c>
      <c r="S45" s="497">
        <f t="shared" si="31"/>
        <v>1171883.4339225469</v>
      </c>
      <c r="T45" s="497">
        <f t="shared" si="31"/>
        <v>1178854.7809417176</v>
      </c>
      <c r="U45" s="497">
        <f t="shared" si="31"/>
        <v>1183734.7238551371</v>
      </c>
      <c r="V45" s="497">
        <f t="shared" si="31"/>
        <v>1188614.6667685562</v>
      </c>
      <c r="W45" s="497">
        <f t="shared" si="31"/>
        <v>1193494.6096819756</v>
      </c>
      <c r="X45" s="497">
        <f t="shared" si="31"/>
        <v>1198374.5525953947</v>
      </c>
      <c r="Y45" s="497">
        <f t="shared" si="31"/>
        <v>1203022.1172748418</v>
      </c>
      <c r="Z45" s="497">
        <f t="shared" si="31"/>
        <v>1207902.0601882611</v>
      </c>
      <c r="AA45" s="497">
        <f t="shared" si="31"/>
        <v>1212782.00310168</v>
      </c>
      <c r="AB45" s="497">
        <f t="shared" si="31"/>
        <v>1217661.9460150998</v>
      </c>
      <c r="AC45" s="497">
        <f t="shared" si="31"/>
        <v>1222541.8889285186</v>
      </c>
      <c r="AD45" s="497">
        <f t="shared" si="31"/>
        <v>1227421.831841938</v>
      </c>
      <c r="AE45" s="497">
        <f t="shared" si="31"/>
        <v>1232301.7747553573</v>
      </c>
      <c r="AF45" s="497">
        <f t="shared" si="31"/>
        <v>1237181.7176687766</v>
      </c>
      <c r="AG45" s="497">
        <f t="shared" si="31"/>
        <v>1242061.660582196</v>
      </c>
      <c r="AH45" s="497">
        <f t="shared" si="31"/>
        <v>1246941.6034956155</v>
      </c>
    </row>
    <row r="46" spans="2:34" s="79" customFormat="1" ht="12" hidden="1" outlineLevel="1" x14ac:dyDescent="0.3">
      <c r="B46" s="1336"/>
      <c r="C46" s="1337" t="s">
        <v>10</v>
      </c>
      <c r="D46" s="1337"/>
      <c r="E46" s="1338">
        <f>IF(((E8*'Modelo Tarifário'!$C$56*'Modelo Tarifário'!$E$35)*('Premissas Economias e Água'!F316))&gt;('Premissas Economias e Água'!F176*12*'Modelo Tarifário'!$D$29*'Modelo Tarifário'!$C$56*'Modelo Tarifário'!$E$35),(E8*'Modelo Tarifário'!$C$56*'Modelo Tarifário'!$E$35)*('Premissas Economias e Água'!F316),('Premissas Economias e Água'!F176*12*'Modelo Tarifário'!$D$29*'Modelo Tarifário'!$C$56*'Modelo Tarifário'!$E$35))</f>
        <v>343721.22582802223</v>
      </c>
      <c r="F46" s="1338">
        <f>IF(((F8*'Modelo Tarifário'!$C$56*'Modelo Tarifário'!$E$35)*('Premissas Economias e Água'!G316))&gt;('Premissas Economias e Água'!G176*12*'Modelo Tarifário'!$D$29*'Modelo Tarifário'!$C$56*'Modelo Tarifário'!$E$35),(F8*'Modelo Tarifário'!$C$56*'Modelo Tarifário'!$E$35)*('Premissas Economias e Água'!G316),('Premissas Economias e Água'!G176*12*'Modelo Tarifário'!$D$29*'Modelo Tarifário'!$C$56*'Modelo Tarifário'!$E$35))</f>
        <v>346904.18062568002</v>
      </c>
      <c r="G46" s="1338">
        <f>IF(((G8*'Modelo Tarifário'!$C$56*'Modelo Tarifário'!$E$35)*('Premissas Economias e Água'!H316))&gt;('Premissas Economias e Água'!H176*12*'Modelo Tarifário'!$D$29*'Modelo Tarifário'!$C$56*'Modelo Tarifário'!$E$35),(G8*'Modelo Tarifário'!$C$56*'Modelo Tarifário'!$E$35)*('Premissas Economias e Água'!H316),('Premissas Economias e Água'!H176*12*'Modelo Tarifário'!$D$29*'Modelo Tarifário'!$C$56*'Modelo Tarifário'!$E$35))</f>
        <v>350087.13542333787</v>
      </c>
      <c r="H46" s="1338">
        <f>IF(((H8*'Modelo Tarifário'!$C$56*'Modelo Tarifário'!$E$35)*('Premissas Economias e Água'!I316))&gt;('Premissas Economias e Água'!I176*12*'Modelo Tarifário'!$D$29*'Modelo Tarifário'!$C$56*'Modelo Tarifário'!$E$35),(H8*'Modelo Tarifário'!$C$56*'Modelo Tarifário'!$E$35)*('Premissas Economias e Água'!I316),('Premissas Economias e Água'!I176*12*'Modelo Tarifário'!$D$29*'Modelo Tarifário'!$C$56*'Modelo Tarifário'!$E$35))</f>
        <v>353270.0902209956</v>
      </c>
      <c r="I46" s="1338">
        <f>IF(((I8*'Modelo Tarifário'!$C$56*'Modelo Tarifário'!$E$35)*('Premissas Economias e Água'!J316))&gt;('Premissas Economias e Água'!J176*12*'Modelo Tarifário'!$D$29*'Modelo Tarifário'!$C$56*'Modelo Tarifário'!$E$35),(I8*'Modelo Tarifário'!$C$56*'Modelo Tarifário'!$E$35)*('Premissas Economias e Água'!J316),('Premissas Economias e Água'!J176*12*'Modelo Tarifário'!$D$29*'Modelo Tarifário'!$C$56*'Modelo Tarifário'!$E$35))</f>
        <v>356453.04501865344</v>
      </c>
      <c r="J46" s="1338">
        <f>IF(((J8*'Modelo Tarifário'!$C$56*'Modelo Tarifário'!$E$35)*('Premissas Economias e Água'!K316))&gt;('Premissas Economias e Água'!K176*12*'Modelo Tarifário'!$D$29*'Modelo Tarifário'!$C$56*'Modelo Tarifário'!$E$35),(J8*'Modelo Tarifário'!$C$56*'Modelo Tarifário'!$E$35)*('Premissas Economias e Água'!K316),('Premissas Economias e Água'!K176*12*'Modelo Tarifário'!$D$29*'Modelo Tarifário'!$C$56*'Modelo Tarifário'!$E$35))</f>
        <v>359598.10749729152</v>
      </c>
      <c r="K46" s="1338">
        <f>IF(((K8*'Modelo Tarifário'!$C$56*'Modelo Tarifário'!$E$35)*('Premissas Economias e Água'!L316))&gt;('Premissas Economias e Água'!L176*12*'Modelo Tarifário'!$D$29*'Modelo Tarifário'!$C$56*'Modelo Tarifário'!$E$35),(K8*'Modelo Tarifário'!$C$56*'Modelo Tarifário'!$E$35)*('Premissas Economias e Água'!L316),('Premissas Economias e Água'!L176*12*'Modelo Tarifário'!$D$29*'Modelo Tarifário'!$C$56*'Modelo Tarifário'!$E$35))</f>
        <v>362364.24678573216</v>
      </c>
      <c r="L46" s="1338">
        <f>IF(((L8*'Modelo Tarifário'!$C$56*'Modelo Tarifário'!$E$35)*('Premissas Economias e Água'!M316))&gt;('Premissas Economias e Água'!M176*12*'Modelo Tarifário'!$D$29*'Modelo Tarifário'!$C$56*'Modelo Tarifário'!$E$35),(L8*'Modelo Tarifário'!$C$56*'Modelo Tarifário'!$E$35)*('Premissas Economias e Água'!M316),('Premissas Economias e Água'!M176*12*'Modelo Tarifário'!$D$29*'Modelo Tarifário'!$C$56*'Modelo Tarifário'!$E$35))</f>
        <v>365130.38607417286</v>
      </c>
      <c r="M46" s="1338">
        <f>IF(((M8*'Modelo Tarifário'!$C$56*'Modelo Tarifário'!$E$35)*('Premissas Economias e Água'!N316))&gt;('Premissas Economias e Água'!N176*12*'Modelo Tarifário'!$D$29*'Modelo Tarifário'!$C$56*'Modelo Tarifário'!$E$35),(M8*'Modelo Tarifário'!$C$56*'Modelo Tarifário'!$E$35)*('Premissas Economias e Água'!N316),('Premissas Economias e Água'!N176*12*'Modelo Tarifário'!$D$29*'Modelo Tarifário'!$C$56*'Modelo Tarifário'!$E$35))</f>
        <v>367896.52536261355</v>
      </c>
      <c r="N46" s="1338">
        <f>IF(((N8*'Modelo Tarifário'!$C$56*'Modelo Tarifário'!$E$35)*('Premissas Economias e Água'!O316))&gt;('Premissas Economias e Água'!O176*12*'Modelo Tarifário'!$D$29*'Modelo Tarifário'!$C$56*'Modelo Tarifário'!$E$35),(N8*'Modelo Tarifário'!$C$56*'Modelo Tarifário'!$E$35)*('Premissas Economias e Água'!O316),('Premissas Economias e Água'!O176*12*'Modelo Tarifário'!$D$29*'Modelo Tarifário'!$C$56*'Modelo Tarifário'!$E$35))</f>
        <v>370662.66465105431</v>
      </c>
      <c r="O46" s="1338">
        <f>IF(((O8*'Modelo Tarifário'!$C$56*'Modelo Tarifário'!$E$35)*('Premissas Economias e Água'!P316))&gt;('Premissas Economias e Água'!P176*12*'Modelo Tarifário'!$D$29*'Modelo Tarifário'!$C$56*'Modelo Tarifário'!$E$35),(O8*'Modelo Tarifário'!$C$56*'Modelo Tarifário'!$E$35)*('Premissas Economias e Água'!P316),('Premissas Economias e Água'!P176*12*'Modelo Tarifário'!$D$29*'Modelo Tarifário'!$C$56*'Modelo Tarifário'!$E$35))</f>
        <v>373390.91162047524</v>
      </c>
      <c r="P46" s="1338">
        <f>IF(((P8*'Modelo Tarifário'!$C$56*'Modelo Tarifário'!$E$35)*('Premissas Economias e Água'!Q316))&gt;('Premissas Economias e Água'!Q176*12*'Modelo Tarifário'!$D$29*'Modelo Tarifário'!$C$56*'Modelo Tarifário'!$E$35),(P8*'Modelo Tarifário'!$C$56*'Modelo Tarifário'!$E$35)*('Premissas Economias e Água'!Q316),('Premissas Economias e Água'!Q176*12*'Modelo Tarifário'!$D$29*'Modelo Tarifário'!$C$56*'Modelo Tarifário'!$E$35))</f>
        <v>375588.66612361989</v>
      </c>
      <c r="Q46" s="1338">
        <f>IF(((Q8*'Modelo Tarifário'!$C$56*'Modelo Tarifário'!$E$35)*('Premissas Economias e Água'!R316))&gt;('Premissas Economias e Água'!R176*12*'Modelo Tarifário'!$D$29*'Modelo Tarifário'!$C$56*'Modelo Tarifário'!$E$35),(Q8*'Modelo Tarifário'!$C$56*'Modelo Tarifário'!$E$35)*('Premissas Economias e Água'!R316),('Premissas Economias e Água'!R176*12*'Modelo Tarifário'!$D$29*'Modelo Tarifário'!$C$56*'Modelo Tarifário'!$E$35))</f>
        <v>377786.42062676459</v>
      </c>
      <c r="R46" s="1338">
        <f>IF(((R8*'Modelo Tarifário'!$C$56*'Modelo Tarifário'!$E$35)*('Premissas Economias e Água'!S316))&gt;('Premissas Economias e Água'!S176*12*'Modelo Tarifário'!$D$29*'Modelo Tarifário'!$C$56*'Modelo Tarifário'!$E$35),(R8*'Modelo Tarifário'!$C$56*'Modelo Tarifário'!$E$35)*('Premissas Economias e Água'!S316),('Premissas Economias e Água'!S176*12*'Modelo Tarifário'!$D$29*'Modelo Tarifário'!$C$56*'Modelo Tarifário'!$E$35))</f>
        <v>379984.1751299093</v>
      </c>
      <c r="S46" s="1338">
        <f>IF(((S8*'Modelo Tarifário'!$C$56*'Modelo Tarifário'!$E$35)*('Premissas Economias e Água'!T316))&gt;('Premissas Economias e Água'!T176*12*'Modelo Tarifário'!$D$29*'Modelo Tarifário'!$C$56*'Modelo Tarifário'!$E$35),(S8*'Modelo Tarifário'!$C$56*'Modelo Tarifário'!$E$35)*('Premissas Economias e Água'!T316),('Premissas Economias e Água'!T176*12*'Modelo Tarifário'!$D$29*'Modelo Tarifário'!$C$56*'Modelo Tarifário'!$E$35))</f>
        <v>382181.92963305395</v>
      </c>
      <c r="T46" s="1338">
        <f>IF(((T8*'Modelo Tarifário'!$C$56*'Modelo Tarifário'!$E$35)*('Premissas Economias e Água'!U316))&gt;('Premissas Economias e Água'!U176*12*'Modelo Tarifário'!$D$29*'Modelo Tarifário'!$C$56*'Modelo Tarifário'!$E$35),(T8*'Modelo Tarifário'!$C$56*'Modelo Tarifário'!$E$35)*('Premissas Economias e Água'!U316),('Premissas Economias e Água'!U176*12*'Modelo Tarifário'!$D$29*'Modelo Tarifário'!$C$56*'Modelo Tarifário'!$E$35))</f>
        <v>384455.46877423808</v>
      </c>
      <c r="U46" s="1338">
        <f>IF(((U8*'Modelo Tarifário'!$C$56*'Modelo Tarifário'!$E$35)*('Premissas Economias e Água'!V316))&gt;('Premissas Economias e Água'!V176*12*'Modelo Tarifário'!$D$29*'Modelo Tarifário'!$C$56*'Modelo Tarifário'!$E$35),(U8*'Modelo Tarifário'!$C$56*'Modelo Tarifário'!$E$35)*('Premissas Economias e Água'!V316),('Premissas Economias e Água'!V176*12*'Modelo Tarifário'!$D$29*'Modelo Tarifário'!$C$56*'Modelo Tarifário'!$E$35))</f>
        <v>386046.94617306703</v>
      </c>
      <c r="V46" s="1338">
        <f>IF(((V8*'Modelo Tarifário'!$C$56*'Modelo Tarifário'!$E$35)*('Premissas Economias e Água'!W316))&gt;('Premissas Economias e Água'!W176*12*'Modelo Tarifário'!$D$29*'Modelo Tarifário'!$C$56*'Modelo Tarifário'!$E$35),(V8*'Modelo Tarifário'!$C$56*'Modelo Tarifário'!$E$35)*('Premissas Economias e Água'!W316),('Premissas Economias e Água'!W176*12*'Modelo Tarifário'!$D$29*'Modelo Tarifário'!$C$56*'Modelo Tarifário'!$E$35))</f>
        <v>387638.42357189587</v>
      </c>
      <c r="W46" s="1338">
        <f>IF(((W8*'Modelo Tarifário'!$C$56*'Modelo Tarifário'!$E$35)*('Premissas Economias e Água'!X316))&gt;('Premissas Economias e Água'!X176*12*'Modelo Tarifário'!$D$29*'Modelo Tarifário'!$C$56*'Modelo Tarifário'!$E$35),(W8*'Modelo Tarifário'!$C$56*'Modelo Tarifário'!$E$35)*('Premissas Economias e Água'!X316),('Premissas Economias e Água'!X176*12*'Modelo Tarifário'!$D$29*'Modelo Tarifário'!$C$56*'Modelo Tarifário'!$E$35))</f>
        <v>389229.90097072476</v>
      </c>
      <c r="X46" s="1338">
        <f>IF(((X8*'Modelo Tarifário'!$C$56*'Modelo Tarifário'!$E$35)*('Premissas Economias e Água'!Y316))&gt;('Premissas Economias e Água'!Y176*12*'Modelo Tarifário'!$D$29*'Modelo Tarifário'!$C$56*'Modelo Tarifário'!$E$35),(X8*'Modelo Tarifário'!$C$56*'Modelo Tarifário'!$E$35)*('Premissas Economias e Água'!Y316),('Premissas Economias e Água'!Y176*12*'Modelo Tarifário'!$D$29*'Modelo Tarifário'!$C$56*'Modelo Tarifário'!$E$35))</f>
        <v>390821.37836955371</v>
      </c>
      <c r="Y46" s="1338">
        <f>IF(((Y8*'Modelo Tarifário'!$C$56*'Modelo Tarifário'!$E$35)*('Premissas Economias e Água'!Z316))&gt;('Premissas Economias e Água'!Z176*12*'Modelo Tarifário'!$D$29*'Modelo Tarifário'!$C$56*'Modelo Tarifário'!$E$35),(Y8*'Modelo Tarifário'!$C$56*'Modelo Tarifário'!$E$35)*('Premissas Economias e Água'!Z316),('Premissas Economias e Água'!Z176*12*'Modelo Tarifário'!$D$29*'Modelo Tarifário'!$C$56*'Modelo Tarifário'!$E$35))</f>
        <v>392337.07113034307</v>
      </c>
      <c r="Z46" s="1338">
        <f>IF(((Z8*'Modelo Tarifário'!$C$56*'Modelo Tarifário'!$E$35)*('Premissas Economias e Água'!AA316))&gt;('Premissas Economias e Água'!AA176*12*'Modelo Tarifário'!$D$29*'Modelo Tarifário'!$C$56*'Modelo Tarifário'!$E$35),(Z8*'Modelo Tarifário'!$C$56*'Modelo Tarifário'!$E$35)*('Premissas Economias e Água'!AA316),('Premissas Economias e Água'!AA176*12*'Modelo Tarifário'!$D$29*'Modelo Tarifário'!$C$56*'Modelo Tarifário'!$E$35))</f>
        <v>393928.54852917197</v>
      </c>
      <c r="AA46" s="1338">
        <f>IF(((AA8*'Modelo Tarifário'!$C$56*'Modelo Tarifário'!$E$35)*('Premissas Economias e Água'!AB316))&gt;('Premissas Economias e Água'!AB176*12*'Modelo Tarifário'!$D$29*'Modelo Tarifário'!$C$56*'Modelo Tarifário'!$E$35),(AA8*'Modelo Tarifário'!$C$56*'Modelo Tarifário'!$E$35)*('Premissas Economias e Água'!AB316),('Premissas Economias e Água'!AB176*12*'Modelo Tarifário'!$D$29*'Modelo Tarifário'!$C$56*'Modelo Tarifário'!$E$35))</f>
        <v>395520.02592800092</v>
      </c>
      <c r="AB46" s="1338">
        <f>IF(((AB8*'Modelo Tarifário'!$C$56*'Modelo Tarifário'!$E$35)*('Premissas Economias e Água'!AC316))&gt;('Premissas Economias e Água'!AC176*12*'Modelo Tarifário'!$D$29*'Modelo Tarifário'!$C$56*'Modelo Tarifário'!$E$35),(AB8*'Modelo Tarifário'!$C$56*'Modelo Tarifário'!$E$35)*('Premissas Economias e Água'!AC316),('Premissas Economias e Água'!AC176*12*'Modelo Tarifário'!$D$29*'Modelo Tarifário'!$C$56*'Modelo Tarifário'!$E$35))</f>
        <v>397111.50332682981</v>
      </c>
      <c r="AC46" s="1338">
        <f>IF(((AC8*'Modelo Tarifário'!$C$56*'Modelo Tarifário'!$E$35)*('Premissas Economias e Água'!AD316))&gt;('Premissas Economias e Água'!AD176*12*'Modelo Tarifário'!$D$29*'Modelo Tarifário'!$C$56*'Modelo Tarifário'!$E$35),(AC8*'Modelo Tarifário'!$C$56*'Modelo Tarifário'!$E$35)*('Premissas Economias e Água'!AD316),('Premissas Economias e Água'!AD176*12*'Modelo Tarifário'!$D$29*'Modelo Tarifário'!$C$56*'Modelo Tarifário'!$E$35))</f>
        <v>398702.98072565865</v>
      </c>
      <c r="AD46" s="1338">
        <f>IF(((AD8*'Modelo Tarifário'!$C$56*'Modelo Tarifário'!$E$35)*('Premissas Economias e Água'!AE316))&gt;('Premissas Economias e Água'!AE176*12*'Modelo Tarifário'!$D$29*'Modelo Tarifário'!$C$56*'Modelo Tarifário'!$E$35),(AD8*'Modelo Tarifário'!$C$56*'Modelo Tarifário'!$E$35)*('Premissas Economias e Água'!AE316),('Premissas Economias e Água'!AE176*12*'Modelo Tarifário'!$D$29*'Modelo Tarifário'!$C$56*'Modelo Tarifário'!$E$35))</f>
        <v>400294.4581244876</v>
      </c>
      <c r="AE46" s="1338">
        <f>IF(((AE8*'Modelo Tarifário'!$C$56*'Modelo Tarifário'!$E$35)*('Premissas Economias e Água'!AF316))&gt;('Premissas Economias e Água'!AF176*12*'Modelo Tarifário'!$D$29*'Modelo Tarifário'!$C$56*'Modelo Tarifário'!$E$35),(AE8*'Modelo Tarifário'!$C$56*'Modelo Tarifário'!$E$35)*('Premissas Economias e Água'!AF316),('Premissas Economias e Água'!AF176*12*'Modelo Tarifário'!$D$29*'Modelo Tarifário'!$C$56*'Modelo Tarifário'!$E$35))</f>
        <v>401885.9355233165</v>
      </c>
      <c r="AF46" s="1338">
        <f>IF(((AF8*'Modelo Tarifário'!$C$56*'Modelo Tarifário'!$E$35)*('Premissas Economias e Água'!AG316))&gt;('Premissas Economias e Água'!AG176*12*'Modelo Tarifário'!$D$29*'Modelo Tarifário'!$C$56*'Modelo Tarifário'!$E$35),(AF8*'Modelo Tarifário'!$C$56*'Modelo Tarifário'!$E$35)*('Premissas Economias e Água'!AG316),('Premissas Economias e Água'!AG176*12*'Modelo Tarifário'!$D$29*'Modelo Tarifário'!$C$56*'Modelo Tarifário'!$E$35))</f>
        <v>403477.41292214545</v>
      </c>
      <c r="AG46" s="1338">
        <f>IF(((AG8*'Modelo Tarifário'!$C$56*'Modelo Tarifário'!$E$35)*('Premissas Economias e Água'!AH316))&gt;('Premissas Economias e Água'!AH176*12*'Modelo Tarifário'!$D$29*'Modelo Tarifário'!$C$56*'Modelo Tarifário'!$E$35),(AG8*'Modelo Tarifário'!$C$56*'Modelo Tarifário'!$E$35)*('Premissas Economias e Água'!AH316),('Premissas Economias e Água'!AH176*12*'Modelo Tarifário'!$D$29*'Modelo Tarifário'!$C$56*'Modelo Tarifário'!$E$35))</f>
        <v>405068.89032097429</v>
      </c>
      <c r="AH46" s="1338">
        <f>IF(((AH8*'Modelo Tarifário'!$C$56*'Modelo Tarifário'!$E$35)*('Premissas Economias e Água'!AI316))&gt;('Premissas Economias e Água'!AI176*12*'Modelo Tarifário'!$D$29*'Modelo Tarifário'!$C$56*'Modelo Tarifário'!$E$35),(AH8*'Modelo Tarifário'!$C$56*'Modelo Tarifário'!$E$35)*('Premissas Economias e Água'!AI316),('Premissas Economias e Água'!AI176*12*'Modelo Tarifário'!$D$29*'Modelo Tarifário'!$C$56*'Modelo Tarifário'!$E$35))</f>
        <v>406660.36771980318</v>
      </c>
    </row>
    <row r="47" spans="2:34" s="79" customFormat="1" ht="12" hidden="1" outlineLevel="1" x14ac:dyDescent="0.3">
      <c r="B47" s="1339"/>
      <c r="C47" s="1335" t="s">
        <v>277</v>
      </c>
      <c r="D47" s="1335"/>
      <c r="E47" s="1340">
        <f>IF(('Premissas Economias e Água'!F177*'Modelo Tarifário'!$I$36*12*'Modelo Tarifário'!$B$5*'Modelo Tarifário'!$E$36)&gt;('Premissas Economias e Água'!F177*12*'Modelo Tarifário'!$D$29*'Modelo Tarifário'!$E$36),('Premissas Economias e Água'!F177*'Modelo Tarifário'!$I$36*12*'Modelo Tarifário'!$B$5*'Modelo Tarifário'!$E$36),('Premissas Economias e Água'!F177*12*'Modelo Tarifário'!$D$29*'Modelo Tarifário'!$E$36))</f>
        <v>19536.407115240338</v>
      </c>
      <c r="F47" s="1340">
        <f>IF(('Premissas Economias e Água'!G177*'Modelo Tarifário'!$I$36*12*'Modelo Tarifário'!$B$5*'Modelo Tarifário'!$E$36)&gt;('Premissas Economias e Água'!G177*12*'Modelo Tarifário'!$D$29*'Modelo Tarifário'!$E$36),('Premissas Economias e Água'!G177*'Modelo Tarifário'!$I$36*12*'Modelo Tarifário'!$B$5*'Modelo Tarifário'!$E$36),('Premissas Economias e Água'!G177*12*'Modelo Tarifário'!$D$29*'Modelo Tarifário'!$E$36))</f>
        <v>19717.319715579903</v>
      </c>
      <c r="G47" s="1340">
        <f>IF(('Premissas Economias e Água'!H177*'Modelo Tarifário'!$I$36*12*'Modelo Tarifário'!$B$5*'Modelo Tarifário'!$E$36)&gt;('Premissas Economias e Água'!H177*12*'Modelo Tarifário'!$D$29*'Modelo Tarifário'!$E$36),('Premissas Economias e Água'!H177*'Modelo Tarifário'!$I$36*12*'Modelo Tarifário'!$B$5*'Modelo Tarifário'!$E$36),('Premissas Economias e Água'!H177*12*'Modelo Tarifário'!$D$29*'Modelo Tarifário'!$E$36))</f>
        <v>19898.232315919468</v>
      </c>
      <c r="H47" s="1340">
        <f>IF(('Premissas Economias e Água'!I177*'Modelo Tarifário'!$I$36*12*'Modelo Tarifário'!$B$5*'Modelo Tarifário'!$E$36)&gt;('Premissas Economias e Água'!I177*12*'Modelo Tarifário'!$D$29*'Modelo Tarifário'!$E$36),('Premissas Economias e Água'!I177*'Modelo Tarifário'!$I$36*12*'Modelo Tarifário'!$B$5*'Modelo Tarifário'!$E$36),('Premissas Economias e Água'!I177*12*'Modelo Tarifário'!$D$29*'Modelo Tarifário'!$E$36))</f>
        <v>20079.144916259029</v>
      </c>
      <c r="I47" s="1340">
        <f>IF(('Premissas Economias e Água'!J177*'Modelo Tarifário'!$I$36*12*'Modelo Tarifário'!$B$5*'Modelo Tarifário'!$E$36)&gt;('Premissas Economias e Água'!J177*12*'Modelo Tarifário'!$D$29*'Modelo Tarifário'!$E$36),('Premissas Economias e Água'!J177*'Modelo Tarifário'!$I$36*12*'Modelo Tarifário'!$B$5*'Modelo Tarifário'!$E$36),('Premissas Economias e Água'!J177*12*'Modelo Tarifário'!$D$29*'Modelo Tarifário'!$E$36))</f>
        <v>20260.057516598597</v>
      </c>
      <c r="J47" s="1340">
        <f>IF(('Premissas Economias e Água'!K177*'Modelo Tarifário'!$I$36*12*'Modelo Tarifário'!$B$5*'Modelo Tarifário'!$E$36)&gt;('Premissas Economias e Água'!K177*12*'Modelo Tarifário'!$D$29*'Modelo Tarifário'!$E$36),('Premissas Economias e Água'!K177*'Modelo Tarifário'!$I$36*12*'Modelo Tarifário'!$B$5*'Modelo Tarifário'!$E$36),('Premissas Economias e Água'!K177*12*'Modelo Tarifário'!$D$29*'Modelo Tarifário'!$E$36))</f>
        <v>20438.816395505546</v>
      </c>
      <c r="K47" s="1340">
        <f>IF(('Premissas Economias e Água'!L177*'Modelo Tarifário'!$I$36*12*'Modelo Tarifário'!$B$5*'Modelo Tarifário'!$E$36)&gt;('Premissas Economias e Água'!L177*12*'Modelo Tarifário'!$D$29*'Modelo Tarifário'!$E$36),('Premissas Economias e Água'!L177*'Modelo Tarifário'!$I$36*12*'Modelo Tarifário'!$B$5*'Modelo Tarifário'!$E$36),('Premissas Economias e Água'!L177*12*'Modelo Tarifário'!$D$29*'Modelo Tarifário'!$E$36))</f>
        <v>20596.038060086357</v>
      </c>
      <c r="L47" s="1340">
        <f>IF(('Premissas Economias e Água'!M177*'Modelo Tarifário'!$I$36*12*'Modelo Tarifário'!$B$5*'Modelo Tarifário'!$E$36)&gt;('Premissas Economias e Água'!M177*12*'Modelo Tarifário'!$D$29*'Modelo Tarifário'!$E$36),('Premissas Economias e Água'!M177*'Modelo Tarifário'!$I$36*12*'Modelo Tarifário'!$B$5*'Modelo Tarifário'!$E$36),('Premissas Economias e Água'!M177*12*'Modelo Tarifário'!$D$29*'Modelo Tarifário'!$E$36))</f>
        <v>20753.259724667168</v>
      </c>
      <c r="M47" s="1340">
        <f>IF(('Premissas Economias e Água'!N177*'Modelo Tarifário'!$I$36*12*'Modelo Tarifário'!$B$5*'Modelo Tarifário'!$E$36)&gt;('Premissas Economias e Água'!N177*12*'Modelo Tarifário'!$D$29*'Modelo Tarifário'!$E$36),('Premissas Economias e Água'!N177*'Modelo Tarifário'!$I$36*12*'Modelo Tarifário'!$B$5*'Modelo Tarifário'!$E$36),('Premissas Economias e Água'!N177*12*'Modelo Tarifário'!$D$29*'Modelo Tarifário'!$E$36))</f>
        <v>20910.48138924798</v>
      </c>
      <c r="N47" s="1340">
        <f>IF(('Premissas Economias e Água'!O177*'Modelo Tarifário'!$I$36*12*'Modelo Tarifário'!$B$5*'Modelo Tarifário'!$E$36)&gt;('Premissas Economias e Água'!O177*12*'Modelo Tarifário'!$D$29*'Modelo Tarifário'!$E$36),('Premissas Economias e Água'!O177*'Modelo Tarifário'!$I$36*12*'Modelo Tarifário'!$B$5*'Modelo Tarifário'!$E$36),('Premissas Economias e Água'!O177*12*'Modelo Tarifário'!$D$29*'Modelo Tarifário'!$E$36))</f>
        <v>21067.703053828795</v>
      </c>
      <c r="O47" s="1340">
        <f>IF(('Premissas Economias e Água'!P177*'Modelo Tarifário'!$I$36*12*'Modelo Tarifário'!$B$5*'Modelo Tarifário'!$E$36)&gt;('Premissas Economias e Água'!P177*12*'Modelo Tarifário'!$D$29*'Modelo Tarifário'!$E$36),('Premissas Economias e Água'!P177*'Modelo Tarifário'!$I$36*12*'Modelo Tarifário'!$B$5*'Modelo Tarifário'!$E$36),('Premissas Economias e Água'!P177*12*'Modelo Tarifário'!$D$29*'Modelo Tarifário'!$E$36))</f>
        <v>21222.770996976993</v>
      </c>
      <c r="P47" s="1340">
        <f>IF(('Premissas Economias e Água'!Q177*'Modelo Tarifário'!$I$36*12*'Modelo Tarifário'!$B$5*'Modelo Tarifário'!$E$36)&gt;('Premissas Economias e Água'!Q177*12*'Modelo Tarifário'!$D$29*'Modelo Tarifário'!$E$36),('Premissas Economias e Água'!Q177*'Modelo Tarifário'!$I$36*12*'Modelo Tarifário'!$B$5*'Modelo Tarifário'!$E$36),('Premissas Economias e Água'!Q177*12*'Modelo Tarifário'!$D$29*'Modelo Tarifário'!$E$36))</f>
        <v>21347.686840068596</v>
      </c>
      <c r="Q47" s="1340">
        <f>IF(('Premissas Economias e Água'!R177*'Modelo Tarifário'!$I$36*12*'Modelo Tarifário'!$B$5*'Modelo Tarifário'!$E$36)&gt;('Premissas Economias e Água'!R177*12*'Modelo Tarifário'!$D$29*'Modelo Tarifário'!$E$36),('Premissas Economias e Água'!R177*'Modelo Tarifário'!$I$36*12*'Modelo Tarifário'!$B$5*'Modelo Tarifário'!$E$36),('Premissas Economias e Água'!R177*12*'Modelo Tarifário'!$D$29*'Modelo Tarifário'!$E$36))</f>
        <v>21472.602683160199</v>
      </c>
      <c r="R47" s="1340">
        <f>IF(('Premissas Economias e Água'!S177*'Modelo Tarifário'!$I$36*12*'Modelo Tarifário'!$B$5*'Modelo Tarifário'!$E$36)&gt;('Premissas Economias e Água'!S177*12*'Modelo Tarifário'!$D$29*'Modelo Tarifário'!$E$36),('Premissas Economias e Água'!S177*'Modelo Tarifário'!$I$36*12*'Modelo Tarifário'!$B$5*'Modelo Tarifário'!$E$36),('Premissas Economias e Água'!S177*12*'Modelo Tarifário'!$D$29*'Modelo Tarifário'!$E$36))</f>
        <v>21597.518526251803</v>
      </c>
      <c r="S47" s="1340">
        <f>IF(('Premissas Economias e Água'!T177*'Modelo Tarifário'!$I$36*12*'Modelo Tarifário'!$B$5*'Modelo Tarifário'!$E$36)&gt;('Premissas Economias e Água'!T177*12*'Modelo Tarifário'!$D$29*'Modelo Tarifário'!$E$36),('Premissas Economias e Água'!T177*'Modelo Tarifário'!$I$36*12*'Modelo Tarifário'!$B$5*'Modelo Tarifário'!$E$36),('Premissas Economias e Água'!T177*12*'Modelo Tarifário'!$D$29*'Modelo Tarifário'!$E$36))</f>
        <v>21722.434369343406</v>
      </c>
      <c r="T47" s="1340">
        <f>IF(('Premissas Economias e Água'!U177*'Modelo Tarifário'!$I$36*12*'Modelo Tarifário'!$B$5*'Modelo Tarifário'!$E$36)&gt;('Premissas Economias e Água'!U177*12*'Modelo Tarifário'!$D$29*'Modelo Tarifário'!$E$36),('Premissas Economias e Água'!U177*'Modelo Tarifário'!$I$36*12*'Modelo Tarifário'!$B$5*'Modelo Tarifário'!$E$36),('Premissas Economias e Água'!U177*12*'Modelo Tarifário'!$D$29*'Modelo Tarifário'!$E$36))</f>
        <v>21851.657655300238</v>
      </c>
      <c r="U47" s="1340">
        <f>IF(('Premissas Economias e Água'!V177*'Modelo Tarifário'!$I$36*12*'Modelo Tarifário'!$B$5*'Modelo Tarifário'!$E$36)&gt;('Premissas Economias e Água'!V177*12*'Modelo Tarifário'!$D$29*'Modelo Tarifário'!$E$36),('Premissas Economias e Água'!V177*'Modelo Tarifário'!$I$36*12*'Modelo Tarifário'!$B$5*'Modelo Tarifário'!$E$36),('Premissas Economias e Água'!V177*12*'Modelo Tarifário'!$D$29*'Modelo Tarifário'!$E$36))</f>
        <v>21942.11395547002</v>
      </c>
      <c r="V47" s="1340">
        <f>IF(('Premissas Economias e Água'!W177*'Modelo Tarifário'!$I$36*12*'Modelo Tarifário'!$B$5*'Modelo Tarifário'!$E$36)&gt;('Premissas Economias e Água'!W177*12*'Modelo Tarifário'!$D$29*'Modelo Tarifário'!$E$36),('Premissas Economias e Água'!W177*'Modelo Tarifário'!$I$36*12*'Modelo Tarifário'!$B$5*'Modelo Tarifário'!$E$36),('Premissas Economias e Água'!W177*12*'Modelo Tarifário'!$D$29*'Modelo Tarifário'!$E$36))</f>
        <v>22032.570255639803</v>
      </c>
      <c r="W47" s="1340">
        <f>IF(('Premissas Economias e Água'!X177*'Modelo Tarifário'!$I$36*12*'Modelo Tarifário'!$B$5*'Modelo Tarifário'!$E$36)&gt;('Premissas Economias e Água'!X177*12*'Modelo Tarifário'!$D$29*'Modelo Tarifário'!$E$36),('Premissas Economias e Água'!X177*'Modelo Tarifário'!$I$36*12*'Modelo Tarifário'!$B$5*'Modelo Tarifário'!$E$36),('Premissas Economias e Água'!X177*12*'Modelo Tarifário'!$D$29*'Modelo Tarifário'!$E$36))</f>
        <v>22123.026555809585</v>
      </c>
      <c r="X47" s="1340">
        <f>IF(('Premissas Economias e Água'!Y177*'Modelo Tarifário'!$I$36*12*'Modelo Tarifário'!$B$5*'Modelo Tarifário'!$E$36)&gt;('Premissas Economias e Água'!Y177*12*'Modelo Tarifário'!$D$29*'Modelo Tarifário'!$E$36),('Premissas Economias e Água'!Y177*'Modelo Tarifário'!$I$36*12*'Modelo Tarifário'!$B$5*'Modelo Tarifário'!$E$36),('Premissas Economias e Água'!Y177*12*'Modelo Tarifário'!$D$29*'Modelo Tarifário'!$E$36))</f>
        <v>22213.482855979368</v>
      </c>
      <c r="Y47" s="1340">
        <f>IF(('Premissas Economias e Água'!Z177*'Modelo Tarifário'!$I$36*12*'Modelo Tarifário'!$B$5*'Modelo Tarifário'!$E$36)&gt;('Premissas Economias e Água'!Z177*12*'Modelo Tarifário'!$D$29*'Modelo Tarifário'!$E$36),('Premissas Economias e Água'!Z177*'Modelo Tarifário'!$I$36*12*'Modelo Tarifário'!$B$5*'Modelo Tarifário'!$E$36),('Premissas Economias e Água'!Z177*12*'Modelo Tarifário'!$D$29*'Modelo Tarifário'!$E$36))</f>
        <v>22299.631713283921</v>
      </c>
      <c r="Z47" s="1340">
        <f>IF(('Premissas Economias e Água'!AA177*'Modelo Tarifário'!$I$36*12*'Modelo Tarifário'!$B$5*'Modelo Tarifário'!$E$36)&gt;('Premissas Economias e Água'!AA177*12*'Modelo Tarifário'!$D$29*'Modelo Tarifário'!$E$36),('Premissas Economias e Água'!AA177*'Modelo Tarifário'!$I$36*12*'Modelo Tarifário'!$B$5*'Modelo Tarifário'!$E$36),('Premissas Economias e Água'!AA177*12*'Modelo Tarifário'!$D$29*'Modelo Tarifário'!$E$36))</f>
        <v>22390.088013453707</v>
      </c>
      <c r="AA47" s="1340">
        <f>IF(('Premissas Economias e Água'!AB177*'Modelo Tarifário'!$I$36*12*'Modelo Tarifário'!$B$5*'Modelo Tarifário'!$E$36)&gt;('Premissas Economias e Água'!AB177*12*'Modelo Tarifário'!$D$29*'Modelo Tarifário'!$E$36),('Premissas Economias e Água'!AB177*'Modelo Tarifário'!$I$36*12*'Modelo Tarifário'!$B$5*'Modelo Tarifário'!$E$36),('Premissas Economias e Água'!AB177*12*'Modelo Tarifário'!$D$29*'Modelo Tarifário'!$E$36))</f>
        <v>22480.544313623486</v>
      </c>
      <c r="AB47" s="1340">
        <f>IF(('Premissas Economias e Água'!AC177*'Modelo Tarifário'!$I$36*12*'Modelo Tarifário'!$B$5*'Modelo Tarifário'!$E$36)&gt;('Premissas Economias e Água'!AC177*12*'Modelo Tarifário'!$D$29*'Modelo Tarifário'!$E$36),('Premissas Economias e Água'!AC177*'Modelo Tarifário'!$I$36*12*'Modelo Tarifário'!$B$5*'Modelo Tarifário'!$E$36),('Premissas Economias e Água'!AC177*12*'Modelo Tarifário'!$D$29*'Modelo Tarifário'!$E$36))</f>
        <v>22571.000613793269</v>
      </c>
      <c r="AC47" s="1340">
        <f>IF(('Premissas Economias e Água'!AD177*'Modelo Tarifário'!$I$36*12*'Modelo Tarifário'!$B$5*'Modelo Tarifário'!$E$36)&gt;('Premissas Economias e Água'!AD177*12*'Modelo Tarifário'!$D$29*'Modelo Tarifário'!$E$36),('Premissas Economias e Água'!AD177*'Modelo Tarifário'!$I$36*12*'Modelo Tarifário'!$B$5*'Modelo Tarifário'!$E$36),('Premissas Economias e Água'!AD177*12*'Modelo Tarifário'!$D$29*'Modelo Tarifário'!$E$36))</f>
        <v>22661.456913963048</v>
      </c>
      <c r="AD47" s="1340">
        <f>IF(('Premissas Economias e Água'!AE177*'Modelo Tarifário'!$I$36*12*'Modelo Tarifário'!$B$5*'Modelo Tarifário'!$E$36)&gt;('Premissas Economias e Água'!AE177*12*'Modelo Tarifário'!$D$29*'Modelo Tarifário'!$E$36),('Premissas Economias e Água'!AE177*'Modelo Tarifário'!$I$36*12*'Modelo Tarifário'!$B$5*'Modelo Tarifário'!$E$36),('Premissas Economias e Água'!AE177*12*'Modelo Tarifário'!$D$29*'Modelo Tarifário'!$E$36))</f>
        <v>22751.91321413283</v>
      </c>
      <c r="AE47" s="1340">
        <f>IF(('Premissas Economias e Água'!AF177*'Modelo Tarifário'!$I$36*12*'Modelo Tarifário'!$B$5*'Modelo Tarifário'!$E$36)&gt;('Premissas Economias e Água'!AF177*12*'Modelo Tarifário'!$D$29*'Modelo Tarifário'!$E$36),('Premissas Economias e Água'!AF177*'Modelo Tarifário'!$I$36*12*'Modelo Tarifário'!$B$5*'Modelo Tarifário'!$E$36),('Premissas Economias e Água'!AF177*12*'Modelo Tarifário'!$D$29*'Modelo Tarifário'!$E$36))</f>
        <v>22842.369514302613</v>
      </c>
      <c r="AF47" s="1340">
        <f>IF(('Premissas Economias e Água'!AG177*'Modelo Tarifário'!$I$36*12*'Modelo Tarifário'!$B$5*'Modelo Tarifário'!$E$36)&gt;('Premissas Economias e Água'!AG177*12*'Modelo Tarifário'!$D$29*'Modelo Tarifário'!$E$36),('Premissas Economias e Água'!AG177*'Modelo Tarifário'!$I$36*12*'Modelo Tarifário'!$B$5*'Modelo Tarifário'!$E$36),('Premissas Economias e Água'!AG177*12*'Modelo Tarifário'!$D$29*'Modelo Tarifário'!$E$36))</f>
        <v>22932.825814472395</v>
      </c>
      <c r="AG47" s="1340">
        <f>IF(('Premissas Economias e Água'!AH177*'Modelo Tarifário'!$I$36*12*'Modelo Tarifário'!$B$5*'Modelo Tarifário'!$E$36)&gt;('Premissas Economias e Água'!AH177*12*'Modelo Tarifário'!$D$29*'Modelo Tarifário'!$E$36),('Premissas Economias e Água'!AH177*'Modelo Tarifário'!$I$36*12*'Modelo Tarifário'!$B$5*'Modelo Tarifário'!$E$36),('Premissas Economias e Água'!AH177*12*'Modelo Tarifário'!$D$29*'Modelo Tarifário'!$E$36))</f>
        <v>23023.282114642185</v>
      </c>
      <c r="AH47" s="1340">
        <f>IF(('Premissas Economias e Água'!AI177*'Modelo Tarifário'!$I$36*12*'Modelo Tarifário'!$B$5*'Modelo Tarifário'!$E$36)&gt;('Premissas Economias e Água'!AI177*12*'Modelo Tarifário'!$D$29*'Modelo Tarifário'!$E$36),('Premissas Economias e Água'!AI177*'Modelo Tarifário'!$I$36*12*'Modelo Tarifário'!$B$5*'Modelo Tarifário'!$E$36),('Premissas Economias e Água'!AI177*12*'Modelo Tarifário'!$D$29*'Modelo Tarifário'!$E$36))</f>
        <v>23113.73841481196</v>
      </c>
    </row>
    <row r="48" spans="2:34" s="79" customFormat="1" ht="12" hidden="1" outlineLevel="1" x14ac:dyDescent="0.3">
      <c r="B48" s="1339"/>
      <c r="C48" s="1335" t="s">
        <v>278</v>
      </c>
      <c r="D48" s="1335"/>
      <c r="E48" s="1340">
        <f>IF(((E8*'Modelo Tarifário'!$C$56*'Modelo Tarifário'!$E$37)*('Premissas Economias e Água'!F318))&gt;('Premissas Economias e Água'!F178*12*'Modelo Tarifário'!$D$29*'Modelo Tarifário'!$C$56*'Modelo Tarifário'!$E$37),(E8*'Modelo Tarifário'!$C$56*'Modelo Tarifário'!$E$37)*('Premissas Economias e Água'!F318),('Premissas Economias e Água'!F178*12*'Modelo Tarifário'!$D$29*'Modelo Tarifário'!$C$56*'Modelo Tarifário'!$E$37))</f>
        <v>85396.791124682815</v>
      </c>
      <c r="F48" s="1340">
        <f>IF(((F8*'Modelo Tarifário'!$C$56*'Modelo Tarifário'!$E$37)*('Premissas Economias e Água'!G318))&gt;('Premissas Economias e Água'!G178*12*'Modelo Tarifário'!$D$29*'Modelo Tarifário'!$C$56*'Modelo Tarifário'!$E$37),(F8*'Modelo Tarifário'!$C$56*'Modelo Tarifário'!$E$37)*('Premissas Economias e Água'!G318),('Premissas Economias e Água'!G178*12*'Modelo Tarifário'!$D$29*'Modelo Tarifário'!$C$56*'Modelo Tarifário'!$E$37))</f>
        <v>86187.589322728614</v>
      </c>
      <c r="G48" s="1340">
        <f>IF(((G8*'Modelo Tarifário'!$C$56*'Modelo Tarifário'!$E$37)*('Premissas Economias e Água'!H318))&gt;('Premissas Economias e Água'!H178*12*'Modelo Tarifário'!$D$29*'Modelo Tarifário'!$C$56*'Modelo Tarifário'!$E$37),(G8*'Modelo Tarifário'!$C$56*'Modelo Tarifário'!$E$37)*('Premissas Economias e Água'!H318),('Premissas Economias e Água'!H178*12*'Modelo Tarifário'!$D$29*'Modelo Tarifário'!$C$56*'Modelo Tarifário'!$E$37))</f>
        <v>86978.387520774399</v>
      </c>
      <c r="H48" s="1340">
        <f>IF(((H8*'Modelo Tarifário'!$C$56*'Modelo Tarifário'!$E$37)*('Premissas Economias e Água'!I318))&gt;('Premissas Economias e Água'!I178*12*'Modelo Tarifário'!$D$29*'Modelo Tarifário'!$C$56*'Modelo Tarifário'!$E$37),(H8*'Modelo Tarifário'!$C$56*'Modelo Tarifário'!$E$37)*('Premissas Economias e Água'!I318),('Premissas Economias e Água'!I178*12*'Modelo Tarifário'!$D$29*'Modelo Tarifário'!$C$56*'Modelo Tarifário'!$E$37))</f>
        <v>87769.185718820168</v>
      </c>
      <c r="I48" s="1340">
        <f>IF(((I8*'Modelo Tarifário'!$C$56*'Modelo Tarifário'!$E$37)*('Premissas Economias e Água'!J318))&gt;('Premissas Economias e Água'!J178*12*'Modelo Tarifário'!$D$29*'Modelo Tarifário'!$C$56*'Modelo Tarifário'!$E$37),(I8*'Modelo Tarifário'!$C$56*'Modelo Tarifário'!$E$37)*('Premissas Economias e Água'!J318),('Premissas Economias e Água'!J178*12*'Modelo Tarifário'!$D$29*'Modelo Tarifário'!$C$56*'Modelo Tarifário'!$E$37))</f>
        <v>88559.983916865982</v>
      </c>
      <c r="J48" s="1340">
        <f>IF(((J8*'Modelo Tarifário'!$C$56*'Modelo Tarifário'!$E$37)*('Premissas Economias e Água'!K318))&gt;('Premissas Economias e Água'!K178*12*'Modelo Tarifário'!$D$29*'Modelo Tarifário'!$C$56*'Modelo Tarifário'!$E$37),(J8*'Modelo Tarifário'!$C$56*'Modelo Tarifário'!$E$37)*('Premissas Economias e Água'!K318),('Premissas Economias e Água'!K178*12*'Modelo Tarifário'!$D$29*'Modelo Tarifário'!$C$56*'Modelo Tarifário'!$E$37))</f>
        <v>89341.367850649316</v>
      </c>
      <c r="K48" s="1340">
        <f>IF(((K8*'Modelo Tarifário'!$C$56*'Modelo Tarifário'!$E$37)*('Premissas Economias e Água'!L318))&gt;('Premissas Economias e Água'!L178*12*'Modelo Tarifário'!$D$29*'Modelo Tarifário'!$C$56*'Modelo Tarifário'!$E$37),(K8*'Modelo Tarifário'!$C$56*'Modelo Tarifário'!$E$37)*('Premissas Economias e Água'!L318),('Premissas Economias e Água'!L178*12*'Modelo Tarifário'!$D$29*'Modelo Tarifário'!$C$56*'Modelo Tarifário'!$E$37))</f>
        <v>90028.609141808163</v>
      </c>
      <c r="L48" s="1340">
        <f>IF(((L8*'Modelo Tarifário'!$C$56*'Modelo Tarifário'!$E$37)*('Premissas Economias e Água'!M318))&gt;('Premissas Economias e Água'!M178*12*'Modelo Tarifário'!$D$29*'Modelo Tarifário'!$C$56*'Modelo Tarifário'!$E$37),(L8*'Modelo Tarifário'!$C$56*'Modelo Tarifário'!$E$37)*('Premissas Economias e Água'!M318),('Premissas Economias e Água'!M178*12*'Modelo Tarifário'!$D$29*'Modelo Tarifário'!$C$56*'Modelo Tarifário'!$E$37))</f>
        <v>90715.850432966996</v>
      </c>
      <c r="M48" s="1340">
        <f>IF(((M8*'Modelo Tarifário'!$C$56*'Modelo Tarifário'!$E$37)*('Premissas Economias e Água'!N318))&gt;('Premissas Economias e Água'!N178*12*'Modelo Tarifário'!$D$29*'Modelo Tarifário'!$C$56*'Modelo Tarifário'!$E$37),(M8*'Modelo Tarifário'!$C$56*'Modelo Tarifário'!$E$37)*('Premissas Economias e Água'!N318),('Premissas Economias e Água'!N178*12*'Modelo Tarifário'!$D$29*'Modelo Tarifário'!$C$56*'Modelo Tarifário'!$E$37))</f>
        <v>91403.091724125843</v>
      </c>
      <c r="N48" s="1340">
        <f>IF(((N8*'Modelo Tarifário'!$C$56*'Modelo Tarifário'!$E$37)*('Premissas Economias e Água'!O318))&gt;('Premissas Economias e Água'!O178*12*'Modelo Tarifário'!$D$29*'Modelo Tarifário'!$C$56*'Modelo Tarifário'!$E$37),(N8*'Modelo Tarifário'!$C$56*'Modelo Tarifário'!$E$37)*('Premissas Economias e Água'!O318),('Premissas Economias e Água'!O178*12*'Modelo Tarifário'!$D$29*'Modelo Tarifário'!$C$56*'Modelo Tarifário'!$E$37))</f>
        <v>92090.33301528469</v>
      </c>
      <c r="O48" s="1340">
        <f>IF(((O8*'Modelo Tarifário'!$C$56*'Modelo Tarifário'!$E$37)*('Premissas Economias e Água'!P318))&gt;('Premissas Economias e Água'!P178*12*'Modelo Tarifário'!$D$29*'Modelo Tarifário'!$C$56*'Modelo Tarifário'!$E$37),(O8*'Modelo Tarifário'!$C$56*'Modelo Tarifário'!$E$37)*('Premissas Economias e Água'!P318),('Premissas Economias e Água'!P178*12*'Modelo Tarifário'!$D$29*'Modelo Tarifário'!$C$56*'Modelo Tarifário'!$E$37))</f>
        <v>92768.160042181087</v>
      </c>
      <c r="P48" s="1340">
        <f>IF(((P8*'Modelo Tarifário'!$C$56*'Modelo Tarifário'!$E$37)*('Premissas Economias e Água'!Q318))&gt;('Premissas Economias e Água'!Q178*12*'Modelo Tarifário'!$D$29*'Modelo Tarifário'!$C$56*'Modelo Tarifário'!$E$37),(P8*'Modelo Tarifário'!$C$56*'Modelo Tarifário'!$E$37)*('Premissas Economias e Água'!Q318),('Premissas Economias e Água'!Q178*12*'Modelo Tarifário'!$D$29*'Modelo Tarifário'!$C$56*'Modelo Tarifário'!$E$37))</f>
        <v>93314.187369403153</v>
      </c>
      <c r="Q48" s="1340">
        <f>IF(((Q8*'Modelo Tarifário'!$C$56*'Modelo Tarifário'!$E$37)*('Premissas Economias e Água'!R318))&gt;('Premissas Economias e Água'!R178*12*'Modelo Tarifário'!$D$29*'Modelo Tarifário'!$C$56*'Modelo Tarifário'!$E$37),(Q8*'Modelo Tarifário'!$C$56*'Modelo Tarifário'!$E$37)*('Premissas Economias e Água'!R318),('Premissas Economias e Água'!R178*12*'Modelo Tarifário'!$D$29*'Modelo Tarifário'!$C$56*'Modelo Tarifário'!$E$37))</f>
        <v>93860.214696625248</v>
      </c>
      <c r="R48" s="1340">
        <f>IF(((R8*'Modelo Tarifário'!$C$56*'Modelo Tarifário'!$E$37)*('Premissas Economias e Água'!S318))&gt;('Premissas Economias e Água'!S178*12*'Modelo Tarifário'!$D$29*'Modelo Tarifário'!$C$56*'Modelo Tarifário'!$E$37),(R8*'Modelo Tarifário'!$C$56*'Modelo Tarifário'!$E$37)*('Premissas Economias e Água'!S318),('Premissas Economias e Água'!S178*12*'Modelo Tarifário'!$D$29*'Modelo Tarifário'!$C$56*'Modelo Tarifário'!$E$37))</f>
        <v>94406.242023847357</v>
      </c>
      <c r="S48" s="1340">
        <f>IF(((S8*'Modelo Tarifário'!$C$56*'Modelo Tarifário'!$E$37)*('Premissas Economias e Água'!T318))&gt;('Premissas Economias e Água'!T178*12*'Modelo Tarifário'!$D$29*'Modelo Tarifário'!$C$56*'Modelo Tarifário'!$E$37),(S8*'Modelo Tarifário'!$C$56*'Modelo Tarifário'!$E$37)*('Premissas Economias e Água'!T318),('Premissas Economias e Água'!T178*12*'Modelo Tarifário'!$D$29*'Modelo Tarifário'!$C$56*'Modelo Tarifário'!$E$37))</f>
        <v>94952.269351069452</v>
      </c>
      <c r="T48" s="1340">
        <f>IF(((T8*'Modelo Tarifário'!$C$56*'Modelo Tarifário'!$E$37)*('Premissas Economias e Água'!U318))&gt;('Premissas Economias e Água'!U178*12*'Modelo Tarifário'!$D$29*'Modelo Tarifário'!$C$56*'Modelo Tarifário'!$E$37),(T8*'Modelo Tarifário'!$C$56*'Modelo Tarifário'!$E$37)*('Premissas Economias e Água'!U318),('Premissas Economias e Água'!U178*12*'Modelo Tarifário'!$D$29*'Modelo Tarifário'!$C$56*'Modelo Tarifário'!$E$37))</f>
        <v>95517.125206816447</v>
      </c>
      <c r="U48" s="1340">
        <f>IF(((U8*'Modelo Tarifário'!$C$56*'Modelo Tarifário'!$E$37)*('Premissas Economias e Água'!V318))&gt;('Premissas Economias e Água'!V178*12*'Modelo Tarifário'!$D$29*'Modelo Tarifário'!$C$56*'Modelo Tarifário'!$E$37),(U8*'Modelo Tarifário'!$C$56*'Modelo Tarifário'!$E$37)*('Premissas Economias e Água'!V318),('Premissas Economias e Água'!V178*12*'Modelo Tarifário'!$D$29*'Modelo Tarifário'!$C$56*'Modelo Tarifário'!$E$37))</f>
        <v>95912.524305839324</v>
      </c>
      <c r="V48" s="1340">
        <f>IF(((V8*'Modelo Tarifário'!$C$56*'Modelo Tarifário'!$E$37)*('Premissas Economias e Água'!W318))&gt;('Premissas Economias e Água'!W178*12*'Modelo Tarifário'!$D$29*'Modelo Tarifário'!$C$56*'Modelo Tarifário'!$E$37),(V8*'Modelo Tarifário'!$C$56*'Modelo Tarifário'!$E$37)*('Premissas Economias e Água'!W318),('Premissas Economias e Água'!W178*12*'Modelo Tarifário'!$D$29*'Modelo Tarifário'!$C$56*'Modelo Tarifário'!$E$37))</f>
        <v>96307.923404862217</v>
      </c>
      <c r="W48" s="1340">
        <f>IF(((W8*'Modelo Tarifário'!$C$56*'Modelo Tarifário'!$E$37)*('Premissas Economias e Água'!X318))&gt;('Premissas Economias e Água'!X178*12*'Modelo Tarifário'!$D$29*'Modelo Tarifário'!$C$56*'Modelo Tarifário'!$E$37),(W8*'Modelo Tarifário'!$C$56*'Modelo Tarifário'!$E$37)*('Premissas Economias e Água'!X318),('Premissas Economias e Água'!X178*12*'Modelo Tarifário'!$D$29*'Modelo Tarifário'!$C$56*'Modelo Tarifário'!$E$37))</f>
        <v>96703.322503885123</v>
      </c>
      <c r="X48" s="1340">
        <f>IF(((X8*'Modelo Tarifário'!$C$56*'Modelo Tarifário'!$E$37)*('Premissas Economias e Água'!Y318))&gt;('Premissas Economias e Água'!Y178*12*'Modelo Tarifário'!$D$29*'Modelo Tarifário'!$C$56*'Modelo Tarifário'!$E$37),(X8*'Modelo Tarifário'!$C$56*'Modelo Tarifário'!$E$37)*('Premissas Economias e Água'!Y318),('Premissas Economias e Água'!Y178*12*'Modelo Tarifário'!$D$29*'Modelo Tarifário'!$C$56*'Modelo Tarifário'!$E$37))</f>
        <v>97098.721602908015</v>
      </c>
      <c r="Y48" s="1340">
        <f>IF(((Y8*'Modelo Tarifário'!$C$56*'Modelo Tarifário'!$E$37)*('Premissas Economias e Água'!Z318))&gt;('Premissas Economias e Água'!Z178*12*'Modelo Tarifário'!$D$29*'Modelo Tarifário'!$C$56*'Modelo Tarifário'!$E$37),(Y8*'Modelo Tarifário'!$C$56*'Modelo Tarifário'!$E$37)*('Premissas Economias e Água'!Z318),('Premissas Economias e Água'!Z178*12*'Modelo Tarifário'!$D$29*'Modelo Tarifário'!$C$56*'Modelo Tarifário'!$E$37))</f>
        <v>97475.292173406007</v>
      </c>
      <c r="Z48" s="1340">
        <f>IF(((Z8*'Modelo Tarifário'!$C$56*'Modelo Tarifário'!$E$37)*('Premissas Economias e Água'!AA318))&gt;('Premissas Economias e Água'!AA178*12*'Modelo Tarifário'!$D$29*'Modelo Tarifário'!$C$56*'Modelo Tarifário'!$E$37),(Z8*'Modelo Tarifário'!$C$56*'Modelo Tarifário'!$E$37)*('Premissas Economias e Água'!AA318),('Premissas Economias e Água'!AA178*12*'Modelo Tarifário'!$D$29*'Modelo Tarifário'!$C$56*'Modelo Tarifário'!$E$37))</f>
        <v>97870.691272428914</v>
      </c>
      <c r="AA48" s="1340">
        <f>IF(((AA8*'Modelo Tarifário'!$C$56*'Modelo Tarifário'!$E$37)*('Premissas Economias e Água'!AB318))&gt;('Premissas Economias e Água'!AB178*12*'Modelo Tarifário'!$D$29*'Modelo Tarifário'!$C$56*'Modelo Tarifário'!$E$37),(AA8*'Modelo Tarifário'!$C$56*'Modelo Tarifário'!$E$37)*('Premissas Economias e Água'!AB318),('Premissas Economias e Água'!AB178*12*'Modelo Tarifário'!$D$29*'Modelo Tarifário'!$C$56*'Modelo Tarifário'!$E$37))</f>
        <v>98266.090371451792</v>
      </c>
      <c r="AB48" s="1340">
        <f>IF(((AB8*'Modelo Tarifário'!$C$56*'Modelo Tarifário'!$E$37)*('Premissas Economias e Água'!AC318))&gt;('Premissas Economias e Água'!AC178*12*'Modelo Tarifário'!$D$29*'Modelo Tarifário'!$C$56*'Modelo Tarifário'!$E$37),(AB8*'Modelo Tarifário'!$C$56*'Modelo Tarifário'!$E$37)*('Premissas Economias e Água'!AC318),('Premissas Economias e Água'!AC178*12*'Modelo Tarifário'!$D$29*'Modelo Tarifário'!$C$56*'Modelo Tarifário'!$E$37))</f>
        <v>98661.489470474698</v>
      </c>
      <c r="AC48" s="1340">
        <f>IF(((AC8*'Modelo Tarifário'!$C$56*'Modelo Tarifário'!$E$37)*('Premissas Economias e Água'!AD318))&gt;('Premissas Economias e Água'!AD178*12*'Modelo Tarifário'!$D$29*'Modelo Tarifário'!$C$56*'Modelo Tarifário'!$E$37),(AC8*'Modelo Tarifário'!$C$56*'Modelo Tarifário'!$E$37)*('Premissas Economias e Água'!AD318),('Premissas Economias e Água'!AD178*12*'Modelo Tarifário'!$D$29*'Modelo Tarifário'!$C$56*'Modelo Tarifário'!$E$37))</f>
        <v>99056.888569497576</v>
      </c>
      <c r="AD48" s="1340">
        <f>IF(((AD8*'Modelo Tarifário'!$C$56*'Modelo Tarifário'!$E$37)*('Premissas Economias e Água'!AE318))&gt;('Premissas Economias e Água'!AE178*12*'Modelo Tarifário'!$D$29*'Modelo Tarifário'!$C$56*'Modelo Tarifário'!$E$37),(AD8*'Modelo Tarifário'!$C$56*'Modelo Tarifário'!$E$37)*('Premissas Economias e Água'!AE318),('Premissas Economias e Água'!AE178*12*'Modelo Tarifário'!$D$29*'Modelo Tarifário'!$C$56*'Modelo Tarifário'!$E$37))</f>
        <v>99452.287668520483</v>
      </c>
      <c r="AE48" s="1340">
        <f>IF(((AE8*'Modelo Tarifário'!$C$56*'Modelo Tarifário'!$E$37)*('Premissas Economias e Água'!AF318))&gt;('Premissas Economias e Água'!AF178*12*'Modelo Tarifário'!$D$29*'Modelo Tarifário'!$C$56*'Modelo Tarifário'!$E$37),(AE8*'Modelo Tarifário'!$C$56*'Modelo Tarifário'!$E$37)*('Premissas Economias e Água'!AF318),('Premissas Economias e Água'!AF178*12*'Modelo Tarifário'!$D$29*'Modelo Tarifário'!$C$56*'Modelo Tarifário'!$E$37))</f>
        <v>99847.686767543375</v>
      </c>
      <c r="AF48" s="1340">
        <f>IF(((AF8*'Modelo Tarifário'!$C$56*'Modelo Tarifário'!$E$37)*('Premissas Economias e Água'!AG318))&gt;('Premissas Economias e Água'!AG178*12*'Modelo Tarifário'!$D$29*'Modelo Tarifário'!$C$56*'Modelo Tarifário'!$E$37),(AF8*'Modelo Tarifário'!$C$56*'Modelo Tarifário'!$E$37)*('Premissas Economias e Água'!AG318),('Premissas Economias e Água'!AG178*12*'Modelo Tarifário'!$D$29*'Modelo Tarifário'!$C$56*'Modelo Tarifário'!$E$37))</f>
        <v>100243.08586656628</v>
      </c>
      <c r="AG48" s="1340">
        <f>IF(((AG8*'Modelo Tarifário'!$C$56*'Modelo Tarifário'!$E$37)*('Premissas Economias e Água'!AH318))&gt;('Premissas Economias e Água'!AH178*12*'Modelo Tarifário'!$D$29*'Modelo Tarifário'!$C$56*'Modelo Tarifário'!$E$37),(AG8*'Modelo Tarifário'!$C$56*'Modelo Tarifário'!$E$37)*('Premissas Economias e Água'!AH318),('Premissas Economias e Água'!AH178*12*'Modelo Tarifário'!$D$29*'Modelo Tarifário'!$C$56*'Modelo Tarifário'!$E$37))</f>
        <v>100638.48496558917</v>
      </c>
      <c r="AH48" s="1340">
        <f>IF(((AH8*'Modelo Tarifário'!$C$56*'Modelo Tarifário'!$E$37)*('Premissas Economias e Água'!AI318))&gt;('Premissas Economias e Água'!AI178*12*'Modelo Tarifário'!$D$29*'Modelo Tarifário'!$C$56*'Modelo Tarifário'!$E$37),(AH8*'Modelo Tarifário'!$C$56*'Modelo Tarifário'!$E$37)*('Premissas Economias e Água'!AI318),('Premissas Economias e Água'!AI178*12*'Modelo Tarifário'!$D$29*'Modelo Tarifário'!$C$56*'Modelo Tarifário'!$E$37))</f>
        <v>101033.88406461205</v>
      </c>
    </row>
    <row r="49" spans="2:34" s="79" customFormat="1" ht="12" hidden="1" outlineLevel="1" x14ac:dyDescent="0.3">
      <c r="B49" s="1339"/>
      <c r="C49" s="1335" t="s">
        <v>279</v>
      </c>
      <c r="D49" s="1335"/>
      <c r="E49" s="1340">
        <f>IF(((E8*'Modelo Tarifário'!$C$56*'Modelo Tarifário'!$E$38)*('Premissas Economias e Água'!F319))&gt;('Premissas Economias e Água'!F179*12*'Modelo Tarifário'!$D$29*'Modelo Tarifário'!$C$56*'Modelo Tarifário'!$E$38),(E8*'Modelo Tarifário'!$C$56*'Modelo Tarifário'!$E$38)*('Premissas Economias e Água'!F319),('Premissas Economias e Água'!F179*12*'Modelo Tarifário'!$D$29*'Modelo Tarifário'!$C$56*'Modelo Tarifário'!$E$38))</f>
        <v>98197.771348746726</v>
      </c>
      <c r="F49" s="1340">
        <f>IF(((F8*'Modelo Tarifário'!$C$56*'Modelo Tarifário'!$E$38)*('Premissas Economias e Água'!G319))&gt;('Premissas Economias e Água'!G179*12*'Modelo Tarifário'!$D$29*'Modelo Tarifário'!$C$56*'Modelo Tarifário'!$E$38),(F8*'Modelo Tarifário'!$C$56*'Modelo Tarifário'!$E$38)*('Premissas Economias e Água'!G319),('Premissas Economias e Água'!G179*12*'Modelo Tarifário'!$D$29*'Modelo Tarifário'!$C$56*'Modelo Tarifário'!$E$38))</f>
        <v>99107.110208111146</v>
      </c>
      <c r="G49" s="1340">
        <f>IF(((G8*'Modelo Tarifário'!$C$56*'Modelo Tarifário'!$E$38)*('Premissas Economias e Água'!H319))&gt;('Premissas Economias e Água'!H179*12*'Modelo Tarifário'!$D$29*'Modelo Tarifário'!$C$56*'Modelo Tarifário'!$E$38),(G8*'Modelo Tarifário'!$C$56*'Modelo Tarifário'!$E$38)*('Premissas Economias e Água'!H319),('Premissas Economias e Água'!H179*12*'Modelo Tarifário'!$D$29*'Modelo Tarifário'!$C$56*'Modelo Tarifário'!$E$38))</f>
        <v>100016.44906747557</v>
      </c>
      <c r="H49" s="1340">
        <f>IF(((H8*'Modelo Tarifário'!$C$56*'Modelo Tarifário'!$E$38)*('Premissas Economias e Água'!I319))&gt;('Premissas Economias e Água'!I179*12*'Modelo Tarifário'!$D$29*'Modelo Tarifário'!$C$56*'Modelo Tarifário'!$E$38),(H8*'Modelo Tarifário'!$C$56*'Modelo Tarifário'!$E$38)*('Premissas Economias e Água'!I319),('Premissas Economias e Água'!I179*12*'Modelo Tarifário'!$D$29*'Modelo Tarifário'!$C$56*'Modelo Tarifário'!$E$38))</f>
        <v>100925.78792684</v>
      </c>
      <c r="I49" s="1340">
        <f>IF(((I8*'Modelo Tarifário'!$C$56*'Modelo Tarifário'!$E$38)*('Premissas Economias e Água'!J319))&gt;('Premissas Economias e Água'!J179*12*'Modelo Tarifário'!$D$29*'Modelo Tarifário'!$C$56*'Modelo Tarifário'!$E$38),(I8*'Modelo Tarifário'!$C$56*'Modelo Tarifário'!$E$38)*('Premissas Economias e Água'!J319),('Premissas Economias e Água'!J179*12*'Modelo Tarifário'!$D$29*'Modelo Tarifário'!$C$56*'Modelo Tarifário'!$E$38))</f>
        <v>101835.12678620445</v>
      </c>
      <c r="J49" s="1340">
        <f>IF(((J8*'Modelo Tarifário'!$C$56*'Modelo Tarifário'!$E$38)*('Premissas Economias e Água'!K319))&gt;('Premissas Economias e Água'!K179*12*'Modelo Tarifário'!$D$29*'Modelo Tarifário'!$C$56*'Modelo Tarifário'!$E$38),(J8*'Modelo Tarifário'!$C$56*'Modelo Tarifário'!$E$38)*('Premissas Economias e Água'!K319),('Premissas Economias e Água'!K179*12*'Modelo Tarifário'!$D$29*'Modelo Tarifário'!$C$56*'Modelo Tarifário'!$E$38))</f>
        <v>102733.64018295739</v>
      </c>
      <c r="K49" s="1340">
        <f>IF(((K8*'Modelo Tarifário'!$C$56*'Modelo Tarifário'!$E$38)*('Premissas Economias e Água'!L319))&gt;('Premissas Economias e Água'!L179*12*'Modelo Tarifário'!$D$29*'Modelo Tarifário'!$C$56*'Modelo Tarifário'!$E$38),(K8*'Modelo Tarifário'!$C$56*'Modelo Tarifário'!$E$38)*('Premissas Economias e Água'!L319),('Premissas Economias e Água'!L179*12*'Modelo Tarifário'!$D$29*'Modelo Tarifário'!$C$56*'Modelo Tarifário'!$E$38))</f>
        <v>103523.89895359552</v>
      </c>
      <c r="L49" s="1340">
        <f>IF(((L8*'Modelo Tarifário'!$C$56*'Modelo Tarifário'!$E$38)*('Premissas Economias e Água'!M319))&gt;('Premissas Economias e Água'!M179*12*'Modelo Tarifário'!$D$29*'Modelo Tarifário'!$C$56*'Modelo Tarifário'!$E$38),(L8*'Modelo Tarifário'!$C$56*'Modelo Tarifário'!$E$38)*('Premissas Economias e Água'!M319),('Premissas Economias e Água'!M179*12*'Modelo Tarifário'!$D$29*'Modelo Tarifário'!$C$56*'Modelo Tarifário'!$E$38))</f>
        <v>104314.15772423365</v>
      </c>
      <c r="M49" s="1340">
        <f>IF(((M8*'Modelo Tarifário'!$C$56*'Modelo Tarifário'!$E$38)*('Premissas Economias e Água'!N319))&gt;('Premissas Economias e Água'!N179*12*'Modelo Tarifário'!$D$29*'Modelo Tarifário'!$C$56*'Modelo Tarifário'!$E$38),(M8*'Modelo Tarifário'!$C$56*'Modelo Tarifário'!$E$38)*('Premissas Economias e Água'!N319),('Premissas Economias e Água'!N179*12*'Modelo Tarifário'!$D$29*'Modelo Tarifário'!$C$56*'Modelo Tarifário'!$E$38))</f>
        <v>105104.41649487177</v>
      </c>
      <c r="N49" s="1340">
        <f>IF(((N8*'Modelo Tarifário'!$C$56*'Modelo Tarifário'!$E$38)*('Premissas Economias e Água'!O319))&gt;('Premissas Economias e Água'!O179*12*'Modelo Tarifário'!$D$29*'Modelo Tarifário'!$C$56*'Modelo Tarifário'!$E$38),(N8*'Modelo Tarifário'!$C$56*'Modelo Tarifário'!$E$38)*('Premissas Economias e Água'!O319),('Premissas Economias e Água'!O179*12*'Modelo Tarifário'!$D$29*'Modelo Tarifário'!$C$56*'Modelo Tarifário'!$E$38))</f>
        <v>105894.67526550991</v>
      </c>
      <c r="O49" s="1340">
        <f>IF(((O8*'Modelo Tarifário'!$C$56*'Modelo Tarifário'!$E$38)*('Premissas Economias e Água'!P319))&gt;('Premissas Economias e Água'!P179*12*'Modelo Tarifário'!$D$29*'Modelo Tarifário'!$C$56*'Modelo Tarifário'!$E$38),(O8*'Modelo Tarifário'!$C$56*'Modelo Tarifário'!$E$38)*('Premissas Economias e Água'!P319),('Premissas Economias e Água'!P179*12*'Modelo Tarifário'!$D$29*'Modelo Tarifário'!$C$56*'Modelo Tarifário'!$E$38))</f>
        <v>106674.10857353656</v>
      </c>
      <c r="P49" s="1340">
        <f>IF(((P8*'Modelo Tarifário'!$C$56*'Modelo Tarifário'!$E$38)*('Premissas Economias e Água'!Q319))&gt;('Premissas Economias e Água'!Q179*12*'Modelo Tarifário'!$D$29*'Modelo Tarifário'!$C$56*'Modelo Tarifário'!$E$38),(P8*'Modelo Tarifário'!$C$56*'Modelo Tarifário'!$E$38)*('Premissas Economias e Água'!Q319),('Premissas Economias e Água'!Q179*12*'Modelo Tarifário'!$D$29*'Modelo Tarifário'!$C$56*'Modelo Tarifário'!$E$38))</f>
        <v>107301.98540500249</v>
      </c>
      <c r="Q49" s="1340">
        <f>IF(((Q8*'Modelo Tarifário'!$C$56*'Modelo Tarifário'!$E$38)*('Premissas Economias e Água'!R319))&gt;('Premissas Economias e Água'!R179*12*'Modelo Tarifário'!$D$29*'Modelo Tarifário'!$C$56*'Modelo Tarifário'!$E$38),(Q8*'Modelo Tarifário'!$C$56*'Modelo Tarifário'!$E$38)*('Premissas Economias e Água'!R319),('Premissas Economias e Água'!R179*12*'Modelo Tarifário'!$D$29*'Modelo Tarifário'!$C$56*'Modelo Tarifário'!$E$38))</f>
        <v>107929.8622364684</v>
      </c>
      <c r="R49" s="1340">
        <f>IF(((R8*'Modelo Tarifário'!$C$56*'Modelo Tarifário'!$E$38)*('Premissas Economias e Água'!S319))&gt;('Premissas Economias e Água'!S179*12*'Modelo Tarifário'!$D$29*'Modelo Tarifário'!$C$56*'Modelo Tarifário'!$E$38),(R8*'Modelo Tarifário'!$C$56*'Modelo Tarifário'!$E$38)*('Premissas Economias e Água'!S319),('Premissas Economias e Água'!S179*12*'Modelo Tarifário'!$D$29*'Modelo Tarifário'!$C$56*'Modelo Tarifário'!$E$38))</f>
        <v>108557.73906793431</v>
      </c>
      <c r="S49" s="1340">
        <f>IF(((S8*'Modelo Tarifário'!$C$56*'Modelo Tarifário'!$E$38)*('Premissas Economias e Água'!T319))&gt;('Premissas Economias e Água'!T179*12*'Modelo Tarifário'!$D$29*'Modelo Tarifário'!$C$56*'Modelo Tarifário'!$E$38),(S8*'Modelo Tarifário'!$C$56*'Modelo Tarifário'!$E$38)*('Premissas Economias e Água'!T319),('Premissas Economias e Água'!T179*12*'Modelo Tarifário'!$D$29*'Modelo Tarifário'!$C$56*'Modelo Tarifário'!$E$38))</f>
        <v>109185.61589940022</v>
      </c>
      <c r="T49" s="1340">
        <f>IF(((T8*'Modelo Tarifário'!$C$56*'Modelo Tarifário'!$E$38)*('Premissas Economias e Água'!U319))&gt;('Premissas Economias e Água'!U179*12*'Modelo Tarifário'!$D$29*'Modelo Tarifário'!$C$56*'Modelo Tarifário'!$E$38),(T8*'Modelo Tarifário'!$C$56*'Modelo Tarifário'!$E$38)*('Premissas Economias e Água'!U319),('Premissas Economias e Água'!U179*12*'Modelo Tarifário'!$D$29*'Modelo Tarifário'!$C$56*'Modelo Tarifário'!$E$38))</f>
        <v>109835.14365608909</v>
      </c>
      <c r="U49" s="1340">
        <f>IF(((U8*'Modelo Tarifário'!$C$56*'Modelo Tarifário'!$E$38)*('Premissas Economias e Água'!V319))&gt;('Premissas Economias e Água'!V179*12*'Modelo Tarifário'!$D$29*'Modelo Tarifário'!$C$56*'Modelo Tarifário'!$E$38),(U8*'Modelo Tarifário'!$C$56*'Modelo Tarifário'!$E$38)*('Premissas Economias e Água'!V319),('Premissas Economias e Água'!V179*12*'Modelo Tarifário'!$D$29*'Modelo Tarifário'!$C$56*'Modelo Tarifário'!$E$38))</f>
        <v>110289.81308577131</v>
      </c>
      <c r="V49" s="1340">
        <f>IF(((V8*'Modelo Tarifário'!$C$56*'Modelo Tarifário'!$E$38)*('Premissas Economias e Água'!W319))&gt;('Premissas Economias e Água'!W179*12*'Modelo Tarifário'!$D$29*'Modelo Tarifário'!$C$56*'Modelo Tarifário'!$E$38),(V8*'Modelo Tarifário'!$C$56*'Modelo Tarifário'!$E$38)*('Premissas Economias e Água'!W319),('Premissas Economias e Água'!W179*12*'Modelo Tarifário'!$D$29*'Modelo Tarifário'!$C$56*'Modelo Tarifário'!$E$38))</f>
        <v>110744.48251545354</v>
      </c>
      <c r="W49" s="1340">
        <f>IF(((W8*'Modelo Tarifário'!$C$56*'Modelo Tarifário'!$E$38)*('Premissas Economias e Água'!X319))&gt;('Premissas Economias e Água'!X179*12*'Modelo Tarifário'!$D$29*'Modelo Tarifário'!$C$56*'Modelo Tarifário'!$E$38),(W8*'Modelo Tarifário'!$C$56*'Modelo Tarifário'!$E$38)*('Premissas Economias e Água'!X319),('Premissas Economias e Água'!X179*12*'Modelo Tarifário'!$D$29*'Modelo Tarifário'!$C$56*'Modelo Tarifário'!$E$38))</f>
        <v>111199.15194513575</v>
      </c>
      <c r="X49" s="1340">
        <f>IF(((X8*'Modelo Tarifário'!$C$56*'Modelo Tarifário'!$E$38)*('Premissas Economias e Água'!Y319))&gt;('Premissas Economias e Água'!Y179*12*'Modelo Tarifário'!$D$29*'Modelo Tarifário'!$C$56*'Modelo Tarifário'!$E$38),(X8*'Modelo Tarifário'!$C$56*'Modelo Tarifário'!$E$38)*('Premissas Economias e Água'!Y319),('Premissas Economias e Água'!Y179*12*'Modelo Tarifário'!$D$29*'Modelo Tarifário'!$C$56*'Modelo Tarifário'!$E$38))</f>
        <v>111653.82137481797</v>
      </c>
      <c r="Y49" s="1340">
        <f>IF(((Y8*'Modelo Tarifário'!$C$56*'Modelo Tarifário'!$E$38)*('Premissas Economias e Água'!Z319))&gt;('Premissas Economias e Água'!Z179*12*'Modelo Tarifário'!$D$29*'Modelo Tarifário'!$C$56*'Modelo Tarifário'!$E$38),(Y8*'Modelo Tarifário'!$C$56*'Modelo Tarifário'!$E$38)*('Premissas Economias e Água'!Z319),('Premissas Economias e Água'!Z179*12*'Modelo Tarifário'!$D$29*'Modelo Tarifário'!$C$56*'Modelo Tarifário'!$E$38))</f>
        <v>112086.83987927721</v>
      </c>
      <c r="Z49" s="1340">
        <f>IF(((Z8*'Modelo Tarifário'!$C$56*'Modelo Tarifário'!$E$38)*('Premissas Economias e Água'!AA319))&gt;('Premissas Economias e Água'!AA179*12*'Modelo Tarifário'!$D$29*'Modelo Tarifário'!$C$56*'Modelo Tarifário'!$E$38),(Z8*'Modelo Tarifário'!$C$56*'Modelo Tarifário'!$E$38)*('Premissas Economias e Água'!AA319),('Premissas Economias e Água'!AA179*12*'Modelo Tarifário'!$D$29*'Modelo Tarifário'!$C$56*'Modelo Tarifário'!$E$38))</f>
        <v>112541.50930895942</v>
      </c>
      <c r="AA49" s="1340">
        <f>IF(((AA8*'Modelo Tarifário'!$C$56*'Modelo Tarifário'!$E$38)*('Premissas Economias e Água'!AB319))&gt;('Premissas Economias e Água'!AB179*12*'Modelo Tarifário'!$D$29*'Modelo Tarifário'!$C$56*'Modelo Tarifário'!$E$38),(AA8*'Modelo Tarifário'!$C$56*'Modelo Tarifário'!$E$38)*('Premissas Economias e Água'!AB319),('Premissas Economias e Água'!AB179*12*'Modelo Tarifário'!$D$29*'Modelo Tarifário'!$C$56*'Modelo Tarifário'!$E$38))</f>
        <v>112996.17873864164</v>
      </c>
      <c r="AB49" s="1340">
        <f>IF(((AB8*'Modelo Tarifário'!$C$56*'Modelo Tarifário'!$E$38)*('Premissas Economias e Água'!AC319))&gt;('Premissas Economias e Água'!AC179*12*'Modelo Tarifário'!$D$29*'Modelo Tarifário'!$C$56*'Modelo Tarifário'!$E$38),(AB8*'Modelo Tarifário'!$C$56*'Modelo Tarifário'!$E$38)*('Premissas Economias e Água'!AC319),('Premissas Economias e Água'!AC179*12*'Modelo Tarifário'!$D$29*'Modelo Tarifário'!$C$56*'Modelo Tarifário'!$E$38))</f>
        <v>113450.84816832385</v>
      </c>
      <c r="AC49" s="1340">
        <f>IF(((AC8*'Modelo Tarifário'!$C$56*'Modelo Tarifário'!$E$38)*('Premissas Economias e Água'!AD319))&gt;('Premissas Economias e Água'!AD179*12*'Modelo Tarifário'!$D$29*'Modelo Tarifário'!$C$56*'Modelo Tarifário'!$E$38),(AC8*'Modelo Tarifário'!$C$56*'Modelo Tarifário'!$E$38)*('Premissas Economias e Água'!AD319),('Premissas Economias e Água'!AD179*12*'Modelo Tarifário'!$D$29*'Modelo Tarifário'!$C$56*'Modelo Tarifário'!$E$38))</f>
        <v>113905.51759800606</v>
      </c>
      <c r="AD49" s="1340">
        <f>IF(((AD8*'Modelo Tarifário'!$C$56*'Modelo Tarifário'!$E$38)*('Premissas Economias e Água'!AE319))&gt;('Premissas Economias e Água'!AE179*12*'Modelo Tarifário'!$D$29*'Modelo Tarifário'!$C$56*'Modelo Tarifário'!$E$38),(AD8*'Modelo Tarifário'!$C$56*'Modelo Tarifário'!$E$38)*('Premissas Economias e Água'!AE319),('Premissas Economias e Água'!AE179*12*'Modelo Tarifário'!$D$29*'Modelo Tarifário'!$C$56*'Modelo Tarifário'!$E$38))</f>
        <v>114360.18702768827</v>
      </c>
      <c r="AE49" s="1340">
        <f>IF(((AE8*'Modelo Tarifário'!$C$56*'Modelo Tarifário'!$E$38)*('Premissas Economias e Água'!AF319))&gt;('Premissas Economias e Água'!AF179*12*'Modelo Tarifário'!$D$29*'Modelo Tarifário'!$C$56*'Modelo Tarifário'!$E$38),(AE8*'Modelo Tarifário'!$C$56*'Modelo Tarifário'!$E$38)*('Premissas Economias e Água'!AF319),('Premissas Economias e Água'!AF179*12*'Modelo Tarifário'!$D$29*'Modelo Tarifário'!$C$56*'Modelo Tarifário'!$E$38))</f>
        <v>114814.85645737048</v>
      </c>
      <c r="AF49" s="1340">
        <f>IF(((AF8*'Modelo Tarifário'!$C$56*'Modelo Tarifário'!$E$38)*('Premissas Economias e Água'!AG319))&gt;('Premissas Economias e Água'!AG179*12*'Modelo Tarifário'!$D$29*'Modelo Tarifário'!$C$56*'Modelo Tarifário'!$E$38),(AF8*'Modelo Tarifário'!$C$56*'Modelo Tarifário'!$E$38)*('Premissas Economias e Água'!AG319),('Premissas Economias e Água'!AG179*12*'Modelo Tarifário'!$D$29*'Modelo Tarifário'!$C$56*'Modelo Tarifário'!$E$38))</f>
        <v>115269.52588705272</v>
      </c>
      <c r="AG49" s="1340">
        <f>IF(((AG8*'Modelo Tarifário'!$C$56*'Modelo Tarifário'!$E$38)*('Premissas Economias e Água'!AH319))&gt;('Premissas Economias e Água'!AH179*12*'Modelo Tarifário'!$D$29*'Modelo Tarifário'!$C$56*'Modelo Tarifário'!$E$38),(AG8*'Modelo Tarifário'!$C$56*'Modelo Tarifário'!$E$38)*('Premissas Economias e Água'!AH319),('Premissas Economias e Água'!AH179*12*'Modelo Tarifário'!$D$29*'Modelo Tarifário'!$C$56*'Modelo Tarifário'!$E$38))</f>
        <v>115724.19531673493</v>
      </c>
      <c r="AH49" s="1340">
        <f>IF(((AH8*'Modelo Tarifário'!$C$56*'Modelo Tarifário'!$E$38)*('Premissas Economias e Água'!AI319))&gt;('Premissas Economias e Água'!AI179*12*'Modelo Tarifário'!$D$29*'Modelo Tarifário'!$C$56*'Modelo Tarifário'!$E$38),(AH8*'Modelo Tarifário'!$C$56*'Modelo Tarifário'!$E$38)*('Premissas Economias e Água'!AI319),('Premissas Economias e Água'!AI179*12*'Modelo Tarifário'!$D$29*'Modelo Tarifário'!$C$56*'Modelo Tarifário'!$E$38))</f>
        <v>116178.86474641715</v>
      </c>
    </row>
    <row r="50" spans="2:34" s="79" customFormat="1" ht="12" hidden="1" outlineLevel="1" x14ac:dyDescent="0.3">
      <c r="B50" s="1339"/>
      <c r="C50" s="1335" t="s">
        <v>280</v>
      </c>
      <c r="D50" s="1335"/>
      <c r="E50" s="1340">
        <f>IF(((E8*'Modelo Tarifário'!$C$56*'Modelo Tarifário'!$E$39)*('Premissas Economias e Água'!F320))&gt;('Premissas Economias e Água'!F180*12*'Modelo Tarifário'!$D$29*'Modelo Tarifário'!$C$56*'Modelo Tarifário'!$E$39),(E8*'Modelo Tarifário'!$C$56*'Modelo Tarifário'!$E$39)*('Premissas Economias e Água'!F320),('Premissas Economias e Água'!F180*12*'Modelo Tarifário'!$D$29*'Modelo Tarifário'!$C$56*'Modelo Tarifário'!$E$39))</f>
        <v>82071.369649857632</v>
      </c>
      <c r="F50" s="1340">
        <f>IF(((F8*'Modelo Tarifário'!$C$56*'Modelo Tarifário'!$E$39)*('Premissas Economias e Água'!G320))&gt;('Premissas Economias e Água'!G180*12*'Modelo Tarifário'!$D$29*'Modelo Tarifário'!$C$56*'Modelo Tarifário'!$E$39),(F8*'Modelo Tarifário'!$C$56*'Modelo Tarifário'!$E$39)*('Premissas Economias e Água'!G320),('Premissas Economias e Água'!G180*12*'Modelo Tarifário'!$D$29*'Modelo Tarifário'!$C$56*'Modelo Tarifário'!$E$39))</f>
        <v>82831.373513884537</v>
      </c>
      <c r="G50" s="1340">
        <f>IF(((G8*'Modelo Tarifário'!$C$56*'Modelo Tarifário'!$E$39)*('Premissas Economias e Água'!H320))&gt;('Premissas Economias e Água'!H180*12*'Modelo Tarifário'!$D$29*'Modelo Tarifário'!$C$56*'Modelo Tarifário'!$E$39),(G8*'Modelo Tarifário'!$C$56*'Modelo Tarifário'!$E$39)*('Premissas Economias e Água'!H320),('Premissas Economias e Água'!H180*12*'Modelo Tarifário'!$D$29*'Modelo Tarifário'!$C$56*'Modelo Tarifário'!$E$39))</f>
        <v>83591.377377911442</v>
      </c>
      <c r="H50" s="1340">
        <f>IF(((H8*'Modelo Tarifário'!$C$56*'Modelo Tarifário'!$E$39)*('Premissas Economias e Água'!I320))&gt;('Premissas Economias e Água'!I180*12*'Modelo Tarifário'!$D$29*'Modelo Tarifário'!$C$56*'Modelo Tarifário'!$E$39),(H8*'Modelo Tarifário'!$C$56*'Modelo Tarifário'!$E$39)*('Premissas Economias e Água'!I320),('Premissas Economias e Água'!I180*12*'Modelo Tarifário'!$D$29*'Modelo Tarifário'!$C$56*'Modelo Tarifário'!$E$39))</f>
        <v>84351.381241938347</v>
      </c>
      <c r="I50" s="1340">
        <f>IF(((I8*'Modelo Tarifário'!$C$56*'Modelo Tarifário'!$E$39)*('Premissas Economias e Água'!J320))&gt;('Premissas Economias e Água'!J180*12*'Modelo Tarifário'!$D$29*'Modelo Tarifário'!$C$56*'Modelo Tarifário'!$E$39),(I8*'Modelo Tarifário'!$C$56*'Modelo Tarifário'!$E$39)*('Premissas Economias e Água'!J320),('Premissas Economias e Água'!J180*12*'Modelo Tarifário'!$D$29*'Modelo Tarifário'!$C$56*'Modelo Tarifário'!$E$39))</f>
        <v>85111.385105965237</v>
      </c>
      <c r="J50" s="1340">
        <f>IF(((J8*'Modelo Tarifário'!$C$56*'Modelo Tarifário'!$E$39)*('Premissas Economias e Água'!K320))&gt;('Premissas Economias e Água'!K180*12*'Modelo Tarifário'!$D$29*'Modelo Tarifário'!$C$56*'Modelo Tarifário'!$E$39),(J8*'Modelo Tarifário'!$C$56*'Modelo Tarifário'!$E$39)*('Premissas Economias e Água'!K320),('Premissas Economias e Água'!K180*12*'Modelo Tarifário'!$D$29*'Modelo Tarifário'!$C$56*'Modelo Tarifário'!$E$39))</f>
        <v>85862.341304944217</v>
      </c>
      <c r="K50" s="1340">
        <f>IF(((K8*'Modelo Tarifário'!$C$56*'Modelo Tarifário'!$E$39)*('Premissas Economias e Água'!L320))&gt;('Premissas Economias e Água'!L180*12*'Modelo Tarifário'!$D$29*'Modelo Tarifário'!$C$56*'Modelo Tarifário'!$E$39),(K8*'Modelo Tarifário'!$C$56*'Modelo Tarifário'!$E$39)*('Premissas Economias e Água'!L320),('Premissas Economias e Água'!L180*12*'Modelo Tarifário'!$D$29*'Modelo Tarifário'!$C$56*'Modelo Tarifário'!$E$39))</f>
        <v>86522.820853443787</v>
      </c>
      <c r="L50" s="1340">
        <f>IF(((L8*'Modelo Tarifário'!$C$56*'Modelo Tarifário'!$E$39)*('Premissas Economias e Água'!M320))&gt;('Premissas Economias e Água'!M180*12*'Modelo Tarifário'!$D$29*'Modelo Tarifário'!$C$56*'Modelo Tarifário'!$E$39),(L8*'Modelo Tarifário'!$C$56*'Modelo Tarifário'!$E$39)*('Premissas Economias e Água'!M320),('Premissas Economias e Água'!M180*12*'Modelo Tarifário'!$D$29*'Modelo Tarifário'!$C$56*'Modelo Tarifário'!$E$39))</f>
        <v>87183.300401943343</v>
      </c>
      <c r="M50" s="1340">
        <f>IF(((M8*'Modelo Tarifário'!$C$56*'Modelo Tarifário'!$E$39)*('Premissas Economias e Água'!N320))&gt;('Premissas Economias e Água'!N180*12*'Modelo Tarifário'!$D$29*'Modelo Tarifário'!$C$56*'Modelo Tarifário'!$E$39),(M8*'Modelo Tarifário'!$C$56*'Modelo Tarifário'!$E$39)*('Premissas Economias e Água'!N320),('Premissas Economias e Água'!N180*12*'Modelo Tarifário'!$D$29*'Modelo Tarifário'!$C$56*'Modelo Tarifário'!$E$39))</f>
        <v>87843.779950442913</v>
      </c>
      <c r="N50" s="1340">
        <f>IF(((N8*'Modelo Tarifário'!$C$56*'Modelo Tarifário'!$E$39)*('Premissas Economias e Água'!O320))&gt;('Premissas Economias e Água'!O180*12*'Modelo Tarifário'!$D$29*'Modelo Tarifário'!$C$56*'Modelo Tarifário'!$E$39),(N8*'Modelo Tarifário'!$C$56*'Modelo Tarifário'!$E$39)*('Premissas Economias e Água'!O320),('Premissas Economias e Água'!O180*12*'Modelo Tarifário'!$D$29*'Modelo Tarifário'!$C$56*'Modelo Tarifário'!$E$39))</f>
        <v>88504.259498942498</v>
      </c>
      <c r="O50" s="1340">
        <f>IF(((O8*'Modelo Tarifário'!$C$56*'Modelo Tarifário'!$E$39)*('Premissas Economias e Água'!P320))&gt;('Premissas Economias e Água'!P180*12*'Modelo Tarifário'!$D$29*'Modelo Tarifário'!$C$56*'Modelo Tarifário'!$E$39),(O8*'Modelo Tarifário'!$C$56*'Modelo Tarifário'!$E$39)*('Premissas Economias e Água'!P320),('Premissas Economias e Água'!P180*12*'Modelo Tarifário'!$D$29*'Modelo Tarifário'!$C$56*'Modelo Tarifário'!$E$39))</f>
        <v>89155.691382394129</v>
      </c>
      <c r="P50" s="1340">
        <f>IF(((P8*'Modelo Tarifário'!$C$56*'Modelo Tarifário'!$E$39)*('Premissas Economias e Água'!Q320))&gt;('Premissas Economias e Água'!Q180*12*'Modelo Tarifário'!$D$29*'Modelo Tarifário'!$C$56*'Modelo Tarifário'!$E$39),(P8*'Modelo Tarifário'!$C$56*'Modelo Tarifário'!$E$39)*('Premissas Economias e Água'!Q320),('Premissas Economias e Água'!Q180*12*'Modelo Tarifário'!$D$29*'Modelo Tarifário'!$C$56*'Modelo Tarifário'!$E$39))</f>
        <v>89680.455955174592</v>
      </c>
      <c r="Q50" s="1340">
        <f>IF(((Q8*'Modelo Tarifário'!$C$56*'Modelo Tarifário'!$E$39)*('Premissas Economias e Água'!R320))&gt;('Premissas Economias e Água'!R180*12*'Modelo Tarifário'!$D$29*'Modelo Tarifário'!$C$56*'Modelo Tarifário'!$E$39),(Q8*'Modelo Tarifário'!$C$56*'Modelo Tarifário'!$E$39)*('Premissas Economias e Água'!R320),('Premissas Economias e Água'!R180*12*'Modelo Tarifário'!$D$29*'Modelo Tarifário'!$C$56*'Modelo Tarifário'!$E$39))</f>
        <v>90205.220527955098</v>
      </c>
      <c r="R50" s="1340">
        <f>IF(((R8*'Modelo Tarifário'!$C$56*'Modelo Tarifário'!$E$39)*('Premissas Economias e Água'!S320))&gt;('Premissas Economias e Água'!S180*12*'Modelo Tarifário'!$D$29*'Modelo Tarifário'!$C$56*'Modelo Tarifário'!$E$39),(R8*'Modelo Tarifário'!$C$56*'Modelo Tarifário'!$E$39)*('Premissas Economias e Água'!S320),('Premissas Economias e Água'!S180*12*'Modelo Tarifário'!$D$29*'Modelo Tarifário'!$C$56*'Modelo Tarifário'!$E$39))</f>
        <v>90729.985100735561</v>
      </c>
      <c r="S50" s="1340">
        <f>IF(((S8*'Modelo Tarifário'!$C$56*'Modelo Tarifário'!$E$39)*('Premissas Economias e Água'!T320))&gt;('Premissas Economias e Água'!T180*12*'Modelo Tarifário'!$D$29*'Modelo Tarifário'!$C$56*'Modelo Tarifário'!$E$39),(S8*'Modelo Tarifário'!$C$56*'Modelo Tarifário'!$E$39)*('Premissas Economias e Água'!T320),('Premissas Economias e Água'!T180*12*'Modelo Tarifário'!$D$29*'Modelo Tarifário'!$C$56*'Modelo Tarifário'!$E$39))</f>
        <v>91254.749673516038</v>
      </c>
      <c r="T50" s="1340">
        <f>IF(((T8*'Modelo Tarifário'!$C$56*'Modelo Tarifário'!$E$39)*('Premissas Economias e Água'!U320))&gt;('Premissas Economias e Água'!U180*12*'Modelo Tarifário'!$D$29*'Modelo Tarifário'!$C$56*'Modelo Tarifário'!$E$39),(T8*'Modelo Tarifário'!$C$56*'Modelo Tarifário'!$E$39)*('Premissas Economias e Água'!U320),('Premissas Economias e Água'!U180*12*'Modelo Tarifário'!$D$29*'Modelo Tarifário'!$C$56*'Modelo Tarifário'!$E$39))</f>
        <v>91797.609576392395</v>
      </c>
      <c r="U50" s="1340">
        <f>IF(((U8*'Modelo Tarifário'!$C$56*'Modelo Tarifário'!$E$39)*('Premissas Economias e Água'!V320))&gt;('Premissas Economias e Água'!V180*12*'Modelo Tarifário'!$D$29*'Modelo Tarifário'!$C$56*'Modelo Tarifário'!$E$39),(U8*'Modelo Tarifário'!$C$56*'Modelo Tarifário'!$E$39)*('Premissas Economias e Água'!V320),('Premissas Economias e Água'!V180*12*'Modelo Tarifário'!$D$29*'Modelo Tarifário'!$C$56*'Modelo Tarifário'!$E$39))</f>
        <v>92177.611508405855</v>
      </c>
      <c r="V50" s="1340">
        <f>IF(((V8*'Modelo Tarifário'!$C$56*'Modelo Tarifário'!$E$39)*('Premissas Economias e Água'!W320))&gt;('Premissas Economias e Água'!W180*12*'Modelo Tarifário'!$D$29*'Modelo Tarifário'!$C$56*'Modelo Tarifário'!$E$39),(V8*'Modelo Tarifário'!$C$56*'Modelo Tarifário'!$E$39)*('Premissas Economias e Água'!W320),('Premissas Economias e Água'!W180*12*'Modelo Tarifário'!$D$29*'Modelo Tarifário'!$C$56*'Modelo Tarifário'!$E$39))</f>
        <v>92557.613440419314</v>
      </c>
      <c r="W50" s="1340">
        <f>IF(((W8*'Modelo Tarifário'!$C$56*'Modelo Tarifário'!$E$39)*('Premissas Economias e Água'!X320))&gt;('Premissas Economias e Água'!X180*12*'Modelo Tarifário'!$D$29*'Modelo Tarifário'!$C$56*'Modelo Tarifário'!$E$39),(W8*'Modelo Tarifário'!$C$56*'Modelo Tarifário'!$E$39)*('Premissas Economias e Água'!X320),('Premissas Economias e Água'!X180*12*'Modelo Tarifário'!$D$29*'Modelo Tarifário'!$C$56*'Modelo Tarifário'!$E$39))</f>
        <v>92937.61537243276</v>
      </c>
      <c r="X50" s="1340">
        <f>IF(((X8*'Modelo Tarifário'!$C$56*'Modelo Tarifário'!$E$39)*('Premissas Economias e Água'!Y320))&gt;('Premissas Economias e Água'!Y180*12*'Modelo Tarifário'!$D$29*'Modelo Tarifário'!$C$56*'Modelo Tarifário'!$E$39),(X8*'Modelo Tarifário'!$C$56*'Modelo Tarifário'!$E$39)*('Premissas Economias e Água'!Y320),('Premissas Economias e Água'!Y180*12*'Modelo Tarifário'!$D$29*'Modelo Tarifário'!$C$56*'Modelo Tarifário'!$E$39))</f>
        <v>93317.617304446205</v>
      </c>
      <c r="Y50" s="1340">
        <f>IF(((Y8*'Modelo Tarifário'!$C$56*'Modelo Tarifário'!$E$39)*('Premissas Economias e Água'!Z320))&gt;('Premissas Economias e Água'!Z180*12*'Modelo Tarifário'!$D$29*'Modelo Tarifário'!$C$56*'Modelo Tarifário'!$E$39),(Y8*'Modelo Tarifário'!$C$56*'Modelo Tarifário'!$E$39)*('Premissas Economias e Água'!Z320),('Premissas Economias e Água'!Z180*12*'Modelo Tarifário'!$D$29*'Modelo Tarifário'!$C$56*'Modelo Tarifário'!$E$39))</f>
        <v>93679.523906363785</v>
      </c>
      <c r="Z50" s="1340">
        <f>IF(((Z8*'Modelo Tarifário'!$C$56*'Modelo Tarifário'!$E$39)*('Premissas Economias e Água'!AA320))&gt;('Premissas Economias e Água'!AA180*12*'Modelo Tarifário'!$D$29*'Modelo Tarifário'!$C$56*'Modelo Tarifário'!$E$39),(Z8*'Modelo Tarifário'!$C$56*'Modelo Tarifário'!$E$39)*('Premissas Economias e Água'!AA320),('Premissas Economias e Água'!AA180*12*'Modelo Tarifário'!$D$29*'Modelo Tarifário'!$C$56*'Modelo Tarifário'!$E$39))</f>
        <v>94059.525838377245</v>
      </c>
      <c r="AA50" s="1340">
        <f>IF(((AA8*'Modelo Tarifário'!$C$56*'Modelo Tarifário'!$E$39)*('Premissas Economias e Água'!AB320))&gt;('Premissas Economias e Água'!AB180*12*'Modelo Tarifário'!$D$29*'Modelo Tarifário'!$C$56*'Modelo Tarifário'!$E$39),(AA8*'Modelo Tarifário'!$C$56*'Modelo Tarifário'!$E$39)*('Premissas Economias e Água'!AB320),('Premissas Economias e Água'!AB180*12*'Modelo Tarifário'!$D$29*'Modelo Tarifário'!$C$56*'Modelo Tarifário'!$E$39))</f>
        <v>94439.527770390676</v>
      </c>
      <c r="AB50" s="1340">
        <f>IF(((AB8*'Modelo Tarifário'!$C$56*'Modelo Tarifário'!$E$39)*('Premissas Economias e Água'!AC320))&gt;('Premissas Economias e Água'!AC180*12*'Modelo Tarifário'!$D$29*'Modelo Tarifário'!$C$56*'Modelo Tarifário'!$E$39),(AB8*'Modelo Tarifário'!$C$56*'Modelo Tarifário'!$E$39)*('Premissas Economias e Água'!AC320),('Premissas Economias e Água'!AC180*12*'Modelo Tarifário'!$D$29*'Modelo Tarifário'!$C$56*'Modelo Tarifário'!$E$39))</f>
        <v>94819.52970240415</v>
      </c>
      <c r="AC50" s="1340">
        <f>IF(((AC8*'Modelo Tarifário'!$C$56*'Modelo Tarifário'!$E$39)*('Premissas Economias e Água'!AD320))&gt;('Premissas Economias e Água'!AD180*12*'Modelo Tarifário'!$D$29*'Modelo Tarifário'!$C$56*'Modelo Tarifário'!$E$39),(AC8*'Modelo Tarifário'!$C$56*'Modelo Tarifário'!$E$39)*('Premissas Economias e Água'!AD320),('Premissas Economias e Água'!AD180*12*'Modelo Tarifário'!$D$29*'Modelo Tarifário'!$C$56*'Modelo Tarifário'!$E$39))</f>
        <v>95199.53163441761</v>
      </c>
      <c r="AD50" s="1340">
        <f>IF(((AD8*'Modelo Tarifário'!$C$56*'Modelo Tarifário'!$E$39)*('Premissas Economias e Água'!AE320))&gt;('Premissas Economias e Água'!AE180*12*'Modelo Tarifário'!$D$29*'Modelo Tarifário'!$C$56*'Modelo Tarifário'!$E$39),(AD8*'Modelo Tarifário'!$C$56*'Modelo Tarifário'!$E$39)*('Premissas Economias e Água'!AE320),('Premissas Economias e Água'!AE180*12*'Modelo Tarifário'!$D$29*'Modelo Tarifário'!$C$56*'Modelo Tarifário'!$E$39))</f>
        <v>95579.533566431041</v>
      </c>
      <c r="AE50" s="1340">
        <f>IF(((AE8*'Modelo Tarifário'!$C$56*'Modelo Tarifário'!$E$39)*('Premissas Economias e Água'!AF320))&gt;('Premissas Economias e Água'!AF180*12*'Modelo Tarifário'!$D$29*'Modelo Tarifário'!$C$56*'Modelo Tarifário'!$E$39),(AE8*'Modelo Tarifário'!$C$56*'Modelo Tarifário'!$E$39)*('Premissas Economias e Água'!AF320),('Premissas Economias e Água'!AF180*12*'Modelo Tarifário'!$D$29*'Modelo Tarifário'!$C$56*'Modelo Tarifário'!$E$39))</f>
        <v>95959.5354984445</v>
      </c>
      <c r="AF50" s="1340">
        <f>IF(((AF8*'Modelo Tarifário'!$C$56*'Modelo Tarifário'!$E$39)*('Premissas Economias e Água'!AG320))&gt;('Premissas Economias e Água'!AG180*12*'Modelo Tarifário'!$D$29*'Modelo Tarifário'!$C$56*'Modelo Tarifário'!$E$39),(AF8*'Modelo Tarifário'!$C$56*'Modelo Tarifário'!$E$39)*('Premissas Economias e Água'!AG320),('Premissas Economias e Água'!AG180*12*'Modelo Tarifário'!$D$29*'Modelo Tarifário'!$C$56*'Modelo Tarifário'!$E$39))</f>
        <v>96339.537430457945</v>
      </c>
      <c r="AG50" s="1340">
        <f>IF(((AG8*'Modelo Tarifário'!$C$56*'Modelo Tarifário'!$E$39)*('Premissas Economias e Água'!AH320))&gt;('Premissas Economias e Água'!AH180*12*'Modelo Tarifário'!$D$29*'Modelo Tarifário'!$C$56*'Modelo Tarifário'!$E$39),(AG8*'Modelo Tarifário'!$C$56*'Modelo Tarifário'!$E$39)*('Premissas Economias e Água'!AH320),('Premissas Economias e Água'!AH180*12*'Modelo Tarifário'!$D$29*'Modelo Tarifário'!$C$56*'Modelo Tarifário'!$E$39))</f>
        <v>96719.539362471405</v>
      </c>
      <c r="AH50" s="1340">
        <f>IF(((AH8*'Modelo Tarifário'!$C$56*'Modelo Tarifário'!$E$39)*('Premissas Economias e Água'!AI320))&gt;('Premissas Economias e Água'!AI180*12*'Modelo Tarifário'!$D$29*'Modelo Tarifário'!$C$56*'Modelo Tarifário'!$E$39),(AH8*'Modelo Tarifário'!$C$56*'Modelo Tarifário'!$E$39)*('Premissas Economias e Água'!AI320),('Premissas Economias e Água'!AI180*12*'Modelo Tarifário'!$D$29*'Modelo Tarifário'!$C$56*'Modelo Tarifário'!$E$39))</f>
        <v>97099.54129448485</v>
      </c>
    </row>
    <row r="51" spans="2:34" s="79" customFormat="1" ht="12" hidden="1" outlineLevel="1" x14ac:dyDescent="0.3">
      <c r="B51" s="1339"/>
      <c r="C51" s="1335" t="s">
        <v>281</v>
      </c>
      <c r="D51" s="1335"/>
      <c r="E51" s="1340">
        <f>IF(((E8*'Modelo Tarifário'!$C$56*'Modelo Tarifário'!$E$40)*('Premissas Economias e Água'!F321))&gt;('Premissas Economias e Água'!F181*12*'Modelo Tarifário'!$D$29*'Modelo Tarifário'!$C$56*'Modelo Tarifário'!$E$40),(E8*'Modelo Tarifário'!$C$56*'Modelo Tarifário'!$E$40)*('Premissas Economias e Água'!F321),('Premissas Economias e Água'!F181*12*'Modelo Tarifário'!$D$29*'Modelo Tarifário'!$C$56*'Modelo Tarifário'!$E$40))</f>
        <v>58928.308129164783</v>
      </c>
      <c r="F51" s="1340">
        <f>IF(((F8*'Modelo Tarifário'!$C$56*'Modelo Tarifário'!$E$40)*('Premissas Economias e Água'!G321))&gt;('Premissas Economias e Água'!G181*12*'Modelo Tarifário'!$D$29*'Modelo Tarifário'!$C$56*'Modelo Tarifário'!$E$40),(F8*'Modelo Tarifário'!$C$56*'Modelo Tarifário'!$E$40)*('Premissas Economias e Água'!G321),('Premissas Economias e Água'!G181*12*'Modelo Tarifário'!$D$29*'Modelo Tarifário'!$C$56*'Modelo Tarifário'!$E$40))</f>
        <v>59474.000763146694</v>
      </c>
      <c r="G51" s="1340">
        <f>IF(((G8*'Modelo Tarifário'!$C$56*'Modelo Tarifário'!$E$40)*('Premissas Economias e Água'!H321))&gt;('Premissas Economias e Água'!H181*12*'Modelo Tarifário'!$D$29*'Modelo Tarifário'!$C$56*'Modelo Tarifário'!$E$40),(G8*'Modelo Tarifário'!$C$56*'Modelo Tarifário'!$E$40)*('Premissas Economias e Água'!H321),('Premissas Economias e Água'!H181*12*'Modelo Tarifário'!$D$29*'Modelo Tarifário'!$C$56*'Modelo Tarifário'!$E$40))</f>
        <v>60019.693397128598</v>
      </c>
      <c r="H51" s="1340">
        <f>IF(((H8*'Modelo Tarifário'!$C$56*'Modelo Tarifário'!$E$40)*('Premissas Economias e Água'!I321))&gt;('Premissas Economias e Água'!I181*12*'Modelo Tarifário'!$D$29*'Modelo Tarifário'!$C$56*'Modelo Tarifário'!$E$40),(H8*'Modelo Tarifário'!$C$56*'Modelo Tarifário'!$E$40)*('Premissas Economias e Água'!I321),('Premissas Economias e Água'!I181*12*'Modelo Tarifário'!$D$29*'Modelo Tarifário'!$C$56*'Modelo Tarifário'!$E$40))</f>
        <v>60565.386031110495</v>
      </c>
      <c r="I51" s="1340">
        <f>IF(((I8*'Modelo Tarifário'!$C$56*'Modelo Tarifário'!$E$40)*('Premissas Economias e Água'!J321))&gt;('Premissas Economias e Água'!J181*12*'Modelo Tarifário'!$D$29*'Modelo Tarifário'!$C$56*'Modelo Tarifário'!$E$40),(I8*'Modelo Tarifário'!$C$56*'Modelo Tarifário'!$E$40)*('Premissas Economias e Água'!J321),('Premissas Economias e Água'!J181*12*'Modelo Tarifário'!$D$29*'Modelo Tarifário'!$C$56*'Modelo Tarifário'!$E$40))</f>
        <v>61111.078665092391</v>
      </c>
      <c r="J51" s="1340">
        <f>IF(((J8*'Modelo Tarifário'!$C$56*'Modelo Tarifário'!$E$40)*('Premissas Economias e Água'!K321))&gt;('Premissas Economias e Água'!K181*12*'Modelo Tarifário'!$D$29*'Modelo Tarifário'!$C$56*'Modelo Tarifário'!$E$40),(J8*'Modelo Tarifário'!$C$56*'Modelo Tarifário'!$E$40)*('Premissas Economias e Água'!K321),('Premissas Economias e Água'!K181*12*'Modelo Tarifário'!$D$29*'Modelo Tarifário'!$C$56*'Modelo Tarifário'!$E$40))</f>
        <v>61650.274958193571</v>
      </c>
      <c r="K51" s="1340">
        <f>IF(((K8*'Modelo Tarifário'!$C$56*'Modelo Tarifário'!$E$40)*('Premissas Economias e Água'!L321))&gt;('Premissas Economias e Água'!L181*12*'Modelo Tarifário'!$D$29*'Modelo Tarifário'!$C$56*'Modelo Tarifário'!$E$40),(K8*'Modelo Tarifário'!$C$56*'Modelo Tarifário'!$E$40)*('Premissas Economias e Água'!L321),('Premissas Economias e Água'!L181*12*'Modelo Tarifário'!$D$29*'Modelo Tarifário'!$C$56*'Modelo Tarifário'!$E$40))</f>
        <v>62124.507842487357</v>
      </c>
      <c r="L51" s="1340">
        <f>IF(((L8*'Modelo Tarifário'!$C$56*'Modelo Tarifário'!$E$40)*('Premissas Economias e Água'!M321))&gt;('Premissas Economias e Água'!M181*12*'Modelo Tarifário'!$D$29*'Modelo Tarifário'!$C$56*'Modelo Tarifário'!$E$40),(L8*'Modelo Tarifário'!$C$56*'Modelo Tarifário'!$E$40)*('Premissas Economias e Água'!M321),('Premissas Economias e Água'!M181*12*'Modelo Tarifário'!$D$29*'Modelo Tarifário'!$C$56*'Modelo Tarifário'!$E$40))</f>
        <v>62598.74072678115</v>
      </c>
      <c r="M51" s="1340">
        <f>IF(((M8*'Modelo Tarifário'!$C$56*'Modelo Tarifário'!$E$40)*('Premissas Economias e Água'!N321))&gt;('Premissas Economias e Água'!N181*12*'Modelo Tarifário'!$D$29*'Modelo Tarifário'!$C$56*'Modelo Tarifário'!$E$40),(M8*'Modelo Tarifário'!$C$56*'Modelo Tarifário'!$E$40)*('Premissas Economias e Água'!N321),('Premissas Economias e Água'!N181*12*'Modelo Tarifário'!$D$29*'Modelo Tarifário'!$C$56*'Modelo Tarifário'!$E$40))</f>
        <v>63072.973611074944</v>
      </c>
      <c r="N51" s="1340">
        <f>IF(((N8*'Modelo Tarifário'!$C$56*'Modelo Tarifário'!$E$40)*('Premissas Economias e Água'!O321))&gt;('Premissas Economias e Água'!O181*12*'Modelo Tarifário'!$D$29*'Modelo Tarifário'!$C$56*'Modelo Tarifário'!$E$40),(N8*'Modelo Tarifário'!$C$56*'Modelo Tarifário'!$E$40)*('Premissas Economias e Água'!O321),('Premissas Economias e Água'!O181*12*'Modelo Tarifário'!$D$29*'Modelo Tarifário'!$C$56*'Modelo Tarifário'!$E$40))</f>
        <v>63547.206495368751</v>
      </c>
      <c r="O51" s="1340">
        <f>IF(((O8*'Modelo Tarifário'!$C$56*'Modelo Tarifário'!$E$40)*('Premissas Economias e Água'!P321))&gt;('Premissas Economias e Água'!P181*12*'Modelo Tarifário'!$D$29*'Modelo Tarifário'!$C$56*'Modelo Tarifário'!$E$40),(O8*'Modelo Tarifário'!$C$56*'Modelo Tarifário'!$E$40)*('Premissas Economias e Água'!P321),('Premissas Economias e Água'!P181*12*'Modelo Tarifário'!$D$29*'Modelo Tarifário'!$C$56*'Modelo Tarifário'!$E$40))</f>
        <v>64014.943038781807</v>
      </c>
      <c r="P51" s="1340">
        <f>IF(((P8*'Modelo Tarifário'!$C$56*'Modelo Tarifário'!$E$40)*('Premissas Economias e Água'!Q321))&gt;('Premissas Economias e Água'!Q181*12*'Modelo Tarifário'!$D$29*'Modelo Tarifário'!$C$56*'Modelo Tarifário'!$E$40),(P8*'Modelo Tarifário'!$C$56*'Modelo Tarifário'!$E$40)*('Premissas Economias e Água'!Q321),('Premissas Economias e Água'!Q181*12*'Modelo Tarifário'!$D$29*'Modelo Tarifário'!$C$56*'Modelo Tarifário'!$E$40))</f>
        <v>64391.730809864552</v>
      </c>
      <c r="Q51" s="1340">
        <f>IF(((Q8*'Modelo Tarifário'!$C$56*'Modelo Tarifário'!$E$40)*('Premissas Economias e Água'!R321))&gt;('Premissas Economias e Água'!R181*12*'Modelo Tarifário'!$D$29*'Modelo Tarifário'!$C$56*'Modelo Tarifário'!$E$40),(Q8*'Modelo Tarifário'!$C$56*'Modelo Tarifário'!$E$40)*('Premissas Economias e Água'!R321),('Premissas Economias e Água'!R181*12*'Modelo Tarifário'!$D$29*'Modelo Tarifário'!$C$56*'Modelo Tarifário'!$E$40))</f>
        <v>64768.51858094729</v>
      </c>
      <c r="R51" s="1340">
        <f>IF(((R8*'Modelo Tarifário'!$C$56*'Modelo Tarifário'!$E$40)*('Premissas Economias e Água'!S321))&gt;('Premissas Economias e Água'!S181*12*'Modelo Tarifário'!$D$29*'Modelo Tarifário'!$C$56*'Modelo Tarifário'!$E$40),(R8*'Modelo Tarifário'!$C$56*'Modelo Tarifário'!$E$40)*('Premissas Economias e Água'!S321),('Premissas Economias e Água'!S181*12*'Modelo Tarifário'!$D$29*'Modelo Tarifário'!$C$56*'Modelo Tarifário'!$E$40))</f>
        <v>65145.306352030035</v>
      </c>
      <c r="S51" s="1340">
        <f>IF(((S8*'Modelo Tarifário'!$C$56*'Modelo Tarifário'!$E$40)*('Premissas Economias e Água'!T321))&gt;('Premissas Economias e Água'!T181*12*'Modelo Tarifário'!$D$29*'Modelo Tarifário'!$C$56*'Modelo Tarifário'!$E$40),(S8*'Modelo Tarifário'!$C$56*'Modelo Tarifário'!$E$40)*('Premissas Economias e Água'!T321),('Premissas Economias e Água'!T181*12*'Modelo Tarifário'!$D$29*'Modelo Tarifário'!$C$56*'Modelo Tarifário'!$E$40))</f>
        <v>65522.09412311278</v>
      </c>
      <c r="T51" s="1340">
        <f>IF(((T8*'Modelo Tarifário'!$C$56*'Modelo Tarifário'!$E$40)*('Premissas Economias e Água'!U321))&gt;('Premissas Economias e Água'!U181*12*'Modelo Tarifário'!$D$29*'Modelo Tarifário'!$C$56*'Modelo Tarifário'!$E$40),(T8*'Modelo Tarifário'!$C$56*'Modelo Tarifário'!$E$40)*('Premissas Economias e Água'!U321),('Premissas Economias e Água'!U181*12*'Modelo Tarifário'!$D$29*'Modelo Tarifário'!$C$56*'Modelo Tarifário'!$E$40))</f>
        <v>65911.874575956987</v>
      </c>
      <c r="U51" s="1340">
        <f>IF(((U8*'Modelo Tarifário'!$C$56*'Modelo Tarifário'!$E$40)*('Premissas Economias e Água'!V321))&gt;('Premissas Economias e Água'!V181*12*'Modelo Tarifário'!$D$29*'Modelo Tarifário'!$C$56*'Modelo Tarifário'!$E$40),(U8*'Modelo Tarifário'!$C$56*'Modelo Tarifário'!$E$40)*('Premissas Economias e Água'!V321),('Premissas Economias e Água'!V181*12*'Modelo Tarifário'!$D$29*'Modelo Tarifário'!$C$56*'Modelo Tarifário'!$E$40))</f>
        <v>66184.720892947953</v>
      </c>
      <c r="V51" s="1340">
        <f>IF(((V8*'Modelo Tarifário'!$C$56*'Modelo Tarifário'!$E$40)*('Premissas Economias e Água'!W321))&gt;('Premissas Economias e Água'!W181*12*'Modelo Tarifário'!$D$29*'Modelo Tarifário'!$C$56*'Modelo Tarifário'!$E$40),(V8*'Modelo Tarifário'!$C$56*'Modelo Tarifário'!$E$40)*('Premissas Economias e Água'!W321),('Premissas Economias e Água'!W181*12*'Modelo Tarifário'!$D$29*'Modelo Tarifário'!$C$56*'Modelo Tarifário'!$E$40))</f>
        <v>66457.56720993889</v>
      </c>
      <c r="W51" s="1340">
        <f>IF(((W8*'Modelo Tarifário'!$C$56*'Modelo Tarifário'!$E$40)*('Premissas Economias e Água'!X321))&gt;('Premissas Economias e Água'!X181*12*'Modelo Tarifário'!$D$29*'Modelo Tarifário'!$C$56*'Modelo Tarifário'!$E$40),(W8*'Modelo Tarifário'!$C$56*'Modelo Tarifário'!$E$40)*('Premissas Economias e Água'!X321),('Premissas Economias e Água'!X181*12*'Modelo Tarifário'!$D$29*'Modelo Tarifário'!$C$56*'Modelo Tarifário'!$E$40))</f>
        <v>66730.413526929842</v>
      </c>
      <c r="X51" s="1340">
        <f>IF(((X8*'Modelo Tarifário'!$C$56*'Modelo Tarifário'!$E$40)*('Premissas Economias e Água'!Y321))&gt;('Premissas Economias e Água'!Y181*12*'Modelo Tarifário'!$D$29*'Modelo Tarifário'!$C$56*'Modelo Tarifário'!$E$40),(X8*'Modelo Tarifário'!$C$56*'Modelo Tarifário'!$E$40)*('Premissas Economias e Água'!Y321),('Premissas Economias e Água'!Y181*12*'Modelo Tarifário'!$D$29*'Modelo Tarifário'!$C$56*'Modelo Tarifário'!$E$40))</f>
        <v>67003.259843920809</v>
      </c>
      <c r="Y51" s="1340">
        <f>IF(((Y8*'Modelo Tarifário'!$C$56*'Modelo Tarifário'!$E$40)*('Premissas Economias e Água'!Z321))&gt;('Premissas Economias e Água'!Z181*12*'Modelo Tarifário'!$D$29*'Modelo Tarifário'!$C$56*'Modelo Tarifário'!$E$40),(Y8*'Modelo Tarifário'!$C$56*'Modelo Tarifário'!$E$40)*('Premissas Economias e Água'!Z321),('Premissas Economias e Água'!Z181*12*'Modelo Tarifário'!$D$29*'Modelo Tarifário'!$C$56*'Modelo Tarifário'!$E$40))</f>
        <v>67263.113479150285</v>
      </c>
      <c r="Z51" s="1340">
        <f>IF(((Z8*'Modelo Tarifário'!$C$56*'Modelo Tarifário'!$E$40)*('Premissas Economias e Água'!AA321))&gt;('Premissas Economias e Água'!AA181*12*'Modelo Tarifário'!$D$29*'Modelo Tarifário'!$C$56*'Modelo Tarifário'!$E$40),(Z8*'Modelo Tarifário'!$C$56*'Modelo Tarifário'!$E$40)*('Premissas Economias e Água'!AA321),('Premissas Economias e Água'!AA181*12*'Modelo Tarifário'!$D$29*'Modelo Tarifário'!$C$56*'Modelo Tarifário'!$E$40))</f>
        <v>67535.959796141222</v>
      </c>
      <c r="AA51" s="1340">
        <f>IF(((AA8*'Modelo Tarifário'!$C$56*'Modelo Tarifário'!$E$40)*('Premissas Economias e Água'!AB321))&gt;('Premissas Economias e Água'!AB181*12*'Modelo Tarifário'!$D$29*'Modelo Tarifário'!$C$56*'Modelo Tarifário'!$E$40),(AA8*'Modelo Tarifário'!$C$56*'Modelo Tarifário'!$E$40)*('Premissas Economias e Água'!AB321),('Premissas Economias e Água'!AB181*12*'Modelo Tarifário'!$D$29*'Modelo Tarifário'!$C$56*'Modelo Tarifário'!$E$40))</f>
        <v>67808.806113132174</v>
      </c>
      <c r="AB51" s="1340">
        <f>IF(((AB8*'Modelo Tarifário'!$C$56*'Modelo Tarifário'!$E$40)*('Premissas Economias e Água'!AC321))&gt;('Premissas Economias e Água'!AC181*12*'Modelo Tarifário'!$D$29*'Modelo Tarifário'!$C$56*'Modelo Tarifário'!$E$40),(AB8*'Modelo Tarifário'!$C$56*'Modelo Tarifário'!$E$40)*('Premissas Economias e Água'!AC321),('Premissas Economias e Água'!AC181*12*'Modelo Tarifário'!$D$29*'Modelo Tarifário'!$C$56*'Modelo Tarifário'!$E$40))</f>
        <v>68081.65243012314</v>
      </c>
      <c r="AC51" s="1340">
        <f>IF(((AC8*'Modelo Tarifário'!$C$56*'Modelo Tarifário'!$E$40)*('Premissas Economias e Água'!AD321))&gt;('Premissas Economias e Água'!AD181*12*'Modelo Tarifário'!$D$29*'Modelo Tarifário'!$C$56*'Modelo Tarifário'!$E$40),(AC8*'Modelo Tarifário'!$C$56*'Modelo Tarifário'!$E$40)*('Premissas Economias e Água'!AD321),('Premissas Economias e Água'!AD181*12*'Modelo Tarifário'!$D$29*'Modelo Tarifário'!$C$56*'Modelo Tarifário'!$E$40))</f>
        <v>68354.498747114092</v>
      </c>
      <c r="AD51" s="1340">
        <f>IF(((AD8*'Modelo Tarifário'!$C$56*'Modelo Tarifário'!$E$40)*('Premissas Economias e Água'!AE321))&gt;('Premissas Economias e Água'!AE181*12*'Modelo Tarifário'!$D$29*'Modelo Tarifário'!$C$56*'Modelo Tarifário'!$E$40),(AD8*'Modelo Tarifário'!$C$56*'Modelo Tarifário'!$E$40)*('Premissas Economias e Água'!AE321),('Premissas Economias e Água'!AE181*12*'Modelo Tarifário'!$D$29*'Modelo Tarifário'!$C$56*'Modelo Tarifário'!$E$40))</f>
        <v>68627.345064105029</v>
      </c>
      <c r="AE51" s="1340">
        <f>IF(((AE8*'Modelo Tarifário'!$C$56*'Modelo Tarifário'!$E$40)*('Premissas Economias e Água'!AF321))&gt;('Premissas Economias e Água'!AF181*12*'Modelo Tarifário'!$D$29*'Modelo Tarifário'!$C$56*'Modelo Tarifário'!$E$40),(AE8*'Modelo Tarifário'!$C$56*'Modelo Tarifário'!$E$40)*('Premissas Economias e Água'!AF321),('Premissas Economias e Água'!AF181*12*'Modelo Tarifário'!$D$29*'Modelo Tarifário'!$C$56*'Modelo Tarifário'!$E$40))</f>
        <v>68900.191381095981</v>
      </c>
      <c r="AF51" s="1340">
        <f>IF(((AF8*'Modelo Tarifário'!$C$56*'Modelo Tarifário'!$E$40)*('Premissas Economias e Água'!AG321))&gt;('Premissas Economias e Água'!AG181*12*'Modelo Tarifário'!$D$29*'Modelo Tarifário'!$C$56*'Modelo Tarifário'!$E$40),(AF8*'Modelo Tarifário'!$C$56*'Modelo Tarifário'!$E$40)*('Premissas Economias e Água'!AG321),('Premissas Economias e Água'!AG181*12*'Modelo Tarifário'!$D$29*'Modelo Tarifário'!$C$56*'Modelo Tarifário'!$E$40))</f>
        <v>69173.037698086948</v>
      </c>
      <c r="AG51" s="1340">
        <f>IF(((AG8*'Modelo Tarifário'!$C$56*'Modelo Tarifário'!$E$40)*('Premissas Economias e Água'!AH321))&gt;('Premissas Economias e Água'!AH181*12*'Modelo Tarifário'!$D$29*'Modelo Tarifário'!$C$56*'Modelo Tarifário'!$E$40),(AG8*'Modelo Tarifário'!$C$56*'Modelo Tarifário'!$E$40)*('Premissas Economias e Água'!AH321),('Premissas Economias e Água'!AH181*12*'Modelo Tarifário'!$D$29*'Modelo Tarifário'!$C$56*'Modelo Tarifário'!$E$40))</f>
        <v>69445.8840150779</v>
      </c>
      <c r="AH51" s="1340">
        <f>IF(((AH8*'Modelo Tarifário'!$C$56*'Modelo Tarifário'!$E$40)*('Premissas Economias e Água'!AI321))&gt;('Premissas Economias e Água'!AI181*12*'Modelo Tarifário'!$D$29*'Modelo Tarifário'!$C$56*'Modelo Tarifário'!$E$40),(AH8*'Modelo Tarifário'!$C$56*'Modelo Tarifário'!$E$40)*('Premissas Economias e Água'!AI321),('Premissas Economias e Água'!AI181*12*'Modelo Tarifário'!$D$29*'Modelo Tarifário'!$C$56*'Modelo Tarifário'!$E$40))</f>
        <v>69718.730332068837</v>
      </c>
    </row>
    <row r="52" spans="2:34" s="79" customFormat="1" ht="12" hidden="1" outlineLevel="1" x14ac:dyDescent="0.3">
      <c r="B52" s="1339"/>
      <c r="C52" s="1335" t="s">
        <v>282</v>
      </c>
      <c r="D52" s="1335"/>
      <c r="E52" s="1340">
        <f>IF(((E8*'Modelo Tarifário'!$C$56*'Modelo Tarifário'!$E$41)*('Premissas Economias e Água'!F322))&gt;('Premissas Economias e Água'!F182*12*'Modelo Tarifário'!$D$29*'Modelo Tarifário'!$C$56*'Modelo Tarifário'!$E$41),(E8*'Modelo Tarifário'!$C$56*'Modelo Tarifário'!$E$41)*('Premissas Economias e Água'!F322),('Premissas Economias e Água'!F182*12*'Modelo Tarifário'!$D$29*'Modelo Tarifário'!$C$56*'Modelo Tarifário'!$E$41))</f>
        <v>53657.484954406667</v>
      </c>
      <c r="F52" s="1340">
        <f>IF(((F8*'Modelo Tarifário'!$C$56*'Modelo Tarifário'!$E$41)*('Premissas Economias e Água'!G322))&gt;('Premissas Economias e Água'!G182*12*'Modelo Tarifário'!$D$29*'Modelo Tarifário'!$C$56*'Modelo Tarifário'!$E$41),(F8*'Modelo Tarifário'!$C$56*'Modelo Tarifário'!$E$41)*('Premissas Economias e Água'!G322),('Premissas Economias e Água'!G182*12*'Modelo Tarifário'!$D$29*'Modelo Tarifário'!$C$56*'Modelo Tarifário'!$E$41))</f>
        <v>54154.368289890095</v>
      </c>
      <c r="G52" s="1340">
        <f>IF(((G8*'Modelo Tarifário'!$C$56*'Modelo Tarifário'!$E$41)*('Premissas Economias e Água'!H322))&gt;('Premissas Economias e Água'!H182*12*'Modelo Tarifário'!$D$29*'Modelo Tarifário'!$C$56*'Modelo Tarifário'!$E$41),(G8*'Modelo Tarifário'!$C$56*'Modelo Tarifário'!$E$41)*('Premissas Economias e Água'!H322),('Premissas Economias e Água'!H182*12*'Modelo Tarifário'!$D$29*'Modelo Tarifário'!$C$56*'Modelo Tarifário'!$E$41))</f>
        <v>54651.251625373523</v>
      </c>
      <c r="H52" s="1340">
        <f>IF(((H8*'Modelo Tarifário'!$C$56*'Modelo Tarifário'!$E$41)*('Premissas Economias e Água'!I322))&gt;('Premissas Economias e Água'!I182*12*'Modelo Tarifário'!$D$29*'Modelo Tarifário'!$C$56*'Modelo Tarifário'!$E$41),(H8*'Modelo Tarifário'!$C$56*'Modelo Tarifário'!$E$41)*('Premissas Economias e Água'!I322),('Premissas Economias e Água'!I182*12*'Modelo Tarifário'!$D$29*'Modelo Tarifário'!$C$56*'Modelo Tarifário'!$E$41))</f>
        <v>55148.134960856944</v>
      </c>
      <c r="I52" s="1340">
        <f>IF(((I8*'Modelo Tarifário'!$C$56*'Modelo Tarifário'!$E$41)*('Premissas Economias e Água'!J322))&gt;('Premissas Economias e Água'!J182*12*'Modelo Tarifário'!$D$29*'Modelo Tarifário'!$C$56*'Modelo Tarifário'!$E$41),(I8*'Modelo Tarifário'!$C$56*'Modelo Tarifário'!$E$41)*('Premissas Economias e Água'!J322),('Premissas Economias e Água'!J182*12*'Modelo Tarifário'!$D$29*'Modelo Tarifário'!$C$56*'Modelo Tarifário'!$E$41))</f>
        <v>55645.018296340371</v>
      </c>
      <c r="J52" s="1340">
        <f>IF(((J8*'Modelo Tarifário'!$C$56*'Modelo Tarifário'!$E$41)*('Premissas Economias e Água'!K322))&gt;('Premissas Economias e Água'!K182*12*'Modelo Tarifário'!$D$29*'Modelo Tarifário'!$C$56*'Modelo Tarifário'!$E$41),(J8*'Modelo Tarifário'!$C$56*'Modelo Tarifário'!$E$41)*('Premissas Economias e Água'!K322),('Premissas Economias e Água'!K182*12*'Modelo Tarifário'!$D$29*'Modelo Tarifário'!$C$56*'Modelo Tarifário'!$E$41))</f>
        <v>56135.986354020431</v>
      </c>
      <c r="K52" s="1340">
        <f>IF(((K8*'Modelo Tarifário'!$C$56*'Modelo Tarifário'!$E$41)*('Premissas Economias e Água'!L322))&gt;('Premissas Economias e Água'!L182*12*'Modelo Tarifário'!$D$29*'Modelo Tarifário'!$C$56*'Modelo Tarifário'!$E$41),(K8*'Modelo Tarifário'!$C$56*'Modelo Tarifário'!$E$41)*('Premissas Economias e Água'!L322),('Premissas Economias e Água'!L182*12*'Modelo Tarifário'!$D$29*'Modelo Tarifário'!$C$56*'Modelo Tarifário'!$E$41))</f>
        <v>56567.801633666735</v>
      </c>
      <c r="L52" s="1340">
        <f>IF(((L8*'Modelo Tarifário'!$C$56*'Modelo Tarifário'!$E$41)*('Premissas Economias e Água'!M322))&gt;('Premissas Economias e Água'!M182*12*'Modelo Tarifário'!$D$29*'Modelo Tarifário'!$C$56*'Modelo Tarifário'!$E$41),(L8*'Modelo Tarifário'!$C$56*'Modelo Tarifário'!$E$41)*('Premissas Economias e Água'!M322),('Premissas Economias e Água'!M182*12*'Modelo Tarifário'!$D$29*'Modelo Tarifário'!$C$56*'Modelo Tarifário'!$E$41))</f>
        <v>56999.616913313046</v>
      </c>
      <c r="M52" s="1340">
        <f>IF(((M8*'Modelo Tarifário'!$C$56*'Modelo Tarifário'!$E$41)*('Premissas Economias e Água'!N322))&gt;('Premissas Economias e Água'!N182*12*'Modelo Tarifário'!$D$29*'Modelo Tarifário'!$C$56*'Modelo Tarifário'!$E$41),(M8*'Modelo Tarifário'!$C$56*'Modelo Tarifário'!$E$41)*('Premissas Economias e Água'!N322),('Premissas Economias e Água'!N182*12*'Modelo Tarifário'!$D$29*'Modelo Tarifário'!$C$56*'Modelo Tarifário'!$E$41))</f>
        <v>57431.43219295935</v>
      </c>
      <c r="N52" s="1340">
        <f>IF(((N8*'Modelo Tarifário'!$C$56*'Modelo Tarifário'!$E$41)*('Premissas Economias e Água'!O322))&gt;('Premissas Economias e Água'!O182*12*'Modelo Tarifário'!$D$29*'Modelo Tarifário'!$C$56*'Modelo Tarifário'!$E$41),(N8*'Modelo Tarifário'!$C$56*'Modelo Tarifário'!$E$41)*('Premissas Economias e Água'!O322),('Premissas Economias e Água'!O182*12*'Modelo Tarifário'!$D$29*'Modelo Tarifário'!$C$56*'Modelo Tarifário'!$E$41))</f>
        <v>57863.247472605668</v>
      </c>
      <c r="O52" s="1340">
        <f>IF(((O8*'Modelo Tarifário'!$C$56*'Modelo Tarifário'!$E$41)*('Premissas Economias e Água'!P322))&gt;('Premissas Economias e Água'!P182*12*'Modelo Tarifário'!$D$29*'Modelo Tarifário'!$C$56*'Modelo Tarifário'!$E$41),(O8*'Modelo Tarifário'!$C$56*'Modelo Tarifário'!$E$41)*('Premissas Economias e Água'!P322),('Premissas Economias e Água'!P182*12*'Modelo Tarifário'!$D$29*'Modelo Tarifário'!$C$56*'Modelo Tarifário'!$E$41))</f>
        <v>58289.147474448597</v>
      </c>
      <c r="P52" s="1340">
        <f>IF(((P8*'Modelo Tarifário'!$C$56*'Modelo Tarifário'!$E$41)*('Premissas Economias e Água'!Q322))&gt;('Premissas Economias e Água'!Q182*12*'Modelo Tarifário'!$D$29*'Modelo Tarifário'!$C$56*'Modelo Tarifário'!$E$41),(P8*'Modelo Tarifário'!$C$56*'Modelo Tarifário'!$E$41)*('Premissas Economias e Água'!Q322),('Premissas Economias e Água'!Q182*12*'Modelo Tarifário'!$D$29*'Modelo Tarifário'!$C$56*'Modelo Tarifário'!$E$41))</f>
        <v>58632.233587044298</v>
      </c>
      <c r="Q52" s="1340">
        <f>IF(((Q8*'Modelo Tarifário'!$C$56*'Modelo Tarifário'!$E$41)*('Premissas Economias e Água'!R322))&gt;('Premissas Economias e Água'!R182*12*'Modelo Tarifário'!$D$29*'Modelo Tarifário'!$C$56*'Modelo Tarifário'!$E$41),(Q8*'Modelo Tarifário'!$C$56*'Modelo Tarifário'!$E$41)*('Premissas Economias e Água'!R322),('Premissas Economias e Água'!R182*12*'Modelo Tarifário'!$D$29*'Modelo Tarifário'!$C$56*'Modelo Tarifário'!$E$41))</f>
        <v>58975.319699640007</v>
      </c>
      <c r="R52" s="1340">
        <f>IF(((R8*'Modelo Tarifário'!$C$56*'Modelo Tarifário'!$E$41)*('Premissas Economias e Água'!S322))&gt;('Premissas Economias e Água'!S182*12*'Modelo Tarifário'!$D$29*'Modelo Tarifário'!$C$56*'Modelo Tarifário'!$E$41),(R8*'Modelo Tarifário'!$C$56*'Modelo Tarifário'!$E$41)*('Premissas Economias e Água'!S322),('Premissas Economias e Água'!S182*12*'Modelo Tarifário'!$D$29*'Modelo Tarifário'!$C$56*'Modelo Tarifário'!$E$41))</f>
        <v>59318.405812235695</v>
      </c>
      <c r="S52" s="1340">
        <f>IF(((S8*'Modelo Tarifário'!$C$56*'Modelo Tarifário'!$E$41)*('Premissas Economias e Água'!T322))&gt;('Premissas Economias e Água'!T182*12*'Modelo Tarifário'!$D$29*'Modelo Tarifário'!$C$56*'Modelo Tarifário'!$E$41),(S8*'Modelo Tarifário'!$C$56*'Modelo Tarifário'!$E$41)*('Premissas Economias e Água'!T322),('Premissas Economias e Água'!T182*12*'Modelo Tarifário'!$D$29*'Modelo Tarifário'!$C$56*'Modelo Tarifário'!$E$41))</f>
        <v>59661.491924831396</v>
      </c>
      <c r="T52" s="1340">
        <f>IF(((T8*'Modelo Tarifário'!$C$56*'Modelo Tarifário'!$E$41)*('Premissas Economias e Água'!U322))&gt;('Premissas Economias e Água'!U182*12*'Modelo Tarifário'!$D$29*'Modelo Tarifário'!$C$56*'Modelo Tarifário'!$E$41),(T8*'Modelo Tarifário'!$C$56*'Modelo Tarifário'!$E$41)*('Premissas Economias e Água'!U322),('Premissas Economias e Água'!U182*12*'Modelo Tarifário'!$D$29*'Modelo Tarifário'!$C$56*'Modelo Tarifário'!$E$41))</f>
        <v>60016.408593033848</v>
      </c>
      <c r="U52" s="1340">
        <f>IF(((U8*'Modelo Tarifário'!$C$56*'Modelo Tarifário'!$E$41)*('Premissas Economias e Água'!V322))&gt;('Premissas Economias e Água'!V182*12*'Modelo Tarifário'!$D$29*'Modelo Tarifário'!$C$56*'Modelo Tarifário'!$E$41),(U8*'Modelo Tarifário'!$C$56*'Modelo Tarifário'!$E$41)*('Premissas Economias e Água'!V322),('Premissas Economias e Água'!V182*12*'Modelo Tarifário'!$D$29*'Modelo Tarifário'!$C$56*'Modelo Tarifário'!$E$41))</f>
        <v>60264.850260775558</v>
      </c>
      <c r="V52" s="1340">
        <f>IF(((V8*'Modelo Tarifário'!$C$56*'Modelo Tarifário'!$E$41)*('Premissas Economias e Água'!W322))&gt;('Premissas Economias e Água'!W182*12*'Modelo Tarifário'!$D$29*'Modelo Tarifário'!$C$56*'Modelo Tarifário'!$E$41),(V8*'Modelo Tarifário'!$C$56*'Modelo Tarifário'!$E$41)*('Premissas Economias e Água'!W322),('Premissas Economias e Água'!W182*12*'Modelo Tarifário'!$D$29*'Modelo Tarifário'!$C$56*'Modelo Tarifário'!$E$41))</f>
        <v>60513.291928517276</v>
      </c>
      <c r="W52" s="1340">
        <f>IF(((W8*'Modelo Tarifário'!$C$56*'Modelo Tarifário'!$E$41)*('Premissas Economias e Água'!X322))&gt;('Premissas Economias e Água'!X182*12*'Modelo Tarifário'!$D$29*'Modelo Tarifário'!$C$56*'Modelo Tarifário'!$E$41),(W8*'Modelo Tarifário'!$C$56*'Modelo Tarifário'!$E$41)*('Premissas Economias e Água'!X322),('Premissas Economias e Água'!X182*12*'Modelo Tarifário'!$D$29*'Modelo Tarifário'!$C$56*'Modelo Tarifário'!$E$41))</f>
        <v>60761.733596258986</v>
      </c>
      <c r="X52" s="1340">
        <f>IF(((X8*'Modelo Tarifário'!$C$56*'Modelo Tarifário'!$E$41)*('Premissas Economias e Água'!Y322))&gt;('Premissas Economias e Água'!Y182*12*'Modelo Tarifário'!$D$29*'Modelo Tarifário'!$C$56*'Modelo Tarifário'!$E$41),(X8*'Modelo Tarifário'!$C$56*'Modelo Tarifário'!$E$41)*('Premissas Economias e Água'!Y322),('Premissas Economias e Água'!Y182*12*'Modelo Tarifário'!$D$29*'Modelo Tarifário'!$C$56*'Modelo Tarifário'!$E$41))</f>
        <v>61010.175264000696</v>
      </c>
      <c r="Y52" s="1340">
        <f>IF(((Y8*'Modelo Tarifário'!$C$56*'Modelo Tarifário'!$E$41)*('Premissas Economias e Água'!Z322))&gt;('Premissas Economias e Água'!Z182*12*'Modelo Tarifário'!$D$29*'Modelo Tarifário'!$C$56*'Modelo Tarifário'!$E$41),(Y8*'Modelo Tarifário'!$C$56*'Modelo Tarifário'!$E$41)*('Premissas Economias e Água'!Z322),('Premissas Economias e Água'!Z182*12*'Modelo Tarifário'!$D$29*'Modelo Tarifário'!$C$56*'Modelo Tarifário'!$E$41))</f>
        <v>61246.786376135657</v>
      </c>
      <c r="Z52" s="1340">
        <f>IF(((Z8*'Modelo Tarifário'!$C$56*'Modelo Tarifário'!$E$41)*('Premissas Economias e Água'!AA322))&gt;('Premissas Economias e Água'!AA182*12*'Modelo Tarifário'!$D$29*'Modelo Tarifário'!$C$56*'Modelo Tarifário'!$E$41),(Z8*'Modelo Tarifário'!$C$56*'Modelo Tarifário'!$E$41)*('Premissas Economias e Água'!AA322),('Premissas Economias e Água'!AA182*12*'Modelo Tarifário'!$D$29*'Modelo Tarifário'!$C$56*'Modelo Tarifário'!$E$41))</f>
        <v>61495.228043877381</v>
      </c>
      <c r="AA52" s="1340">
        <f>IF(((AA8*'Modelo Tarifário'!$C$56*'Modelo Tarifário'!$E$41)*('Premissas Economias e Água'!AB322))&gt;('Premissas Economias e Água'!AB182*12*'Modelo Tarifário'!$D$29*'Modelo Tarifário'!$C$56*'Modelo Tarifário'!$E$41),(AA8*'Modelo Tarifário'!$C$56*'Modelo Tarifário'!$E$41)*('Premissas Economias e Água'!AB322),('Premissas Economias e Água'!AB182*12*'Modelo Tarifário'!$D$29*'Modelo Tarifário'!$C$56*'Modelo Tarifário'!$E$41))</f>
        <v>61743.669711619092</v>
      </c>
      <c r="AB52" s="1340">
        <f>IF(((AB8*'Modelo Tarifário'!$C$56*'Modelo Tarifário'!$E$41)*('Premissas Economias e Água'!AC322))&gt;('Premissas Economias e Água'!AC182*12*'Modelo Tarifário'!$D$29*'Modelo Tarifário'!$C$56*'Modelo Tarifário'!$E$41),(AB8*'Modelo Tarifário'!$C$56*'Modelo Tarifário'!$E$41)*('Premissas Economias e Água'!AC322),('Premissas Economias e Água'!AC182*12*'Modelo Tarifário'!$D$29*'Modelo Tarifário'!$C$56*'Modelo Tarifário'!$E$41))</f>
        <v>61992.111379360809</v>
      </c>
      <c r="AC52" s="1340">
        <f>IF(((AC8*'Modelo Tarifário'!$C$56*'Modelo Tarifário'!$E$41)*('Premissas Economias e Água'!AD322))&gt;('Premissas Economias e Água'!AD182*12*'Modelo Tarifário'!$D$29*'Modelo Tarifário'!$C$56*'Modelo Tarifário'!$E$41),(AC8*'Modelo Tarifário'!$C$56*'Modelo Tarifário'!$E$41)*('Premissas Economias e Água'!AD322),('Premissas Economias e Água'!AD182*12*'Modelo Tarifário'!$D$29*'Modelo Tarifário'!$C$56*'Modelo Tarifário'!$E$41))</f>
        <v>62240.553047102519</v>
      </c>
      <c r="AD52" s="1340">
        <f>IF(((AD8*'Modelo Tarifário'!$C$56*'Modelo Tarifário'!$E$41)*('Premissas Economias e Água'!AE322))&gt;('Premissas Economias e Água'!AE182*12*'Modelo Tarifário'!$D$29*'Modelo Tarifário'!$C$56*'Modelo Tarifário'!$E$41),(AD8*'Modelo Tarifário'!$C$56*'Modelo Tarifário'!$E$41)*('Premissas Economias e Água'!AE322),('Premissas Economias e Água'!AE182*12*'Modelo Tarifário'!$D$29*'Modelo Tarifário'!$C$56*'Modelo Tarifário'!$E$41))</f>
        <v>62488.99471484423</v>
      </c>
      <c r="AE52" s="1340">
        <f>IF(((AE8*'Modelo Tarifário'!$C$56*'Modelo Tarifário'!$E$41)*('Premissas Economias e Água'!AF322))&gt;('Premissas Economias e Água'!AF182*12*'Modelo Tarifário'!$D$29*'Modelo Tarifário'!$C$56*'Modelo Tarifário'!$E$41),(AE8*'Modelo Tarifário'!$C$56*'Modelo Tarifário'!$E$41)*('Premissas Economias e Água'!AF322),('Premissas Economias e Água'!AF182*12*'Modelo Tarifário'!$D$29*'Modelo Tarifário'!$C$56*'Modelo Tarifário'!$E$41))</f>
        <v>62737.436382585947</v>
      </c>
      <c r="AF52" s="1340">
        <f>IF(((AF8*'Modelo Tarifário'!$C$56*'Modelo Tarifário'!$E$41)*('Premissas Economias e Água'!AG322))&gt;('Premissas Economias e Água'!AG182*12*'Modelo Tarifário'!$D$29*'Modelo Tarifário'!$C$56*'Modelo Tarifário'!$E$41),(AF8*'Modelo Tarifário'!$C$56*'Modelo Tarifário'!$E$41)*('Premissas Economias e Água'!AG322),('Premissas Economias e Água'!AG182*12*'Modelo Tarifário'!$D$29*'Modelo Tarifário'!$C$56*'Modelo Tarifário'!$E$41))</f>
        <v>62985.878050327658</v>
      </c>
      <c r="AG52" s="1340">
        <f>IF(((AG8*'Modelo Tarifário'!$C$56*'Modelo Tarifário'!$E$41)*('Premissas Economias e Água'!AH322))&gt;('Premissas Economias e Água'!AH182*12*'Modelo Tarifário'!$D$29*'Modelo Tarifário'!$C$56*'Modelo Tarifário'!$E$41),(AG8*'Modelo Tarifário'!$C$56*'Modelo Tarifário'!$E$41)*('Premissas Economias e Água'!AH322),('Premissas Economias e Água'!AH182*12*'Modelo Tarifário'!$D$29*'Modelo Tarifário'!$C$56*'Modelo Tarifário'!$E$41))</f>
        <v>63234.319718069375</v>
      </c>
      <c r="AH52" s="1340">
        <f>IF(((AH8*'Modelo Tarifário'!$C$56*'Modelo Tarifário'!$E$41)*('Premissas Economias e Água'!AI322))&gt;('Premissas Economias e Água'!AI182*12*'Modelo Tarifário'!$D$29*'Modelo Tarifário'!$C$56*'Modelo Tarifário'!$E$41),(AH8*'Modelo Tarifário'!$C$56*'Modelo Tarifário'!$E$41)*('Premissas Economias e Água'!AI322),('Premissas Economias e Água'!AI182*12*'Modelo Tarifário'!$D$29*'Modelo Tarifário'!$C$56*'Modelo Tarifário'!$E$41))</f>
        <v>63482.761385811085</v>
      </c>
    </row>
    <row r="53" spans="2:34" s="79" customFormat="1" ht="12" hidden="1" outlineLevel="1" x14ac:dyDescent="0.3">
      <c r="B53" s="1339"/>
      <c r="C53" s="1335" t="s">
        <v>283</v>
      </c>
      <c r="D53" s="1335"/>
      <c r="E53" s="1340">
        <f>IF(((E8*'Modelo Tarifário'!$C$56*'Modelo Tarifário'!$E$42)*('Premissas Economias e Água'!F323))&gt;('Premissas Economias e Água'!F183*12*'Modelo Tarifário'!$D$29*'Modelo Tarifário'!$C$56*'Modelo Tarifário'!$E$42),(E8*'Modelo Tarifário'!$C$56*'Modelo Tarifário'!$E$42)*('Premissas Economias e Água'!F323),('Premissas Economias e Água'!F183*12*'Modelo Tarifário'!$D$29*'Modelo Tarifário'!$C$56*'Modelo Tarifário'!$E$42))</f>
        <v>12918.162355745271</v>
      </c>
      <c r="F53" s="1340">
        <f>IF(((F8*'Modelo Tarifário'!$C$56*'Modelo Tarifário'!$E$42)*('Premissas Economias e Água'!G323))&gt;('Premissas Economias e Água'!G183*12*'Modelo Tarifário'!$D$29*'Modelo Tarifário'!$C$56*'Modelo Tarifário'!$E$42),(F8*'Modelo Tarifário'!$C$56*'Modelo Tarifário'!$E$42)*('Premissas Economias e Água'!G323),('Premissas Economias e Água'!G183*12*'Modelo Tarifário'!$D$29*'Modelo Tarifário'!$C$56*'Modelo Tarifário'!$E$42))</f>
        <v>13037.788156415827</v>
      </c>
      <c r="G53" s="1340">
        <f>IF(((G8*'Modelo Tarifário'!$C$56*'Modelo Tarifário'!$E$42)*('Premissas Economias e Água'!H323))&gt;('Premissas Economias e Água'!H183*12*'Modelo Tarifário'!$D$29*'Modelo Tarifário'!$C$56*'Modelo Tarifário'!$E$42),(G8*'Modelo Tarifário'!$C$56*'Modelo Tarifário'!$E$42)*('Premissas Economias e Água'!H323),('Premissas Economias e Água'!H183*12*'Modelo Tarifário'!$D$29*'Modelo Tarifário'!$C$56*'Modelo Tarifário'!$E$42))</f>
        <v>13157.413957086381</v>
      </c>
      <c r="H53" s="1340">
        <f>IF(((H8*'Modelo Tarifário'!$C$56*'Modelo Tarifário'!$E$42)*('Premissas Economias e Água'!I323))&gt;('Premissas Economias e Água'!I183*12*'Modelo Tarifário'!$D$29*'Modelo Tarifário'!$C$56*'Modelo Tarifário'!$E$42),(H8*'Modelo Tarifário'!$C$56*'Modelo Tarifário'!$E$42)*('Premissas Economias e Água'!I323),('Premissas Economias e Água'!I183*12*'Modelo Tarifário'!$D$29*'Modelo Tarifário'!$C$56*'Modelo Tarifário'!$E$42))</f>
        <v>13277.039757756937</v>
      </c>
      <c r="I53" s="1340">
        <f>IF(((I8*'Modelo Tarifário'!$C$56*'Modelo Tarifário'!$E$42)*('Premissas Economias e Água'!J323))&gt;('Premissas Economias e Água'!J183*12*'Modelo Tarifário'!$D$29*'Modelo Tarifário'!$C$56*'Modelo Tarifário'!$E$42),(I8*'Modelo Tarifário'!$C$56*'Modelo Tarifário'!$E$42)*('Premissas Economias e Água'!J323),('Premissas Economias e Água'!J183*12*'Modelo Tarifário'!$D$29*'Modelo Tarifário'!$C$56*'Modelo Tarifário'!$E$42))</f>
        <v>13396.665558427492</v>
      </c>
      <c r="J53" s="1340">
        <f>IF(((J8*'Modelo Tarifário'!$C$56*'Modelo Tarifário'!$E$42)*('Premissas Economias e Água'!K323))&gt;('Premissas Economias e Água'!K183*12*'Modelo Tarifário'!$D$29*'Modelo Tarifário'!$C$56*'Modelo Tarifário'!$E$42),(J8*'Modelo Tarifário'!$C$56*'Modelo Tarifário'!$E$42)*('Premissas Economias e Água'!K323),('Premissas Economias e Água'!K183*12*'Modelo Tarifário'!$D$29*'Modelo Tarifário'!$C$56*'Modelo Tarifário'!$E$42))</f>
        <v>13514.867242423399</v>
      </c>
      <c r="K53" s="1340">
        <f>IF(((K8*'Modelo Tarifário'!$C$56*'Modelo Tarifário'!$E$42)*('Premissas Economias e Água'!L323))&gt;('Premissas Economias e Água'!L183*12*'Modelo Tarifário'!$D$29*'Modelo Tarifário'!$C$56*'Modelo Tarifário'!$E$42),(K8*'Modelo Tarifário'!$C$56*'Modelo Tarifário'!$E$42)*('Premissas Economias e Água'!L323),('Premissas Economias e Água'!L183*12*'Modelo Tarifário'!$D$29*'Modelo Tarifário'!$C$56*'Modelo Tarifário'!$E$42))</f>
        <v>13618.827759672806</v>
      </c>
      <c r="L53" s="1340">
        <f>IF(((L8*'Modelo Tarifário'!$C$56*'Modelo Tarifário'!$E$42)*('Premissas Economias e Água'!M323))&gt;('Premissas Economias e Água'!M183*12*'Modelo Tarifário'!$D$29*'Modelo Tarifário'!$C$56*'Modelo Tarifário'!$E$42),(L8*'Modelo Tarifário'!$C$56*'Modelo Tarifário'!$E$42)*('Premissas Economias e Água'!M323),('Premissas Economias e Água'!M183*12*'Modelo Tarifário'!$D$29*'Modelo Tarifário'!$C$56*'Modelo Tarifário'!$E$42))</f>
        <v>13722.788276922218</v>
      </c>
      <c r="M53" s="1340">
        <f>IF(((M8*'Modelo Tarifário'!$C$56*'Modelo Tarifário'!$E$42)*('Premissas Economias e Água'!N323))&gt;('Premissas Economias e Água'!N183*12*'Modelo Tarifário'!$D$29*'Modelo Tarifário'!$C$56*'Modelo Tarifário'!$E$42),(M8*'Modelo Tarifário'!$C$56*'Modelo Tarifário'!$E$42)*('Premissas Economias e Água'!N323),('Premissas Economias e Água'!N183*12*'Modelo Tarifário'!$D$29*'Modelo Tarifário'!$C$56*'Modelo Tarifário'!$E$42))</f>
        <v>13826.748794171626</v>
      </c>
      <c r="N53" s="1340">
        <f>IF(((N8*'Modelo Tarifário'!$C$56*'Modelo Tarifário'!$E$42)*('Premissas Economias e Água'!O323))&gt;('Premissas Economias e Água'!O183*12*'Modelo Tarifário'!$D$29*'Modelo Tarifário'!$C$56*'Modelo Tarifário'!$E$42),(N8*'Modelo Tarifário'!$C$56*'Modelo Tarifário'!$E$42)*('Premissas Economias e Água'!O323),('Premissas Economias e Água'!O183*12*'Modelo Tarifário'!$D$29*'Modelo Tarifário'!$C$56*'Modelo Tarifário'!$E$42))</f>
        <v>13930.709311421038</v>
      </c>
      <c r="O53" s="1340">
        <f>IF(((O8*'Modelo Tarifário'!$C$56*'Modelo Tarifário'!$E$42)*('Premissas Economias e Água'!P323))&gt;('Premissas Economias e Água'!P183*12*'Modelo Tarifário'!$D$29*'Modelo Tarifário'!$C$56*'Modelo Tarifário'!$E$42),(O8*'Modelo Tarifário'!$C$56*'Modelo Tarifário'!$E$42)*('Premissas Economias e Água'!P323),('Premissas Economias e Água'!P183*12*'Modelo Tarifário'!$D$29*'Modelo Tarifário'!$C$56*'Modelo Tarifário'!$E$42))</f>
        <v>14033.245711995802</v>
      </c>
      <c r="P53" s="1340">
        <f>IF(((P8*'Modelo Tarifário'!$C$56*'Modelo Tarifário'!$E$42)*('Premissas Economias e Água'!Q323))&gt;('Premissas Economias e Água'!Q183*12*'Modelo Tarifário'!$D$29*'Modelo Tarifário'!$C$56*'Modelo Tarifário'!$E$42),(P8*'Modelo Tarifário'!$C$56*'Modelo Tarifário'!$E$42)*('Premissas Economias e Água'!Q323),('Premissas Economias e Água'!Q183*12*'Modelo Tarifário'!$D$29*'Modelo Tarifário'!$C$56*'Modelo Tarifário'!$E$42))</f>
        <v>14115.844479125468</v>
      </c>
      <c r="Q53" s="1340">
        <f>IF(((Q8*'Modelo Tarifário'!$C$56*'Modelo Tarifário'!$E$42)*('Premissas Economias e Água'!R323))&gt;('Premissas Economias e Água'!R183*12*'Modelo Tarifário'!$D$29*'Modelo Tarifário'!$C$56*'Modelo Tarifário'!$E$42),(Q8*'Modelo Tarifário'!$C$56*'Modelo Tarifário'!$E$42)*('Premissas Economias e Água'!R323),('Premissas Economias e Água'!R183*12*'Modelo Tarifário'!$D$29*'Modelo Tarifário'!$C$56*'Modelo Tarifário'!$E$42))</f>
        <v>14198.443246255139</v>
      </c>
      <c r="R53" s="1340">
        <f>IF(((R8*'Modelo Tarifário'!$C$56*'Modelo Tarifário'!$E$42)*('Premissas Economias e Água'!S323))&gt;('Premissas Economias e Água'!S183*12*'Modelo Tarifário'!$D$29*'Modelo Tarifário'!$C$56*'Modelo Tarifário'!$E$42),(R8*'Modelo Tarifário'!$C$56*'Modelo Tarifário'!$E$42)*('Premissas Economias e Água'!S323),('Premissas Economias e Água'!S183*12*'Modelo Tarifário'!$D$29*'Modelo Tarifário'!$C$56*'Modelo Tarifário'!$E$42))</f>
        <v>14281.042013384806</v>
      </c>
      <c r="S53" s="1340">
        <f>IF(((S8*'Modelo Tarifário'!$C$56*'Modelo Tarifário'!$E$42)*('Premissas Economias e Água'!T323))&gt;('Premissas Economias e Água'!T183*12*'Modelo Tarifário'!$D$29*'Modelo Tarifário'!$C$56*'Modelo Tarifário'!$E$42),(S8*'Modelo Tarifário'!$C$56*'Modelo Tarifário'!$E$42)*('Premissas Economias e Água'!T323),('Premissas Economias e Água'!T183*12*'Modelo Tarifário'!$D$29*'Modelo Tarifário'!$C$56*'Modelo Tarifário'!$E$42))</f>
        <v>14363.640780514475</v>
      </c>
      <c r="T53" s="1340">
        <f>IF(((T8*'Modelo Tarifário'!$C$56*'Modelo Tarifário'!$E$42)*('Premissas Economias e Água'!U323))&gt;('Premissas Economias e Água'!U183*12*'Modelo Tarifário'!$D$29*'Modelo Tarifário'!$C$56*'Modelo Tarifário'!$E$42),(T8*'Modelo Tarifário'!$C$56*'Modelo Tarifário'!$E$42)*('Premissas Economias e Água'!U323),('Premissas Economias e Água'!U183*12*'Modelo Tarifário'!$D$29*'Modelo Tarifário'!$C$56*'Modelo Tarifário'!$E$42))</f>
        <v>14449.087780993445</v>
      </c>
      <c r="U53" s="1340">
        <f>IF(((U8*'Modelo Tarifário'!$C$56*'Modelo Tarifário'!$E$42)*('Premissas Economias e Água'!V323))&gt;('Premissas Economias e Água'!V183*12*'Modelo Tarifário'!$D$29*'Modelo Tarifário'!$C$56*'Modelo Tarifário'!$E$42),(U8*'Modelo Tarifário'!$C$56*'Modelo Tarifário'!$E$42)*('Premissas Economias e Água'!V323),('Premissas Economias e Água'!V183*12*'Modelo Tarifário'!$D$29*'Modelo Tarifário'!$C$56*'Modelo Tarifário'!$E$42))</f>
        <v>14508.90068132872</v>
      </c>
      <c r="V53" s="1340">
        <f>IF(((V8*'Modelo Tarifário'!$C$56*'Modelo Tarifário'!$E$42)*('Premissas Economias e Água'!W323))&gt;('Premissas Economias e Água'!W183*12*'Modelo Tarifário'!$D$29*'Modelo Tarifário'!$C$56*'Modelo Tarifário'!$E$42),(V8*'Modelo Tarifário'!$C$56*'Modelo Tarifário'!$E$42)*('Premissas Economias e Água'!W323),('Premissas Economias e Água'!W183*12*'Modelo Tarifário'!$D$29*'Modelo Tarifário'!$C$56*'Modelo Tarifário'!$E$42))</f>
        <v>14568.713581663998</v>
      </c>
      <c r="W53" s="1340">
        <f>IF(((W8*'Modelo Tarifário'!$C$56*'Modelo Tarifário'!$E$42)*('Premissas Economias e Água'!X323))&gt;('Premissas Economias e Água'!X183*12*'Modelo Tarifário'!$D$29*'Modelo Tarifário'!$C$56*'Modelo Tarifário'!$E$42),(W8*'Modelo Tarifário'!$C$56*'Modelo Tarifário'!$E$42)*('Premissas Economias e Água'!X323),('Premissas Economias e Água'!X183*12*'Modelo Tarifário'!$D$29*'Modelo Tarifário'!$C$56*'Modelo Tarifário'!$E$42))</f>
        <v>14628.526481999275</v>
      </c>
      <c r="X53" s="1340">
        <f>IF(((X8*'Modelo Tarifário'!$C$56*'Modelo Tarifário'!$E$42)*('Premissas Economias e Água'!Y323))&gt;('Premissas Economias e Água'!Y183*12*'Modelo Tarifário'!$D$29*'Modelo Tarifário'!$C$56*'Modelo Tarifário'!$E$42),(X8*'Modelo Tarifário'!$C$56*'Modelo Tarifário'!$E$42)*('Premissas Economias e Água'!Y323),('Premissas Economias e Água'!Y183*12*'Modelo Tarifário'!$D$29*'Modelo Tarifário'!$C$56*'Modelo Tarifário'!$E$42))</f>
        <v>14688.339382334554</v>
      </c>
      <c r="Y53" s="1340">
        <f>IF(((Y8*'Modelo Tarifário'!$C$56*'Modelo Tarifário'!$E$42)*('Premissas Economias e Água'!Z323))&gt;('Premissas Economias e Água'!Z183*12*'Modelo Tarifário'!$D$29*'Modelo Tarifário'!$C$56*'Modelo Tarifário'!$E$42),(Y8*'Modelo Tarifário'!$C$56*'Modelo Tarifário'!$E$42)*('Premissas Economias e Água'!Z323),('Premissas Economias e Água'!Z183*12*'Modelo Tarifário'!$D$29*'Modelo Tarifário'!$C$56*'Modelo Tarifário'!$E$42))</f>
        <v>14745.304049320532</v>
      </c>
      <c r="Z53" s="1340">
        <f>IF(((Z8*'Modelo Tarifário'!$C$56*'Modelo Tarifário'!$E$42)*('Premissas Economias e Água'!AA323))&gt;('Premissas Economias e Água'!AA183*12*'Modelo Tarifário'!$D$29*'Modelo Tarifário'!$C$56*'Modelo Tarifário'!$E$42),(Z8*'Modelo Tarifário'!$C$56*'Modelo Tarifário'!$E$42)*('Premissas Economias e Água'!AA323),('Premissas Economias e Água'!AA183*12*'Modelo Tarifário'!$D$29*'Modelo Tarifário'!$C$56*'Modelo Tarifário'!$E$42))</f>
        <v>14805.11694965581</v>
      </c>
      <c r="AA53" s="1340">
        <f>IF(((AA8*'Modelo Tarifário'!$C$56*'Modelo Tarifário'!$E$42)*('Premissas Economias e Água'!AB323))&gt;('Premissas Economias e Água'!AB183*12*'Modelo Tarifário'!$D$29*'Modelo Tarifário'!$C$56*'Modelo Tarifário'!$E$42),(AA8*'Modelo Tarifário'!$C$56*'Modelo Tarifário'!$E$42)*('Premissas Economias e Água'!AB323),('Premissas Economias e Água'!AB183*12*'Modelo Tarifário'!$D$29*'Modelo Tarifário'!$C$56*'Modelo Tarifário'!$E$42))</f>
        <v>14864.929849991087</v>
      </c>
      <c r="AB53" s="1340">
        <f>IF(((AB8*'Modelo Tarifário'!$C$56*'Modelo Tarifário'!$E$42)*('Premissas Economias e Água'!AC323))&gt;('Premissas Economias e Água'!AC183*12*'Modelo Tarifário'!$D$29*'Modelo Tarifário'!$C$56*'Modelo Tarifário'!$E$42),(AB8*'Modelo Tarifário'!$C$56*'Modelo Tarifário'!$E$42)*('Premissas Economias e Água'!AC323),('Premissas Economias e Água'!AC183*12*'Modelo Tarifário'!$D$29*'Modelo Tarifário'!$C$56*'Modelo Tarifário'!$E$42))</f>
        <v>14924.742750326363</v>
      </c>
      <c r="AC53" s="1340">
        <f>IF(((AC8*'Modelo Tarifário'!$C$56*'Modelo Tarifário'!$E$42)*('Premissas Economias e Água'!AD323))&gt;('Premissas Economias e Água'!AD183*12*'Modelo Tarifário'!$D$29*'Modelo Tarifário'!$C$56*'Modelo Tarifário'!$E$42),(AC8*'Modelo Tarifário'!$C$56*'Modelo Tarifário'!$E$42)*('Premissas Economias e Água'!AD323),('Premissas Economias e Água'!AD183*12*'Modelo Tarifário'!$D$29*'Modelo Tarifário'!$C$56*'Modelo Tarifário'!$E$42))</f>
        <v>14984.555650661641</v>
      </c>
      <c r="AD53" s="1340">
        <f>IF(((AD8*'Modelo Tarifário'!$C$56*'Modelo Tarifário'!$E$42)*('Premissas Economias e Água'!AE323))&gt;('Premissas Economias e Água'!AE183*12*'Modelo Tarifário'!$D$29*'Modelo Tarifário'!$C$56*'Modelo Tarifário'!$E$42),(AD8*'Modelo Tarifário'!$C$56*'Modelo Tarifário'!$E$42)*('Premissas Economias e Água'!AE323),('Premissas Economias e Água'!AE183*12*'Modelo Tarifário'!$D$29*'Modelo Tarifário'!$C$56*'Modelo Tarifário'!$E$42))</f>
        <v>15044.368550996918</v>
      </c>
      <c r="AE53" s="1340">
        <f>IF(((AE8*'Modelo Tarifário'!$C$56*'Modelo Tarifário'!$E$42)*('Premissas Economias e Água'!AF323))&gt;('Premissas Economias e Água'!AF183*12*'Modelo Tarifário'!$D$29*'Modelo Tarifário'!$C$56*'Modelo Tarifário'!$E$42),(AE8*'Modelo Tarifário'!$C$56*'Modelo Tarifário'!$E$42)*('Premissas Economias e Água'!AF323),('Premissas Economias e Água'!AF183*12*'Modelo Tarifário'!$D$29*'Modelo Tarifário'!$C$56*'Modelo Tarifário'!$E$42))</f>
        <v>15104.181451332197</v>
      </c>
      <c r="AF53" s="1340">
        <f>IF(((AF8*'Modelo Tarifário'!$C$56*'Modelo Tarifário'!$E$42)*('Premissas Economias e Água'!AG323))&gt;('Premissas Economias e Água'!AG183*12*'Modelo Tarifário'!$D$29*'Modelo Tarifário'!$C$56*'Modelo Tarifário'!$E$42),(AF8*'Modelo Tarifário'!$C$56*'Modelo Tarifário'!$E$42)*('Premissas Economias e Água'!AG323),('Premissas Economias e Água'!AG183*12*'Modelo Tarifário'!$D$29*'Modelo Tarifário'!$C$56*'Modelo Tarifário'!$E$42))</f>
        <v>15163.994351667476</v>
      </c>
      <c r="AG53" s="1340">
        <f>IF(((AG8*'Modelo Tarifário'!$C$56*'Modelo Tarifário'!$E$42)*('Premissas Economias e Água'!AH323))&gt;('Premissas Economias e Água'!AH183*12*'Modelo Tarifário'!$D$29*'Modelo Tarifário'!$C$56*'Modelo Tarifário'!$E$42),(AG8*'Modelo Tarifário'!$C$56*'Modelo Tarifário'!$E$42)*('Premissas Economias e Água'!AH323),('Premissas Economias e Água'!AH183*12*'Modelo Tarifário'!$D$29*'Modelo Tarifário'!$C$56*'Modelo Tarifário'!$E$42))</f>
        <v>15223.807252002751</v>
      </c>
      <c r="AH53" s="1340">
        <f>IF(((AH8*'Modelo Tarifário'!$C$56*'Modelo Tarifário'!$E$42)*('Premissas Economias e Água'!AI323))&gt;('Premissas Economias e Água'!AI183*12*'Modelo Tarifário'!$D$29*'Modelo Tarifário'!$C$56*'Modelo Tarifário'!$E$42),(AH8*'Modelo Tarifário'!$C$56*'Modelo Tarifário'!$E$42)*('Premissas Economias e Água'!AI323),('Premissas Economias e Água'!AI183*12*'Modelo Tarifário'!$D$29*'Modelo Tarifário'!$C$56*'Modelo Tarifário'!$E$42))</f>
        <v>15283.620152338028</v>
      </c>
    </row>
    <row r="54" spans="2:34" s="79" customFormat="1" ht="12" hidden="1" outlineLevel="1" x14ac:dyDescent="0.3">
      <c r="B54" s="1339"/>
      <c r="C54" s="1335" t="s">
        <v>12</v>
      </c>
      <c r="D54" s="1335"/>
      <c r="E54" s="1340">
        <f>IF(((E8*'Modelo Tarifário'!$C$56*'Modelo Tarifário'!$E$43)*('Premissas Economias e Água'!F324))&gt;('Premissas Economias e Água'!F184*12*'Modelo Tarifário'!$D$29*'Modelo Tarifário'!$C$56*'Modelo Tarifário'!$E$43),(E8*'Modelo Tarifário'!$C$56*'Modelo Tarifário'!$E$43)*('Premissas Economias e Água'!F324),('Premissas Economias e Água'!F184*12*'Modelo Tarifário'!$D$29*'Modelo Tarifário'!$C$56*'Modelo Tarifário'!$E$43))</f>
        <v>194439.6224032481</v>
      </c>
      <c r="F54" s="1340">
        <f>IF(((F8*'Modelo Tarifário'!$C$56*'Modelo Tarifário'!$E$43)*('Premissas Economias e Água'!G324))&gt;('Premissas Economias e Água'!G184*12*'Modelo Tarifário'!$D$29*'Modelo Tarifário'!$C$56*'Modelo Tarifário'!$E$43),(F8*'Modelo Tarifário'!$C$56*'Modelo Tarifário'!$E$43)*('Premissas Economias e Água'!G324),('Premissas Economias e Água'!G184*12*'Modelo Tarifário'!$D$29*'Modelo Tarifário'!$C$56*'Modelo Tarifário'!$E$43))</f>
        <v>196240.18775236869</v>
      </c>
      <c r="G54" s="1340">
        <f>IF(((G8*'Modelo Tarifário'!$C$56*'Modelo Tarifário'!$E$43)*('Premissas Economias e Água'!H324))&gt;('Premissas Economias e Água'!H184*12*'Modelo Tarifário'!$D$29*'Modelo Tarifário'!$C$56*'Modelo Tarifário'!$E$43),(G8*'Modelo Tarifário'!$C$56*'Modelo Tarifário'!$E$43)*('Premissas Economias e Água'!H324),('Premissas Economias e Água'!H184*12*'Modelo Tarifário'!$D$29*'Modelo Tarifário'!$C$56*'Modelo Tarifário'!$E$43))</f>
        <v>198040.7531014893</v>
      </c>
      <c r="H54" s="1340">
        <f>IF(((H8*'Modelo Tarifário'!$C$56*'Modelo Tarifário'!$E$43)*('Premissas Economias e Água'!I324))&gt;('Premissas Economias e Água'!I184*12*'Modelo Tarifário'!$D$29*'Modelo Tarifário'!$C$56*'Modelo Tarifário'!$E$43),(H8*'Modelo Tarifário'!$C$56*'Modelo Tarifário'!$E$43)*('Premissas Economias e Água'!I324),('Premissas Economias e Água'!I184*12*'Modelo Tarifário'!$D$29*'Modelo Tarifário'!$C$56*'Modelo Tarifário'!$E$43))</f>
        <v>199841.31845060983</v>
      </c>
      <c r="I54" s="1340">
        <f>IF(((I8*'Modelo Tarifário'!$C$56*'Modelo Tarifário'!$E$43)*('Premissas Economias e Água'!J324))&gt;('Premissas Economias e Água'!J184*12*'Modelo Tarifário'!$D$29*'Modelo Tarifário'!$C$56*'Modelo Tarifário'!$E$43),(I8*'Modelo Tarifário'!$C$56*'Modelo Tarifário'!$E$43)*('Premissas Economias e Água'!J324),('Premissas Economias e Água'!J184*12*'Modelo Tarifário'!$D$29*'Modelo Tarifário'!$C$56*'Modelo Tarifário'!$E$43))</f>
        <v>201641.88379973045</v>
      </c>
      <c r="J54" s="1340">
        <f>IF(((J8*'Modelo Tarifário'!$C$56*'Modelo Tarifário'!$E$43)*('Premissas Economias e Água'!K324))&gt;('Premissas Economias e Água'!K184*12*'Modelo Tarifário'!$D$29*'Modelo Tarifário'!$C$56*'Modelo Tarifário'!$E$43),(J8*'Modelo Tarifário'!$C$56*'Modelo Tarifário'!$E$43)*('Premissas Economias e Água'!K324),('Premissas Economias e Água'!K184*12*'Modelo Tarifário'!$D$29*'Modelo Tarifário'!$C$56*'Modelo Tarifário'!$E$43))</f>
        <v>203421.01384707581</v>
      </c>
      <c r="K54" s="1340">
        <f>IF(((K8*'Modelo Tarifário'!$C$56*'Modelo Tarifário'!$E$43)*('Premissas Economias e Água'!L324))&gt;('Premissas Economias e Água'!L184*12*'Modelo Tarifário'!$D$29*'Modelo Tarifário'!$C$56*'Modelo Tarifário'!$E$43),(K8*'Modelo Tarifário'!$C$56*'Modelo Tarifário'!$E$43)*('Premissas Economias e Água'!L324),('Premissas Economias e Água'!L184*12*'Modelo Tarifário'!$D$29*'Modelo Tarifário'!$C$56*'Modelo Tarifário'!$E$43))</f>
        <v>204985.79087666867</v>
      </c>
      <c r="L54" s="1340">
        <f>IF(((L8*'Modelo Tarifário'!$C$56*'Modelo Tarifário'!$E$43)*('Premissas Economias e Água'!M324))&gt;('Premissas Economias e Água'!M184*12*'Modelo Tarifário'!$D$29*'Modelo Tarifário'!$C$56*'Modelo Tarifário'!$E$43),(L8*'Modelo Tarifário'!$C$56*'Modelo Tarifário'!$E$43)*('Premissas Economias e Água'!M324),('Premissas Economias e Água'!M184*12*'Modelo Tarifário'!$D$29*'Modelo Tarifário'!$C$56*'Modelo Tarifário'!$E$43))</f>
        <v>206550.56790626157</v>
      </c>
      <c r="M54" s="1340">
        <f>IF(((M8*'Modelo Tarifário'!$C$56*'Modelo Tarifário'!$E$43)*('Premissas Economias e Água'!N324))&gt;('Premissas Economias e Água'!N184*12*'Modelo Tarifário'!$D$29*'Modelo Tarifário'!$C$56*'Modelo Tarifário'!$E$43),(M8*'Modelo Tarifário'!$C$56*'Modelo Tarifário'!$E$43)*('Premissas Economias e Água'!N324),('Premissas Economias e Água'!N184*12*'Modelo Tarifário'!$D$29*'Modelo Tarifário'!$C$56*'Modelo Tarifário'!$E$43))</f>
        <v>208115.34493585443</v>
      </c>
      <c r="N54" s="1340">
        <f>IF(((N8*'Modelo Tarifário'!$C$56*'Modelo Tarifário'!$E$43)*('Premissas Economias e Água'!O324))&gt;('Premissas Economias e Água'!O184*12*'Modelo Tarifário'!$D$29*'Modelo Tarifário'!$C$56*'Modelo Tarifário'!$E$43),(N8*'Modelo Tarifário'!$C$56*'Modelo Tarifário'!$E$43)*('Premissas Economias e Água'!O324),('Premissas Economias e Água'!O184*12*'Modelo Tarifário'!$D$29*'Modelo Tarifário'!$C$56*'Modelo Tarifário'!$E$43))</f>
        <v>209680.12196544738</v>
      </c>
      <c r="O54" s="1340">
        <f>IF(((O8*'Modelo Tarifário'!$C$56*'Modelo Tarifário'!$E$43)*('Premissas Economias e Água'!P324))&gt;('Premissas Economias e Água'!P184*12*'Modelo Tarifário'!$D$29*'Modelo Tarifário'!$C$56*'Modelo Tarifário'!$E$43),(O8*'Modelo Tarifário'!$C$56*'Modelo Tarifário'!$E$43)*('Premissas Economias e Água'!P324),('Premissas Economias e Água'!P184*12*'Modelo Tarifário'!$D$29*'Modelo Tarifário'!$C$56*'Modelo Tarifário'!$E$43))</f>
        <v>211223.46369326502</v>
      </c>
      <c r="P54" s="1340">
        <f>IF(((P8*'Modelo Tarifário'!$C$56*'Modelo Tarifário'!$E$43)*('Premissas Economias e Água'!Q324))&gt;('Premissas Economias e Água'!Q184*12*'Modelo Tarifário'!$D$29*'Modelo Tarifário'!$C$56*'Modelo Tarifário'!$E$43),(P8*'Modelo Tarifário'!$C$56*'Modelo Tarifário'!$E$43)*('Premissas Economias e Água'!Q324),('Premissas Economias e Água'!Q184*12*'Modelo Tarifário'!$D$29*'Modelo Tarifário'!$C$56*'Modelo Tarifário'!$E$43))</f>
        <v>212466.71119622918</v>
      </c>
      <c r="Q54" s="1340">
        <f>IF(((Q8*'Modelo Tarifário'!$C$56*'Modelo Tarifário'!$E$43)*('Premissas Economias e Água'!R324))&gt;('Premissas Economias e Água'!R184*12*'Modelo Tarifário'!$D$29*'Modelo Tarifário'!$C$56*'Modelo Tarifário'!$E$43),(Q8*'Modelo Tarifário'!$C$56*'Modelo Tarifário'!$E$43)*('Premissas Economias e Água'!R324),('Premissas Economias e Água'!R184*12*'Modelo Tarifário'!$D$29*'Modelo Tarifário'!$C$56*'Modelo Tarifário'!$E$43))</f>
        <v>213709.95869919343</v>
      </c>
      <c r="R54" s="1340">
        <f>IF(((R8*'Modelo Tarifário'!$C$56*'Modelo Tarifário'!$E$43)*('Premissas Economias e Água'!S324))&gt;('Premissas Economias e Água'!S184*12*'Modelo Tarifário'!$D$29*'Modelo Tarifário'!$C$56*'Modelo Tarifário'!$E$43),(R8*'Modelo Tarifário'!$C$56*'Modelo Tarifário'!$E$43)*('Premissas Economias e Água'!S324),('Premissas Economias e Água'!S184*12*'Modelo Tarifário'!$D$29*'Modelo Tarifário'!$C$56*'Modelo Tarifário'!$E$43))</f>
        <v>214953.20620215763</v>
      </c>
      <c r="S54" s="1340">
        <f>IF(((S8*'Modelo Tarifário'!$C$56*'Modelo Tarifário'!$E$43)*('Premissas Economias e Água'!T324))&gt;('Premissas Economias e Água'!T184*12*'Modelo Tarifário'!$D$29*'Modelo Tarifário'!$C$56*'Modelo Tarifário'!$E$43),(S8*'Modelo Tarifário'!$C$56*'Modelo Tarifário'!$E$43)*('Premissas Economias e Água'!T324),('Premissas Economias e Água'!T184*12*'Modelo Tarifário'!$D$29*'Modelo Tarifário'!$C$56*'Modelo Tarifário'!$E$43))</f>
        <v>216196.45370512185</v>
      </c>
      <c r="T54" s="1340">
        <f>IF(((T8*'Modelo Tarifário'!$C$56*'Modelo Tarifário'!$E$43)*('Premissas Economias e Água'!U324))&gt;('Premissas Economias e Água'!U184*12*'Modelo Tarifário'!$D$29*'Modelo Tarifário'!$C$56*'Modelo Tarifário'!$E$43),(T8*'Modelo Tarifário'!$C$56*'Modelo Tarifário'!$E$43)*('Premissas Economias e Água'!U324),('Premissas Economias e Água'!U184*12*'Modelo Tarifário'!$D$29*'Modelo Tarifário'!$C$56*'Modelo Tarifário'!$E$43))</f>
        <v>217482.57181163656</v>
      </c>
      <c r="U54" s="1340">
        <f>IF(((U8*'Modelo Tarifário'!$C$56*'Modelo Tarifário'!$E$43)*('Premissas Economias e Água'!V324))&gt;('Premissas Economias e Água'!V184*12*'Modelo Tarifário'!$D$29*'Modelo Tarifário'!$C$56*'Modelo Tarifário'!$E$43),(U8*'Modelo Tarifário'!$C$56*'Modelo Tarifário'!$E$43)*('Premissas Economias e Água'!V324),('Premissas Economias e Água'!V184*12*'Modelo Tarifário'!$D$29*'Modelo Tarifário'!$C$56*'Modelo Tarifário'!$E$43))</f>
        <v>218382.85448619688</v>
      </c>
      <c r="V54" s="1340">
        <f>IF(((V8*'Modelo Tarifário'!$C$56*'Modelo Tarifário'!$E$43)*('Premissas Economias e Água'!W324))&gt;('Premissas Economias e Água'!W184*12*'Modelo Tarifário'!$D$29*'Modelo Tarifário'!$C$56*'Modelo Tarifário'!$E$43),(V8*'Modelo Tarifário'!$C$56*'Modelo Tarifário'!$E$43)*('Premissas Economias e Água'!W324),('Premissas Economias e Água'!W184*12*'Modelo Tarifário'!$D$29*'Modelo Tarifário'!$C$56*'Modelo Tarifário'!$E$43))</f>
        <v>219283.13716075712</v>
      </c>
      <c r="W54" s="1340">
        <f>IF(((W8*'Modelo Tarifário'!$C$56*'Modelo Tarifário'!$E$43)*('Premissas Economias e Água'!X324))&gt;('Premissas Economias e Água'!X184*12*'Modelo Tarifário'!$D$29*'Modelo Tarifário'!$C$56*'Modelo Tarifário'!$E$43),(W8*'Modelo Tarifário'!$C$56*'Modelo Tarifário'!$E$43)*('Premissas Economias e Água'!X324),('Premissas Economias e Água'!X184*12*'Modelo Tarifário'!$D$29*'Modelo Tarifário'!$C$56*'Modelo Tarifário'!$E$43))</f>
        <v>220183.41983531744</v>
      </c>
      <c r="X54" s="1340">
        <f>IF(((X8*'Modelo Tarifário'!$C$56*'Modelo Tarifário'!$E$43)*('Premissas Economias e Água'!Y324))&gt;('Premissas Economias e Água'!Y184*12*'Modelo Tarifário'!$D$29*'Modelo Tarifário'!$C$56*'Modelo Tarifário'!$E$43),(X8*'Modelo Tarifário'!$C$56*'Modelo Tarifário'!$E$43)*('Premissas Economias e Água'!Y324),('Premissas Economias e Água'!Y184*12*'Modelo Tarifário'!$D$29*'Modelo Tarifário'!$C$56*'Modelo Tarifário'!$E$43))</f>
        <v>221083.70250987774</v>
      </c>
      <c r="Y54" s="1340">
        <f>IF(((Y8*'Modelo Tarifário'!$C$56*'Modelo Tarifário'!$E$43)*('Premissas Economias e Água'!Z324))&gt;('Premissas Economias e Água'!Z184*12*'Modelo Tarifário'!$D$29*'Modelo Tarifário'!$C$56*'Modelo Tarifário'!$E$43),(Y8*'Modelo Tarifário'!$C$56*'Modelo Tarifário'!$E$43)*('Premissas Economias e Água'!Z324),('Premissas Economias e Água'!Z184*12*'Modelo Tarifário'!$D$29*'Modelo Tarifário'!$C$56*'Modelo Tarifário'!$E$43))</f>
        <v>221941.11458088752</v>
      </c>
      <c r="Z54" s="1340">
        <f>IF(((Z8*'Modelo Tarifário'!$C$56*'Modelo Tarifário'!$E$43)*('Premissas Economias e Água'!AA324))&gt;('Premissas Economias e Água'!AA184*12*'Modelo Tarifário'!$D$29*'Modelo Tarifário'!$C$56*'Modelo Tarifário'!$E$43),(Z8*'Modelo Tarifário'!$C$56*'Modelo Tarifário'!$E$43)*('Premissas Economias e Água'!AA324),('Premissas Economias e Água'!AA184*12*'Modelo Tarifário'!$D$29*'Modelo Tarifário'!$C$56*'Modelo Tarifário'!$E$43))</f>
        <v>222841.39725544784</v>
      </c>
      <c r="AA54" s="1340">
        <f>IF(((AA8*'Modelo Tarifário'!$C$56*'Modelo Tarifário'!$E$43)*('Premissas Economias e Água'!AB324))&gt;('Premissas Economias e Água'!AB184*12*'Modelo Tarifário'!$D$29*'Modelo Tarifário'!$C$56*'Modelo Tarifário'!$E$43),(AA8*'Modelo Tarifário'!$C$56*'Modelo Tarifário'!$E$43)*('Premissas Economias e Água'!AB324),('Premissas Economias e Água'!AB184*12*'Modelo Tarifário'!$D$29*'Modelo Tarifário'!$C$56*'Modelo Tarifário'!$E$43))</f>
        <v>223741.6799300081</v>
      </c>
      <c r="AB54" s="1340">
        <f>IF(((AB8*'Modelo Tarifário'!$C$56*'Modelo Tarifário'!$E$43)*('Premissas Economias e Água'!AC324))&gt;('Premissas Economias e Água'!AC184*12*'Modelo Tarifário'!$D$29*'Modelo Tarifário'!$C$56*'Modelo Tarifário'!$E$43),(AB8*'Modelo Tarifário'!$C$56*'Modelo Tarifário'!$E$43)*('Premissas Economias e Água'!AC324),('Premissas Economias e Água'!AC184*12*'Modelo Tarifário'!$D$29*'Modelo Tarifário'!$C$56*'Modelo Tarifário'!$E$43))</f>
        <v>224641.96260456843</v>
      </c>
      <c r="AC54" s="1340">
        <f>IF(((AC8*'Modelo Tarifário'!$C$56*'Modelo Tarifário'!$E$43)*('Premissas Economias e Água'!AD324))&gt;('Premissas Economias e Água'!AD184*12*'Modelo Tarifário'!$D$29*'Modelo Tarifário'!$C$56*'Modelo Tarifário'!$E$43),(AC8*'Modelo Tarifário'!$C$56*'Modelo Tarifário'!$E$43)*('Premissas Economias e Água'!AD324),('Premissas Economias e Água'!AD184*12*'Modelo Tarifário'!$D$29*'Modelo Tarifário'!$C$56*'Modelo Tarifário'!$E$43))</f>
        <v>225542.24527912869</v>
      </c>
      <c r="AD54" s="1340">
        <f>IF(((AD8*'Modelo Tarifário'!$C$56*'Modelo Tarifário'!$E$43)*('Premissas Economias e Água'!AE324))&gt;('Premissas Economias e Água'!AE184*12*'Modelo Tarifário'!$D$29*'Modelo Tarifário'!$C$56*'Modelo Tarifário'!$E$43),(AD8*'Modelo Tarifário'!$C$56*'Modelo Tarifário'!$E$43)*('Premissas Economias e Água'!AE324),('Premissas Economias e Água'!AE184*12*'Modelo Tarifário'!$D$29*'Modelo Tarifário'!$C$56*'Modelo Tarifário'!$E$43))</f>
        <v>226442.52795368896</v>
      </c>
      <c r="AE54" s="1340">
        <f>IF(((AE8*'Modelo Tarifário'!$C$56*'Modelo Tarifário'!$E$43)*('Premissas Economias e Água'!AF324))&gt;('Premissas Economias e Água'!AF184*12*'Modelo Tarifário'!$D$29*'Modelo Tarifário'!$C$56*'Modelo Tarifário'!$E$43),(AE8*'Modelo Tarifário'!$C$56*'Modelo Tarifário'!$E$43)*('Premissas Economias e Água'!AF324),('Premissas Economias e Água'!AF184*12*'Modelo Tarifário'!$D$29*'Modelo Tarifário'!$C$56*'Modelo Tarifário'!$E$43))</f>
        <v>227342.81062824928</v>
      </c>
      <c r="AF54" s="1340">
        <f>IF(((AF8*'Modelo Tarifário'!$C$56*'Modelo Tarifário'!$E$43)*('Premissas Economias e Água'!AG324))&gt;('Premissas Economias e Água'!AG184*12*'Modelo Tarifário'!$D$29*'Modelo Tarifário'!$C$56*'Modelo Tarifário'!$E$43),(AF8*'Modelo Tarifário'!$C$56*'Modelo Tarifário'!$E$43)*('Premissas Economias e Água'!AG324),('Premissas Economias e Água'!AG184*12*'Modelo Tarifário'!$D$29*'Modelo Tarifário'!$C$56*'Modelo Tarifário'!$E$43))</f>
        <v>228243.0933028096</v>
      </c>
      <c r="AG54" s="1340">
        <f>IF(((AG8*'Modelo Tarifário'!$C$56*'Modelo Tarifário'!$E$43)*('Premissas Economias e Água'!AH324))&gt;('Premissas Economias e Água'!AH184*12*'Modelo Tarifário'!$D$29*'Modelo Tarifário'!$C$56*'Modelo Tarifário'!$E$43),(AG8*'Modelo Tarifário'!$C$56*'Modelo Tarifário'!$E$43)*('Premissas Economias e Água'!AH324),('Premissas Economias e Água'!AH184*12*'Modelo Tarifário'!$D$29*'Modelo Tarifário'!$C$56*'Modelo Tarifário'!$E$43))</f>
        <v>229143.3759773699</v>
      </c>
      <c r="AH54" s="1340">
        <f>IF(((AH8*'Modelo Tarifário'!$C$56*'Modelo Tarifário'!$E$43)*('Premissas Economias e Água'!AI324))&gt;('Premissas Economias e Água'!AI184*12*'Modelo Tarifário'!$D$29*'Modelo Tarifário'!$C$56*'Modelo Tarifário'!$E$43),(AH8*'Modelo Tarifário'!$C$56*'Modelo Tarifário'!$E$43)*('Premissas Economias e Água'!AI324),('Premissas Economias e Água'!AI184*12*'Modelo Tarifário'!$D$29*'Modelo Tarifário'!$C$56*'Modelo Tarifário'!$E$43))</f>
        <v>230043.65865193019</v>
      </c>
    </row>
    <row r="55" spans="2:34" s="79" customFormat="1" ht="12" hidden="1" outlineLevel="1" x14ac:dyDescent="0.3">
      <c r="B55" s="1339"/>
      <c r="C55" s="1335" t="s">
        <v>13</v>
      </c>
      <c r="D55" s="1335"/>
      <c r="E55" s="1340">
        <f>IF(((E8*'Modelo Tarifário'!$C$56*'Modelo Tarifário'!$E$44)*('Premissas Economias e Água'!F325))&gt;('Premissas Economias e Água'!F185*12*'Modelo Tarifário'!$D$29*'Modelo Tarifário'!$C$56*'Modelo Tarifário'!$E$44),(E8*'Modelo Tarifário'!$C$56*'Modelo Tarifário'!$E$44)*('Premissas Economias e Água'!F325),('Premissas Economias e Água'!F185*12*'Modelo Tarifário'!$D$29*'Modelo Tarifário'!$C$56*'Modelo Tarifário'!$E$44))</f>
        <v>10387.810027615935</v>
      </c>
      <c r="F55" s="1340">
        <f>IF(((F8*'Modelo Tarifário'!$C$56*'Modelo Tarifário'!$E$44)*('Premissas Economias e Água'!G325))&gt;('Premissas Economias e Água'!G185*12*'Modelo Tarifário'!$D$29*'Modelo Tarifário'!$C$56*'Modelo Tarifário'!$E$44),(F8*'Modelo Tarifário'!$C$56*'Modelo Tarifário'!$E$44)*('Premissas Economias e Água'!G325),('Premissas Economias e Água'!G185*12*'Modelo Tarifário'!$D$29*'Modelo Tarifário'!$C$56*'Modelo Tarifário'!$E$44))</f>
        <v>10484.004057195887</v>
      </c>
      <c r="G55" s="1340">
        <f>IF(((G8*'Modelo Tarifário'!$C$56*'Modelo Tarifário'!$E$44)*('Premissas Economias e Água'!H325))&gt;('Premissas Economias e Água'!H185*12*'Modelo Tarifário'!$D$29*'Modelo Tarifário'!$C$56*'Modelo Tarifário'!$E$44),(G8*'Modelo Tarifário'!$C$56*'Modelo Tarifário'!$E$44)*('Premissas Economias e Água'!H325),('Premissas Economias e Água'!H185*12*'Modelo Tarifário'!$D$29*'Modelo Tarifário'!$C$56*'Modelo Tarifário'!$E$44))</f>
        <v>10580.198086775838</v>
      </c>
      <c r="H55" s="1340">
        <f>IF(((H8*'Modelo Tarifário'!$C$56*'Modelo Tarifário'!$E$44)*('Premissas Economias e Água'!I325))&gt;('Premissas Economias e Água'!I185*12*'Modelo Tarifário'!$D$29*'Modelo Tarifário'!$C$56*'Modelo Tarifário'!$E$44),(H8*'Modelo Tarifário'!$C$56*'Modelo Tarifário'!$E$44)*('Premissas Economias e Água'!I325),('Premissas Economias e Água'!I185*12*'Modelo Tarifário'!$D$29*'Modelo Tarifário'!$C$56*'Modelo Tarifário'!$E$44))</f>
        <v>10676.39211635579</v>
      </c>
      <c r="I55" s="1340">
        <f>IF(((I8*'Modelo Tarifário'!$C$56*'Modelo Tarifário'!$E$44)*('Premissas Economias e Água'!J325))&gt;('Premissas Economias e Água'!J185*12*'Modelo Tarifário'!$D$29*'Modelo Tarifário'!$C$56*'Modelo Tarifário'!$E$44),(I8*'Modelo Tarifário'!$C$56*'Modelo Tarifário'!$E$44)*('Premissas Economias e Água'!J325),('Premissas Economias e Água'!J185*12*'Modelo Tarifário'!$D$29*'Modelo Tarifário'!$C$56*'Modelo Tarifário'!$E$44))</f>
        <v>10772.58614593574</v>
      </c>
      <c r="J55" s="1340">
        <f>IF(((J8*'Modelo Tarifário'!$C$56*'Modelo Tarifário'!$E$44)*('Premissas Economias e Água'!K325))&gt;('Premissas Economias e Água'!K185*12*'Modelo Tarifário'!$D$29*'Modelo Tarifário'!$C$56*'Modelo Tarifário'!$E$44),(J8*'Modelo Tarifário'!$C$56*'Modelo Tarifário'!$E$44)*('Premissas Economias e Água'!K325),('Premissas Economias e Água'!K185*12*'Modelo Tarifário'!$D$29*'Modelo Tarifário'!$C$56*'Modelo Tarifário'!$E$44))</f>
        <v>10867.635008496884</v>
      </c>
      <c r="K55" s="1340">
        <f>IF(((K8*'Modelo Tarifário'!$C$56*'Modelo Tarifário'!$E$44)*('Premissas Economias e Água'!L325))&gt;('Premissas Economias e Água'!L185*12*'Modelo Tarifário'!$D$29*'Modelo Tarifário'!$C$56*'Modelo Tarifário'!$E$44),(K8*'Modelo Tarifário'!$C$56*'Modelo Tarifário'!$E$44)*('Premissas Economias e Água'!L325),('Premissas Economias e Água'!L185*12*'Modelo Tarifário'!$D$29*'Modelo Tarifário'!$C$56*'Modelo Tarifário'!$E$44))</f>
        <v>10951.232200869936</v>
      </c>
      <c r="L55" s="1340">
        <f>IF(((L8*'Modelo Tarifário'!$C$56*'Modelo Tarifário'!$E$44)*('Premissas Economias e Água'!M325))&gt;('Premissas Economias e Água'!M185*12*'Modelo Tarifário'!$D$29*'Modelo Tarifário'!$C$56*'Modelo Tarifário'!$E$44),(L8*'Modelo Tarifário'!$C$56*'Modelo Tarifário'!$E$44)*('Premissas Economias e Água'!M325),('Premissas Economias e Água'!M185*12*'Modelo Tarifário'!$D$29*'Modelo Tarifário'!$C$56*'Modelo Tarifário'!$E$44))</f>
        <v>11034.82939324299</v>
      </c>
      <c r="M55" s="1340">
        <f>IF(((M8*'Modelo Tarifário'!$C$56*'Modelo Tarifário'!$E$44)*('Premissas Economias e Água'!N325))&gt;('Premissas Economias e Água'!N185*12*'Modelo Tarifário'!$D$29*'Modelo Tarifário'!$C$56*'Modelo Tarifário'!$E$44),(M8*'Modelo Tarifário'!$C$56*'Modelo Tarifário'!$E$44)*('Premissas Economias e Água'!N325),('Premissas Economias e Água'!N185*12*'Modelo Tarifário'!$D$29*'Modelo Tarifário'!$C$56*'Modelo Tarifário'!$E$44))</f>
        <v>11118.426585616042</v>
      </c>
      <c r="N55" s="1340">
        <f>IF(((N8*'Modelo Tarifário'!$C$56*'Modelo Tarifário'!$E$44)*('Premissas Economias e Água'!O325))&gt;('Premissas Economias e Água'!O185*12*'Modelo Tarifário'!$D$29*'Modelo Tarifário'!$C$56*'Modelo Tarifário'!$E$44),(N8*'Modelo Tarifário'!$C$56*'Modelo Tarifário'!$E$44)*('Premissas Economias e Água'!O325),('Premissas Economias e Água'!O185*12*'Modelo Tarifário'!$D$29*'Modelo Tarifário'!$C$56*'Modelo Tarifário'!$E$44))</f>
        <v>11202.023777989096</v>
      </c>
      <c r="O55" s="1340">
        <f>IF(((O8*'Modelo Tarifário'!$C$56*'Modelo Tarifário'!$E$44)*('Premissas Economias e Água'!P325))&gt;('Premissas Economias e Água'!P185*12*'Modelo Tarifário'!$D$29*'Modelo Tarifário'!$C$56*'Modelo Tarifário'!$E$44),(O8*'Modelo Tarifário'!$C$56*'Modelo Tarifário'!$E$44)*('Premissas Economias e Água'!P325),('Premissas Economias e Água'!P185*12*'Modelo Tarifário'!$D$29*'Modelo Tarifário'!$C$56*'Modelo Tarifário'!$E$44))</f>
        <v>11284.475803343337</v>
      </c>
      <c r="P55" s="1340">
        <f>IF(((P8*'Modelo Tarifário'!$C$56*'Modelo Tarifário'!$E$44)*('Premissas Economias e Água'!Q325))&gt;('Premissas Economias e Água'!Q185*12*'Modelo Tarifário'!$D$29*'Modelo Tarifário'!$C$56*'Modelo Tarifário'!$E$44),(P8*'Modelo Tarifário'!$C$56*'Modelo Tarifário'!$E$44)*('Premissas Economias e Água'!Q325),('Premissas Economias e Água'!Q185*12*'Modelo Tarifário'!$D$29*'Modelo Tarifário'!$C$56*'Modelo Tarifário'!$E$44))</f>
        <v>11350.895490434257</v>
      </c>
      <c r="Q55" s="1340">
        <f>IF(((Q8*'Modelo Tarifário'!$C$56*'Modelo Tarifário'!$E$44)*('Premissas Economias e Água'!R325))&gt;('Premissas Economias e Água'!R185*12*'Modelo Tarifário'!$D$29*'Modelo Tarifário'!$C$56*'Modelo Tarifário'!$E$44),(Q8*'Modelo Tarifário'!$C$56*'Modelo Tarifário'!$E$44)*('Premissas Economias e Água'!R325),('Premissas Economias e Água'!R185*12*'Modelo Tarifário'!$D$29*'Modelo Tarifário'!$C$56*'Modelo Tarifário'!$E$44))</f>
        <v>11417.315177525175</v>
      </c>
      <c r="R55" s="1340">
        <f>IF(((R8*'Modelo Tarifário'!$C$56*'Modelo Tarifário'!$E$44)*('Premissas Economias e Água'!S325))&gt;('Premissas Economias e Água'!S185*12*'Modelo Tarifário'!$D$29*'Modelo Tarifário'!$C$56*'Modelo Tarifário'!$E$44),(R8*'Modelo Tarifário'!$C$56*'Modelo Tarifário'!$E$44)*('Premissas Economias e Água'!S325),('Premissas Economias e Água'!S185*12*'Modelo Tarifário'!$D$29*'Modelo Tarifário'!$C$56*'Modelo Tarifário'!$E$44))</f>
        <v>11483.734864616094</v>
      </c>
      <c r="S55" s="1340">
        <f>IF(((S8*'Modelo Tarifário'!$C$56*'Modelo Tarifário'!$E$44)*('Premissas Economias e Água'!T325))&gt;('Premissas Economias e Água'!T185*12*'Modelo Tarifário'!$D$29*'Modelo Tarifário'!$C$56*'Modelo Tarifário'!$E$44),(S8*'Modelo Tarifário'!$C$56*'Modelo Tarifário'!$E$44)*('Premissas Economias e Água'!T325),('Premissas Economias e Água'!T185*12*'Modelo Tarifário'!$D$29*'Modelo Tarifário'!$C$56*'Modelo Tarifário'!$E$44))</f>
        <v>11550.154551707014</v>
      </c>
      <c r="T55" s="1340">
        <f>IF(((T8*'Modelo Tarifário'!$C$56*'Modelo Tarifário'!$E$44)*('Premissas Economias e Água'!U325))&gt;('Premissas Economias e Água'!U185*12*'Modelo Tarifário'!$D$29*'Modelo Tarifário'!$C$56*'Modelo Tarifário'!$E$44),(T8*'Modelo Tarifário'!$C$56*'Modelo Tarifário'!$E$44)*('Premissas Economias e Água'!U325),('Premissas Economias e Água'!U185*12*'Modelo Tarifário'!$D$29*'Modelo Tarifário'!$C$56*'Modelo Tarifário'!$E$44))</f>
        <v>11618.86457283555</v>
      </c>
      <c r="U55" s="1340">
        <f>IF(((U8*'Modelo Tarifário'!$C$56*'Modelo Tarifário'!$E$44)*('Premissas Economias e Água'!V325))&gt;('Premissas Economias e Água'!V185*12*'Modelo Tarifário'!$D$29*'Modelo Tarifário'!$C$56*'Modelo Tarifário'!$E$44),(U8*'Modelo Tarifário'!$C$56*'Modelo Tarifário'!$E$44)*('Premissas Economias e Água'!V325),('Premissas Economias e Água'!V185*12*'Modelo Tarifário'!$D$29*'Modelo Tarifário'!$C$56*'Modelo Tarifário'!$E$44))</f>
        <v>11666.961587625527</v>
      </c>
      <c r="V55" s="1340">
        <f>IF(((V8*'Modelo Tarifário'!$C$56*'Modelo Tarifário'!$E$44)*('Premissas Economias e Água'!W325))&gt;('Premissas Economias e Água'!W185*12*'Modelo Tarifário'!$D$29*'Modelo Tarifário'!$C$56*'Modelo Tarifário'!$E$44),(V8*'Modelo Tarifário'!$C$56*'Modelo Tarifário'!$E$44)*('Premissas Economias e Água'!W325),('Premissas Economias e Água'!W185*12*'Modelo Tarifário'!$D$29*'Modelo Tarifário'!$C$56*'Modelo Tarifário'!$E$44))</f>
        <v>11715.058602415502</v>
      </c>
      <c r="W55" s="1340">
        <f>IF(((W8*'Modelo Tarifário'!$C$56*'Modelo Tarifário'!$E$44)*('Premissas Economias e Água'!X325))&gt;('Premissas Economias e Água'!X185*12*'Modelo Tarifário'!$D$29*'Modelo Tarifário'!$C$56*'Modelo Tarifário'!$E$44),(W8*'Modelo Tarifário'!$C$56*'Modelo Tarifário'!$E$44)*('Premissas Economias e Água'!X325),('Premissas Economias e Água'!X185*12*'Modelo Tarifário'!$D$29*'Modelo Tarifário'!$C$56*'Modelo Tarifário'!$E$44))</f>
        <v>11763.155617205475</v>
      </c>
      <c r="X55" s="1340">
        <f>IF(((X8*'Modelo Tarifário'!$C$56*'Modelo Tarifário'!$E$44)*('Premissas Economias e Água'!Y325))&gt;('Premissas Economias e Água'!Y185*12*'Modelo Tarifário'!$D$29*'Modelo Tarifário'!$C$56*'Modelo Tarifário'!$E$44),(X8*'Modelo Tarifário'!$C$56*'Modelo Tarifário'!$E$44)*('Premissas Economias e Água'!Y325),('Premissas Economias e Água'!Y185*12*'Modelo Tarifário'!$D$29*'Modelo Tarifário'!$C$56*'Modelo Tarifário'!$E$44))</f>
        <v>11811.252631995452</v>
      </c>
      <c r="Y55" s="1340">
        <f>IF(((Y8*'Modelo Tarifário'!$C$56*'Modelo Tarifário'!$E$44)*('Premissas Economias e Água'!Z325))&gt;('Premissas Economias e Água'!Z185*12*'Modelo Tarifário'!$D$29*'Modelo Tarifário'!$C$56*'Modelo Tarifário'!$E$44),(Y8*'Modelo Tarifário'!$C$56*'Modelo Tarifário'!$E$44)*('Premissas Economias e Água'!Z325),('Premissas Economias e Água'!Z185*12*'Modelo Tarifário'!$D$29*'Modelo Tarifário'!$C$56*'Modelo Tarifário'!$E$44))</f>
        <v>11857.05931274781</v>
      </c>
      <c r="Z55" s="1340">
        <f>IF(((Z8*'Modelo Tarifário'!$C$56*'Modelo Tarifário'!$E$44)*('Premissas Economias e Água'!AA325))&gt;('Premissas Economias e Água'!AA185*12*'Modelo Tarifário'!$D$29*'Modelo Tarifário'!$C$56*'Modelo Tarifário'!$E$44),(Z8*'Modelo Tarifário'!$C$56*'Modelo Tarifário'!$E$44)*('Premissas Economias e Água'!AA325),('Premissas Economias e Água'!AA185*12*'Modelo Tarifário'!$D$29*'Modelo Tarifário'!$C$56*'Modelo Tarifário'!$E$44))</f>
        <v>11905.156327537785</v>
      </c>
      <c r="AA55" s="1340">
        <f>IF(((AA8*'Modelo Tarifário'!$C$56*'Modelo Tarifário'!$E$44)*('Premissas Economias e Água'!AB325))&gt;('Premissas Economias e Água'!AB185*12*'Modelo Tarifário'!$D$29*'Modelo Tarifário'!$C$56*'Modelo Tarifário'!$E$44),(AA8*'Modelo Tarifário'!$C$56*'Modelo Tarifário'!$E$44)*('Premissas Economias e Água'!AB325),('Premissas Economias e Água'!AB185*12*'Modelo Tarifário'!$D$29*'Modelo Tarifário'!$C$56*'Modelo Tarifário'!$E$44))</f>
        <v>11953.253342327762</v>
      </c>
      <c r="AB55" s="1340">
        <f>IF(((AB8*'Modelo Tarifário'!$C$56*'Modelo Tarifário'!$E$44)*('Premissas Economias e Água'!AC325))&gt;('Premissas Economias e Água'!AC185*12*'Modelo Tarifário'!$D$29*'Modelo Tarifário'!$C$56*'Modelo Tarifário'!$E$44),(AB8*'Modelo Tarifário'!$C$56*'Modelo Tarifário'!$E$44)*('Premissas Economias e Água'!AC325),('Premissas Economias e Água'!AC185*12*'Modelo Tarifário'!$D$29*'Modelo Tarifário'!$C$56*'Modelo Tarifário'!$E$44))</f>
        <v>12001.350357117739</v>
      </c>
      <c r="AC55" s="1340">
        <f>IF(((AC8*'Modelo Tarifário'!$C$56*'Modelo Tarifário'!$E$44)*('Premissas Economias e Água'!AD325))&gt;('Premissas Economias e Água'!AD185*12*'Modelo Tarifário'!$D$29*'Modelo Tarifário'!$C$56*'Modelo Tarifário'!$E$44),(AC8*'Modelo Tarifário'!$C$56*'Modelo Tarifário'!$E$44)*('Premissas Economias e Água'!AD325),('Premissas Economias e Água'!AD185*12*'Modelo Tarifário'!$D$29*'Modelo Tarifário'!$C$56*'Modelo Tarifário'!$E$44))</f>
        <v>12049.447371907714</v>
      </c>
      <c r="AD55" s="1340">
        <f>IF(((AD8*'Modelo Tarifário'!$C$56*'Modelo Tarifário'!$E$44)*('Premissas Economias e Água'!AE325))&gt;('Premissas Economias e Água'!AE185*12*'Modelo Tarifário'!$D$29*'Modelo Tarifário'!$C$56*'Modelo Tarifário'!$E$44),(AD8*'Modelo Tarifário'!$C$56*'Modelo Tarifário'!$E$44)*('Premissas Economias e Água'!AE325),('Premissas Economias e Água'!AE185*12*'Modelo Tarifário'!$D$29*'Modelo Tarifário'!$C$56*'Modelo Tarifário'!$E$44))</f>
        <v>12097.544386697688</v>
      </c>
      <c r="AE55" s="1340">
        <f>IF(((AE8*'Modelo Tarifário'!$C$56*'Modelo Tarifário'!$E$44)*('Premissas Economias e Água'!AF325))&gt;('Premissas Economias e Água'!AF185*12*'Modelo Tarifário'!$D$29*'Modelo Tarifário'!$C$56*'Modelo Tarifário'!$E$44),(AE8*'Modelo Tarifário'!$C$56*'Modelo Tarifário'!$E$44)*('Premissas Economias e Água'!AF325),('Premissas Economias e Água'!AF185*12*'Modelo Tarifário'!$D$29*'Modelo Tarifário'!$C$56*'Modelo Tarifário'!$E$44))</f>
        <v>12145.641401487665</v>
      </c>
      <c r="AF55" s="1340">
        <f>IF(((AF8*'Modelo Tarifário'!$C$56*'Modelo Tarifário'!$E$44)*('Premissas Economias e Água'!AG325))&gt;('Premissas Economias e Água'!AG185*12*'Modelo Tarifário'!$D$29*'Modelo Tarifário'!$C$56*'Modelo Tarifário'!$E$44),(AF8*'Modelo Tarifário'!$C$56*'Modelo Tarifário'!$E$44)*('Premissas Economias e Água'!AG325),('Premissas Economias e Água'!AG185*12*'Modelo Tarifário'!$D$29*'Modelo Tarifário'!$C$56*'Modelo Tarifário'!$E$44))</f>
        <v>12193.73841627764</v>
      </c>
      <c r="AG55" s="1340">
        <f>IF(((AG8*'Modelo Tarifário'!$C$56*'Modelo Tarifário'!$E$44)*('Premissas Economias e Água'!AH325))&gt;('Premissas Economias e Água'!AH185*12*'Modelo Tarifário'!$D$29*'Modelo Tarifário'!$C$56*'Modelo Tarifário'!$E$44),(AG8*'Modelo Tarifário'!$C$56*'Modelo Tarifário'!$E$44)*('Premissas Economias e Água'!AH325),('Premissas Economias e Água'!AH185*12*'Modelo Tarifário'!$D$29*'Modelo Tarifário'!$C$56*'Modelo Tarifário'!$E$44))</f>
        <v>12241.835431067617</v>
      </c>
      <c r="AH55" s="1340">
        <f>IF(((AH8*'Modelo Tarifário'!$C$56*'Modelo Tarifário'!$E$44)*('Premissas Economias e Água'!AI325))&gt;('Premissas Economias e Água'!AI185*12*'Modelo Tarifário'!$D$29*'Modelo Tarifário'!$C$56*'Modelo Tarifário'!$E$44),(AH8*'Modelo Tarifário'!$C$56*'Modelo Tarifário'!$E$44)*('Premissas Economias e Água'!AI325),('Premissas Economias e Água'!AI185*12*'Modelo Tarifário'!$D$29*'Modelo Tarifário'!$C$56*'Modelo Tarifário'!$E$44))</f>
        <v>12289.932445857592</v>
      </c>
    </row>
    <row r="56" spans="2:34" s="79" customFormat="1" ht="12" hidden="1" outlineLevel="1" x14ac:dyDescent="0.3">
      <c r="B56" s="1341"/>
      <c r="C56" s="1342" t="s">
        <v>14</v>
      </c>
      <c r="D56" s="1343"/>
      <c r="E56" s="1344">
        <f>IF(((E8*'Modelo Tarifário'!$C$56*'Modelo Tarifário'!$E$45)*('Premissas Economias e Água'!F326))&gt;('Premissas Economias e Água'!F186*12*'Modelo Tarifário'!$D$29*'Modelo Tarifário'!$C$56*'Modelo Tarifário'!$E$45),(E8*'Modelo Tarifário'!$C$56*'Modelo Tarifário'!$E$45)*('Premissas Economias e Água'!F326),('Premissas Economias e Água'!F186*12*'Modelo Tarifário'!$D$29*'Modelo Tarifário'!$C$56*'Modelo Tarifário'!$E$45))</f>
        <v>94696.527244850397</v>
      </c>
      <c r="F56" s="1344">
        <f>IF(((F8*'Modelo Tarifário'!$C$56*'Modelo Tarifário'!$E$45)*('Premissas Economias e Água'!G326))&gt;('Premissas Economias e Água'!G186*12*'Modelo Tarifário'!$D$29*'Modelo Tarifário'!$C$56*'Modelo Tarifário'!$E$45),(F8*'Modelo Tarifário'!$C$56*'Modelo Tarifário'!$E$45)*('Premissas Economias e Água'!G326),('Premissas Economias e Água'!G186*12*'Modelo Tarifário'!$D$29*'Modelo Tarifário'!$C$56*'Modelo Tarifário'!$E$45))</f>
        <v>95573.443603418084</v>
      </c>
      <c r="G56" s="1344">
        <f>IF(((G8*'Modelo Tarifário'!$C$56*'Modelo Tarifário'!$E$45)*('Premissas Economias e Água'!H326))&gt;('Premissas Economias e Água'!H186*12*'Modelo Tarifário'!$D$29*'Modelo Tarifário'!$C$56*'Modelo Tarifário'!$E$45),(G8*'Modelo Tarifário'!$C$56*'Modelo Tarifário'!$E$45)*('Premissas Economias e Água'!H326),('Premissas Economias e Água'!H186*12*'Modelo Tarifário'!$D$29*'Modelo Tarifário'!$C$56*'Modelo Tarifário'!$E$45))</f>
        <v>96450.35996198577</v>
      </c>
      <c r="H56" s="1344">
        <f>IF(((H8*'Modelo Tarifário'!$C$56*'Modelo Tarifário'!$E$45)*('Premissas Economias e Água'!I326))&gt;('Premissas Economias e Água'!I186*12*'Modelo Tarifário'!$D$29*'Modelo Tarifário'!$C$56*'Modelo Tarifário'!$E$45),(H8*'Modelo Tarifário'!$C$56*'Modelo Tarifário'!$E$45)*('Premissas Economias e Água'!I326),('Premissas Economias e Água'!I186*12*'Modelo Tarifário'!$D$29*'Modelo Tarifário'!$C$56*'Modelo Tarifário'!$E$45))</f>
        <v>97327.276320553428</v>
      </c>
      <c r="I56" s="1344">
        <f>IF(((I8*'Modelo Tarifário'!$C$56*'Modelo Tarifário'!$E$45)*('Premissas Economias e Água'!J326))&gt;('Premissas Economias e Água'!J186*12*'Modelo Tarifário'!$D$29*'Modelo Tarifário'!$C$56*'Modelo Tarifário'!$E$45),(I8*'Modelo Tarifário'!$C$56*'Modelo Tarifário'!$E$45)*('Premissas Economias e Água'!J326),('Premissas Economias e Água'!J186*12*'Modelo Tarifário'!$D$29*'Modelo Tarifário'!$C$56*'Modelo Tarifário'!$E$45))</f>
        <v>98204.192679121101</v>
      </c>
      <c r="J56" s="1344">
        <f>IF(((J8*'Modelo Tarifário'!$C$56*'Modelo Tarifário'!$E$45)*('Premissas Economias e Água'!K326))&gt;('Premissas Economias e Água'!K186*12*'Modelo Tarifário'!$D$29*'Modelo Tarifário'!$C$56*'Modelo Tarifário'!$E$45),(J8*'Modelo Tarifário'!$C$56*'Modelo Tarifário'!$E$45)*('Premissas Economias e Água'!K326),('Premissas Economias e Água'!K186*12*'Modelo Tarifário'!$D$29*'Modelo Tarifário'!$C$56*'Modelo Tarifário'!$E$45))</f>
        <v>99070.669557229659</v>
      </c>
      <c r="K56" s="1344">
        <f>IF(((K8*'Modelo Tarifário'!$C$56*'Modelo Tarifário'!$E$45)*('Premissas Economias e Água'!L326))&gt;('Premissas Economias e Água'!L186*12*'Modelo Tarifário'!$D$29*'Modelo Tarifário'!$C$56*'Modelo Tarifário'!$E$45),(K8*'Modelo Tarifário'!$C$56*'Modelo Tarifário'!$E$45)*('Premissas Economias e Água'!L326),('Premissas Economias e Água'!L186*12*'Modelo Tarifário'!$D$29*'Modelo Tarifário'!$C$56*'Modelo Tarifário'!$E$45))</f>
        <v>99832.751630746803</v>
      </c>
      <c r="L56" s="1344">
        <f>IF(((L8*'Modelo Tarifário'!$C$56*'Modelo Tarifário'!$E$45)*('Premissas Economias e Água'!M326))&gt;('Premissas Economias e Água'!M186*12*'Modelo Tarifário'!$D$29*'Modelo Tarifário'!$C$56*'Modelo Tarifário'!$E$45),(L8*'Modelo Tarifário'!$C$56*'Modelo Tarifário'!$E$45)*('Premissas Economias e Água'!M326),('Premissas Economias e Água'!M186*12*'Modelo Tarifário'!$D$29*'Modelo Tarifário'!$C$56*'Modelo Tarifário'!$E$45))</f>
        <v>100594.83370426396</v>
      </c>
      <c r="M56" s="1344">
        <f>IF(((M8*'Modelo Tarifário'!$C$56*'Modelo Tarifário'!$E$45)*('Premissas Economias e Água'!N326))&gt;('Premissas Economias e Água'!N186*12*'Modelo Tarifário'!$D$29*'Modelo Tarifário'!$C$56*'Modelo Tarifário'!$E$45),(M8*'Modelo Tarifário'!$C$56*'Modelo Tarifário'!$E$45)*('Premissas Economias e Água'!N326),('Premissas Economias e Água'!N186*12*'Modelo Tarifário'!$D$29*'Modelo Tarifário'!$C$56*'Modelo Tarifário'!$E$45))</f>
        <v>101356.91577778109</v>
      </c>
      <c r="N56" s="1344">
        <f>IF(((N8*'Modelo Tarifário'!$C$56*'Modelo Tarifário'!$E$45)*('Premissas Economias e Água'!O326))&gt;('Premissas Economias e Água'!O186*12*'Modelo Tarifário'!$D$29*'Modelo Tarifário'!$C$56*'Modelo Tarifário'!$E$45),(N8*'Modelo Tarifário'!$C$56*'Modelo Tarifário'!$E$45)*('Premissas Economias e Água'!O326),('Premissas Economias e Água'!O186*12*'Modelo Tarifário'!$D$29*'Modelo Tarifário'!$C$56*'Modelo Tarifário'!$E$45))</f>
        <v>102118.99785129828</v>
      </c>
      <c r="O56" s="1344">
        <f>IF(((O8*'Modelo Tarifário'!$C$56*'Modelo Tarifário'!$E$45)*('Premissas Economias e Água'!P326))&gt;('Premissas Economias e Água'!P186*12*'Modelo Tarifário'!$D$29*'Modelo Tarifário'!$C$56*'Modelo Tarifário'!$E$45),(O8*'Modelo Tarifário'!$C$56*'Modelo Tarifário'!$E$45)*('Premissas Economias e Água'!P326),('Premissas Economias e Água'!P186*12*'Modelo Tarifário'!$D$29*'Modelo Tarifário'!$C$56*'Modelo Tarifário'!$E$45))</f>
        <v>102870.64044435628</v>
      </c>
      <c r="P56" s="1344">
        <f>IF(((P8*'Modelo Tarifário'!$C$56*'Modelo Tarifário'!$E$45)*('Premissas Economias e Água'!Q326))&gt;('Premissas Economias e Água'!Q186*12*'Modelo Tarifário'!$D$29*'Modelo Tarifário'!$C$56*'Modelo Tarifário'!$E$45),(P8*'Modelo Tarifário'!$C$56*'Modelo Tarifário'!$E$45)*('Premissas Economias e Água'!Q326),('Premissas Economias e Água'!Q186*12*'Modelo Tarifário'!$D$29*'Modelo Tarifário'!$C$56*'Modelo Tarifário'!$E$45))</f>
        <v>103476.13031098634</v>
      </c>
      <c r="Q56" s="1344">
        <f>IF(((Q8*'Modelo Tarifário'!$C$56*'Modelo Tarifário'!$E$45)*('Premissas Economias e Água'!R326))&gt;('Premissas Economias e Água'!R186*12*'Modelo Tarifário'!$D$29*'Modelo Tarifário'!$C$56*'Modelo Tarifário'!$E$45),(Q8*'Modelo Tarifário'!$C$56*'Modelo Tarifário'!$E$45)*('Premissas Economias e Água'!R326),('Premissas Economias e Água'!R186*12*'Modelo Tarifário'!$D$29*'Modelo Tarifário'!$C$56*'Modelo Tarifário'!$E$45))</f>
        <v>104081.62017761641</v>
      </c>
      <c r="R56" s="1344">
        <f>IF(((R8*'Modelo Tarifário'!$C$56*'Modelo Tarifário'!$E$45)*('Premissas Economias e Água'!S326))&gt;('Premissas Economias e Água'!S186*12*'Modelo Tarifário'!$D$29*'Modelo Tarifário'!$C$56*'Modelo Tarifário'!$E$45),(R8*'Modelo Tarifário'!$C$56*'Modelo Tarifário'!$E$45)*('Premissas Economias e Água'!S326),('Premissas Economias e Água'!S186*12*'Modelo Tarifário'!$D$29*'Modelo Tarifário'!$C$56*'Modelo Tarifário'!$E$45))</f>
        <v>104687.11004424647</v>
      </c>
      <c r="S56" s="1344">
        <f>IF(((S8*'Modelo Tarifário'!$C$56*'Modelo Tarifário'!$E$45)*('Premissas Economias e Água'!T326))&gt;('Premissas Economias e Água'!T186*12*'Modelo Tarifário'!$D$29*'Modelo Tarifário'!$C$56*'Modelo Tarifário'!$E$45),(S8*'Modelo Tarifário'!$C$56*'Modelo Tarifário'!$E$45)*('Premissas Economias e Água'!T326),('Premissas Economias e Água'!T186*12*'Modelo Tarifário'!$D$29*'Modelo Tarifário'!$C$56*'Modelo Tarifário'!$E$45))</f>
        <v>105292.59991087652</v>
      </c>
      <c r="T56" s="1344">
        <f>IF(((T8*'Modelo Tarifário'!$C$56*'Modelo Tarifário'!$E$45)*('Premissas Economias e Água'!U326))&gt;('Premissas Economias e Água'!U186*12*'Modelo Tarifário'!$D$29*'Modelo Tarifário'!$C$56*'Modelo Tarifário'!$E$45),(T8*'Modelo Tarifário'!$C$56*'Modelo Tarifário'!$E$45)*('Premissas Economias e Água'!U326),('Premissas Economias e Água'!U186*12*'Modelo Tarifário'!$D$29*'Modelo Tarifário'!$C$56*'Modelo Tarifário'!$E$45))</f>
        <v>105918.96873842487</v>
      </c>
      <c r="U56" s="1344">
        <f>IF(((U8*'Modelo Tarifário'!$C$56*'Modelo Tarifário'!$E$45)*('Premissas Economias e Água'!V326))&gt;('Premissas Economias e Água'!V186*12*'Modelo Tarifário'!$D$29*'Modelo Tarifário'!$C$56*'Modelo Tarifário'!$E$45),(U8*'Modelo Tarifário'!$C$56*'Modelo Tarifário'!$E$45)*('Premissas Economias e Água'!V326),('Premissas Economias e Água'!V186*12*'Modelo Tarifário'!$D$29*'Modelo Tarifário'!$C$56*'Modelo Tarifário'!$E$45))</f>
        <v>106357.42691770873</v>
      </c>
      <c r="V56" s="1344">
        <f>IF(((V8*'Modelo Tarifário'!$C$56*'Modelo Tarifário'!$E$45)*('Premissas Economias e Água'!W326))&gt;('Premissas Economias e Água'!W186*12*'Modelo Tarifário'!$D$29*'Modelo Tarifário'!$C$56*'Modelo Tarifário'!$E$45),(V8*'Modelo Tarifário'!$C$56*'Modelo Tarifário'!$E$45)*('Premissas Economias e Água'!W326),('Premissas Economias e Água'!W186*12*'Modelo Tarifário'!$D$29*'Modelo Tarifário'!$C$56*'Modelo Tarifário'!$E$45))</f>
        <v>106795.88509699257</v>
      </c>
      <c r="W56" s="1344">
        <f>IF(((W8*'Modelo Tarifário'!$C$56*'Modelo Tarifário'!$E$45)*('Premissas Economias e Água'!X326))&gt;('Premissas Economias e Água'!X186*12*'Modelo Tarifário'!$D$29*'Modelo Tarifário'!$C$56*'Modelo Tarifário'!$E$45),(W8*'Modelo Tarifário'!$C$56*'Modelo Tarifário'!$E$45)*('Premissas Economias e Água'!X326),('Premissas Economias e Água'!X186*12*'Modelo Tarifário'!$D$29*'Modelo Tarifário'!$C$56*'Modelo Tarifário'!$E$45))</f>
        <v>107234.3432762764</v>
      </c>
      <c r="X56" s="1344">
        <f>IF(((X8*'Modelo Tarifário'!$C$56*'Modelo Tarifário'!$E$45)*('Premissas Economias e Água'!Y326))&gt;('Premissas Economias e Água'!Y186*12*'Modelo Tarifário'!$D$29*'Modelo Tarifário'!$C$56*'Modelo Tarifário'!$E$45),(X8*'Modelo Tarifário'!$C$56*'Modelo Tarifário'!$E$45)*('Premissas Economias e Água'!Y326),('Premissas Economias e Água'!Y186*12*'Modelo Tarifário'!$D$29*'Modelo Tarifário'!$C$56*'Modelo Tarifário'!$E$45))</f>
        <v>107672.80145556026</v>
      </c>
      <c r="Y56" s="1344">
        <f>IF(((Y8*'Modelo Tarifário'!$C$56*'Modelo Tarifário'!$E$45)*('Premissas Economias e Água'!Z326))&gt;('Premissas Economias e Água'!Z186*12*'Modelo Tarifário'!$D$29*'Modelo Tarifário'!$C$56*'Modelo Tarifário'!$E$45),(Y8*'Modelo Tarifário'!$C$56*'Modelo Tarifário'!$E$45)*('Premissas Economias e Água'!Z326),('Premissas Economias e Água'!Z186*12*'Modelo Tarifário'!$D$29*'Modelo Tarifário'!$C$56*'Modelo Tarifário'!$E$45))</f>
        <v>108090.3806739258</v>
      </c>
      <c r="Z56" s="1344">
        <f>IF(((Z8*'Modelo Tarifário'!$C$56*'Modelo Tarifário'!$E$45)*('Premissas Economias e Água'!AA326))&gt;('Premissas Economias e Água'!AA186*12*'Modelo Tarifário'!$D$29*'Modelo Tarifário'!$C$56*'Modelo Tarifário'!$E$45),(Z8*'Modelo Tarifário'!$C$56*'Modelo Tarifário'!$E$45)*('Premissas Economias e Água'!AA326),('Premissas Economias e Água'!AA186*12*'Modelo Tarifário'!$D$29*'Modelo Tarifário'!$C$56*'Modelo Tarifário'!$E$45))</f>
        <v>108528.83885320964</v>
      </c>
      <c r="AA56" s="1344">
        <f>IF(((AA8*'Modelo Tarifário'!$C$56*'Modelo Tarifário'!$E$45)*('Premissas Economias e Água'!AB326))&gt;('Premissas Economias e Água'!AB186*12*'Modelo Tarifário'!$D$29*'Modelo Tarifário'!$C$56*'Modelo Tarifário'!$E$45),(AA8*'Modelo Tarifário'!$C$56*'Modelo Tarifário'!$E$45)*('Premissas Economias e Água'!AB326),('Premissas Economias e Água'!AB186*12*'Modelo Tarifário'!$D$29*'Modelo Tarifário'!$C$56*'Modelo Tarifário'!$E$45))</f>
        <v>108967.29703249347</v>
      </c>
      <c r="AB56" s="1344">
        <f>IF(((AB8*'Modelo Tarifário'!$C$56*'Modelo Tarifário'!$E$45)*('Premissas Economias e Água'!AC326))&gt;('Premissas Economias e Água'!AC186*12*'Modelo Tarifário'!$D$29*'Modelo Tarifário'!$C$56*'Modelo Tarifário'!$E$45),(AB8*'Modelo Tarifário'!$C$56*'Modelo Tarifário'!$E$45)*('Premissas Economias e Água'!AC326),('Premissas Economias e Água'!AC186*12*'Modelo Tarifário'!$D$29*'Modelo Tarifário'!$C$56*'Modelo Tarifário'!$E$45))</f>
        <v>109405.75521177732</v>
      </c>
      <c r="AC56" s="1344">
        <f>IF(((AC8*'Modelo Tarifário'!$C$56*'Modelo Tarifário'!$E$45)*('Premissas Economias e Água'!AD326))&gt;('Premissas Economias e Água'!AD186*12*'Modelo Tarifário'!$D$29*'Modelo Tarifário'!$C$56*'Modelo Tarifário'!$E$45),(AC8*'Modelo Tarifário'!$C$56*'Modelo Tarifário'!$E$45)*('Premissas Economias e Água'!AD326),('Premissas Economias e Água'!AD186*12*'Modelo Tarifário'!$D$29*'Modelo Tarifário'!$C$56*'Modelo Tarifário'!$E$45))</f>
        <v>109844.21339106117</v>
      </c>
      <c r="AD56" s="1344">
        <f>IF(((AD8*'Modelo Tarifário'!$C$56*'Modelo Tarifário'!$E$45)*('Premissas Economias e Água'!AE326))&gt;('Premissas Economias e Água'!AE186*12*'Modelo Tarifário'!$D$29*'Modelo Tarifário'!$C$56*'Modelo Tarifário'!$E$45),(AD8*'Modelo Tarifário'!$C$56*'Modelo Tarifário'!$E$45)*('Premissas Economias e Água'!AE326),('Premissas Economias e Água'!AE186*12*'Modelo Tarifário'!$D$29*'Modelo Tarifário'!$C$56*'Modelo Tarifário'!$E$45))</f>
        <v>110282.671570345</v>
      </c>
      <c r="AE56" s="1344">
        <f>IF(((AE8*'Modelo Tarifário'!$C$56*'Modelo Tarifário'!$E$45)*('Premissas Economias e Água'!AF326))&gt;('Premissas Economias e Água'!AF186*12*'Modelo Tarifário'!$D$29*'Modelo Tarifário'!$C$56*'Modelo Tarifário'!$E$45),(AE8*'Modelo Tarifário'!$C$56*'Modelo Tarifário'!$E$45)*('Premissas Economias e Água'!AF326),('Premissas Economias e Água'!AF186*12*'Modelo Tarifário'!$D$29*'Modelo Tarifário'!$C$56*'Modelo Tarifário'!$E$45))</f>
        <v>110721.12974962885</v>
      </c>
      <c r="AF56" s="1344">
        <f>IF(((AF8*'Modelo Tarifário'!$C$56*'Modelo Tarifário'!$E$45)*('Premissas Economias e Água'!AG326))&gt;('Premissas Economias e Água'!AG186*12*'Modelo Tarifário'!$D$29*'Modelo Tarifário'!$C$56*'Modelo Tarifário'!$E$45),(AF8*'Modelo Tarifário'!$C$56*'Modelo Tarifário'!$E$45)*('Premissas Economias e Água'!AG326),('Premissas Economias e Água'!AG186*12*'Modelo Tarifário'!$D$29*'Modelo Tarifário'!$C$56*'Modelo Tarifário'!$E$45))</f>
        <v>111159.5879289127</v>
      </c>
      <c r="AG56" s="1344">
        <f>IF(((AG8*'Modelo Tarifário'!$C$56*'Modelo Tarifário'!$E$45)*('Premissas Economias e Água'!AH326))&gt;('Premissas Economias e Água'!AH186*12*'Modelo Tarifário'!$D$29*'Modelo Tarifário'!$C$56*'Modelo Tarifário'!$E$45),(AG8*'Modelo Tarifário'!$C$56*'Modelo Tarifário'!$E$45)*('Premissas Economias e Água'!AH326),('Premissas Economias e Água'!AH186*12*'Modelo Tarifário'!$D$29*'Modelo Tarifário'!$C$56*'Modelo Tarifário'!$E$45))</f>
        <v>111598.04610819653</v>
      </c>
      <c r="AH56" s="1344">
        <f>IF(((AH8*'Modelo Tarifário'!$C$56*'Modelo Tarifário'!$E$45)*('Premissas Economias e Água'!AI326))&gt;('Premissas Economias e Água'!AI186*12*'Modelo Tarifário'!$D$29*'Modelo Tarifário'!$C$56*'Modelo Tarifário'!$E$45),(AH8*'Modelo Tarifário'!$C$56*'Modelo Tarifário'!$E$45)*('Premissas Economias e Água'!AI326),('Premissas Economias e Água'!AI186*12*'Modelo Tarifário'!$D$29*'Modelo Tarifário'!$C$56*'Modelo Tarifário'!$E$45))</f>
        <v>112036.50428748038</v>
      </c>
    </row>
    <row r="57" spans="2:34" s="79" customFormat="1" ht="12" collapsed="1" x14ac:dyDescent="0.3">
      <c r="B57" s="225"/>
      <c r="C57" s="173" t="s">
        <v>5</v>
      </c>
      <c r="D57" s="173"/>
      <c r="E57" s="497">
        <f>SUM(E58:E68)</f>
        <v>4118535.0849261563</v>
      </c>
      <c r="F57" s="497">
        <f t="shared" ref="F57:AH57" si="32">SUM(F58:F68)</f>
        <v>4136203.172249197</v>
      </c>
      <c r="G57" s="497">
        <f t="shared" si="32"/>
        <v>4153871.2595722368</v>
      </c>
      <c r="H57" s="497">
        <f t="shared" si="32"/>
        <v>4171539.3468952775</v>
      </c>
      <c r="I57" s="497">
        <f t="shared" si="32"/>
        <v>4189207.4342183191</v>
      </c>
      <c r="J57" s="497">
        <f t="shared" si="32"/>
        <v>4206667.6616904996</v>
      </c>
      <c r="K57" s="497">
        <f t="shared" si="32"/>
        <v>4216852.7943826057</v>
      </c>
      <c r="L57" s="497">
        <f t="shared" si="32"/>
        <v>4227037.9270747099</v>
      </c>
      <c r="M57" s="497">
        <f t="shared" si="32"/>
        <v>4237223.059766816</v>
      </c>
      <c r="N57" s="497">
        <f t="shared" si="32"/>
        <v>4247408.192458922</v>
      </c>
      <c r="O57" s="497">
        <f t="shared" si="32"/>
        <v>4258009.0448527457</v>
      </c>
      <c r="P57" s="497">
        <f t="shared" si="32"/>
        <v>4261958.3820190728</v>
      </c>
      <c r="Q57" s="497">
        <f t="shared" si="32"/>
        <v>4265907.7191853998</v>
      </c>
      <c r="R57" s="497">
        <f t="shared" si="32"/>
        <v>4269857.0563517259</v>
      </c>
      <c r="S57" s="497">
        <f t="shared" si="32"/>
        <v>4273806.3935180539</v>
      </c>
      <c r="T57" s="497">
        <f t="shared" si="32"/>
        <v>4278171.4503860986</v>
      </c>
      <c r="U57" s="497">
        <f t="shared" si="32"/>
        <v>4275677.1321757864</v>
      </c>
      <c r="V57" s="497">
        <f t="shared" si="32"/>
        <v>4273182.8139654761</v>
      </c>
      <c r="W57" s="497">
        <f t="shared" si="32"/>
        <v>4270688.495755163</v>
      </c>
      <c r="X57" s="497">
        <f t="shared" si="32"/>
        <v>4268194.1775448527</v>
      </c>
      <c r="Y57" s="497">
        <f t="shared" si="32"/>
        <v>4265699.8593345406</v>
      </c>
      <c r="Z57" s="497">
        <f t="shared" si="32"/>
        <v>4263205.5411242284</v>
      </c>
      <c r="AA57" s="497">
        <f t="shared" si="32"/>
        <v>4260711.2229139172</v>
      </c>
      <c r="AB57" s="497">
        <f t="shared" si="32"/>
        <v>4258216.9047036059</v>
      </c>
      <c r="AC57" s="497">
        <f t="shared" si="32"/>
        <v>4255722.5864932947</v>
      </c>
      <c r="AD57" s="497">
        <f t="shared" si="32"/>
        <v>4253228.2682829825</v>
      </c>
      <c r="AE57" s="497">
        <f t="shared" si="32"/>
        <v>4250733.9500726704</v>
      </c>
      <c r="AF57" s="497">
        <f t="shared" si="32"/>
        <v>4248239.6318623601</v>
      </c>
      <c r="AG57" s="497">
        <f t="shared" si="32"/>
        <v>4245745.3136520479</v>
      </c>
      <c r="AH57" s="497">
        <f t="shared" si="32"/>
        <v>4243250.9954417357</v>
      </c>
    </row>
    <row r="58" spans="2:34" s="79" customFormat="1" ht="12" hidden="1" outlineLevel="1" x14ac:dyDescent="0.3">
      <c r="B58" s="1336"/>
      <c r="C58" s="1337" t="s">
        <v>10</v>
      </c>
      <c r="D58" s="1337"/>
      <c r="E58" s="1338">
        <f>IF(((E8*'Modelo Tarifário'!$C$57*'Modelo Tarifário'!$E$35)*('Premissas Economias e Água'!F331))&gt;('Premissas Economias e Água'!F191*12*'Modelo Tarifário'!$D$29*'Modelo Tarifário'!$C$57*'Modelo Tarifário'!$E$35),(E8*'Modelo Tarifário'!$C$57*'Modelo Tarifário'!$E$35)*('Premissas Economias e Água'!F331),('Premissas Economias e Água'!F191*12*'Modelo Tarifário'!$D$29*'Modelo Tarifário'!$C$57*'Modelo Tarifário'!$E$35))</f>
        <v>551028.48820419086</v>
      </c>
      <c r="F58" s="1338">
        <f>IF(((F8*'Modelo Tarifário'!$C$57*'Modelo Tarifário'!$E$35)*('Premissas Economias e Água'!G331))&gt;('Premissas Economias e Água'!G191*12*'Modelo Tarifário'!$D$29*'Modelo Tarifário'!$C$57*'Modelo Tarifário'!$E$35),(F8*'Modelo Tarifário'!$C$57*'Modelo Tarifário'!$E$35)*('Premissas Economias e Água'!G331),('Premissas Economias e Água'!G191*12*'Modelo Tarifário'!$D$29*'Modelo Tarifário'!$C$57*'Modelo Tarifário'!$E$35))</f>
        <v>553392.34312986757</v>
      </c>
      <c r="G58" s="1338">
        <f>IF(((G8*'Modelo Tarifário'!$C$57*'Modelo Tarifário'!$E$35)*('Premissas Economias e Água'!H331))&gt;('Premissas Economias e Água'!H191*12*'Modelo Tarifário'!$D$29*'Modelo Tarifário'!$C$57*'Modelo Tarifário'!$E$35),(G8*'Modelo Tarifário'!$C$57*'Modelo Tarifário'!$E$35)*('Premissas Economias e Água'!H331),('Premissas Economias e Água'!H191*12*'Modelo Tarifário'!$D$29*'Modelo Tarifário'!$C$57*'Modelo Tarifário'!$E$35))</f>
        <v>555756.19805554405</v>
      </c>
      <c r="H58" s="1338">
        <f>IF(((H8*'Modelo Tarifário'!$C$57*'Modelo Tarifário'!$E$35)*('Premissas Economias e Água'!I331))&gt;('Premissas Economias e Água'!I191*12*'Modelo Tarifário'!$D$29*'Modelo Tarifário'!$C$57*'Modelo Tarifário'!$E$35),(H8*'Modelo Tarifário'!$C$57*'Modelo Tarifário'!$E$35)*('Premissas Economias e Água'!I331),('Premissas Economias e Água'!I191*12*'Modelo Tarifário'!$D$29*'Modelo Tarifário'!$C$57*'Modelo Tarifário'!$E$35))</f>
        <v>558120.05298122077</v>
      </c>
      <c r="I58" s="1338">
        <f>IF(((I8*'Modelo Tarifário'!$C$57*'Modelo Tarifário'!$E$35)*('Premissas Economias e Água'!J331))&gt;('Premissas Economias e Água'!J191*12*'Modelo Tarifário'!$D$29*'Modelo Tarifário'!$C$57*'Modelo Tarifário'!$E$35),(I8*'Modelo Tarifário'!$C$57*'Modelo Tarifário'!$E$35)*('Premissas Economias e Água'!J331),('Premissas Economias e Água'!J191*12*'Modelo Tarifário'!$D$29*'Modelo Tarifário'!$C$57*'Modelo Tarifário'!$E$35))</f>
        <v>560483.90790689748</v>
      </c>
      <c r="J58" s="1338">
        <f>IF(((J8*'Modelo Tarifário'!$C$57*'Modelo Tarifário'!$E$35)*('Premissas Economias e Água'!K331))&gt;('Premissas Economias e Água'!K191*12*'Modelo Tarifário'!$D$29*'Modelo Tarifário'!$C$57*'Modelo Tarifário'!$E$35),(J8*'Modelo Tarifário'!$C$57*'Modelo Tarifário'!$E$35)*('Premissas Economias e Água'!K331),('Premissas Economias e Água'!K191*12*'Modelo Tarifário'!$D$29*'Modelo Tarifário'!$C$57*'Modelo Tarifário'!$E$35))</f>
        <v>562819.95277462481</v>
      </c>
      <c r="K58" s="1338">
        <f>IF(((K8*'Modelo Tarifário'!$C$57*'Modelo Tarifário'!$E$35)*('Premissas Economias e Água'!L331))&gt;('Premissas Economias e Água'!L191*12*'Modelo Tarifário'!$D$29*'Modelo Tarifário'!$C$57*'Modelo Tarifário'!$E$35),(K8*'Modelo Tarifário'!$C$57*'Modelo Tarifário'!$E$35)*('Premissas Economias e Água'!L331),('Premissas Economias e Água'!L191*12*'Modelo Tarifário'!$D$29*'Modelo Tarifário'!$C$57*'Modelo Tarifário'!$E$35))</f>
        <v>564182.64561413263</v>
      </c>
      <c r="L58" s="1338">
        <f>IF(((L8*'Modelo Tarifário'!$C$57*'Modelo Tarifário'!$E$35)*('Premissas Economias e Água'!M331))&gt;('Premissas Economias e Água'!M191*12*'Modelo Tarifário'!$D$29*'Modelo Tarifário'!$C$57*'Modelo Tarifário'!$E$35),(L8*'Modelo Tarifário'!$C$57*'Modelo Tarifário'!$E$35)*('Premissas Economias e Água'!M331),('Premissas Economias e Água'!M191*12*'Modelo Tarifário'!$D$29*'Modelo Tarifário'!$C$57*'Modelo Tarifário'!$E$35))</f>
        <v>565545.33845364023</v>
      </c>
      <c r="M58" s="1338">
        <f>IF(((M8*'Modelo Tarifário'!$C$57*'Modelo Tarifário'!$E$35)*('Premissas Economias e Água'!N331))&gt;('Premissas Economias e Água'!N191*12*'Modelo Tarifário'!$D$29*'Modelo Tarifário'!$C$57*'Modelo Tarifário'!$E$35),(M8*'Modelo Tarifário'!$C$57*'Modelo Tarifário'!$E$35)*('Premissas Economias e Água'!N331),('Premissas Economias e Água'!N191*12*'Modelo Tarifário'!$D$29*'Modelo Tarifário'!$C$57*'Modelo Tarifário'!$E$35))</f>
        <v>566908.03129314794</v>
      </c>
      <c r="N58" s="1338">
        <f>IF(((N8*'Modelo Tarifário'!$C$57*'Modelo Tarifário'!$E$35)*('Premissas Economias e Água'!O331))&gt;('Premissas Economias e Água'!O191*12*'Modelo Tarifário'!$D$29*'Modelo Tarifário'!$C$57*'Modelo Tarifário'!$E$35),(N8*'Modelo Tarifário'!$C$57*'Modelo Tarifário'!$E$35)*('Premissas Economias e Água'!O331),('Premissas Economias e Água'!O191*12*'Modelo Tarifário'!$D$29*'Modelo Tarifário'!$C$57*'Modelo Tarifário'!$E$35))</f>
        <v>568270.72413265554</v>
      </c>
      <c r="O58" s="1338">
        <f>IF(((O8*'Modelo Tarifário'!$C$57*'Modelo Tarifário'!$E$35)*('Premissas Economias e Água'!P331))&gt;('Premissas Economias e Água'!P191*12*'Modelo Tarifário'!$D$29*'Modelo Tarifário'!$C$57*'Modelo Tarifário'!$E$35),(O8*'Modelo Tarifário'!$C$57*'Modelo Tarifário'!$E$35)*('Premissas Economias e Água'!P331),('Premissas Economias e Água'!P191*12*'Modelo Tarifário'!$D$29*'Modelo Tarifário'!$C$57*'Modelo Tarifário'!$E$35))</f>
        <v>569689.03708806157</v>
      </c>
      <c r="P58" s="1338">
        <f>IF(((P8*'Modelo Tarifário'!$C$57*'Modelo Tarifário'!$E$35)*('Premissas Economias e Água'!Q331))&gt;('Premissas Economias e Água'!Q191*12*'Modelo Tarifário'!$D$29*'Modelo Tarifário'!$C$57*'Modelo Tarifário'!$E$35),(P8*'Modelo Tarifário'!$C$57*'Modelo Tarifário'!$E$35)*('Premissas Economias e Água'!Q331),('Premissas Economias e Água'!Q191*12*'Modelo Tarifário'!$D$29*'Modelo Tarifário'!$C$57*'Modelo Tarifário'!$E$35))</f>
        <v>570217.42818909523</v>
      </c>
      <c r="Q58" s="1338">
        <f>IF(((Q8*'Modelo Tarifário'!$C$57*'Modelo Tarifário'!$E$35)*('Premissas Economias e Água'!R331))&gt;('Premissas Economias e Água'!R191*12*'Modelo Tarifário'!$D$29*'Modelo Tarifário'!$C$57*'Modelo Tarifário'!$E$35),(Q8*'Modelo Tarifário'!$C$57*'Modelo Tarifário'!$E$35)*('Premissas Economias e Água'!R331),('Premissas Economias e Água'!R191*12*'Modelo Tarifário'!$D$29*'Modelo Tarifário'!$C$57*'Modelo Tarifário'!$E$35))</f>
        <v>570745.81929012877</v>
      </c>
      <c r="R58" s="1338">
        <f>IF(((R8*'Modelo Tarifário'!$C$57*'Modelo Tarifário'!$E$35)*('Premissas Economias e Água'!S331))&gt;('Premissas Economias e Água'!S191*12*'Modelo Tarifário'!$D$29*'Modelo Tarifário'!$C$57*'Modelo Tarifário'!$E$35),(R8*'Modelo Tarifário'!$C$57*'Modelo Tarifário'!$E$35)*('Premissas Economias e Água'!S331),('Premissas Economias e Água'!S191*12*'Modelo Tarifário'!$D$29*'Modelo Tarifário'!$C$57*'Modelo Tarifário'!$E$35))</f>
        <v>571274.21039116231</v>
      </c>
      <c r="S58" s="1338">
        <f>IF(((S8*'Modelo Tarifário'!$C$57*'Modelo Tarifário'!$E$35)*('Premissas Economias e Água'!T331))&gt;('Premissas Economias e Água'!T191*12*'Modelo Tarifário'!$D$29*'Modelo Tarifário'!$C$57*'Modelo Tarifário'!$E$35),(S8*'Modelo Tarifário'!$C$57*'Modelo Tarifário'!$E$35)*('Premissas Economias e Água'!T331),('Premissas Economias e Água'!T191*12*'Modelo Tarifário'!$D$29*'Modelo Tarifário'!$C$57*'Modelo Tarifário'!$E$35))</f>
        <v>571802.60149219597</v>
      </c>
      <c r="T58" s="1338">
        <f>IF(((T8*'Modelo Tarifário'!$C$57*'Modelo Tarifário'!$E$35)*('Premissas Economias e Água'!U331))&gt;('Premissas Economias e Água'!U191*12*'Modelo Tarifário'!$D$29*'Modelo Tarifário'!$C$57*'Modelo Tarifário'!$E$35),(T8*'Modelo Tarifário'!$C$57*'Modelo Tarifário'!$E$35)*('Premissas Economias e Água'!U331),('Premissas Economias e Água'!U191*12*'Modelo Tarifário'!$D$29*'Modelo Tarifário'!$C$57*'Modelo Tarifário'!$E$35))</f>
        <v>572386.61270912783</v>
      </c>
      <c r="U58" s="1338">
        <f>IF(((U8*'Modelo Tarifário'!$C$57*'Modelo Tarifário'!$E$35)*('Premissas Economias e Água'!V331))&gt;('Premissas Economias e Água'!V191*12*'Modelo Tarifário'!$D$29*'Modelo Tarifário'!$C$57*'Modelo Tarifário'!$E$35),(U8*'Modelo Tarifário'!$C$57*'Modelo Tarifário'!$E$35)*('Premissas Economias e Água'!V331),('Premissas Economias e Água'!V191*12*'Modelo Tarifário'!$D$29*'Modelo Tarifário'!$C$57*'Modelo Tarifário'!$E$35))</f>
        <v>572052.89201373816</v>
      </c>
      <c r="V58" s="1338">
        <f>IF(((V8*'Modelo Tarifário'!$C$57*'Modelo Tarifário'!$E$35)*('Premissas Economias e Água'!W331))&gt;('Premissas Economias e Água'!W191*12*'Modelo Tarifário'!$D$29*'Modelo Tarifário'!$C$57*'Modelo Tarifário'!$E$35),(V8*'Modelo Tarifário'!$C$57*'Modelo Tarifário'!$E$35)*('Premissas Economias e Água'!W331),('Premissas Economias e Água'!W191*12*'Modelo Tarifário'!$D$29*'Modelo Tarifário'!$C$57*'Modelo Tarifário'!$E$35))</f>
        <v>571719.17131834861</v>
      </c>
      <c r="W58" s="1338">
        <f>IF(((W8*'Modelo Tarifário'!$C$57*'Modelo Tarifário'!$E$35)*('Premissas Economias e Água'!X331))&gt;('Premissas Economias e Água'!X191*12*'Modelo Tarifário'!$D$29*'Modelo Tarifário'!$C$57*'Modelo Tarifário'!$E$35),(W8*'Modelo Tarifário'!$C$57*'Modelo Tarifário'!$E$35)*('Premissas Economias e Água'!X331),('Premissas Economias e Água'!X191*12*'Modelo Tarifário'!$D$29*'Modelo Tarifário'!$C$57*'Modelo Tarifário'!$E$35))</f>
        <v>571385.45062295895</v>
      </c>
      <c r="X58" s="1338">
        <f>IF(((X8*'Modelo Tarifário'!$C$57*'Modelo Tarifário'!$E$35)*('Premissas Economias e Água'!Y331))&gt;('Premissas Economias e Água'!Y191*12*'Modelo Tarifário'!$D$29*'Modelo Tarifário'!$C$57*'Modelo Tarifário'!$E$35),(X8*'Modelo Tarifário'!$C$57*'Modelo Tarifário'!$E$35)*('Premissas Economias e Água'!Y331),('Premissas Economias e Água'!Y191*12*'Modelo Tarifário'!$D$29*'Modelo Tarifário'!$C$57*'Modelo Tarifário'!$E$35))</f>
        <v>571051.72992756939</v>
      </c>
      <c r="Y58" s="1338">
        <f>IF(((Y8*'Modelo Tarifário'!$C$57*'Modelo Tarifário'!$E$35)*('Premissas Economias e Água'!Z331))&gt;('Premissas Economias e Água'!Z191*12*'Modelo Tarifário'!$D$29*'Modelo Tarifário'!$C$57*'Modelo Tarifário'!$E$35),(Y8*'Modelo Tarifário'!$C$57*'Modelo Tarifário'!$E$35)*('Premissas Economias e Água'!Z331),('Premissas Economias e Água'!Z191*12*'Modelo Tarifário'!$D$29*'Modelo Tarifário'!$C$57*'Modelo Tarifário'!$E$35))</f>
        <v>570718.00923217961</v>
      </c>
      <c r="Z58" s="1338">
        <f>IF(((Z8*'Modelo Tarifário'!$C$57*'Modelo Tarifário'!$E$35)*('Premissas Economias e Água'!AA331))&gt;('Premissas Economias e Água'!AA191*12*'Modelo Tarifário'!$D$29*'Modelo Tarifário'!$C$57*'Modelo Tarifário'!$E$35),(Z8*'Modelo Tarifário'!$C$57*'Modelo Tarifário'!$E$35)*('Premissas Economias e Água'!AA331),('Premissas Economias e Água'!AA191*12*'Modelo Tarifário'!$D$29*'Modelo Tarifário'!$C$57*'Modelo Tarifário'!$E$35))</f>
        <v>570384.28853679006</v>
      </c>
      <c r="AA58" s="1338">
        <f>IF(((AA8*'Modelo Tarifário'!$C$57*'Modelo Tarifário'!$E$35)*('Premissas Economias e Água'!AB331))&gt;('Premissas Economias e Água'!AB191*12*'Modelo Tarifário'!$D$29*'Modelo Tarifário'!$C$57*'Modelo Tarifário'!$E$35),(AA8*'Modelo Tarifário'!$C$57*'Modelo Tarifário'!$E$35)*('Premissas Economias e Água'!AB331),('Premissas Economias e Água'!AB191*12*'Modelo Tarifário'!$D$29*'Modelo Tarifário'!$C$57*'Modelo Tarifário'!$E$35))</f>
        <v>570050.56784140039</v>
      </c>
      <c r="AB58" s="1338">
        <f>IF(((AB8*'Modelo Tarifário'!$C$57*'Modelo Tarifário'!$E$35)*('Premissas Economias e Água'!AC331))&gt;('Premissas Economias e Água'!AC191*12*'Modelo Tarifário'!$D$29*'Modelo Tarifário'!$C$57*'Modelo Tarifário'!$E$35),(AB8*'Modelo Tarifário'!$C$57*'Modelo Tarifário'!$E$35)*('Premissas Economias e Água'!AC331),('Premissas Economias e Água'!AC191*12*'Modelo Tarifário'!$D$29*'Modelo Tarifário'!$C$57*'Modelo Tarifário'!$E$35))</f>
        <v>569716.84714601072</v>
      </c>
      <c r="AC58" s="1338">
        <f>IF(((AC8*'Modelo Tarifário'!$C$57*'Modelo Tarifário'!$E$35)*('Premissas Economias e Água'!AD331))&gt;('Premissas Economias e Água'!AD191*12*'Modelo Tarifário'!$D$29*'Modelo Tarifário'!$C$57*'Modelo Tarifário'!$E$35),(AC8*'Modelo Tarifário'!$C$57*'Modelo Tarifário'!$E$35)*('Premissas Economias e Água'!AD331),('Premissas Economias e Água'!AD191*12*'Modelo Tarifário'!$D$29*'Modelo Tarifário'!$C$57*'Modelo Tarifário'!$E$35))</f>
        <v>569383.12645062117</v>
      </c>
      <c r="AD58" s="1338">
        <f>IF(((AD8*'Modelo Tarifário'!$C$57*'Modelo Tarifário'!$E$35)*('Premissas Economias e Água'!AE331))&gt;('Premissas Economias e Água'!AE191*12*'Modelo Tarifário'!$D$29*'Modelo Tarifário'!$C$57*'Modelo Tarifário'!$E$35),(AD8*'Modelo Tarifário'!$C$57*'Modelo Tarifário'!$E$35)*('Premissas Economias e Água'!AE331),('Premissas Economias e Água'!AE191*12*'Modelo Tarifário'!$D$29*'Modelo Tarifário'!$C$57*'Modelo Tarifário'!$E$35))</f>
        <v>569049.40575523151</v>
      </c>
      <c r="AE58" s="1338">
        <f>IF(((AE8*'Modelo Tarifário'!$C$57*'Modelo Tarifário'!$E$35)*('Premissas Economias e Água'!AF331))&gt;('Premissas Economias e Água'!AF191*12*'Modelo Tarifário'!$D$29*'Modelo Tarifário'!$C$57*'Modelo Tarifário'!$E$35),(AE8*'Modelo Tarifário'!$C$57*'Modelo Tarifário'!$E$35)*('Premissas Economias e Água'!AF331),('Premissas Economias e Água'!AF191*12*'Modelo Tarifário'!$D$29*'Modelo Tarifário'!$C$57*'Modelo Tarifário'!$E$35))</f>
        <v>568715.68505984184</v>
      </c>
      <c r="AF58" s="1338">
        <f>IF(((AF8*'Modelo Tarifário'!$C$57*'Modelo Tarifário'!$E$35)*('Premissas Economias e Água'!AG331))&gt;('Premissas Economias e Água'!AG191*12*'Modelo Tarifário'!$D$29*'Modelo Tarifário'!$C$57*'Modelo Tarifário'!$E$35),(AF8*'Modelo Tarifário'!$C$57*'Modelo Tarifário'!$E$35)*('Premissas Economias e Água'!AG331),('Premissas Economias e Água'!AG191*12*'Modelo Tarifário'!$D$29*'Modelo Tarifário'!$C$57*'Modelo Tarifário'!$E$35))</f>
        <v>568381.96436445229</v>
      </c>
      <c r="AG58" s="1338">
        <f>IF(((AG8*'Modelo Tarifário'!$C$57*'Modelo Tarifário'!$E$35)*('Premissas Economias e Água'!AH331))&gt;('Premissas Economias e Água'!AH191*12*'Modelo Tarifário'!$D$29*'Modelo Tarifário'!$C$57*'Modelo Tarifário'!$E$35),(AG8*'Modelo Tarifário'!$C$57*'Modelo Tarifário'!$E$35)*('Premissas Economias e Água'!AH331),('Premissas Economias e Água'!AH191*12*'Modelo Tarifário'!$D$29*'Modelo Tarifário'!$C$57*'Modelo Tarifário'!$E$35))</f>
        <v>568048.2436690625</v>
      </c>
      <c r="AH58" s="1338">
        <f>IF(((AH8*'Modelo Tarifário'!$C$57*'Modelo Tarifário'!$E$35)*('Premissas Economias e Água'!AI331))&gt;('Premissas Economias e Água'!AI191*12*'Modelo Tarifário'!$D$29*'Modelo Tarifário'!$C$57*'Modelo Tarifário'!$E$35),(AH8*'Modelo Tarifário'!$C$57*'Modelo Tarifário'!$E$35)*('Premissas Economias e Água'!AI331),('Premissas Economias e Água'!AI191*12*'Modelo Tarifário'!$D$29*'Modelo Tarifário'!$C$57*'Modelo Tarifário'!$E$35))</f>
        <v>567714.52297367284</v>
      </c>
    </row>
    <row r="59" spans="2:34" s="79" customFormat="1" ht="12" hidden="1" outlineLevel="1" x14ac:dyDescent="0.3">
      <c r="B59" s="1339"/>
      <c r="C59" s="1335" t="s">
        <v>277</v>
      </c>
      <c r="D59" s="1335"/>
      <c r="E59" s="1340">
        <f>IF(('Premissas Economias e Água'!F192*'Modelo Tarifário'!$I$36*12*'Modelo Tarifário'!$B$5*'Modelo Tarifário'!$E$36)&gt;('Premissas Economias e Água'!F192*12*'Modelo Tarifário'!$D$29*'Modelo Tarifário'!$E$36),('Premissas Economias e Água'!F192*'Modelo Tarifário'!$I$36*12*'Modelo Tarifário'!$B$5*'Modelo Tarifário'!$E$36),('Premissas Economias e Água'!F192*12*'Modelo Tarifário'!$D$29*'Modelo Tarifário'!$E$36))</f>
        <v>96185.121509927558</v>
      </c>
      <c r="F59" s="1340">
        <f>IF(('Premissas Economias e Água'!G192*'Modelo Tarifário'!$I$36*12*'Modelo Tarifário'!$B$5*'Modelo Tarifário'!$E$36)&gt;('Premissas Economias e Água'!G192*12*'Modelo Tarifário'!$D$29*'Modelo Tarifário'!$E$36),('Premissas Economias e Água'!G192*'Modelo Tarifário'!$I$36*12*'Modelo Tarifário'!$B$5*'Modelo Tarifário'!$E$36),('Premissas Economias e Água'!G192*12*'Modelo Tarifário'!$D$29*'Modelo Tarifário'!$E$36))</f>
        <v>96597.745681137007</v>
      </c>
      <c r="G59" s="1340">
        <f>IF(('Premissas Economias e Água'!H192*'Modelo Tarifário'!$I$36*12*'Modelo Tarifário'!$B$5*'Modelo Tarifário'!$E$36)&gt;('Premissas Economias e Água'!H192*12*'Modelo Tarifário'!$D$29*'Modelo Tarifário'!$E$36),('Premissas Economias e Água'!H192*'Modelo Tarifário'!$I$36*12*'Modelo Tarifário'!$B$5*'Modelo Tarifário'!$E$36),('Premissas Economias e Água'!H192*12*'Modelo Tarifário'!$D$29*'Modelo Tarifário'!$E$36))</f>
        <v>97010.369852346441</v>
      </c>
      <c r="H59" s="1340">
        <f>IF(('Premissas Economias e Água'!I192*'Modelo Tarifário'!$I$36*12*'Modelo Tarifário'!$B$5*'Modelo Tarifário'!$E$36)&gt;('Premissas Economias e Água'!I192*12*'Modelo Tarifário'!$D$29*'Modelo Tarifário'!$E$36),('Premissas Economias e Água'!I192*'Modelo Tarifário'!$I$36*12*'Modelo Tarifário'!$B$5*'Modelo Tarifário'!$E$36),('Premissas Economias e Água'!I192*12*'Modelo Tarifário'!$D$29*'Modelo Tarifário'!$E$36))</f>
        <v>97422.99402355589</v>
      </c>
      <c r="I59" s="1340">
        <f>IF(('Premissas Economias e Água'!J192*'Modelo Tarifário'!$I$36*12*'Modelo Tarifário'!$B$5*'Modelo Tarifário'!$E$36)&gt;('Premissas Economias e Água'!J192*12*'Modelo Tarifário'!$D$29*'Modelo Tarifário'!$E$36),('Premissas Economias e Água'!J192*'Modelo Tarifário'!$I$36*12*'Modelo Tarifário'!$B$5*'Modelo Tarifário'!$E$36),('Premissas Economias e Água'!J192*12*'Modelo Tarifário'!$D$29*'Modelo Tarifário'!$E$36))</f>
        <v>97835.618194765339</v>
      </c>
      <c r="J59" s="1340">
        <f>IF(('Premissas Economias e Água'!K192*'Modelo Tarifário'!$I$36*12*'Modelo Tarifário'!$B$5*'Modelo Tarifário'!$E$36)&gt;('Premissas Economias e Água'!K192*12*'Modelo Tarifário'!$D$29*'Modelo Tarifário'!$E$36),('Premissas Economias e Água'!K192*'Modelo Tarifário'!$I$36*12*'Modelo Tarifário'!$B$5*'Modelo Tarifário'!$E$36),('Premissas Economias e Água'!K192*12*'Modelo Tarifário'!$D$29*'Modelo Tarifário'!$E$36))</f>
        <v>98243.387963960558</v>
      </c>
      <c r="K59" s="1340">
        <f>IF(('Premissas Economias e Água'!L192*'Modelo Tarifário'!$I$36*12*'Modelo Tarifário'!$B$5*'Modelo Tarifário'!$E$36)&gt;('Premissas Economias e Água'!L192*12*'Modelo Tarifário'!$D$29*'Modelo Tarifário'!$E$36),('Premissas Economias e Água'!L192*'Modelo Tarifário'!$I$36*12*'Modelo Tarifário'!$B$5*'Modelo Tarifário'!$E$36),('Premissas Economias e Água'!L192*12*'Modelo Tarifário'!$D$29*'Modelo Tarifário'!$E$36))</f>
        <v>98481.253662657749</v>
      </c>
      <c r="L59" s="1340">
        <f>IF(('Premissas Economias e Água'!M192*'Modelo Tarifário'!$I$36*12*'Modelo Tarifário'!$B$5*'Modelo Tarifário'!$E$36)&gt;('Premissas Economias e Água'!M192*12*'Modelo Tarifário'!$D$29*'Modelo Tarifário'!$E$36),('Premissas Economias e Água'!M192*'Modelo Tarifário'!$I$36*12*'Modelo Tarifário'!$B$5*'Modelo Tarifário'!$E$36),('Premissas Economias e Água'!M192*12*'Modelo Tarifário'!$D$29*'Modelo Tarifário'!$E$36))</f>
        <v>98719.119361354955</v>
      </c>
      <c r="M59" s="1340">
        <f>IF(('Premissas Economias e Água'!N192*'Modelo Tarifário'!$I$36*12*'Modelo Tarifário'!$B$5*'Modelo Tarifário'!$E$36)&gt;('Premissas Economias e Água'!N192*12*'Modelo Tarifário'!$D$29*'Modelo Tarifário'!$E$36),('Premissas Economias e Água'!N192*'Modelo Tarifário'!$I$36*12*'Modelo Tarifário'!$B$5*'Modelo Tarifário'!$E$36),('Premissas Economias e Água'!N192*12*'Modelo Tarifário'!$D$29*'Modelo Tarifário'!$E$36))</f>
        <v>98956.985060052146</v>
      </c>
      <c r="N59" s="1340">
        <f>IF(('Premissas Economias e Água'!O192*'Modelo Tarifário'!$I$36*12*'Modelo Tarifário'!$B$5*'Modelo Tarifário'!$E$36)&gt;('Premissas Economias e Água'!O192*12*'Modelo Tarifário'!$D$29*'Modelo Tarifário'!$E$36),('Premissas Economias e Água'!O192*'Modelo Tarifário'!$I$36*12*'Modelo Tarifário'!$B$5*'Modelo Tarifário'!$E$36),('Premissas Economias e Água'!O192*12*'Modelo Tarifário'!$D$29*'Modelo Tarifário'!$E$36))</f>
        <v>99194.850758749366</v>
      </c>
      <c r="O59" s="1340">
        <f>IF(('Premissas Economias e Água'!P192*'Modelo Tarifário'!$I$36*12*'Modelo Tarifário'!$B$5*'Modelo Tarifário'!$E$36)&gt;('Premissas Economias e Água'!P192*12*'Modelo Tarifário'!$D$29*'Modelo Tarifário'!$E$36),('Premissas Economias e Água'!P192*'Modelo Tarifário'!$I$36*12*'Modelo Tarifário'!$B$5*'Modelo Tarifário'!$E$36),('Premissas Economias e Água'!P192*12*'Modelo Tarifário'!$D$29*'Modelo Tarifário'!$E$36))</f>
        <v>99442.425261475015</v>
      </c>
      <c r="P59" s="1340">
        <f>IF(('Premissas Economias e Água'!Q192*'Modelo Tarifário'!$I$36*12*'Modelo Tarifário'!$B$5*'Modelo Tarifário'!$E$36)&gt;('Premissas Economias e Água'!Q192*12*'Modelo Tarifário'!$D$29*'Modelo Tarifário'!$E$36),('Premissas Economias e Água'!Q192*'Modelo Tarifário'!$I$36*12*'Modelo Tarifário'!$B$5*'Modelo Tarifário'!$E$36),('Premissas Economias e Água'!Q192*12*'Modelo Tarifário'!$D$29*'Modelo Tarifário'!$E$36))</f>
        <v>99534.658899745365</v>
      </c>
      <c r="Q59" s="1340">
        <f>IF(('Premissas Economias e Água'!R192*'Modelo Tarifário'!$I$36*12*'Modelo Tarifário'!$B$5*'Modelo Tarifário'!$E$36)&gt;('Premissas Economias e Água'!R192*12*'Modelo Tarifário'!$D$29*'Modelo Tarifário'!$E$36),('Premissas Economias e Água'!R192*'Modelo Tarifário'!$I$36*12*'Modelo Tarifário'!$B$5*'Modelo Tarifário'!$E$36),('Premissas Economias e Água'!R192*12*'Modelo Tarifário'!$D$29*'Modelo Tarifário'!$E$36))</f>
        <v>99626.892538015716</v>
      </c>
      <c r="R59" s="1340">
        <f>IF(('Premissas Economias e Água'!S192*'Modelo Tarifário'!$I$36*12*'Modelo Tarifário'!$B$5*'Modelo Tarifário'!$E$36)&gt;('Premissas Economias e Água'!S192*12*'Modelo Tarifário'!$D$29*'Modelo Tarifário'!$E$36),('Premissas Economias e Água'!S192*'Modelo Tarifário'!$I$36*12*'Modelo Tarifário'!$B$5*'Modelo Tarifário'!$E$36),('Premissas Economias e Água'!S192*12*'Modelo Tarifário'!$D$29*'Modelo Tarifário'!$E$36))</f>
        <v>99719.126176286067</v>
      </c>
      <c r="S59" s="1340">
        <f>IF(('Premissas Economias e Água'!T192*'Modelo Tarifário'!$I$36*12*'Modelo Tarifário'!$B$5*'Modelo Tarifário'!$E$36)&gt;('Premissas Economias e Água'!T192*12*'Modelo Tarifário'!$D$29*'Modelo Tarifário'!$E$36),('Premissas Economias e Água'!T192*'Modelo Tarifário'!$I$36*12*'Modelo Tarifário'!$B$5*'Modelo Tarifário'!$E$36),('Premissas Economias e Água'!T192*12*'Modelo Tarifário'!$D$29*'Modelo Tarifário'!$E$36))</f>
        <v>99811.359814556403</v>
      </c>
      <c r="T59" s="1340">
        <f>IF(('Premissas Economias e Água'!U192*'Modelo Tarifário'!$I$36*12*'Modelo Tarifário'!$B$5*'Modelo Tarifário'!$E$36)&gt;('Premissas Economias e Água'!U192*12*'Modelo Tarifário'!$D$29*'Modelo Tarifário'!$E$36),('Premissas Economias e Água'!U192*'Modelo Tarifário'!$I$36*12*'Modelo Tarifário'!$B$5*'Modelo Tarifário'!$E$36),('Premissas Economias e Água'!U192*12*'Modelo Tarifário'!$D$29*'Modelo Tarifário'!$E$36))</f>
        <v>99913.302256855211</v>
      </c>
      <c r="U59" s="1340">
        <f>IF(('Premissas Economias e Água'!V192*'Modelo Tarifário'!$I$36*12*'Modelo Tarifário'!$B$5*'Modelo Tarifário'!$E$36)&gt;('Premissas Economias e Água'!V192*12*'Modelo Tarifário'!$D$29*'Modelo Tarifário'!$E$36),('Premissas Economias e Água'!V192*'Modelo Tarifário'!$I$36*12*'Modelo Tarifário'!$B$5*'Modelo Tarifário'!$E$36),('Premissas Economias e Água'!V192*12*'Modelo Tarifário'!$D$29*'Modelo Tarifário'!$E$36))</f>
        <v>99855.049432684464</v>
      </c>
      <c r="V59" s="1340">
        <f>IF(('Premissas Economias e Água'!W192*'Modelo Tarifário'!$I$36*12*'Modelo Tarifário'!$B$5*'Modelo Tarifário'!$E$36)&gt;('Premissas Economias e Água'!W192*12*'Modelo Tarifário'!$D$29*'Modelo Tarifário'!$E$36),('Premissas Economias e Água'!W192*'Modelo Tarifário'!$I$36*12*'Modelo Tarifário'!$B$5*'Modelo Tarifário'!$E$36),('Premissas Economias e Água'!W192*12*'Modelo Tarifário'!$D$29*'Modelo Tarifário'!$E$36))</f>
        <v>99796.796608513716</v>
      </c>
      <c r="W59" s="1340">
        <f>IF(('Premissas Economias e Água'!X192*'Modelo Tarifário'!$I$36*12*'Modelo Tarifário'!$B$5*'Modelo Tarifário'!$E$36)&gt;('Premissas Economias e Água'!X192*12*'Modelo Tarifário'!$D$29*'Modelo Tarifário'!$E$36),('Premissas Economias e Água'!X192*'Modelo Tarifário'!$I$36*12*'Modelo Tarifário'!$B$5*'Modelo Tarifário'!$E$36),('Premissas Economias e Água'!X192*12*'Modelo Tarifário'!$D$29*'Modelo Tarifário'!$E$36))</f>
        <v>99738.543784342983</v>
      </c>
      <c r="X59" s="1340">
        <f>IF(('Premissas Economias e Água'!Y192*'Modelo Tarifário'!$I$36*12*'Modelo Tarifário'!$B$5*'Modelo Tarifário'!$E$36)&gt;('Premissas Economias e Água'!Y192*12*'Modelo Tarifário'!$D$29*'Modelo Tarifário'!$E$36),('Premissas Economias e Água'!Y192*'Modelo Tarifário'!$I$36*12*'Modelo Tarifário'!$B$5*'Modelo Tarifário'!$E$36),('Premissas Economias e Água'!Y192*12*'Modelo Tarifário'!$D$29*'Modelo Tarifário'!$E$36))</f>
        <v>99680.290960172249</v>
      </c>
      <c r="Y59" s="1340">
        <f>IF(('Premissas Economias e Água'!Z192*'Modelo Tarifário'!$I$36*12*'Modelo Tarifário'!$B$5*'Modelo Tarifário'!$E$36)&gt;('Premissas Economias e Água'!Z192*12*'Modelo Tarifário'!$D$29*'Modelo Tarifário'!$E$36),('Premissas Economias e Água'!Z192*'Modelo Tarifário'!$I$36*12*'Modelo Tarifário'!$B$5*'Modelo Tarifário'!$E$36),('Premissas Economias e Água'!Z192*12*'Modelo Tarifário'!$D$29*'Modelo Tarifário'!$E$36))</f>
        <v>99622.038136001502</v>
      </c>
      <c r="Z59" s="1340">
        <f>IF(('Premissas Economias e Água'!AA192*'Modelo Tarifário'!$I$36*12*'Modelo Tarifário'!$B$5*'Modelo Tarifário'!$E$36)&gt;('Premissas Economias e Água'!AA192*12*'Modelo Tarifário'!$D$29*'Modelo Tarifário'!$E$36),('Premissas Economias e Água'!AA192*'Modelo Tarifário'!$I$36*12*'Modelo Tarifário'!$B$5*'Modelo Tarifário'!$E$36),('Premissas Economias e Água'!AA192*12*'Modelo Tarifário'!$D$29*'Modelo Tarifário'!$E$36))</f>
        <v>99563.785311830739</v>
      </c>
      <c r="AA59" s="1340">
        <f>IF(('Premissas Economias e Água'!AB192*'Modelo Tarifário'!$I$36*12*'Modelo Tarifário'!$B$5*'Modelo Tarifário'!$E$36)&gt;('Premissas Economias e Água'!AB192*12*'Modelo Tarifário'!$D$29*'Modelo Tarifário'!$E$36),('Premissas Economias e Água'!AB192*'Modelo Tarifário'!$I$36*12*'Modelo Tarifário'!$B$5*'Modelo Tarifário'!$E$36),('Premissas Economias e Água'!AB192*12*'Modelo Tarifário'!$D$29*'Modelo Tarifário'!$E$36))</f>
        <v>99505.532487659992</v>
      </c>
      <c r="AB59" s="1340">
        <f>IF(('Premissas Economias e Água'!AC192*'Modelo Tarifário'!$I$36*12*'Modelo Tarifário'!$B$5*'Modelo Tarifário'!$E$36)&gt;('Premissas Economias e Água'!AC192*12*'Modelo Tarifário'!$D$29*'Modelo Tarifário'!$E$36),('Premissas Economias e Água'!AC192*'Modelo Tarifário'!$I$36*12*'Modelo Tarifário'!$B$5*'Modelo Tarifário'!$E$36),('Premissas Economias e Água'!AC192*12*'Modelo Tarifário'!$D$29*'Modelo Tarifário'!$E$36))</f>
        <v>99447.279663489258</v>
      </c>
      <c r="AC59" s="1340">
        <f>IF(('Premissas Economias e Água'!AD192*'Modelo Tarifário'!$I$36*12*'Modelo Tarifário'!$B$5*'Modelo Tarifário'!$E$36)&gt;('Premissas Economias e Água'!AD192*12*'Modelo Tarifário'!$D$29*'Modelo Tarifário'!$E$36),('Premissas Economias e Água'!AD192*'Modelo Tarifário'!$I$36*12*'Modelo Tarifário'!$B$5*'Modelo Tarifário'!$E$36),('Premissas Economias e Água'!AD192*12*'Modelo Tarifário'!$D$29*'Modelo Tarifário'!$E$36))</f>
        <v>99389.026839318511</v>
      </c>
      <c r="AD59" s="1340">
        <f>IF(('Premissas Economias e Água'!AE192*'Modelo Tarifário'!$I$36*12*'Modelo Tarifário'!$B$5*'Modelo Tarifário'!$E$36)&gt;('Premissas Economias e Água'!AE192*12*'Modelo Tarifário'!$D$29*'Modelo Tarifário'!$E$36),('Premissas Economias e Água'!AE192*'Modelo Tarifário'!$I$36*12*'Modelo Tarifário'!$B$5*'Modelo Tarifário'!$E$36),('Premissas Economias e Água'!AE192*12*'Modelo Tarifário'!$D$29*'Modelo Tarifário'!$E$36))</f>
        <v>99330.774015147777</v>
      </c>
      <c r="AE59" s="1340">
        <f>IF(('Premissas Economias e Água'!AF192*'Modelo Tarifário'!$I$36*12*'Modelo Tarifário'!$B$5*'Modelo Tarifário'!$E$36)&gt;('Premissas Economias e Água'!AF192*12*'Modelo Tarifário'!$D$29*'Modelo Tarifário'!$E$36),('Premissas Economias e Água'!AF192*'Modelo Tarifário'!$I$36*12*'Modelo Tarifário'!$B$5*'Modelo Tarifário'!$E$36),('Premissas Economias e Água'!AF192*12*'Modelo Tarifário'!$D$29*'Modelo Tarifário'!$E$36))</f>
        <v>99272.52119097703</v>
      </c>
      <c r="AF59" s="1340">
        <f>IF(('Premissas Economias e Água'!AG192*'Modelo Tarifário'!$I$36*12*'Modelo Tarifário'!$B$5*'Modelo Tarifário'!$E$36)&gt;('Premissas Economias e Água'!AG192*12*'Modelo Tarifário'!$D$29*'Modelo Tarifário'!$E$36),('Premissas Economias e Água'!AG192*'Modelo Tarifário'!$I$36*12*'Modelo Tarifário'!$B$5*'Modelo Tarifário'!$E$36),('Premissas Economias e Água'!AG192*12*'Modelo Tarifário'!$D$29*'Modelo Tarifário'!$E$36))</f>
        <v>99214.268366806282</v>
      </c>
      <c r="AG59" s="1340">
        <f>IF(('Premissas Economias e Água'!AH192*'Modelo Tarifário'!$I$36*12*'Modelo Tarifário'!$B$5*'Modelo Tarifário'!$E$36)&gt;('Premissas Economias e Água'!AH192*12*'Modelo Tarifário'!$D$29*'Modelo Tarifário'!$E$36),('Premissas Economias e Água'!AH192*'Modelo Tarifário'!$I$36*12*'Modelo Tarifário'!$B$5*'Modelo Tarifário'!$E$36),('Premissas Economias e Água'!AH192*12*'Modelo Tarifário'!$D$29*'Modelo Tarifário'!$E$36))</f>
        <v>99156.01554263552</v>
      </c>
      <c r="AH59" s="1340">
        <f>IF(('Premissas Economias e Água'!AI192*'Modelo Tarifário'!$I$36*12*'Modelo Tarifário'!$B$5*'Modelo Tarifário'!$E$36)&gt;('Premissas Economias e Água'!AI192*12*'Modelo Tarifário'!$D$29*'Modelo Tarifário'!$E$36),('Premissas Economias e Água'!AI192*'Modelo Tarifário'!$I$36*12*'Modelo Tarifário'!$B$5*'Modelo Tarifário'!$E$36),('Premissas Economias e Água'!AI192*12*'Modelo Tarifário'!$D$29*'Modelo Tarifário'!$E$36))</f>
        <v>99097.762718464786</v>
      </c>
    </row>
    <row r="60" spans="2:34" s="79" customFormat="1" ht="12" hidden="1" outlineLevel="1" x14ac:dyDescent="0.3">
      <c r="B60" s="1339"/>
      <c r="C60" s="1335" t="s">
        <v>278</v>
      </c>
      <c r="D60" s="1335"/>
      <c r="E60" s="1340">
        <f>IF(((E8*'Modelo Tarifário'!$C$57*'Modelo Tarifário'!$E$37)*('Premissas Economias e Água'!F333))&gt;('Premissas Economias e Água'!F193*12*'Modelo Tarifário'!$D$29*'Modelo Tarifário'!$C$57*'Modelo Tarifário'!$E$37),(E8*'Modelo Tarifário'!$C$57*'Modelo Tarifário'!$E$37)*('Premissas Economias e Água'!F333),('Premissas Economias e Água'!F193*12*'Modelo Tarifário'!$D$29*'Modelo Tarifário'!$C$57*'Modelo Tarifário'!$E$37))</f>
        <v>420440.70245024032</v>
      </c>
      <c r="F60" s="1340">
        <f>IF(((F8*'Modelo Tarifário'!$C$57*'Modelo Tarifário'!$E$37)*('Premissas Economias e Água'!G333))&gt;('Premissas Economias e Água'!G193*12*'Modelo Tarifário'!$D$29*'Modelo Tarifário'!$C$57*'Modelo Tarifário'!$E$37),(F8*'Modelo Tarifário'!$C$57*'Modelo Tarifário'!$E$37)*('Premissas Economias e Água'!G333),('Premissas Economias e Água'!G193*12*'Modelo Tarifário'!$D$29*'Modelo Tarifário'!$C$57*'Modelo Tarifário'!$E$37))</f>
        <v>422244.34935183875</v>
      </c>
      <c r="G60" s="1340">
        <f>IF(((G8*'Modelo Tarifário'!$C$57*'Modelo Tarifário'!$E$37)*('Premissas Economias e Água'!H333))&gt;('Premissas Economias e Água'!H193*12*'Modelo Tarifário'!$D$29*'Modelo Tarifário'!$C$57*'Modelo Tarifário'!$E$37),(G8*'Modelo Tarifário'!$C$57*'Modelo Tarifário'!$E$37)*('Premissas Economias e Água'!H333),('Premissas Economias e Água'!H193*12*'Modelo Tarifário'!$D$29*'Modelo Tarifário'!$C$57*'Modelo Tarifário'!$E$37))</f>
        <v>424047.99625343713</v>
      </c>
      <c r="H60" s="1340">
        <f>IF(((H8*'Modelo Tarifário'!$C$57*'Modelo Tarifário'!$E$37)*('Premissas Economias e Água'!I333))&gt;('Premissas Economias e Água'!I193*12*'Modelo Tarifário'!$D$29*'Modelo Tarifário'!$C$57*'Modelo Tarifário'!$E$37),(H8*'Modelo Tarifário'!$C$57*'Modelo Tarifário'!$E$37)*('Premissas Economias e Água'!I333),('Premissas Economias e Água'!I193*12*'Modelo Tarifário'!$D$29*'Modelo Tarifário'!$C$57*'Modelo Tarifário'!$E$37))</f>
        <v>425851.6431550355</v>
      </c>
      <c r="I60" s="1340">
        <f>IF(((I8*'Modelo Tarifário'!$C$57*'Modelo Tarifário'!$E$37)*('Premissas Economias e Água'!J333))&gt;('Premissas Economias e Água'!J193*12*'Modelo Tarifário'!$D$29*'Modelo Tarifário'!$C$57*'Modelo Tarifário'!$E$37),(I8*'Modelo Tarifário'!$C$57*'Modelo Tarifário'!$E$37)*('Premissas Economias e Água'!J333),('Premissas Economias e Água'!J193*12*'Modelo Tarifário'!$D$29*'Modelo Tarifário'!$C$57*'Modelo Tarifário'!$E$37))</f>
        <v>427655.29005663394</v>
      </c>
      <c r="J60" s="1340">
        <f>IF(((J8*'Modelo Tarifário'!$C$57*'Modelo Tarifário'!$E$37)*('Premissas Economias e Água'!K333))&gt;('Premissas Economias e Água'!K193*12*'Modelo Tarifário'!$D$29*'Modelo Tarifário'!$C$57*'Modelo Tarifário'!$E$37),(J8*'Modelo Tarifário'!$C$57*'Modelo Tarifário'!$E$37)*('Premissas Economias e Água'!K333),('Premissas Economias e Água'!K193*12*'Modelo Tarifário'!$D$29*'Modelo Tarifário'!$C$57*'Modelo Tarifário'!$E$37))</f>
        <v>429437.7175829194</v>
      </c>
      <c r="K60" s="1340">
        <f>IF(((K8*'Modelo Tarifário'!$C$57*'Modelo Tarifário'!$E$37)*('Premissas Economias e Água'!L333))&gt;('Premissas Economias e Água'!L193*12*'Modelo Tarifário'!$D$29*'Modelo Tarifário'!$C$57*'Modelo Tarifário'!$E$37),(K8*'Modelo Tarifário'!$C$57*'Modelo Tarifário'!$E$37)*('Premissas Economias e Água'!L333),('Premissas Economias e Água'!L193*12*'Modelo Tarifário'!$D$29*'Modelo Tarifário'!$C$57*'Modelo Tarifário'!$E$37))</f>
        <v>430477.46697325254</v>
      </c>
      <c r="L60" s="1340">
        <f>IF(((L8*'Modelo Tarifário'!$C$57*'Modelo Tarifário'!$E$37)*('Premissas Economias e Água'!M333))&gt;('Premissas Economias e Água'!M193*12*'Modelo Tarifário'!$D$29*'Modelo Tarifário'!$C$57*'Modelo Tarifário'!$E$37),(L8*'Modelo Tarifário'!$C$57*'Modelo Tarifário'!$E$37)*('Premissas Economias e Água'!M333),('Premissas Economias e Água'!M193*12*'Modelo Tarifário'!$D$29*'Modelo Tarifário'!$C$57*'Modelo Tarifário'!$E$37))</f>
        <v>431517.21636358579</v>
      </c>
      <c r="M60" s="1340">
        <f>IF(((M8*'Modelo Tarifário'!$C$57*'Modelo Tarifário'!$E$37)*('Premissas Economias e Água'!N333))&gt;('Premissas Economias e Água'!N193*12*'Modelo Tarifário'!$D$29*'Modelo Tarifário'!$C$57*'Modelo Tarifário'!$E$37),(M8*'Modelo Tarifário'!$C$57*'Modelo Tarifário'!$E$37)*('Premissas Economias e Água'!N333),('Premissas Economias e Água'!N193*12*'Modelo Tarifário'!$D$29*'Modelo Tarifário'!$C$57*'Modelo Tarifário'!$E$37))</f>
        <v>432556.96575391892</v>
      </c>
      <c r="N60" s="1340">
        <f>IF(((N8*'Modelo Tarifário'!$C$57*'Modelo Tarifário'!$E$37)*('Premissas Economias e Água'!O333))&gt;('Premissas Economias e Água'!O193*12*'Modelo Tarifário'!$D$29*'Modelo Tarifário'!$C$57*'Modelo Tarifário'!$E$37),(N8*'Modelo Tarifário'!$C$57*'Modelo Tarifário'!$E$37)*('Premissas Economias e Água'!O333),('Premissas Economias e Água'!O193*12*'Modelo Tarifário'!$D$29*'Modelo Tarifário'!$C$57*'Modelo Tarifário'!$E$37))</f>
        <v>433596.71514425217</v>
      </c>
      <c r="O60" s="1340">
        <f>IF(((O8*'Modelo Tarifário'!$C$57*'Modelo Tarifário'!$E$37)*('Premissas Economias e Água'!P333))&gt;('Premissas Economias e Água'!P193*12*'Modelo Tarifário'!$D$29*'Modelo Tarifário'!$C$57*'Modelo Tarifário'!$E$37),(O8*'Modelo Tarifário'!$C$57*'Modelo Tarifário'!$E$37)*('Premissas Economias e Água'!P333),('Premissas Economias e Água'!P193*12*'Modelo Tarifário'!$D$29*'Modelo Tarifário'!$C$57*'Modelo Tarifário'!$E$37))</f>
        <v>434678.90328521118</v>
      </c>
      <c r="P60" s="1340">
        <f>IF(((P8*'Modelo Tarifário'!$C$57*'Modelo Tarifário'!$E$37)*('Premissas Economias e Água'!Q333))&gt;('Premissas Economias e Água'!Q193*12*'Modelo Tarifário'!$D$29*'Modelo Tarifário'!$C$57*'Modelo Tarifário'!$E$37),(P8*'Modelo Tarifário'!$C$57*'Modelo Tarifário'!$E$37)*('Premissas Economias e Água'!Q333),('Premissas Economias e Água'!Q193*12*'Modelo Tarifário'!$D$29*'Modelo Tarifário'!$C$57*'Modelo Tarifário'!$E$37))</f>
        <v>435082.07141615672</v>
      </c>
      <c r="Q60" s="1340">
        <f>IF(((Q8*'Modelo Tarifário'!$C$57*'Modelo Tarifário'!$E$37)*('Premissas Economias e Água'!R333))&gt;('Premissas Economias e Água'!R193*12*'Modelo Tarifário'!$D$29*'Modelo Tarifário'!$C$57*'Modelo Tarifário'!$E$37),(Q8*'Modelo Tarifário'!$C$57*'Modelo Tarifário'!$E$37)*('Premissas Economias e Água'!R333),('Premissas Economias e Água'!R193*12*'Modelo Tarifário'!$D$29*'Modelo Tarifário'!$C$57*'Modelo Tarifário'!$E$37))</f>
        <v>435485.23954710219</v>
      </c>
      <c r="R60" s="1340">
        <f>IF(((R8*'Modelo Tarifário'!$C$57*'Modelo Tarifário'!$E$37)*('Premissas Economias e Água'!S333))&gt;('Premissas Economias e Água'!S193*12*'Modelo Tarifário'!$D$29*'Modelo Tarifário'!$C$57*'Modelo Tarifário'!$E$37),(R8*'Modelo Tarifário'!$C$57*'Modelo Tarifário'!$E$37)*('Premissas Economias e Água'!S333),('Premissas Economias e Água'!S193*12*'Modelo Tarifário'!$D$29*'Modelo Tarifário'!$C$57*'Modelo Tarifário'!$E$37))</f>
        <v>435888.40767804778</v>
      </c>
      <c r="S60" s="1340">
        <f>IF(((S8*'Modelo Tarifário'!$C$57*'Modelo Tarifário'!$E$37)*('Premissas Economias e Água'!T333))&gt;('Premissas Economias e Água'!T193*12*'Modelo Tarifário'!$D$29*'Modelo Tarifário'!$C$57*'Modelo Tarifário'!$E$37),(S8*'Modelo Tarifário'!$C$57*'Modelo Tarifário'!$E$37)*('Premissas Economias e Água'!T333),('Premissas Economias e Água'!T193*12*'Modelo Tarifário'!$D$29*'Modelo Tarifário'!$C$57*'Modelo Tarifário'!$E$37))</f>
        <v>436291.57580899331</v>
      </c>
      <c r="T60" s="1340">
        <f>IF(((T8*'Modelo Tarifário'!$C$57*'Modelo Tarifário'!$E$37)*('Premissas Economias e Água'!U333))&gt;('Premissas Economias e Água'!U193*12*'Modelo Tarifário'!$D$29*'Modelo Tarifário'!$C$57*'Modelo Tarifário'!$E$37),(T8*'Modelo Tarifário'!$C$57*'Modelo Tarifário'!$E$37)*('Premissas Economias e Água'!U333),('Premissas Economias e Água'!U193*12*'Modelo Tarifário'!$D$29*'Modelo Tarifário'!$C$57*'Modelo Tarifário'!$E$37))</f>
        <v>436737.1826905646</v>
      </c>
      <c r="U60" s="1340">
        <f>IF(((U8*'Modelo Tarifário'!$C$57*'Modelo Tarifário'!$E$37)*('Premissas Economias e Água'!V333))&gt;('Premissas Economias e Água'!V193*12*'Modelo Tarifário'!$D$29*'Modelo Tarifário'!$C$57*'Modelo Tarifário'!$E$37),(U8*'Modelo Tarifário'!$C$57*'Modelo Tarifário'!$E$37)*('Premissas Economias e Água'!V333),('Premissas Economias e Água'!V193*12*'Modelo Tarifário'!$D$29*'Modelo Tarifário'!$C$57*'Modelo Tarifário'!$E$37))</f>
        <v>436482.55018680956</v>
      </c>
      <c r="V60" s="1340">
        <f>IF(((V8*'Modelo Tarifário'!$C$57*'Modelo Tarifário'!$E$37)*('Premissas Economias e Água'!W333))&gt;('Premissas Economias e Água'!W193*12*'Modelo Tarifário'!$D$29*'Modelo Tarifário'!$C$57*'Modelo Tarifário'!$E$37),(V8*'Modelo Tarifário'!$C$57*'Modelo Tarifário'!$E$37)*('Premissas Economias e Água'!W333),('Premissas Economias e Água'!W193*12*'Modelo Tarifário'!$D$29*'Modelo Tarifário'!$C$57*'Modelo Tarifário'!$E$37))</f>
        <v>436227.91768305446</v>
      </c>
      <c r="W60" s="1340">
        <f>IF(((W8*'Modelo Tarifário'!$C$57*'Modelo Tarifário'!$E$37)*('Premissas Economias e Água'!X333))&gt;('Premissas Economias e Água'!X193*12*'Modelo Tarifário'!$D$29*'Modelo Tarifário'!$C$57*'Modelo Tarifário'!$E$37),(W8*'Modelo Tarifário'!$C$57*'Modelo Tarifário'!$E$37)*('Premissas Economias e Água'!X333),('Premissas Economias e Água'!X193*12*'Modelo Tarifário'!$D$29*'Modelo Tarifário'!$C$57*'Modelo Tarifário'!$E$37))</f>
        <v>435973.28517929936</v>
      </c>
      <c r="X60" s="1340">
        <f>IF(((X8*'Modelo Tarifário'!$C$57*'Modelo Tarifário'!$E$37)*('Premissas Economias e Água'!Y333))&gt;('Premissas Economias e Água'!Y193*12*'Modelo Tarifário'!$D$29*'Modelo Tarifário'!$C$57*'Modelo Tarifário'!$E$37),(X8*'Modelo Tarifário'!$C$57*'Modelo Tarifário'!$E$37)*('Premissas Economias e Água'!Y333),('Premissas Economias e Água'!Y193*12*'Modelo Tarifário'!$D$29*'Modelo Tarifário'!$C$57*'Modelo Tarifário'!$E$37))</f>
        <v>435718.65267554438</v>
      </c>
      <c r="Y60" s="1340">
        <f>IF(((Y8*'Modelo Tarifário'!$C$57*'Modelo Tarifário'!$E$37)*('Premissas Economias e Água'!Z333))&gt;('Premissas Economias e Água'!Z193*12*'Modelo Tarifário'!$D$29*'Modelo Tarifário'!$C$57*'Modelo Tarifário'!$E$37),(Y8*'Modelo Tarifário'!$C$57*'Modelo Tarifário'!$E$37)*('Premissas Economias e Água'!Z333),('Premissas Economias e Água'!Z193*12*'Modelo Tarifário'!$D$29*'Modelo Tarifário'!$C$57*'Modelo Tarifário'!$E$37))</f>
        <v>435464.02017178934</v>
      </c>
      <c r="Z60" s="1340">
        <f>IF(((Z8*'Modelo Tarifário'!$C$57*'Modelo Tarifário'!$E$37)*('Premissas Economias e Água'!AA333))&gt;('Premissas Economias e Água'!AA193*12*'Modelo Tarifário'!$D$29*'Modelo Tarifário'!$C$57*'Modelo Tarifário'!$E$37),(Z8*'Modelo Tarifário'!$C$57*'Modelo Tarifário'!$E$37)*('Premissas Economias e Água'!AA333),('Premissas Economias e Água'!AA193*12*'Modelo Tarifário'!$D$29*'Modelo Tarifário'!$C$57*'Modelo Tarifário'!$E$37))</f>
        <v>435209.38766803429</v>
      </c>
      <c r="AA60" s="1340">
        <f>IF(((AA8*'Modelo Tarifário'!$C$57*'Modelo Tarifário'!$E$37)*('Premissas Economias e Água'!AB333))&gt;('Premissas Economias e Água'!AB193*12*'Modelo Tarifário'!$D$29*'Modelo Tarifário'!$C$57*'Modelo Tarifário'!$E$37),(AA8*'Modelo Tarifário'!$C$57*'Modelo Tarifário'!$E$37)*('Premissas Economias e Água'!AB333),('Premissas Economias e Água'!AB193*12*'Modelo Tarifário'!$D$29*'Modelo Tarifário'!$C$57*'Modelo Tarifário'!$E$37))</f>
        <v>434954.7551642792</v>
      </c>
      <c r="AB60" s="1340">
        <f>IF(((AB8*'Modelo Tarifário'!$C$57*'Modelo Tarifário'!$E$37)*('Premissas Economias e Água'!AC333))&gt;('Premissas Economias e Água'!AC193*12*'Modelo Tarifário'!$D$29*'Modelo Tarifário'!$C$57*'Modelo Tarifário'!$E$37),(AB8*'Modelo Tarifário'!$C$57*'Modelo Tarifário'!$E$37)*('Premissas Economias e Água'!AC333),('Premissas Economias e Água'!AC193*12*'Modelo Tarifário'!$D$29*'Modelo Tarifário'!$C$57*'Modelo Tarifário'!$E$37))</f>
        <v>434700.1226605241</v>
      </c>
      <c r="AC60" s="1340">
        <f>IF(((AC8*'Modelo Tarifário'!$C$57*'Modelo Tarifário'!$E$37)*('Premissas Economias e Água'!AD333))&gt;('Premissas Economias e Água'!AD193*12*'Modelo Tarifário'!$D$29*'Modelo Tarifário'!$C$57*'Modelo Tarifário'!$E$37),(AC8*'Modelo Tarifário'!$C$57*'Modelo Tarifário'!$E$37)*('Premissas Economias e Água'!AD333),('Premissas Economias e Água'!AD193*12*'Modelo Tarifário'!$D$29*'Modelo Tarifário'!$C$57*'Modelo Tarifário'!$E$37))</f>
        <v>434445.490156769</v>
      </c>
      <c r="AD60" s="1340">
        <f>IF(((AD8*'Modelo Tarifário'!$C$57*'Modelo Tarifário'!$E$37)*('Premissas Economias e Água'!AE333))&gt;('Premissas Economias e Água'!AE193*12*'Modelo Tarifário'!$D$29*'Modelo Tarifário'!$C$57*'Modelo Tarifário'!$E$37),(AD8*'Modelo Tarifário'!$C$57*'Modelo Tarifário'!$E$37)*('Premissas Economias e Água'!AE333),('Premissas Economias e Água'!AE193*12*'Modelo Tarifário'!$D$29*'Modelo Tarifário'!$C$57*'Modelo Tarifário'!$E$37))</f>
        <v>434190.85765301395</v>
      </c>
      <c r="AE60" s="1340">
        <f>IF(((AE8*'Modelo Tarifário'!$C$57*'Modelo Tarifário'!$E$37)*('Premissas Economias e Água'!AF333))&gt;('Premissas Economias e Água'!AF193*12*'Modelo Tarifário'!$D$29*'Modelo Tarifário'!$C$57*'Modelo Tarifário'!$E$37),(AE8*'Modelo Tarifário'!$C$57*'Modelo Tarifário'!$E$37)*('Premissas Economias e Água'!AF333),('Premissas Economias e Água'!AF193*12*'Modelo Tarifário'!$D$29*'Modelo Tarifário'!$C$57*'Modelo Tarifário'!$E$37))</f>
        <v>433936.22514925897</v>
      </c>
      <c r="AF60" s="1340">
        <f>IF(((AF8*'Modelo Tarifário'!$C$57*'Modelo Tarifário'!$E$37)*('Premissas Economias e Água'!AG333))&gt;('Premissas Economias e Água'!AG193*12*'Modelo Tarifário'!$D$29*'Modelo Tarifário'!$C$57*'Modelo Tarifário'!$E$37),(AF8*'Modelo Tarifário'!$C$57*'Modelo Tarifário'!$E$37)*('Premissas Economias e Água'!AG333),('Premissas Economias e Água'!AG193*12*'Modelo Tarifário'!$D$29*'Modelo Tarifário'!$C$57*'Modelo Tarifário'!$E$37))</f>
        <v>433681.59264550381</v>
      </c>
      <c r="AG60" s="1340">
        <f>IF(((AG8*'Modelo Tarifário'!$C$57*'Modelo Tarifário'!$E$37)*('Premissas Economias e Água'!AH333))&gt;('Premissas Economias e Água'!AH193*12*'Modelo Tarifário'!$D$29*'Modelo Tarifário'!$C$57*'Modelo Tarifário'!$E$37),(AG8*'Modelo Tarifário'!$C$57*'Modelo Tarifário'!$E$37)*('Premissas Economias e Água'!AH333),('Premissas Economias e Água'!AH193*12*'Modelo Tarifário'!$D$29*'Modelo Tarifário'!$C$57*'Modelo Tarifário'!$E$37))</f>
        <v>433426.96014174871</v>
      </c>
      <c r="AH60" s="1340">
        <f>IF(((AH8*'Modelo Tarifário'!$C$57*'Modelo Tarifário'!$E$37)*('Premissas Economias e Água'!AI333))&gt;('Premissas Economias e Água'!AI193*12*'Modelo Tarifário'!$D$29*'Modelo Tarifário'!$C$57*'Modelo Tarifário'!$E$37),(AH8*'Modelo Tarifário'!$C$57*'Modelo Tarifário'!$E$37)*('Premissas Economias e Água'!AI333),('Premissas Economias e Água'!AI193*12*'Modelo Tarifário'!$D$29*'Modelo Tarifário'!$C$57*'Modelo Tarifário'!$E$37))</f>
        <v>433172.32763799367</v>
      </c>
    </row>
    <row r="61" spans="2:34" s="79" customFormat="1" ht="12" hidden="1" outlineLevel="1" x14ac:dyDescent="0.3">
      <c r="B61" s="1339"/>
      <c r="C61" s="1335" t="s">
        <v>279</v>
      </c>
      <c r="D61" s="1335"/>
      <c r="E61" s="1340">
        <f>IF(((E8*'Modelo Tarifário'!$C$57*'Modelo Tarifário'!$E$38)*('Premissas Economias e Água'!F334))&gt;('Premissas Economias e Água'!F194*12*'Modelo Tarifário'!$D$29*'Modelo Tarifário'!$C$57*'Modelo Tarifário'!$E$38),(E8*'Modelo Tarifário'!$C$57*'Modelo Tarifário'!$E$38)*('Premissas Economias e Água'!F334),('Premissas Economias e Água'!F194*12*'Modelo Tarifário'!$D$29*'Modelo Tarifário'!$C$57*'Modelo Tarifário'!$E$38))</f>
        <v>483464.76982531353</v>
      </c>
      <c r="F61" s="1340">
        <f>IF(((F8*'Modelo Tarifário'!$C$57*'Modelo Tarifário'!$E$38)*('Premissas Economias e Água'!G334))&gt;('Premissas Economias e Água'!G194*12*'Modelo Tarifário'!$D$29*'Modelo Tarifário'!$C$57*'Modelo Tarifário'!$E$38),(F8*'Modelo Tarifário'!$C$57*'Modelo Tarifário'!$E$38)*('Premissas Economias e Água'!G334),('Premissas Economias e Água'!G194*12*'Modelo Tarifário'!$D$29*'Modelo Tarifário'!$C$57*'Modelo Tarifário'!$E$38))</f>
        <v>485538.78342353459</v>
      </c>
      <c r="G61" s="1340">
        <f>IF(((G8*'Modelo Tarifário'!$C$57*'Modelo Tarifário'!$E$38)*('Premissas Economias e Água'!H334))&gt;('Premissas Economias e Água'!H194*12*'Modelo Tarifário'!$D$29*'Modelo Tarifário'!$C$57*'Modelo Tarifário'!$E$38),(G8*'Modelo Tarifário'!$C$57*'Modelo Tarifário'!$E$38)*('Premissas Economias e Água'!H334),('Premissas Economias e Água'!H194*12*'Modelo Tarifário'!$D$29*'Modelo Tarifário'!$C$57*'Modelo Tarifário'!$E$38))</f>
        <v>487612.7970217556</v>
      </c>
      <c r="H61" s="1340">
        <f>IF(((H8*'Modelo Tarifário'!$C$57*'Modelo Tarifário'!$E$38)*('Premissas Economias e Água'!I334))&gt;('Premissas Economias e Água'!I194*12*'Modelo Tarifário'!$D$29*'Modelo Tarifário'!$C$57*'Modelo Tarifário'!$E$38),(H8*'Modelo Tarifário'!$C$57*'Modelo Tarifário'!$E$38)*('Premissas Economias e Água'!I334),('Premissas Economias e Água'!I194*12*'Modelo Tarifário'!$D$29*'Modelo Tarifário'!$C$57*'Modelo Tarifário'!$E$38))</f>
        <v>489686.8106199766</v>
      </c>
      <c r="I61" s="1340">
        <f>IF(((I8*'Modelo Tarifário'!$C$57*'Modelo Tarifário'!$E$38)*('Premissas Economias e Água'!J334))&gt;('Premissas Economias e Água'!J194*12*'Modelo Tarifário'!$D$29*'Modelo Tarifário'!$C$57*'Modelo Tarifário'!$E$38),(I8*'Modelo Tarifário'!$C$57*'Modelo Tarifário'!$E$38)*('Premissas Economias e Água'!J334),('Premissas Economias e Água'!J194*12*'Modelo Tarifário'!$D$29*'Modelo Tarifário'!$C$57*'Modelo Tarifário'!$E$38))</f>
        <v>491760.82421819767</v>
      </c>
      <c r="J61" s="1340">
        <f>IF(((J8*'Modelo Tarifário'!$C$57*'Modelo Tarifário'!$E$38)*('Premissas Economias e Água'!K334))&gt;('Premissas Economias e Água'!K194*12*'Modelo Tarifário'!$D$29*'Modelo Tarifário'!$C$57*'Modelo Tarifário'!$E$38),(J8*'Modelo Tarifário'!$C$57*'Modelo Tarifário'!$E$38)*('Premissas Economias e Água'!K334),('Premissas Economias e Água'!K194*12*'Modelo Tarifário'!$D$29*'Modelo Tarifário'!$C$57*'Modelo Tarifário'!$E$38))</f>
        <v>493810.43765643961</v>
      </c>
      <c r="K61" s="1340">
        <f>IF(((K8*'Modelo Tarifário'!$C$57*'Modelo Tarifário'!$E$38)*('Premissas Economias e Água'!L334))&gt;('Premissas Economias e Água'!L194*12*'Modelo Tarifário'!$D$29*'Modelo Tarifário'!$C$57*'Modelo Tarifário'!$E$38),(K8*'Modelo Tarifário'!$C$57*'Modelo Tarifário'!$E$38)*('Premissas Economias e Água'!L334),('Premissas Economias e Água'!L194*12*'Modelo Tarifário'!$D$29*'Modelo Tarifário'!$C$57*'Modelo Tarifário'!$E$38))</f>
        <v>495006.04549541412</v>
      </c>
      <c r="L61" s="1340">
        <f>IF(((L8*'Modelo Tarifário'!$C$57*'Modelo Tarifário'!$E$38)*('Premissas Economias e Água'!M334))&gt;('Premissas Economias e Água'!M194*12*'Modelo Tarifário'!$D$29*'Modelo Tarifário'!$C$57*'Modelo Tarifário'!$E$38),(L8*'Modelo Tarifário'!$C$57*'Modelo Tarifário'!$E$38)*('Premissas Economias e Água'!M334),('Premissas Economias e Água'!M194*12*'Modelo Tarifário'!$D$29*'Modelo Tarifário'!$C$57*'Modelo Tarifário'!$E$38))</f>
        <v>496201.65333438857</v>
      </c>
      <c r="M61" s="1340">
        <f>IF(((M8*'Modelo Tarifário'!$C$57*'Modelo Tarifário'!$E$38)*('Premissas Economias e Água'!N334))&gt;('Premissas Economias e Água'!N194*12*'Modelo Tarifário'!$D$29*'Modelo Tarifário'!$C$57*'Modelo Tarifário'!$E$38),(M8*'Modelo Tarifário'!$C$57*'Modelo Tarifário'!$E$38)*('Premissas Economias e Água'!N334),('Premissas Economias e Água'!N194*12*'Modelo Tarifário'!$D$29*'Modelo Tarifário'!$C$57*'Modelo Tarifário'!$E$38))</f>
        <v>497397.26117336313</v>
      </c>
      <c r="N61" s="1340">
        <f>IF(((N8*'Modelo Tarifário'!$C$57*'Modelo Tarifário'!$E$38)*('Premissas Economias e Água'!O334))&gt;('Premissas Economias e Água'!O194*12*'Modelo Tarifário'!$D$29*'Modelo Tarifário'!$C$57*'Modelo Tarifário'!$E$38),(N8*'Modelo Tarifário'!$C$57*'Modelo Tarifário'!$E$38)*('Premissas Economias e Água'!O334),('Premissas Economias e Água'!O194*12*'Modelo Tarifário'!$D$29*'Modelo Tarifário'!$C$57*'Modelo Tarifário'!$E$38))</f>
        <v>498592.86901233759</v>
      </c>
      <c r="O61" s="1340">
        <f>IF(((O8*'Modelo Tarifário'!$C$57*'Modelo Tarifário'!$E$38)*('Premissas Economias e Água'!P334))&gt;('Premissas Economias e Água'!P194*12*'Modelo Tarifário'!$D$29*'Modelo Tarifário'!$C$57*'Modelo Tarifário'!$E$38),(O8*'Modelo Tarifário'!$C$57*'Modelo Tarifário'!$E$38)*('Premissas Economias e Água'!P334),('Premissas Economias e Água'!P194*12*'Modelo Tarifário'!$D$29*'Modelo Tarifário'!$C$57*'Modelo Tarifário'!$E$38))</f>
        <v>499837.27717127011</v>
      </c>
      <c r="P61" s="1340">
        <f>IF(((P8*'Modelo Tarifário'!$C$57*'Modelo Tarifário'!$E$38)*('Premissas Economias e Água'!Q334))&gt;('Premissas Economias e Água'!Q194*12*'Modelo Tarifário'!$D$29*'Modelo Tarifário'!$C$57*'Modelo Tarifário'!$E$38),(P8*'Modelo Tarifário'!$C$57*'Modelo Tarifário'!$E$38)*('Premissas Economias e Água'!Q334),('Premissas Economias e Água'!Q194*12*'Modelo Tarifário'!$D$29*'Modelo Tarifário'!$C$57*'Modelo Tarifário'!$E$38))</f>
        <v>500300.88021087251</v>
      </c>
      <c r="Q61" s="1340">
        <f>IF(((Q8*'Modelo Tarifário'!$C$57*'Modelo Tarifário'!$E$38)*('Premissas Economias e Água'!R334))&gt;('Premissas Economias e Água'!R194*12*'Modelo Tarifário'!$D$29*'Modelo Tarifário'!$C$57*'Modelo Tarifário'!$E$38),(Q8*'Modelo Tarifário'!$C$57*'Modelo Tarifário'!$E$38)*('Premissas Economias e Água'!R334),('Premissas Economias e Água'!R194*12*'Modelo Tarifário'!$D$29*'Modelo Tarifário'!$C$57*'Modelo Tarifário'!$E$38))</f>
        <v>500764.48325047485</v>
      </c>
      <c r="R61" s="1340">
        <f>IF(((R8*'Modelo Tarifário'!$C$57*'Modelo Tarifário'!$E$38)*('Premissas Economias e Água'!S334))&gt;('Premissas Economias e Água'!S194*12*'Modelo Tarifário'!$D$29*'Modelo Tarifário'!$C$57*'Modelo Tarifário'!$E$38),(R8*'Modelo Tarifário'!$C$57*'Modelo Tarifário'!$E$38)*('Premissas Economias e Água'!S334),('Premissas Economias e Água'!S194*12*'Modelo Tarifário'!$D$29*'Modelo Tarifário'!$C$57*'Modelo Tarifário'!$E$38))</f>
        <v>501228.08629007719</v>
      </c>
      <c r="S61" s="1340">
        <f>IF(((S8*'Modelo Tarifário'!$C$57*'Modelo Tarifário'!$E$38)*('Premissas Economias e Água'!T334))&gt;('Premissas Economias e Água'!T194*12*'Modelo Tarifário'!$D$29*'Modelo Tarifário'!$C$57*'Modelo Tarifário'!$E$38),(S8*'Modelo Tarifário'!$C$57*'Modelo Tarifário'!$E$38)*('Premissas Economias e Água'!T334),('Premissas Economias e Água'!T194*12*'Modelo Tarifário'!$D$29*'Modelo Tarifário'!$C$57*'Modelo Tarifário'!$E$38))</f>
        <v>501691.68932967953</v>
      </c>
      <c r="T61" s="1340">
        <f>IF(((T8*'Modelo Tarifário'!$C$57*'Modelo Tarifário'!$E$38)*('Premissas Economias e Água'!U334))&gt;('Premissas Economias e Água'!U194*12*'Modelo Tarifário'!$D$29*'Modelo Tarifário'!$C$57*'Modelo Tarifário'!$E$38),(T8*'Modelo Tarifário'!$C$57*'Modelo Tarifário'!$E$38)*('Premissas Economias e Água'!U334),('Premissas Economias e Água'!U194*12*'Modelo Tarifário'!$D$29*'Modelo Tarifário'!$C$57*'Modelo Tarifário'!$E$38))</f>
        <v>502204.09268924006</v>
      </c>
      <c r="U61" s="1340">
        <f>IF(((U8*'Modelo Tarifário'!$C$57*'Modelo Tarifário'!$E$38)*('Premissas Economias e Água'!V334))&gt;('Premissas Economias e Água'!V194*12*'Modelo Tarifário'!$D$29*'Modelo Tarifário'!$C$57*'Modelo Tarifário'!$E$38),(U8*'Modelo Tarifário'!$C$57*'Modelo Tarifário'!$E$38)*('Premissas Economias e Água'!V334),('Premissas Economias e Água'!V194*12*'Modelo Tarifário'!$D$29*'Modelo Tarifário'!$C$57*'Modelo Tarifário'!$E$38))</f>
        <v>501911.29076949111</v>
      </c>
      <c r="V61" s="1340">
        <f>IF(((V8*'Modelo Tarifário'!$C$57*'Modelo Tarifário'!$E$38)*('Premissas Economias e Água'!W334))&gt;('Premissas Economias e Água'!W194*12*'Modelo Tarifário'!$D$29*'Modelo Tarifário'!$C$57*'Modelo Tarifário'!$E$38),(V8*'Modelo Tarifário'!$C$57*'Modelo Tarifário'!$E$38)*('Premissas Economias e Água'!W334),('Premissas Economias e Água'!W194*12*'Modelo Tarifário'!$D$29*'Modelo Tarifário'!$C$57*'Modelo Tarifário'!$E$38))</f>
        <v>501618.48884974234</v>
      </c>
      <c r="W61" s="1340">
        <f>IF(((W8*'Modelo Tarifário'!$C$57*'Modelo Tarifário'!$E$38)*('Premissas Economias e Água'!X334))&gt;('Premissas Economias e Água'!X194*12*'Modelo Tarifário'!$D$29*'Modelo Tarifário'!$C$57*'Modelo Tarifário'!$E$38),(W8*'Modelo Tarifário'!$C$57*'Modelo Tarifário'!$E$38)*('Premissas Economias e Água'!X334),('Premissas Economias e Água'!X194*12*'Modelo Tarifário'!$D$29*'Modelo Tarifário'!$C$57*'Modelo Tarifário'!$E$38))</f>
        <v>501325.68692999351</v>
      </c>
      <c r="X61" s="1340">
        <f>IF(((X8*'Modelo Tarifário'!$C$57*'Modelo Tarifário'!$E$38)*('Premissas Economias e Água'!Y334))&gt;('Premissas Economias e Água'!Y194*12*'Modelo Tarifário'!$D$29*'Modelo Tarifário'!$C$57*'Modelo Tarifário'!$E$38),(X8*'Modelo Tarifário'!$C$57*'Modelo Tarifário'!$E$38)*('Premissas Economias e Água'!Y334),('Premissas Economias e Água'!Y194*12*'Modelo Tarifário'!$D$29*'Modelo Tarifário'!$C$57*'Modelo Tarifário'!$E$38))</f>
        <v>501032.88501024473</v>
      </c>
      <c r="Y61" s="1340">
        <f>IF(((Y8*'Modelo Tarifário'!$C$57*'Modelo Tarifário'!$E$38)*('Premissas Economias e Água'!Z334))&gt;('Premissas Economias e Água'!Z194*12*'Modelo Tarifário'!$D$29*'Modelo Tarifário'!$C$57*'Modelo Tarifário'!$E$38),(Y8*'Modelo Tarifário'!$C$57*'Modelo Tarifário'!$E$38)*('Premissas Economias e Água'!Z334),('Premissas Economias e Água'!Z194*12*'Modelo Tarifário'!$D$29*'Modelo Tarifário'!$C$57*'Modelo Tarifário'!$E$38))</f>
        <v>500740.08309049578</v>
      </c>
      <c r="Z61" s="1340">
        <f>IF(((Z8*'Modelo Tarifário'!$C$57*'Modelo Tarifário'!$E$38)*('Premissas Economias e Água'!AA334))&gt;('Premissas Economias e Água'!AA194*12*'Modelo Tarifário'!$D$29*'Modelo Tarifário'!$C$57*'Modelo Tarifário'!$E$38),(Z8*'Modelo Tarifário'!$C$57*'Modelo Tarifário'!$E$38)*('Premissas Economias e Água'!AA334),('Premissas Economias e Água'!AA194*12*'Modelo Tarifário'!$D$29*'Modelo Tarifário'!$C$57*'Modelo Tarifário'!$E$38))</f>
        <v>500447.28117074701</v>
      </c>
      <c r="AA61" s="1340">
        <f>IF(((AA8*'Modelo Tarifário'!$C$57*'Modelo Tarifário'!$E$38)*('Premissas Economias e Água'!AB334))&gt;('Premissas Economias e Água'!AB194*12*'Modelo Tarifário'!$D$29*'Modelo Tarifário'!$C$57*'Modelo Tarifário'!$E$38),(AA8*'Modelo Tarifário'!$C$57*'Modelo Tarifário'!$E$38)*('Premissas Economias e Água'!AB334),('Premissas Economias e Água'!AB194*12*'Modelo Tarifário'!$D$29*'Modelo Tarifário'!$C$57*'Modelo Tarifário'!$E$38))</f>
        <v>500154.47925099806</v>
      </c>
      <c r="AB61" s="1340">
        <f>IF(((AB8*'Modelo Tarifário'!$C$57*'Modelo Tarifário'!$E$38)*('Premissas Economias e Água'!AC334))&gt;('Premissas Economias e Água'!AC194*12*'Modelo Tarifário'!$D$29*'Modelo Tarifário'!$C$57*'Modelo Tarifário'!$E$38),(AB8*'Modelo Tarifário'!$C$57*'Modelo Tarifário'!$E$38)*('Premissas Economias e Água'!AC334),('Premissas Economias e Água'!AC194*12*'Modelo Tarifário'!$D$29*'Modelo Tarifário'!$C$57*'Modelo Tarifário'!$E$38))</f>
        <v>499861.67733124929</v>
      </c>
      <c r="AC61" s="1340">
        <f>IF(((AC8*'Modelo Tarifário'!$C$57*'Modelo Tarifário'!$E$38)*('Premissas Economias e Água'!AD334))&gt;('Premissas Economias e Água'!AD194*12*'Modelo Tarifário'!$D$29*'Modelo Tarifário'!$C$57*'Modelo Tarifário'!$E$38),(AC8*'Modelo Tarifário'!$C$57*'Modelo Tarifário'!$E$38)*('Premissas Economias e Água'!AD334),('Premissas Economias e Água'!AD194*12*'Modelo Tarifário'!$D$29*'Modelo Tarifário'!$C$57*'Modelo Tarifário'!$E$38))</f>
        <v>499568.87541150034</v>
      </c>
      <c r="AD61" s="1340">
        <f>IF(((AD8*'Modelo Tarifário'!$C$57*'Modelo Tarifário'!$E$38)*('Premissas Economias e Água'!AE334))&gt;('Premissas Economias e Água'!AE194*12*'Modelo Tarifário'!$D$29*'Modelo Tarifário'!$C$57*'Modelo Tarifário'!$E$38),(AD8*'Modelo Tarifário'!$C$57*'Modelo Tarifário'!$E$38)*('Premissas Economias e Água'!AE334),('Premissas Economias e Água'!AE194*12*'Modelo Tarifário'!$D$29*'Modelo Tarifário'!$C$57*'Modelo Tarifário'!$E$38))</f>
        <v>499276.07349175157</v>
      </c>
      <c r="AE61" s="1340">
        <f>IF(((AE8*'Modelo Tarifário'!$C$57*'Modelo Tarifário'!$E$38)*('Premissas Economias e Água'!AF334))&gt;('Premissas Economias e Água'!AF194*12*'Modelo Tarifário'!$D$29*'Modelo Tarifário'!$C$57*'Modelo Tarifário'!$E$38),(AE8*'Modelo Tarifário'!$C$57*'Modelo Tarifário'!$E$38)*('Premissas Economias e Água'!AF334),('Premissas Economias e Água'!AF194*12*'Modelo Tarifário'!$D$29*'Modelo Tarifário'!$C$57*'Modelo Tarifário'!$E$38))</f>
        <v>498983.27157200262</v>
      </c>
      <c r="AF61" s="1340">
        <f>IF(((AF8*'Modelo Tarifário'!$C$57*'Modelo Tarifário'!$E$38)*('Premissas Economias e Água'!AG334))&gt;('Premissas Economias e Água'!AG194*12*'Modelo Tarifário'!$D$29*'Modelo Tarifário'!$C$57*'Modelo Tarifário'!$E$38),(AF8*'Modelo Tarifário'!$C$57*'Modelo Tarifário'!$E$38)*('Premissas Economias e Água'!AG334),('Premissas Economias e Água'!AG194*12*'Modelo Tarifário'!$D$29*'Modelo Tarifário'!$C$57*'Modelo Tarifário'!$E$38))</f>
        <v>498690.46965225384</v>
      </c>
      <c r="AG61" s="1340">
        <f>IF(((AG8*'Modelo Tarifário'!$C$57*'Modelo Tarifário'!$E$38)*('Premissas Economias e Água'!AH334))&gt;('Premissas Economias e Água'!AH194*12*'Modelo Tarifário'!$D$29*'Modelo Tarifário'!$C$57*'Modelo Tarifário'!$E$38),(AG8*'Modelo Tarifário'!$C$57*'Modelo Tarifário'!$E$38)*('Premissas Economias e Água'!AH334),('Premissas Economias e Água'!AH194*12*'Modelo Tarifário'!$D$29*'Modelo Tarifário'!$C$57*'Modelo Tarifário'!$E$38))</f>
        <v>498397.66773250495</v>
      </c>
      <c r="AH61" s="1340">
        <f>IF(((AH8*'Modelo Tarifário'!$C$57*'Modelo Tarifário'!$E$38)*('Premissas Economias e Água'!AI334))&gt;('Premissas Economias e Água'!AI194*12*'Modelo Tarifário'!$D$29*'Modelo Tarifário'!$C$57*'Modelo Tarifário'!$E$38),(AH8*'Modelo Tarifário'!$C$57*'Modelo Tarifário'!$E$38)*('Premissas Economias e Água'!AI334),('Premissas Economias e Água'!AI194*12*'Modelo Tarifário'!$D$29*'Modelo Tarifário'!$C$57*'Modelo Tarifário'!$E$38))</f>
        <v>498104.86581275624</v>
      </c>
    </row>
    <row r="62" spans="2:34" s="79" customFormat="1" ht="12" hidden="1" outlineLevel="1" x14ac:dyDescent="0.3">
      <c r="B62" s="1339"/>
      <c r="C62" s="1335" t="s">
        <v>280</v>
      </c>
      <c r="D62" s="1335"/>
      <c r="E62" s="1340">
        <f>IF(((E8*'Modelo Tarifário'!$C$57*'Modelo Tarifário'!$E$39)*('Premissas Economias e Água'!F335))&gt;('Premissas Economias e Água'!F195*12*'Modelo Tarifário'!$D$29*'Modelo Tarifário'!$C$57*'Modelo Tarifário'!$E$39),(E8*'Modelo Tarifário'!$C$57*'Modelo Tarifário'!$E$39)*('Premissas Economias e Água'!F335),('Premissas Economias e Água'!F195*12*'Modelo Tarifário'!$D$29*'Modelo Tarifário'!$C$57*'Modelo Tarifário'!$E$39))</f>
        <v>518418.14234046923</v>
      </c>
      <c r="F62" s="1340">
        <f>IF(((F8*'Modelo Tarifário'!$C$57*'Modelo Tarifário'!$E$39)*('Premissas Economias e Água'!G335))&gt;('Premissas Economias e Água'!G195*12*'Modelo Tarifário'!$D$29*'Modelo Tarifário'!$C$57*'Modelo Tarifário'!$E$39),(F8*'Modelo Tarifário'!$C$57*'Modelo Tarifário'!$E$39)*('Premissas Economias e Água'!G335),('Premissas Economias e Água'!G195*12*'Modelo Tarifário'!$D$29*'Modelo Tarifário'!$C$57*'Modelo Tarifário'!$E$39))</f>
        <v>520642.1022727869</v>
      </c>
      <c r="G62" s="1340">
        <f>IF(((G8*'Modelo Tarifário'!$C$57*'Modelo Tarifário'!$E$39)*('Premissas Economias e Água'!H335))&gt;('Premissas Economias e Água'!H195*12*'Modelo Tarifário'!$D$29*'Modelo Tarifário'!$C$57*'Modelo Tarifário'!$E$39),(G8*'Modelo Tarifário'!$C$57*'Modelo Tarifário'!$E$39)*('Premissas Economias e Água'!H335),('Premissas Economias e Água'!H195*12*'Modelo Tarifário'!$D$29*'Modelo Tarifário'!$C$57*'Modelo Tarifário'!$E$39))</f>
        <v>522866.06220510439</v>
      </c>
      <c r="H62" s="1340">
        <f>IF(((H8*'Modelo Tarifário'!$C$57*'Modelo Tarifário'!$E$39)*('Premissas Economias e Água'!I335))&gt;('Premissas Economias e Água'!I195*12*'Modelo Tarifário'!$D$29*'Modelo Tarifário'!$C$57*'Modelo Tarifário'!$E$39),(H8*'Modelo Tarifário'!$C$57*'Modelo Tarifário'!$E$39)*('Premissas Economias e Água'!I335),('Premissas Economias e Água'!I195*12*'Modelo Tarifário'!$D$29*'Modelo Tarifário'!$C$57*'Modelo Tarifário'!$E$39))</f>
        <v>525090.022137422</v>
      </c>
      <c r="I62" s="1340">
        <f>IF(((I8*'Modelo Tarifário'!$C$57*'Modelo Tarifário'!$E$39)*('Premissas Economias e Água'!J335))&gt;('Premissas Economias e Água'!J195*12*'Modelo Tarifário'!$D$29*'Modelo Tarifário'!$C$57*'Modelo Tarifário'!$E$39),(I8*'Modelo Tarifário'!$C$57*'Modelo Tarifário'!$E$39)*('Premissas Economias e Água'!J335),('Premissas Economias e Água'!J195*12*'Modelo Tarifário'!$D$29*'Modelo Tarifário'!$C$57*'Modelo Tarifário'!$E$39))</f>
        <v>527313.98206973961</v>
      </c>
      <c r="J62" s="1340">
        <f>IF(((J8*'Modelo Tarifário'!$C$57*'Modelo Tarifário'!$E$39)*('Premissas Economias e Água'!K335))&gt;('Premissas Economias e Água'!K195*12*'Modelo Tarifário'!$D$29*'Modelo Tarifário'!$C$57*'Modelo Tarifário'!$E$39),(J8*'Modelo Tarifário'!$C$57*'Modelo Tarifário'!$E$39)*('Premissas Economias e Água'!K335),('Premissas Economias e Água'!K195*12*'Modelo Tarifário'!$D$29*'Modelo Tarifário'!$C$57*'Modelo Tarifário'!$E$39))</f>
        <v>529511.77776755916</v>
      </c>
      <c r="K62" s="1340">
        <f>IF(((K8*'Modelo Tarifário'!$C$57*'Modelo Tarifário'!$E$39)*('Premissas Economias e Água'!L335))&gt;('Premissas Economias e Água'!L195*12*'Modelo Tarifário'!$D$29*'Modelo Tarifário'!$C$57*'Modelo Tarifário'!$E$39),(K8*'Modelo Tarifário'!$C$57*'Modelo Tarifário'!$E$39)*('Premissas Economias e Água'!L335),('Premissas Economias e Água'!L195*12*'Modelo Tarifário'!$D$29*'Modelo Tarifário'!$C$57*'Modelo Tarifário'!$E$39))</f>
        <v>530793.82525795407</v>
      </c>
      <c r="L62" s="1340">
        <f>IF(((L8*'Modelo Tarifário'!$C$57*'Modelo Tarifário'!$E$39)*('Premissas Economias e Água'!M335))&gt;('Premissas Economias e Água'!M195*12*'Modelo Tarifário'!$D$29*'Modelo Tarifário'!$C$57*'Modelo Tarifário'!$E$39),(L8*'Modelo Tarifário'!$C$57*'Modelo Tarifário'!$E$39)*('Premissas Economias e Água'!M335),('Premissas Economias e Água'!M195*12*'Modelo Tarifário'!$D$29*'Modelo Tarifário'!$C$57*'Modelo Tarifário'!$E$39))</f>
        <v>532075.87274834886</v>
      </c>
      <c r="M62" s="1340">
        <f>IF(((M8*'Modelo Tarifário'!$C$57*'Modelo Tarifário'!$E$39)*('Premissas Economias e Água'!N335))&gt;('Premissas Economias e Água'!N195*12*'Modelo Tarifário'!$D$29*'Modelo Tarifário'!$C$57*'Modelo Tarifário'!$E$39),(M8*'Modelo Tarifário'!$C$57*'Modelo Tarifário'!$E$39)*('Premissas Economias e Água'!N335),('Premissas Economias e Água'!N195*12*'Modelo Tarifário'!$D$29*'Modelo Tarifário'!$C$57*'Modelo Tarifário'!$E$39))</f>
        <v>533357.92023874365</v>
      </c>
      <c r="N62" s="1340">
        <f>IF(((N8*'Modelo Tarifário'!$C$57*'Modelo Tarifário'!$E$39)*('Premissas Economias e Água'!O335))&gt;('Premissas Economias e Água'!O195*12*'Modelo Tarifário'!$D$29*'Modelo Tarifário'!$C$57*'Modelo Tarifário'!$E$39),(N8*'Modelo Tarifário'!$C$57*'Modelo Tarifário'!$E$39)*('Premissas Economias e Água'!O335),('Premissas Economias e Água'!O195*12*'Modelo Tarifário'!$D$29*'Modelo Tarifário'!$C$57*'Modelo Tarifário'!$E$39))</f>
        <v>534639.96772913844</v>
      </c>
      <c r="O62" s="1340">
        <f>IF(((O8*'Modelo Tarifário'!$C$57*'Modelo Tarifário'!$E$39)*('Premissas Economias e Água'!P335))&gt;('Premissas Economias e Água'!P195*12*'Modelo Tarifário'!$D$29*'Modelo Tarifário'!$C$57*'Modelo Tarifário'!$E$39),(O8*'Modelo Tarifário'!$C$57*'Modelo Tarifário'!$E$39)*('Premissas Economias e Água'!P335),('Premissas Economias e Água'!P195*12*'Modelo Tarifário'!$D$29*'Modelo Tarifário'!$C$57*'Modelo Tarifário'!$E$39))</f>
        <v>535974.3436885291</v>
      </c>
      <c r="P62" s="1340">
        <f>IF(((P8*'Modelo Tarifário'!$C$57*'Modelo Tarifário'!$E$39)*('Premissas Economias e Água'!Q335))&gt;('Premissas Economias e Água'!Q195*12*'Modelo Tarifário'!$D$29*'Modelo Tarifário'!$C$57*'Modelo Tarifário'!$E$39),(P8*'Modelo Tarifário'!$C$57*'Modelo Tarifário'!$E$39)*('Premissas Economias e Água'!Q335),('Premissas Economias e Água'!Q195*12*'Modelo Tarifário'!$D$29*'Modelo Tarifário'!$C$57*'Modelo Tarifário'!$E$39))</f>
        <v>536471.46414398821</v>
      </c>
      <c r="Q62" s="1340">
        <f>IF(((Q8*'Modelo Tarifário'!$C$57*'Modelo Tarifário'!$E$39)*('Premissas Economias e Água'!R335))&gt;('Premissas Economias e Água'!R195*12*'Modelo Tarifário'!$D$29*'Modelo Tarifário'!$C$57*'Modelo Tarifário'!$E$39),(Q8*'Modelo Tarifário'!$C$57*'Modelo Tarifário'!$E$39)*('Premissas Economias e Água'!R335),('Premissas Economias e Água'!R195*12*'Modelo Tarifário'!$D$29*'Modelo Tarifário'!$C$57*'Modelo Tarifário'!$E$39))</f>
        <v>536968.58459944744</v>
      </c>
      <c r="R62" s="1340">
        <f>IF(((R8*'Modelo Tarifário'!$C$57*'Modelo Tarifário'!$E$39)*('Premissas Economias e Água'!S335))&gt;('Premissas Economias e Água'!S195*12*'Modelo Tarifário'!$D$29*'Modelo Tarifário'!$C$57*'Modelo Tarifário'!$E$39),(R8*'Modelo Tarifário'!$C$57*'Modelo Tarifário'!$E$39)*('Premissas Economias e Água'!S335),('Premissas Economias e Água'!S195*12*'Modelo Tarifário'!$D$29*'Modelo Tarifário'!$C$57*'Modelo Tarifário'!$E$39))</f>
        <v>537465.70505490666</v>
      </c>
      <c r="S62" s="1340">
        <f>IF(((S8*'Modelo Tarifário'!$C$57*'Modelo Tarifário'!$E$39)*('Premissas Economias e Água'!T335))&gt;('Premissas Economias e Água'!T195*12*'Modelo Tarifário'!$D$29*'Modelo Tarifário'!$C$57*'Modelo Tarifário'!$E$39),(S8*'Modelo Tarifário'!$C$57*'Modelo Tarifário'!$E$39)*('Premissas Economias e Água'!T335),('Premissas Economias e Água'!T195*12*'Modelo Tarifário'!$D$29*'Modelo Tarifário'!$C$57*'Modelo Tarifário'!$E$39))</f>
        <v>537962.825510366</v>
      </c>
      <c r="T62" s="1340">
        <f>IF(((T8*'Modelo Tarifário'!$C$57*'Modelo Tarifário'!$E$39)*('Premissas Economias e Água'!U335))&gt;('Premissas Economias e Água'!U195*12*'Modelo Tarifário'!$D$29*'Modelo Tarifário'!$C$57*'Modelo Tarifário'!$E$39),(T8*'Modelo Tarifário'!$C$57*'Modelo Tarifário'!$E$39)*('Premissas Economias e Água'!U335),('Premissas Economias e Água'!U195*12*'Modelo Tarifário'!$D$29*'Modelo Tarifário'!$C$57*'Modelo Tarifário'!$E$39))</f>
        <v>538512.27443482087</v>
      </c>
      <c r="U62" s="1340">
        <f>IF(((U8*'Modelo Tarifário'!$C$57*'Modelo Tarifário'!$E$39)*('Premissas Economias e Água'!V335))&gt;('Premissas Economias e Água'!V195*12*'Modelo Tarifário'!$D$29*'Modelo Tarifário'!$C$57*'Modelo Tarifário'!$E$39),(U8*'Modelo Tarifário'!$C$57*'Modelo Tarifário'!$E$39)*('Premissas Economias e Água'!V335),('Premissas Economias e Água'!V195*12*'Modelo Tarifário'!$D$29*'Modelo Tarifário'!$C$57*'Modelo Tarifário'!$E$39))</f>
        <v>538198.30362084659</v>
      </c>
      <c r="V62" s="1340">
        <f>IF(((V8*'Modelo Tarifário'!$C$57*'Modelo Tarifário'!$E$39)*('Premissas Economias e Água'!W335))&gt;('Premissas Economias e Água'!W195*12*'Modelo Tarifário'!$D$29*'Modelo Tarifário'!$C$57*'Modelo Tarifário'!$E$39),(V8*'Modelo Tarifário'!$C$57*'Modelo Tarifário'!$E$39)*('Premissas Economias e Água'!W335),('Premissas Economias e Água'!W195*12*'Modelo Tarifário'!$D$29*'Modelo Tarifário'!$C$57*'Modelo Tarifário'!$E$39))</f>
        <v>537884.33280687244</v>
      </c>
      <c r="W62" s="1340">
        <f>IF(((W8*'Modelo Tarifário'!$C$57*'Modelo Tarifário'!$E$39)*('Premissas Economias e Água'!X335))&gt;('Premissas Economias e Água'!X195*12*'Modelo Tarifário'!$D$29*'Modelo Tarifário'!$C$57*'Modelo Tarifário'!$E$39),(W8*'Modelo Tarifário'!$C$57*'Modelo Tarifário'!$E$39)*('Premissas Economias e Água'!X335),('Premissas Economias e Água'!X195*12*'Modelo Tarifário'!$D$29*'Modelo Tarifário'!$C$57*'Modelo Tarifário'!$E$39))</f>
        <v>537570.36199289816</v>
      </c>
      <c r="X62" s="1340">
        <f>IF(((X8*'Modelo Tarifário'!$C$57*'Modelo Tarifário'!$E$39)*('Premissas Economias e Água'!Y335))&gt;('Premissas Economias e Água'!Y195*12*'Modelo Tarifário'!$D$29*'Modelo Tarifário'!$C$57*'Modelo Tarifário'!$E$39),(X8*'Modelo Tarifário'!$C$57*'Modelo Tarifário'!$E$39)*('Premissas Economias e Água'!Y335),('Premissas Economias e Água'!Y195*12*'Modelo Tarifário'!$D$29*'Modelo Tarifário'!$C$57*'Modelo Tarifário'!$E$39))</f>
        <v>537256.39117892389</v>
      </c>
      <c r="Y62" s="1340">
        <f>IF(((Y8*'Modelo Tarifário'!$C$57*'Modelo Tarifário'!$E$39)*('Premissas Economias e Água'!Z335))&gt;('Premissas Economias e Água'!Z195*12*'Modelo Tarifário'!$D$29*'Modelo Tarifário'!$C$57*'Modelo Tarifário'!$E$39),(Y8*'Modelo Tarifário'!$C$57*'Modelo Tarifário'!$E$39)*('Premissas Economias e Água'!Z335),('Premissas Economias e Água'!Z195*12*'Modelo Tarifário'!$D$29*'Modelo Tarifário'!$C$57*'Modelo Tarifário'!$E$39))</f>
        <v>536942.42036494962</v>
      </c>
      <c r="Z62" s="1340">
        <f>IF(((Z8*'Modelo Tarifário'!$C$57*'Modelo Tarifário'!$E$39)*('Premissas Economias e Água'!AA335))&gt;('Premissas Economias e Água'!AA195*12*'Modelo Tarifário'!$D$29*'Modelo Tarifário'!$C$57*'Modelo Tarifário'!$E$39),(Z8*'Modelo Tarifário'!$C$57*'Modelo Tarifário'!$E$39)*('Premissas Economias e Água'!AA335),('Premissas Economias e Água'!AA195*12*'Modelo Tarifário'!$D$29*'Modelo Tarifário'!$C$57*'Modelo Tarifário'!$E$39))</f>
        <v>536628.44955097546</v>
      </c>
      <c r="AA62" s="1340">
        <f>IF(((AA8*'Modelo Tarifário'!$C$57*'Modelo Tarifário'!$E$39)*('Premissas Economias e Água'!AB335))&gt;('Premissas Economias e Água'!AB195*12*'Modelo Tarifário'!$D$29*'Modelo Tarifário'!$C$57*'Modelo Tarifário'!$E$39),(AA8*'Modelo Tarifário'!$C$57*'Modelo Tarifário'!$E$39)*('Premissas Economias e Água'!AB335),('Premissas Economias e Água'!AB195*12*'Modelo Tarifário'!$D$29*'Modelo Tarifário'!$C$57*'Modelo Tarifário'!$E$39))</f>
        <v>536314.47873700119</v>
      </c>
      <c r="AB62" s="1340">
        <f>IF(((AB8*'Modelo Tarifário'!$C$57*'Modelo Tarifário'!$E$39)*('Premissas Economias e Água'!AC335))&gt;('Premissas Economias e Água'!AC195*12*'Modelo Tarifário'!$D$29*'Modelo Tarifário'!$C$57*'Modelo Tarifário'!$E$39),(AB8*'Modelo Tarifário'!$C$57*'Modelo Tarifário'!$E$39)*('Premissas Economias e Água'!AC335),('Premissas Economias e Água'!AC195*12*'Modelo Tarifário'!$D$29*'Modelo Tarifário'!$C$57*'Modelo Tarifário'!$E$39))</f>
        <v>536000.50792302692</v>
      </c>
      <c r="AC62" s="1340">
        <f>IF(((AC8*'Modelo Tarifário'!$C$57*'Modelo Tarifário'!$E$39)*('Premissas Economias e Água'!AD335))&gt;('Premissas Economias e Água'!AD195*12*'Modelo Tarifário'!$D$29*'Modelo Tarifário'!$C$57*'Modelo Tarifário'!$E$39),(AC8*'Modelo Tarifário'!$C$57*'Modelo Tarifário'!$E$39)*('Premissas Economias e Água'!AD335),('Premissas Economias e Água'!AD195*12*'Modelo Tarifário'!$D$29*'Modelo Tarifário'!$C$57*'Modelo Tarifário'!$E$39))</f>
        <v>535686.53710905276</v>
      </c>
      <c r="AD62" s="1340">
        <f>IF(((AD8*'Modelo Tarifário'!$C$57*'Modelo Tarifário'!$E$39)*('Premissas Economias e Água'!AE335))&gt;('Premissas Economias e Água'!AE195*12*'Modelo Tarifário'!$D$29*'Modelo Tarifário'!$C$57*'Modelo Tarifário'!$E$39),(AD8*'Modelo Tarifário'!$C$57*'Modelo Tarifário'!$E$39)*('Premissas Economias e Água'!AE335),('Premissas Economias e Água'!AE195*12*'Modelo Tarifário'!$D$29*'Modelo Tarifário'!$C$57*'Modelo Tarifário'!$E$39))</f>
        <v>535372.56629507837</v>
      </c>
      <c r="AE62" s="1340">
        <f>IF(((AE8*'Modelo Tarifário'!$C$57*'Modelo Tarifário'!$E$39)*('Premissas Economias e Água'!AF335))&gt;('Premissas Economias e Água'!AF195*12*'Modelo Tarifário'!$D$29*'Modelo Tarifário'!$C$57*'Modelo Tarifário'!$E$39),(AE8*'Modelo Tarifário'!$C$57*'Modelo Tarifário'!$E$39)*('Premissas Economias e Água'!AF335),('Premissas Economias e Água'!AF195*12*'Modelo Tarifário'!$D$29*'Modelo Tarifário'!$C$57*'Modelo Tarifário'!$E$39))</f>
        <v>535058.59548110422</v>
      </c>
      <c r="AF62" s="1340">
        <f>IF(((AF8*'Modelo Tarifário'!$C$57*'Modelo Tarifário'!$E$39)*('Premissas Economias e Água'!AG335))&gt;('Premissas Economias e Água'!AG195*12*'Modelo Tarifário'!$D$29*'Modelo Tarifário'!$C$57*'Modelo Tarifário'!$E$39),(AF8*'Modelo Tarifário'!$C$57*'Modelo Tarifário'!$E$39)*('Premissas Economias e Água'!AG335),('Premissas Economias e Água'!AG195*12*'Modelo Tarifário'!$D$29*'Modelo Tarifário'!$C$57*'Modelo Tarifário'!$E$39))</f>
        <v>534744.62466713006</v>
      </c>
      <c r="AG62" s="1340">
        <f>IF(((AG8*'Modelo Tarifário'!$C$57*'Modelo Tarifário'!$E$39)*('Premissas Economias e Água'!AH335))&gt;('Premissas Economias e Água'!AH195*12*'Modelo Tarifário'!$D$29*'Modelo Tarifário'!$C$57*'Modelo Tarifário'!$E$39),(AG8*'Modelo Tarifário'!$C$57*'Modelo Tarifário'!$E$39)*('Premissas Economias e Água'!AH335),('Premissas Economias e Água'!AH195*12*'Modelo Tarifário'!$D$29*'Modelo Tarifário'!$C$57*'Modelo Tarifário'!$E$39))</f>
        <v>534430.65385315567</v>
      </c>
      <c r="AH62" s="1340">
        <f>IF(((AH8*'Modelo Tarifário'!$C$57*'Modelo Tarifário'!$E$39)*('Premissas Economias e Água'!AI335))&gt;('Premissas Economias e Água'!AI195*12*'Modelo Tarifário'!$D$29*'Modelo Tarifário'!$C$57*'Modelo Tarifário'!$E$39),(AH8*'Modelo Tarifário'!$C$57*'Modelo Tarifário'!$E$39)*('Premissas Economias e Água'!AI335),('Premissas Economias e Água'!AI195*12*'Modelo Tarifário'!$D$29*'Modelo Tarifário'!$C$57*'Modelo Tarifário'!$E$39))</f>
        <v>534116.6830391814</v>
      </c>
    </row>
    <row r="63" spans="2:34" s="79" customFormat="1" ht="12" hidden="1" outlineLevel="1" x14ac:dyDescent="0.3">
      <c r="B63" s="1339"/>
      <c r="C63" s="1335" t="s">
        <v>281</v>
      </c>
      <c r="D63" s="1335"/>
      <c r="E63" s="1340">
        <f>IF(((E8*'Modelo Tarifário'!$C$57*'Modelo Tarifário'!$E$40)*('Premissas Economias e Água'!F336))&gt;('Premissas Economias e Água'!F196*12*'Modelo Tarifário'!$D$29*'Modelo Tarifário'!$C$57*'Modelo Tarifário'!$E$40),(E8*'Modelo Tarifário'!$C$57*'Modelo Tarifário'!$E$40)*('Premissas Economias e Água'!F336),('Premissas Economias e Água'!F196*12*'Modelo Tarifário'!$D$29*'Modelo Tarifário'!$C$57*'Modelo Tarifário'!$E$40))</f>
        <v>372230.95169390022</v>
      </c>
      <c r="F63" s="1340">
        <f>IF(((F8*'Modelo Tarifário'!$C$57*'Modelo Tarifário'!$E$40)*('Premissas Economias e Água'!G336))&gt;('Premissas Economias e Água'!G196*12*'Modelo Tarifário'!$D$29*'Modelo Tarifário'!$C$57*'Modelo Tarifário'!$E$40),(F8*'Modelo Tarifário'!$C$57*'Modelo Tarifário'!$E$40)*('Premissas Economias e Água'!G336),('Premissas Economias e Água'!G196*12*'Modelo Tarifário'!$D$29*'Modelo Tarifário'!$C$57*'Modelo Tarifário'!$E$40))</f>
        <v>373827.78377697192</v>
      </c>
      <c r="G63" s="1340">
        <f>IF(((G8*'Modelo Tarifário'!$C$57*'Modelo Tarifário'!$E$40)*('Premissas Economias e Água'!H336))&gt;('Premissas Economias e Água'!H196*12*'Modelo Tarifário'!$D$29*'Modelo Tarifário'!$C$57*'Modelo Tarifário'!$E$40),(G8*'Modelo Tarifário'!$C$57*'Modelo Tarifário'!$E$40)*('Premissas Economias e Água'!H336),('Premissas Economias e Água'!H196*12*'Modelo Tarifário'!$D$29*'Modelo Tarifário'!$C$57*'Modelo Tarifário'!$E$40))</f>
        <v>375424.61586004356</v>
      </c>
      <c r="H63" s="1340">
        <f>IF(((H8*'Modelo Tarifário'!$C$57*'Modelo Tarifário'!$E$40)*('Premissas Economias e Água'!I336))&gt;('Premissas Economias e Água'!I196*12*'Modelo Tarifário'!$D$29*'Modelo Tarifário'!$C$57*'Modelo Tarifário'!$E$40),(H8*'Modelo Tarifário'!$C$57*'Modelo Tarifário'!$E$40)*('Premissas Economias e Água'!I336),('Premissas Economias e Água'!I196*12*'Modelo Tarifário'!$D$29*'Modelo Tarifário'!$C$57*'Modelo Tarifário'!$E$40))</f>
        <v>377021.44794311514</v>
      </c>
      <c r="I63" s="1340">
        <f>IF(((I8*'Modelo Tarifário'!$C$57*'Modelo Tarifário'!$E$40)*('Premissas Economias e Água'!J336))&gt;('Premissas Economias e Água'!J196*12*'Modelo Tarifário'!$D$29*'Modelo Tarifário'!$C$57*'Modelo Tarifário'!$E$40),(I8*'Modelo Tarifário'!$C$57*'Modelo Tarifário'!$E$40)*('Premissas Economias e Água'!J336),('Premissas Economias e Água'!J196*12*'Modelo Tarifário'!$D$29*'Modelo Tarifário'!$C$57*'Modelo Tarifário'!$E$40))</f>
        <v>378618.2800261869</v>
      </c>
      <c r="J63" s="1340">
        <f>IF(((J8*'Modelo Tarifário'!$C$57*'Modelo Tarifário'!$E$40)*('Premissas Economias e Água'!K336))&gt;('Premissas Economias e Água'!K196*12*'Modelo Tarifário'!$D$29*'Modelo Tarifário'!$C$57*'Modelo Tarifário'!$E$40),(J8*'Modelo Tarifário'!$C$57*'Modelo Tarifário'!$E$40)*('Premissas Economias e Água'!K336),('Premissas Economias e Água'!K196*12*'Modelo Tarifário'!$D$29*'Modelo Tarifário'!$C$57*'Modelo Tarifário'!$E$40))</f>
        <v>380196.32584945764</v>
      </c>
      <c r="K63" s="1340">
        <f>IF(((K8*'Modelo Tarifário'!$C$57*'Modelo Tarifário'!$E$40)*('Premissas Economias e Água'!L336))&gt;('Premissas Economias e Água'!L196*12*'Modelo Tarifário'!$D$29*'Modelo Tarifário'!$C$57*'Modelo Tarifário'!$E$40),(K8*'Modelo Tarifário'!$C$57*'Modelo Tarifário'!$E$40)*('Premissas Economias e Água'!L336),('Premissas Economias e Água'!L196*12*'Modelo Tarifário'!$D$29*'Modelo Tarifário'!$C$57*'Modelo Tarifário'!$E$40))</f>
        <v>381116.85257969896</v>
      </c>
      <c r="L63" s="1340">
        <f>IF(((L8*'Modelo Tarifário'!$C$57*'Modelo Tarifário'!$E$40)*('Premissas Economias e Água'!M336))&gt;('Premissas Economias e Água'!M196*12*'Modelo Tarifário'!$D$29*'Modelo Tarifário'!$C$57*'Modelo Tarifário'!$E$40),(L8*'Modelo Tarifário'!$C$57*'Modelo Tarifário'!$E$40)*('Premissas Economias e Água'!M336),('Premissas Economias e Água'!M196*12*'Modelo Tarifário'!$D$29*'Modelo Tarifário'!$C$57*'Modelo Tarifário'!$E$40))</f>
        <v>382037.37930994021</v>
      </c>
      <c r="M63" s="1340">
        <f>IF(((M8*'Modelo Tarifário'!$C$57*'Modelo Tarifário'!$E$40)*('Premissas Economias e Água'!N336))&gt;('Premissas Economias e Água'!N196*12*'Modelo Tarifário'!$D$29*'Modelo Tarifário'!$C$57*'Modelo Tarifário'!$E$40),(M8*'Modelo Tarifário'!$C$57*'Modelo Tarifário'!$E$40)*('Premissas Economias e Água'!N336),('Premissas Economias e Água'!N196*12*'Modelo Tarifário'!$D$29*'Modelo Tarifário'!$C$57*'Modelo Tarifário'!$E$40))</f>
        <v>382957.90604018158</v>
      </c>
      <c r="N63" s="1340">
        <f>IF(((N8*'Modelo Tarifário'!$C$57*'Modelo Tarifário'!$E$40)*('Premissas Economias e Água'!O336))&gt;('Premissas Economias e Água'!O196*12*'Modelo Tarifário'!$D$29*'Modelo Tarifário'!$C$57*'Modelo Tarifário'!$E$40),(N8*'Modelo Tarifário'!$C$57*'Modelo Tarifário'!$E$40)*('Premissas Economias e Água'!O336),('Premissas Economias e Água'!O196*12*'Modelo Tarifário'!$D$29*'Modelo Tarifário'!$C$57*'Modelo Tarifário'!$E$40))</f>
        <v>383878.43277042278</v>
      </c>
      <c r="O63" s="1340">
        <f>IF(((O8*'Modelo Tarifário'!$C$57*'Modelo Tarifário'!$E$40)*('Premissas Economias e Água'!P336))&gt;('Premissas Economias e Água'!P196*12*'Modelo Tarifário'!$D$29*'Modelo Tarifário'!$C$57*'Modelo Tarifário'!$E$40),(O8*'Modelo Tarifário'!$C$57*'Modelo Tarifário'!$E$40)*('Premissas Economias e Água'!P336),('Premissas Economias e Água'!P196*12*'Modelo Tarifário'!$D$29*'Modelo Tarifário'!$C$57*'Modelo Tarifário'!$E$40))</f>
        <v>384836.53202026582</v>
      </c>
      <c r="P63" s="1340">
        <f>IF(((P8*'Modelo Tarifário'!$C$57*'Modelo Tarifário'!$E$40)*('Premissas Economias e Água'!Q336))&gt;('Premissas Economias e Água'!Q196*12*'Modelo Tarifário'!$D$29*'Modelo Tarifário'!$C$57*'Modelo Tarifário'!$E$40),(P8*'Modelo Tarifário'!$C$57*'Modelo Tarifário'!$E$40)*('Premissas Economias e Água'!Q336),('Premissas Economias e Água'!Q196*12*'Modelo Tarifário'!$D$29*'Modelo Tarifário'!$C$57*'Modelo Tarifário'!$E$40))</f>
        <v>385193.47095648182</v>
      </c>
      <c r="Q63" s="1340">
        <f>IF(((Q8*'Modelo Tarifário'!$C$57*'Modelo Tarifário'!$E$40)*('Premissas Economias e Água'!R336))&gt;('Premissas Economias e Água'!R196*12*'Modelo Tarifário'!$D$29*'Modelo Tarifário'!$C$57*'Modelo Tarifário'!$E$40),(Q8*'Modelo Tarifário'!$C$57*'Modelo Tarifário'!$E$40)*('Premissas Economias e Água'!R336),('Premissas Economias e Água'!R196*12*'Modelo Tarifário'!$D$29*'Modelo Tarifário'!$C$57*'Modelo Tarifário'!$E$40))</f>
        <v>385550.40989269788</v>
      </c>
      <c r="R63" s="1340">
        <f>IF(((R8*'Modelo Tarifário'!$C$57*'Modelo Tarifário'!$E$40)*('Premissas Economias e Água'!S336))&gt;('Premissas Economias e Água'!S196*12*'Modelo Tarifário'!$D$29*'Modelo Tarifário'!$C$57*'Modelo Tarifário'!$E$40),(R8*'Modelo Tarifário'!$C$57*'Modelo Tarifário'!$E$40)*('Premissas Economias e Água'!S336),('Premissas Economias e Água'!S196*12*'Modelo Tarifário'!$D$29*'Modelo Tarifário'!$C$57*'Modelo Tarifário'!$E$40))</f>
        <v>385907.34882891388</v>
      </c>
      <c r="S63" s="1340">
        <f>IF(((S8*'Modelo Tarifário'!$C$57*'Modelo Tarifário'!$E$40)*('Premissas Economias e Água'!T336))&gt;('Premissas Economias e Água'!T196*12*'Modelo Tarifário'!$D$29*'Modelo Tarifário'!$C$57*'Modelo Tarifário'!$E$40),(S8*'Modelo Tarifário'!$C$57*'Modelo Tarifário'!$E$40)*('Premissas Economias e Água'!T336),('Premissas Economias e Água'!T196*12*'Modelo Tarifário'!$D$29*'Modelo Tarifário'!$C$57*'Modelo Tarifário'!$E$40))</f>
        <v>386264.28776512988</v>
      </c>
      <c r="T63" s="1340">
        <f>IF(((T8*'Modelo Tarifário'!$C$57*'Modelo Tarifário'!$E$40)*('Premissas Economias e Água'!U336))&gt;('Premissas Economias e Água'!U196*12*'Modelo Tarifário'!$D$29*'Modelo Tarifário'!$C$57*'Modelo Tarifário'!$E$40),(T8*'Modelo Tarifário'!$C$57*'Modelo Tarifário'!$E$40)*('Premissas Economias e Água'!U336),('Premissas Economias e Água'!U196*12*'Modelo Tarifário'!$D$29*'Modelo Tarifário'!$C$57*'Modelo Tarifário'!$E$40))</f>
        <v>386658.79922094761</v>
      </c>
      <c r="U63" s="1340">
        <f>IF(((U8*'Modelo Tarifário'!$C$57*'Modelo Tarifário'!$E$40)*('Premissas Economias e Água'!V336))&gt;('Premissas Economias e Água'!V196*12*'Modelo Tarifário'!$D$29*'Modelo Tarifário'!$C$57*'Modelo Tarifário'!$E$40),(U8*'Modelo Tarifário'!$C$57*'Modelo Tarifário'!$E$40)*('Premissas Economias e Água'!V336),('Premissas Economias e Água'!V196*12*'Modelo Tarifário'!$D$29*'Modelo Tarifário'!$C$57*'Modelo Tarifário'!$E$40))</f>
        <v>386433.36410333746</v>
      </c>
      <c r="V63" s="1340">
        <f>IF(((V8*'Modelo Tarifário'!$C$57*'Modelo Tarifário'!$E$40)*('Premissas Economias e Água'!W336))&gt;('Premissas Economias e Água'!W196*12*'Modelo Tarifário'!$D$29*'Modelo Tarifário'!$C$57*'Modelo Tarifário'!$E$40),(V8*'Modelo Tarifário'!$C$57*'Modelo Tarifário'!$E$40)*('Premissas Economias e Água'!W336),('Premissas Economias e Água'!W196*12*'Modelo Tarifário'!$D$29*'Modelo Tarifário'!$C$57*'Modelo Tarifário'!$E$40))</f>
        <v>386207.92898572737</v>
      </c>
      <c r="W63" s="1340">
        <f>IF(((W8*'Modelo Tarifário'!$C$57*'Modelo Tarifário'!$E$40)*('Premissas Economias e Água'!X336))&gt;('Premissas Economias e Água'!X196*12*'Modelo Tarifário'!$D$29*'Modelo Tarifário'!$C$57*'Modelo Tarifário'!$E$40),(W8*'Modelo Tarifário'!$C$57*'Modelo Tarifário'!$E$40)*('Premissas Economias e Água'!X336),('Premissas Economias e Água'!X196*12*'Modelo Tarifário'!$D$29*'Modelo Tarifário'!$C$57*'Modelo Tarifário'!$E$40))</f>
        <v>385982.49386811722</v>
      </c>
      <c r="X63" s="1340">
        <f>IF(((X8*'Modelo Tarifário'!$C$57*'Modelo Tarifário'!$E$40)*('Premissas Economias e Água'!Y336))&gt;('Premissas Economias e Água'!Y196*12*'Modelo Tarifário'!$D$29*'Modelo Tarifário'!$C$57*'Modelo Tarifário'!$E$40),(X8*'Modelo Tarifário'!$C$57*'Modelo Tarifário'!$E$40)*('Premissas Economias e Água'!Y336),('Premissas Economias e Água'!Y196*12*'Modelo Tarifário'!$D$29*'Modelo Tarifário'!$C$57*'Modelo Tarifário'!$E$40))</f>
        <v>385757.05875050713</v>
      </c>
      <c r="Y63" s="1340">
        <f>IF(((Y8*'Modelo Tarifário'!$C$57*'Modelo Tarifário'!$E$40)*('Premissas Economias e Água'!Z336))&gt;('Premissas Economias e Água'!Z196*12*'Modelo Tarifário'!$D$29*'Modelo Tarifário'!$C$57*'Modelo Tarifário'!$E$40),(Y8*'Modelo Tarifário'!$C$57*'Modelo Tarifário'!$E$40)*('Premissas Economias e Água'!Z336),('Premissas Economias e Água'!Z196*12*'Modelo Tarifário'!$D$29*'Modelo Tarifário'!$C$57*'Modelo Tarifário'!$E$40))</f>
        <v>385531.62363289704</v>
      </c>
      <c r="Z63" s="1340">
        <f>IF(((Z8*'Modelo Tarifário'!$C$57*'Modelo Tarifário'!$E$40)*('Premissas Economias e Água'!AA336))&gt;('Premissas Economias e Água'!AA196*12*'Modelo Tarifário'!$D$29*'Modelo Tarifário'!$C$57*'Modelo Tarifário'!$E$40),(Z8*'Modelo Tarifário'!$C$57*'Modelo Tarifário'!$E$40)*('Premissas Economias e Água'!AA336),('Premissas Economias e Água'!AA196*12*'Modelo Tarifário'!$D$29*'Modelo Tarifário'!$C$57*'Modelo Tarifário'!$E$40))</f>
        <v>385306.18851528701</v>
      </c>
      <c r="AA63" s="1340">
        <f>IF(((AA8*'Modelo Tarifário'!$C$57*'Modelo Tarifário'!$E$40)*('Premissas Economias e Água'!AB336))&gt;('Premissas Economias e Água'!AB196*12*'Modelo Tarifário'!$D$29*'Modelo Tarifário'!$C$57*'Modelo Tarifário'!$E$40),(AA8*'Modelo Tarifário'!$C$57*'Modelo Tarifário'!$E$40)*('Premissas Economias e Água'!AB336),('Premissas Economias e Água'!AB196*12*'Modelo Tarifário'!$D$29*'Modelo Tarifário'!$C$57*'Modelo Tarifário'!$E$40))</f>
        <v>385080.7533976768</v>
      </c>
      <c r="AB63" s="1340">
        <f>IF(((AB8*'Modelo Tarifário'!$C$57*'Modelo Tarifário'!$E$40)*('Premissas Economias e Água'!AC336))&gt;('Premissas Economias e Água'!AC196*12*'Modelo Tarifário'!$D$29*'Modelo Tarifário'!$C$57*'Modelo Tarifário'!$E$40),(AB8*'Modelo Tarifário'!$C$57*'Modelo Tarifário'!$E$40)*('Premissas Economias e Água'!AC336),('Premissas Economias e Água'!AC196*12*'Modelo Tarifário'!$D$29*'Modelo Tarifário'!$C$57*'Modelo Tarifário'!$E$40))</f>
        <v>384855.31828006665</v>
      </c>
      <c r="AC63" s="1340">
        <f>IF(((AC8*'Modelo Tarifário'!$C$57*'Modelo Tarifário'!$E$40)*('Premissas Economias e Água'!AD336))&gt;('Premissas Economias e Água'!AD196*12*'Modelo Tarifário'!$D$29*'Modelo Tarifário'!$C$57*'Modelo Tarifário'!$E$40),(AC8*'Modelo Tarifário'!$C$57*'Modelo Tarifário'!$E$40)*('Premissas Economias e Água'!AD336),('Premissas Economias e Água'!AD196*12*'Modelo Tarifário'!$D$29*'Modelo Tarifário'!$C$57*'Modelo Tarifário'!$E$40))</f>
        <v>384629.88316245662</v>
      </c>
      <c r="AD63" s="1340">
        <f>IF(((AD8*'Modelo Tarifário'!$C$57*'Modelo Tarifário'!$E$40)*('Premissas Economias e Água'!AE336))&gt;('Premissas Economias e Água'!AE196*12*'Modelo Tarifário'!$D$29*'Modelo Tarifário'!$C$57*'Modelo Tarifário'!$E$40),(AD8*'Modelo Tarifário'!$C$57*'Modelo Tarifário'!$E$40)*('Premissas Economias e Água'!AE336),('Premissas Economias e Água'!AE196*12*'Modelo Tarifário'!$D$29*'Modelo Tarifário'!$C$57*'Modelo Tarifário'!$E$40))</f>
        <v>384404.44804484647</v>
      </c>
      <c r="AE63" s="1340">
        <f>IF(((AE8*'Modelo Tarifário'!$C$57*'Modelo Tarifário'!$E$40)*('Premissas Economias e Água'!AF336))&gt;('Premissas Economias e Água'!AF196*12*'Modelo Tarifário'!$D$29*'Modelo Tarifário'!$C$57*'Modelo Tarifário'!$E$40),(AE8*'Modelo Tarifário'!$C$57*'Modelo Tarifário'!$E$40)*('Premissas Economias e Água'!AF336),('Premissas Economias e Água'!AF196*12*'Modelo Tarifário'!$D$29*'Modelo Tarifário'!$C$57*'Modelo Tarifário'!$E$40))</f>
        <v>384179.01292723627</v>
      </c>
      <c r="AF63" s="1340">
        <f>IF(((AF8*'Modelo Tarifário'!$C$57*'Modelo Tarifário'!$E$40)*('Premissas Economias e Água'!AG336))&gt;('Premissas Economias e Água'!AG196*12*'Modelo Tarifário'!$D$29*'Modelo Tarifário'!$C$57*'Modelo Tarifário'!$E$40),(AF8*'Modelo Tarifário'!$C$57*'Modelo Tarifário'!$E$40)*('Premissas Economias e Água'!AG336),('Premissas Economias e Água'!AG196*12*'Modelo Tarifário'!$D$29*'Modelo Tarifário'!$C$57*'Modelo Tarifário'!$E$40))</f>
        <v>383953.57780962624</v>
      </c>
      <c r="AG63" s="1340">
        <f>IF(((AG8*'Modelo Tarifário'!$C$57*'Modelo Tarifário'!$E$40)*('Premissas Economias e Água'!AH336))&gt;('Premissas Economias e Água'!AH196*12*'Modelo Tarifário'!$D$29*'Modelo Tarifário'!$C$57*'Modelo Tarifário'!$E$40),(AG8*'Modelo Tarifário'!$C$57*'Modelo Tarifário'!$E$40)*('Premissas Economias e Água'!AH336),('Premissas Economias e Água'!AH196*12*'Modelo Tarifário'!$D$29*'Modelo Tarifário'!$C$57*'Modelo Tarifário'!$E$40))</f>
        <v>383728.14269201609</v>
      </c>
      <c r="AH63" s="1340">
        <f>IF(((AH8*'Modelo Tarifário'!$C$57*'Modelo Tarifário'!$E$40)*('Premissas Economias e Água'!AI336))&gt;('Premissas Economias e Água'!AI196*12*'Modelo Tarifário'!$D$29*'Modelo Tarifário'!$C$57*'Modelo Tarifário'!$E$40),(AH8*'Modelo Tarifário'!$C$57*'Modelo Tarifário'!$E$40)*('Premissas Economias e Água'!AI336),('Premissas Economias e Água'!AI196*12*'Modelo Tarifário'!$D$29*'Modelo Tarifário'!$C$57*'Modelo Tarifário'!$E$40))</f>
        <v>383502.707574406</v>
      </c>
    </row>
    <row r="64" spans="2:34" s="79" customFormat="1" ht="12" hidden="1" outlineLevel="1" x14ac:dyDescent="0.3">
      <c r="B64" s="1339"/>
      <c r="C64" s="1335" t="s">
        <v>282</v>
      </c>
      <c r="D64" s="1335"/>
      <c r="E64" s="1340">
        <f>IF(((E8*'Modelo Tarifário'!$C$57*'Modelo Tarifário'!$E$41)*('Premissas Economias e Água'!F337))&gt;('Premissas Economias e Água'!F197*12*'Modelo Tarifário'!$D$29*'Modelo Tarifário'!$C$57*'Modelo Tarifário'!$E$41),(E8*'Modelo Tarifário'!$C$57*'Modelo Tarifário'!$E$41)*('Premissas Economias e Água'!F337),('Premissas Economias e Água'!F197*12*'Modelo Tarifário'!$D$29*'Modelo Tarifário'!$C$57*'Modelo Tarifário'!$E$41))</f>
        <v>338936.87642111187</v>
      </c>
      <c r="F64" s="1340">
        <f>IF(((F8*'Modelo Tarifário'!$C$57*'Modelo Tarifário'!$E$41)*('Premissas Economias e Água'!G337))&gt;('Premissas Economias e Água'!G197*12*'Modelo Tarifário'!$D$29*'Modelo Tarifário'!$C$57*'Modelo Tarifário'!$E$41),(F8*'Modelo Tarifário'!$C$57*'Modelo Tarifário'!$E$41)*('Premissas Economias e Água'!G337),('Premissas Economias e Água'!G197*12*'Modelo Tarifário'!$D$29*'Modelo Tarifário'!$C$57*'Modelo Tarifário'!$E$41))</f>
        <v>340390.88038274483</v>
      </c>
      <c r="G64" s="1340">
        <f>IF(((G8*'Modelo Tarifário'!$C$57*'Modelo Tarifário'!$E$41)*('Premissas Economias e Água'!H337))&gt;('Premissas Economias e Água'!H197*12*'Modelo Tarifário'!$D$29*'Modelo Tarifário'!$C$57*'Modelo Tarifário'!$E$41),(G8*'Modelo Tarifário'!$C$57*'Modelo Tarifário'!$E$41)*('Premissas Economias e Água'!H337),('Premissas Economias e Água'!H197*12*'Modelo Tarifário'!$D$29*'Modelo Tarifário'!$C$57*'Modelo Tarifário'!$E$41))</f>
        <v>341844.88434437767</v>
      </c>
      <c r="H64" s="1340">
        <f>IF(((H8*'Modelo Tarifário'!$C$57*'Modelo Tarifário'!$E$41)*('Premissas Economias e Água'!I337))&gt;('Premissas Economias e Água'!I197*12*'Modelo Tarifário'!$D$29*'Modelo Tarifário'!$C$57*'Modelo Tarifário'!$E$41),(H8*'Modelo Tarifário'!$C$57*'Modelo Tarifário'!$E$41)*('Premissas Economias e Água'!I337),('Premissas Economias e Água'!I197*12*'Modelo Tarifário'!$D$29*'Modelo Tarifário'!$C$57*'Modelo Tarifário'!$E$41))</f>
        <v>343298.88830601063</v>
      </c>
      <c r="I64" s="1340">
        <f>IF(((I8*'Modelo Tarifário'!$C$57*'Modelo Tarifário'!$E$41)*('Premissas Economias e Água'!J337))&gt;('Premissas Economias e Água'!J197*12*'Modelo Tarifário'!$D$29*'Modelo Tarifário'!$C$57*'Modelo Tarifário'!$E$41),(I8*'Modelo Tarifário'!$C$57*'Modelo Tarifário'!$E$41)*('Premissas Economias e Água'!J337),('Premissas Economias e Água'!J197*12*'Modelo Tarifário'!$D$29*'Modelo Tarifário'!$C$57*'Modelo Tarifário'!$E$41))</f>
        <v>344752.89226764359</v>
      </c>
      <c r="J64" s="1340">
        <f>IF(((J8*'Modelo Tarifário'!$C$57*'Modelo Tarifário'!$E$41)*('Premissas Economias e Água'!K337))&gt;('Premissas Economias e Água'!K197*12*'Modelo Tarifário'!$D$29*'Modelo Tarifário'!$C$57*'Modelo Tarifário'!$E$41),(J8*'Modelo Tarifário'!$C$57*'Modelo Tarifário'!$E$41)*('Premissas Economias e Água'!K337),('Premissas Economias e Água'!K197*12*'Modelo Tarifário'!$D$29*'Modelo Tarifário'!$C$57*'Modelo Tarifário'!$E$41))</f>
        <v>346189.79030031612</v>
      </c>
      <c r="K64" s="1340">
        <f>IF(((K8*'Modelo Tarifário'!$C$57*'Modelo Tarifário'!$E$41)*('Premissas Economias e Água'!L337))&gt;('Premissas Economias e Água'!L197*12*'Modelo Tarifário'!$D$29*'Modelo Tarifário'!$C$57*'Modelo Tarifário'!$E$41),(K8*'Modelo Tarifário'!$C$57*'Modelo Tarifário'!$E$41)*('Premissas Economias e Água'!L337),('Premissas Economias e Água'!L197*12*'Modelo Tarifário'!$D$29*'Modelo Tarifário'!$C$57*'Modelo Tarifário'!$E$41))</f>
        <v>347027.98081937508</v>
      </c>
      <c r="L64" s="1340">
        <f>IF(((L8*'Modelo Tarifário'!$C$57*'Modelo Tarifário'!$E$41)*('Premissas Economias e Água'!M337))&gt;('Premissas Economias e Água'!M197*12*'Modelo Tarifário'!$D$29*'Modelo Tarifário'!$C$57*'Modelo Tarifário'!$E$41),(L8*'Modelo Tarifário'!$C$57*'Modelo Tarifário'!$E$41)*('Premissas Economias e Água'!M337),('Premissas Economias e Água'!M197*12*'Modelo Tarifário'!$D$29*'Modelo Tarifário'!$C$57*'Modelo Tarifário'!$E$41))</f>
        <v>347866.17133843398</v>
      </c>
      <c r="M64" s="1340">
        <f>IF(((M8*'Modelo Tarifário'!$C$57*'Modelo Tarifário'!$E$41)*('Premissas Economias e Água'!N337))&gt;('Premissas Economias e Água'!N197*12*'Modelo Tarifário'!$D$29*'Modelo Tarifário'!$C$57*'Modelo Tarifário'!$E$41),(M8*'Modelo Tarifário'!$C$57*'Modelo Tarifário'!$E$41)*('Premissas Economias e Água'!N337),('Premissas Economias e Água'!N197*12*'Modelo Tarifário'!$D$29*'Modelo Tarifário'!$C$57*'Modelo Tarifário'!$E$41))</f>
        <v>348704.361857493</v>
      </c>
      <c r="N64" s="1340">
        <f>IF(((N8*'Modelo Tarifário'!$C$57*'Modelo Tarifário'!$E$41)*('Premissas Economias e Água'!O337))&gt;('Premissas Economias e Água'!O197*12*'Modelo Tarifário'!$D$29*'Modelo Tarifário'!$C$57*'Modelo Tarifário'!$E$41),(N8*'Modelo Tarifário'!$C$57*'Modelo Tarifário'!$E$41)*('Premissas Economias e Água'!O337),('Premissas Economias e Água'!O197*12*'Modelo Tarifário'!$D$29*'Modelo Tarifário'!$C$57*'Modelo Tarifário'!$E$41))</f>
        <v>349542.55237655196</v>
      </c>
      <c r="O64" s="1340">
        <f>IF(((O8*'Modelo Tarifário'!$C$57*'Modelo Tarifário'!$E$41)*('Premissas Economias e Água'!P337))&gt;('Premissas Economias e Água'!P197*12*'Modelo Tarifário'!$D$29*'Modelo Tarifário'!$C$57*'Modelo Tarifário'!$E$41),(O8*'Modelo Tarifário'!$C$57*'Modelo Tarifário'!$E$41)*('Premissas Economias e Água'!P337),('Premissas Economias e Água'!P197*12*'Modelo Tarifário'!$D$29*'Modelo Tarifário'!$C$57*'Modelo Tarifário'!$E$41))</f>
        <v>350414.95475353173</v>
      </c>
      <c r="P64" s="1340">
        <f>IF(((P8*'Modelo Tarifário'!$C$57*'Modelo Tarifário'!$E$41)*('Premissas Economias e Água'!Q337))&gt;('Premissas Economias e Água'!Q197*12*'Modelo Tarifário'!$D$29*'Modelo Tarifário'!$C$57*'Modelo Tarifário'!$E$41),(P8*'Modelo Tarifário'!$C$57*'Modelo Tarifário'!$E$41)*('Premissas Economias e Água'!Q337),('Premissas Economias e Água'!Q197*12*'Modelo Tarifário'!$D$29*'Modelo Tarifário'!$C$57*'Modelo Tarifário'!$E$41))</f>
        <v>350739.96740377904</v>
      </c>
      <c r="Q64" s="1340">
        <f>IF(((Q8*'Modelo Tarifário'!$C$57*'Modelo Tarifário'!$E$41)*('Premissas Economias e Água'!R337))&gt;('Premissas Economias e Água'!R197*12*'Modelo Tarifário'!$D$29*'Modelo Tarifário'!$C$57*'Modelo Tarifário'!$E$41),(Q8*'Modelo Tarifário'!$C$57*'Modelo Tarifário'!$E$41)*('Premissas Economias e Água'!R337),('Premissas Economias e Água'!R197*12*'Modelo Tarifário'!$D$29*'Modelo Tarifário'!$C$57*'Modelo Tarifário'!$E$41))</f>
        <v>351064.98005402641</v>
      </c>
      <c r="R64" s="1340">
        <f>IF(((R8*'Modelo Tarifário'!$C$57*'Modelo Tarifário'!$E$41)*('Premissas Economias e Água'!S337))&gt;('Premissas Economias e Água'!S197*12*'Modelo Tarifário'!$D$29*'Modelo Tarifário'!$C$57*'Modelo Tarifário'!$E$41),(R8*'Modelo Tarifário'!$C$57*'Modelo Tarifário'!$E$41)*('Premissas Economias e Água'!S337),('Premissas Economias e Água'!S197*12*'Modelo Tarifário'!$D$29*'Modelo Tarifário'!$C$57*'Modelo Tarifário'!$E$41))</f>
        <v>351389.99270427378</v>
      </c>
      <c r="S64" s="1340">
        <f>IF(((S8*'Modelo Tarifário'!$C$57*'Modelo Tarifário'!$E$41)*('Premissas Economias e Água'!T337))&gt;('Premissas Economias e Água'!T197*12*'Modelo Tarifário'!$D$29*'Modelo Tarifário'!$C$57*'Modelo Tarifário'!$E$41),(S8*'Modelo Tarifário'!$C$57*'Modelo Tarifário'!$E$41)*('Premissas Economias e Água'!T337),('Premissas Economias e Água'!T197*12*'Modelo Tarifário'!$D$29*'Modelo Tarifário'!$C$57*'Modelo Tarifário'!$E$41))</f>
        <v>351715.00535452121</v>
      </c>
      <c r="T64" s="1340">
        <f>IF(((T8*'Modelo Tarifário'!$C$57*'Modelo Tarifário'!$E$41)*('Premissas Economias e Água'!U337))&gt;('Premissas Economias e Água'!U197*12*'Modelo Tarifário'!$D$29*'Modelo Tarifário'!$C$57*'Modelo Tarifário'!$E$41),(T8*'Modelo Tarifário'!$C$57*'Modelo Tarifário'!$E$41)*('Premissas Economias e Água'!U337),('Premissas Economias e Água'!U197*12*'Modelo Tarifário'!$D$29*'Modelo Tarifário'!$C$57*'Modelo Tarifário'!$E$41))</f>
        <v>352074.22986268927</v>
      </c>
      <c r="U64" s="1340">
        <f>IF(((U8*'Modelo Tarifário'!$C$57*'Modelo Tarifário'!$E$41)*('Premissas Economias e Água'!V337))&gt;('Premissas Economias e Água'!V197*12*'Modelo Tarifário'!$D$29*'Modelo Tarifário'!$C$57*'Modelo Tarifário'!$E$41),(U8*'Modelo Tarifário'!$C$57*'Modelo Tarifário'!$E$41)*('Premissas Economias e Água'!V337),('Premissas Economias e Água'!V197*12*'Modelo Tarifário'!$D$29*'Modelo Tarifário'!$C$57*'Modelo Tarifário'!$E$41))</f>
        <v>351868.95871516463</v>
      </c>
      <c r="V64" s="1340">
        <f>IF(((V8*'Modelo Tarifário'!$C$57*'Modelo Tarifário'!$E$41)*('Premissas Economias e Água'!W337))&gt;('Premissas Economias e Água'!W197*12*'Modelo Tarifário'!$D$29*'Modelo Tarifário'!$C$57*'Modelo Tarifário'!$E$41),(V8*'Modelo Tarifário'!$C$57*'Modelo Tarifário'!$E$41)*('Premissas Economias e Água'!W337),('Premissas Economias e Água'!W197*12*'Modelo Tarifário'!$D$29*'Modelo Tarifário'!$C$57*'Modelo Tarifário'!$E$41))</f>
        <v>351663.68756763998</v>
      </c>
      <c r="W64" s="1340">
        <f>IF(((W8*'Modelo Tarifário'!$C$57*'Modelo Tarifário'!$E$41)*('Premissas Economias e Água'!X337))&gt;('Premissas Economias e Água'!X197*12*'Modelo Tarifário'!$D$29*'Modelo Tarifário'!$C$57*'Modelo Tarifário'!$E$41),(W8*'Modelo Tarifário'!$C$57*'Modelo Tarifário'!$E$41)*('Premissas Economias e Água'!X337),('Premissas Economias e Água'!X197*12*'Modelo Tarifário'!$D$29*'Modelo Tarifário'!$C$57*'Modelo Tarifário'!$E$41))</f>
        <v>351458.41642011533</v>
      </c>
      <c r="X64" s="1340">
        <f>IF(((X8*'Modelo Tarifário'!$C$57*'Modelo Tarifário'!$E$41)*('Premissas Economias e Água'!Y337))&gt;('Premissas Economias e Água'!Y197*12*'Modelo Tarifário'!$D$29*'Modelo Tarifário'!$C$57*'Modelo Tarifário'!$E$41),(X8*'Modelo Tarifário'!$C$57*'Modelo Tarifário'!$E$41)*('Premissas Economias e Água'!Y337),('Premissas Economias e Água'!Y197*12*'Modelo Tarifário'!$D$29*'Modelo Tarifário'!$C$57*'Modelo Tarifário'!$E$41))</f>
        <v>351253.14527259069</v>
      </c>
      <c r="Y64" s="1340">
        <f>IF(((Y8*'Modelo Tarifário'!$C$57*'Modelo Tarifário'!$E$41)*('Premissas Economias e Água'!Z337))&gt;('Premissas Economias e Água'!Z197*12*'Modelo Tarifário'!$D$29*'Modelo Tarifário'!$C$57*'Modelo Tarifário'!$E$41),(Y8*'Modelo Tarifário'!$C$57*'Modelo Tarifário'!$E$41)*('Premissas Economias e Água'!Z337),('Premissas Economias e Água'!Z197*12*'Modelo Tarifário'!$D$29*'Modelo Tarifário'!$C$57*'Modelo Tarifário'!$E$41))</f>
        <v>351047.87412506604</v>
      </c>
      <c r="Z64" s="1340">
        <f>IF(((Z8*'Modelo Tarifário'!$C$57*'Modelo Tarifário'!$E$41)*('Premissas Economias e Água'!AA337))&gt;('Premissas Economias e Água'!AA197*12*'Modelo Tarifário'!$D$29*'Modelo Tarifário'!$C$57*'Modelo Tarifário'!$E$41),(Z8*'Modelo Tarifário'!$C$57*'Modelo Tarifário'!$E$41)*('Premissas Economias e Água'!AA337),('Premissas Economias e Água'!AA197*12*'Modelo Tarifário'!$D$29*'Modelo Tarifário'!$C$57*'Modelo Tarifário'!$E$41))</f>
        <v>350842.60297754145</v>
      </c>
      <c r="AA64" s="1340">
        <f>IF(((AA8*'Modelo Tarifário'!$C$57*'Modelo Tarifário'!$E$41)*('Premissas Economias e Água'!AB337))&gt;('Premissas Economias e Água'!AB197*12*'Modelo Tarifário'!$D$29*'Modelo Tarifário'!$C$57*'Modelo Tarifário'!$E$41),(AA8*'Modelo Tarifário'!$C$57*'Modelo Tarifário'!$E$41)*('Premissas Economias e Água'!AB337),('Premissas Economias e Água'!AB197*12*'Modelo Tarifário'!$D$29*'Modelo Tarifário'!$C$57*'Modelo Tarifário'!$E$41))</f>
        <v>350637.3318300168</v>
      </c>
      <c r="AB64" s="1340">
        <f>IF(((AB8*'Modelo Tarifário'!$C$57*'Modelo Tarifário'!$E$41)*('Premissas Economias e Água'!AC337))&gt;('Premissas Economias e Água'!AC197*12*'Modelo Tarifário'!$D$29*'Modelo Tarifário'!$C$57*'Modelo Tarifário'!$E$41),(AB8*'Modelo Tarifário'!$C$57*'Modelo Tarifário'!$E$41)*('Premissas Economias e Água'!AC337),('Premissas Economias e Água'!AC197*12*'Modelo Tarifário'!$D$29*'Modelo Tarifário'!$C$57*'Modelo Tarifário'!$E$41))</f>
        <v>350432.0606824921</v>
      </c>
      <c r="AC64" s="1340">
        <f>IF(((AC8*'Modelo Tarifário'!$C$57*'Modelo Tarifário'!$E$41)*('Premissas Economias e Água'!AD337))&gt;('Premissas Economias e Água'!AD197*12*'Modelo Tarifário'!$D$29*'Modelo Tarifário'!$C$57*'Modelo Tarifário'!$E$41),(AC8*'Modelo Tarifário'!$C$57*'Modelo Tarifário'!$E$41)*('Premissas Economias e Água'!AD337),('Premissas Economias e Água'!AD197*12*'Modelo Tarifário'!$D$29*'Modelo Tarifário'!$C$57*'Modelo Tarifário'!$E$41))</f>
        <v>350226.78953496751</v>
      </c>
      <c r="AD64" s="1340">
        <f>IF(((AD8*'Modelo Tarifário'!$C$57*'Modelo Tarifário'!$E$41)*('Premissas Economias e Água'!AE337))&gt;('Premissas Economias e Água'!AE197*12*'Modelo Tarifário'!$D$29*'Modelo Tarifário'!$C$57*'Modelo Tarifário'!$E$41),(AD8*'Modelo Tarifário'!$C$57*'Modelo Tarifário'!$E$41)*('Premissas Economias e Água'!AE337),('Premissas Economias e Água'!AE197*12*'Modelo Tarifário'!$D$29*'Modelo Tarifário'!$C$57*'Modelo Tarifário'!$E$41))</f>
        <v>350021.51838744286</v>
      </c>
      <c r="AE64" s="1340">
        <f>IF(((AE8*'Modelo Tarifário'!$C$57*'Modelo Tarifário'!$E$41)*('Premissas Economias e Água'!AF337))&gt;('Premissas Economias e Água'!AF197*12*'Modelo Tarifário'!$D$29*'Modelo Tarifário'!$C$57*'Modelo Tarifário'!$E$41),(AE8*'Modelo Tarifário'!$C$57*'Modelo Tarifário'!$E$41)*('Premissas Economias e Água'!AF337),('Premissas Economias e Água'!AF197*12*'Modelo Tarifário'!$D$29*'Modelo Tarifário'!$C$57*'Modelo Tarifário'!$E$41))</f>
        <v>349816.24723991816</v>
      </c>
      <c r="AF64" s="1340">
        <f>IF(((AF8*'Modelo Tarifário'!$C$57*'Modelo Tarifário'!$E$41)*('Premissas Economias e Água'!AG337))&gt;('Premissas Economias e Água'!AG197*12*'Modelo Tarifário'!$D$29*'Modelo Tarifário'!$C$57*'Modelo Tarifário'!$E$41),(AF8*'Modelo Tarifário'!$C$57*'Modelo Tarifário'!$E$41)*('Premissas Economias e Água'!AG337),('Premissas Economias e Água'!AG197*12*'Modelo Tarifário'!$D$29*'Modelo Tarifário'!$C$57*'Modelo Tarifário'!$E$41))</f>
        <v>349610.97609239357</v>
      </c>
      <c r="AG64" s="1340">
        <f>IF(((AG8*'Modelo Tarifário'!$C$57*'Modelo Tarifário'!$E$41)*('Premissas Economias e Água'!AH337))&gt;('Premissas Economias e Água'!AH197*12*'Modelo Tarifário'!$D$29*'Modelo Tarifário'!$C$57*'Modelo Tarifário'!$E$41),(AG8*'Modelo Tarifário'!$C$57*'Modelo Tarifário'!$E$41)*('Premissas Economias e Água'!AH337),('Premissas Economias e Água'!AH197*12*'Modelo Tarifário'!$D$29*'Modelo Tarifário'!$C$57*'Modelo Tarifário'!$E$41))</f>
        <v>349405.70494486886</v>
      </c>
      <c r="AH64" s="1340">
        <f>IF(((AH8*'Modelo Tarifário'!$C$57*'Modelo Tarifário'!$E$41)*('Premissas Economias e Água'!AI337))&gt;('Premissas Economias e Água'!AI197*12*'Modelo Tarifário'!$D$29*'Modelo Tarifário'!$C$57*'Modelo Tarifário'!$E$41),(AH8*'Modelo Tarifário'!$C$57*'Modelo Tarifário'!$E$41)*('Premissas Economias e Água'!AI337),('Premissas Economias e Água'!AI197*12*'Modelo Tarifário'!$D$29*'Modelo Tarifário'!$C$57*'Modelo Tarifário'!$E$41))</f>
        <v>349200.43379734422</v>
      </c>
    </row>
    <row r="65" spans="2:34" s="79" customFormat="1" ht="12" hidden="1" outlineLevel="1" x14ac:dyDescent="0.3">
      <c r="B65" s="1339"/>
      <c r="C65" s="1335" t="s">
        <v>283</v>
      </c>
      <c r="D65" s="1335"/>
      <c r="E65" s="1340">
        <f>IF(((E8*'Modelo Tarifário'!$C$57*'Modelo Tarifário'!$E$42)*('Premissas Economias e Água'!F338))&gt;('Premissas Economias e Água'!F198*12*'Modelo Tarifário'!$D$29*'Modelo Tarifário'!$C$57*'Modelo Tarifário'!$E$42),(E8*'Modelo Tarifário'!$C$57*'Modelo Tarifário'!$E$42)*('Premissas Economias e Água'!F338),('Premissas Economias e Água'!F198*12*'Modelo Tarifário'!$D$29*'Modelo Tarifário'!$C$57*'Modelo Tarifário'!$E$42))</f>
        <v>81599.829020639008</v>
      </c>
      <c r="F65" s="1340">
        <f>IF(((F8*'Modelo Tarifário'!$C$57*'Modelo Tarifário'!$E$42)*('Premissas Economias e Água'!G338))&gt;('Premissas Economias e Água'!G198*12*'Modelo Tarifário'!$D$29*'Modelo Tarifário'!$C$57*'Modelo Tarifário'!$E$42),(F8*'Modelo Tarifário'!$C$57*'Modelo Tarifário'!$E$42)*('Premissas Economias e Água'!G338),('Premissas Economias e Água'!G198*12*'Modelo Tarifário'!$D$29*'Modelo Tarifário'!$C$57*'Modelo Tarifário'!$E$42))</f>
        <v>81949.883803456934</v>
      </c>
      <c r="G65" s="1340">
        <f>IF(((G8*'Modelo Tarifário'!$C$57*'Modelo Tarifário'!$E$42)*('Premissas Economias e Água'!H338))&gt;('Premissas Economias e Água'!H198*12*'Modelo Tarifário'!$D$29*'Modelo Tarifário'!$C$57*'Modelo Tarifário'!$E$42),(G8*'Modelo Tarifário'!$C$57*'Modelo Tarifário'!$E$42)*('Premissas Economias e Água'!H338),('Premissas Economias e Água'!H198*12*'Modelo Tarifário'!$D$29*'Modelo Tarifário'!$C$57*'Modelo Tarifário'!$E$42))</f>
        <v>82299.93858627486</v>
      </c>
      <c r="H65" s="1340">
        <f>IF(((H8*'Modelo Tarifário'!$C$57*'Modelo Tarifário'!$E$42)*('Premissas Economias e Água'!I338))&gt;('Premissas Economias e Água'!I198*12*'Modelo Tarifário'!$D$29*'Modelo Tarifário'!$C$57*'Modelo Tarifário'!$E$42),(H8*'Modelo Tarifário'!$C$57*'Modelo Tarifário'!$E$42)*('Premissas Economias e Água'!I338),('Premissas Economias e Água'!I198*12*'Modelo Tarifário'!$D$29*'Modelo Tarifário'!$C$57*'Modelo Tarifário'!$E$42))</f>
        <v>82649.993369092786</v>
      </c>
      <c r="I65" s="1340">
        <f>IF(((I8*'Modelo Tarifário'!$C$57*'Modelo Tarifário'!$E$42)*('Premissas Economias e Água'!J338))&gt;('Premissas Economias e Água'!J198*12*'Modelo Tarifário'!$D$29*'Modelo Tarifário'!$C$57*'Modelo Tarifário'!$E$42),(I8*'Modelo Tarifário'!$C$57*'Modelo Tarifário'!$E$42)*('Premissas Economias e Água'!J338),('Premissas Economias e Água'!J198*12*'Modelo Tarifário'!$D$29*'Modelo Tarifário'!$C$57*'Modelo Tarifário'!$E$42))</f>
        <v>83000.048151910727</v>
      </c>
      <c r="J65" s="1340">
        <f>IF(((J8*'Modelo Tarifário'!$C$57*'Modelo Tarifário'!$E$42)*('Premissas Economias e Água'!K338))&gt;('Premissas Economias e Água'!K198*12*'Modelo Tarifário'!$D$29*'Modelo Tarifário'!$C$57*'Modelo Tarifário'!$E$42),(J8*'Modelo Tarifário'!$C$57*'Modelo Tarifário'!$E$42)*('Premissas Economias e Água'!K338),('Premissas Economias e Água'!K198*12*'Modelo Tarifário'!$D$29*'Modelo Tarifário'!$C$57*'Modelo Tarifário'!$E$42))</f>
        <v>83345.98464316607</v>
      </c>
      <c r="K65" s="1340">
        <f>IF(((K8*'Modelo Tarifário'!$C$57*'Modelo Tarifário'!$E$42)*('Premissas Economias e Água'!L338))&gt;('Premissas Economias e Água'!L198*12*'Modelo Tarifário'!$D$29*'Modelo Tarifário'!$C$57*'Modelo Tarifário'!$E$42),(K8*'Modelo Tarifário'!$C$57*'Modelo Tarifário'!$E$42)*('Premissas Economias e Água'!L338),('Premissas Economias e Água'!L198*12*'Modelo Tarifário'!$D$29*'Modelo Tarifário'!$C$57*'Modelo Tarifário'!$E$42))</f>
        <v>83547.7809297317</v>
      </c>
      <c r="L65" s="1340">
        <f>IF(((L8*'Modelo Tarifário'!$C$57*'Modelo Tarifário'!$E$42)*('Premissas Economias e Água'!M338))&gt;('Premissas Economias e Água'!M198*12*'Modelo Tarifário'!$D$29*'Modelo Tarifário'!$C$57*'Modelo Tarifário'!$E$42),(L8*'Modelo Tarifário'!$C$57*'Modelo Tarifário'!$E$42)*('Premissas Economias e Água'!M338),('Premissas Economias e Água'!M198*12*'Modelo Tarifário'!$D$29*'Modelo Tarifário'!$C$57*'Modelo Tarifário'!$E$42))</f>
        <v>83749.577216297315</v>
      </c>
      <c r="M65" s="1340">
        <f>IF(((M8*'Modelo Tarifário'!$C$57*'Modelo Tarifário'!$E$42)*('Premissas Economias e Água'!N338))&gt;('Premissas Economias e Água'!N198*12*'Modelo Tarifário'!$D$29*'Modelo Tarifário'!$C$57*'Modelo Tarifário'!$E$42),(M8*'Modelo Tarifário'!$C$57*'Modelo Tarifário'!$E$42)*('Premissas Economias e Água'!N338),('Premissas Economias e Água'!N198*12*'Modelo Tarifário'!$D$29*'Modelo Tarifário'!$C$57*'Modelo Tarifário'!$E$42))</f>
        <v>83951.373502862945</v>
      </c>
      <c r="N65" s="1340">
        <f>IF(((N8*'Modelo Tarifário'!$C$57*'Modelo Tarifário'!$E$42)*('Premissas Economias e Água'!O338))&gt;('Premissas Economias e Água'!O198*12*'Modelo Tarifário'!$D$29*'Modelo Tarifário'!$C$57*'Modelo Tarifário'!$E$42),(N8*'Modelo Tarifário'!$C$57*'Modelo Tarifário'!$E$42)*('Premissas Economias e Água'!O338),('Premissas Economias e Água'!O198*12*'Modelo Tarifário'!$D$29*'Modelo Tarifário'!$C$57*'Modelo Tarifário'!$E$42))</f>
        <v>84153.169789428561</v>
      </c>
      <c r="O65" s="1340">
        <f>IF(((O8*'Modelo Tarifário'!$C$57*'Modelo Tarifário'!$E$42)*('Premissas Economias e Água'!P338))&gt;('Premissas Economias e Água'!P198*12*'Modelo Tarifário'!$D$29*'Modelo Tarifário'!$C$57*'Modelo Tarifário'!$E$42),(O8*'Modelo Tarifário'!$C$57*'Modelo Tarifário'!$E$42)*('Premissas Economias e Água'!P338),('Premissas Economias e Água'!P198*12*'Modelo Tarifário'!$D$29*'Modelo Tarifário'!$C$57*'Modelo Tarifário'!$E$42))</f>
        <v>84363.202659119328</v>
      </c>
      <c r="P65" s="1340">
        <f>IF(((P8*'Modelo Tarifário'!$C$57*'Modelo Tarifário'!$E$42)*('Premissas Economias e Água'!Q338))&gt;('Premissas Economias e Água'!Q198*12*'Modelo Tarifário'!$D$29*'Modelo Tarifário'!$C$57*'Modelo Tarifário'!$E$42),(P8*'Modelo Tarifário'!$C$57*'Modelo Tarifário'!$E$42)*('Premissas Economias e Água'!Q338),('Premissas Economias e Água'!Q198*12*'Modelo Tarifário'!$D$29*'Modelo Tarifário'!$C$57*'Modelo Tarifário'!$E$42))</f>
        <v>84441.450198808045</v>
      </c>
      <c r="Q65" s="1340">
        <f>IF(((Q8*'Modelo Tarifário'!$C$57*'Modelo Tarifário'!$E$42)*('Premissas Economias e Água'!R338))&gt;('Premissas Economias e Água'!R198*12*'Modelo Tarifário'!$D$29*'Modelo Tarifário'!$C$57*'Modelo Tarifário'!$E$42),(Q8*'Modelo Tarifário'!$C$57*'Modelo Tarifário'!$E$42)*('Premissas Economias e Água'!R338),('Premissas Economias e Água'!R198*12*'Modelo Tarifário'!$D$29*'Modelo Tarifário'!$C$57*'Modelo Tarifário'!$E$42))</f>
        <v>84519.697738496747</v>
      </c>
      <c r="R65" s="1340">
        <f>IF(((R8*'Modelo Tarifário'!$C$57*'Modelo Tarifário'!$E$42)*('Premissas Economias e Água'!S338))&gt;('Premissas Economias e Água'!S198*12*'Modelo Tarifário'!$D$29*'Modelo Tarifário'!$C$57*'Modelo Tarifário'!$E$42),(R8*'Modelo Tarifário'!$C$57*'Modelo Tarifário'!$E$42)*('Premissas Economias e Água'!S338),('Premissas Economias e Água'!S198*12*'Modelo Tarifário'!$D$29*'Modelo Tarifário'!$C$57*'Modelo Tarifário'!$E$42))</f>
        <v>84597.945278185449</v>
      </c>
      <c r="S65" s="1340">
        <f>IF(((S8*'Modelo Tarifário'!$C$57*'Modelo Tarifário'!$E$42)*('Premissas Economias e Água'!T338))&gt;('Premissas Economias e Água'!T198*12*'Modelo Tarifário'!$D$29*'Modelo Tarifário'!$C$57*'Modelo Tarifário'!$E$42),(S8*'Modelo Tarifário'!$C$57*'Modelo Tarifário'!$E$42)*('Premissas Economias e Água'!T338),('Premissas Economias e Água'!T198*12*'Modelo Tarifário'!$D$29*'Modelo Tarifário'!$C$57*'Modelo Tarifário'!$E$42))</f>
        <v>84676.19281787418</v>
      </c>
      <c r="T65" s="1340">
        <f>IF(((T8*'Modelo Tarifário'!$C$57*'Modelo Tarifário'!$E$42)*('Premissas Economias e Água'!U338))&gt;('Premissas Economias e Água'!U198*12*'Modelo Tarifário'!$D$29*'Modelo Tarifário'!$C$57*'Modelo Tarifário'!$E$42),(T8*'Modelo Tarifário'!$C$57*'Modelo Tarifário'!$E$42)*('Premissas Economias e Água'!U338),('Premissas Economias e Água'!U198*12*'Modelo Tarifário'!$D$29*'Modelo Tarifário'!$C$57*'Modelo Tarifário'!$E$42))</f>
        <v>84762.676940688019</v>
      </c>
      <c r="U65" s="1340">
        <f>IF(((U8*'Modelo Tarifário'!$C$57*'Modelo Tarifário'!$E$42)*('Premissas Economias e Água'!V338))&gt;('Premissas Economias e Água'!V198*12*'Modelo Tarifário'!$D$29*'Modelo Tarifário'!$C$57*'Modelo Tarifário'!$E$42),(U8*'Modelo Tarifário'!$C$57*'Modelo Tarifário'!$E$42)*('Premissas Economias e Água'!V338),('Premissas Economias e Água'!V198*12*'Modelo Tarifário'!$D$29*'Modelo Tarifário'!$C$57*'Modelo Tarifário'!$E$42))</f>
        <v>84713.257441937254</v>
      </c>
      <c r="V65" s="1340">
        <f>IF(((V8*'Modelo Tarifário'!$C$57*'Modelo Tarifário'!$E$42)*('Premissas Economias e Água'!W338))&gt;('Premissas Economias e Água'!W198*12*'Modelo Tarifário'!$D$29*'Modelo Tarifário'!$C$57*'Modelo Tarifário'!$E$42),(V8*'Modelo Tarifário'!$C$57*'Modelo Tarifário'!$E$42)*('Premissas Economias e Água'!W338),('Premissas Economias e Água'!W198*12*'Modelo Tarifário'!$D$29*'Modelo Tarifário'!$C$57*'Modelo Tarifário'!$E$42))</f>
        <v>84663.837943186489</v>
      </c>
      <c r="W65" s="1340">
        <f>IF(((W8*'Modelo Tarifário'!$C$57*'Modelo Tarifário'!$E$42)*('Premissas Economias e Água'!X338))&gt;('Premissas Economias e Água'!X198*12*'Modelo Tarifário'!$D$29*'Modelo Tarifário'!$C$57*'Modelo Tarifário'!$E$42),(W8*'Modelo Tarifário'!$C$57*'Modelo Tarifário'!$E$42)*('Premissas Economias e Água'!X338),('Premissas Economias e Água'!X198*12*'Modelo Tarifário'!$D$29*'Modelo Tarifário'!$C$57*'Modelo Tarifário'!$E$42))</f>
        <v>84614.418444435723</v>
      </c>
      <c r="X65" s="1340">
        <f>IF(((X8*'Modelo Tarifário'!$C$57*'Modelo Tarifário'!$E$42)*('Premissas Economias e Água'!Y338))&gt;('Premissas Economias e Água'!Y198*12*'Modelo Tarifário'!$D$29*'Modelo Tarifário'!$C$57*'Modelo Tarifário'!$E$42),(X8*'Modelo Tarifário'!$C$57*'Modelo Tarifário'!$E$42)*('Premissas Economias e Água'!Y338),('Premissas Economias e Água'!Y198*12*'Modelo Tarifário'!$D$29*'Modelo Tarifário'!$C$57*'Modelo Tarifário'!$E$42))</f>
        <v>84564.998945684958</v>
      </c>
      <c r="Y65" s="1340">
        <f>IF(((Y8*'Modelo Tarifário'!$C$57*'Modelo Tarifário'!$E$42)*('Premissas Economias e Água'!Z338))&gt;('Premissas Economias e Água'!Z198*12*'Modelo Tarifário'!$D$29*'Modelo Tarifário'!$C$57*'Modelo Tarifário'!$E$42),(Y8*'Modelo Tarifário'!$C$57*'Modelo Tarifário'!$E$42)*('Premissas Economias e Água'!Z338),('Premissas Economias e Água'!Z198*12*'Modelo Tarifário'!$D$29*'Modelo Tarifário'!$C$57*'Modelo Tarifário'!$E$42))</f>
        <v>84515.579446934193</v>
      </c>
      <c r="Z65" s="1340">
        <f>IF(((Z8*'Modelo Tarifário'!$C$57*'Modelo Tarifário'!$E$42)*('Premissas Economias e Água'!AA338))&gt;('Premissas Economias e Água'!AA198*12*'Modelo Tarifário'!$D$29*'Modelo Tarifário'!$C$57*'Modelo Tarifário'!$E$42),(Z8*'Modelo Tarifário'!$C$57*'Modelo Tarifário'!$E$42)*('Premissas Economias e Água'!AA338),('Premissas Economias e Água'!AA198*12*'Modelo Tarifário'!$D$29*'Modelo Tarifário'!$C$57*'Modelo Tarifário'!$E$42))</f>
        <v>84466.159948183427</v>
      </c>
      <c r="AA65" s="1340">
        <f>IF(((AA8*'Modelo Tarifário'!$C$57*'Modelo Tarifário'!$E$42)*('Premissas Economias e Água'!AB338))&gt;('Premissas Economias e Água'!AB198*12*'Modelo Tarifário'!$D$29*'Modelo Tarifário'!$C$57*'Modelo Tarifário'!$E$42),(AA8*'Modelo Tarifário'!$C$57*'Modelo Tarifário'!$E$42)*('Premissas Economias e Água'!AB338),('Premissas Economias e Água'!AB198*12*'Modelo Tarifário'!$D$29*'Modelo Tarifário'!$C$57*'Modelo Tarifário'!$E$42))</f>
        <v>84416.740449432662</v>
      </c>
      <c r="AB65" s="1340">
        <f>IF(((AB8*'Modelo Tarifário'!$C$57*'Modelo Tarifário'!$E$42)*('Premissas Economias e Água'!AC338))&gt;('Premissas Economias e Água'!AC198*12*'Modelo Tarifário'!$D$29*'Modelo Tarifário'!$C$57*'Modelo Tarifário'!$E$42),(AB8*'Modelo Tarifário'!$C$57*'Modelo Tarifário'!$E$42)*('Premissas Economias e Água'!AC338),('Premissas Economias e Água'!AC198*12*'Modelo Tarifário'!$D$29*'Modelo Tarifário'!$C$57*'Modelo Tarifário'!$E$42))</f>
        <v>84367.320950681897</v>
      </c>
      <c r="AC65" s="1340">
        <f>IF(((AC8*'Modelo Tarifário'!$C$57*'Modelo Tarifário'!$E$42)*('Premissas Economias e Água'!AD338))&gt;('Premissas Economias e Água'!AD198*12*'Modelo Tarifário'!$D$29*'Modelo Tarifário'!$C$57*'Modelo Tarifário'!$E$42),(AC8*'Modelo Tarifário'!$C$57*'Modelo Tarifário'!$E$42)*('Premissas Economias e Água'!AD338),('Premissas Economias e Água'!AD198*12*'Modelo Tarifário'!$D$29*'Modelo Tarifário'!$C$57*'Modelo Tarifário'!$E$42))</f>
        <v>84317.901451931131</v>
      </c>
      <c r="AD65" s="1340">
        <f>IF(((AD8*'Modelo Tarifário'!$C$57*'Modelo Tarifário'!$E$42)*('Premissas Economias e Água'!AE338))&gt;('Premissas Economias e Água'!AE198*12*'Modelo Tarifário'!$D$29*'Modelo Tarifário'!$C$57*'Modelo Tarifário'!$E$42),(AD8*'Modelo Tarifário'!$C$57*'Modelo Tarifário'!$E$42)*('Premissas Economias e Água'!AE338),('Premissas Economias e Água'!AE198*12*'Modelo Tarifário'!$D$29*'Modelo Tarifário'!$C$57*'Modelo Tarifário'!$E$42))</f>
        <v>84268.481953180366</v>
      </c>
      <c r="AE65" s="1340">
        <f>IF(((AE8*'Modelo Tarifário'!$C$57*'Modelo Tarifário'!$E$42)*('Premissas Economias e Água'!AF338))&gt;('Premissas Economias e Água'!AF198*12*'Modelo Tarifário'!$D$29*'Modelo Tarifário'!$C$57*'Modelo Tarifário'!$E$42),(AE8*'Modelo Tarifário'!$C$57*'Modelo Tarifário'!$E$42)*('Premissas Economias e Água'!AF338),('Premissas Economias e Água'!AF198*12*'Modelo Tarifário'!$D$29*'Modelo Tarifário'!$C$57*'Modelo Tarifário'!$E$42))</f>
        <v>84219.062454429586</v>
      </c>
      <c r="AF65" s="1340">
        <f>IF(((AF8*'Modelo Tarifário'!$C$57*'Modelo Tarifário'!$E$42)*('Premissas Economias e Água'!AG338))&gt;('Premissas Economias e Água'!AG198*12*'Modelo Tarifário'!$D$29*'Modelo Tarifário'!$C$57*'Modelo Tarifário'!$E$42),(AF8*'Modelo Tarifário'!$C$57*'Modelo Tarifário'!$E$42)*('Premissas Economias e Água'!AG338),('Premissas Economias e Água'!AG198*12*'Modelo Tarifário'!$D$29*'Modelo Tarifário'!$C$57*'Modelo Tarifário'!$E$42))</f>
        <v>84169.642955678835</v>
      </c>
      <c r="AG65" s="1340">
        <f>IF(((AG8*'Modelo Tarifário'!$C$57*'Modelo Tarifário'!$E$42)*('Premissas Economias e Água'!AH338))&gt;('Premissas Economias e Água'!AH198*12*'Modelo Tarifário'!$D$29*'Modelo Tarifário'!$C$57*'Modelo Tarifário'!$E$42),(AG8*'Modelo Tarifário'!$C$57*'Modelo Tarifário'!$E$42)*('Premissas Economias e Água'!AH338),('Premissas Economias e Água'!AH198*12*'Modelo Tarifário'!$D$29*'Modelo Tarifário'!$C$57*'Modelo Tarifário'!$E$42))</f>
        <v>84120.223456928055</v>
      </c>
      <c r="AH65" s="1340">
        <f>IF(((AH8*'Modelo Tarifário'!$C$57*'Modelo Tarifário'!$E$42)*('Premissas Economias e Água'!AI338))&gt;('Premissas Economias e Água'!AI198*12*'Modelo Tarifário'!$D$29*'Modelo Tarifário'!$C$57*'Modelo Tarifário'!$E$42),(AH8*'Modelo Tarifário'!$C$57*'Modelo Tarifário'!$E$42)*('Premissas Economias e Água'!AI338),('Premissas Economias e Água'!AI198*12*'Modelo Tarifário'!$D$29*'Modelo Tarifário'!$C$57*'Modelo Tarifário'!$E$42))</f>
        <v>84070.80395817729</v>
      </c>
    </row>
    <row r="66" spans="2:34" s="79" customFormat="1" ht="12" hidden="1" outlineLevel="1" x14ac:dyDescent="0.3">
      <c r="B66" s="1339"/>
      <c r="C66" s="1335" t="s">
        <v>12</v>
      </c>
      <c r="D66" s="1335"/>
      <c r="E66" s="1340">
        <f>IF(((E8*'Modelo Tarifário'!$C$57*'Modelo Tarifário'!$E$43)*('Premissas Economias e Água'!F339))&gt;('Premissas Economias e Água'!F199*12*'Modelo Tarifário'!$D$29*'Modelo Tarifário'!$C$57*'Modelo Tarifário'!$E$43),(E8*'Modelo Tarifário'!$C$57*'Modelo Tarifário'!$E$43)*('Premissas Economias e Água'!F339),('Premissas Economias e Água'!F199*12*'Modelo Tarifário'!$D$29*'Modelo Tarifário'!$C$57*'Modelo Tarifário'!$E$43))</f>
        <v>178820.25198537656</v>
      </c>
      <c r="F66" s="1340">
        <f>IF(((F8*'Modelo Tarifário'!$C$57*'Modelo Tarifário'!$E$43)*('Premissas Economias e Água'!G339))&gt;('Premissas Economias e Água'!G199*12*'Modelo Tarifário'!$D$29*'Modelo Tarifário'!$C$57*'Modelo Tarifário'!$E$43),(F8*'Modelo Tarifário'!$C$57*'Modelo Tarifário'!$E$43)*('Premissas Economias e Água'!G339),('Premissas Economias e Água'!G199*12*'Modelo Tarifário'!$D$29*'Modelo Tarifário'!$C$57*'Modelo Tarifário'!$E$43))</f>
        <v>179587.37227500801</v>
      </c>
      <c r="G66" s="1340">
        <f>IF(((G8*'Modelo Tarifário'!$C$57*'Modelo Tarifário'!$E$43)*('Premissas Economias e Água'!H339))&gt;('Premissas Economias e Água'!H199*12*'Modelo Tarifário'!$D$29*'Modelo Tarifário'!$C$57*'Modelo Tarifário'!$E$43),(G8*'Modelo Tarifário'!$C$57*'Modelo Tarifário'!$E$43)*('Premissas Economias e Água'!H339),('Premissas Economias e Água'!H199*12*'Modelo Tarifário'!$D$29*'Modelo Tarifário'!$C$57*'Modelo Tarifário'!$E$43))</f>
        <v>180354.49256463943</v>
      </c>
      <c r="H66" s="1340">
        <f>IF(((H8*'Modelo Tarifário'!$C$57*'Modelo Tarifário'!$E$43)*('Premissas Economias e Água'!I339))&gt;('Premissas Economias e Água'!I199*12*'Modelo Tarifário'!$D$29*'Modelo Tarifário'!$C$57*'Modelo Tarifário'!$E$43),(H8*'Modelo Tarifário'!$C$57*'Modelo Tarifário'!$E$43)*('Premissas Economias e Água'!I339),('Premissas Economias e Água'!I199*12*'Modelo Tarifário'!$D$29*'Modelo Tarifário'!$C$57*'Modelo Tarifário'!$E$43))</f>
        <v>181121.61285427082</v>
      </c>
      <c r="I66" s="1340">
        <f>IF(((I8*'Modelo Tarifário'!$C$57*'Modelo Tarifário'!$E$43)*('Premissas Economias e Água'!J339))&gt;('Premissas Economias e Água'!J199*12*'Modelo Tarifário'!$D$29*'Modelo Tarifário'!$C$57*'Modelo Tarifário'!$E$43),(I8*'Modelo Tarifário'!$C$57*'Modelo Tarifário'!$E$43)*('Premissas Economias e Água'!J339),('Premissas Economias e Água'!J199*12*'Modelo Tarifário'!$D$29*'Modelo Tarifário'!$C$57*'Modelo Tarifário'!$E$43))</f>
        <v>181888.73314390224</v>
      </c>
      <c r="J66" s="1340">
        <f>IF(((J8*'Modelo Tarifário'!$C$57*'Modelo Tarifário'!$E$43)*('Premissas Economias e Água'!K339))&gt;('Premissas Economias e Água'!K199*12*'Modelo Tarifário'!$D$29*'Modelo Tarifário'!$C$57*'Modelo Tarifário'!$E$43),(J8*'Modelo Tarifário'!$C$57*'Modelo Tarifário'!$E$43)*('Premissas Economias e Água'!K339),('Premissas Economias e Água'!K199*12*'Modelo Tarifário'!$D$29*'Modelo Tarifário'!$C$57*'Modelo Tarifário'!$E$43))</f>
        <v>182646.82848894977</v>
      </c>
      <c r="K66" s="1340">
        <f>IF(((K8*'Modelo Tarifário'!$C$57*'Modelo Tarifário'!$E$43)*('Premissas Economias e Água'!L339))&gt;('Premissas Economias e Água'!L199*12*'Modelo Tarifário'!$D$29*'Modelo Tarifário'!$C$57*'Modelo Tarifário'!$E$43),(K8*'Modelo Tarifário'!$C$57*'Modelo Tarifário'!$E$43)*('Premissas Economias e Água'!L339),('Premissas Economias e Água'!L199*12*'Modelo Tarifário'!$D$29*'Modelo Tarifário'!$C$57*'Modelo Tarifário'!$E$43))</f>
        <v>183089.0507735608</v>
      </c>
      <c r="L66" s="1340">
        <f>IF(((L8*'Modelo Tarifário'!$C$57*'Modelo Tarifário'!$E$43)*('Premissas Economias e Água'!M339))&gt;('Premissas Economias e Água'!M199*12*'Modelo Tarifário'!$D$29*'Modelo Tarifário'!$C$57*'Modelo Tarifário'!$E$43),(L8*'Modelo Tarifário'!$C$57*'Modelo Tarifário'!$E$43)*('Premissas Economias e Água'!M339),('Premissas Economias e Água'!M199*12*'Modelo Tarifário'!$D$29*'Modelo Tarifário'!$C$57*'Modelo Tarifário'!$E$43))</f>
        <v>183531.27305817188</v>
      </c>
      <c r="M66" s="1340">
        <f>IF(((M8*'Modelo Tarifário'!$C$57*'Modelo Tarifário'!$E$43)*('Premissas Economias e Água'!N339))&gt;('Premissas Economias e Água'!N199*12*'Modelo Tarifário'!$D$29*'Modelo Tarifário'!$C$57*'Modelo Tarifário'!$E$43),(M8*'Modelo Tarifário'!$C$57*'Modelo Tarifário'!$E$43)*('Premissas Economias e Água'!N339),('Premissas Economias e Água'!N199*12*'Modelo Tarifário'!$D$29*'Modelo Tarifário'!$C$57*'Modelo Tarifário'!$E$43))</f>
        <v>183973.4953427829</v>
      </c>
      <c r="N66" s="1340">
        <f>IF(((N8*'Modelo Tarifário'!$C$57*'Modelo Tarifário'!$E$43)*('Premissas Economias e Água'!O339))&gt;('Premissas Economias e Água'!O199*12*'Modelo Tarifário'!$D$29*'Modelo Tarifário'!$C$57*'Modelo Tarifário'!$E$43),(N8*'Modelo Tarifário'!$C$57*'Modelo Tarifário'!$E$43)*('Premissas Economias e Água'!O339),('Premissas Economias e Água'!O199*12*'Modelo Tarifário'!$D$29*'Modelo Tarifário'!$C$57*'Modelo Tarifário'!$E$43))</f>
        <v>184415.71762739398</v>
      </c>
      <c r="O66" s="1340">
        <f>IF(((O8*'Modelo Tarifário'!$C$57*'Modelo Tarifário'!$E$43)*('Premissas Economias e Água'!P339))&gt;('Premissas Economias e Água'!P199*12*'Modelo Tarifário'!$D$29*'Modelo Tarifário'!$C$57*'Modelo Tarifário'!$E$43),(O8*'Modelo Tarifário'!$C$57*'Modelo Tarifário'!$E$43)*('Premissas Economias e Água'!P339),('Premissas Economias e Água'!P199*12*'Modelo Tarifário'!$D$29*'Modelo Tarifário'!$C$57*'Modelo Tarifário'!$E$43))</f>
        <v>184875.98980117284</v>
      </c>
      <c r="P66" s="1340">
        <f>IF(((P8*'Modelo Tarifário'!$C$57*'Modelo Tarifário'!$E$43)*('Premissas Economias e Água'!Q339))&gt;('Premissas Economias e Água'!Q199*12*'Modelo Tarifário'!$D$29*'Modelo Tarifário'!$C$57*'Modelo Tarifário'!$E$43),(P8*'Modelo Tarifário'!$C$57*'Modelo Tarifário'!$E$43)*('Premissas Economias e Água'!Q339),('Premissas Economias e Água'!Q199*12*'Modelo Tarifário'!$D$29*'Modelo Tarifário'!$C$57*'Modelo Tarifário'!$E$43))</f>
        <v>185047.46374826695</v>
      </c>
      <c r="Q66" s="1340">
        <f>IF(((Q8*'Modelo Tarifário'!$C$57*'Modelo Tarifário'!$E$43)*('Premissas Economias e Água'!R339))&gt;('Premissas Economias e Água'!R199*12*'Modelo Tarifário'!$D$29*'Modelo Tarifário'!$C$57*'Modelo Tarifário'!$E$43),(Q8*'Modelo Tarifário'!$C$57*'Modelo Tarifário'!$E$43)*('Premissas Economias e Água'!R339),('Premissas Economias e Água'!R199*12*'Modelo Tarifário'!$D$29*'Modelo Tarifário'!$C$57*'Modelo Tarifário'!$E$43))</f>
        <v>185218.93769536103</v>
      </c>
      <c r="R66" s="1340">
        <f>IF(((R8*'Modelo Tarifário'!$C$57*'Modelo Tarifário'!$E$43)*('Premissas Economias e Água'!S339))&gt;('Premissas Economias e Água'!S199*12*'Modelo Tarifário'!$D$29*'Modelo Tarifário'!$C$57*'Modelo Tarifário'!$E$43),(R8*'Modelo Tarifário'!$C$57*'Modelo Tarifário'!$E$43)*('Premissas Economias e Água'!S339),('Premissas Economias e Água'!S199*12*'Modelo Tarifário'!$D$29*'Modelo Tarifário'!$C$57*'Modelo Tarifário'!$E$43))</f>
        <v>185390.41164245509</v>
      </c>
      <c r="S66" s="1340">
        <f>IF(((S8*'Modelo Tarifário'!$C$57*'Modelo Tarifário'!$E$43)*('Premissas Economias e Água'!T339))&gt;('Premissas Economias e Água'!T199*12*'Modelo Tarifário'!$D$29*'Modelo Tarifário'!$C$57*'Modelo Tarifário'!$E$43),(S8*'Modelo Tarifário'!$C$57*'Modelo Tarifário'!$E$43)*('Premissas Economias e Água'!T339),('Premissas Economias e Água'!T199*12*'Modelo Tarifário'!$D$29*'Modelo Tarifário'!$C$57*'Modelo Tarifário'!$E$43))</f>
        <v>185561.8855895492</v>
      </c>
      <c r="T66" s="1340">
        <f>IF(((T8*'Modelo Tarifário'!$C$57*'Modelo Tarifário'!$E$43)*('Premissas Economias e Água'!U339))&gt;('Premissas Economias e Água'!U199*12*'Modelo Tarifário'!$D$29*'Modelo Tarifário'!$C$57*'Modelo Tarifário'!$E$43),(T8*'Modelo Tarifário'!$C$57*'Modelo Tarifário'!$E$43)*('Premissas Economias e Água'!U339),('Premissas Economias e Água'!U199*12*'Modelo Tarifário'!$D$29*'Modelo Tarifário'!$C$57*'Modelo Tarifário'!$E$43))</f>
        <v>185751.40942581106</v>
      </c>
      <c r="U66" s="1340">
        <f>IF(((U8*'Modelo Tarifário'!$C$57*'Modelo Tarifário'!$E$43)*('Premissas Economias e Água'!V339))&gt;('Premissas Economias e Água'!V199*12*'Modelo Tarifário'!$D$29*'Modelo Tarifário'!$C$57*'Modelo Tarifário'!$E$43),(U8*'Modelo Tarifário'!$C$57*'Modelo Tarifário'!$E$43)*('Premissas Economias e Água'!V339),('Premissas Economias e Água'!V199*12*'Modelo Tarifário'!$D$29*'Modelo Tarifário'!$C$57*'Modelo Tarifário'!$E$43))</f>
        <v>185643.11009080426</v>
      </c>
      <c r="V66" s="1340">
        <f>IF(((V8*'Modelo Tarifário'!$C$57*'Modelo Tarifário'!$E$43)*('Premissas Economias e Água'!W339))&gt;('Premissas Economias e Água'!W199*12*'Modelo Tarifário'!$D$29*'Modelo Tarifário'!$C$57*'Modelo Tarifário'!$E$43),(V8*'Modelo Tarifário'!$C$57*'Modelo Tarifário'!$E$43)*('Premissas Economias e Água'!W339),('Premissas Economias e Água'!W199*12*'Modelo Tarifário'!$D$29*'Modelo Tarifário'!$C$57*'Modelo Tarifário'!$E$43))</f>
        <v>185534.81075579749</v>
      </c>
      <c r="W66" s="1340">
        <f>IF(((W8*'Modelo Tarifário'!$C$57*'Modelo Tarifário'!$E$43)*('Premissas Economias e Água'!X339))&gt;('Premissas Economias e Água'!X199*12*'Modelo Tarifário'!$D$29*'Modelo Tarifário'!$C$57*'Modelo Tarifário'!$E$43),(W8*'Modelo Tarifário'!$C$57*'Modelo Tarifário'!$E$43)*('Premissas Economias e Água'!X339),('Premissas Economias e Água'!X199*12*'Modelo Tarifário'!$D$29*'Modelo Tarifário'!$C$57*'Modelo Tarifário'!$E$43))</f>
        <v>185426.51142079069</v>
      </c>
      <c r="X66" s="1340">
        <f>IF(((X8*'Modelo Tarifário'!$C$57*'Modelo Tarifário'!$E$43)*('Premissas Economias e Água'!Y339))&gt;('Premissas Economias e Água'!Y199*12*'Modelo Tarifário'!$D$29*'Modelo Tarifário'!$C$57*'Modelo Tarifário'!$E$43),(X8*'Modelo Tarifário'!$C$57*'Modelo Tarifário'!$E$43)*('Premissas Economias e Água'!Y339),('Premissas Economias e Água'!Y199*12*'Modelo Tarifário'!$D$29*'Modelo Tarifário'!$C$57*'Modelo Tarifário'!$E$43))</f>
        <v>185318.21208578395</v>
      </c>
      <c r="Y66" s="1340">
        <f>IF(((Y8*'Modelo Tarifário'!$C$57*'Modelo Tarifário'!$E$43)*('Premissas Economias e Água'!Z339))&gt;('Premissas Economias e Água'!Z199*12*'Modelo Tarifário'!$D$29*'Modelo Tarifário'!$C$57*'Modelo Tarifário'!$E$43),(Y8*'Modelo Tarifário'!$C$57*'Modelo Tarifário'!$E$43)*('Premissas Economias e Água'!Z339),('Premissas Economias e Água'!Z199*12*'Modelo Tarifário'!$D$29*'Modelo Tarifário'!$C$57*'Modelo Tarifário'!$E$43))</f>
        <v>185209.91275077715</v>
      </c>
      <c r="Z66" s="1340">
        <f>IF(((Z8*'Modelo Tarifário'!$C$57*'Modelo Tarifário'!$E$43)*('Premissas Economias e Água'!AA339))&gt;('Premissas Economias e Água'!AA199*12*'Modelo Tarifário'!$D$29*'Modelo Tarifário'!$C$57*'Modelo Tarifário'!$E$43),(Z8*'Modelo Tarifário'!$C$57*'Modelo Tarifário'!$E$43)*('Premissas Economias e Água'!AA339),('Premissas Economias e Água'!AA199*12*'Modelo Tarifário'!$D$29*'Modelo Tarifário'!$C$57*'Modelo Tarifário'!$E$43))</f>
        <v>185101.61341577035</v>
      </c>
      <c r="AA66" s="1340">
        <f>IF(((AA8*'Modelo Tarifário'!$C$57*'Modelo Tarifário'!$E$43)*('Premissas Economias e Água'!AB339))&gt;('Premissas Economias e Água'!AB199*12*'Modelo Tarifário'!$D$29*'Modelo Tarifário'!$C$57*'Modelo Tarifário'!$E$43),(AA8*'Modelo Tarifário'!$C$57*'Modelo Tarifário'!$E$43)*('Premissas Economias e Água'!AB339),('Premissas Economias e Água'!AB199*12*'Modelo Tarifário'!$D$29*'Modelo Tarifário'!$C$57*'Modelo Tarifário'!$E$43))</f>
        <v>184993.31408076358</v>
      </c>
      <c r="AB66" s="1340">
        <f>IF(((AB8*'Modelo Tarifário'!$C$57*'Modelo Tarifário'!$E$43)*('Premissas Economias e Água'!AC339))&gt;('Premissas Economias e Água'!AC199*12*'Modelo Tarifário'!$D$29*'Modelo Tarifário'!$C$57*'Modelo Tarifário'!$E$43),(AB8*'Modelo Tarifário'!$C$57*'Modelo Tarifário'!$E$43)*('Premissas Economias e Água'!AC339),('Premissas Economias e Água'!AC199*12*'Modelo Tarifário'!$D$29*'Modelo Tarifário'!$C$57*'Modelo Tarifário'!$E$43))</f>
        <v>184885.01474575678</v>
      </c>
      <c r="AC66" s="1340">
        <f>IF(((AC8*'Modelo Tarifário'!$C$57*'Modelo Tarifário'!$E$43)*('Premissas Economias e Água'!AD339))&gt;('Premissas Economias e Água'!AD199*12*'Modelo Tarifário'!$D$29*'Modelo Tarifário'!$C$57*'Modelo Tarifário'!$E$43),(AC8*'Modelo Tarifário'!$C$57*'Modelo Tarifário'!$E$43)*('Premissas Economias e Água'!AD339),('Premissas Economias e Água'!AD199*12*'Modelo Tarifário'!$D$29*'Modelo Tarifário'!$C$57*'Modelo Tarifário'!$E$43))</f>
        <v>184776.71541074998</v>
      </c>
      <c r="AD66" s="1340">
        <f>IF(((AD8*'Modelo Tarifário'!$C$57*'Modelo Tarifário'!$E$43)*('Premissas Economias e Água'!AE339))&gt;('Premissas Economias e Água'!AE199*12*'Modelo Tarifário'!$D$29*'Modelo Tarifário'!$C$57*'Modelo Tarifário'!$E$43),(AD8*'Modelo Tarifário'!$C$57*'Modelo Tarifário'!$E$43)*('Premissas Economias e Água'!AE339),('Premissas Economias e Água'!AE199*12*'Modelo Tarifário'!$D$29*'Modelo Tarifário'!$C$57*'Modelo Tarifário'!$E$43))</f>
        <v>184668.41607574315</v>
      </c>
      <c r="AE66" s="1340">
        <f>IF(((AE8*'Modelo Tarifário'!$C$57*'Modelo Tarifário'!$E$43)*('Premissas Economias e Água'!AF339))&gt;('Premissas Economias e Água'!AF199*12*'Modelo Tarifário'!$D$29*'Modelo Tarifário'!$C$57*'Modelo Tarifário'!$E$43),(AE8*'Modelo Tarifário'!$C$57*'Modelo Tarifário'!$E$43)*('Premissas Economias e Água'!AF339),('Premissas Economias e Água'!AF199*12*'Modelo Tarifário'!$D$29*'Modelo Tarifário'!$C$57*'Modelo Tarifário'!$E$43))</f>
        <v>184560.11674073638</v>
      </c>
      <c r="AF66" s="1340">
        <f>IF(((AF8*'Modelo Tarifário'!$C$57*'Modelo Tarifário'!$E$43)*('Premissas Economias e Água'!AG339))&gt;('Premissas Economias e Água'!AG199*12*'Modelo Tarifário'!$D$29*'Modelo Tarifário'!$C$57*'Modelo Tarifário'!$E$43),(AF8*'Modelo Tarifário'!$C$57*'Modelo Tarifário'!$E$43)*('Premissas Economias e Água'!AG339),('Premissas Economias e Água'!AG199*12*'Modelo Tarifário'!$D$29*'Modelo Tarifário'!$C$57*'Modelo Tarifário'!$E$43))</f>
        <v>184451.81740572958</v>
      </c>
      <c r="AG66" s="1340">
        <f>IF(((AG8*'Modelo Tarifário'!$C$57*'Modelo Tarifário'!$E$43)*('Premissas Economias e Água'!AH339))&gt;('Premissas Economias e Água'!AH199*12*'Modelo Tarifário'!$D$29*'Modelo Tarifário'!$C$57*'Modelo Tarifário'!$E$43),(AG8*'Modelo Tarifário'!$C$57*'Modelo Tarifário'!$E$43)*('Premissas Economias e Água'!AH339),('Premissas Economias e Água'!AH199*12*'Modelo Tarifário'!$D$29*'Modelo Tarifário'!$C$57*'Modelo Tarifário'!$E$43))</f>
        <v>184343.51807072278</v>
      </c>
      <c r="AH66" s="1340">
        <f>IF(((AH8*'Modelo Tarifário'!$C$57*'Modelo Tarifário'!$E$43)*('Premissas Economias e Água'!AI339))&gt;('Premissas Economias e Água'!AI199*12*'Modelo Tarifário'!$D$29*'Modelo Tarifário'!$C$57*'Modelo Tarifário'!$E$43),(AH8*'Modelo Tarifário'!$C$57*'Modelo Tarifário'!$E$43)*('Premissas Economias e Água'!AI339),('Premissas Economias e Água'!AI199*12*'Modelo Tarifário'!$D$29*'Modelo Tarifário'!$C$57*'Modelo Tarifário'!$E$43))</f>
        <v>184235.21873571599</v>
      </c>
    </row>
    <row r="67" spans="2:34" s="79" customFormat="1" ht="12" hidden="1" outlineLevel="1" x14ac:dyDescent="0.3">
      <c r="B67" s="1339"/>
      <c r="C67" s="1335" t="s">
        <v>13</v>
      </c>
      <c r="D67" s="1335"/>
      <c r="E67" s="1340">
        <f>IF(((E8*'Modelo Tarifário'!$C$57*'Modelo Tarifário'!$E$44)*('Premissas Economias e Água'!F340))&gt;('Premissas Economias e Água'!F200*12*'Modelo Tarifário'!$D$29*'Modelo Tarifário'!$C$57*'Modelo Tarifário'!$E$44),(E8*'Modelo Tarifário'!$C$57*'Modelo Tarifário'!$E$44)*('Premissas Economias e Água'!F340),('Premissas Economias e Água'!F200*12*'Modelo Tarifário'!$D$29*'Modelo Tarifário'!$C$57*'Modelo Tarifário'!$E$44))</f>
        <v>0</v>
      </c>
      <c r="F67" s="1340">
        <f>IF(((F8*'Modelo Tarifário'!$C$57*'Modelo Tarifário'!$E$44)*('Premissas Economias e Água'!G340))&gt;('Premissas Economias e Água'!G200*12*'Modelo Tarifário'!$D$29*'Modelo Tarifário'!$C$57*'Modelo Tarifário'!$E$44),(F8*'Modelo Tarifário'!$C$57*'Modelo Tarifário'!$E$44)*('Premissas Economias e Água'!G340),('Premissas Economias e Água'!G200*12*'Modelo Tarifário'!$D$29*'Modelo Tarifário'!$C$57*'Modelo Tarifário'!$E$44))</f>
        <v>0</v>
      </c>
      <c r="G67" s="1340">
        <f>IF(((G8*'Modelo Tarifário'!$C$57*'Modelo Tarifário'!$E$44)*('Premissas Economias e Água'!H340))&gt;('Premissas Economias e Água'!H200*12*'Modelo Tarifário'!$D$29*'Modelo Tarifário'!$C$57*'Modelo Tarifário'!$E$44),(G8*'Modelo Tarifário'!$C$57*'Modelo Tarifário'!$E$44)*('Premissas Economias e Água'!H340),('Premissas Economias e Água'!H200*12*'Modelo Tarifário'!$D$29*'Modelo Tarifário'!$C$57*'Modelo Tarifário'!$E$44))</f>
        <v>0</v>
      </c>
      <c r="H67" s="1340">
        <f>IF(((H8*'Modelo Tarifário'!$C$57*'Modelo Tarifário'!$E$44)*('Premissas Economias e Água'!I340))&gt;('Premissas Economias e Água'!I200*12*'Modelo Tarifário'!$D$29*'Modelo Tarifário'!$C$57*'Modelo Tarifário'!$E$44),(H8*'Modelo Tarifário'!$C$57*'Modelo Tarifário'!$E$44)*('Premissas Economias e Água'!I340),('Premissas Economias e Água'!I200*12*'Modelo Tarifário'!$D$29*'Modelo Tarifário'!$C$57*'Modelo Tarifário'!$E$44))</f>
        <v>0</v>
      </c>
      <c r="I67" s="1340">
        <f>IF(((I8*'Modelo Tarifário'!$C$57*'Modelo Tarifário'!$E$44)*('Premissas Economias e Água'!J340))&gt;('Premissas Economias e Água'!J200*12*'Modelo Tarifário'!$D$29*'Modelo Tarifário'!$C$57*'Modelo Tarifário'!$E$44),(I8*'Modelo Tarifário'!$C$57*'Modelo Tarifário'!$E$44)*('Premissas Economias e Água'!J340),('Premissas Economias e Água'!J200*12*'Modelo Tarifário'!$D$29*'Modelo Tarifário'!$C$57*'Modelo Tarifário'!$E$44))</f>
        <v>0</v>
      </c>
      <c r="J67" s="1340">
        <f>IF(((J8*'Modelo Tarifário'!$C$57*'Modelo Tarifário'!$E$44)*('Premissas Economias e Água'!K340))&gt;('Premissas Economias e Água'!K200*12*'Modelo Tarifário'!$D$29*'Modelo Tarifário'!$C$57*'Modelo Tarifário'!$E$44),(J8*'Modelo Tarifário'!$C$57*'Modelo Tarifário'!$E$44)*('Premissas Economias e Água'!K340),('Premissas Economias e Água'!K200*12*'Modelo Tarifário'!$D$29*'Modelo Tarifário'!$C$57*'Modelo Tarifário'!$E$44))</f>
        <v>0</v>
      </c>
      <c r="K67" s="1340">
        <f>IF(((K8*'Modelo Tarifário'!$C$57*'Modelo Tarifário'!$E$44)*('Premissas Economias e Água'!L340))&gt;('Premissas Economias e Água'!L200*12*'Modelo Tarifário'!$D$29*'Modelo Tarifário'!$C$57*'Modelo Tarifário'!$E$44),(K8*'Modelo Tarifário'!$C$57*'Modelo Tarifário'!$E$44)*('Premissas Economias e Água'!L340),('Premissas Economias e Água'!L200*12*'Modelo Tarifário'!$D$29*'Modelo Tarifário'!$C$57*'Modelo Tarifário'!$E$44))</f>
        <v>0</v>
      </c>
      <c r="L67" s="1340">
        <f>IF(((L8*'Modelo Tarifário'!$C$57*'Modelo Tarifário'!$E$44)*('Premissas Economias e Água'!M340))&gt;('Premissas Economias e Água'!M200*12*'Modelo Tarifário'!$D$29*'Modelo Tarifário'!$C$57*'Modelo Tarifário'!$E$44),(L8*'Modelo Tarifário'!$C$57*'Modelo Tarifário'!$E$44)*('Premissas Economias e Água'!M340),('Premissas Economias e Água'!M200*12*'Modelo Tarifário'!$D$29*'Modelo Tarifário'!$C$57*'Modelo Tarifário'!$E$44))</f>
        <v>0</v>
      </c>
      <c r="M67" s="1340">
        <f>IF(((M8*'Modelo Tarifário'!$C$57*'Modelo Tarifário'!$E$44)*('Premissas Economias e Água'!N340))&gt;('Premissas Economias e Água'!N200*12*'Modelo Tarifário'!$D$29*'Modelo Tarifário'!$C$57*'Modelo Tarifário'!$E$44),(M8*'Modelo Tarifário'!$C$57*'Modelo Tarifário'!$E$44)*('Premissas Economias e Água'!N340),('Premissas Economias e Água'!N200*12*'Modelo Tarifário'!$D$29*'Modelo Tarifário'!$C$57*'Modelo Tarifário'!$E$44))</f>
        <v>0</v>
      </c>
      <c r="N67" s="1340">
        <f>IF(((N8*'Modelo Tarifário'!$C$57*'Modelo Tarifário'!$E$44)*('Premissas Economias e Água'!O340))&gt;('Premissas Economias e Água'!O200*12*'Modelo Tarifário'!$D$29*'Modelo Tarifário'!$C$57*'Modelo Tarifário'!$E$44),(N8*'Modelo Tarifário'!$C$57*'Modelo Tarifário'!$E$44)*('Premissas Economias e Água'!O340),('Premissas Economias e Água'!O200*12*'Modelo Tarifário'!$D$29*'Modelo Tarifário'!$C$57*'Modelo Tarifário'!$E$44))</f>
        <v>0</v>
      </c>
      <c r="O67" s="1340">
        <f>IF(((O8*'Modelo Tarifário'!$C$57*'Modelo Tarifário'!$E$44)*('Premissas Economias e Água'!P340))&gt;('Premissas Economias e Água'!P200*12*'Modelo Tarifário'!$D$29*'Modelo Tarifário'!$C$57*'Modelo Tarifário'!$E$44),(O8*'Modelo Tarifário'!$C$57*'Modelo Tarifário'!$E$44)*('Premissas Economias e Água'!P340),('Premissas Economias e Água'!P200*12*'Modelo Tarifário'!$D$29*'Modelo Tarifário'!$C$57*'Modelo Tarifário'!$E$44))</f>
        <v>0</v>
      </c>
      <c r="P67" s="1340">
        <f>IF(((P8*'Modelo Tarifário'!$C$57*'Modelo Tarifário'!$E$44)*('Premissas Economias e Água'!Q340))&gt;('Premissas Economias e Água'!Q200*12*'Modelo Tarifário'!$D$29*'Modelo Tarifário'!$C$57*'Modelo Tarifário'!$E$44),(P8*'Modelo Tarifário'!$C$57*'Modelo Tarifário'!$E$44)*('Premissas Economias e Água'!Q340),('Premissas Economias e Água'!Q200*12*'Modelo Tarifário'!$D$29*'Modelo Tarifário'!$C$57*'Modelo Tarifário'!$E$44))</f>
        <v>0</v>
      </c>
      <c r="Q67" s="1340">
        <f>IF(((Q8*'Modelo Tarifário'!$C$57*'Modelo Tarifário'!$E$44)*('Premissas Economias e Água'!R340))&gt;('Premissas Economias e Água'!R200*12*'Modelo Tarifário'!$D$29*'Modelo Tarifário'!$C$57*'Modelo Tarifário'!$E$44),(Q8*'Modelo Tarifário'!$C$57*'Modelo Tarifário'!$E$44)*('Premissas Economias e Água'!R340),('Premissas Economias e Água'!R200*12*'Modelo Tarifário'!$D$29*'Modelo Tarifário'!$C$57*'Modelo Tarifário'!$E$44))</f>
        <v>0</v>
      </c>
      <c r="R67" s="1340">
        <f>IF(((R8*'Modelo Tarifário'!$C$57*'Modelo Tarifário'!$E$44)*('Premissas Economias e Água'!S340))&gt;('Premissas Economias e Água'!S200*12*'Modelo Tarifário'!$D$29*'Modelo Tarifário'!$C$57*'Modelo Tarifário'!$E$44),(R8*'Modelo Tarifário'!$C$57*'Modelo Tarifário'!$E$44)*('Premissas Economias e Água'!S340),('Premissas Economias e Água'!S200*12*'Modelo Tarifário'!$D$29*'Modelo Tarifário'!$C$57*'Modelo Tarifário'!$E$44))</f>
        <v>0</v>
      </c>
      <c r="S67" s="1340">
        <f>IF(((S8*'Modelo Tarifário'!$C$57*'Modelo Tarifário'!$E$44)*('Premissas Economias e Água'!T340))&gt;('Premissas Economias e Água'!T200*12*'Modelo Tarifário'!$D$29*'Modelo Tarifário'!$C$57*'Modelo Tarifário'!$E$44),(S8*'Modelo Tarifário'!$C$57*'Modelo Tarifário'!$E$44)*('Premissas Economias e Água'!T340),('Premissas Economias e Água'!T200*12*'Modelo Tarifário'!$D$29*'Modelo Tarifário'!$C$57*'Modelo Tarifário'!$E$44))</f>
        <v>0</v>
      </c>
      <c r="T67" s="1340">
        <f>IF(((T8*'Modelo Tarifário'!$C$57*'Modelo Tarifário'!$E$44)*('Premissas Economias e Água'!U340))&gt;('Premissas Economias e Água'!U200*12*'Modelo Tarifário'!$D$29*'Modelo Tarifário'!$C$57*'Modelo Tarifário'!$E$44),(T8*'Modelo Tarifário'!$C$57*'Modelo Tarifário'!$E$44)*('Premissas Economias e Água'!U340),('Premissas Economias e Água'!U200*12*'Modelo Tarifário'!$D$29*'Modelo Tarifário'!$C$57*'Modelo Tarifário'!$E$44))</f>
        <v>0</v>
      </c>
      <c r="U67" s="1340">
        <f>IF(((U8*'Modelo Tarifário'!$C$57*'Modelo Tarifário'!$E$44)*('Premissas Economias e Água'!V340))&gt;('Premissas Economias e Água'!V200*12*'Modelo Tarifário'!$D$29*'Modelo Tarifário'!$C$57*'Modelo Tarifário'!$E$44),(U8*'Modelo Tarifário'!$C$57*'Modelo Tarifário'!$E$44)*('Premissas Economias e Água'!V340),('Premissas Economias e Água'!V200*12*'Modelo Tarifário'!$D$29*'Modelo Tarifário'!$C$57*'Modelo Tarifário'!$E$44))</f>
        <v>0</v>
      </c>
      <c r="V67" s="1340">
        <f>IF(((V8*'Modelo Tarifário'!$C$57*'Modelo Tarifário'!$E$44)*('Premissas Economias e Água'!W340))&gt;('Premissas Economias e Água'!W200*12*'Modelo Tarifário'!$D$29*'Modelo Tarifário'!$C$57*'Modelo Tarifário'!$E$44),(V8*'Modelo Tarifário'!$C$57*'Modelo Tarifário'!$E$44)*('Premissas Economias e Água'!W340),('Premissas Economias e Água'!W200*12*'Modelo Tarifário'!$D$29*'Modelo Tarifário'!$C$57*'Modelo Tarifário'!$E$44))</f>
        <v>0</v>
      </c>
      <c r="W67" s="1340">
        <f>IF(((W8*'Modelo Tarifário'!$C$57*'Modelo Tarifário'!$E$44)*('Premissas Economias e Água'!X340))&gt;('Premissas Economias e Água'!X200*12*'Modelo Tarifário'!$D$29*'Modelo Tarifário'!$C$57*'Modelo Tarifário'!$E$44),(W8*'Modelo Tarifário'!$C$57*'Modelo Tarifário'!$E$44)*('Premissas Economias e Água'!X340),('Premissas Economias e Água'!X200*12*'Modelo Tarifário'!$D$29*'Modelo Tarifário'!$C$57*'Modelo Tarifário'!$E$44))</f>
        <v>0</v>
      </c>
      <c r="X67" s="1340">
        <f>IF(((X8*'Modelo Tarifário'!$C$57*'Modelo Tarifário'!$E$44)*('Premissas Economias e Água'!Y340))&gt;('Premissas Economias e Água'!Y200*12*'Modelo Tarifário'!$D$29*'Modelo Tarifário'!$C$57*'Modelo Tarifário'!$E$44),(X8*'Modelo Tarifário'!$C$57*'Modelo Tarifário'!$E$44)*('Premissas Economias e Água'!Y340),('Premissas Economias e Água'!Y200*12*'Modelo Tarifário'!$D$29*'Modelo Tarifário'!$C$57*'Modelo Tarifário'!$E$44))</f>
        <v>0</v>
      </c>
      <c r="Y67" s="1340">
        <f>IF(((Y8*'Modelo Tarifário'!$C$57*'Modelo Tarifário'!$E$44)*('Premissas Economias e Água'!Z340))&gt;('Premissas Economias e Água'!Z200*12*'Modelo Tarifário'!$D$29*'Modelo Tarifário'!$C$57*'Modelo Tarifário'!$E$44),(Y8*'Modelo Tarifário'!$C$57*'Modelo Tarifário'!$E$44)*('Premissas Economias e Água'!Z340),('Premissas Economias e Água'!Z200*12*'Modelo Tarifário'!$D$29*'Modelo Tarifário'!$C$57*'Modelo Tarifário'!$E$44))</f>
        <v>0</v>
      </c>
      <c r="Z67" s="1340">
        <f>IF(((Z8*'Modelo Tarifário'!$C$57*'Modelo Tarifário'!$E$44)*('Premissas Economias e Água'!AA340))&gt;('Premissas Economias e Água'!AA200*12*'Modelo Tarifário'!$D$29*'Modelo Tarifário'!$C$57*'Modelo Tarifário'!$E$44),(Z8*'Modelo Tarifário'!$C$57*'Modelo Tarifário'!$E$44)*('Premissas Economias e Água'!AA340),('Premissas Economias e Água'!AA200*12*'Modelo Tarifário'!$D$29*'Modelo Tarifário'!$C$57*'Modelo Tarifário'!$E$44))</f>
        <v>0</v>
      </c>
      <c r="AA67" s="1340">
        <f>IF(((AA8*'Modelo Tarifário'!$C$57*'Modelo Tarifário'!$E$44)*('Premissas Economias e Água'!AB340))&gt;('Premissas Economias e Água'!AB200*12*'Modelo Tarifário'!$D$29*'Modelo Tarifário'!$C$57*'Modelo Tarifário'!$E$44),(AA8*'Modelo Tarifário'!$C$57*'Modelo Tarifário'!$E$44)*('Premissas Economias e Água'!AB340),('Premissas Economias e Água'!AB200*12*'Modelo Tarifário'!$D$29*'Modelo Tarifário'!$C$57*'Modelo Tarifário'!$E$44))</f>
        <v>0</v>
      </c>
      <c r="AB67" s="1340">
        <f>IF(((AB8*'Modelo Tarifário'!$C$57*'Modelo Tarifário'!$E$44)*('Premissas Economias e Água'!AC340))&gt;('Premissas Economias e Água'!AC200*12*'Modelo Tarifário'!$D$29*'Modelo Tarifário'!$C$57*'Modelo Tarifário'!$E$44),(AB8*'Modelo Tarifário'!$C$57*'Modelo Tarifário'!$E$44)*('Premissas Economias e Água'!AC340),('Premissas Economias e Água'!AC200*12*'Modelo Tarifário'!$D$29*'Modelo Tarifário'!$C$57*'Modelo Tarifário'!$E$44))</f>
        <v>0</v>
      </c>
      <c r="AC67" s="1340">
        <f>IF(((AC8*'Modelo Tarifário'!$C$57*'Modelo Tarifário'!$E$44)*('Premissas Economias e Água'!AD340))&gt;('Premissas Economias e Água'!AD200*12*'Modelo Tarifário'!$D$29*'Modelo Tarifário'!$C$57*'Modelo Tarifário'!$E$44),(AC8*'Modelo Tarifário'!$C$57*'Modelo Tarifário'!$E$44)*('Premissas Economias e Água'!AD340),('Premissas Economias e Água'!AD200*12*'Modelo Tarifário'!$D$29*'Modelo Tarifário'!$C$57*'Modelo Tarifário'!$E$44))</f>
        <v>0</v>
      </c>
      <c r="AD67" s="1340">
        <f>IF(((AD8*'Modelo Tarifário'!$C$57*'Modelo Tarifário'!$E$44)*('Premissas Economias e Água'!AE340))&gt;('Premissas Economias e Água'!AE200*12*'Modelo Tarifário'!$D$29*'Modelo Tarifário'!$C$57*'Modelo Tarifário'!$E$44),(AD8*'Modelo Tarifário'!$C$57*'Modelo Tarifário'!$E$44)*('Premissas Economias e Água'!AE340),('Premissas Economias e Água'!AE200*12*'Modelo Tarifário'!$D$29*'Modelo Tarifário'!$C$57*'Modelo Tarifário'!$E$44))</f>
        <v>0</v>
      </c>
      <c r="AE67" s="1340">
        <f>IF(((AE8*'Modelo Tarifário'!$C$57*'Modelo Tarifário'!$E$44)*('Premissas Economias e Água'!AF340))&gt;('Premissas Economias e Água'!AF200*12*'Modelo Tarifário'!$D$29*'Modelo Tarifário'!$C$57*'Modelo Tarifário'!$E$44),(AE8*'Modelo Tarifário'!$C$57*'Modelo Tarifário'!$E$44)*('Premissas Economias e Água'!AF340),('Premissas Economias e Água'!AF200*12*'Modelo Tarifário'!$D$29*'Modelo Tarifário'!$C$57*'Modelo Tarifário'!$E$44))</f>
        <v>0</v>
      </c>
      <c r="AF67" s="1340">
        <f>IF(((AF8*'Modelo Tarifário'!$C$57*'Modelo Tarifário'!$E$44)*('Premissas Economias e Água'!AG340))&gt;('Premissas Economias e Água'!AG200*12*'Modelo Tarifário'!$D$29*'Modelo Tarifário'!$C$57*'Modelo Tarifário'!$E$44),(AF8*'Modelo Tarifário'!$C$57*'Modelo Tarifário'!$E$44)*('Premissas Economias e Água'!AG340),('Premissas Economias e Água'!AG200*12*'Modelo Tarifário'!$D$29*'Modelo Tarifário'!$C$57*'Modelo Tarifário'!$E$44))</f>
        <v>0</v>
      </c>
      <c r="AG67" s="1340">
        <f>IF(((AG8*'Modelo Tarifário'!$C$57*'Modelo Tarifário'!$E$44)*('Premissas Economias e Água'!AH340))&gt;('Premissas Economias e Água'!AH200*12*'Modelo Tarifário'!$D$29*'Modelo Tarifário'!$C$57*'Modelo Tarifário'!$E$44),(AG8*'Modelo Tarifário'!$C$57*'Modelo Tarifário'!$E$44)*('Premissas Economias e Água'!AH340),('Premissas Economias e Água'!AH200*12*'Modelo Tarifário'!$D$29*'Modelo Tarifário'!$C$57*'Modelo Tarifário'!$E$44))</f>
        <v>0</v>
      </c>
      <c r="AH67" s="1340">
        <f>IF(((AH8*'Modelo Tarifário'!$C$57*'Modelo Tarifário'!$E$44)*('Premissas Economias e Água'!AI340))&gt;('Premissas Economias e Água'!AI200*12*'Modelo Tarifário'!$D$29*'Modelo Tarifário'!$C$57*'Modelo Tarifário'!$E$44),(AH8*'Modelo Tarifário'!$C$57*'Modelo Tarifário'!$E$44)*('Premissas Economias e Água'!AI340),('Premissas Economias e Água'!AI200*12*'Modelo Tarifário'!$D$29*'Modelo Tarifário'!$C$57*'Modelo Tarifário'!$E$44))</f>
        <v>0</v>
      </c>
    </row>
    <row r="68" spans="2:34" s="79" customFormat="1" ht="12" hidden="1" outlineLevel="1" x14ac:dyDescent="0.3">
      <c r="B68" s="1341"/>
      <c r="C68" s="1342" t="s">
        <v>14</v>
      </c>
      <c r="D68" s="1343"/>
      <c r="E68" s="1344">
        <f>IF(((E8*'Modelo Tarifário'!$C$57*'Modelo Tarifário'!$E$45)*('Premissas Economias e Água'!F341))&gt;('Premissas Economias e Água'!F201*12*'Modelo Tarifário'!$D$29*'Modelo Tarifário'!$C$57*'Modelo Tarifário'!$E$45),(E8*'Modelo Tarifário'!$C$57*'Modelo Tarifário'!$E$45)*('Premissas Economias e Água'!F341),('Premissas Economias e Água'!F201*12*'Modelo Tarifário'!$D$29*'Modelo Tarifário'!$C$57*'Modelo Tarifário'!$E$45))</f>
        <v>1077409.951474987</v>
      </c>
      <c r="F68" s="1344">
        <f>IF(((F8*'Modelo Tarifário'!$C$57*'Modelo Tarifário'!$E$45)*('Premissas Economias e Água'!G341))&gt;('Premissas Economias e Água'!G201*12*'Modelo Tarifário'!$D$29*'Modelo Tarifário'!$C$57*'Modelo Tarifário'!$E$45),(F8*'Modelo Tarifário'!$C$57*'Modelo Tarifário'!$E$45)*('Premissas Economias e Água'!G341),('Premissas Economias e Água'!G201*12*'Modelo Tarifário'!$D$29*'Modelo Tarifário'!$C$57*'Modelo Tarifário'!$E$45))</f>
        <v>1082031.9281518506</v>
      </c>
      <c r="G68" s="1344">
        <f>IF(((G8*'Modelo Tarifário'!$C$57*'Modelo Tarifário'!$E$45)*('Premissas Economias e Água'!H341))&gt;('Premissas Economias e Água'!H201*12*'Modelo Tarifário'!$D$29*'Modelo Tarifário'!$C$57*'Modelo Tarifário'!$E$45),(G8*'Modelo Tarifário'!$C$57*'Modelo Tarifário'!$E$45)*('Premissas Economias e Água'!H341),('Premissas Economias e Água'!H201*12*'Modelo Tarifário'!$D$29*'Modelo Tarifário'!$C$57*'Modelo Tarifário'!$E$45))</f>
        <v>1086653.904828714</v>
      </c>
      <c r="H68" s="1344">
        <f>IF(((H8*'Modelo Tarifário'!$C$57*'Modelo Tarifário'!$E$45)*('Premissas Economias e Água'!I341))&gt;('Premissas Economias e Água'!I201*12*'Modelo Tarifário'!$D$29*'Modelo Tarifário'!$C$57*'Modelo Tarifário'!$E$45),(H8*'Modelo Tarifário'!$C$57*'Modelo Tarifário'!$E$45)*('Premissas Economias e Água'!I341),('Premissas Economias e Água'!I201*12*'Modelo Tarifário'!$D$29*'Modelo Tarifário'!$C$57*'Modelo Tarifário'!$E$45))</f>
        <v>1091275.8815055776</v>
      </c>
      <c r="I68" s="1344">
        <f>IF(((I8*'Modelo Tarifário'!$C$57*'Modelo Tarifário'!$E$45)*('Premissas Economias e Água'!J341))&gt;('Premissas Economias e Água'!J201*12*'Modelo Tarifário'!$D$29*'Modelo Tarifário'!$C$57*'Modelo Tarifário'!$E$45),(I8*'Modelo Tarifário'!$C$57*'Modelo Tarifário'!$E$45)*('Premissas Economias e Água'!J341),('Premissas Economias e Água'!J201*12*'Modelo Tarifário'!$D$29*'Modelo Tarifário'!$C$57*'Modelo Tarifário'!$E$45))</f>
        <v>1095897.8581824412</v>
      </c>
      <c r="J68" s="1344">
        <f>IF(((J8*'Modelo Tarifário'!$C$57*'Modelo Tarifário'!$E$45)*('Premissas Economias e Água'!K341))&gt;('Premissas Economias e Água'!K201*12*'Modelo Tarifário'!$D$29*'Modelo Tarifário'!$C$57*'Modelo Tarifário'!$E$45),(J8*'Modelo Tarifário'!$C$57*'Modelo Tarifário'!$E$45)*('Premissas Economias e Água'!K341),('Premissas Economias e Água'!K201*12*'Modelo Tarifário'!$D$29*'Modelo Tarifário'!$C$57*'Modelo Tarifário'!$E$45))</f>
        <v>1100465.4586631062</v>
      </c>
      <c r="K68" s="1344">
        <f>IF(((K8*'Modelo Tarifário'!$C$57*'Modelo Tarifário'!$E$45)*('Premissas Economias e Água'!L341))&gt;('Premissas Economias e Água'!L201*12*'Modelo Tarifário'!$D$29*'Modelo Tarifário'!$C$57*'Modelo Tarifário'!$E$45),(K8*'Modelo Tarifário'!$C$57*'Modelo Tarifário'!$E$45)*('Premissas Economias e Água'!L341),('Premissas Economias e Água'!L201*12*'Modelo Tarifário'!$D$29*'Modelo Tarifário'!$C$57*'Modelo Tarifário'!$E$45))</f>
        <v>1103129.8922768275</v>
      </c>
      <c r="L68" s="1344">
        <f>IF(((L8*'Modelo Tarifário'!$C$57*'Modelo Tarifário'!$E$45)*('Premissas Economias e Água'!M341))&gt;('Premissas Economias e Água'!M201*12*'Modelo Tarifário'!$D$29*'Modelo Tarifário'!$C$57*'Modelo Tarifário'!$E$45),(L8*'Modelo Tarifário'!$C$57*'Modelo Tarifário'!$E$45)*('Premissas Economias e Água'!M341),('Premissas Economias e Água'!M201*12*'Modelo Tarifário'!$D$29*'Modelo Tarifário'!$C$57*'Modelo Tarifário'!$E$45))</f>
        <v>1105794.3258905488</v>
      </c>
      <c r="M68" s="1344">
        <f>IF(((M8*'Modelo Tarifário'!$C$57*'Modelo Tarifário'!$E$45)*('Premissas Economias e Água'!N341))&gt;('Premissas Economias e Água'!N201*12*'Modelo Tarifário'!$D$29*'Modelo Tarifário'!$C$57*'Modelo Tarifário'!$E$45),(M8*'Modelo Tarifário'!$C$57*'Modelo Tarifário'!$E$45)*('Premissas Economias e Água'!N341),('Premissas Economias e Água'!N201*12*'Modelo Tarifário'!$D$29*'Modelo Tarifário'!$C$57*'Modelo Tarifário'!$E$45))</f>
        <v>1108458.75950427</v>
      </c>
      <c r="N68" s="1344">
        <f>IF(((N8*'Modelo Tarifário'!$C$57*'Modelo Tarifário'!$E$45)*('Premissas Economias e Água'!O341))&gt;('Premissas Economias e Água'!O201*12*'Modelo Tarifário'!$D$29*'Modelo Tarifário'!$C$57*'Modelo Tarifário'!$E$45),(N8*'Modelo Tarifário'!$C$57*'Modelo Tarifário'!$E$45)*('Premissas Economias e Água'!O341),('Premissas Economias e Água'!O201*12*'Modelo Tarifário'!$D$29*'Modelo Tarifário'!$C$57*'Modelo Tarifário'!$E$45))</f>
        <v>1111123.1931179916</v>
      </c>
      <c r="O68" s="1344">
        <f>IF(((O8*'Modelo Tarifário'!$C$57*'Modelo Tarifário'!$E$45)*('Premissas Economias e Água'!P341))&gt;('Premissas Economias e Água'!P201*12*'Modelo Tarifário'!$D$29*'Modelo Tarifário'!$C$57*'Modelo Tarifário'!$E$45),(O8*'Modelo Tarifário'!$C$57*'Modelo Tarifário'!$E$45)*('Premissas Economias e Água'!P341),('Premissas Economias e Água'!P201*12*'Modelo Tarifário'!$D$29*'Modelo Tarifário'!$C$57*'Modelo Tarifário'!$E$45))</f>
        <v>1113896.3791241096</v>
      </c>
      <c r="P68" s="1344">
        <f>IF(((P8*'Modelo Tarifário'!$C$57*'Modelo Tarifário'!$E$45)*('Premissas Economias e Água'!Q341))&gt;('Premissas Economias e Água'!Q201*12*'Modelo Tarifário'!$D$29*'Modelo Tarifário'!$C$57*'Modelo Tarifário'!$E$45),(P8*'Modelo Tarifário'!$C$57*'Modelo Tarifário'!$E$45)*('Premissas Economias e Água'!Q341),('Premissas Economias e Água'!Q201*12*'Modelo Tarifário'!$D$29*'Modelo Tarifário'!$C$57*'Modelo Tarifário'!$E$45))</f>
        <v>1114929.5268518792</v>
      </c>
      <c r="Q68" s="1344">
        <f>IF(((Q8*'Modelo Tarifário'!$C$57*'Modelo Tarifário'!$E$45)*('Premissas Economias e Água'!R341))&gt;('Premissas Economias e Água'!R201*12*'Modelo Tarifário'!$D$29*'Modelo Tarifário'!$C$57*'Modelo Tarifário'!$E$45),(Q8*'Modelo Tarifário'!$C$57*'Modelo Tarifário'!$E$45)*('Premissas Economias e Água'!R341),('Premissas Economias e Água'!R201*12*'Modelo Tarifário'!$D$29*'Modelo Tarifário'!$C$57*'Modelo Tarifário'!$E$45))</f>
        <v>1115962.6745796485</v>
      </c>
      <c r="R68" s="1344">
        <f>IF(((R8*'Modelo Tarifário'!$C$57*'Modelo Tarifário'!$E$45)*('Premissas Economias e Água'!S341))&gt;('Premissas Economias e Água'!S201*12*'Modelo Tarifário'!$D$29*'Modelo Tarifário'!$C$57*'Modelo Tarifário'!$E$45),(R8*'Modelo Tarifário'!$C$57*'Modelo Tarifário'!$E$45)*('Premissas Economias e Água'!S341),('Premissas Economias e Água'!S201*12*'Modelo Tarifário'!$D$29*'Modelo Tarifário'!$C$57*'Modelo Tarifário'!$E$45))</f>
        <v>1116995.8223074181</v>
      </c>
      <c r="S68" s="1344">
        <f>IF(((S8*'Modelo Tarifário'!$C$57*'Modelo Tarifário'!$E$45)*('Premissas Economias e Água'!T341))&gt;('Premissas Economias e Água'!T201*12*'Modelo Tarifário'!$D$29*'Modelo Tarifário'!$C$57*'Modelo Tarifário'!$E$45),(S8*'Modelo Tarifário'!$C$57*'Modelo Tarifário'!$E$45)*('Premissas Economias e Água'!T341),('Premissas Economias e Água'!T201*12*'Modelo Tarifário'!$D$29*'Modelo Tarifário'!$C$57*'Modelo Tarifário'!$E$45))</f>
        <v>1118028.9700351877</v>
      </c>
      <c r="T68" s="1344">
        <f>IF(((T8*'Modelo Tarifário'!$C$57*'Modelo Tarifário'!$E$45)*('Premissas Economias e Água'!U341))&gt;('Premissas Economias e Água'!U201*12*'Modelo Tarifário'!$D$29*'Modelo Tarifário'!$C$57*'Modelo Tarifário'!$E$45),(T8*'Modelo Tarifário'!$C$57*'Modelo Tarifário'!$E$45)*('Premissas Economias e Água'!U341),('Premissas Economias e Água'!U201*12*'Modelo Tarifário'!$D$29*'Modelo Tarifário'!$C$57*'Modelo Tarifário'!$E$45))</f>
        <v>1119170.870155354</v>
      </c>
      <c r="U68" s="1344">
        <f>IF(((U8*'Modelo Tarifário'!$C$57*'Modelo Tarifário'!$E$45)*('Premissas Economias e Água'!V341))&gt;('Premissas Economias e Água'!V201*12*'Modelo Tarifário'!$D$29*'Modelo Tarifário'!$C$57*'Modelo Tarifário'!$E$45),(U8*'Modelo Tarifário'!$C$57*'Modelo Tarifário'!$E$45)*('Premissas Economias e Água'!V341),('Premissas Economias e Água'!V201*12*'Modelo Tarifário'!$D$29*'Modelo Tarifário'!$C$57*'Modelo Tarifário'!$E$45))</f>
        <v>1118518.355800973</v>
      </c>
      <c r="V68" s="1344">
        <f>IF(((V8*'Modelo Tarifário'!$C$57*'Modelo Tarifário'!$E$45)*('Premissas Economias e Água'!W341))&gt;('Premissas Economias e Água'!W201*12*'Modelo Tarifário'!$D$29*'Modelo Tarifário'!$C$57*'Modelo Tarifário'!$E$45),(V8*'Modelo Tarifário'!$C$57*'Modelo Tarifário'!$E$45)*('Premissas Economias e Água'!W341),('Premissas Economias e Água'!W201*12*'Modelo Tarifário'!$D$29*'Modelo Tarifário'!$C$57*'Modelo Tarifário'!$E$45))</f>
        <v>1117865.8414465925</v>
      </c>
      <c r="W68" s="1344">
        <f>IF(((W8*'Modelo Tarifário'!$C$57*'Modelo Tarifário'!$E$45)*('Premissas Economias e Água'!X341))&gt;('Premissas Economias e Água'!X201*12*'Modelo Tarifário'!$D$29*'Modelo Tarifário'!$C$57*'Modelo Tarifário'!$E$45),(W8*'Modelo Tarifário'!$C$57*'Modelo Tarifário'!$E$45)*('Premissas Economias e Água'!X341),('Premissas Economias e Água'!X201*12*'Modelo Tarifário'!$D$29*'Modelo Tarifário'!$C$57*'Modelo Tarifário'!$E$45))</f>
        <v>1117213.3270922117</v>
      </c>
      <c r="X68" s="1344">
        <f>IF(((X8*'Modelo Tarifário'!$C$57*'Modelo Tarifário'!$E$45)*('Premissas Economias e Água'!Y341))&gt;('Premissas Economias e Água'!Y201*12*'Modelo Tarifário'!$D$29*'Modelo Tarifário'!$C$57*'Modelo Tarifário'!$E$45),(X8*'Modelo Tarifário'!$C$57*'Modelo Tarifário'!$E$45)*('Premissas Economias e Água'!Y341),('Premissas Economias e Água'!Y201*12*'Modelo Tarifário'!$D$29*'Modelo Tarifário'!$C$57*'Modelo Tarifário'!$E$45))</f>
        <v>1116560.8127378311</v>
      </c>
      <c r="Y68" s="1344">
        <f>IF(((Y8*'Modelo Tarifário'!$C$57*'Modelo Tarifário'!$E$45)*('Premissas Economias e Água'!Z341))&gt;('Premissas Economias e Água'!Z201*12*'Modelo Tarifário'!$D$29*'Modelo Tarifário'!$C$57*'Modelo Tarifário'!$E$45),(Y8*'Modelo Tarifário'!$C$57*'Modelo Tarifário'!$E$45)*('Premissas Economias e Água'!Z341),('Premissas Economias e Água'!Z201*12*'Modelo Tarifário'!$D$29*'Modelo Tarifário'!$C$57*'Modelo Tarifário'!$E$45))</f>
        <v>1115908.2983834504</v>
      </c>
      <c r="Z68" s="1344">
        <f>IF(((Z8*'Modelo Tarifário'!$C$57*'Modelo Tarifário'!$E$45)*('Premissas Economias e Água'!AA341))&gt;('Premissas Economias e Água'!AA201*12*'Modelo Tarifário'!$D$29*'Modelo Tarifário'!$C$57*'Modelo Tarifário'!$E$45),(Z8*'Modelo Tarifário'!$C$57*'Modelo Tarifário'!$E$45)*('Premissas Economias e Água'!AA341),('Premissas Economias e Água'!AA201*12*'Modelo Tarifário'!$D$29*'Modelo Tarifário'!$C$57*'Modelo Tarifário'!$E$45))</f>
        <v>1115255.7840290696</v>
      </c>
      <c r="AA68" s="1344">
        <f>IF(((AA8*'Modelo Tarifário'!$C$57*'Modelo Tarifário'!$E$45)*('Premissas Economias e Água'!AB341))&gt;('Premissas Economias e Água'!AB201*12*'Modelo Tarifário'!$D$29*'Modelo Tarifário'!$C$57*'Modelo Tarifário'!$E$45),(AA8*'Modelo Tarifário'!$C$57*'Modelo Tarifário'!$E$45)*('Premissas Economias e Água'!AB341),('Premissas Economias e Água'!AB201*12*'Modelo Tarifário'!$D$29*'Modelo Tarifário'!$C$57*'Modelo Tarifário'!$E$45))</f>
        <v>1114603.2696746888</v>
      </c>
      <c r="AB68" s="1344">
        <f>IF(((AB8*'Modelo Tarifário'!$C$57*'Modelo Tarifário'!$E$45)*('Premissas Economias e Água'!AC341))&gt;('Premissas Economias e Água'!AC201*12*'Modelo Tarifário'!$D$29*'Modelo Tarifário'!$C$57*'Modelo Tarifário'!$E$45),(AB8*'Modelo Tarifário'!$C$57*'Modelo Tarifário'!$E$45)*('Premissas Economias e Água'!AC341),('Premissas Economias e Água'!AC201*12*'Modelo Tarifário'!$D$29*'Modelo Tarifário'!$C$57*'Modelo Tarifário'!$E$45))</f>
        <v>1113950.755320308</v>
      </c>
      <c r="AC68" s="1344">
        <f>IF(((AC8*'Modelo Tarifário'!$C$57*'Modelo Tarifário'!$E$45)*('Premissas Economias e Água'!AD341))&gt;('Premissas Economias e Água'!AD201*12*'Modelo Tarifário'!$D$29*'Modelo Tarifário'!$C$57*'Modelo Tarifário'!$E$45),(AC8*'Modelo Tarifário'!$C$57*'Modelo Tarifário'!$E$45)*('Premissas Economias e Água'!AD341),('Premissas Economias e Água'!AD201*12*'Modelo Tarifário'!$D$29*'Modelo Tarifário'!$C$57*'Modelo Tarifário'!$E$45))</f>
        <v>1113298.2409659275</v>
      </c>
      <c r="AD68" s="1344">
        <f>IF(((AD8*'Modelo Tarifário'!$C$57*'Modelo Tarifário'!$E$45)*('Premissas Economias e Água'!AE341))&gt;('Premissas Economias e Água'!AE201*12*'Modelo Tarifário'!$D$29*'Modelo Tarifário'!$C$57*'Modelo Tarifário'!$E$45),(AD8*'Modelo Tarifário'!$C$57*'Modelo Tarifário'!$E$45)*('Premissas Economias e Água'!AE341),('Premissas Economias e Água'!AE201*12*'Modelo Tarifário'!$D$29*'Modelo Tarifário'!$C$57*'Modelo Tarifário'!$E$45))</f>
        <v>1112645.7266115465</v>
      </c>
      <c r="AE68" s="1344">
        <f>IF(((AE8*'Modelo Tarifário'!$C$57*'Modelo Tarifário'!$E$45)*('Premissas Economias e Água'!AF341))&gt;('Premissas Economias e Água'!AF201*12*'Modelo Tarifário'!$D$29*'Modelo Tarifário'!$C$57*'Modelo Tarifário'!$E$45),(AE8*'Modelo Tarifário'!$C$57*'Modelo Tarifário'!$E$45)*('Premissas Economias e Água'!AF341),('Premissas Economias e Água'!AF201*12*'Modelo Tarifário'!$D$29*'Modelo Tarifário'!$C$57*'Modelo Tarifário'!$E$45))</f>
        <v>1111993.2122571657</v>
      </c>
      <c r="AF68" s="1344">
        <f>IF(((AF8*'Modelo Tarifário'!$C$57*'Modelo Tarifário'!$E$45)*('Premissas Economias e Água'!AG341))&gt;('Premissas Economias e Água'!AG201*12*'Modelo Tarifário'!$D$29*'Modelo Tarifário'!$C$57*'Modelo Tarifário'!$E$45),(AF8*'Modelo Tarifário'!$C$57*'Modelo Tarifário'!$E$45)*('Premissas Economias e Água'!AG341),('Premissas Economias e Água'!AG201*12*'Modelo Tarifário'!$D$29*'Modelo Tarifário'!$C$57*'Modelo Tarifário'!$E$45))</f>
        <v>1111340.6979027851</v>
      </c>
      <c r="AG68" s="1344">
        <f>IF(((AG8*'Modelo Tarifário'!$C$57*'Modelo Tarifário'!$E$45)*('Premissas Economias e Água'!AH341))&gt;('Premissas Economias e Água'!AH201*12*'Modelo Tarifário'!$D$29*'Modelo Tarifário'!$C$57*'Modelo Tarifário'!$E$45),(AG8*'Modelo Tarifário'!$C$57*'Modelo Tarifário'!$E$45)*('Premissas Economias e Água'!AH341),('Premissas Economias e Água'!AH201*12*'Modelo Tarifário'!$D$29*'Modelo Tarifário'!$C$57*'Modelo Tarifário'!$E$45))</f>
        <v>1110688.1835484044</v>
      </c>
      <c r="AH68" s="1344">
        <f>IF(((AH8*'Modelo Tarifário'!$C$57*'Modelo Tarifário'!$E$45)*('Premissas Economias e Água'!AI341))&gt;('Premissas Economias e Água'!AI201*12*'Modelo Tarifário'!$D$29*'Modelo Tarifário'!$C$57*'Modelo Tarifário'!$E$45),(AH8*'Modelo Tarifário'!$C$57*'Modelo Tarifário'!$E$45)*('Premissas Economias e Água'!AI341),('Premissas Economias e Água'!AI201*12*'Modelo Tarifário'!$D$29*'Modelo Tarifário'!$C$57*'Modelo Tarifário'!$E$45))</f>
        <v>1110035.6691940236</v>
      </c>
    </row>
    <row r="69" spans="2:34" s="79" customFormat="1" ht="12" collapsed="1" x14ac:dyDescent="0.3">
      <c r="B69" s="225"/>
      <c r="C69" s="173" t="s">
        <v>6</v>
      </c>
      <c r="D69" s="173"/>
      <c r="E69" s="497">
        <f>SUM(E70:E80)</f>
        <v>35685621.442809612</v>
      </c>
      <c r="F69" s="497">
        <f t="shared" ref="F69:AH69" si="33">SUM(F70:F80)</f>
        <v>35877437.348396331</v>
      </c>
      <c r="G69" s="497">
        <f t="shared" si="33"/>
        <v>36069253.253983036</v>
      </c>
      <c r="H69" s="497">
        <f t="shared" si="33"/>
        <v>36261069.159569755</v>
      </c>
      <c r="I69" s="497">
        <f t="shared" si="33"/>
        <v>36452885.06515646</v>
      </c>
      <c r="J69" s="497">
        <f t="shared" si="33"/>
        <v>36644494.049593687</v>
      </c>
      <c r="K69" s="497">
        <f t="shared" si="33"/>
        <v>36836723.797479406</v>
      </c>
      <c r="L69" s="497">
        <f t="shared" si="33"/>
        <v>37028953.545365103</v>
      </c>
      <c r="M69" s="497">
        <f t="shared" si="33"/>
        <v>37221183.293250822</v>
      </c>
      <c r="N69" s="497">
        <f t="shared" si="33"/>
        <v>37413413.041136526</v>
      </c>
      <c r="O69" s="497">
        <f t="shared" si="33"/>
        <v>37605228.946723245</v>
      </c>
      <c r="P69" s="497">
        <f t="shared" si="33"/>
        <v>37734554.665160894</v>
      </c>
      <c r="Q69" s="497">
        <f t="shared" si="33"/>
        <v>37863880.383598536</v>
      </c>
      <c r="R69" s="497">
        <f t="shared" si="33"/>
        <v>37993206.102036178</v>
      </c>
      <c r="S69" s="497">
        <f t="shared" si="33"/>
        <v>38122531.820473813</v>
      </c>
      <c r="T69" s="497">
        <f t="shared" si="33"/>
        <v>38251650.61776197</v>
      </c>
      <c r="U69" s="497">
        <f t="shared" si="33"/>
        <v>38329659.891123541</v>
      </c>
      <c r="V69" s="497">
        <f t="shared" si="33"/>
        <v>38407669.164485142</v>
      </c>
      <c r="W69" s="497">
        <f t="shared" si="33"/>
        <v>38485678.43784672</v>
      </c>
      <c r="X69" s="497">
        <f t="shared" si="33"/>
        <v>38563687.711208306</v>
      </c>
      <c r="Y69" s="497">
        <f t="shared" si="33"/>
        <v>38641490.0634204</v>
      </c>
      <c r="Z69" s="497">
        <f t="shared" si="33"/>
        <v>38719499.336781979</v>
      </c>
      <c r="AA69" s="497">
        <f t="shared" si="33"/>
        <v>38797508.61014358</v>
      </c>
      <c r="AB69" s="497">
        <f t="shared" si="33"/>
        <v>38875517.883505158</v>
      </c>
      <c r="AC69" s="497">
        <f t="shared" si="33"/>
        <v>38953527.156866752</v>
      </c>
      <c r="AD69" s="497">
        <f t="shared" si="33"/>
        <v>39031536.43022833</v>
      </c>
      <c r="AE69" s="497">
        <f t="shared" si="33"/>
        <v>39109545.703589916</v>
      </c>
      <c r="AF69" s="497">
        <f t="shared" si="33"/>
        <v>39187554.976951495</v>
      </c>
      <c r="AG69" s="497">
        <f t="shared" si="33"/>
        <v>39265564.250313088</v>
      </c>
      <c r="AH69" s="497">
        <f t="shared" si="33"/>
        <v>39343573.523674667</v>
      </c>
    </row>
    <row r="70" spans="2:34" s="79" customFormat="1" ht="12" hidden="1" outlineLevel="1" x14ac:dyDescent="0.3">
      <c r="B70" s="1336"/>
      <c r="C70" s="1337" t="s">
        <v>10</v>
      </c>
      <c r="D70" s="1337"/>
      <c r="E70" s="1338">
        <f>IF(((E8*'Modelo Tarifário'!$C$58*'Modelo Tarifário'!$E$35)*('Premissas Economias e Água'!F346))&gt;('Premissas Economias e Água'!F206*12*'Modelo Tarifário'!$D$29*'Modelo Tarifário'!$C$58*'Modelo Tarifário'!$E$35),(E8*'Modelo Tarifário'!$C$58*'Modelo Tarifário'!$E$35)*('Premissas Economias e Água'!F346),('Premissas Economias e Água'!F206*12*'Modelo Tarifário'!$D$29*'Modelo Tarifário'!$C$58*'Modelo Tarifário'!$E$35))</f>
        <v>2404402.9035981065</v>
      </c>
      <c r="F70" s="1338">
        <f>IF(((F8*'Modelo Tarifário'!$C$58*'Modelo Tarifário'!$E$35)*('Premissas Economias e Água'!G346))&gt;('Premissas Economias e Água'!G206*12*'Modelo Tarifário'!$D$29*'Modelo Tarifário'!$C$58*'Modelo Tarifário'!$E$35),(F8*'Modelo Tarifário'!$C$58*'Modelo Tarifário'!$E$35)*('Premissas Economias e Água'!G346),('Premissas Economias e Água'!G206*12*'Modelo Tarifário'!$D$29*'Modelo Tarifário'!$C$58*'Modelo Tarifário'!$E$35))</f>
        <v>2417326.9526044587</v>
      </c>
      <c r="G70" s="1338">
        <f>IF(((G8*'Modelo Tarifário'!$C$58*'Modelo Tarifário'!$E$35)*('Premissas Economias e Água'!H346))&gt;('Premissas Economias e Água'!H206*12*'Modelo Tarifário'!$D$29*'Modelo Tarifário'!$C$58*'Modelo Tarifário'!$E$35),(G8*'Modelo Tarifário'!$C$58*'Modelo Tarifário'!$E$35)*('Premissas Economias e Água'!H346),('Premissas Economias e Água'!H206*12*'Modelo Tarifário'!$D$29*'Modelo Tarifário'!$C$58*'Modelo Tarifário'!$E$35))</f>
        <v>2430251.0016108104</v>
      </c>
      <c r="H70" s="1338">
        <f>IF(((H8*'Modelo Tarifário'!$C$58*'Modelo Tarifário'!$E$35)*('Premissas Economias e Água'!I346))&gt;('Premissas Economias e Água'!I206*12*'Modelo Tarifário'!$D$29*'Modelo Tarifário'!$C$58*'Modelo Tarifário'!$E$35),(H8*'Modelo Tarifário'!$C$58*'Modelo Tarifário'!$E$35)*('Premissas Economias e Água'!I346),('Premissas Economias e Água'!I206*12*'Modelo Tarifário'!$D$29*'Modelo Tarifário'!$C$58*'Modelo Tarifário'!$E$35))</f>
        <v>2443175.0506171626</v>
      </c>
      <c r="I70" s="1338">
        <f>IF(((I8*'Modelo Tarifário'!$C$58*'Modelo Tarifário'!$E$35)*('Premissas Economias e Água'!J346))&gt;('Premissas Economias e Água'!J206*12*'Modelo Tarifário'!$D$29*'Modelo Tarifário'!$C$58*'Modelo Tarifário'!$E$35),(I8*'Modelo Tarifário'!$C$58*'Modelo Tarifário'!$E$35)*('Premissas Economias e Água'!J346),('Premissas Economias e Água'!J206*12*'Modelo Tarifário'!$D$29*'Modelo Tarifário'!$C$58*'Modelo Tarifário'!$E$35))</f>
        <v>2456099.0996235143</v>
      </c>
      <c r="J70" s="1338">
        <f>IF(((J8*'Modelo Tarifário'!$C$58*'Modelo Tarifário'!$E$35)*('Premissas Economias e Água'!K346))&gt;('Premissas Economias e Água'!K206*12*'Modelo Tarifário'!$D$29*'Modelo Tarifário'!$C$58*'Modelo Tarifário'!$E$35),(J8*'Modelo Tarifário'!$C$58*'Modelo Tarifário'!$E$35)*('Premissas Economias e Água'!K346),('Premissas Economias e Água'!K206*12*'Modelo Tarifário'!$D$29*'Modelo Tarifário'!$C$58*'Modelo Tarifário'!$E$35))</f>
        <v>2469009.2068294277</v>
      </c>
      <c r="K70" s="1338">
        <f>IF(((K8*'Modelo Tarifário'!$C$58*'Modelo Tarifário'!$E$35)*('Premissas Economias e Água'!L346))&gt;('Premissas Economias e Água'!L206*12*'Modelo Tarifário'!$D$29*'Modelo Tarifário'!$C$58*'Modelo Tarifário'!$E$35),(K8*'Modelo Tarifário'!$C$58*'Modelo Tarifário'!$E$35)*('Premissas Economias e Água'!L346),('Premissas Economias e Água'!L206*12*'Modelo Tarifário'!$D$29*'Modelo Tarifário'!$C$58*'Modelo Tarifário'!$E$35))</f>
        <v>2481961.1394366566</v>
      </c>
      <c r="L70" s="1338">
        <f>IF(((L8*'Modelo Tarifário'!$C$58*'Modelo Tarifário'!$E$35)*('Premissas Economias e Água'!M346))&gt;('Premissas Economias e Água'!M206*12*'Modelo Tarifário'!$D$29*'Modelo Tarifário'!$C$58*'Modelo Tarifário'!$E$35),(L8*'Modelo Tarifário'!$C$58*'Modelo Tarifário'!$E$35)*('Premissas Economias e Água'!M346),('Premissas Economias e Água'!M206*12*'Modelo Tarifário'!$D$29*'Modelo Tarifário'!$C$58*'Modelo Tarifário'!$E$35))</f>
        <v>2494913.072043885</v>
      </c>
      <c r="M70" s="1338">
        <f>IF(((M8*'Modelo Tarifário'!$C$58*'Modelo Tarifário'!$E$35)*('Premissas Economias e Água'!N346))&gt;('Premissas Economias e Água'!N206*12*'Modelo Tarifário'!$D$29*'Modelo Tarifário'!$C$58*'Modelo Tarifário'!$E$35),(M8*'Modelo Tarifário'!$C$58*'Modelo Tarifário'!$E$35)*('Premissas Economias e Água'!N346),('Premissas Economias e Água'!N206*12*'Modelo Tarifário'!$D$29*'Modelo Tarifário'!$C$58*'Modelo Tarifário'!$E$35))</f>
        <v>2507865.0046511134</v>
      </c>
      <c r="N70" s="1338">
        <f>IF(((N8*'Modelo Tarifário'!$C$58*'Modelo Tarifário'!$E$35)*('Premissas Economias e Água'!O346))&gt;('Premissas Economias e Água'!O206*12*'Modelo Tarifário'!$D$29*'Modelo Tarifário'!$C$58*'Modelo Tarifário'!$E$35),(N8*'Modelo Tarifário'!$C$58*'Modelo Tarifário'!$E$35)*('Premissas Economias e Água'!O346),('Premissas Economias e Água'!O206*12*'Modelo Tarifário'!$D$29*'Modelo Tarifário'!$C$58*'Modelo Tarifário'!$E$35))</f>
        <v>2520816.9372583418</v>
      </c>
      <c r="O70" s="1338">
        <f>IF(((O8*'Modelo Tarifário'!$C$58*'Modelo Tarifário'!$E$35)*('Premissas Economias e Água'!P346))&gt;('Premissas Economias e Água'!P206*12*'Modelo Tarifário'!$D$29*'Modelo Tarifário'!$C$58*'Modelo Tarifário'!$E$35),(O8*'Modelo Tarifário'!$C$58*'Modelo Tarifário'!$E$35)*('Premissas Economias e Água'!P346),('Premissas Economias e Água'!P206*12*'Modelo Tarifário'!$D$29*'Modelo Tarifário'!$C$58*'Modelo Tarifário'!$E$35))</f>
        <v>2533740.986264694</v>
      </c>
      <c r="P70" s="1338">
        <f>IF(((P8*'Modelo Tarifário'!$C$58*'Modelo Tarifário'!$E$35)*('Premissas Economias e Água'!Q346))&gt;('Premissas Economias e Água'!Q206*12*'Modelo Tarifário'!$D$29*'Modelo Tarifário'!$C$58*'Modelo Tarifário'!$E$35),(P8*'Modelo Tarifário'!$C$58*'Modelo Tarifário'!$E$35)*('Premissas Economias e Água'!Q346),('Premissas Economias e Água'!Q206*12*'Modelo Tarifário'!$D$29*'Modelo Tarifário'!$C$58*'Modelo Tarifário'!$E$35))</f>
        <v>2542454.6115386635</v>
      </c>
      <c r="Q70" s="1338">
        <f>IF(((Q8*'Modelo Tarifário'!$C$58*'Modelo Tarifário'!$E$35)*('Premissas Economias e Água'!R346))&gt;('Premissas Economias e Água'!R206*12*'Modelo Tarifário'!$D$29*'Modelo Tarifário'!$C$58*'Modelo Tarifário'!$E$35),(Q8*'Modelo Tarifário'!$C$58*'Modelo Tarifário'!$E$35)*('Premissas Economias e Água'!R346),('Premissas Economias e Água'!R206*12*'Modelo Tarifário'!$D$29*'Modelo Tarifário'!$C$58*'Modelo Tarifário'!$E$35))</f>
        <v>2551168.2368126335</v>
      </c>
      <c r="R70" s="1338">
        <f>IF(((R8*'Modelo Tarifário'!$C$58*'Modelo Tarifário'!$E$35)*('Premissas Economias e Água'!S346))&gt;('Premissas Economias e Água'!S206*12*'Modelo Tarifário'!$D$29*'Modelo Tarifário'!$C$58*'Modelo Tarifário'!$E$35),(R8*'Modelo Tarifário'!$C$58*'Modelo Tarifário'!$E$35)*('Premissas Economias e Água'!S346),('Premissas Economias e Água'!S206*12*'Modelo Tarifário'!$D$29*'Modelo Tarifário'!$C$58*'Modelo Tarifário'!$E$35))</f>
        <v>2559881.862086603</v>
      </c>
      <c r="S70" s="1338">
        <f>IF(((S8*'Modelo Tarifário'!$C$58*'Modelo Tarifário'!$E$35)*('Premissas Economias e Água'!T346))&gt;('Premissas Economias e Água'!T206*12*'Modelo Tarifário'!$D$29*'Modelo Tarifário'!$C$58*'Modelo Tarifário'!$E$35),(S8*'Modelo Tarifário'!$C$58*'Modelo Tarifário'!$E$35)*('Premissas Economias e Água'!T346),('Premissas Economias e Água'!T206*12*'Modelo Tarifário'!$D$29*'Modelo Tarifário'!$C$58*'Modelo Tarifário'!$E$35))</f>
        <v>2568595.4873605724</v>
      </c>
      <c r="T70" s="1338">
        <f>IF(((T8*'Modelo Tarifário'!$C$58*'Modelo Tarifário'!$E$35)*('Premissas Economias e Água'!U346))&gt;('Premissas Economias e Água'!U206*12*'Modelo Tarifário'!$D$29*'Modelo Tarifário'!$C$58*'Modelo Tarifário'!$E$35),(T8*'Modelo Tarifário'!$C$58*'Modelo Tarifário'!$E$35)*('Premissas Economias e Água'!U346),('Premissas Economias e Água'!U206*12*'Modelo Tarifário'!$D$29*'Modelo Tarifário'!$C$58*'Modelo Tarifário'!$E$35))</f>
        <v>2577295.1708341041</v>
      </c>
      <c r="U70" s="1338">
        <f>IF(((U8*'Modelo Tarifário'!$C$58*'Modelo Tarifário'!$E$35)*('Premissas Economias e Água'!V346))&gt;('Premissas Economias e Água'!V206*12*'Modelo Tarifário'!$D$29*'Modelo Tarifário'!$C$58*'Modelo Tarifário'!$E$35),(U8*'Modelo Tarifário'!$C$58*'Modelo Tarifário'!$E$35)*('Premissas Economias e Água'!V346),('Premissas Economias e Água'!V206*12*'Modelo Tarifário'!$D$29*'Modelo Tarifário'!$C$58*'Modelo Tarifário'!$E$35))</f>
        <v>2582551.2295993627</v>
      </c>
      <c r="V70" s="1338">
        <f>IF(((V8*'Modelo Tarifário'!$C$58*'Modelo Tarifário'!$E$35)*('Premissas Economias e Água'!W346))&gt;('Premissas Economias e Água'!W206*12*'Modelo Tarifário'!$D$29*'Modelo Tarifário'!$C$58*'Modelo Tarifário'!$E$35),(V8*'Modelo Tarifário'!$C$58*'Modelo Tarifário'!$E$35)*('Premissas Economias e Água'!W346),('Premissas Economias e Água'!W206*12*'Modelo Tarifário'!$D$29*'Modelo Tarifário'!$C$58*'Modelo Tarifário'!$E$35))</f>
        <v>2587807.2883646213</v>
      </c>
      <c r="W70" s="1338">
        <f>IF(((W8*'Modelo Tarifário'!$C$58*'Modelo Tarifário'!$E$35)*('Premissas Economias e Água'!X346))&gt;('Premissas Economias e Água'!X206*12*'Modelo Tarifário'!$D$29*'Modelo Tarifário'!$C$58*'Modelo Tarifário'!$E$35),(W8*'Modelo Tarifário'!$C$58*'Modelo Tarifário'!$E$35)*('Premissas Economias e Água'!X346),('Premissas Economias e Água'!X206*12*'Modelo Tarifário'!$D$29*'Modelo Tarifário'!$C$58*'Modelo Tarifário'!$E$35))</f>
        <v>2593063.34712988</v>
      </c>
      <c r="X70" s="1338">
        <f>IF(((X8*'Modelo Tarifário'!$C$58*'Modelo Tarifário'!$E$35)*('Premissas Economias e Água'!Y346))&gt;('Premissas Economias e Água'!Y206*12*'Modelo Tarifário'!$D$29*'Modelo Tarifário'!$C$58*'Modelo Tarifário'!$E$35),(X8*'Modelo Tarifário'!$C$58*'Modelo Tarifário'!$E$35)*('Premissas Economias e Água'!Y346),('Premissas Economias e Água'!Y206*12*'Modelo Tarifário'!$D$29*'Modelo Tarifário'!$C$58*'Modelo Tarifário'!$E$35))</f>
        <v>2598319.4058951382</v>
      </c>
      <c r="Y70" s="1338">
        <f>IF(((Y8*'Modelo Tarifário'!$C$58*'Modelo Tarifário'!$E$35)*('Premissas Economias e Água'!Z346))&gt;('Premissas Economias e Água'!Z206*12*'Modelo Tarifário'!$D$29*'Modelo Tarifário'!$C$58*'Modelo Tarifário'!$E$35),(Y8*'Modelo Tarifário'!$C$58*'Modelo Tarifário'!$E$35)*('Premissas Economias e Água'!Z346),('Premissas Economias e Água'!Z206*12*'Modelo Tarifário'!$D$29*'Modelo Tarifário'!$C$58*'Modelo Tarifário'!$E$35))</f>
        <v>2603561.5228599585</v>
      </c>
      <c r="Z70" s="1338">
        <f>IF(((Z8*'Modelo Tarifário'!$C$58*'Modelo Tarifário'!$E$35)*('Premissas Economias e Água'!AA346))&gt;('Premissas Economias e Água'!AA206*12*'Modelo Tarifário'!$D$29*'Modelo Tarifário'!$C$58*'Modelo Tarifário'!$E$35),(Z8*'Modelo Tarifário'!$C$58*'Modelo Tarifário'!$E$35)*('Premissas Economias e Água'!AA346),('Premissas Economias e Água'!AA206*12*'Modelo Tarifário'!$D$29*'Modelo Tarifário'!$C$58*'Modelo Tarifário'!$E$35))</f>
        <v>2608817.5816252166</v>
      </c>
      <c r="AA70" s="1338">
        <f>IF(((AA8*'Modelo Tarifário'!$C$58*'Modelo Tarifário'!$E$35)*('Premissas Economias e Água'!AB346))&gt;('Premissas Economias e Água'!AB206*12*'Modelo Tarifário'!$D$29*'Modelo Tarifário'!$C$58*'Modelo Tarifário'!$E$35),(AA8*'Modelo Tarifário'!$C$58*'Modelo Tarifário'!$E$35)*('Premissas Economias e Água'!AB346),('Premissas Economias e Água'!AB206*12*'Modelo Tarifário'!$D$29*'Modelo Tarifário'!$C$58*'Modelo Tarifário'!$E$35))</f>
        <v>2614073.6403904757</v>
      </c>
      <c r="AB70" s="1338">
        <f>IF(((AB8*'Modelo Tarifário'!$C$58*'Modelo Tarifário'!$E$35)*('Premissas Economias e Água'!AC346))&gt;('Premissas Economias e Água'!AC206*12*'Modelo Tarifário'!$D$29*'Modelo Tarifário'!$C$58*'Modelo Tarifário'!$E$35),(AB8*'Modelo Tarifário'!$C$58*'Modelo Tarifário'!$E$35)*('Premissas Economias e Água'!AC346),('Premissas Economias e Água'!AC206*12*'Modelo Tarifário'!$D$29*'Modelo Tarifário'!$C$58*'Modelo Tarifário'!$E$35))</f>
        <v>2619329.6991557339</v>
      </c>
      <c r="AC70" s="1338">
        <f>IF(((AC8*'Modelo Tarifário'!$C$58*'Modelo Tarifário'!$E$35)*('Premissas Economias e Água'!AD346))&gt;('Premissas Economias e Água'!AD206*12*'Modelo Tarifário'!$D$29*'Modelo Tarifário'!$C$58*'Modelo Tarifário'!$E$35),(AC8*'Modelo Tarifário'!$C$58*'Modelo Tarifário'!$E$35)*('Premissas Economias e Água'!AD346),('Premissas Economias e Água'!AD206*12*'Modelo Tarifário'!$D$29*'Modelo Tarifário'!$C$58*'Modelo Tarifário'!$E$35))</f>
        <v>2624585.7579209926</v>
      </c>
      <c r="AD70" s="1338">
        <f>IF(((AD8*'Modelo Tarifário'!$C$58*'Modelo Tarifário'!$E$35)*('Premissas Economias e Água'!AE346))&gt;('Premissas Economias e Água'!AE206*12*'Modelo Tarifário'!$D$29*'Modelo Tarifário'!$C$58*'Modelo Tarifário'!$E$35),(AD8*'Modelo Tarifário'!$C$58*'Modelo Tarifário'!$E$35)*('Premissas Economias e Água'!AE346),('Premissas Economias e Água'!AE206*12*'Modelo Tarifário'!$D$29*'Modelo Tarifário'!$C$58*'Modelo Tarifário'!$E$35))</f>
        <v>2629841.8166862517</v>
      </c>
      <c r="AE70" s="1338">
        <f>IF(((AE8*'Modelo Tarifário'!$C$58*'Modelo Tarifário'!$E$35)*('Premissas Economias e Água'!AF346))&gt;('Premissas Economias e Água'!AF206*12*'Modelo Tarifário'!$D$29*'Modelo Tarifário'!$C$58*'Modelo Tarifário'!$E$35),(AE8*'Modelo Tarifário'!$C$58*'Modelo Tarifário'!$E$35)*('Premissas Economias e Água'!AF346),('Premissas Economias e Água'!AF206*12*'Modelo Tarifário'!$D$29*'Modelo Tarifário'!$C$58*'Modelo Tarifário'!$E$35))</f>
        <v>2635097.8754515098</v>
      </c>
      <c r="AF70" s="1338">
        <f>IF(((AF8*'Modelo Tarifário'!$C$58*'Modelo Tarifário'!$E$35)*('Premissas Economias e Água'!AG346))&gt;('Premissas Economias e Água'!AG206*12*'Modelo Tarifário'!$D$29*'Modelo Tarifário'!$C$58*'Modelo Tarifário'!$E$35),(AF8*'Modelo Tarifário'!$C$58*'Modelo Tarifário'!$E$35)*('Premissas Economias e Água'!AG346),('Premissas Economias e Água'!AG206*12*'Modelo Tarifário'!$D$29*'Modelo Tarifário'!$C$58*'Modelo Tarifário'!$E$35))</f>
        <v>2640353.934216768</v>
      </c>
      <c r="AG70" s="1338">
        <f>IF(((AG8*'Modelo Tarifário'!$C$58*'Modelo Tarifário'!$E$35)*('Premissas Economias e Água'!AH346))&gt;('Premissas Economias e Água'!AH206*12*'Modelo Tarifário'!$D$29*'Modelo Tarifário'!$C$58*'Modelo Tarifário'!$E$35),(AG8*'Modelo Tarifário'!$C$58*'Modelo Tarifário'!$E$35)*('Premissas Economias e Água'!AH346),('Premissas Economias e Água'!AH206*12*'Modelo Tarifário'!$D$29*'Modelo Tarifário'!$C$58*'Modelo Tarifário'!$E$35))</f>
        <v>2645609.9929820271</v>
      </c>
      <c r="AH70" s="1338">
        <f>IF(((AH8*'Modelo Tarifário'!$C$58*'Modelo Tarifário'!$E$35)*('Premissas Economias e Água'!AI346))&gt;('Premissas Economias e Água'!AI206*12*'Modelo Tarifário'!$D$29*'Modelo Tarifário'!$C$58*'Modelo Tarifário'!$E$35),(AH8*'Modelo Tarifário'!$C$58*'Modelo Tarifário'!$E$35)*('Premissas Economias e Água'!AI346),('Premissas Economias e Água'!AI206*12*'Modelo Tarifário'!$D$29*'Modelo Tarifário'!$C$58*'Modelo Tarifário'!$E$35))</f>
        <v>2650866.0517472853</v>
      </c>
    </row>
    <row r="71" spans="2:34" s="79" customFormat="1" ht="12" hidden="1" outlineLevel="1" x14ac:dyDescent="0.3">
      <c r="B71" s="1339"/>
      <c r="C71" s="1335" t="s">
        <v>277</v>
      </c>
      <c r="D71" s="1335"/>
      <c r="E71" s="1340">
        <f>IF(('Premissas Economias e Água'!F207*'Modelo Tarifário'!$I$36*12*'Modelo Tarifário'!$B$5*'Modelo Tarifário'!$E$36)&gt;('Premissas Economias e Água'!F207*12*'Modelo Tarifário'!$D$29*'Modelo Tarifário'!$E$36),('Premissas Economias e Água'!F207*'Modelo Tarifário'!$I$36*12*'Modelo Tarifário'!$B$5*'Modelo Tarifário'!$E$36),('Premissas Economias e Água'!F207*12*'Modelo Tarifário'!$D$29*'Modelo Tarifário'!$E$36))</f>
        <v>781408.93532834016</v>
      </c>
      <c r="F71" s="1340">
        <f>IF(('Premissas Economias e Água'!G207*'Modelo Tarifário'!$I$36*12*'Modelo Tarifário'!$B$5*'Modelo Tarifário'!$E$36)&gt;('Premissas Economias e Água'!G207*12*'Modelo Tarifário'!$D$29*'Modelo Tarifário'!$E$36),('Premissas Economias e Água'!G207*'Modelo Tarifário'!$I$36*12*'Modelo Tarifário'!$B$5*'Modelo Tarifário'!$E$36),('Premissas Economias e Água'!G207*12*'Modelo Tarifário'!$D$29*'Modelo Tarifário'!$E$36))</f>
        <v>785609.13295706199</v>
      </c>
      <c r="G71" s="1340">
        <f>IF(('Premissas Economias e Água'!H207*'Modelo Tarifário'!$I$36*12*'Modelo Tarifário'!$B$5*'Modelo Tarifário'!$E$36)&gt;('Premissas Economias e Água'!H207*12*'Modelo Tarifário'!$D$29*'Modelo Tarifário'!$E$36),('Premissas Economias e Água'!H207*'Modelo Tarifário'!$I$36*12*'Modelo Tarifário'!$B$5*'Modelo Tarifário'!$E$36),('Premissas Economias e Água'!H207*12*'Modelo Tarifário'!$D$29*'Modelo Tarifário'!$E$36))</f>
        <v>789809.3305857837</v>
      </c>
      <c r="H71" s="1340">
        <f>IF(('Premissas Economias e Água'!I207*'Modelo Tarifário'!$I$36*12*'Modelo Tarifário'!$B$5*'Modelo Tarifário'!$E$36)&gt;('Premissas Economias e Água'!I207*12*'Modelo Tarifário'!$D$29*'Modelo Tarifário'!$E$36),('Premissas Economias e Água'!I207*'Modelo Tarifário'!$I$36*12*'Modelo Tarifário'!$B$5*'Modelo Tarifário'!$E$36),('Premissas Economias e Água'!I207*12*'Modelo Tarifário'!$D$29*'Modelo Tarifário'!$E$36))</f>
        <v>794009.52821450552</v>
      </c>
      <c r="I71" s="1340">
        <f>IF(('Premissas Economias e Água'!J207*'Modelo Tarifário'!$I$36*12*'Modelo Tarifário'!$B$5*'Modelo Tarifário'!$E$36)&gt;('Premissas Economias e Água'!J207*12*'Modelo Tarifário'!$D$29*'Modelo Tarifário'!$E$36),('Premissas Economias e Água'!J207*'Modelo Tarifário'!$I$36*12*'Modelo Tarifário'!$B$5*'Modelo Tarifário'!$E$36),('Premissas Economias e Água'!J207*12*'Modelo Tarifário'!$D$29*'Modelo Tarifário'!$E$36))</f>
        <v>798209.72584322735</v>
      </c>
      <c r="J71" s="1340">
        <f>IF(('Premissas Economias e Água'!K207*'Modelo Tarifário'!$I$36*12*'Modelo Tarifário'!$B$5*'Modelo Tarifário'!$E$36)&gt;('Premissas Economias e Água'!K207*12*'Modelo Tarifário'!$D$29*'Modelo Tarifário'!$E$36),('Premissas Economias e Água'!K207*'Modelo Tarifário'!$I$36*12*'Modelo Tarifário'!$B$5*'Modelo Tarifário'!$E$36),('Premissas Economias e Água'!K207*12*'Modelo Tarifário'!$D$29*'Modelo Tarifário'!$E$36))</f>
        <v>802405.39251442102</v>
      </c>
      <c r="K71" s="1340">
        <f>IF(('Premissas Economias e Água'!L207*'Modelo Tarifário'!$I$36*12*'Modelo Tarifário'!$B$5*'Modelo Tarifário'!$E$36)&gt;('Premissas Economias e Água'!L207*12*'Modelo Tarifário'!$D$29*'Modelo Tarifário'!$E$36),('Premissas Economias e Água'!L207*'Modelo Tarifário'!$I$36*12*'Modelo Tarifário'!$B$5*'Modelo Tarifário'!$E$36),('Premissas Economias e Água'!L207*12*'Modelo Tarifário'!$D$29*'Modelo Tarifário'!$E$36))</f>
        <v>806614.6520581994</v>
      </c>
      <c r="L71" s="1340">
        <f>IF(('Premissas Economias e Água'!M207*'Modelo Tarifário'!$I$36*12*'Modelo Tarifário'!$B$5*'Modelo Tarifário'!$E$36)&gt;('Premissas Economias e Água'!M207*12*'Modelo Tarifário'!$D$29*'Modelo Tarifário'!$E$36),('Premissas Economias e Água'!M207*'Modelo Tarifário'!$I$36*12*'Modelo Tarifário'!$B$5*'Modelo Tarifário'!$E$36),('Premissas Economias e Água'!M207*12*'Modelo Tarifário'!$D$29*'Modelo Tarifário'!$E$36))</f>
        <v>810823.91160197777</v>
      </c>
      <c r="M71" s="1340">
        <f>IF(('Premissas Economias e Água'!N207*'Modelo Tarifário'!$I$36*12*'Modelo Tarifário'!$B$5*'Modelo Tarifário'!$E$36)&gt;('Premissas Economias e Água'!N207*12*'Modelo Tarifário'!$D$29*'Modelo Tarifário'!$E$36),('Premissas Economias e Água'!N207*'Modelo Tarifário'!$I$36*12*'Modelo Tarifário'!$B$5*'Modelo Tarifário'!$E$36),('Premissas Economias e Água'!N207*12*'Modelo Tarifário'!$D$29*'Modelo Tarifário'!$E$36))</f>
        <v>815033.17114575626</v>
      </c>
      <c r="N71" s="1340">
        <f>IF(('Premissas Economias e Água'!O207*'Modelo Tarifário'!$I$36*12*'Modelo Tarifário'!$B$5*'Modelo Tarifário'!$E$36)&gt;('Premissas Economias e Água'!O207*12*'Modelo Tarifário'!$D$29*'Modelo Tarifário'!$E$36),('Premissas Economias e Água'!O207*'Modelo Tarifário'!$I$36*12*'Modelo Tarifário'!$B$5*'Modelo Tarifário'!$E$36),('Premissas Economias e Água'!O207*12*'Modelo Tarifário'!$D$29*'Modelo Tarifário'!$E$36))</f>
        <v>819242.43068953475</v>
      </c>
      <c r="O71" s="1340">
        <f>IF(('Premissas Economias e Água'!P207*'Modelo Tarifário'!$I$36*12*'Modelo Tarifário'!$B$5*'Modelo Tarifário'!$E$36)&gt;('Premissas Economias e Água'!P207*12*'Modelo Tarifário'!$D$29*'Modelo Tarifário'!$E$36),('Premissas Economias e Água'!P207*'Modelo Tarifário'!$I$36*12*'Modelo Tarifário'!$B$5*'Modelo Tarifário'!$E$36),('Premissas Economias e Água'!P207*12*'Modelo Tarifário'!$D$29*'Modelo Tarifário'!$E$36))</f>
        <v>823442.62831825658</v>
      </c>
      <c r="P71" s="1340">
        <f>IF(('Premissas Economias e Água'!Q207*'Modelo Tarifário'!$I$36*12*'Modelo Tarifário'!$B$5*'Modelo Tarifário'!$E$36)&gt;('Premissas Economias e Água'!Q207*12*'Modelo Tarifário'!$D$29*'Modelo Tarifário'!$E$36),('Premissas Economias e Água'!Q207*'Modelo Tarifário'!$I$36*12*'Modelo Tarifário'!$B$5*'Modelo Tarifário'!$E$36),('Premissas Economias e Água'!Q207*12*'Modelo Tarifário'!$D$29*'Modelo Tarifário'!$E$36))</f>
        <v>826274.47677343595</v>
      </c>
      <c r="Q71" s="1340">
        <f>IF(('Premissas Economias e Água'!R207*'Modelo Tarifário'!$I$36*12*'Modelo Tarifário'!$B$5*'Modelo Tarifário'!$E$36)&gt;('Premissas Economias e Água'!R207*12*'Modelo Tarifário'!$D$29*'Modelo Tarifário'!$E$36),('Premissas Economias e Água'!R207*'Modelo Tarifário'!$I$36*12*'Modelo Tarifário'!$B$5*'Modelo Tarifário'!$E$36),('Premissas Economias e Água'!R207*12*'Modelo Tarifário'!$D$29*'Modelo Tarifário'!$E$36))</f>
        <v>829106.32522861497</v>
      </c>
      <c r="R71" s="1340">
        <f>IF(('Premissas Economias e Água'!S207*'Modelo Tarifário'!$I$36*12*'Modelo Tarifário'!$B$5*'Modelo Tarifário'!$E$36)&gt;('Premissas Economias e Água'!S207*12*'Modelo Tarifário'!$D$29*'Modelo Tarifário'!$E$36),('Premissas Economias e Água'!S207*'Modelo Tarifário'!$I$36*12*'Modelo Tarifário'!$B$5*'Modelo Tarifário'!$E$36),('Premissas Economias e Água'!S207*12*'Modelo Tarifário'!$D$29*'Modelo Tarifário'!$E$36))</f>
        <v>831938.17368379422</v>
      </c>
      <c r="S71" s="1340">
        <f>IF(('Premissas Economias e Água'!T207*'Modelo Tarifário'!$I$36*12*'Modelo Tarifário'!$B$5*'Modelo Tarifário'!$E$36)&gt;('Premissas Economias e Água'!T207*12*'Modelo Tarifário'!$D$29*'Modelo Tarifário'!$E$36),('Premissas Economias e Água'!T207*'Modelo Tarifário'!$I$36*12*'Modelo Tarifário'!$B$5*'Modelo Tarifário'!$E$36),('Premissas Economias e Água'!T207*12*'Modelo Tarifário'!$D$29*'Modelo Tarifário'!$E$36))</f>
        <v>834770.02213897358</v>
      </c>
      <c r="T71" s="1340">
        <f>IF(('Premissas Economias e Água'!U207*'Modelo Tarifário'!$I$36*12*'Modelo Tarifário'!$B$5*'Modelo Tarifário'!$E$36)&gt;('Premissas Economias e Água'!U207*12*'Modelo Tarifário'!$D$29*'Modelo Tarifário'!$E$36),('Premissas Economias e Água'!U207*'Modelo Tarifário'!$I$36*12*'Modelo Tarifário'!$B$5*'Modelo Tarifário'!$E$36),('Premissas Economias e Água'!U207*12*'Modelo Tarifário'!$D$29*'Modelo Tarifário'!$E$36))</f>
        <v>837597.33963662456</v>
      </c>
      <c r="U71" s="1340">
        <f>IF(('Premissas Economias e Água'!V207*'Modelo Tarifário'!$I$36*12*'Modelo Tarifário'!$B$5*'Modelo Tarifário'!$E$36)&gt;('Premissas Economias e Água'!V207*12*'Modelo Tarifário'!$D$29*'Modelo Tarifário'!$E$36),('Premissas Economias e Água'!V207*'Modelo Tarifário'!$I$36*12*'Modelo Tarifário'!$B$5*'Modelo Tarifário'!$E$36),('Premissas Economias e Água'!V207*12*'Modelo Tarifário'!$D$29*'Modelo Tarifário'!$E$36))</f>
        <v>839305.51062478859</v>
      </c>
      <c r="V71" s="1340">
        <f>IF(('Premissas Economias e Água'!W207*'Modelo Tarifário'!$I$36*12*'Modelo Tarifário'!$B$5*'Modelo Tarifário'!$E$36)&gt;('Premissas Economias e Água'!W207*12*'Modelo Tarifário'!$D$29*'Modelo Tarifário'!$E$36),('Premissas Economias e Água'!W207*'Modelo Tarifário'!$I$36*12*'Modelo Tarifário'!$B$5*'Modelo Tarifário'!$E$36),('Premissas Economias e Água'!W207*12*'Modelo Tarifário'!$D$29*'Modelo Tarifário'!$E$36))</f>
        <v>841013.68161295273</v>
      </c>
      <c r="W71" s="1340">
        <f>IF(('Premissas Economias e Água'!X207*'Modelo Tarifário'!$I$36*12*'Modelo Tarifário'!$B$5*'Modelo Tarifário'!$E$36)&gt;('Premissas Economias e Água'!X207*12*'Modelo Tarifário'!$D$29*'Modelo Tarifário'!$E$36),('Premissas Economias e Água'!X207*'Modelo Tarifário'!$I$36*12*'Modelo Tarifário'!$B$5*'Modelo Tarifário'!$E$36),('Premissas Economias e Água'!X207*12*'Modelo Tarifário'!$D$29*'Modelo Tarifário'!$E$36))</f>
        <v>842721.85260111687</v>
      </c>
      <c r="X71" s="1340">
        <f>IF(('Premissas Economias e Água'!Y207*'Modelo Tarifário'!$I$36*12*'Modelo Tarifário'!$B$5*'Modelo Tarifário'!$E$36)&gt;('Premissas Economias e Água'!Y207*12*'Modelo Tarifário'!$D$29*'Modelo Tarifário'!$E$36),('Premissas Economias e Água'!Y207*'Modelo Tarifário'!$I$36*12*'Modelo Tarifário'!$B$5*'Modelo Tarifário'!$E$36),('Premissas Economias e Água'!Y207*12*'Modelo Tarifário'!$D$29*'Modelo Tarifário'!$E$36))</f>
        <v>844430.02358928078</v>
      </c>
      <c r="Y71" s="1340">
        <f>IF(('Premissas Economias e Água'!Z207*'Modelo Tarifário'!$I$36*12*'Modelo Tarifário'!$B$5*'Modelo Tarifário'!$E$36)&gt;('Premissas Economias e Água'!Z207*12*'Modelo Tarifário'!$D$29*'Modelo Tarifário'!$E$36),('Premissas Economias e Água'!Z207*'Modelo Tarifário'!$I$36*12*'Modelo Tarifário'!$B$5*'Modelo Tarifário'!$E$36),('Premissas Economias e Água'!Z207*12*'Modelo Tarifário'!$D$29*'Modelo Tarifário'!$E$36))</f>
        <v>846133.66361991677</v>
      </c>
      <c r="Z71" s="1340">
        <f>IF(('Premissas Economias e Água'!AA207*'Modelo Tarifário'!$I$36*12*'Modelo Tarifário'!$B$5*'Modelo Tarifário'!$E$36)&gt;('Premissas Economias e Água'!AA207*12*'Modelo Tarifário'!$D$29*'Modelo Tarifário'!$E$36),('Premissas Economias e Água'!AA207*'Modelo Tarifário'!$I$36*12*'Modelo Tarifário'!$B$5*'Modelo Tarifário'!$E$36),('Premissas Economias e Água'!AA207*12*'Modelo Tarifário'!$D$29*'Modelo Tarifário'!$E$36))</f>
        <v>847841.8346080808</v>
      </c>
      <c r="AA71" s="1340">
        <f>IF(('Premissas Economias e Água'!AB207*'Modelo Tarifário'!$I$36*12*'Modelo Tarifário'!$B$5*'Modelo Tarifário'!$E$36)&gt;('Premissas Economias e Água'!AB207*12*'Modelo Tarifário'!$D$29*'Modelo Tarifário'!$E$36),('Premissas Economias e Água'!AB207*'Modelo Tarifário'!$I$36*12*'Modelo Tarifário'!$B$5*'Modelo Tarifário'!$E$36),('Premissas Economias e Água'!AB207*12*'Modelo Tarifário'!$D$29*'Modelo Tarifário'!$E$36))</f>
        <v>849550.00559624506</v>
      </c>
      <c r="AB71" s="1340">
        <f>IF(('Premissas Economias e Água'!AC207*'Modelo Tarifário'!$I$36*12*'Modelo Tarifário'!$B$5*'Modelo Tarifário'!$E$36)&gt;('Premissas Economias e Água'!AC207*12*'Modelo Tarifário'!$D$29*'Modelo Tarifário'!$E$36),('Premissas Economias e Água'!AC207*'Modelo Tarifário'!$I$36*12*'Modelo Tarifário'!$B$5*'Modelo Tarifário'!$E$36),('Premissas Economias e Água'!AC207*12*'Modelo Tarifário'!$D$29*'Modelo Tarifário'!$E$36))</f>
        <v>851258.1765844092</v>
      </c>
      <c r="AC71" s="1340">
        <f>IF(('Premissas Economias e Água'!AD207*'Modelo Tarifário'!$I$36*12*'Modelo Tarifário'!$B$5*'Modelo Tarifário'!$E$36)&gt;('Premissas Economias e Água'!AD207*12*'Modelo Tarifário'!$D$29*'Modelo Tarifário'!$E$36),('Premissas Economias e Água'!AD207*'Modelo Tarifário'!$I$36*12*'Modelo Tarifário'!$B$5*'Modelo Tarifário'!$E$36),('Premissas Economias e Água'!AD207*12*'Modelo Tarifário'!$D$29*'Modelo Tarifário'!$E$36))</f>
        <v>852966.34757257334</v>
      </c>
      <c r="AD71" s="1340">
        <f>IF(('Premissas Economias e Água'!AE207*'Modelo Tarifário'!$I$36*12*'Modelo Tarifário'!$B$5*'Modelo Tarifário'!$E$36)&gt;('Premissas Economias e Água'!AE207*12*'Modelo Tarifário'!$D$29*'Modelo Tarifário'!$E$36),('Premissas Economias e Água'!AE207*'Modelo Tarifário'!$I$36*12*'Modelo Tarifário'!$B$5*'Modelo Tarifário'!$E$36),('Premissas Economias e Água'!AE207*12*'Modelo Tarifário'!$D$29*'Modelo Tarifário'!$E$36))</f>
        <v>854674.5185607376</v>
      </c>
      <c r="AE71" s="1340">
        <f>IF(('Premissas Economias e Água'!AF207*'Modelo Tarifário'!$I$36*12*'Modelo Tarifário'!$B$5*'Modelo Tarifário'!$E$36)&gt;('Premissas Economias e Água'!AF207*12*'Modelo Tarifário'!$D$29*'Modelo Tarifário'!$E$36),('Premissas Economias e Água'!AF207*'Modelo Tarifário'!$I$36*12*'Modelo Tarifário'!$B$5*'Modelo Tarifário'!$E$36),('Premissas Economias e Água'!AF207*12*'Modelo Tarifário'!$D$29*'Modelo Tarifário'!$E$36))</f>
        <v>856382.68954890152</v>
      </c>
      <c r="AF71" s="1340">
        <f>IF(('Premissas Economias e Água'!AG207*'Modelo Tarifário'!$I$36*12*'Modelo Tarifário'!$B$5*'Modelo Tarifário'!$E$36)&gt;('Premissas Economias e Água'!AG207*12*'Modelo Tarifário'!$D$29*'Modelo Tarifário'!$E$36),('Premissas Economias e Água'!AG207*'Modelo Tarifário'!$I$36*12*'Modelo Tarifário'!$B$5*'Modelo Tarifário'!$E$36),('Premissas Economias e Água'!AG207*12*'Modelo Tarifário'!$D$29*'Modelo Tarifário'!$E$36))</f>
        <v>858090.86053706566</v>
      </c>
      <c r="AG71" s="1340">
        <f>IF(('Premissas Economias e Água'!AH207*'Modelo Tarifário'!$I$36*12*'Modelo Tarifário'!$B$5*'Modelo Tarifário'!$E$36)&gt;('Premissas Economias e Água'!AH207*12*'Modelo Tarifário'!$D$29*'Modelo Tarifário'!$E$36),('Premissas Economias e Água'!AH207*'Modelo Tarifário'!$I$36*12*'Modelo Tarifário'!$B$5*'Modelo Tarifário'!$E$36),('Premissas Economias e Água'!AH207*12*'Modelo Tarifário'!$D$29*'Modelo Tarifário'!$E$36))</f>
        <v>859799.0315252298</v>
      </c>
      <c r="AH71" s="1340">
        <f>IF(('Premissas Economias e Água'!AI207*'Modelo Tarifário'!$I$36*12*'Modelo Tarifário'!$B$5*'Modelo Tarifário'!$E$36)&gt;('Premissas Economias e Água'!AI207*12*'Modelo Tarifário'!$D$29*'Modelo Tarifário'!$E$36),('Premissas Economias e Água'!AI207*'Modelo Tarifário'!$I$36*12*'Modelo Tarifário'!$B$5*'Modelo Tarifário'!$E$36),('Premissas Economias e Água'!AI207*12*'Modelo Tarifário'!$D$29*'Modelo Tarifário'!$E$36))</f>
        <v>861507.20251339383</v>
      </c>
    </row>
    <row r="72" spans="2:34" s="79" customFormat="1" ht="12" hidden="1" outlineLevel="1" x14ac:dyDescent="0.3">
      <c r="B72" s="1339"/>
      <c r="C72" s="1335" t="s">
        <v>278</v>
      </c>
      <c r="D72" s="1335"/>
      <c r="E72" s="1340">
        <f>IF(((E8*'Modelo Tarifário'!$C$58*'Modelo Tarifário'!$E$37)*('Premissas Economias e Água'!F348))&gt;('Premissas Economias e Água'!F208*12*'Modelo Tarifário'!$D$29*'Modelo Tarifário'!$C$58*'Modelo Tarifário'!$E$37),(E8*'Modelo Tarifário'!$C$58*'Modelo Tarifário'!$E$37)*('Premissas Economias e Água'!F348),('Premissas Economias e Água'!F208*12*'Modelo Tarifário'!$D$29*'Modelo Tarifário'!$C$58*'Modelo Tarifário'!$E$37))</f>
        <v>5174538.4364648759</v>
      </c>
      <c r="F72" s="1340">
        <f>IF(((F8*'Modelo Tarifário'!$C$58*'Modelo Tarifário'!$E$37)*('Premissas Economias e Água'!G348))&gt;('Premissas Economias e Água'!G208*12*'Modelo Tarifário'!$D$29*'Modelo Tarifário'!$C$58*'Modelo Tarifário'!$E$37),(F8*'Modelo Tarifário'!$C$58*'Modelo Tarifário'!$E$37)*('Premissas Economias e Água'!G348),('Premissas Economias e Água'!G208*12*'Modelo Tarifário'!$D$29*'Modelo Tarifário'!$C$58*'Modelo Tarifário'!$E$37))</f>
        <v>5202352.4056786234</v>
      </c>
      <c r="G72" s="1340">
        <f>IF(((G8*'Modelo Tarifário'!$C$58*'Modelo Tarifário'!$E$37)*('Premissas Economias e Água'!H348))&gt;('Premissas Economias e Água'!H208*12*'Modelo Tarifário'!$D$29*'Modelo Tarifário'!$C$58*'Modelo Tarifário'!$E$37),(G8*'Modelo Tarifário'!$C$58*'Modelo Tarifário'!$E$37)*('Premissas Economias e Água'!H348),('Premissas Economias e Água'!H208*12*'Modelo Tarifário'!$D$29*'Modelo Tarifário'!$C$58*'Modelo Tarifário'!$E$37))</f>
        <v>5230166.3748923717</v>
      </c>
      <c r="H72" s="1340">
        <f>IF(((H8*'Modelo Tarifário'!$C$58*'Modelo Tarifário'!$E$37)*('Premissas Economias e Água'!I348))&gt;('Premissas Economias e Água'!I208*12*'Modelo Tarifário'!$D$29*'Modelo Tarifário'!$C$58*'Modelo Tarifário'!$E$37),(H8*'Modelo Tarifário'!$C$58*'Modelo Tarifário'!$E$37)*('Premissas Economias e Água'!I348),('Premissas Economias e Água'!I208*12*'Modelo Tarifário'!$D$29*'Modelo Tarifário'!$C$58*'Modelo Tarifário'!$E$37))</f>
        <v>5257980.3441061191</v>
      </c>
      <c r="I72" s="1340">
        <f>IF(((I8*'Modelo Tarifário'!$C$58*'Modelo Tarifário'!$E$37)*('Premissas Economias e Água'!J348))&gt;('Premissas Economias e Água'!J208*12*'Modelo Tarifário'!$D$29*'Modelo Tarifário'!$C$58*'Modelo Tarifário'!$E$37),(I8*'Modelo Tarifário'!$C$58*'Modelo Tarifário'!$E$37)*('Premissas Economias e Água'!J348),('Premissas Economias e Água'!J208*12*'Modelo Tarifário'!$D$29*'Modelo Tarifário'!$C$58*'Modelo Tarifário'!$E$37))</f>
        <v>5285794.3133198665</v>
      </c>
      <c r="J72" s="1340">
        <f>IF(((J8*'Modelo Tarifário'!$C$58*'Modelo Tarifário'!$E$37)*('Premissas Economias e Água'!K348))&gt;('Premissas Economias e Água'!K208*12*'Modelo Tarifário'!$D$29*'Modelo Tarifário'!$C$58*'Modelo Tarifário'!$E$37),(J8*'Modelo Tarifário'!$C$58*'Modelo Tarifário'!$E$37)*('Premissas Economias e Água'!K348),('Premissas Economias e Água'!K208*12*'Modelo Tarifário'!$D$29*'Modelo Tarifário'!$C$58*'Modelo Tarifário'!$E$37))</f>
        <v>5313578.2782518314</v>
      </c>
      <c r="K72" s="1340">
        <f>IF(((K8*'Modelo Tarifário'!$C$58*'Modelo Tarifário'!$E$37)*('Premissas Economias e Água'!L348))&gt;('Premissas Economias e Água'!L208*12*'Modelo Tarifário'!$D$29*'Modelo Tarifário'!$C$58*'Modelo Tarifário'!$E$37),(K8*'Modelo Tarifário'!$C$58*'Modelo Tarifário'!$E$37)*('Premissas Economias e Água'!L348),('Premissas Economias e Água'!L208*12*'Modelo Tarifário'!$D$29*'Modelo Tarifário'!$C$58*'Modelo Tarifário'!$E$37))</f>
        <v>5341452.2560291477</v>
      </c>
      <c r="L72" s="1340">
        <f>IF(((L8*'Modelo Tarifário'!$C$58*'Modelo Tarifário'!$E$37)*('Premissas Economias e Água'!M348))&gt;('Premissas Economias e Água'!M208*12*'Modelo Tarifário'!$D$29*'Modelo Tarifário'!$C$58*'Modelo Tarifário'!$E$37),(L8*'Modelo Tarifário'!$C$58*'Modelo Tarifário'!$E$37)*('Premissas Economias e Água'!M348),('Premissas Economias e Água'!M208*12*'Modelo Tarifário'!$D$29*'Modelo Tarifário'!$C$58*'Modelo Tarifário'!$E$37))</f>
        <v>5369326.233806462</v>
      </c>
      <c r="M72" s="1340">
        <f>IF(((M8*'Modelo Tarifário'!$C$58*'Modelo Tarifário'!$E$37)*('Premissas Economias e Água'!N348))&gt;('Premissas Economias e Água'!N208*12*'Modelo Tarifário'!$D$29*'Modelo Tarifário'!$C$58*'Modelo Tarifário'!$E$37),(M8*'Modelo Tarifário'!$C$58*'Modelo Tarifário'!$E$37)*('Premissas Economias e Água'!N348),('Premissas Economias e Água'!N208*12*'Modelo Tarifário'!$D$29*'Modelo Tarifário'!$C$58*'Modelo Tarifário'!$E$37))</f>
        <v>5397200.2115837783</v>
      </c>
      <c r="N72" s="1340">
        <f>IF(((N8*'Modelo Tarifário'!$C$58*'Modelo Tarifário'!$E$37)*('Premissas Economias e Água'!O348))&gt;('Premissas Economias e Água'!O208*12*'Modelo Tarifário'!$D$29*'Modelo Tarifário'!$C$58*'Modelo Tarifário'!$E$37),(N8*'Modelo Tarifário'!$C$58*'Modelo Tarifário'!$E$37)*('Premissas Economias e Água'!O348),('Premissas Economias e Água'!O208*12*'Modelo Tarifário'!$D$29*'Modelo Tarifário'!$C$58*'Modelo Tarifário'!$E$37))</f>
        <v>5425074.1893610936</v>
      </c>
      <c r="O72" s="1340">
        <f>IF(((O8*'Modelo Tarifário'!$C$58*'Modelo Tarifário'!$E$37)*('Premissas Economias e Água'!P348))&gt;('Premissas Economias e Água'!P208*12*'Modelo Tarifário'!$D$29*'Modelo Tarifário'!$C$58*'Modelo Tarifário'!$E$37),(O8*'Modelo Tarifário'!$C$58*'Modelo Tarifário'!$E$37)*('Premissas Economias e Água'!P348),('Premissas Economias e Água'!P208*12*'Modelo Tarifário'!$D$29*'Modelo Tarifário'!$C$58*'Modelo Tarifário'!$E$37))</f>
        <v>5452888.158574841</v>
      </c>
      <c r="P72" s="1340">
        <f>IF(((P8*'Modelo Tarifário'!$C$58*'Modelo Tarifário'!$E$37)*('Premissas Economias e Água'!Q348))&gt;('Premissas Economias e Água'!Q208*12*'Modelo Tarifário'!$D$29*'Modelo Tarifário'!$C$58*'Modelo Tarifário'!$E$37),(P8*'Modelo Tarifário'!$C$58*'Modelo Tarifário'!$E$37)*('Premissas Economias e Água'!Q348),('Premissas Economias e Água'!Q208*12*'Modelo Tarifário'!$D$29*'Modelo Tarifário'!$C$58*'Modelo Tarifário'!$E$37))</f>
        <v>5471640.8346898286</v>
      </c>
      <c r="Q72" s="1340">
        <f>IF(((Q8*'Modelo Tarifário'!$C$58*'Modelo Tarifário'!$E$37)*('Premissas Economias e Água'!R348))&gt;('Premissas Economias e Água'!R208*12*'Modelo Tarifário'!$D$29*'Modelo Tarifário'!$C$58*'Modelo Tarifário'!$E$37),(Q8*'Modelo Tarifário'!$C$58*'Modelo Tarifário'!$E$37)*('Premissas Economias e Água'!R348),('Premissas Economias e Água'!R208*12*'Modelo Tarifário'!$D$29*'Modelo Tarifário'!$C$58*'Modelo Tarifário'!$E$37))</f>
        <v>5490393.5108048134</v>
      </c>
      <c r="R72" s="1340">
        <f>IF(((R8*'Modelo Tarifário'!$C$58*'Modelo Tarifário'!$E$37)*('Premissas Economias e Água'!S348))&gt;('Premissas Economias e Água'!S208*12*'Modelo Tarifário'!$D$29*'Modelo Tarifário'!$C$58*'Modelo Tarifário'!$E$37),(R8*'Modelo Tarifário'!$C$58*'Modelo Tarifário'!$E$37)*('Premissas Economias e Água'!S348),('Premissas Economias e Água'!S208*12*'Modelo Tarifário'!$D$29*'Modelo Tarifário'!$C$58*'Modelo Tarifário'!$E$37))</f>
        <v>5509146.1869198009</v>
      </c>
      <c r="S72" s="1340">
        <f>IF(((S8*'Modelo Tarifário'!$C$58*'Modelo Tarifário'!$E$37)*('Premissas Economias e Água'!T348))&gt;('Premissas Economias e Água'!T208*12*'Modelo Tarifário'!$D$29*'Modelo Tarifário'!$C$58*'Modelo Tarifário'!$E$37),(S8*'Modelo Tarifário'!$C$58*'Modelo Tarifário'!$E$37)*('Premissas Economias e Água'!T348),('Premissas Economias e Água'!T208*12*'Modelo Tarifário'!$D$29*'Modelo Tarifário'!$C$58*'Modelo Tarifário'!$E$37))</f>
        <v>5527898.8630347857</v>
      </c>
      <c r="T72" s="1340">
        <f>IF(((T8*'Modelo Tarifário'!$C$58*'Modelo Tarifário'!$E$37)*('Premissas Economias e Água'!U348))&gt;('Premissas Economias e Água'!U208*12*'Modelo Tarifário'!$D$29*'Modelo Tarifário'!$C$58*'Modelo Tarifário'!$E$37),(T8*'Modelo Tarifário'!$C$58*'Modelo Tarifário'!$E$37)*('Premissas Economias e Água'!U348),('Premissas Economias e Água'!U208*12*'Modelo Tarifário'!$D$29*'Modelo Tarifário'!$C$58*'Modelo Tarifário'!$E$37))</f>
        <v>5546621.5348679889</v>
      </c>
      <c r="U72" s="1340">
        <f>IF(((U8*'Modelo Tarifário'!$C$58*'Modelo Tarifário'!$E$37)*('Premissas Economias e Água'!V348))&gt;('Premissas Economias e Água'!V208*12*'Modelo Tarifário'!$D$29*'Modelo Tarifário'!$C$58*'Modelo Tarifário'!$E$37),(U8*'Modelo Tarifário'!$C$58*'Modelo Tarifário'!$E$37)*('Premissas Economias e Água'!V348),('Premissas Economias e Água'!V208*12*'Modelo Tarifário'!$D$29*'Modelo Tarifário'!$C$58*'Modelo Tarifário'!$E$37))</f>
        <v>5557933.1491005486</v>
      </c>
      <c r="V72" s="1340">
        <f>IF(((V8*'Modelo Tarifário'!$C$58*'Modelo Tarifário'!$E$37)*('Premissas Economias e Água'!W348))&gt;('Premissas Economias e Água'!W208*12*'Modelo Tarifário'!$D$29*'Modelo Tarifário'!$C$58*'Modelo Tarifário'!$E$37),(V8*'Modelo Tarifário'!$C$58*'Modelo Tarifário'!$E$37)*('Premissas Economias e Água'!W348),('Premissas Economias e Água'!W208*12*'Modelo Tarifário'!$D$29*'Modelo Tarifário'!$C$58*'Modelo Tarifário'!$E$37))</f>
        <v>5569244.7633331092</v>
      </c>
      <c r="W72" s="1340">
        <f>IF(((W8*'Modelo Tarifário'!$C$58*'Modelo Tarifário'!$E$37)*('Premissas Economias e Água'!X348))&gt;('Premissas Economias e Água'!X208*12*'Modelo Tarifário'!$D$29*'Modelo Tarifário'!$C$58*'Modelo Tarifário'!$E$37),(W8*'Modelo Tarifário'!$C$58*'Modelo Tarifário'!$E$37)*('Premissas Economias e Água'!X348),('Premissas Economias e Água'!X208*12*'Modelo Tarifário'!$D$29*'Modelo Tarifário'!$C$58*'Modelo Tarifário'!$E$37))</f>
        <v>5580556.377565668</v>
      </c>
      <c r="X72" s="1340">
        <f>IF(((X8*'Modelo Tarifário'!$C$58*'Modelo Tarifário'!$E$37)*('Premissas Economias e Água'!Y348))&gt;('Premissas Economias e Água'!Y208*12*'Modelo Tarifário'!$D$29*'Modelo Tarifário'!$C$58*'Modelo Tarifário'!$E$37),(X8*'Modelo Tarifário'!$C$58*'Modelo Tarifário'!$E$37)*('Premissas Economias e Água'!Y348),('Premissas Economias e Água'!Y208*12*'Modelo Tarifário'!$D$29*'Modelo Tarifário'!$C$58*'Modelo Tarifário'!$E$37))</f>
        <v>5591867.9917982277</v>
      </c>
      <c r="Y72" s="1340">
        <f>IF(((Y8*'Modelo Tarifário'!$C$58*'Modelo Tarifário'!$E$37)*('Premissas Economias e Água'!Z348))&gt;('Premissas Economias e Água'!Z208*12*'Modelo Tarifário'!$D$29*'Modelo Tarifário'!$C$58*'Modelo Tarifário'!$E$37),(Y8*'Modelo Tarifário'!$C$58*'Modelo Tarifário'!$E$37)*('Premissas Economias e Água'!Z348),('Premissas Economias e Água'!Z208*12*'Modelo Tarifário'!$D$29*'Modelo Tarifário'!$C$58*'Modelo Tarifário'!$E$37))</f>
        <v>5603149.6017490039</v>
      </c>
      <c r="Z72" s="1340">
        <f>IF(((Z8*'Modelo Tarifário'!$C$58*'Modelo Tarifário'!$E$37)*('Premissas Economias e Água'!AA348))&gt;('Premissas Economias e Água'!AA208*12*'Modelo Tarifário'!$D$29*'Modelo Tarifário'!$C$58*'Modelo Tarifário'!$E$37),(Z8*'Modelo Tarifário'!$C$58*'Modelo Tarifário'!$E$37)*('Premissas Economias e Água'!AA348),('Premissas Economias e Água'!AA208*12*'Modelo Tarifário'!$D$29*'Modelo Tarifário'!$C$58*'Modelo Tarifário'!$E$37))</f>
        <v>5614461.2159815636</v>
      </c>
      <c r="AA72" s="1340">
        <f>IF(((AA8*'Modelo Tarifário'!$C$58*'Modelo Tarifário'!$E$37)*('Premissas Economias e Água'!AB348))&gt;('Premissas Economias e Água'!AB208*12*'Modelo Tarifário'!$D$29*'Modelo Tarifário'!$C$58*'Modelo Tarifário'!$E$37),(AA8*'Modelo Tarifário'!$C$58*'Modelo Tarifário'!$E$37)*('Premissas Economias e Água'!AB348),('Premissas Economias e Água'!AB208*12*'Modelo Tarifário'!$D$29*'Modelo Tarifário'!$C$58*'Modelo Tarifário'!$E$37))</f>
        <v>5625772.8302141242</v>
      </c>
      <c r="AB72" s="1340">
        <f>IF(((AB8*'Modelo Tarifário'!$C$58*'Modelo Tarifário'!$E$37)*('Premissas Economias e Água'!AC348))&gt;('Premissas Economias e Água'!AC208*12*'Modelo Tarifário'!$D$29*'Modelo Tarifário'!$C$58*'Modelo Tarifário'!$E$37),(AB8*'Modelo Tarifário'!$C$58*'Modelo Tarifário'!$E$37)*('Premissas Economias e Água'!AC348),('Premissas Economias e Água'!AC208*12*'Modelo Tarifário'!$D$29*'Modelo Tarifário'!$C$58*'Modelo Tarifário'!$E$37))</f>
        <v>5637084.4444466829</v>
      </c>
      <c r="AC72" s="1340">
        <f>IF(((AC8*'Modelo Tarifário'!$C$58*'Modelo Tarifário'!$E$37)*('Premissas Economias e Água'!AD348))&gt;('Premissas Economias e Água'!AD208*12*'Modelo Tarifário'!$D$29*'Modelo Tarifário'!$C$58*'Modelo Tarifário'!$E$37),(AC8*'Modelo Tarifário'!$C$58*'Modelo Tarifário'!$E$37)*('Premissas Economias e Água'!AD348),('Premissas Economias e Água'!AD208*12*'Modelo Tarifário'!$D$29*'Modelo Tarifário'!$C$58*'Modelo Tarifário'!$E$37))</f>
        <v>5648396.0586792426</v>
      </c>
      <c r="AD72" s="1340">
        <f>IF(((AD8*'Modelo Tarifário'!$C$58*'Modelo Tarifário'!$E$37)*('Premissas Economias e Água'!AE348))&gt;('Premissas Economias e Água'!AE208*12*'Modelo Tarifário'!$D$29*'Modelo Tarifário'!$C$58*'Modelo Tarifário'!$E$37),(AD8*'Modelo Tarifário'!$C$58*'Modelo Tarifário'!$E$37)*('Premissas Economias e Água'!AE348),('Premissas Economias e Água'!AE208*12*'Modelo Tarifário'!$D$29*'Modelo Tarifário'!$C$58*'Modelo Tarifário'!$E$37))</f>
        <v>5659707.6729118032</v>
      </c>
      <c r="AE72" s="1340">
        <f>IF(((AE8*'Modelo Tarifário'!$C$58*'Modelo Tarifário'!$E$37)*('Premissas Economias e Água'!AF348))&gt;('Premissas Economias e Água'!AF208*12*'Modelo Tarifário'!$D$29*'Modelo Tarifário'!$C$58*'Modelo Tarifário'!$E$37),(AE8*'Modelo Tarifário'!$C$58*'Modelo Tarifário'!$E$37)*('Premissas Economias e Água'!AF348),('Premissas Economias e Água'!AF208*12*'Modelo Tarifário'!$D$29*'Modelo Tarifário'!$C$58*'Modelo Tarifário'!$E$37))</f>
        <v>5671019.2871443629</v>
      </c>
      <c r="AF72" s="1340">
        <f>IF(((AF8*'Modelo Tarifário'!$C$58*'Modelo Tarifário'!$E$37)*('Premissas Economias e Água'!AG348))&gt;('Premissas Economias e Água'!AG208*12*'Modelo Tarifário'!$D$29*'Modelo Tarifário'!$C$58*'Modelo Tarifário'!$E$37),(AF8*'Modelo Tarifário'!$C$58*'Modelo Tarifário'!$E$37)*('Premissas Economias e Água'!AG348),('Premissas Economias e Água'!AG208*12*'Modelo Tarifário'!$D$29*'Modelo Tarifário'!$C$58*'Modelo Tarifário'!$E$37))</f>
        <v>5682330.9013769217</v>
      </c>
      <c r="AG72" s="1340">
        <f>IF(((AG8*'Modelo Tarifário'!$C$58*'Modelo Tarifário'!$E$37)*('Premissas Economias e Água'!AH348))&gt;('Premissas Economias e Água'!AH208*12*'Modelo Tarifário'!$D$29*'Modelo Tarifário'!$C$58*'Modelo Tarifário'!$E$37),(AG8*'Modelo Tarifário'!$C$58*'Modelo Tarifário'!$E$37)*('Premissas Economias e Água'!AH348),('Premissas Economias e Água'!AH208*12*'Modelo Tarifário'!$D$29*'Modelo Tarifário'!$C$58*'Modelo Tarifário'!$E$37))</f>
        <v>5693642.5156094832</v>
      </c>
      <c r="AH72" s="1340">
        <f>IF(((AH8*'Modelo Tarifário'!$C$58*'Modelo Tarifário'!$E$37)*('Premissas Economias e Água'!AI348))&gt;('Premissas Economias e Água'!AI208*12*'Modelo Tarifário'!$D$29*'Modelo Tarifário'!$C$58*'Modelo Tarifário'!$E$37),(AH8*'Modelo Tarifário'!$C$58*'Modelo Tarifário'!$E$37)*('Premissas Economias e Água'!AI348),('Premissas Economias e Água'!AI208*12*'Modelo Tarifário'!$D$29*'Modelo Tarifário'!$C$58*'Modelo Tarifário'!$E$37))</f>
        <v>5704954.129842042</v>
      </c>
    </row>
    <row r="73" spans="2:34" s="79" customFormat="1" ht="12" hidden="1" outlineLevel="1" x14ac:dyDescent="0.3">
      <c r="B73" s="1339"/>
      <c r="C73" s="1335" t="s">
        <v>279</v>
      </c>
      <c r="D73" s="1335"/>
      <c r="E73" s="1340">
        <f>IF(((E8*'Modelo Tarifário'!$C$58*'Modelo Tarifário'!$E$38)*('Premissas Economias e Água'!F349))&gt;('Premissas Economias e Água'!F209*12*'Modelo Tarifário'!$D$29*'Modelo Tarifário'!$C$58*'Modelo Tarifário'!$E$38),(E8*'Modelo Tarifário'!$C$58*'Modelo Tarifário'!$E$38)*('Premissas Economias e Água'!F349),('Premissas Economias e Água'!F209*12*'Modelo Tarifário'!$D$29*'Modelo Tarifário'!$C$58*'Modelo Tarifário'!$E$38))</f>
        <v>7124278.9635793148</v>
      </c>
      <c r="F73" s="1340">
        <f>IF(((F8*'Modelo Tarifário'!$C$58*'Modelo Tarifário'!$E$38)*('Premissas Economias e Água'!G349))&gt;('Premissas Economias e Água'!G209*12*'Modelo Tarifário'!$D$29*'Modelo Tarifário'!$C$58*'Modelo Tarifário'!$E$38),(F8*'Modelo Tarifário'!$C$58*'Modelo Tarifário'!$E$38)*('Premissas Economias e Água'!G349),('Premissas Economias e Água'!G209*12*'Modelo Tarifário'!$D$29*'Modelo Tarifário'!$C$58*'Modelo Tarifário'!$E$38))</f>
        <v>7162573.0990265962</v>
      </c>
      <c r="G73" s="1340">
        <f>IF(((G8*'Modelo Tarifário'!$C$58*'Modelo Tarifário'!$E$38)*('Premissas Economias e Água'!H349))&gt;('Premissas Economias e Água'!H209*12*'Modelo Tarifário'!$D$29*'Modelo Tarifário'!$C$58*'Modelo Tarifário'!$E$38),(G8*'Modelo Tarifário'!$C$58*'Modelo Tarifário'!$E$38)*('Premissas Economias e Água'!H349),('Premissas Economias e Água'!H209*12*'Modelo Tarifário'!$D$29*'Modelo Tarifário'!$C$58*'Modelo Tarifário'!$E$38))</f>
        <v>7200867.2344738748</v>
      </c>
      <c r="H73" s="1340">
        <f>IF(((H8*'Modelo Tarifário'!$C$58*'Modelo Tarifário'!$E$38)*('Premissas Economias e Água'!I349))&gt;('Premissas Economias e Água'!I209*12*'Modelo Tarifário'!$D$29*'Modelo Tarifário'!$C$58*'Modelo Tarifário'!$E$38),(H8*'Modelo Tarifário'!$C$58*'Modelo Tarifário'!$E$38)*('Premissas Economias e Água'!I349),('Premissas Economias e Água'!I209*12*'Modelo Tarifário'!$D$29*'Modelo Tarifário'!$C$58*'Modelo Tarifário'!$E$38))</f>
        <v>7239161.3699211571</v>
      </c>
      <c r="I73" s="1340">
        <f>IF(((I8*'Modelo Tarifário'!$C$58*'Modelo Tarifário'!$E$38)*('Premissas Economias e Água'!J349))&gt;('Premissas Economias e Água'!J209*12*'Modelo Tarifário'!$D$29*'Modelo Tarifário'!$C$58*'Modelo Tarifário'!$E$38),(I8*'Modelo Tarifário'!$C$58*'Modelo Tarifário'!$E$38)*('Premissas Economias e Água'!J349),('Premissas Economias e Água'!J209*12*'Modelo Tarifário'!$D$29*'Modelo Tarifário'!$C$58*'Modelo Tarifário'!$E$38))</f>
        <v>7277455.5053684376</v>
      </c>
      <c r="J73" s="1340">
        <f>IF(((J8*'Modelo Tarifário'!$C$58*'Modelo Tarifário'!$E$38)*('Premissas Economias e Água'!K349))&gt;('Premissas Economias e Água'!K209*12*'Modelo Tarifário'!$D$29*'Modelo Tarifário'!$C$58*'Modelo Tarifário'!$E$38),(J8*'Modelo Tarifário'!$C$58*'Modelo Tarifário'!$E$38)*('Premissas Economias e Água'!K349),('Premissas Economias e Água'!K209*12*'Modelo Tarifário'!$D$29*'Modelo Tarifário'!$C$58*'Modelo Tarifário'!$E$38))</f>
        <v>7315708.3310687412</v>
      </c>
      <c r="K73" s="1340">
        <f>IF(((K8*'Modelo Tarifário'!$C$58*'Modelo Tarifário'!$E$38)*('Premissas Economias e Água'!L349))&gt;('Premissas Economias e Água'!L209*12*'Modelo Tarifário'!$D$29*'Modelo Tarifário'!$C$58*'Modelo Tarifário'!$E$38),(K8*'Modelo Tarifário'!$C$58*'Modelo Tarifário'!$E$38)*('Premissas Economias e Água'!L349),('Premissas Economias e Água'!L209*12*'Modelo Tarifário'!$D$29*'Modelo Tarifário'!$C$58*'Modelo Tarifário'!$E$38))</f>
        <v>7354085.0860099765</v>
      </c>
      <c r="L73" s="1340">
        <f>IF(((L8*'Modelo Tarifário'!$C$58*'Modelo Tarifário'!$E$38)*('Premissas Economias e Água'!M349))&gt;('Premissas Economias e Água'!M209*12*'Modelo Tarifário'!$D$29*'Modelo Tarifário'!$C$58*'Modelo Tarifário'!$E$38),(L8*'Modelo Tarifário'!$C$58*'Modelo Tarifário'!$E$38)*('Premissas Economias e Água'!M349),('Premissas Economias e Água'!M209*12*'Modelo Tarifário'!$D$29*'Modelo Tarifário'!$C$58*'Modelo Tarifário'!$E$38))</f>
        <v>7392461.8409512099</v>
      </c>
      <c r="M73" s="1340">
        <f>IF(((M8*'Modelo Tarifário'!$C$58*'Modelo Tarifário'!$E$38)*('Premissas Economias e Água'!N349))&gt;('Premissas Economias e Água'!N209*12*'Modelo Tarifário'!$D$29*'Modelo Tarifário'!$C$58*'Modelo Tarifário'!$E$38),(M8*'Modelo Tarifário'!$C$58*'Modelo Tarifário'!$E$38)*('Premissas Economias e Água'!N349),('Premissas Economias e Água'!N209*12*'Modelo Tarifário'!$D$29*'Modelo Tarifário'!$C$58*'Modelo Tarifário'!$E$38))</f>
        <v>7430838.5958924443</v>
      </c>
      <c r="N73" s="1340">
        <f>IF(((N8*'Modelo Tarifário'!$C$58*'Modelo Tarifário'!$E$38)*('Premissas Economias e Água'!O349))&gt;('Premissas Economias e Água'!O209*12*'Modelo Tarifário'!$D$29*'Modelo Tarifário'!$C$58*'Modelo Tarifário'!$E$38),(N8*'Modelo Tarifário'!$C$58*'Modelo Tarifário'!$E$38)*('Premissas Economias e Água'!O349),('Premissas Economias e Água'!O209*12*'Modelo Tarifário'!$D$29*'Modelo Tarifário'!$C$58*'Modelo Tarifário'!$E$38))</f>
        <v>7469215.3508336768</v>
      </c>
      <c r="O73" s="1340">
        <f>IF(((O8*'Modelo Tarifário'!$C$58*'Modelo Tarifário'!$E$38)*('Premissas Economias e Água'!P349))&gt;('Premissas Economias e Água'!P209*12*'Modelo Tarifário'!$D$29*'Modelo Tarifário'!$C$58*'Modelo Tarifário'!$E$38),(O8*'Modelo Tarifário'!$C$58*'Modelo Tarifário'!$E$38)*('Premissas Economias e Água'!P349),('Premissas Economias e Água'!P209*12*'Modelo Tarifário'!$D$29*'Modelo Tarifário'!$C$58*'Modelo Tarifário'!$E$38))</f>
        <v>7507509.4862809572</v>
      </c>
      <c r="P73" s="1340">
        <f>IF(((P8*'Modelo Tarifário'!$C$58*'Modelo Tarifário'!$E$38)*('Premissas Economias e Água'!Q349))&gt;('Premissas Economias e Água'!Q209*12*'Modelo Tarifário'!$D$29*'Modelo Tarifário'!$C$58*'Modelo Tarifário'!$E$38),(P8*'Modelo Tarifário'!$C$58*'Modelo Tarifário'!$E$38)*('Premissas Economias e Água'!Q349),('Premissas Economias e Água'!Q209*12*'Modelo Tarifário'!$D$29*'Modelo Tarifário'!$C$58*'Modelo Tarifário'!$E$38))</f>
        <v>7533328.0781413149</v>
      </c>
      <c r="Q73" s="1340">
        <f>IF(((Q8*'Modelo Tarifário'!$C$58*'Modelo Tarifário'!$E$38)*('Premissas Economias e Água'!R349))&gt;('Premissas Economias e Água'!R209*12*'Modelo Tarifário'!$D$29*'Modelo Tarifário'!$C$58*'Modelo Tarifário'!$E$38),(Q8*'Modelo Tarifário'!$C$58*'Modelo Tarifário'!$E$38)*('Premissas Economias e Água'!R349),('Premissas Economias e Água'!R209*12*'Modelo Tarifário'!$D$29*'Modelo Tarifário'!$C$58*'Modelo Tarifário'!$E$38))</f>
        <v>7559146.6700016698</v>
      </c>
      <c r="R73" s="1340">
        <f>IF(((R8*'Modelo Tarifário'!$C$58*'Modelo Tarifário'!$E$38)*('Premissas Economias e Água'!S349))&gt;('Premissas Economias e Água'!S209*12*'Modelo Tarifário'!$D$29*'Modelo Tarifário'!$C$58*'Modelo Tarifário'!$E$38),(R8*'Modelo Tarifário'!$C$58*'Modelo Tarifário'!$E$38)*('Premissas Economias e Água'!S349),('Premissas Economias e Água'!S209*12*'Modelo Tarifário'!$D$29*'Modelo Tarifário'!$C$58*'Modelo Tarifário'!$E$38))</f>
        <v>7584965.2618620256</v>
      </c>
      <c r="S73" s="1340">
        <f>IF(((S8*'Modelo Tarifário'!$C$58*'Modelo Tarifário'!$E$38)*('Premissas Economias e Água'!T349))&gt;('Premissas Economias e Água'!T209*12*'Modelo Tarifário'!$D$29*'Modelo Tarifário'!$C$58*'Modelo Tarifário'!$E$38),(S8*'Modelo Tarifário'!$C$58*'Modelo Tarifário'!$E$38)*('Premissas Economias e Água'!T349),('Premissas Economias e Água'!T209*12*'Modelo Tarifário'!$D$29*'Modelo Tarifário'!$C$58*'Modelo Tarifário'!$E$38))</f>
        <v>7610783.8537223833</v>
      </c>
      <c r="T73" s="1340">
        <f>IF(((T8*'Modelo Tarifário'!$C$58*'Modelo Tarifário'!$E$38)*('Premissas Economias e Água'!U349))&gt;('Premissas Economias e Água'!U209*12*'Modelo Tarifário'!$D$29*'Modelo Tarifário'!$C$58*'Modelo Tarifário'!$E$38),(T8*'Modelo Tarifário'!$C$58*'Modelo Tarifário'!$E$38)*('Premissas Economias e Água'!U349),('Premissas Economias e Água'!U209*12*'Modelo Tarifário'!$D$29*'Modelo Tarifário'!$C$58*'Modelo Tarifário'!$E$38))</f>
        <v>7636561.1358357631</v>
      </c>
      <c r="U73" s="1340">
        <f>IF(((U8*'Modelo Tarifário'!$C$58*'Modelo Tarifário'!$E$38)*('Premissas Economias e Água'!V349))&gt;('Premissas Economias e Água'!V209*12*'Modelo Tarifário'!$D$29*'Modelo Tarifário'!$C$58*'Modelo Tarifário'!$E$38),(U8*'Modelo Tarifário'!$C$58*'Modelo Tarifário'!$E$38)*('Premissas Economias e Água'!V349),('Premissas Economias e Água'!V209*12*'Modelo Tarifário'!$D$29*'Modelo Tarifário'!$C$58*'Modelo Tarifário'!$E$38))</f>
        <v>7652134.9104459295</v>
      </c>
      <c r="V73" s="1340">
        <f>IF(((V8*'Modelo Tarifário'!$C$58*'Modelo Tarifário'!$E$38)*('Premissas Economias e Água'!W349))&gt;('Premissas Economias e Água'!W209*12*'Modelo Tarifário'!$D$29*'Modelo Tarifário'!$C$58*'Modelo Tarifário'!$E$38),(V8*'Modelo Tarifário'!$C$58*'Modelo Tarifário'!$E$38)*('Premissas Economias e Água'!W349),('Premissas Economias e Água'!W209*12*'Modelo Tarifário'!$D$29*'Modelo Tarifário'!$C$58*'Modelo Tarifário'!$E$38))</f>
        <v>7667708.6850560987</v>
      </c>
      <c r="W73" s="1340">
        <f>IF(((W8*'Modelo Tarifário'!$C$58*'Modelo Tarifário'!$E$38)*('Premissas Economias e Água'!X349))&gt;('Premissas Economias e Água'!X209*12*'Modelo Tarifário'!$D$29*'Modelo Tarifário'!$C$58*'Modelo Tarifário'!$E$38),(W8*'Modelo Tarifário'!$C$58*'Modelo Tarifário'!$E$38)*('Premissas Economias e Água'!X349),('Premissas Economias e Água'!X209*12*'Modelo Tarifário'!$D$29*'Modelo Tarifário'!$C$58*'Modelo Tarifário'!$E$38))</f>
        <v>7683282.4596662642</v>
      </c>
      <c r="X73" s="1340">
        <f>IF(((X8*'Modelo Tarifário'!$C$58*'Modelo Tarifário'!$E$38)*('Premissas Economias e Água'!Y349))&gt;('Premissas Economias e Água'!Y209*12*'Modelo Tarifário'!$D$29*'Modelo Tarifário'!$C$58*'Modelo Tarifário'!$E$38),(X8*'Modelo Tarifário'!$C$58*'Modelo Tarifário'!$E$38)*('Premissas Economias e Água'!Y349),('Premissas Economias e Água'!Y209*12*'Modelo Tarifário'!$D$29*'Modelo Tarifário'!$C$58*'Modelo Tarifário'!$E$38))</f>
        <v>7698856.2342764307</v>
      </c>
      <c r="Y73" s="1340">
        <f>IF(((Y8*'Modelo Tarifário'!$C$58*'Modelo Tarifário'!$E$38)*('Premissas Economias e Água'!Z349))&gt;('Premissas Economias e Água'!Z209*12*'Modelo Tarifário'!$D$29*'Modelo Tarifário'!$C$58*'Modelo Tarifário'!$E$38),(Y8*'Modelo Tarifário'!$C$58*'Modelo Tarifário'!$E$38)*('Premissas Economias e Água'!Z349),('Premissas Economias e Água'!Z209*12*'Modelo Tarifário'!$D$29*'Modelo Tarifário'!$C$58*'Modelo Tarifário'!$E$38))</f>
        <v>7714388.699139622</v>
      </c>
      <c r="Z73" s="1340">
        <f>IF(((Z8*'Modelo Tarifário'!$C$58*'Modelo Tarifário'!$E$38)*('Premissas Economias e Água'!AA349))&gt;('Premissas Economias e Água'!AA209*12*'Modelo Tarifário'!$D$29*'Modelo Tarifário'!$C$58*'Modelo Tarifário'!$E$38),(Z8*'Modelo Tarifário'!$C$58*'Modelo Tarifário'!$E$38)*('Premissas Economias e Água'!AA349),('Premissas Economias e Água'!AA209*12*'Modelo Tarifário'!$D$29*'Modelo Tarifário'!$C$58*'Modelo Tarifário'!$E$38))</f>
        <v>7729962.4737497875</v>
      </c>
      <c r="AA73" s="1340">
        <f>IF(((AA8*'Modelo Tarifário'!$C$58*'Modelo Tarifário'!$E$38)*('Premissas Economias e Água'!AB349))&gt;('Premissas Economias e Água'!AB209*12*'Modelo Tarifário'!$D$29*'Modelo Tarifário'!$C$58*'Modelo Tarifário'!$E$38),(AA8*'Modelo Tarifário'!$C$58*'Modelo Tarifário'!$E$38)*('Premissas Economias e Água'!AB349),('Premissas Economias e Água'!AB209*12*'Modelo Tarifário'!$D$29*'Modelo Tarifário'!$C$58*'Modelo Tarifário'!$E$38))</f>
        <v>7745536.2483599577</v>
      </c>
      <c r="AB73" s="1340">
        <f>IF(((AB8*'Modelo Tarifário'!$C$58*'Modelo Tarifário'!$E$38)*('Premissas Economias e Água'!AC349))&gt;('Premissas Economias e Água'!AC209*12*'Modelo Tarifário'!$D$29*'Modelo Tarifário'!$C$58*'Modelo Tarifário'!$E$38),(AB8*'Modelo Tarifário'!$C$58*'Modelo Tarifário'!$E$38)*('Premissas Economias e Água'!AC349),('Premissas Economias e Água'!AC209*12*'Modelo Tarifário'!$D$29*'Modelo Tarifário'!$C$58*'Modelo Tarifário'!$E$38))</f>
        <v>7761110.0229701232</v>
      </c>
      <c r="AC73" s="1340">
        <f>IF(((AC8*'Modelo Tarifário'!$C$58*'Modelo Tarifário'!$E$38)*('Premissas Economias e Água'!AD349))&gt;('Premissas Economias e Água'!AD209*12*'Modelo Tarifário'!$D$29*'Modelo Tarifário'!$C$58*'Modelo Tarifário'!$E$38),(AC8*'Modelo Tarifário'!$C$58*'Modelo Tarifário'!$E$38)*('Premissas Economias e Água'!AD349),('Premissas Economias e Água'!AD209*12*'Modelo Tarifário'!$D$29*'Modelo Tarifário'!$C$58*'Modelo Tarifário'!$E$38))</f>
        <v>7776683.7975802897</v>
      </c>
      <c r="AD73" s="1340">
        <f>IF(((AD8*'Modelo Tarifário'!$C$58*'Modelo Tarifário'!$E$38)*('Premissas Economias e Água'!AE349))&gt;('Premissas Economias e Água'!AE209*12*'Modelo Tarifário'!$D$29*'Modelo Tarifário'!$C$58*'Modelo Tarifário'!$E$38),(AD8*'Modelo Tarifário'!$C$58*'Modelo Tarifário'!$E$38)*('Premissas Economias e Água'!AE349),('Premissas Economias e Água'!AE209*12*'Modelo Tarifário'!$D$29*'Modelo Tarifário'!$C$58*'Modelo Tarifário'!$E$38))</f>
        <v>7792257.572190457</v>
      </c>
      <c r="AE73" s="1340">
        <f>IF(((AE8*'Modelo Tarifário'!$C$58*'Modelo Tarifário'!$E$38)*('Premissas Economias e Água'!AF349))&gt;('Premissas Economias e Água'!AF209*12*'Modelo Tarifário'!$D$29*'Modelo Tarifário'!$C$58*'Modelo Tarifário'!$E$38),(AE8*'Modelo Tarifário'!$C$58*'Modelo Tarifário'!$E$38)*('Premissas Economias e Água'!AF349),('Premissas Economias e Água'!AF209*12*'Modelo Tarifário'!$D$29*'Modelo Tarifário'!$C$58*'Modelo Tarifário'!$E$38))</f>
        <v>7807831.3468006235</v>
      </c>
      <c r="AF73" s="1340">
        <f>IF(((AF8*'Modelo Tarifário'!$C$58*'Modelo Tarifário'!$E$38)*('Premissas Economias e Água'!AG349))&gt;('Premissas Economias e Água'!AG209*12*'Modelo Tarifário'!$D$29*'Modelo Tarifário'!$C$58*'Modelo Tarifário'!$E$38),(AF8*'Modelo Tarifário'!$C$58*'Modelo Tarifário'!$E$38)*('Premissas Economias e Água'!AG349),('Premissas Economias e Água'!AG209*12*'Modelo Tarifário'!$D$29*'Modelo Tarifário'!$C$58*'Modelo Tarifário'!$E$38))</f>
        <v>7823405.1214107908</v>
      </c>
      <c r="AG73" s="1340">
        <f>IF(((AG8*'Modelo Tarifário'!$C$58*'Modelo Tarifário'!$E$38)*('Premissas Economias e Água'!AH349))&gt;('Premissas Economias e Água'!AH209*12*'Modelo Tarifário'!$D$29*'Modelo Tarifário'!$C$58*'Modelo Tarifário'!$E$38),(AG8*'Modelo Tarifário'!$C$58*'Modelo Tarifário'!$E$38)*('Premissas Economias e Água'!AH349),('Premissas Economias e Água'!AH209*12*'Modelo Tarifário'!$D$29*'Modelo Tarifário'!$C$58*'Modelo Tarifário'!$E$38))</f>
        <v>7838978.8960209573</v>
      </c>
      <c r="AH73" s="1340">
        <f>IF(((AH8*'Modelo Tarifário'!$C$58*'Modelo Tarifário'!$E$38)*('Premissas Economias e Água'!AI349))&gt;('Premissas Economias e Água'!AI209*12*'Modelo Tarifário'!$D$29*'Modelo Tarifário'!$C$58*'Modelo Tarifário'!$E$38),(AH8*'Modelo Tarifário'!$C$58*'Modelo Tarifário'!$E$38)*('Premissas Economias e Água'!AI349),('Premissas Economias e Água'!AI209*12*'Modelo Tarifário'!$D$29*'Modelo Tarifário'!$C$58*'Modelo Tarifário'!$E$38))</f>
        <v>7854552.6706311246</v>
      </c>
    </row>
    <row r="74" spans="2:34" s="79" customFormat="1" ht="12" hidden="1" outlineLevel="1" x14ac:dyDescent="0.3">
      <c r="B74" s="1339"/>
      <c r="C74" s="1335" t="s">
        <v>280</v>
      </c>
      <c r="D74" s="1335"/>
      <c r="E74" s="1340">
        <f>IF(((E8*'Modelo Tarifário'!$C$58*'Modelo Tarifário'!$E$39)*('Premissas Economias e Água'!F350))&gt;('Premissas Economias e Água'!F210*12*'Modelo Tarifário'!$D$29*'Modelo Tarifário'!$C$58*'Modelo Tarifário'!$E$39),(E8*'Modelo Tarifário'!$C$58*'Modelo Tarifário'!$E$39)*('Premissas Economias e Água'!F350),('Premissas Economias e Água'!F210*12*'Modelo Tarifário'!$D$29*'Modelo Tarifário'!$C$58*'Modelo Tarifário'!$E$39))</f>
        <v>5745047.2875246722</v>
      </c>
      <c r="F74" s="1340">
        <f>IF(((F8*'Modelo Tarifário'!$C$58*'Modelo Tarifário'!$E$39)*('Premissas Economias e Água'!G350))&gt;('Premissas Economias e Água'!G210*12*'Modelo Tarifário'!$D$29*'Modelo Tarifário'!$C$58*'Modelo Tarifário'!$E$39),(F8*'Modelo Tarifário'!$C$58*'Modelo Tarifário'!$E$39)*('Premissas Economias e Água'!G350),('Premissas Economias e Água'!G210*12*'Modelo Tarifário'!$D$29*'Modelo Tarifário'!$C$58*'Modelo Tarifário'!$E$39))</f>
        <v>5775927.8327846481</v>
      </c>
      <c r="G74" s="1340">
        <f>IF(((G8*'Modelo Tarifário'!$C$58*'Modelo Tarifário'!$E$39)*('Premissas Economias e Água'!H350))&gt;('Premissas Economias e Água'!H210*12*'Modelo Tarifário'!$D$29*'Modelo Tarifário'!$C$58*'Modelo Tarifário'!$E$39),(G8*'Modelo Tarifário'!$C$58*'Modelo Tarifário'!$E$39)*('Premissas Economias e Água'!H350),('Premissas Economias e Água'!H210*12*'Modelo Tarifário'!$D$29*'Modelo Tarifário'!$C$58*'Modelo Tarifário'!$E$39))</f>
        <v>5806808.378044623</v>
      </c>
      <c r="H74" s="1340">
        <f>IF(((H8*'Modelo Tarifário'!$C$58*'Modelo Tarifário'!$E$39)*('Premissas Economias e Água'!I350))&gt;('Premissas Economias e Água'!I210*12*'Modelo Tarifário'!$D$29*'Modelo Tarifário'!$C$58*'Modelo Tarifário'!$E$39),(H8*'Modelo Tarifário'!$C$58*'Modelo Tarifário'!$E$39)*('Premissas Economias e Água'!I350),('Premissas Economias e Água'!I210*12*'Modelo Tarifário'!$D$29*'Modelo Tarifário'!$C$58*'Modelo Tarifário'!$E$39))</f>
        <v>5837688.9233045988</v>
      </c>
      <c r="I74" s="1340">
        <f>IF(((I8*'Modelo Tarifário'!$C$58*'Modelo Tarifário'!$E$39)*('Premissas Economias e Água'!J350))&gt;('Premissas Economias e Água'!J210*12*'Modelo Tarifário'!$D$29*'Modelo Tarifário'!$C$58*'Modelo Tarifário'!$E$39),(I8*'Modelo Tarifário'!$C$58*'Modelo Tarifário'!$E$39)*('Premissas Economias e Água'!J350),('Premissas Economias e Água'!J210*12*'Modelo Tarifário'!$D$29*'Modelo Tarifário'!$C$58*'Modelo Tarifário'!$E$39))</f>
        <v>5868569.4685645746</v>
      </c>
      <c r="J74" s="1340">
        <f>IF(((J8*'Modelo Tarifário'!$C$58*'Modelo Tarifário'!$E$39)*('Premissas Economias e Água'!K350))&gt;('Premissas Economias e Água'!K210*12*'Modelo Tarifário'!$D$29*'Modelo Tarifário'!$C$58*'Modelo Tarifário'!$E$39),(J8*'Modelo Tarifário'!$C$58*'Modelo Tarifário'!$E$39)*('Premissas Economias e Água'!K350),('Premissas Economias e Água'!K210*12*'Modelo Tarifário'!$D$29*'Modelo Tarifário'!$C$58*'Modelo Tarifário'!$E$39))</f>
        <v>5899416.7014779914</v>
      </c>
      <c r="K74" s="1340">
        <f>IF(((K8*'Modelo Tarifário'!$C$58*'Modelo Tarifário'!$E$39)*('Premissas Economias e Água'!L350))&gt;('Premissas Economias e Água'!L210*12*'Modelo Tarifário'!$D$29*'Modelo Tarifário'!$C$58*'Modelo Tarifário'!$E$39),(K8*'Modelo Tarifário'!$C$58*'Modelo Tarifário'!$E$39)*('Premissas Economias e Água'!L350),('Premissas Economias e Água'!L210*12*'Modelo Tarifário'!$D$29*'Modelo Tarifário'!$C$58*'Modelo Tarifário'!$E$39))</f>
        <v>5930363.8714310853</v>
      </c>
      <c r="L74" s="1340">
        <f>IF(((L8*'Modelo Tarifário'!$C$58*'Modelo Tarifário'!$E$39)*('Premissas Economias e Água'!M350))&gt;('Premissas Economias e Água'!M210*12*'Modelo Tarifário'!$D$29*'Modelo Tarifário'!$C$58*'Modelo Tarifário'!$E$39),(L8*'Modelo Tarifário'!$C$58*'Modelo Tarifário'!$E$39)*('Premissas Economias e Água'!M350),('Premissas Economias e Água'!M210*12*'Modelo Tarifário'!$D$29*'Modelo Tarifário'!$C$58*'Modelo Tarifário'!$E$39))</f>
        <v>5961311.0413841773</v>
      </c>
      <c r="M74" s="1340">
        <f>IF(((M8*'Modelo Tarifário'!$C$58*'Modelo Tarifário'!$E$39)*('Premissas Economias e Água'!N350))&gt;('Premissas Economias e Água'!N210*12*'Modelo Tarifário'!$D$29*'Modelo Tarifário'!$C$58*'Modelo Tarifário'!$E$39),(M8*'Modelo Tarifário'!$C$58*'Modelo Tarifário'!$E$39)*('Premissas Economias e Água'!N350),('Premissas Economias e Água'!N210*12*'Modelo Tarifário'!$D$29*'Modelo Tarifário'!$C$58*'Modelo Tarifário'!$E$39))</f>
        <v>5992258.2113372693</v>
      </c>
      <c r="N74" s="1340">
        <f>IF(((N8*'Modelo Tarifário'!$C$58*'Modelo Tarifário'!$E$39)*('Premissas Economias e Água'!O350))&gt;('Premissas Economias e Água'!O210*12*'Modelo Tarifário'!$D$29*'Modelo Tarifário'!$C$58*'Modelo Tarifário'!$E$39),(N8*'Modelo Tarifário'!$C$58*'Modelo Tarifário'!$E$39)*('Premissas Economias e Água'!O350),('Premissas Economias e Água'!O210*12*'Modelo Tarifário'!$D$29*'Modelo Tarifário'!$C$58*'Modelo Tarifário'!$E$39))</f>
        <v>6023205.3812903622</v>
      </c>
      <c r="O74" s="1340">
        <f>IF(((O8*'Modelo Tarifário'!$C$58*'Modelo Tarifário'!$E$39)*('Premissas Economias e Água'!P350))&gt;('Premissas Economias e Água'!P210*12*'Modelo Tarifário'!$D$29*'Modelo Tarifário'!$C$58*'Modelo Tarifário'!$E$39),(O8*'Modelo Tarifário'!$C$58*'Modelo Tarifário'!$E$39)*('Premissas Economias e Água'!P350),('Premissas Economias e Água'!P210*12*'Modelo Tarifário'!$D$29*'Modelo Tarifário'!$C$58*'Modelo Tarifário'!$E$39))</f>
        <v>6054085.926550338</v>
      </c>
      <c r="P74" s="1340">
        <f>IF(((P8*'Modelo Tarifário'!$C$58*'Modelo Tarifário'!$E$39)*('Premissas Economias e Água'!Q350))&gt;('Premissas Economias e Água'!Q210*12*'Modelo Tarifário'!$D$29*'Modelo Tarifário'!$C$58*'Modelo Tarifário'!$E$39),(P8*'Modelo Tarifário'!$C$58*'Modelo Tarifário'!$E$39)*('Premissas Economias e Água'!Q350),('Premissas Economias e Água'!Q210*12*'Modelo Tarifário'!$D$29*'Modelo Tarifário'!$C$58*'Modelo Tarifário'!$E$39))</f>
        <v>6074906.1431495668</v>
      </c>
      <c r="Q74" s="1340">
        <f>IF(((Q8*'Modelo Tarifário'!$C$58*'Modelo Tarifário'!$E$39)*('Premissas Economias e Água'!R350))&gt;('Premissas Economias e Água'!R210*12*'Modelo Tarifário'!$D$29*'Modelo Tarifário'!$C$58*'Modelo Tarifário'!$E$39),(Q8*'Modelo Tarifário'!$C$58*'Modelo Tarifário'!$E$39)*('Premissas Economias e Água'!R350),('Premissas Economias e Água'!R210*12*'Modelo Tarifário'!$D$29*'Modelo Tarifário'!$C$58*'Modelo Tarifário'!$E$39))</f>
        <v>6095726.3597487956</v>
      </c>
      <c r="R74" s="1340">
        <f>IF(((R8*'Modelo Tarifário'!$C$58*'Modelo Tarifário'!$E$39)*('Premissas Economias e Água'!S350))&gt;('Premissas Economias e Água'!S210*12*'Modelo Tarifário'!$D$29*'Modelo Tarifário'!$C$58*'Modelo Tarifário'!$E$39),(R8*'Modelo Tarifário'!$C$58*'Modelo Tarifário'!$E$39)*('Premissas Economias e Água'!S350),('Premissas Economias e Água'!S210*12*'Modelo Tarifário'!$D$29*'Modelo Tarifário'!$C$58*'Modelo Tarifário'!$E$39))</f>
        <v>6116546.5763480226</v>
      </c>
      <c r="S74" s="1340">
        <f>IF(((S8*'Modelo Tarifário'!$C$58*'Modelo Tarifário'!$E$39)*('Premissas Economias e Água'!T350))&gt;('Premissas Economias e Água'!T210*12*'Modelo Tarifário'!$D$29*'Modelo Tarifário'!$C$58*'Modelo Tarifário'!$E$39),(S8*'Modelo Tarifário'!$C$58*'Modelo Tarifário'!$E$39)*('Premissas Economias e Água'!T350),('Premissas Economias e Água'!T210*12*'Modelo Tarifário'!$D$29*'Modelo Tarifário'!$C$58*'Modelo Tarifário'!$E$39))</f>
        <v>6137366.7929472513</v>
      </c>
      <c r="T74" s="1340">
        <f>IF(((T8*'Modelo Tarifário'!$C$58*'Modelo Tarifário'!$E$39)*('Premissas Economias e Água'!U350))&gt;('Premissas Economias e Água'!U210*12*'Modelo Tarifário'!$D$29*'Modelo Tarifário'!$C$58*'Modelo Tarifário'!$E$39),(T8*'Modelo Tarifário'!$C$58*'Modelo Tarifário'!$E$39)*('Premissas Economias e Água'!U350),('Premissas Economias e Água'!U210*12*'Modelo Tarifário'!$D$29*'Modelo Tarifário'!$C$58*'Modelo Tarifário'!$E$39))</f>
        <v>6158153.6971999211</v>
      </c>
      <c r="U74" s="1340">
        <f>IF(((U8*'Modelo Tarifário'!$C$58*'Modelo Tarifário'!$E$39)*('Premissas Economias e Água'!V350))&gt;('Premissas Economias e Água'!V210*12*'Modelo Tarifário'!$D$29*'Modelo Tarifário'!$C$58*'Modelo Tarifário'!$E$39),(U8*'Modelo Tarifário'!$C$58*'Modelo Tarifário'!$E$39)*('Premissas Economias e Água'!V350),('Premissas Economias e Água'!V210*12*'Modelo Tarifário'!$D$29*'Modelo Tarifário'!$C$58*'Modelo Tarifário'!$E$39))</f>
        <v>6170712.4518525759</v>
      </c>
      <c r="V74" s="1340">
        <f>IF(((V8*'Modelo Tarifário'!$C$58*'Modelo Tarifário'!$E$39)*('Premissas Economias e Água'!W350))&gt;('Premissas Economias e Água'!W210*12*'Modelo Tarifário'!$D$29*'Modelo Tarifário'!$C$58*'Modelo Tarifário'!$E$39),(V8*'Modelo Tarifário'!$C$58*'Modelo Tarifário'!$E$39)*('Premissas Economias e Água'!W350),('Premissas Economias e Água'!W210*12*'Modelo Tarifário'!$D$29*'Modelo Tarifário'!$C$58*'Modelo Tarifário'!$E$39))</f>
        <v>6183271.2065052316</v>
      </c>
      <c r="W74" s="1340">
        <f>IF(((W8*'Modelo Tarifário'!$C$58*'Modelo Tarifário'!$E$39)*('Premissas Economias e Água'!X350))&gt;('Premissas Economias e Água'!X210*12*'Modelo Tarifário'!$D$29*'Modelo Tarifário'!$C$58*'Modelo Tarifário'!$E$39),(W8*'Modelo Tarifário'!$C$58*'Modelo Tarifário'!$E$39)*('Premissas Economias e Água'!X350),('Premissas Economias e Água'!X210*12*'Modelo Tarifário'!$D$29*'Modelo Tarifário'!$C$58*'Modelo Tarifário'!$E$39))</f>
        <v>6195829.9611578844</v>
      </c>
      <c r="X74" s="1340">
        <f>IF(((X8*'Modelo Tarifário'!$C$58*'Modelo Tarifário'!$E$39)*('Premissas Economias e Água'!Y350))&gt;('Premissas Economias e Água'!Y210*12*'Modelo Tarifário'!$D$29*'Modelo Tarifário'!$C$58*'Modelo Tarifário'!$E$39),(X8*'Modelo Tarifário'!$C$58*'Modelo Tarifário'!$E$39)*('Premissas Economias e Água'!Y350),('Premissas Economias e Água'!Y210*12*'Modelo Tarifário'!$D$29*'Modelo Tarifário'!$C$58*'Modelo Tarifário'!$E$39))</f>
        <v>6208388.7158105392</v>
      </c>
      <c r="Y74" s="1340">
        <f>IF(((Y8*'Modelo Tarifário'!$C$58*'Modelo Tarifário'!$E$39)*('Premissas Economias e Água'!Z350))&gt;('Premissas Economias e Água'!Z210*12*'Modelo Tarifário'!$D$29*'Modelo Tarifário'!$C$58*'Modelo Tarifário'!$E$39),(Y8*'Modelo Tarifário'!$C$58*'Modelo Tarifário'!$E$39)*('Premissas Economias e Água'!Z350),('Premissas Economias e Água'!Z210*12*'Modelo Tarifário'!$D$29*'Modelo Tarifário'!$C$58*'Modelo Tarifário'!$E$39))</f>
        <v>6220914.1581166349</v>
      </c>
      <c r="Z74" s="1340">
        <f>IF(((Z8*'Modelo Tarifário'!$C$58*'Modelo Tarifário'!$E$39)*('Premissas Economias e Água'!AA350))&gt;('Premissas Economias e Água'!AA210*12*'Modelo Tarifário'!$D$29*'Modelo Tarifário'!$C$58*'Modelo Tarifário'!$E$39),(Z8*'Modelo Tarifário'!$C$58*'Modelo Tarifário'!$E$39)*('Premissas Economias e Água'!AA350),('Premissas Economias e Água'!AA210*12*'Modelo Tarifário'!$D$29*'Modelo Tarifário'!$C$58*'Modelo Tarifário'!$E$39))</f>
        <v>6233472.9127692888</v>
      </c>
      <c r="AA74" s="1340">
        <f>IF(((AA8*'Modelo Tarifário'!$C$58*'Modelo Tarifário'!$E$39)*('Premissas Economias e Água'!AB350))&gt;('Premissas Economias e Água'!AB210*12*'Modelo Tarifário'!$D$29*'Modelo Tarifário'!$C$58*'Modelo Tarifário'!$E$39),(AA8*'Modelo Tarifário'!$C$58*'Modelo Tarifário'!$E$39)*('Premissas Economias e Água'!AB350),('Premissas Economias e Água'!AB210*12*'Modelo Tarifário'!$D$29*'Modelo Tarifário'!$C$58*'Modelo Tarifário'!$E$39))</f>
        <v>6246031.6674219444</v>
      </c>
      <c r="AB74" s="1340">
        <f>IF(((AB8*'Modelo Tarifário'!$C$58*'Modelo Tarifário'!$E$39)*('Premissas Economias e Água'!AC350))&gt;('Premissas Economias e Água'!AC210*12*'Modelo Tarifário'!$D$29*'Modelo Tarifário'!$C$58*'Modelo Tarifário'!$E$39),(AB8*'Modelo Tarifário'!$C$58*'Modelo Tarifário'!$E$39)*('Premissas Economias e Água'!AC350),('Premissas Economias e Água'!AC210*12*'Modelo Tarifário'!$D$29*'Modelo Tarifário'!$C$58*'Modelo Tarifário'!$E$39))</f>
        <v>6258590.4220745992</v>
      </c>
      <c r="AC74" s="1340">
        <f>IF(((AC8*'Modelo Tarifário'!$C$58*'Modelo Tarifário'!$E$39)*('Premissas Economias e Água'!AD350))&gt;('Premissas Economias e Água'!AD210*12*'Modelo Tarifário'!$D$29*'Modelo Tarifário'!$C$58*'Modelo Tarifário'!$E$39),(AC8*'Modelo Tarifário'!$C$58*'Modelo Tarifário'!$E$39)*('Premissas Economias e Água'!AD350),('Premissas Economias e Água'!AD210*12*'Modelo Tarifário'!$D$29*'Modelo Tarifário'!$C$58*'Modelo Tarifário'!$E$39))</f>
        <v>6271149.1767272539</v>
      </c>
      <c r="AD74" s="1340">
        <f>IF(((AD8*'Modelo Tarifário'!$C$58*'Modelo Tarifário'!$E$39)*('Premissas Economias e Água'!AE350))&gt;('Premissas Economias e Água'!AE210*12*'Modelo Tarifário'!$D$29*'Modelo Tarifário'!$C$58*'Modelo Tarifário'!$E$39),(AD8*'Modelo Tarifário'!$C$58*'Modelo Tarifário'!$E$39)*('Premissas Economias e Água'!AE350),('Premissas Economias e Água'!AE210*12*'Modelo Tarifário'!$D$29*'Modelo Tarifário'!$C$58*'Modelo Tarifário'!$E$39))</f>
        <v>6283707.9313799078</v>
      </c>
      <c r="AE74" s="1340">
        <f>IF(((AE8*'Modelo Tarifário'!$C$58*'Modelo Tarifário'!$E$39)*('Premissas Economias e Água'!AF350))&gt;('Premissas Economias e Água'!AF210*12*'Modelo Tarifário'!$D$29*'Modelo Tarifário'!$C$58*'Modelo Tarifário'!$E$39),(AE8*'Modelo Tarifário'!$C$58*'Modelo Tarifário'!$E$39)*('Premissas Economias e Água'!AF350),('Premissas Economias e Água'!AF210*12*'Modelo Tarifário'!$D$29*'Modelo Tarifário'!$C$58*'Modelo Tarifário'!$E$39))</f>
        <v>6296266.6860325625</v>
      </c>
      <c r="AF74" s="1340">
        <f>IF(((AF8*'Modelo Tarifário'!$C$58*'Modelo Tarifário'!$E$39)*('Premissas Economias e Água'!AG350))&gt;('Premissas Economias e Água'!AG210*12*'Modelo Tarifário'!$D$29*'Modelo Tarifário'!$C$58*'Modelo Tarifário'!$E$39),(AF8*'Modelo Tarifário'!$C$58*'Modelo Tarifário'!$E$39)*('Premissas Economias e Água'!AG350),('Premissas Economias e Água'!AG210*12*'Modelo Tarifário'!$D$29*'Modelo Tarifário'!$C$58*'Modelo Tarifário'!$E$39))</f>
        <v>6308825.4406852154</v>
      </c>
      <c r="AG74" s="1340">
        <f>IF(((AG8*'Modelo Tarifário'!$C$58*'Modelo Tarifário'!$E$39)*('Premissas Economias e Água'!AH350))&gt;('Premissas Economias e Água'!AH210*12*'Modelo Tarifário'!$D$29*'Modelo Tarifário'!$C$58*'Modelo Tarifário'!$E$39),(AG8*'Modelo Tarifário'!$C$58*'Modelo Tarifário'!$E$39)*('Premissas Economias e Água'!AH350),('Premissas Economias e Água'!AH210*12*'Modelo Tarifário'!$D$29*'Modelo Tarifário'!$C$58*'Modelo Tarifário'!$E$39))</f>
        <v>6321384.1953378711</v>
      </c>
      <c r="AH74" s="1340">
        <f>IF(((AH8*'Modelo Tarifário'!$C$58*'Modelo Tarifário'!$E$39)*('Premissas Economias e Água'!AI350))&gt;('Premissas Economias e Água'!AI210*12*'Modelo Tarifário'!$D$29*'Modelo Tarifário'!$C$58*'Modelo Tarifário'!$E$39),(AH8*'Modelo Tarifário'!$C$58*'Modelo Tarifário'!$E$39)*('Premissas Economias e Água'!AI350),('Premissas Economias e Água'!AI210*12*'Modelo Tarifário'!$D$29*'Modelo Tarifário'!$C$58*'Modelo Tarifário'!$E$39))</f>
        <v>6333942.9499905258</v>
      </c>
    </row>
    <row r="75" spans="2:34" s="79" customFormat="1" ht="12" hidden="1" outlineLevel="1" x14ac:dyDescent="0.3">
      <c r="B75" s="1339"/>
      <c r="C75" s="1335" t="s">
        <v>281</v>
      </c>
      <c r="D75" s="1335"/>
      <c r="E75" s="1340">
        <f>IF(((E8*'Modelo Tarifário'!$C$58*'Modelo Tarifário'!$E$40)*('Premissas Economias e Água'!F351))&gt;('Premissas Economias e Água'!F211*12*'Modelo Tarifário'!$D$29*'Modelo Tarifário'!$C$58*'Modelo Tarifário'!$E$40),(E8*'Modelo Tarifário'!$C$58*'Modelo Tarifário'!$E$40)*('Premissas Economias e Água'!F351),('Premissas Economias e Água'!F211*12*'Modelo Tarifário'!$D$29*'Modelo Tarifário'!$C$58*'Modelo Tarifário'!$E$40))</f>
        <v>3558629.3079312947</v>
      </c>
      <c r="F75" s="1340">
        <f>IF(((F8*'Modelo Tarifário'!$C$58*'Modelo Tarifário'!$E$40)*('Premissas Economias e Água'!G351))&gt;('Premissas Economias e Água'!G211*12*'Modelo Tarifário'!$D$29*'Modelo Tarifário'!$C$58*'Modelo Tarifário'!$E$40),(F8*'Modelo Tarifário'!$C$58*'Modelo Tarifário'!$E$40)*('Premissas Economias e Água'!G351),('Premissas Economias e Água'!G211*12*'Modelo Tarifário'!$D$29*'Modelo Tarifário'!$C$58*'Modelo Tarifário'!$E$40))</f>
        <v>3577757.5079107243</v>
      </c>
      <c r="G75" s="1340">
        <f>IF(((G8*'Modelo Tarifário'!$C$58*'Modelo Tarifário'!$E$40)*('Premissas Economias e Água'!H351))&gt;('Premissas Economias e Água'!H211*12*'Modelo Tarifário'!$D$29*'Modelo Tarifário'!$C$58*'Modelo Tarifário'!$E$40),(G8*'Modelo Tarifário'!$C$58*'Modelo Tarifário'!$E$40)*('Premissas Economias e Água'!H351),('Premissas Economias e Água'!H211*12*'Modelo Tarifário'!$D$29*'Modelo Tarifário'!$C$58*'Modelo Tarifário'!$E$40))</f>
        <v>3596885.7078901525</v>
      </c>
      <c r="H75" s="1340">
        <f>IF(((H8*'Modelo Tarifário'!$C$58*'Modelo Tarifário'!$E$40)*('Premissas Economias e Água'!I351))&gt;('Premissas Economias e Água'!I211*12*'Modelo Tarifário'!$D$29*'Modelo Tarifário'!$C$58*'Modelo Tarifário'!$E$40),(H8*'Modelo Tarifário'!$C$58*'Modelo Tarifário'!$E$40)*('Premissas Economias e Água'!I351),('Premissas Economias e Água'!I211*12*'Modelo Tarifário'!$D$29*'Modelo Tarifário'!$C$58*'Modelo Tarifário'!$E$40))</f>
        <v>3616013.9078695811</v>
      </c>
      <c r="I75" s="1340">
        <f>IF(((I8*'Modelo Tarifário'!$C$58*'Modelo Tarifário'!$E$40)*('Premissas Economias e Água'!J351))&gt;('Premissas Economias e Água'!J211*12*'Modelo Tarifário'!$D$29*'Modelo Tarifário'!$C$58*'Modelo Tarifário'!$E$40),(I8*'Modelo Tarifário'!$C$58*'Modelo Tarifário'!$E$40)*('Premissas Economias e Água'!J351),('Premissas Economias e Água'!J211*12*'Modelo Tarifário'!$D$29*'Modelo Tarifário'!$C$58*'Modelo Tarifário'!$E$40))</f>
        <v>3635142.1078490107</v>
      </c>
      <c r="J75" s="1340">
        <f>IF(((J8*'Modelo Tarifário'!$C$58*'Modelo Tarifário'!$E$40)*('Premissas Economias e Água'!K351))&gt;('Premissas Economias e Água'!K211*12*'Modelo Tarifário'!$D$29*'Modelo Tarifário'!$C$58*'Modelo Tarifário'!$E$40),(J8*'Modelo Tarifário'!$C$58*'Modelo Tarifário'!$E$40)*('Premissas Economias e Água'!K351),('Premissas Economias e Água'!K211*12*'Modelo Tarifário'!$D$29*'Modelo Tarifário'!$C$58*'Modelo Tarifário'!$E$40))</f>
        <v>3654249.6733085052</v>
      </c>
      <c r="K75" s="1340">
        <f>IF(((K8*'Modelo Tarifário'!$C$58*'Modelo Tarifário'!$E$40)*('Premissas Economias e Água'!L351))&gt;('Premissas Economias e Água'!L211*12*'Modelo Tarifário'!$D$29*'Modelo Tarifário'!$C$58*'Modelo Tarifário'!$E$40),(K8*'Modelo Tarifário'!$C$58*'Modelo Tarifário'!$E$40)*('Premissas Economias e Água'!L351),('Premissas Economias e Água'!L211*12*'Modelo Tarifário'!$D$29*'Modelo Tarifário'!$C$58*'Modelo Tarifário'!$E$40))</f>
        <v>3673419.1423278037</v>
      </c>
      <c r="L75" s="1340">
        <f>IF(((L8*'Modelo Tarifário'!$C$58*'Modelo Tarifário'!$E$40)*('Premissas Economias e Água'!M351))&gt;('Premissas Economias e Água'!M211*12*'Modelo Tarifário'!$D$29*'Modelo Tarifário'!$C$58*'Modelo Tarifário'!$E$40),(L8*'Modelo Tarifário'!$C$58*'Modelo Tarifário'!$E$40)*('Premissas Economias e Água'!M351),('Premissas Economias e Água'!M211*12*'Modelo Tarifário'!$D$29*'Modelo Tarifário'!$C$58*'Modelo Tarifário'!$E$40))</f>
        <v>3692588.6113471016</v>
      </c>
      <c r="M75" s="1340">
        <f>IF(((M8*'Modelo Tarifário'!$C$58*'Modelo Tarifário'!$E$40)*('Premissas Economias e Água'!N351))&gt;('Premissas Economias e Água'!N211*12*'Modelo Tarifário'!$D$29*'Modelo Tarifário'!$C$58*'Modelo Tarifário'!$E$40),(M8*'Modelo Tarifário'!$C$58*'Modelo Tarifário'!$E$40)*('Premissas Economias e Água'!N351),('Premissas Economias e Água'!N211*12*'Modelo Tarifário'!$D$29*'Modelo Tarifário'!$C$58*'Modelo Tarifário'!$E$40))</f>
        <v>3711758.0803663991</v>
      </c>
      <c r="N75" s="1340">
        <f>IF(((N8*'Modelo Tarifário'!$C$58*'Modelo Tarifário'!$E$40)*('Premissas Economias e Água'!O351))&gt;('Premissas Economias e Água'!O211*12*'Modelo Tarifário'!$D$29*'Modelo Tarifário'!$C$58*'Modelo Tarifário'!$E$40),(N8*'Modelo Tarifário'!$C$58*'Modelo Tarifário'!$E$40)*('Premissas Economias e Água'!O351),('Premissas Economias e Água'!O211*12*'Modelo Tarifário'!$D$29*'Modelo Tarifário'!$C$58*'Modelo Tarifário'!$E$40))</f>
        <v>3730927.5493856971</v>
      </c>
      <c r="O75" s="1340">
        <f>IF(((O8*'Modelo Tarifário'!$C$58*'Modelo Tarifário'!$E$40)*('Premissas Economias e Água'!P351))&gt;('Premissas Economias e Água'!P211*12*'Modelo Tarifário'!$D$29*'Modelo Tarifário'!$C$58*'Modelo Tarifário'!$E$40),(O8*'Modelo Tarifário'!$C$58*'Modelo Tarifário'!$E$40)*('Premissas Economias e Água'!P351),('Premissas Economias e Água'!P211*12*'Modelo Tarifário'!$D$29*'Modelo Tarifário'!$C$58*'Modelo Tarifário'!$E$40))</f>
        <v>3750055.7493651262</v>
      </c>
      <c r="P75" s="1340">
        <f>IF(((P8*'Modelo Tarifário'!$C$58*'Modelo Tarifário'!$E$40)*('Premissas Economias e Água'!Q351))&gt;('Premissas Economias e Água'!Q211*12*'Modelo Tarifário'!$D$29*'Modelo Tarifário'!$C$58*'Modelo Tarifário'!$E$40),(P8*'Modelo Tarifário'!$C$58*'Modelo Tarifário'!$E$40)*('Premissas Economias e Água'!Q351),('Premissas Economias e Água'!Q211*12*'Modelo Tarifário'!$D$29*'Modelo Tarifário'!$C$58*'Modelo Tarifário'!$E$40))</f>
        <v>3762952.3243242884</v>
      </c>
      <c r="Q75" s="1340">
        <f>IF(((Q8*'Modelo Tarifário'!$C$58*'Modelo Tarifário'!$E$40)*('Premissas Economias e Água'!R351))&gt;('Premissas Economias e Água'!R211*12*'Modelo Tarifário'!$D$29*'Modelo Tarifário'!$C$58*'Modelo Tarifário'!$E$40),(Q8*'Modelo Tarifário'!$C$58*'Modelo Tarifário'!$E$40)*('Premissas Economias e Água'!R351),('Premissas Economias e Água'!R211*12*'Modelo Tarifário'!$D$29*'Modelo Tarifário'!$C$58*'Modelo Tarifário'!$E$40))</f>
        <v>3775848.8992834501</v>
      </c>
      <c r="R75" s="1340">
        <f>IF(((R8*'Modelo Tarifário'!$C$58*'Modelo Tarifário'!$E$40)*('Premissas Economias e Água'!S351))&gt;('Premissas Economias e Água'!S211*12*'Modelo Tarifário'!$D$29*'Modelo Tarifário'!$C$58*'Modelo Tarifário'!$E$40),(R8*'Modelo Tarifário'!$C$58*'Modelo Tarifário'!$E$40)*('Premissas Economias e Água'!S351),('Premissas Economias e Água'!S211*12*'Modelo Tarifário'!$D$29*'Modelo Tarifário'!$C$58*'Modelo Tarifário'!$E$40))</f>
        <v>3788745.4742426118</v>
      </c>
      <c r="S75" s="1340">
        <f>IF(((S8*'Modelo Tarifário'!$C$58*'Modelo Tarifário'!$E$40)*('Premissas Economias e Água'!T351))&gt;('Premissas Economias e Água'!T211*12*'Modelo Tarifário'!$D$29*'Modelo Tarifário'!$C$58*'Modelo Tarifário'!$E$40),(S8*'Modelo Tarifário'!$C$58*'Modelo Tarifário'!$E$40)*('Premissas Economias e Água'!T351),('Premissas Economias e Água'!T211*12*'Modelo Tarifário'!$D$29*'Modelo Tarifário'!$C$58*'Modelo Tarifário'!$E$40))</f>
        <v>3801642.0492017735</v>
      </c>
      <c r="T75" s="1340">
        <f>IF(((T8*'Modelo Tarifário'!$C$58*'Modelo Tarifário'!$E$40)*('Premissas Economias e Água'!U351))&gt;('Premissas Economias e Água'!U211*12*'Modelo Tarifário'!$D$29*'Modelo Tarifário'!$C$58*'Modelo Tarifário'!$E$40),(T8*'Modelo Tarifário'!$C$58*'Modelo Tarifário'!$E$40)*('Premissas Economias e Água'!U351),('Premissas Economias e Água'!U211*12*'Modelo Tarifário'!$D$29*'Modelo Tarifário'!$C$58*'Modelo Tarifário'!$E$40))</f>
        <v>3814517.989641001</v>
      </c>
      <c r="U75" s="1340">
        <f>IF(((U8*'Modelo Tarifário'!$C$58*'Modelo Tarifário'!$E$40)*('Premissas Economias e Água'!V351))&gt;('Premissas Economias e Água'!V211*12*'Modelo Tarifário'!$D$29*'Modelo Tarifário'!$C$58*'Modelo Tarifário'!$E$40),(U8*'Modelo Tarifário'!$C$58*'Modelo Tarifário'!$E$40)*('Premissas Economias e Água'!V351),('Premissas Economias e Água'!V211*12*'Modelo Tarifário'!$D$29*'Modelo Tarifário'!$C$58*'Modelo Tarifário'!$E$40))</f>
        <v>3822297.203656368</v>
      </c>
      <c r="V75" s="1340">
        <f>IF(((V8*'Modelo Tarifário'!$C$58*'Modelo Tarifário'!$E$40)*('Premissas Economias e Água'!W351))&gt;('Premissas Economias e Água'!W211*12*'Modelo Tarifário'!$D$29*'Modelo Tarifário'!$C$58*'Modelo Tarifário'!$E$40),(V8*'Modelo Tarifário'!$C$58*'Modelo Tarifário'!$E$40)*('Premissas Economias e Água'!W351),('Premissas Economias e Água'!W211*12*'Modelo Tarifário'!$D$29*'Modelo Tarifário'!$C$58*'Modelo Tarifário'!$E$40))</f>
        <v>3830076.4176717349</v>
      </c>
      <c r="W75" s="1340">
        <f>IF(((W8*'Modelo Tarifário'!$C$58*'Modelo Tarifário'!$E$40)*('Premissas Economias e Água'!X351))&gt;('Premissas Economias e Água'!X211*12*'Modelo Tarifário'!$D$29*'Modelo Tarifário'!$C$58*'Modelo Tarifário'!$E$40),(W8*'Modelo Tarifário'!$C$58*'Modelo Tarifário'!$E$40)*('Premissas Economias e Água'!X351),('Premissas Economias e Água'!X211*12*'Modelo Tarifário'!$D$29*'Modelo Tarifário'!$C$58*'Modelo Tarifário'!$E$40))</f>
        <v>3837855.631687101</v>
      </c>
      <c r="X75" s="1340">
        <f>IF(((X8*'Modelo Tarifário'!$C$58*'Modelo Tarifário'!$E$40)*('Premissas Economias e Água'!Y351))&gt;('Premissas Economias e Água'!Y211*12*'Modelo Tarifário'!$D$29*'Modelo Tarifário'!$C$58*'Modelo Tarifário'!$E$40),(X8*'Modelo Tarifário'!$C$58*'Modelo Tarifário'!$E$40)*('Premissas Economias e Água'!Y351),('Premissas Economias e Água'!Y211*12*'Modelo Tarifário'!$D$29*'Modelo Tarifário'!$C$58*'Modelo Tarifário'!$E$40))</f>
        <v>3845634.8457024661</v>
      </c>
      <c r="Y75" s="1340">
        <f>IF(((Y8*'Modelo Tarifário'!$C$58*'Modelo Tarifário'!$E$40)*('Premissas Economias e Água'!Z351))&gt;('Premissas Economias e Água'!Z211*12*'Modelo Tarifário'!$D$29*'Modelo Tarifário'!$C$58*'Modelo Tarifário'!$E$40),(Y8*'Modelo Tarifário'!$C$58*'Modelo Tarifário'!$E$40)*('Premissas Economias e Água'!Z351),('Premissas Economias e Água'!Z211*12*'Modelo Tarifário'!$D$29*'Modelo Tarifário'!$C$58*'Modelo Tarifário'!$E$40))</f>
        <v>3853393.4251978989</v>
      </c>
      <c r="Z75" s="1340">
        <f>IF(((Z8*'Modelo Tarifário'!$C$58*'Modelo Tarifário'!$E$40)*('Premissas Economias e Água'!AA351))&gt;('Premissas Economias e Água'!AA211*12*'Modelo Tarifário'!$D$29*'Modelo Tarifário'!$C$58*'Modelo Tarifário'!$E$40),(Z8*'Modelo Tarifário'!$C$58*'Modelo Tarifário'!$E$40)*('Premissas Economias e Água'!AA351),('Premissas Economias e Água'!AA211*12*'Modelo Tarifário'!$D$29*'Modelo Tarifário'!$C$58*'Modelo Tarifário'!$E$40))</f>
        <v>3861172.6392132649</v>
      </c>
      <c r="AA75" s="1340">
        <f>IF(((AA8*'Modelo Tarifário'!$C$58*'Modelo Tarifário'!$E$40)*('Premissas Economias e Água'!AB351))&gt;('Premissas Economias e Água'!AB211*12*'Modelo Tarifário'!$D$29*'Modelo Tarifário'!$C$58*'Modelo Tarifário'!$E$40),(AA8*'Modelo Tarifário'!$C$58*'Modelo Tarifário'!$E$40)*('Premissas Economias e Água'!AB351),('Premissas Economias e Água'!AB211*12*'Modelo Tarifário'!$D$29*'Modelo Tarifário'!$C$58*'Modelo Tarifário'!$E$40))</f>
        <v>3868951.8532286324</v>
      </c>
      <c r="AB75" s="1340">
        <f>IF(((AB8*'Modelo Tarifário'!$C$58*'Modelo Tarifário'!$E$40)*('Premissas Economias e Água'!AC351))&gt;('Premissas Economias e Água'!AC211*12*'Modelo Tarifário'!$D$29*'Modelo Tarifário'!$C$58*'Modelo Tarifário'!$E$40),(AB8*'Modelo Tarifário'!$C$58*'Modelo Tarifário'!$E$40)*('Premissas Economias e Água'!AC351),('Premissas Economias e Água'!AC211*12*'Modelo Tarifário'!$D$29*'Modelo Tarifário'!$C$58*'Modelo Tarifário'!$E$40))</f>
        <v>3876731.0672439984</v>
      </c>
      <c r="AC75" s="1340">
        <f>IF(((AC8*'Modelo Tarifário'!$C$58*'Modelo Tarifário'!$E$40)*('Premissas Economias e Água'!AD351))&gt;('Premissas Economias e Água'!AD211*12*'Modelo Tarifário'!$D$29*'Modelo Tarifário'!$C$58*'Modelo Tarifário'!$E$40),(AC8*'Modelo Tarifário'!$C$58*'Modelo Tarifário'!$E$40)*('Premissas Economias e Água'!AD351),('Premissas Economias e Água'!AD211*12*'Modelo Tarifário'!$D$29*'Modelo Tarifário'!$C$58*'Modelo Tarifário'!$E$40))</f>
        <v>3884510.2812593649</v>
      </c>
      <c r="AD75" s="1340">
        <f>IF(((AD8*'Modelo Tarifário'!$C$58*'Modelo Tarifário'!$E$40)*('Premissas Economias e Água'!AE351))&gt;('Premissas Economias e Água'!AE211*12*'Modelo Tarifário'!$D$29*'Modelo Tarifário'!$C$58*'Modelo Tarifário'!$E$40),(AD8*'Modelo Tarifário'!$C$58*'Modelo Tarifário'!$E$40)*('Premissas Economias e Água'!AE351),('Premissas Economias e Água'!AE211*12*'Modelo Tarifário'!$D$29*'Modelo Tarifário'!$C$58*'Modelo Tarifário'!$E$40))</f>
        <v>3892289.4952747314</v>
      </c>
      <c r="AE75" s="1340">
        <f>IF(((AE8*'Modelo Tarifário'!$C$58*'Modelo Tarifário'!$E$40)*('Premissas Economias e Água'!AF351))&gt;('Premissas Economias e Água'!AF211*12*'Modelo Tarifário'!$D$29*'Modelo Tarifário'!$C$58*'Modelo Tarifário'!$E$40),(AE8*'Modelo Tarifário'!$C$58*'Modelo Tarifário'!$E$40)*('Premissas Economias e Água'!AF351),('Premissas Economias e Água'!AF211*12*'Modelo Tarifário'!$D$29*'Modelo Tarifário'!$C$58*'Modelo Tarifário'!$E$40))</f>
        <v>3900068.7092900984</v>
      </c>
      <c r="AF75" s="1340">
        <f>IF(((AF8*'Modelo Tarifário'!$C$58*'Modelo Tarifário'!$E$40)*('Premissas Economias e Água'!AG351))&gt;('Premissas Economias e Água'!AG211*12*'Modelo Tarifário'!$D$29*'Modelo Tarifário'!$C$58*'Modelo Tarifário'!$E$40),(AF8*'Modelo Tarifário'!$C$58*'Modelo Tarifário'!$E$40)*('Premissas Economias e Água'!AG351),('Premissas Economias e Água'!AG211*12*'Modelo Tarifário'!$D$29*'Modelo Tarifário'!$C$58*'Modelo Tarifário'!$E$40))</f>
        <v>3907847.923305464</v>
      </c>
      <c r="AG75" s="1340">
        <f>IF(((AG8*'Modelo Tarifário'!$C$58*'Modelo Tarifário'!$E$40)*('Premissas Economias e Água'!AH351))&gt;('Premissas Economias e Água'!AH211*12*'Modelo Tarifário'!$D$29*'Modelo Tarifário'!$C$58*'Modelo Tarifário'!$E$40),(AG8*'Modelo Tarifário'!$C$58*'Modelo Tarifário'!$E$40)*('Premissas Economias e Água'!AH351),('Premissas Economias e Água'!AH211*12*'Modelo Tarifário'!$D$29*'Modelo Tarifário'!$C$58*'Modelo Tarifário'!$E$40))</f>
        <v>3915627.1373208305</v>
      </c>
      <c r="AH75" s="1340">
        <f>IF(((AH8*'Modelo Tarifário'!$C$58*'Modelo Tarifário'!$E$40)*('Premissas Economias e Água'!AI351))&gt;('Premissas Economias e Água'!AI211*12*'Modelo Tarifário'!$D$29*'Modelo Tarifário'!$C$58*'Modelo Tarifário'!$E$40),(AH8*'Modelo Tarifário'!$C$58*'Modelo Tarifário'!$E$40)*('Premissas Economias e Água'!AI351),('Premissas Economias e Água'!AI211*12*'Modelo Tarifário'!$D$29*'Modelo Tarifário'!$C$58*'Modelo Tarifário'!$E$40))</f>
        <v>3923406.3513361965</v>
      </c>
    </row>
    <row r="76" spans="2:34" s="79" customFormat="1" ht="12" hidden="1" outlineLevel="1" x14ac:dyDescent="0.3">
      <c r="B76" s="1339"/>
      <c r="C76" s="1335" t="s">
        <v>282</v>
      </c>
      <c r="D76" s="1335"/>
      <c r="E76" s="1340">
        <f>IF(((E8*'Modelo Tarifário'!$C$58*'Modelo Tarifário'!$E$41)*('Premissas Economias e Água'!F352))&gt;('Premissas Economias e Água'!F212*12*'Modelo Tarifário'!$D$29*'Modelo Tarifário'!$C$58*'Modelo Tarifário'!$E$41),(E8*'Modelo Tarifário'!$C$58*'Modelo Tarifário'!$E$41)*('Premissas Economias e Água'!F352),('Premissas Economias e Água'!F212*12*'Modelo Tarifário'!$D$29*'Modelo Tarifário'!$C$58*'Modelo Tarifário'!$E$41))</f>
        <v>3275292.4831603472</v>
      </c>
      <c r="F76" s="1340">
        <f>IF(((F8*'Modelo Tarifário'!$C$58*'Modelo Tarifário'!$E$41)*('Premissas Economias e Água'!G352))&gt;('Premissas Economias e Água'!G212*12*'Modelo Tarifário'!$D$29*'Modelo Tarifário'!$C$58*'Modelo Tarifário'!$E$41),(F8*'Modelo Tarifário'!$C$58*'Modelo Tarifário'!$E$41)*('Premissas Economias e Água'!G352),('Premissas Economias e Água'!G212*12*'Modelo Tarifário'!$D$29*'Modelo Tarifário'!$C$58*'Modelo Tarifário'!$E$41))</f>
        <v>3292897.7025265163</v>
      </c>
      <c r="G76" s="1340">
        <f>IF(((G8*'Modelo Tarifário'!$C$58*'Modelo Tarifário'!$E$41)*('Premissas Economias e Água'!H352))&gt;('Premissas Economias e Água'!H212*12*'Modelo Tarifário'!$D$29*'Modelo Tarifário'!$C$58*'Modelo Tarifário'!$E$41),(G8*'Modelo Tarifário'!$C$58*'Modelo Tarifário'!$E$41)*('Premissas Economias e Água'!H352),('Premissas Economias e Água'!H212*12*'Modelo Tarifário'!$D$29*'Modelo Tarifário'!$C$58*'Modelo Tarifário'!$E$41))</f>
        <v>3310502.9218926858</v>
      </c>
      <c r="H76" s="1340">
        <f>IF(((H8*'Modelo Tarifário'!$C$58*'Modelo Tarifário'!$E$41)*('Premissas Economias e Água'!I352))&gt;('Premissas Economias e Água'!I212*12*'Modelo Tarifário'!$D$29*'Modelo Tarifário'!$C$58*'Modelo Tarifário'!$E$41),(H8*'Modelo Tarifário'!$C$58*'Modelo Tarifário'!$E$41)*('Premissas Economias e Água'!I352),('Premissas Economias e Água'!I212*12*'Modelo Tarifário'!$D$29*'Modelo Tarifário'!$C$58*'Modelo Tarifário'!$E$41))</f>
        <v>3328108.1412588558</v>
      </c>
      <c r="I76" s="1340">
        <f>IF(((I8*'Modelo Tarifário'!$C$58*'Modelo Tarifário'!$E$41)*('Premissas Economias e Água'!J352))&gt;('Premissas Economias e Água'!J212*12*'Modelo Tarifário'!$D$29*'Modelo Tarifário'!$C$58*'Modelo Tarifário'!$E$41),(I8*'Modelo Tarifário'!$C$58*'Modelo Tarifário'!$E$41)*('Premissas Economias e Água'!J352),('Premissas Economias e Água'!J212*12*'Modelo Tarifário'!$D$29*'Modelo Tarifário'!$C$58*'Modelo Tarifário'!$E$41))</f>
        <v>3345713.3606250263</v>
      </c>
      <c r="J76" s="1340">
        <f>IF(((J8*'Modelo Tarifário'!$C$58*'Modelo Tarifário'!$E$41)*('Premissas Economias e Água'!K352))&gt;('Premissas Economias e Água'!K212*12*'Modelo Tarifário'!$D$29*'Modelo Tarifário'!$C$58*'Modelo Tarifário'!$E$41),(J8*'Modelo Tarifário'!$C$58*'Modelo Tarifário'!$E$41)*('Premissas Economias e Água'!K352),('Premissas Economias e Água'!K212*12*'Modelo Tarifário'!$D$29*'Modelo Tarifário'!$C$58*'Modelo Tarifário'!$E$41))</f>
        <v>3363299.588384544</v>
      </c>
      <c r="K76" s="1340">
        <f>IF(((K8*'Modelo Tarifário'!$C$58*'Modelo Tarifário'!$E$41)*('Premissas Economias e Água'!L352))&gt;('Premissas Economias e Água'!L212*12*'Modelo Tarifário'!$D$29*'Modelo Tarifário'!$C$58*'Modelo Tarifário'!$E$41),(K8*'Modelo Tarifário'!$C$58*'Modelo Tarifário'!$E$41)*('Premissas Economias e Água'!L352),('Premissas Economias e Água'!L212*12*'Modelo Tarifário'!$D$29*'Modelo Tarifário'!$C$58*'Modelo Tarifário'!$E$41))</f>
        <v>3380942.7909640176</v>
      </c>
      <c r="L76" s="1340">
        <f>IF(((L8*'Modelo Tarifário'!$C$58*'Modelo Tarifário'!$E$41)*('Premissas Economias e Água'!M352))&gt;('Premissas Economias e Água'!M212*12*'Modelo Tarifário'!$D$29*'Modelo Tarifário'!$C$58*'Modelo Tarifário'!$E$41),(L8*'Modelo Tarifário'!$C$58*'Modelo Tarifário'!$E$41)*('Premissas Economias e Água'!M352),('Premissas Economias e Água'!M212*12*'Modelo Tarifário'!$D$29*'Modelo Tarifário'!$C$58*'Modelo Tarifário'!$E$41))</f>
        <v>3398585.9935434903</v>
      </c>
      <c r="M76" s="1340">
        <f>IF(((M8*'Modelo Tarifário'!$C$58*'Modelo Tarifário'!$E$41)*('Premissas Economias e Água'!N352))&gt;('Premissas Economias e Água'!N212*12*'Modelo Tarifário'!$D$29*'Modelo Tarifário'!$C$58*'Modelo Tarifário'!$E$41),(M8*'Modelo Tarifário'!$C$58*'Modelo Tarifário'!$E$41)*('Premissas Economias e Água'!N352),('Premissas Economias e Água'!N212*12*'Modelo Tarifário'!$D$29*'Modelo Tarifário'!$C$58*'Modelo Tarifário'!$E$41))</f>
        <v>3416229.1961229634</v>
      </c>
      <c r="N76" s="1340">
        <f>IF(((N8*'Modelo Tarifário'!$C$58*'Modelo Tarifário'!$E$41)*('Premissas Economias e Água'!O352))&gt;('Premissas Economias e Água'!O212*12*'Modelo Tarifário'!$D$29*'Modelo Tarifário'!$C$58*'Modelo Tarifário'!$E$41),(N8*'Modelo Tarifário'!$C$58*'Modelo Tarifário'!$E$41)*('Premissas Economias e Água'!O352),('Premissas Economias e Água'!O212*12*'Modelo Tarifário'!$D$29*'Modelo Tarifário'!$C$58*'Modelo Tarifário'!$E$41))</f>
        <v>3433872.3987024366</v>
      </c>
      <c r="O76" s="1340">
        <f>IF(((O8*'Modelo Tarifário'!$C$58*'Modelo Tarifário'!$E$41)*('Premissas Economias e Água'!P352))&gt;('Premissas Economias e Água'!P212*12*'Modelo Tarifário'!$D$29*'Modelo Tarifário'!$C$58*'Modelo Tarifário'!$E$41),(O8*'Modelo Tarifário'!$C$58*'Modelo Tarifário'!$E$41)*('Premissas Economias e Água'!P352),('Premissas Economias e Água'!P212*12*'Modelo Tarifário'!$D$29*'Modelo Tarifário'!$C$58*'Modelo Tarifário'!$E$41))</f>
        <v>3451477.6180686066</v>
      </c>
      <c r="P76" s="1340">
        <f>IF(((P8*'Modelo Tarifário'!$C$58*'Modelo Tarifário'!$E$41)*('Premissas Economias e Água'!Q352))&gt;('Premissas Economias e Água'!Q212*12*'Modelo Tarifário'!$D$29*'Modelo Tarifário'!$C$58*'Modelo Tarifário'!$E$41),(P8*'Modelo Tarifário'!$C$58*'Modelo Tarifário'!$E$41)*('Premissas Economias e Água'!Q352),('Premissas Economias e Água'!Q212*12*'Modelo Tarifário'!$D$29*'Modelo Tarifário'!$C$58*'Modelo Tarifário'!$E$41))</f>
        <v>3463347.3722259491</v>
      </c>
      <c r="Q76" s="1340">
        <f>IF(((Q8*'Modelo Tarifário'!$C$58*'Modelo Tarifário'!$E$41)*('Premissas Economias e Água'!R352))&gt;('Premissas Economias e Água'!R212*12*'Modelo Tarifário'!$D$29*'Modelo Tarifário'!$C$58*'Modelo Tarifário'!$E$41),(Q8*'Modelo Tarifário'!$C$58*'Modelo Tarifário'!$E$41)*('Premissas Economias e Água'!R352),('Premissas Economias e Água'!R212*12*'Modelo Tarifário'!$D$29*'Modelo Tarifário'!$C$58*'Modelo Tarifário'!$E$41))</f>
        <v>3475217.1263832911</v>
      </c>
      <c r="R76" s="1340">
        <f>IF(((R8*'Modelo Tarifário'!$C$58*'Modelo Tarifário'!$E$41)*('Premissas Economias e Água'!S352))&gt;('Premissas Economias e Água'!S212*12*'Modelo Tarifário'!$D$29*'Modelo Tarifário'!$C$58*'Modelo Tarifário'!$E$41),(R8*'Modelo Tarifário'!$C$58*'Modelo Tarifário'!$E$41)*('Premissas Economias e Água'!S352),('Premissas Economias e Água'!S212*12*'Modelo Tarifário'!$D$29*'Modelo Tarifário'!$C$58*'Modelo Tarifário'!$E$41))</f>
        <v>3487086.8805406326</v>
      </c>
      <c r="S76" s="1340">
        <f>IF(((S8*'Modelo Tarifário'!$C$58*'Modelo Tarifário'!$E$41)*('Premissas Economias e Água'!T352))&gt;('Premissas Economias e Água'!T212*12*'Modelo Tarifário'!$D$29*'Modelo Tarifário'!$C$58*'Modelo Tarifário'!$E$41),(S8*'Modelo Tarifário'!$C$58*'Modelo Tarifário'!$E$41)*('Premissas Economias e Água'!T352),('Premissas Economias e Água'!T212*12*'Modelo Tarifário'!$D$29*'Modelo Tarifário'!$C$58*'Modelo Tarifário'!$E$41))</f>
        <v>3498956.6346979751</v>
      </c>
      <c r="T76" s="1340">
        <f>IF(((T8*'Modelo Tarifário'!$C$58*'Modelo Tarifário'!$E$41)*('Premissas Economias e Água'!U352))&gt;('Premissas Economias e Água'!U212*12*'Modelo Tarifário'!$D$29*'Modelo Tarifário'!$C$58*'Modelo Tarifário'!$E$41),(T8*'Modelo Tarifário'!$C$58*'Modelo Tarifário'!$E$41)*('Premissas Economias e Água'!U352),('Premissas Economias e Água'!U212*12*'Modelo Tarifário'!$D$29*'Modelo Tarifário'!$C$58*'Modelo Tarifário'!$E$41))</f>
        <v>3510807.3972486653</v>
      </c>
      <c r="U76" s="1340">
        <f>IF(((U8*'Modelo Tarifário'!$C$58*'Modelo Tarifário'!$E$41)*('Premissas Economias e Água'!V352))&gt;('Premissas Economias e Água'!V212*12*'Modelo Tarifário'!$D$29*'Modelo Tarifário'!$C$58*'Modelo Tarifário'!$E$41),(U8*'Modelo Tarifário'!$C$58*'Modelo Tarifário'!$E$41)*('Premissas Economias e Água'!V352),('Premissas Economias e Água'!V212*12*'Modelo Tarifário'!$D$29*'Modelo Tarifário'!$C$58*'Modelo Tarifário'!$E$41))</f>
        <v>3517967.2329563741</v>
      </c>
      <c r="V76" s="1340">
        <f>IF(((V8*'Modelo Tarifário'!$C$58*'Modelo Tarifário'!$E$41)*('Premissas Economias e Água'!W352))&gt;('Premissas Economias e Água'!W212*12*'Modelo Tarifário'!$D$29*'Modelo Tarifário'!$C$58*'Modelo Tarifário'!$E$41),(V8*'Modelo Tarifário'!$C$58*'Modelo Tarifário'!$E$41)*('Premissas Economias e Água'!W352),('Premissas Economias e Água'!W212*12*'Modelo Tarifário'!$D$29*'Modelo Tarifário'!$C$58*'Modelo Tarifário'!$E$41))</f>
        <v>3525127.0686640833</v>
      </c>
      <c r="W76" s="1340">
        <f>IF(((W8*'Modelo Tarifário'!$C$58*'Modelo Tarifário'!$E$41)*('Premissas Economias e Água'!X352))&gt;('Premissas Economias e Água'!X212*12*'Modelo Tarifário'!$D$29*'Modelo Tarifário'!$C$58*'Modelo Tarifário'!$E$41),(W8*'Modelo Tarifário'!$C$58*'Modelo Tarifário'!$E$41)*('Premissas Economias e Água'!X352),('Premissas Economias e Água'!X212*12*'Modelo Tarifário'!$D$29*'Modelo Tarifário'!$C$58*'Modelo Tarifário'!$E$41))</f>
        <v>3532286.904371792</v>
      </c>
      <c r="X76" s="1340">
        <f>IF(((X8*'Modelo Tarifário'!$C$58*'Modelo Tarifário'!$E$41)*('Premissas Economias e Água'!Y352))&gt;('Premissas Economias e Água'!Y212*12*'Modelo Tarifário'!$D$29*'Modelo Tarifário'!$C$58*'Modelo Tarifário'!$E$41),(X8*'Modelo Tarifário'!$C$58*'Modelo Tarifário'!$E$41)*('Premissas Economias e Água'!Y352),('Premissas Economias e Água'!Y212*12*'Modelo Tarifário'!$D$29*'Modelo Tarifário'!$C$58*'Modelo Tarifário'!$E$41))</f>
        <v>3539446.7400794998</v>
      </c>
      <c r="Y76" s="1340">
        <f>IF(((Y8*'Modelo Tarifário'!$C$58*'Modelo Tarifário'!$E$41)*('Premissas Economias e Água'!Z352))&gt;('Premissas Economias e Água'!Z212*12*'Modelo Tarifário'!$D$29*'Modelo Tarifário'!$C$58*'Modelo Tarifário'!$E$41),(Y8*'Modelo Tarifário'!$C$58*'Modelo Tarifário'!$E$41)*('Premissas Economias e Água'!Z352),('Premissas Economias e Água'!Z212*12*'Modelo Tarifário'!$D$29*'Modelo Tarifário'!$C$58*'Modelo Tarifário'!$E$41))</f>
        <v>3546587.5841805576</v>
      </c>
      <c r="Z76" s="1340">
        <f>IF(((Z8*'Modelo Tarifário'!$C$58*'Modelo Tarifário'!$E$41)*('Premissas Economias e Água'!AA352))&gt;('Premissas Economias e Água'!AA212*12*'Modelo Tarifário'!$D$29*'Modelo Tarifário'!$C$58*'Modelo Tarifário'!$E$41),(Z8*'Modelo Tarifário'!$C$58*'Modelo Tarifário'!$E$41)*('Premissas Economias e Água'!AA352),('Premissas Economias e Água'!AA212*12*'Modelo Tarifário'!$D$29*'Modelo Tarifário'!$C$58*'Modelo Tarifário'!$E$41))</f>
        <v>3553747.4198882659</v>
      </c>
      <c r="AA76" s="1340">
        <f>IF(((AA8*'Modelo Tarifário'!$C$58*'Modelo Tarifário'!$E$41)*('Premissas Economias e Água'!AB352))&gt;('Premissas Economias e Água'!AB212*12*'Modelo Tarifário'!$D$29*'Modelo Tarifário'!$C$58*'Modelo Tarifário'!$E$41),(AA8*'Modelo Tarifário'!$C$58*'Modelo Tarifário'!$E$41)*('Premissas Economias e Água'!AB352),('Premissas Economias e Água'!AB212*12*'Modelo Tarifário'!$D$29*'Modelo Tarifário'!$C$58*'Modelo Tarifário'!$E$41))</f>
        <v>3560907.2555959756</v>
      </c>
      <c r="AB76" s="1340">
        <f>IF(((AB8*'Modelo Tarifário'!$C$58*'Modelo Tarifário'!$E$41)*('Premissas Economias e Água'!AC352))&gt;('Premissas Economias e Água'!AC212*12*'Modelo Tarifário'!$D$29*'Modelo Tarifário'!$C$58*'Modelo Tarifário'!$E$41),(AB8*'Modelo Tarifário'!$C$58*'Modelo Tarifário'!$E$41)*('Premissas Economias e Água'!AC352),('Premissas Economias e Água'!AC212*12*'Modelo Tarifário'!$D$29*'Modelo Tarifário'!$C$58*'Modelo Tarifário'!$E$41))</f>
        <v>3568067.0913036838</v>
      </c>
      <c r="AC76" s="1340">
        <f>IF(((AC8*'Modelo Tarifário'!$C$58*'Modelo Tarifário'!$E$41)*('Premissas Economias e Água'!AD352))&gt;('Premissas Economias e Água'!AD212*12*'Modelo Tarifário'!$D$29*'Modelo Tarifário'!$C$58*'Modelo Tarifário'!$E$41),(AC8*'Modelo Tarifário'!$C$58*'Modelo Tarifário'!$E$41)*('Premissas Economias e Água'!AD352),('Premissas Economias e Água'!AD212*12*'Modelo Tarifário'!$D$29*'Modelo Tarifário'!$C$58*'Modelo Tarifário'!$E$41))</f>
        <v>3575226.9270113925</v>
      </c>
      <c r="AD76" s="1340">
        <f>IF(((AD8*'Modelo Tarifário'!$C$58*'Modelo Tarifário'!$E$41)*('Premissas Economias e Água'!AE352))&gt;('Premissas Economias e Água'!AE212*12*'Modelo Tarifário'!$D$29*'Modelo Tarifário'!$C$58*'Modelo Tarifário'!$E$41),(AD8*'Modelo Tarifário'!$C$58*'Modelo Tarifário'!$E$41)*('Premissas Economias e Água'!AE352),('Premissas Economias e Água'!AE212*12*'Modelo Tarifário'!$D$29*'Modelo Tarifário'!$C$58*'Modelo Tarifário'!$E$41))</f>
        <v>3582386.7627191017</v>
      </c>
      <c r="AE76" s="1340">
        <f>IF(((AE8*'Modelo Tarifário'!$C$58*'Modelo Tarifário'!$E$41)*('Premissas Economias e Água'!AF352))&gt;('Premissas Economias e Água'!AF212*12*'Modelo Tarifário'!$D$29*'Modelo Tarifário'!$C$58*'Modelo Tarifário'!$E$41),(AE8*'Modelo Tarifário'!$C$58*'Modelo Tarifário'!$E$41)*('Premissas Economias e Água'!AF352),('Premissas Economias e Água'!AF212*12*'Modelo Tarifário'!$D$29*'Modelo Tarifário'!$C$58*'Modelo Tarifário'!$E$41))</f>
        <v>3589546.5984268105</v>
      </c>
      <c r="AF76" s="1340">
        <f>IF(((AF8*'Modelo Tarifário'!$C$58*'Modelo Tarifário'!$E$41)*('Premissas Economias e Água'!AG352))&gt;('Premissas Economias e Água'!AG212*12*'Modelo Tarifário'!$D$29*'Modelo Tarifário'!$C$58*'Modelo Tarifário'!$E$41),(AF8*'Modelo Tarifário'!$C$58*'Modelo Tarifário'!$E$41)*('Premissas Economias e Água'!AG352),('Premissas Economias e Água'!AG212*12*'Modelo Tarifário'!$D$29*'Modelo Tarifário'!$C$58*'Modelo Tarifário'!$E$41))</f>
        <v>3596706.4341345183</v>
      </c>
      <c r="AG76" s="1340">
        <f>IF(((AG8*'Modelo Tarifário'!$C$58*'Modelo Tarifário'!$E$41)*('Premissas Economias e Água'!AH352))&gt;('Premissas Economias e Água'!AH212*12*'Modelo Tarifário'!$D$29*'Modelo Tarifário'!$C$58*'Modelo Tarifário'!$E$41),(AG8*'Modelo Tarifário'!$C$58*'Modelo Tarifário'!$E$41)*('Premissas Economias e Água'!AH352),('Premissas Economias e Água'!AH212*12*'Modelo Tarifário'!$D$29*'Modelo Tarifário'!$C$58*'Modelo Tarifário'!$E$41))</f>
        <v>3603866.2698422279</v>
      </c>
      <c r="AH76" s="1340">
        <f>IF(((AH8*'Modelo Tarifário'!$C$58*'Modelo Tarifário'!$E$41)*('Premissas Economias e Água'!AI352))&gt;('Premissas Economias e Água'!AI212*12*'Modelo Tarifário'!$D$29*'Modelo Tarifário'!$C$58*'Modelo Tarifário'!$E$41),(AH8*'Modelo Tarifário'!$C$58*'Modelo Tarifário'!$E$41)*('Premissas Economias e Água'!AI352),('Premissas Economias e Água'!AI212*12*'Modelo Tarifário'!$D$29*'Modelo Tarifário'!$C$58*'Modelo Tarifário'!$E$41))</f>
        <v>3611026.1055499362</v>
      </c>
    </row>
    <row r="77" spans="2:34" s="79" customFormat="1" ht="12" hidden="1" outlineLevel="1" x14ac:dyDescent="0.3">
      <c r="B77" s="1339"/>
      <c r="C77" s="1335" t="s">
        <v>283</v>
      </c>
      <c r="D77" s="1335"/>
      <c r="E77" s="1340">
        <f>IF(((E8*'Modelo Tarifário'!$C$58*'Modelo Tarifário'!$E$42)*('Premissas Economias e Água'!F353))&gt;('Premissas Economias e Água'!F213*12*'Modelo Tarifário'!$D$29*'Modelo Tarifário'!$C$58*'Modelo Tarifário'!$E$42),(E8*'Modelo Tarifário'!$C$58*'Modelo Tarifário'!$E$42)*('Premissas Economias e Água'!F353),('Premissas Economias e Água'!F213*12*'Modelo Tarifário'!$D$29*'Modelo Tarifário'!$C$58*'Modelo Tarifário'!$E$42))</f>
        <v>397548.11992429662</v>
      </c>
      <c r="F77" s="1340">
        <f>IF(((F8*'Modelo Tarifário'!$C$58*'Modelo Tarifário'!$E$42)*('Premissas Economias e Água'!G353))&gt;('Premissas Economias e Água'!G213*12*'Modelo Tarifário'!$D$29*'Modelo Tarifário'!$C$58*'Modelo Tarifário'!$E$42),(F8*'Modelo Tarifário'!$C$58*'Modelo Tarifário'!$E$42)*('Premissas Economias e Água'!G353),('Premissas Economias e Água'!G213*12*'Modelo Tarifário'!$D$29*'Modelo Tarifário'!$C$58*'Modelo Tarifário'!$E$42))</f>
        <v>399685.00446082582</v>
      </c>
      <c r="G77" s="1340">
        <f>IF(((G8*'Modelo Tarifário'!$C$58*'Modelo Tarifário'!$E$42)*('Premissas Economias e Água'!H353))&gt;('Premissas Economias e Água'!H213*12*'Modelo Tarifário'!$D$29*'Modelo Tarifário'!$C$58*'Modelo Tarifário'!$E$42),(G8*'Modelo Tarifário'!$C$58*'Modelo Tarifário'!$E$42)*('Premissas Economias e Água'!H353),('Premissas Economias e Água'!H213*12*'Modelo Tarifário'!$D$29*'Modelo Tarifário'!$C$58*'Modelo Tarifário'!$E$42))</f>
        <v>401821.88899735489</v>
      </c>
      <c r="H77" s="1340">
        <f>IF(((H8*'Modelo Tarifário'!$C$58*'Modelo Tarifário'!$E$42)*('Premissas Economias e Água'!I353))&gt;('Premissas Economias e Água'!I213*12*'Modelo Tarifário'!$D$29*'Modelo Tarifário'!$C$58*'Modelo Tarifário'!$E$42),(H8*'Modelo Tarifário'!$C$58*'Modelo Tarifário'!$E$42)*('Premissas Economias e Água'!I353),('Premissas Economias e Água'!I213*12*'Modelo Tarifário'!$D$29*'Modelo Tarifário'!$C$58*'Modelo Tarifário'!$E$42))</f>
        <v>403958.7735338842</v>
      </c>
      <c r="I77" s="1340">
        <f>IF(((I8*'Modelo Tarifário'!$C$58*'Modelo Tarifário'!$E$42)*('Premissas Economias e Água'!J353))&gt;('Premissas Economias e Água'!J213*12*'Modelo Tarifário'!$D$29*'Modelo Tarifário'!$C$58*'Modelo Tarifário'!$E$42),(I8*'Modelo Tarifário'!$C$58*'Modelo Tarifário'!$E$42)*('Premissas Economias e Água'!J353),('Premissas Economias e Água'!J213*12*'Modelo Tarifário'!$D$29*'Modelo Tarifário'!$C$58*'Modelo Tarifário'!$E$42))</f>
        <v>406095.65807041334</v>
      </c>
      <c r="J77" s="1340">
        <f>IF(((J8*'Modelo Tarifário'!$C$58*'Modelo Tarifário'!$E$42)*('Premissas Economias e Água'!K353))&gt;('Premissas Economias e Água'!K213*12*'Modelo Tarifário'!$D$29*'Modelo Tarifário'!$C$58*'Modelo Tarifário'!$E$42),(J8*'Modelo Tarifário'!$C$58*'Modelo Tarifário'!$E$42)*('Premissas Economias e Água'!K353),('Premissas Economias e Água'!K213*12*'Modelo Tarifário'!$D$29*'Modelo Tarifário'!$C$58*'Modelo Tarifário'!$E$42))</f>
        <v>408230.23744563025</v>
      </c>
      <c r="K77" s="1340">
        <f>IF(((K8*'Modelo Tarifário'!$C$58*'Modelo Tarifário'!$E$42)*('Premissas Economias e Água'!L353))&gt;('Premissas Economias e Água'!L213*12*'Modelo Tarifário'!$D$29*'Modelo Tarifário'!$C$58*'Modelo Tarifário'!$E$42),(K8*'Modelo Tarifário'!$C$58*'Modelo Tarifário'!$E$42)*('Premissas Economias e Água'!L353),('Premissas Economias e Água'!L213*12*'Modelo Tarifário'!$D$29*'Modelo Tarifário'!$C$58*'Modelo Tarifário'!$E$42))</f>
        <v>410371.73230478406</v>
      </c>
      <c r="L77" s="1340">
        <f>IF(((L8*'Modelo Tarifário'!$C$58*'Modelo Tarifário'!$E$42)*('Premissas Economias e Água'!M353))&gt;('Premissas Economias e Água'!M213*12*'Modelo Tarifário'!$D$29*'Modelo Tarifário'!$C$58*'Modelo Tarifário'!$E$42),(L8*'Modelo Tarifário'!$C$58*'Modelo Tarifário'!$E$42)*('Premissas Economias e Água'!M353),('Premissas Economias e Água'!M213*12*'Modelo Tarifário'!$D$29*'Modelo Tarifário'!$C$58*'Modelo Tarifário'!$E$42))</f>
        <v>412513.22716393787</v>
      </c>
      <c r="M77" s="1340">
        <f>IF(((M8*'Modelo Tarifário'!$C$58*'Modelo Tarifário'!$E$42)*('Premissas Economias e Água'!N353))&gt;('Premissas Economias e Água'!N213*12*'Modelo Tarifário'!$D$29*'Modelo Tarifário'!$C$58*'Modelo Tarifário'!$E$42),(M8*'Modelo Tarifário'!$C$58*'Modelo Tarifário'!$E$42)*('Premissas Economias e Água'!N353),('Premissas Economias e Água'!N213*12*'Modelo Tarifário'!$D$29*'Modelo Tarifário'!$C$58*'Modelo Tarifário'!$E$42))</f>
        <v>414654.7220230918</v>
      </c>
      <c r="N77" s="1340">
        <f>IF(((N8*'Modelo Tarifário'!$C$58*'Modelo Tarifário'!$E$42)*('Premissas Economias e Água'!O353))&gt;('Premissas Economias e Água'!O213*12*'Modelo Tarifário'!$D$29*'Modelo Tarifário'!$C$58*'Modelo Tarifário'!$E$42),(N8*'Modelo Tarifário'!$C$58*'Modelo Tarifário'!$E$42)*('Premissas Economias e Água'!O353),('Premissas Economias e Água'!O213*12*'Modelo Tarifário'!$D$29*'Modelo Tarifário'!$C$58*'Modelo Tarifário'!$E$42))</f>
        <v>416796.2168822455</v>
      </c>
      <c r="O77" s="1340">
        <f>IF(((O8*'Modelo Tarifário'!$C$58*'Modelo Tarifário'!$E$42)*('Premissas Economias e Água'!P353))&gt;('Premissas Economias e Água'!P213*12*'Modelo Tarifário'!$D$29*'Modelo Tarifário'!$C$58*'Modelo Tarifário'!$E$42),(O8*'Modelo Tarifário'!$C$58*'Modelo Tarifário'!$E$42)*('Premissas Economias e Água'!P353),('Premissas Economias e Água'!P213*12*'Modelo Tarifário'!$D$29*'Modelo Tarifário'!$C$58*'Modelo Tarifário'!$E$42))</f>
        <v>418933.10141877475</v>
      </c>
      <c r="P77" s="1340">
        <f>IF(((P8*'Modelo Tarifário'!$C$58*'Modelo Tarifário'!$E$42)*('Premissas Economias e Água'!Q353))&gt;('Premissas Economias e Água'!Q213*12*'Modelo Tarifário'!$D$29*'Modelo Tarifário'!$C$58*'Modelo Tarifário'!$E$42),(P8*'Modelo Tarifário'!$C$58*'Modelo Tarifário'!$E$42)*('Premissas Economias e Água'!Q353),('Premissas Economias e Água'!Q213*12*'Modelo Tarifário'!$D$29*'Modelo Tarifário'!$C$58*'Modelo Tarifário'!$E$42))</f>
        <v>420373.82723898051</v>
      </c>
      <c r="Q77" s="1340">
        <f>IF(((Q8*'Modelo Tarifário'!$C$58*'Modelo Tarifário'!$E$42)*('Premissas Economias e Água'!R353))&gt;('Premissas Economias e Água'!R213*12*'Modelo Tarifário'!$D$29*'Modelo Tarifário'!$C$58*'Modelo Tarifário'!$E$42),(Q8*'Modelo Tarifário'!$C$58*'Modelo Tarifário'!$E$42)*('Premissas Economias e Água'!R353),('Premissas Economias e Água'!R213*12*'Modelo Tarifário'!$D$29*'Modelo Tarifário'!$C$58*'Modelo Tarifário'!$E$42))</f>
        <v>421814.55305918626</v>
      </c>
      <c r="R77" s="1340">
        <f>IF(((R8*'Modelo Tarifário'!$C$58*'Modelo Tarifário'!$E$42)*('Premissas Economias e Água'!S353))&gt;('Premissas Economias e Água'!S213*12*'Modelo Tarifário'!$D$29*'Modelo Tarifário'!$C$58*'Modelo Tarifário'!$E$42),(R8*'Modelo Tarifário'!$C$58*'Modelo Tarifário'!$E$42)*('Premissas Economias e Água'!S353),('Premissas Economias e Água'!S213*12*'Modelo Tarifário'!$D$29*'Modelo Tarifário'!$C$58*'Modelo Tarifário'!$E$42))</f>
        <v>423255.27887939208</v>
      </c>
      <c r="S77" s="1340">
        <f>IF(((S8*'Modelo Tarifário'!$C$58*'Modelo Tarifário'!$E$42)*('Premissas Economias e Água'!T353))&gt;('Premissas Economias e Água'!T213*12*'Modelo Tarifário'!$D$29*'Modelo Tarifário'!$C$58*'Modelo Tarifário'!$E$42),(S8*'Modelo Tarifário'!$C$58*'Modelo Tarifário'!$E$42)*('Premissas Economias e Água'!T353),('Premissas Economias e Água'!T213*12*'Modelo Tarifário'!$D$29*'Modelo Tarifário'!$C$58*'Modelo Tarifário'!$E$42))</f>
        <v>424696.00469959772</v>
      </c>
      <c r="T77" s="1340">
        <f>IF(((T8*'Modelo Tarifário'!$C$58*'Modelo Tarifário'!$E$42)*('Premissas Economias e Água'!U353))&gt;('Premissas Economias e Água'!U213*12*'Modelo Tarifário'!$D$29*'Modelo Tarifário'!$C$58*'Modelo Tarifário'!$E$42),(T8*'Modelo Tarifário'!$C$58*'Modelo Tarifário'!$E$42)*('Premissas Economias e Água'!U353),('Premissas Economias e Água'!U213*12*'Modelo Tarifário'!$D$29*'Modelo Tarifário'!$C$58*'Modelo Tarifário'!$E$42))</f>
        <v>426134.42535849119</v>
      </c>
      <c r="U77" s="1340">
        <f>IF(((U8*'Modelo Tarifário'!$C$58*'Modelo Tarifário'!$E$42)*('Premissas Economias e Água'!V353))&gt;('Premissas Economias e Água'!V213*12*'Modelo Tarifário'!$D$29*'Modelo Tarifário'!$C$58*'Modelo Tarifário'!$E$42),(U8*'Modelo Tarifário'!$C$58*'Modelo Tarifário'!$E$42)*('Premissas Economias e Água'!V353),('Premissas Economias e Água'!V213*12*'Modelo Tarifário'!$D$29*'Modelo Tarifário'!$C$58*'Modelo Tarifário'!$E$42))</f>
        <v>427003.47117323935</v>
      </c>
      <c r="V77" s="1340">
        <f>IF(((V8*'Modelo Tarifário'!$C$58*'Modelo Tarifário'!$E$42)*('Premissas Economias e Água'!W353))&gt;('Premissas Economias e Água'!W213*12*'Modelo Tarifário'!$D$29*'Modelo Tarifário'!$C$58*'Modelo Tarifário'!$E$42),(V8*'Modelo Tarifário'!$C$58*'Modelo Tarifário'!$E$42)*('Premissas Economias e Água'!W353),('Premissas Economias e Água'!W213*12*'Modelo Tarifário'!$D$29*'Modelo Tarifário'!$C$58*'Modelo Tarifário'!$E$42))</f>
        <v>427872.5169879875</v>
      </c>
      <c r="W77" s="1340">
        <f>IF(((W8*'Modelo Tarifário'!$C$58*'Modelo Tarifário'!$E$42)*('Premissas Economias e Água'!X353))&gt;('Premissas Economias e Água'!X213*12*'Modelo Tarifário'!$D$29*'Modelo Tarifário'!$C$58*'Modelo Tarifário'!$E$42),(W8*'Modelo Tarifário'!$C$58*'Modelo Tarifário'!$E$42)*('Premissas Economias e Água'!X353),('Premissas Economias e Água'!X213*12*'Modelo Tarifário'!$D$29*'Modelo Tarifário'!$C$58*'Modelo Tarifário'!$E$42))</f>
        <v>428741.5628027356</v>
      </c>
      <c r="X77" s="1340">
        <f>IF(((X8*'Modelo Tarifário'!$C$58*'Modelo Tarifário'!$E$42)*('Premissas Economias e Água'!Y353))&gt;('Premissas Economias e Água'!Y213*12*'Modelo Tarifário'!$D$29*'Modelo Tarifário'!$C$58*'Modelo Tarifário'!$E$42),(X8*'Modelo Tarifário'!$C$58*'Modelo Tarifário'!$E$42)*('Premissas Economias e Água'!Y353),('Premissas Economias e Água'!Y213*12*'Modelo Tarifário'!$D$29*'Modelo Tarifário'!$C$58*'Modelo Tarifário'!$E$42))</f>
        <v>429610.60861748358</v>
      </c>
      <c r="Y77" s="1340">
        <f>IF(((Y8*'Modelo Tarifário'!$C$58*'Modelo Tarifário'!$E$42)*('Premissas Economias e Água'!Z353))&gt;('Premissas Economias e Água'!Z213*12*'Modelo Tarifário'!$D$29*'Modelo Tarifário'!$C$58*'Modelo Tarifário'!$E$42),(Y8*'Modelo Tarifário'!$C$58*'Modelo Tarifário'!$E$42)*('Premissas Economias e Água'!Z353),('Premissas Economias e Água'!Z213*12*'Modelo Tarifário'!$D$29*'Modelo Tarifário'!$C$58*'Modelo Tarifário'!$E$42))</f>
        <v>430477.34927091945</v>
      </c>
      <c r="Z77" s="1340">
        <f>IF(((Z8*'Modelo Tarifário'!$C$58*'Modelo Tarifário'!$E$42)*('Premissas Economias e Água'!AA353))&gt;('Premissas Economias e Água'!AA213*12*'Modelo Tarifário'!$D$29*'Modelo Tarifário'!$C$58*'Modelo Tarifário'!$E$42),(Z8*'Modelo Tarifário'!$C$58*'Modelo Tarifário'!$E$42)*('Premissas Economias e Água'!AA353),('Premissas Economias e Água'!AA213*12*'Modelo Tarifário'!$D$29*'Modelo Tarifário'!$C$58*'Modelo Tarifário'!$E$42))</f>
        <v>431346.39508566761</v>
      </c>
      <c r="AA77" s="1340">
        <f>IF(((AA8*'Modelo Tarifário'!$C$58*'Modelo Tarifário'!$E$42)*('Premissas Economias e Água'!AB353))&gt;('Premissas Economias e Água'!AB213*12*'Modelo Tarifário'!$D$29*'Modelo Tarifário'!$C$58*'Modelo Tarifário'!$E$42),(AA8*'Modelo Tarifário'!$C$58*'Modelo Tarifário'!$E$42)*('Premissas Economias e Água'!AB353),('Premissas Economias e Água'!AB213*12*'Modelo Tarifário'!$D$29*'Modelo Tarifário'!$C$58*'Modelo Tarifário'!$E$42))</f>
        <v>432215.44090041571</v>
      </c>
      <c r="AB77" s="1340">
        <f>IF(((AB8*'Modelo Tarifário'!$C$58*'Modelo Tarifário'!$E$42)*('Premissas Economias e Água'!AC353))&gt;('Premissas Economias e Água'!AC213*12*'Modelo Tarifário'!$D$29*'Modelo Tarifário'!$C$58*'Modelo Tarifário'!$E$42),(AB8*'Modelo Tarifário'!$C$58*'Modelo Tarifário'!$E$42)*('Premissas Economias e Água'!AC353),('Premissas Economias e Água'!AC213*12*'Modelo Tarifário'!$D$29*'Modelo Tarifário'!$C$58*'Modelo Tarifário'!$E$42))</f>
        <v>433084.48671516386</v>
      </c>
      <c r="AC77" s="1340">
        <f>IF(((AC8*'Modelo Tarifário'!$C$58*'Modelo Tarifário'!$E$42)*('Premissas Economias e Água'!AD353))&gt;('Premissas Economias e Água'!AD213*12*'Modelo Tarifário'!$D$29*'Modelo Tarifário'!$C$58*'Modelo Tarifário'!$E$42),(AC8*'Modelo Tarifário'!$C$58*'Modelo Tarifário'!$E$42)*('Premissas Economias e Água'!AD353),('Premissas Economias e Água'!AD213*12*'Modelo Tarifário'!$D$29*'Modelo Tarifário'!$C$58*'Modelo Tarifário'!$E$42))</f>
        <v>433953.5325299119</v>
      </c>
      <c r="AD77" s="1340">
        <f>IF(((AD8*'Modelo Tarifário'!$C$58*'Modelo Tarifário'!$E$42)*('Premissas Economias e Água'!AE353))&gt;('Premissas Economias e Água'!AE213*12*'Modelo Tarifário'!$D$29*'Modelo Tarifário'!$C$58*'Modelo Tarifário'!$E$42),(AD8*'Modelo Tarifário'!$C$58*'Modelo Tarifário'!$E$42)*('Premissas Economias e Água'!AE353),('Premissas Economias e Água'!AE213*12*'Modelo Tarifário'!$D$29*'Modelo Tarifário'!$C$58*'Modelo Tarifário'!$E$42))</f>
        <v>434822.57834466011</v>
      </c>
      <c r="AE77" s="1340">
        <f>IF(((AE8*'Modelo Tarifário'!$C$58*'Modelo Tarifário'!$E$42)*('Premissas Economias e Água'!AF353))&gt;('Premissas Economias e Água'!AF213*12*'Modelo Tarifário'!$D$29*'Modelo Tarifário'!$C$58*'Modelo Tarifário'!$E$42),(AE8*'Modelo Tarifário'!$C$58*'Modelo Tarifário'!$E$42)*('Premissas Economias e Água'!AF353),('Premissas Economias e Água'!AF213*12*'Modelo Tarifário'!$D$29*'Modelo Tarifário'!$C$58*'Modelo Tarifário'!$E$42))</f>
        <v>435691.62415940821</v>
      </c>
      <c r="AF77" s="1340">
        <f>IF(((AF8*'Modelo Tarifário'!$C$58*'Modelo Tarifário'!$E$42)*('Premissas Economias e Água'!AG353))&gt;('Premissas Economias e Água'!AG213*12*'Modelo Tarifário'!$D$29*'Modelo Tarifário'!$C$58*'Modelo Tarifário'!$E$42),(AF8*'Modelo Tarifário'!$C$58*'Modelo Tarifário'!$E$42)*('Premissas Economias e Água'!AG353),('Premissas Economias e Água'!AG213*12*'Modelo Tarifário'!$D$29*'Modelo Tarifário'!$C$58*'Modelo Tarifário'!$E$42))</f>
        <v>436560.66997415625</v>
      </c>
      <c r="AG77" s="1340">
        <f>IF(((AG8*'Modelo Tarifário'!$C$58*'Modelo Tarifário'!$E$42)*('Premissas Economias e Água'!AH353))&gt;('Premissas Economias e Água'!AH213*12*'Modelo Tarifário'!$D$29*'Modelo Tarifário'!$C$58*'Modelo Tarifário'!$E$42),(AG8*'Modelo Tarifário'!$C$58*'Modelo Tarifário'!$E$42)*('Premissas Economias e Água'!AH353),('Premissas Economias e Água'!AH213*12*'Modelo Tarifário'!$D$29*'Modelo Tarifário'!$C$58*'Modelo Tarifário'!$E$42))</f>
        <v>437429.7157889044</v>
      </c>
      <c r="AH77" s="1340">
        <f>IF(((AH8*'Modelo Tarifário'!$C$58*'Modelo Tarifário'!$E$42)*('Premissas Economias e Água'!AI353))&gt;('Premissas Economias e Água'!AI213*12*'Modelo Tarifário'!$D$29*'Modelo Tarifário'!$C$58*'Modelo Tarifário'!$E$42),(AH8*'Modelo Tarifário'!$C$58*'Modelo Tarifário'!$E$42)*('Premissas Economias e Água'!AI353),('Premissas Economias e Água'!AI213*12*'Modelo Tarifário'!$D$29*'Modelo Tarifário'!$C$58*'Modelo Tarifário'!$E$42))</f>
        <v>438298.7616036525</v>
      </c>
    </row>
    <row r="78" spans="2:34" s="79" customFormat="1" ht="12" hidden="1" outlineLevel="1" x14ac:dyDescent="0.3">
      <c r="B78" s="1339"/>
      <c r="C78" s="1335" t="s">
        <v>12</v>
      </c>
      <c r="D78" s="1335"/>
      <c r="E78" s="1340">
        <f>IF(((E8*'Modelo Tarifário'!$C$58*'Modelo Tarifário'!$E$43)*('Premissas Economias e Água'!F354))&gt;('Premissas Economias e Água'!F214*12*'Modelo Tarifário'!$D$29*'Modelo Tarifário'!$C$58*'Modelo Tarifário'!$E$43),(E8*'Modelo Tarifário'!$C$58*'Modelo Tarifário'!$E$43)*('Premissas Economias e Água'!F354),('Premissas Economias e Água'!F214*12*'Modelo Tarifário'!$D$29*'Modelo Tarifário'!$C$58*'Modelo Tarifário'!$E$43))</f>
        <v>5106670.3983055465</v>
      </c>
      <c r="F78" s="1340">
        <f>IF(((F8*'Modelo Tarifário'!$C$58*'Modelo Tarifário'!$E$43)*('Premissas Economias e Água'!G354))&gt;('Premissas Economias e Água'!G214*12*'Modelo Tarifário'!$D$29*'Modelo Tarifário'!$C$58*'Modelo Tarifário'!$E$43),(F8*'Modelo Tarifário'!$C$58*'Modelo Tarifário'!$E$43)*('Premissas Economias e Água'!G354),('Premissas Economias e Água'!G214*12*'Modelo Tarifário'!$D$29*'Modelo Tarifário'!$C$58*'Modelo Tarifário'!$E$43))</f>
        <v>5134119.5659921356</v>
      </c>
      <c r="G78" s="1340">
        <f>IF(((G8*'Modelo Tarifário'!$C$58*'Modelo Tarifário'!$E$43)*('Premissas Economias e Água'!H354))&gt;('Premissas Economias e Água'!H214*12*'Modelo Tarifário'!$D$29*'Modelo Tarifário'!$C$58*'Modelo Tarifário'!$E$43),(G8*'Modelo Tarifário'!$C$58*'Modelo Tarifário'!$E$43)*('Premissas Economias e Água'!H354),('Premissas Economias e Água'!H214*12*'Modelo Tarifário'!$D$29*'Modelo Tarifário'!$C$58*'Modelo Tarifário'!$E$43))</f>
        <v>5161568.7336787246</v>
      </c>
      <c r="H78" s="1340">
        <f>IF(((H8*'Modelo Tarifário'!$C$58*'Modelo Tarifário'!$E$43)*('Premissas Economias e Água'!I354))&gt;('Premissas Economias e Água'!I214*12*'Modelo Tarifário'!$D$29*'Modelo Tarifário'!$C$58*'Modelo Tarifário'!$E$43),(H8*'Modelo Tarifário'!$C$58*'Modelo Tarifário'!$E$43)*('Premissas Economias e Água'!I354),('Premissas Economias e Água'!I214*12*'Modelo Tarifário'!$D$29*'Modelo Tarifário'!$C$58*'Modelo Tarifário'!$E$43))</f>
        <v>5189017.9013653146</v>
      </c>
      <c r="I78" s="1340">
        <f>IF(((I8*'Modelo Tarifário'!$C$58*'Modelo Tarifário'!$E$43)*('Premissas Economias e Água'!J354))&gt;('Premissas Economias e Água'!J214*12*'Modelo Tarifário'!$D$29*'Modelo Tarifário'!$C$58*'Modelo Tarifário'!$E$43),(I8*'Modelo Tarifário'!$C$58*'Modelo Tarifário'!$E$43)*('Premissas Economias e Água'!J354),('Premissas Economias e Água'!J214*12*'Modelo Tarifário'!$D$29*'Modelo Tarifário'!$C$58*'Modelo Tarifário'!$E$43))</f>
        <v>5216467.0690519046</v>
      </c>
      <c r="J78" s="1340">
        <f>IF(((J8*'Modelo Tarifário'!$C$58*'Modelo Tarifário'!$E$43)*('Premissas Economias e Água'!K354))&gt;('Premissas Economias e Água'!K214*12*'Modelo Tarifário'!$D$29*'Modelo Tarifário'!$C$58*'Modelo Tarifário'!$E$43),(J8*'Modelo Tarifário'!$C$58*'Modelo Tarifário'!$E$43)*('Premissas Economias e Água'!K354),('Premissas Economias e Água'!K214*12*'Modelo Tarifário'!$D$29*'Modelo Tarifário'!$C$58*'Modelo Tarifário'!$E$43))</f>
        <v>5243886.6259858655</v>
      </c>
      <c r="K78" s="1340">
        <f>IF(((K8*'Modelo Tarifário'!$C$58*'Modelo Tarifário'!$E$43)*('Premissas Economias e Água'!L354))&gt;('Premissas Economias e Água'!L214*12*'Modelo Tarifário'!$D$29*'Modelo Tarifário'!$C$58*'Modelo Tarifário'!$E$43),(K8*'Modelo Tarifário'!$C$58*'Modelo Tarifário'!$E$43)*('Premissas Economias e Água'!L354),('Premissas Economias e Água'!L214*12*'Modelo Tarifário'!$D$29*'Modelo Tarifário'!$C$58*'Modelo Tarifário'!$E$43))</f>
        <v>5271395.0151777128</v>
      </c>
      <c r="L78" s="1340">
        <f>IF(((L8*'Modelo Tarifário'!$C$58*'Modelo Tarifário'!$E$43)*('Premissas Economias e Água'!M354))&gt;('Premissas Economias e Água'!M214*12*'Modelo Tarifário'!$D$29*'Modelo Tarifário'!$C$58*'Modelo Tarifário'!$E$43),(L8*'Modelo Tarifário'!$C$58*'Modelo Tarifário'!$E$43)*('Premissas Economias e Água'!M354),('Premissas Economias e Água'!M214*12*'Modelo Tarifário'!$D$29*'Modelo Tarifário'!$C$58*'Modelo Tarifário'!$E$43))</f>
        <v>5298903.4043695582</v>
      </c>
      <c r="M78" s="1340">
        <f>IF(((M8*'Modelo Tarifário'!$C$58*'Modelo Tarifário'!$E$43)*('Premissas Economias e Água'!N354))&gt;('Premissas Economias e Água'!N214*12*'Modelo Tarifário'!$D$29*'Modelo Tarifário'!$C$58*'Modelo Tarifário'!$E$43),(M8*'Modelo Tarifário'!$C$58*'Modelo Tarifário'!$E$43)*('Premissas Economias e Água'!N354),('Premissas Economias e Água'!N214*12*'Modelo Tarifário'!$D$29*'Modelo Tarifário'!$C$58*'Modelo Tarifário'!$E$43))</f>
        <v>5326411.7935614055</v>
      </c>
      <c r="N78" s="1340">
        <f>IF(((N8*'Modelo Tarifário'!$C$58*'Modelo Tarifário'!$E$43)*('Premissas Economias e Água'!O354))&gt;('Premissas Economias e Água'!O214*12*'Modelo Tarifário'!$D$29*'Modelo Tarifário'!$C$58*'Modelo Tarifário'!$E$43),(N8*'Modelo Tarifário'!$C$58*'Modelo Tarifário'!$E$43)*('Premissas Economias e Água'!O354),('Premissas Economias e Água'!O214*12*'Modelo Tarifário'!$D$29*'Modelo Tarifário'!$C$58*'Modelo Tarifário'!$E$43))</f>
        <v>5353920.1827532519</v>
      </c>
      <c r="O78" s="1340">
        <f>IF(((O8*'Modelo Tarifário'!$C$58*'Modelo Tarifário'!$E$43)*('Premissas Economias e Água'!P354))&gt;('Premissas Economias e Água'!P214*12*'Modelo Tarifário'!$D$29*'Modelo Tarifário'!$C$58*'Modelo Tarifário'!$E$43),(O8*'Modelo Tarifário'!$C$58*'Modelo Tarifário'!$E$43)*('Premissas Economias e Água'!P354),('Premissas Economias e Água'!P214*12*'Modelo Tarifário'!$D$29*'Modelo Tarifário'!$C$58*'Modelo Tarifário'!$E$43))</f>
        <v>5381369.3504398409</v>
      </c>
      <c r="P78" s="1340">
        <f>IF(((P8*'Modelo Tarifário'!$C$58*'Modelo Tarifário'!$E$43)*('Premissas Economias e Água'!Q354))&gt;('Premissas Economias e Água'!Q214*12*'Modelo Tarifário'!$D$29*'Modelo Tarifário'!$C$58*'Modelo Tarifário'!$E$43),(P8*'Modelo Tarifário'!$C$58*'Modelo Tarifário'!$E$43)*('Premissas Economias e Água'!Q354),('Premissas Economias e Água'!Q214*12*'Modelo Tarifário'!$D$29*'Modelo Tarifário'!$C$58*'Modelo Tarifário'!$E$43))</f>
        <v>5399876.0708326334</v>
      </c>
      <c r="Q78" s="1340">
        <f>IF(((Q8*'Modelo Tarifário'!$C$58*'Modelo Tarifário'!$E$43)*('Premissas Economias e Água'!R354))&gt;('Premissas Economias e Água'!R214*12*'Modelo Tarifário'!$D$29*'Modelo Tarifário'!$C$58*'Modelo Tarifário'!$E$43),(Q8*'Modelo Tarifário'!$C$58*'Modelo Tarifário'!$E$43)*('Premissas Economias e Água'!R354),('Premissas Economias e Água'!R214*12*'Modelo Tarifário'!$D$29*'Modelo Tarifário'!$C$58*'Modelo Tarifário'!$E$43))</f>
        <v>5418382.7912254259</v>
      </c>
      <c r="R78" s="1340">
        <f>IF(((R8*'Modelo Tarifário'!$C$58*'Modelo Tarifário'!$E$43)*('Premissas Economias e Água'!S354))&gt;('Premissas Economias e Água'!S214*12*'Modelo Tarifário'!$D$29*'Modelo Tarifário'!$C$58*'Modelo Tarifário'!$E$43),(R8*'Modelo Tarifário'!$C$58*'Modelo Tarifário'!$E$43)*('Premissas Economias e Água'!S354),('Premissas Economias e Água'!S214*12*'Modelo Tarifário'!$D$29*'Modelo Tarifário'!$C$58*'Modelo Tarifário'!$E$43))</f>
        <v>5436889.5116182184</v>
      </c>
      <c r="S78" s="1340">
        <f>IF(((S8*'Modelo Tarifário'!$C$58*'Modelo Tarifário'!$E$43)*('Premissas Economias e Água'!T354))&gt;('Premissas Economias e Água'!T214*12*'Modelo Tarifário'!$D$29*'Modelo Tarifário'!$C$58*'Modelo Tarifário'!$E$43),(S8*'Modelo Tarifário'!$C$58*'Modelo Tarifário'!$E$43)*('Premissas Economias e Água'!T354),('Premissas Economias e Água'!T214*12*'Modelo Tarifário'!$D$29*'Modelo Tarifário'!$C$58*'Modelo Tarifário'!$E$43))</f>
        <v>5455396.2320110109</v>
      </c>
      <c r="T78" s="1340">
        <f>IF(((T8*'Modelo Tarifário'!$C$58*'Modelo Tarifário'!$E$43)*('Premissas Economias e Água'!U354))&gt;('Premissas Economias e Água'!U214*12*'Modelo Tarifário'!$D$29*'Modelo Tarifário'!$C$58*'Modelo Tarifário'!$E$43),(T8*'Modelo Tarifário'!$C$58*'Modelo Tarifário'!$E$43)*('Premissas Economias e Água'!U354),('Premissas Economias e Água'!U214*12*'Modelo Tarifário'!$D$29*'Modelo Tarifário'!$C$58*'Modelo Tarifário'!$E$43))</f>
        <v>5473873.3416511752</v>
      </c>
      <c r="U78" s="1340">
        <f>IF(((U8*'Modelo Tarifário'!$C$58*'Modelo Tarifário'!$E$43)*('Premissas Economias e Água'!V354))&gt;('Premissas Economias e Água'!V214*12*'Modelo Tarifário'!$D$29*'Modelo Tarifário'!$C$58*'Modelo Tarifário'!$E$43),(U8*'Modelo Tarifário'!$C$58*'Modelo Tarifário'!$E$43)*('Premissas Economias e Água'!V354),('Premissas Economias e Água'!V214*12*'Modelo Tarifário'!$D$29*'Modelo Tarifário'!$C$58*'Modelo Tarifário'!$E$43))</f>
        <v>5485036.595392107</v>
      </c>
      <c r="V78" s="1340">
        <f>IF(((V8*'Modelo Tarifário'!$C$58*'Modelo Tarifário'!$E$43)*('Premissas Economias e Água'!W354))&gt;('Premissas Economias e Água'!W214*12*'Modelo Tarifário'!$D$29*'Modelo Tarifário'!$C$58*'Modelo Tarifário'!$E$43),(V8*'Modelo Tarifário'!$C$58*'Modelo Tarifário'!$E$43)*('Premissas Economias e Água'!W354),('Premissas Economias e Água'!W214*12*'Modelo Tarifário'!$D$29*'Modelo Tarifário'!$C$58*'Modelo Tarifário'!$E$43))</f>
        <v>5496199.8491330398</v>
      </c>
      <c r="W78" s="1340">
        <f>IF(((W8*'Modelo Tarifário'!$C$58*'Modelo Tarifário'!$E$43)*('Premissas Economias e Água'!X354))&gt;('Premissas Economias e Água'!X214*12*'Modelo Tarifário'!$D$29*'Modelo Tarifário'!$C$58*'Modelo Tarifário'!$E$43),(W8*'Modelo Tarifário'!$C$58*'Modelo Tarifário'!$E$43)*('Premissas Economias e Água'!X354),('Premissas Economias e Água'!X214*12*'Modelo Tarifário'!$D$29*'Modelo Tarifário'!$C$58*'Modelo Tarifário'!$E$43))</f>
        <v>5507363.1028739717</v>
      </c>
      <c r="X78" s="1340">
        <f>IF(((X8*'Modelo Tarifário'!$C$58*'Modelo Tarifário'!$E$43)*('Premissas Economias e Água'!Y354))&gt;('Premissas Economias e Água'!Y214*12*'Modelo Tarifário'!$D$29*'Modelo Tarifário'!$C$58*'Modelo Tarifário'!$E$43),(X8*'Modelo Tarifário'!$C$58*'Modelo Tarifário'!$E$43)*('Premissas Economias e Água'!Y354),('Premissas Economias e Água'!Y214*12*'Modelo Tarifário'!$D$29*'Modelo Tarifário'!$C$58*'Modelo Tarifário'!$E$43))</f>
        <v>5518526.3566149026</v>
      </c>
      <c r="Y78" s="1340">
        <f>IF(((Y8*'Modelo Tarifário'!$C$58*'Modelo Tarifário'!$E$43)*('Premissas Economias e Água'!Z354))&gt;('Premissas Economias e Água'!Z214*12*'Modelo Tarifário'!$D$29*'Modelo Tarifário'!$C$58*'Modelo Tarifário'!$E$43),(Y8*'Modelo Tarifário'!$C$58*'Modelo Tarifário'!$E$43)*('Premissas Economias e Água'!Z354),('Premissas Economias e Água'!Z214*12*'Modelo Tarifário'!$D$29*'Modelo Tarifário'!$C$58*'Modelo Tarifário'!$E$43))</f>
        <v>5529659.9996032082</v>
      </c>
      <c r="Z78" s="1340">
        <f>IF(((Z8*'Modelo Tarifário'!$C$58*'Modelo Tarifário'!$E$43)*('Premissas Economias e Água'!AA354))&gt;('Premissas Economias e Água'!AA214*12*'Modelo Tarifário'!$D$29*'Modelo Tarifário'!$C$58*'Modelo Tarifário'!$E$43),(Z8*'Modelo Tarifário'!$C$58*'Modelo Tarifário'!$E$43)*('Premissas Economias e Água'!AA354),('Premissas Economias e Água'!AA214*12*'Modelo Tarifário'!$D$29*'Modelo Tarifário'!$C$58*'Modelo Tarifário'!$E$43))</f>
        <v>5540823.2533441391</v>
      </c>
      <c r="AA78" s="1340">
        <f>IF(((AA8*'Modelo Tarifário'!$C$58*'Modelo Tarifário'!$E$43)*('Premissas Economias e Água'!AB354))&gt;('Premissas Economias e Água'!AB214*12*'Modelo Tarifário'!$D$29*'Modelo Tarifário'!$C$58*'Modelo Tarifário'!$E$43),(AA8*'Modelo Tarifário'!$C$58*'Modelo Tarifário'!$E$43)*('Premissas Economias e Água'!AB354),('Premissas Economias e Água'!AB214*12*'Modelo Tarifário'!$D$29*'Modelo Tarifário'!$C$58*'Modelo Tarifário'!$E$43))</f>
        <v>5551986.5070850728</v>
      </c>
      <c r="AB78" s="1340">
        <f>IF(((AB8*'Modelo Tarifário'!$C$58*'Modelo Tarifário'!$E$43)*('Premissas Economias e Água'!AC354))&gt;('Premissas Economias e Água'!AC214*12*'Modelo Tarifário'!$D$29*'Modelo Tarifário'!$C$58*'Modelo Tarifário'!$E$43),(AB8*'Modelo Tarifário'!$C$58*'Modelo Tarifário'!$E$43)*('Premissas Economias e Água'!AC354),('Premissas Economias e Água'!AC214*12*'Modelo Tarifário'!$D$29*'Modelo Tarifário'!$C$58*'Modelo Tarifário'!$E$43))</f>
        <v>5563149.7608260047</v>
      </c>
      <c r="AC78" s="1340">
        <f>IF(((AC8*'Modelo Tarifário'!$C$58*'Modelo Tarifário'!$E$43)*('Premissas Economias e Água'!AD354))&gt;('Premissas Economias e Água'!AD214*12*'Modelo Tarifário'!$D$29*'Modelo Tarifário'!$C$58*'Modelo Tarifário'!$E$43),(AC8*'Modelo Tarifário'!$C$58*'Modelo Tarifário'!$E$43)*('Premissas Economias e Água'!AD354),('Premissas Economias e Água'!AD214*12*'Modelo Tarifário'!$D$29*'Modelo Tarifário'!$C$58*'Modelo Tarifário'!$E$43))</f>
        <v>5574313.0145669375</v>
      </c>
      <c r="AD78" s="1340">
        <f>IF(((AD8*'Modelo Tarifário'!$C$58*'Modelo Tarifário'!$E$43)*('Premissas Economias e Água'!AE354))&gt;('Premissas Economias e Água'!AE214*12*'Modelo Tarifário'!$D$29*'Modelo Tarifário'!$C$58*'Modelo Tarifário'!$E$43),(AD8*'Modelo Tarifário'!$C$58*'Modelo Tarifário'!$E$43)*('Premissas Economias e Água'!AE354),('Premissas Economias e Água'!AE214*12*'Modelo Tarifário'!$D$29*'Modelo Tarifário'!$C$58*'Modelo Tarifário'!$E$43))</f>
        <v>5585476.2683078703</v>
      </c>
      <c r="AE78" s="1340">
        <f>IF(((AE8*'Modelo Tarifário'!$C$58*'Modelo Tarifário'!$E$43)*('Premissas Economias e Água'!AF354))&gt;('Premissas Economias e Água'!AF214*12*'Modelo Tarifário'!$D$29*'Modelo Tarifário'!$C$58*'Modelo Tarifário'!$E$43),(AE8*'Modelo Tarifário'!$C$58*'Modelo Tarifário'!$E$43)*('Premissas Economias e Água'!AF354),('Premissas Economias e Água'!AF214*12*'Modelo Tarifário'!$D$29*'Modelo Tarifário'!$C$58*'Modelo Tarifário'!$E$43))</f>
        <v>5596639.5220488021</v>
      </c>
      <c r="AF78" s="1340">
        <f>IF(((AF8*'Modelo Tarifário'!$C$58*'Modelo Tarifário'!$E$43)*('Premissas Economias e Água'!AG354))&gt;('Premissas Economias e Água'!AG214*12*'Modelo Tarifário'!$D$29*'Modelo Tarifário'!$C$58*'Modelo Tarifário'!$E$43),(AF8*'Modelo Tarifário'!$C$58*'Modelo Tarifário'!$E$43)*('Premissas Economias e Água'!AG354),('Premissas Economias e Água'!AG214*12*'Modelo Tarifário'!$D$29*'Modelo Tarifário'!$C$58*'Modelo Tarifário'!$E$43))</f>
        <v>5607802.775789734</v>
      </c>
      <c r="AG78" s="1340">
        <f>IF(((AG8*'Modelo Tarifário'!$C$58*'Modelo Tarifário'!$E$43)*('Premissas Economias e Água'!AH354))&gt;('Premissas Economias e Água'!AH214*12*'Modelo Tarifário'!$D$29*'Modelo Tarifário'!$C$58*'Modelo Tarifário'!$E$43),(AG8*'Modelo Tarifário'!$C$58*'Modelo Tarifário'!$E$43)*('Premissas Economias e Água'!AH354),('Premissas Economias e Água'!AH214*12*'Modelo Tarifário'!$D$29*'Modelo Tarifário'!$C$58*'Modelo Tarifário'!$E$43))</f>
        <v>5618966.0295306668</v>
      </c>
      <c r="AH78" s="1340">
        <f>IF(((AH8*'Modelo Tarifário'!$C$58*'Modelo Tarifário'!$E$43)*('Premissas Economias e Água'!AI354))&gt;('Premissas Economias e Água'!AI214*12*'Modelo Tarifário'!$D$29*'Modelo Tarifário'!$C$58*'Modelo Tarifário'!$E$43),(AH8*'Modelo Tarifário'!$C$58*'Modelo Tarifário'!$E$43)*('Premissas Economias e Água'!AI354),('Premissas Economias e Água'!AI214*12*'Modelo Tarifário'!$D$29*'Modelo Tarifário'!$C$58*'Modelo Tarifário'!$E$43))</f>
        <v>5630129.2832715986</v>
      </c>
    </row>
    <row r="79" spans="2:34" s="79" customFormat="1" ht="12" hidden="1" outlineLevel="1" x14ac:dyDescent="0.3">
      <c r="B79" s="1339"/>
      <c r="C79" s="1335" t="s">
        <v>13</v>
      </c>
      <c r="D79" s="1335"/>
      <c r="E79" s="1340">
        <f>IF(((E8*'Modelo Tarifário'!$C$58*'Modelo Tarifário'!$E$44)*('Premissas Economias e Água'!F355))&gt;('Premissas Economias e Água'!F215*12*'Modelo Tarifário'!$D$29*'Modelo Tarifário'!$C$58*'Modelo Tarifário'!$E$44),(E8*'Modelo Tarifário'!$C$58*'Modelo Tarifário'!$E$44)*('Premissas Economias e Água'!F355),('Premissas Economias e Água'!F215*12*'Modelo Tarifário'!$D$29*'Modelo Tarifário'!$C$58*'Modelo Tarifário'!$E$44))</f>
        <v>771646.89137770352</v>
      </c>
      <c r="F79" s="1340">
        <f>IF(((F8*'Modelo Tarifário'!$C$58*'Modelo Tarifário'!$E$44)*('Premissas Economias e Água'!G355))&gt;('Premissas Economias e Água'!G215*12*'Modelo Tarifário'!$D$29*'Modelo Tarifário'!$C$58*'Modelo Tarifário'!$E$44),(F8*'Modelo Tarifário'!$C$58*'Modelo Tarifário'!$E$44)*('Premissas Economias e Água'!G355),('Premissas Economias e Água'!G215*12*'Modelo Tarifário'!$D$29*'Modelo Tarifário'!$C$58*'Modelo Tarifário'!$E$44))</f>
        <v>775794.61646356189</v>
      </c>
      <c r="G79" s="1340">
        <f>IF(((G8*'Modelo Tarifário'!$C$58*'Modelo Tarifário'!$E$44)*('Premissas Economias e Água'!H355))&gt;('Premissas Economias e Água'!H215*12*'Modelo Tarifário'!$D$29*'Modelo Tarifário'!$C$58*'Modelo Tarifário'!$E$44),(G8*'Modelo Tarifário'!$C$58*'Modelo Tarifário'!$E$44)*('Premissas Economias e Água'!H355),('Premissas Economias e Água'!H215*12*'Modelo Tarifário'!$D$29*'Modelo Tarifário'!$C$58*'Modelo Tarifário'!$E$44))</f>
        <v>779942.34154942026</v>
      </c>
      <c r="H79" s="1340">
        <f>IF(((H8*'Modelo Tarifário'!$C$58*'Modelo Tarifário'!$E$44)*('Premissas Economias e Água'!I355))&gt;('Premissas Economias e Água'!I215*12*'Modelo Tarifário'!$D$29*'Modelo Tarifário'!$C$58*'Modelo Tarifário'!$E$44),(H8*'Modelo Tarifário'!$C$58*'Modelo Tarifário'!$E$44)*('Premissas Economias e Água'!I355),('Premissas Economias e Água'!I215*12*'Modelo Tarifário'!$D$29*'Modelo Tarifário'!$C$58*'Modelo Tarifário'!$E$44))</f>
        <v>784090.06663527864</v>
      </c>
      <c r="I79" s="1340">
        <f>IF(((I8*'Modelo Tarifário'!$C$58*'Modelo Tarifário'!$E$44)*('Premissas Economias e Água'!J355))&gt;('Premissas Economias e Água'!J215*12*'Modelo Tarifário'!$D$29*'Modelo Tarifário'!$C$58*'Modelo Tarifário'!$E$44),(I8*'Modelo Tarifário'!$C$58*'Modelo Tarifário'!$E$44)*('Premissas Economias e Água'!J355),('Premissas Economias e Água'!J215*12*'Modelo Tarifário'!$D$29*'Modelo Tarifário'!$C$58*'Modelo Tarifário'!$E$44))</f>
        <v>788237.79172113712</v>
      </c>
      <c r="J79" s="1340">
        <f>IF(((J8*'Modelo Tarifário'!$C$58*'Modelo Tarifário'!$E$44)*('Premissas Economias e Água'!K355))&gt;('Premissas Economias e Água'!K215*12*'Modelo Tarifário'!$D$29*'Modelo Tarifário'!$C$58*'Modelo Tarifário'!$E$44),(J8*'Modelo Tarifário'!$C$58*'Modelo Tarifário'!$E$44)*('Premissas Economias e Água'!K355),('Premissas Economias e Água'!K215*12*'Modelo Tarifário'!$D$29*'Modelo Tarifário'!$C$58*'Modelo Tarifário'!$E$44))</f>
        <v>792381.04245415202</v>
      </c>
      <c r="K79" s="1340">
        <f>IF(((K8*'Modelo Tarifário'!$C$58*'Modelo Tarifário'!$E$44)*('Premissas Economias e Água'!L355))&gt;('Premissas Economias e Água'!L215*12*'Modelo Tarifário'!$D$29*'Modelo Tarifário'!$C$58*'Modelo Tarifário'!$E$44),(K8*'Modelo Tarifário'!$C$58*'Modelo Tarifário'!$E$44)*('Premissas Economias e Água'!L355),('Premissas Economias e Água'!L215*12*'Modelo Tarifário'!$D$29*'Modelo Tarifário'!$C$58*'Modelo Tarifário'!$E$44))</f>
        <v>796537.71624569723</v>
      </c>
      <c r="L79" s="1340">
        <f>IF(((L8*'Modelo Tarifário'!$C$58*'Modelo Tarifário'!$E$44)*('Premissas Economias e Água'!M355))&gt;('Premissas Economias e Água'!M215*12*'Modelo Tarifário'!$D$29*'Modelo Tarifário'!$C$58*'Modelo Tarifário'!$E$44),(L8*'Modelo Tarifário'!$C$58*'Modelo Tarifário'!$E$44)*('Premissas Economias e Água'!M355),('Premissas Economias e Água'!M215*12*'Modelo Tarifário'!$D$29*'Modelo Tarifário'!$C$58*'Modelo Tarifário'!$E$44))</f>
        <v>800694.39003724232</v>
      </c>
      <c r="M79" s="1340">
        <f>IF(((M8*'Modelo Tarifário'!$C$58*'Modelo Tarifário'!$E$44)*('Premissas Economias e Água'!N355))&gt;('Premissas Economias e Água'!N215*12*'Modelo Tarifário'!$D$29*'Modelo Tarifário'!$C$58*'Modelo Tarifário'!$E$44),(M8*'Modelo Tarifário'!$C$58*'Modelo Tarifário'!$E$44)*('Premissas Economias e Água'!N355),('Premissas Economias e Água'!N215*12*'Modelo Tarifário'!$D$29*'Modelo Tarifário'!$C$58*'Modelo Tarifário'!$E$44))</f>
        <v>804851.06382878753</v>
      </c>
      <c r="N79" s="1340">
        <f>IF(((N8*'Modelo Tarifário'!$C$58*'Modelo Tarifário'!$E$44)*('Premissas Economias e Água'!O355))&gt;('Premissas Economias e Água'!O215*12*'Modelo Tarifário'!$D$29*'Modelo Tarifário'!$C$58*'Modelo Tarifário'!$E$44),(N8*'Modelo Tarifário'!$C$58*'Modelo Tarifário'!$E$44)*('Premissas Economias e Água'!O355),('Premissas Economias e Água'!O215*12*'Modelo Tarifário'!$D$29*'Modelo Tarifário'!$C$58*'Modelo Tarifário'!$E$44))</f>
        <v>809007.73762033274</v>
      </c>
      <c r="O79" s="1340">
        <f>IF(((O8*'Modelo Tarifário'!$C$58*'Modelo Tarifário'!$E$44)*('Premissas Economias e Água'!P355))&gt;('Premissas Economias e Água'!P215*12*'Modelo Tarifário'!$D$29*'Modelo Tarifário'!$C$58*'Modelo Tarifário'!$E$44),(O8*'Modelo Tarifário'!$C$58*'Modelo Tarifário'!$E$44)*('Premissas Economias e Água'!P355),('Premissas Economias e Água'!P215*12*'Modelo Tarifário'!$D$29*'Modelo Tarifário'!$C$58*'Modelo Tarifário'!$E$44))</f>
        <v>813155.46270619112</v>
      </c>
      <c r="P79" s="1340">
        <f>IF(((P8*'Modelo Tarifário'!$C$58*'Modelo Tarifário'!$E$44)*('Premissas Economias e Água'!Q355))&gt;('Premissas Economias e Água'!Q215*12*'Modelo Tarifário'!$D$29*'Modelo Tarifário'!$C$58*'Modelo Tarifário'!$E$44),(P8*'Modelo Tarifário'!$C$58*'Modelo Tarifário'!$E$44)*('Premissas Economias e Água'!Q355),('Premissas Economias e Água'!Q215*12*'Modelo Tarifário'!$D$29*'Modelo Tarifário'!$C$58*'Modelo Tarifário'!$E$44))</f>
        <v>815951.9332333341</v>
      </c>
      <c r="Q79" s="1340">
        <f>IF(((Q8*'Modelo Tarifário'!$C$58*'Modelo Tarifário'!$E$44)*('Premissas Economias e Água'!R355))&gt;('Premissas Economias e Água'!R215*12*'Modelo Tarifário'!$D$29*'Modelo Tarifário'!$C$58*'Modelo Tarifário'!$E$44),(Q8*'Modelo Tarifário'!$C$58*'Modelo Tarifário'!$E$44)*('Premissas Economias e Água'!R355),('Premissas Economias e Água'!R215*12*'Modelo Tarifário'!$D$29*'Modelo Tarifário'!$C$58*'Modelo Tarifário'!$E$44))</f>
        <v>818748.40376047685</v>
      </c>
      <c r="R79" s="1340">
        <f>IF(((R8*'Modelo Tarifário'!$C$58*'Modelo Tarifário'!$E$44)*('Premissas Economias e Água'!S355))&gt;('Premissas Economias e Água'!S215*12*'Modelo Tarifário'!$D$29*'Modelo Tarifário'!$C$58*'Modelo Tarifário'!$E$44),(R8*'Modelo Tarifário'!$C$58*'Modelo Tarifário'!$E$44)*('Premissas Economias e Água'!S355),('Premissas Economias e Água'!S215*12*'Modelo Tarifário'!$D$29*'Modelo Tarifário'!$C$58*'Modelo Tarifário'!$E$44))</f>
        <v>821544.87428761972</v>
      </c>
      <c r="S79" s="1340">
        <f>IF(((S8*'Modelo Tarifário'!$C$58*'Modelo Tarifário'!$E$44)*('Premissas Economias e Água'!T355))&gt;('Premissas Economias e Água'!T215*12*'Modelo Tarifário'!$D$29*'Modelo Tarifário'!$C$58*'Modelo Tarifário'!$E$44),(S8*'Modelo Tarifário'!$C$58*'Modelo Tarifário'!$E$44)*('Premissas Economias e Água'!T355),('Premissas Economias e Água'!T215*12*'Modelo Tarifário'!$D$29*'Modelo Tarifário'!$C$58*'Modelo Tarifário'!$E$44))</f>
        <v>824341.34481476259</v>
      </c>
      <c r="T79" s="1340">
        <f>IF(((T8*'Modelo Tarifário'!$C$58*'Modelo Tarifário'!$E$44)*('Premissas Economias e Água'!U355))&gt;('Premissas Economias e Água'!U215*12*'Modelo Tarifário'!$D$29*'Modelo Tarifário'!$C$58*'Modelo Tarifário'!$E$44),(T8*'Modelo Tarifário'!$C$58*'Modelo Tarifário'!$E$44)*('Premissas Economias e Água'!U355),('Premissas Economias e Água'!U215*12*'Modelo Tarifário'!$D$29*'Modelo Tarifário'!$C$58*'Modelo Tarifário'!$E$44))</f>
        <v>827133.3409890621</v>
      </c>
      <c r="U79" s="1340">
        <f>IF(((U8*'Modelo Tarifário'!$C$58*'Modelo Tarifário'!$E$44)*('Premissas Economias e Água'!V355))&gt;('Premissas Economias e Água'!V215*12*'Modelo Tarifário'!$D$29*'Modelo Tarifário'!$C$58*'Modelo Tarifário'!$E$44),(U8*'Modelo Tarifário'!$C$58*'Modelo Tarifário'!$E$44)*('Premissas Economias e Água'!V355),('Premissas Economias e Água'!V215*12*'Modelo Tarifário'!$D$29*'Modelo Tarifário'!$C$58*'Modelo Tarifário'!$E$44))</f>
        <v>828820.1720110348</v>
      </c>
      <c r="V79" s="1340">
        <f>IF(((V8*'Modelo Tarifário'!$C$58*'Modelo Tarifário'!$E$44)*('Premissas Economias e Água'!W355))&gt;('Premissas Economias e Água'!W215*12*'Modelo Tarifário'!$D$29*'Modelo Tarifário'!$C$58*'Modelo Tarifário'!$E$44),(V8*'Modelo Tarifário'!$C$58*'Modelo Tarifário'!$E$44)*('Premissas Economias e Água'!W355),('Premissas Economias e Água'!W215*12*'Modelo Tarifário'!$D$29*'Modelo Tarifário'!$C$58*'Modelo Tarifário'!$E$44))</f>
        <v>830507.00303300738</v>
      </c>
      <c r="W79" s="1340">
        <f>IF(((W8*'Modelo Tarifário'!$C$58*'Modelo Tarifário'!$E$44)*('Premissas Economias e Água'!X355))&gt;('Premissas Economias e Água'!X215*12*'Modelo Tarifário'!$D$29*'Modelo Tarifário'!$C$58*'Modelo Tarifário'!$E$44),(W8*'Modelo Tarifário'!$C$58*'Modelo Tarifário'!$E$44)*('Premissas Economias e Água'!X355),('Premissas Economias e Água'!X215*12*'Modelo Tarifário'!$D$29*'Modelo Tarifário'!$C$58*'Modelo Tarifário'!$E$44))</f>
        <v>832193.83405498008</v>
      </c>
      <c r="X79" s="1340">
        <f>IF(((X8*'Modelo Tarifário'!$C$58*'Modelo Tarifário'!$E$44)*('Premissas Economias e Água'!Y355))&gt;('Premissas Economias e Água'!Y215*12*'Modelo Tarifário'!$D$29*'Modelo Tarifário'!$C$58*'Modelo Tarifário'!$E$44),(X8*'Modelo Tarifário'!$C$58*'Modelo Tarifário'!$E$44)*('Premissas Economias e Água'!Y355),('Premissas Economias e Água'!Y215*12*'Modelo Tarifário'!$D$29*'Modelo Tarifário'!$C$58*'Modelo Tarifário'!$E$44))</f>
        <v>833880.66507695254</v>
      </c>
      <c r="Y79" s="1340">
        <f>IF(((Y8*'Modelo Tarifário'!$C$58*'Modelo Tarifário'!$E$44)*('Premissas Economias e Água'!Z355))&gt;('Premissas Economias e Água'!Z215*12*'Modelo Tarifário'!$D$29*'Modelo Tarifário'!$C$58*'Modelo Tarifário'!$E$44),(Y8*'Modelo Tarifário'!$C$58*'Modelo Tarifário'!$E$44)*('Premissas Economias e Água'!Z355),('Premissas Economias e Água'!Z215*12*'Modelo Tarifário'!$D$29*'Modelo Tarifário'!$C$58*'Modelo Tarifário'!$E$44))</f>
        <v>835563.02174608177</v>
      </c>
      <c r="Z79" s="1340">
        <f>IF(((Z8*'Modelo Tarifário'!$C$58*'Modelo Tarifário'!$E$44)*('Premissas Economias e Água'!AA355))&gt;('Premissas Economias e Água'!AA215*12*'Modelo Tarifário'!$D$29*'Modelo Tarifário'!$C$58*'Modelo Tarifário'!$E$44),(Z8*'Modelo Tarifário'!$C$58*'Modelo Tarifário'!$E$44)*('Premissas Economias e Água'!AA355),('Premissas Economias e Água'!AA215*12*'Modelo Tarifário'!$D$29*'Modelo Tarifário'!$C$58*'Modelo Tarifário'!$E$44))</f>
        <v>837249.85276805435</v>
      </c>
      <c r="AA79" s="1340">
        <f>IF(((AA8*'Modelo Tarifário'!$C$58*'Modelo Tarifário'!$E$44)*('Premissas Economias e Água'!AB355))&gt;('Premissas Economias e Água'!AB215*12*'Modelo Tarifário'!$D$29*'Modelo Tarifário'!$C$58*'Modelo Tarifário'!$E$44),(AA8*'Modelo Tarifário'!$C$58*'Modelo Tarifário'!$E$44)*('Premissas Economias e Água'!AB355),('Premissas Economias e Água'!AB215*12*'Modelo Tarifário'!$D$29*'Modelo Tarifário'!$C$58*'Modelo Tarifário'!$E$44))</f>
        <v>838936.68379002705</v>
      </c>
      <c r="AB79" s="1340">
        <f>IF(((AB8*'Modelo Tarifário'!$C$58*'Modelo Tarifário'!$E$44)*('Premissas Economias e Água'!AC355))&gt;('Premissas Economias e Água'!AC215*12*'Modelo Tarifário'!$D$29*'Modelo Tarifário'!$C$58*'Modelo Tarifário'!$E$44),(AB8*'Modelo Tarifário'!$C$58*'Modelo Tarifário'!$E$44)*('Premissas Economias e Água'!AC355),('Premissas Economias e Água'!AC215*12*'Modelo Tarifário'!$D$29*'Modelo Tarifário'!$C$58*'Modelo Tarifário'!$E$44))</f>
        <v>840623.51481199963</v>
      </c>
      <c r="AC79" s="1340">
        <f>IF(((AC8*'Modelo Tarifário'!$C$58*'Modelo Tarifário'!$E$44)*('Premissas Economias e Água'!AD355))&gt;('Premissas Economias e Água'!AD215*12*'Modelo Tarifário'!$D$29*'Modelo Tarifário'!$C$58*'Modelo Tarifário'!$E$44),(AC8*'Modelo Tarifário'!$C$58*'Modelo Tarifário'!$E$44)*('Premissas Economias e Água'!AD355),('Premissas Economias e Água'!AD215*12*'Modelo Tarifário'!$D$29*'Modelo Tarifário'!$C$58*'Modelo Tarifário'!$E$44))</f>
        <v>842310.3458339721</v>
      </c>
      <c r="AD79" s="1340">
        <f>IF(((AD8*'Modelo Tarifário'!$C$58*'Modelo Tarifário'!$E$44)*('Premissas Economias e Água'!AE355))&gt;('Premissas Economias e Água'!AE215*12*'Modelo Tarifário'!$D$29*'Modelo Tarifário'!$C$58*'Modelo Tarifário'!$E$44),(AD8*'Modelo Tarifário'!$C$58*'Modelo Tarifário'!$E$44)*('Premissas Economias e Água'!AE355),('Premissas Economias e Água'!AE215*12*'Modelo Tarifário'!$D$29*'Modelo Tarifário'!$C$58*'Modelo Tarifário'!$E$44))</f>
        <v>843997.17685594491</v>
      </c>
      <c r="AE79" s="1340">
        <f>IF(((AE8*'Modelo Tarifário'!$C$58*'Modelo Tarifário'!$E$44)*('Premissas Economias e Água'!AF355))&gt;('Premissas Economias e Água'!AF215*12*'Modelo Tarifário'!$D$29*'Modelo Tarifário'!$C$58*'Modelo Tarifário'!$E$44),(AE8*'Modelo Tarifário'!$C$58*'Modelo Tarifário'!$E$44)*('Premissas Economias e Água'!AF355),('Premissas Economias e Água'!AF215*12*'Modelo Tarifário'!$D$29*'Modelo Tarifário'!$C$58*'Modelo Tarifário'!$E$44))</f>
        <v>845684.00787791738</v>
      </c>
      <c r="AF79" s="1340">
        <f>IF(((AF8*'Modelo Tarifário'!$C$58*'Modelo Tarifário'!$E$44)*('Premissas Economias e Água'!AG355))&gt;('Premissas Economias e Água'!AG215*12*'Modelo Tarifário'!$D$29*'Modelo Tarifário'!$C$58*'Modelo Tarifário'!$E$44),(AF8*'Modelo Tarifário'!$C$58*'Modelo Tarifário'!$E$44)*('Premissas Economias e Água'!AG355),('Premissas Economias e Água'!AG215*12*'Modelo Tarifário'!$D$29*'Modelo Tarifário'!$C$58*'Modelo Tarifário'!$E$44))</f>
        <v>847370.83889988984</v>
      </c>
      <c r="AG79" s="1340">
        <f>IF(((AG8*'Modelo Tarifário'!$C$58*'Modelo Tarifário'!$E$44)*('Premissas Economias e Água'!AH355))&gt;('Premissas Economias e Água'!AH215*12*'Modelo Tarifário'!$D$29*'Modelo Tarifário'!$C$58*'Modelo Tarifário'!$E$44),(AG8*'Modelo Tarifário'!$C$58*'Modelo Tarifário'!$E$44)*('Premissas Economias e Água'!AH355),('Premissas Economias e Água'!AH215*12*'Modelo Tarifário'!$D$29*'Modelo Tarifário'!$C$58*'Modelo Tarifário'!$E$44))</f>
        <v>849057.66992186254</v>
      </c>
      <c r="AH79" s="1340">
        <f>IF(((AH8*'Modelo Tarifário'!$C$58*'Modelo Tarifário'!$E$44)*('Premissas Economias e Água'!AI355))&gt;('Premissas Economias e Água'!AI215*12*'Modelo Tarifário'!$D$29*'Modelo Tarifário'!$C$58*'Modelo Tarifário'!$E$44),(AH8*'Modelo Tarifário'!$C$58*'Modelo Tarifário'!$E$44)*('Premissas Economias e Água'!AI355),('Premissas Economias e Água'!AI215*12*'Modelo Tarifário'!$D$29*'Modelo Tarifário'!$C$58*'Modelo Tarifário'!$E$44))</f>
        <v>850744.50094383513</v>
      </c>
    </row>
    <row r="80" spans="2:34" s="79" customFormat="1" ht="12" hidden="1" outlineLevel="1" x14ac:dyDescent="0.3">
      <c r="B80" s="1341"/>
      <c r="C80" s="1342" t="s">
        <v>14</v>
      </c>
      <c r="D80" s="1343"/>
      <c r="E80" s="1344">
        <f>IF(((E8*'Modelo Tarifário'!$C$58*'Modelo Tarifário'!$E$45)*('Premissas Economias e Água'!F356))&gt;('Premissas Economias e Água'!F216*12*'Modelo Tarifário'!$D$29*'Modelo Tarifário'!$C$58*'Modelo Tarifário'!$E$45),(E8*'Modelo Tarifário'!$C$58*'Modelo Tarifário'!$E$45)*('Premissas Economias e Água'!F356),('Premissas Economias e Água'!F216*12*'Modelo Tarifário'!$D$29*'Modelo Tarifário'!$C$58*'Modelo Tarifário'!$E$45))</f>
        <v>1346157.7156151179</v>
      </c>
      <c r="F80" s="1344">
        <f>IF(((F8*'Modelo Tarifário'!$C$58*'Modelo Tarifário'!$E$45)*('Premissas Economias e Água'!G356))&gt;('Premissas Economias e Água'!G216*12*'Modelo Tarifário'!$D$29*'Modelo Tarifário'!$C$58*'Modelo Tarifário'!$E$45),(F8*'Modelo Tarifário'!$C$58*'Modelo Tarifário'!$E$45)*('Premissas Economias e Água'!G356),('Premissas Economias e Água'!G216*12*'Modelo Tarifário'!$D$29*'Modelo Tarifário'!$C$58*'Modelo Tarifário'!$E$45))</f>
        <v>1353393.5279911775</v>
      </c>
      <c r="G80" s="1344">
        <f>IF(((G8*'Modelo Tarifário'!$C$58*'Modelo Tarifário'!$E$45)*('Premissas Economias e Água'!H356))&gt;('Premissas Economias e Água'!H216*12*'Modelo Tarifário'!$D$29*'Modelo Tarifário'!$C$58*'Modelo Tarifário'!$E$45),(G8*'Modelo Tarifário'!$C$58*'Modelo Tarifário'!$E$45)*('Premissas Economias e Água'!H356),('Premissas Economias e Água'!H216*12*'Modelo Tarifário'!$D$29*'Modelo Tarifário'!$C$58*'Modelo Tarifário'!$E$45))</f>
        <v>1360629.3403672369</v>
      </c>
      <c r="H80" s="1344">
        <f>IF(((H8*'Modelo Tarifário'!$C$58*'Modelo Tarifário'!$E$45)*('Premissas Economias e Água'!I356))&gt;('Premissas Economias e Água'!I216*12*'Modelo Tarifário'!$D$29*'Modelo Tarifário'!$C$58*'Modelo Tarifário'!$E$45),(H8*'Modelo Tarifário'!$C$58*'Modelo Tarifário'!$E$45)*('Premissas Economias e Água'!I356),('Premissas Economias e Água'!I216*12*'Modelo Tarifário'!$D$29*'Modelo Tarifário'!$C$58*'Modelo Tarifário'!$E$45))</f>
        <v>1367865.1527432962</v>
      </c>
      <c r="I80" s="1344">
        <f>IF(((I8*'Modelo Tarifário'!$C$58*'Modelo Tarifário'!$E$45)*('Premissas Economias e Água'!J356))&gt;('Premissas Economias e Água'!J216*12*'Modelo Tarifário'!$D$29*'Modelo Tarifário'!$C$58*'Modelo Tarifário'!$E$45),(I8*'Modelo Tarifário'!$C$58*'Modelo Tarifário'!$E$45)*('Premissas Economias e Água'!J356),('Premissas Economias e Água'!J216*12*'Modelo Tarifário'!$D$29*'Modelo Tarifário'!$C$58*'Modelo Tarifário'!$E$45))</f>
        <v>1375100.9651193558</v>
      </c>
      <c r="J80" s="1344">
        <f>IF(((J8*'Modelo Tarifário'!$C$58*'Modelo Tarifário'!$E$45)*('Premissas Economias e Água'!K356))&gt;('Premissas Economias e Água'!K216*12*'Modelo Tarifário'!$D$29*'Modelo Tarifário'!$C$58*'Modelo Tarifário'!$E$45),(J8*'Modelo Tarifário'!$C$58*'Modelo Tarifário'!$E$45)*('Premissas Economias e Água'!K356),('Premissas Economias e Água'!K216*12*'Modelo Tarifário'!$D$29*'Modelo Tarifário'!$C$58*'Modelo Tarifário'!$E$45))</f>
        <v>1382328.9718725719</v>
      </c>
      <c r="K80" s="1344">
        <f>IF(((K8*'Modelo Tarifário'!$C$58*'Modelo Tarifário'!$E$45)*('Premissas Economias e Água'!L356))&gt;('Premissas Economias e Água'!L216*12*'Modelo Tarifário'!$D$29*'Modelo Tarifário'!$C$58*'Modelo Tarifário'!$E$45),(K8*'Modelo Tarifário'!$C$58*'Modelo Tarifário'!$E$45)*('Premissas Economias e Água'!L356),('Premissas Economias e Água'!L216*12*'Modelo Tarifário'!$D$29*'Modelo Tarifário'!$C$58*'Modelo Tarifário'!$E$45))</f>
        <v>1389580.3954943186</v>
      </c>
      <c r="L80" s="1344">
        <f>IF(((L8*'Modelo Tarifário'!$C$58*'Modelo Tarifário'!$E$45)*('Premissas Economias e Água'!M356))&gt;('Premissas Economias e Água'!M216*12*'Modelo Tarifário'!$D$29*'Modelo Tarifário'!$C$58*'Modelo Tarifário'!$E$45),(L8*'Modelo Tarifário'!$C$58*'Modelo Tarifário'!$E$45)*('Premissas Economias e Água'!M356),('Premissas Economias e Água'!M216*12*'Modelo Tarifário'!$D$29*'Modelo Tarifário'!$C$58*'Modelo Tarifário'!$E$45))</f>
        <v>1396831.819116065</v>
      </c>
      <c r="M80" s="1344">
        <f>IF(((M8*'Modelo Tarifário'!$C$58*'Modelo Tarifário'!$E$45)*('Premissas Economias e Água'!N356))&gt;('Premissas Economias e Água'!N216*12*'Modelo Tarifário'!$D$29*'Modelo Tarifário'!$C$58*'Modelo Tarifário'!$E$45),(M8*'Modelo Tarifário'!$C$58*'Modelo Tarifário'!$E$45)*('Premissas Economias e Água'!N356),('Premissas Economias e Água'!N216*12*'Modelo Tarifário'!$D$29*'Modelo Tarifário'!$C$58*'Modelo Tarifário'!$E$45))</f>
        <v>1404083.242737812</v>
      </c>
      <c r="N80" s="1344">
        <f>IF(((N8*'Modelo Tarifário'!$C$58*'Modelo Tarifário'!$E$45)*('Premissas Economias e Água'!O356))&gt;('Premissas Economias e Água'!O216*12*'Modelo Tarifário'!$D$29*'Modelo Tarifário'!$C$58*'Modelo Tarifário'!$E$45),(N8*'Modelo Tarifário'!$C$58*'Modelo Tarifário'!$E$45)*('Premissas Economias e Água'!O356),('Premissas Economias e Água'!O216*12*'Modelo Tarifário'!$D$29*'Modelo Tarifário'!$C$58*'Modelo Tarifário'!$E$45))</f>
        <v>1411334.6663595585</v>
      </c>
      <c r="O80" s="1344">
        <f>IF(((O8*'Modelo Tarifário'!$C$58*'Modelo Tarifário'!$E$45)*('Premissas Economias e Água'!P356))&gt;('Premissas Economias e Água'!P216*12*'Modelo Tarifário'!$D$29*'Modelo Tarifário'!$C$58*'Modelo Tarifário'!$E$45),(O8*'Modelo Tarifário'!$C$58*'Modelo Tarifário'!$E$45)*('Premissas Economias e Água'!P356),('Premissas Economias e Água'!P216*12*'Modelo Tarifário'!$D$29*'Modelo Tarifário'!$C$58*'Modelo Tarifário'!$E$45))</f>
        <v>1418570.4787356178</v>
      </c>
      <c r="P80" s="1344">
        <f>IF(((P8*'Modelo Tarifário'!$C$58*'Modelo Tarifário'!$E$45)*('Premissas Economias e Água'!Q356))&gt;('Premissas Economias e Água'!Q216*12*'Modelo Tarifário'!$D$29*'Modelo Tarifário'!$C$58*'Modelo Tarifário'!$E$45),(P8*'Modelo Tarifário'!$C$58*'Modelo Tarifário'!$E$45)*('Premissas Economias e Água'!Q356),('Premissas Economias e Água'!Q216*12*'Modelo Tarifário'!$D$29*'Modelo Tarifário'!$C$58*'Modelo Tarifário'!$E$45))</f>
        <v>1423448.9930128967</v>
      </c>
      <c r="Q80" s="1344">
        <f>IF(((Q8*'Modelo Tarifário'!$C$58*'Modelo Tarifário'!$E$45)*('Premissas Economias e Água'!R356))&gt;('Premissas Economias e Água'!R216*12*'Modelo Tarifário'!$D$29*'Modelo Tarifário'!$C$58*'Modelo Tarifário'!$E$45),(Q8*'Modelo Tarifário'!$C$58*'Modelo Tarifário'!$E$45)*('Premissas Economias e Água'!R356),('Premissas Economias e Água'!R216*12*'Modelo Tarifário'!$D$29*'Modelo Tarifário'!$C$58*'Modelo Tarifário'!$E$45))</f>
        <v>1428327.5072901752</v>
      </c>
      <c r="R80" s="1344">
        <f>IF(((R8*'Modelo Tarifário'!$C$58*'Modelo Tarifário'!$E$45)*('Premissas Economias e Água'!S356))&gt;('Premissas Economias e Água'!S216*12*'Modelo Tarifário'!$D$29*'Modelo Tarifário'!$C$58*'Modelo Tarifário'!$E$45),(R8*'Modelo Tarifário'!$C$58*'Modelo Tarifário'!$E$45)*('Premissas Economias e Água'!S356),('Premissas Economias e Água'!S216*12*'Modelo Tarifário'!$D$29*'Modelo Tarifário'!$C$58*'Modelo Tarifário'!$E$45))</f>
        <v>1433206.0215674536</v>
      </c>
      <c r="S80" s="1344">
        <f>IF(((S8*'Modelo Tarifário'!$C$58*'Modelo Tarifário'!$E$45)*('Premissas Economias e Água'!T356))&gt;('Premissas Economias e Água'!T216*12*'Modelo Tarifário'!$D$29*'Modelo Tarifário'!$C$58*'Modelo Tarifário'!$E$45),(S8*'Modelo Tarifário'!$C$58*'Modelo Tarifário'!$E$45)*('Premissas Economias e Água'!T356),('Premissas Economias e Água'!T216*12*'Modelo Tarifário'!$D$29*'Modelo Tarifário'!$C$58*'Modelo Tarifário'!$E$45))</f>
        <v>1438084.5358447318</v>
      </c>
      <c r="T80" s="1344">
        <f>IF(((T8*'Modelo Tarifário'!$C$58*'Modelo Tarifário'!$E$45)*('Premissas Economias e Água'!U356))&gt;('Premissas Economias e Água'!U216*12*'Modelo Tarifário'!$D$29*'Modelo Tarifário'!$C$58*'Modelo Tarifário'!$E$45),(T8*'Modelo Tarifário'!$C$58*'Modelo Tarifário'!$E$45)*('Premissas Economias e Água'!U356),('Premissas Economias e Água'!U216*12*'Modelo Tarifário'!$D$29*'Modelo Tarifário'!$C$58*'Modelo Tarifário'!$E$45))</f>
        <v>1442955.244499167</v>
      </c>
      <c r="U80" s="1344">
        <f>IF(((U8*'Modelo Tarifário'!$C$58*'Modelo Tarifário'!$E$45)*('Premissas Economias e Água'!V356))&gt;('Premissas Economias e Água'!V216*12*'Modelo Tarifário'!$D$29*'Modelo Tarifário'!$C$58*'Modelo Tarifário'!$E$45),(U8*'Modelo Tarifário'!$C$58*'Modelo Tarifário'!$E$45)*('Premissas Economias e Água'!V356),('Premissas Economias e Água'!V216*12*'Modelo Tarifário'!$D$29*'Modelo Tarifário'!$C$58*'Modelo Tarifário'!$E$45))</f>
        <v>1445897.9643112211</v>
      </c>
      <c r="V80" s="1344">
        <f>IF(((V8*'Modelo Tarifário'!$C$58*'Modelo Tarifário'!$E$45)*('Premissas Economias e Água'!W356))&gt;('Premissas Economias e Água'!W216*12*'Modelo Tarifário'!$D$29*'Modelo Tarifário'!$C$58*'Modelo Tarifário'!$E$45),(V8*'Modelo Tarifário'!$C$58*'Modelo Tarifário'!$E$45)*('Premissas Economias e Água'!W356),('Premissas Economias e Água'!W216*12*'Modelo Tarifário'!$D$29*'Modelo Tarifário'!$C$58*'Modelo Tarifário'!$E$45))</f>
        <v>1448840.6841232758</v>
      </c>
      <c r="W80" s="1344">
        <f>IF(((W8*'Modelo Tarifário'!$C$58*'Modelo Tarifário'!$E$45)*('Premissas Economias e Água'!X356))&gt;('Premissas Economias e Água'!X216*12*'Modelo Tarifário'!$D$29*'Modelo Tarifário'!$C$58*'Modelo Tarifário'!$E$45),(W8*'Modelo Tarifário'!$C$58*'Modelo Tarifário'!$E$45)*('Premissas Economias e Água'!X356),('Premissas Economias e Água'!X216*12*'Modelo Tarifário'!$D$29*'Modelo Tarifário'!$C$58*'Modelo Tarifário'!$E$45))</f>
        <v>1451783.4039353302</v>
      </c>
      <c r="X80" s="1344">
        <f>IF(((X8*'Modelo Tarifário'!$C$58*'Modelo Tarifário'!$E$45)*('Premissas Economias e Água'!Y356))&gt;('Premissas Economias e Água'!Y216*12*'Modelo Tarifário'!$D$29*'Modelo Tarifário'!$C$58*'Modelo Tarifário'!$E$45),(X8*'Modelo Tarifário'!$C$58*'Modelo Tarifário'!$E$45)*('Premissas Economias e Água'!Y356),('Premissas Economias e Água'!Y216*12*'Modelo Tarifário'!$D$29*'Modelo Tarifário'!$C$58*'Modelo Tarifário'!$E$45))</f>
        <v>1454726.1237473844</v>
      </c>
      <c r="Y80" s="1344">
        <f>IF(((Y8*'Modelo Tarifário'!$C$58*'Modelo Tarifário'!$E$45)*('Premissas Economias e Água'!Z356))&gt;('Premissas Economias e Água'!Z216*12*'Modelo Tarifário'!$D$29*'Modelo Tarifário'!$C$58*'Modelo Tarifário'!$E$45),(Y8*'Modelo Tarifário'!$C$58*'Modelo Tarifário'!$E$45)*('Premissas Economias e Água'!Z356),('Premissas Economias e Água'!Z216*12*'Modelo Tarifário'!$D$29*'Modelo Tarifário'!$C$58*'Modelo Tarifário'!$E$45))</f>
        <v>1457661.037936595</v>
      </c>
      <c r="Z80" s="1344">
        <f>IF(((Z8*'Modelo Tarifário'!$C$58*'Modelo Tarifário'!$E$45)*('Premissas Economias e Água'!AA356))&gt;('Premissas Economias e Água'!AA216*12*'Modelo Tarifário'!$D$29*'Modelo Tarifário'!$C$58*'Modelo Tarifário'!$E$45),(Z8*'Modelo Tarifário'!$C$58*'Modelo Tarifário'!$E$45)*('Premissas Economias e Água'!AA356),('Premissas Economias e Água'!AA216*12*'Modelo Tarifário'!$D$29*'Modelo Tarifário'!$C$58*'Modelo Tarifário'!$E$45))</f>
        <v>1460603.7577486495</v>
      </c>
      <c r="AA80" s="1344">
        <f>IF(((AA8*'Modelo Tarifário'!$C$58*'Modelo Tarifário'!$E$45)*('Premissas Economias e Água'!AB356))&gt;('Premissas Economias e Água'!AB216*12*'Modelo Tarifário'!$D$29*'Modelo Tarifário'!$C$58*'Modelo Tarifário'!$E$45),(AA8*'Modelo Tarifário'!$C$58*'Modelo Tarifário'!$E$45)*('Premissas Economias e Água'!AB356),('Premissas Economias e Água'!AB216*12*'Modelo Tarifário'!$D$29*'Modelo Tarifário'!$C$58*'Modelo Tarifário'!$E$45))</f>
        <v>1463546.4775607041</v>
      </c>
      <c r="AB80" s="1344">
        <f>IF(((AB8*'Modelo Tarifário'!$C$58*'Modelo Tarifário'!$E$45)*('Premissas Economias e Água'!AC356))&gt;('Premissas Economias e Água'!AC216*12*'Modelo Tarifário'!$D$29*'Modelo Tarifário'!$C$58*'Modelo Tarifário'!$E$45),(AB8*'Modelo Tarifário'!$C$58*'Modelo Tarifário'!$E$45)*('Premissas Economias e Água'!AC356),('Premissas Economias e Água'!AC216*12*'Modelo Tarifário'!$D$29*'Modelo Tarifário'!$C$58*'Modelo Tarifário'!$E$45))</f>
        <v>1466489.1973727583</v>
      </c>
      <c r="AC80" s="1344">
        <f>IF(((AC8*'Modelo Tarifário'!$C$58*'Modelo Tarifário'!$E$45)*('Premissas Economias e Água'!AD356))&gt;('Premissas Economias e Água'!AD216*12*'Modelo Tarifário'!$D$29*'Modelo Tarifário'!$C$58*'Modelo Tarifário'!$E$45),(AC8*'Modelo Tarifário'!$C$58*'Modelo Tarifário'!$E$45)*('Premissas Economias e Água'!AD356),('Premissas Economias e Água'!AD216*12*'Modelo Tarifário'!$D$29*'Modelo Tarifário'!$C$58*'Modelo Tarifário'!$E$45))</f>
        <v>1469431.9171848127</v>
      </c>
      <c r="AD80" s="1344">
        <f>IF(((AD8*'Modelo Tarifário'!$C$58*'Modelo Tarifário'!$E$45)*('Premissas Economias e Água'!AE356))&gt;('Premissas Economias e Água'!AE216*12*'Modelo Tarifário'!$D$29*'Modelo Tarifário'!$C$58*'Modelo Tarifário'!$E$45),(AD8*'Modelo Tarifário'!$C$58*'Modelo Tarifário'!$E$45)*('Premissas Economias e Água'!AE356),('Premissas Economias e Água'!AE216*12*'Modelo Tarifário'!$D$29*'Modelo Tarifário'!$C$58*'Modelo Tarifário'!$E$45))</f>
        <v>1472374.6369968671</v>
      </c>
      <c r="AE80" s="1344">
        <f>IF(((AE8*'Modelo Tarifário'!$C$58*'Modelo Tarifário'!$E$45)*('Premissas Economias e Água'!AF356))&gt;('Premissas Economias e Água'!AF216*12*'Modelo Tarifário'!$D$29*'Modelo Tarifário'!$C$58*'Modelo Tarifário'!$E$45),(AE8*'Modelo Tarifário'!$C$58*'Modelo Tarifário'!$E$45)*('Premissas Economias e Água'!AF356),('Premissas Economias e Água'!AF216*12*'Modelo Tarifário'!$D$29*'Modelo Tarifário'!$C$58*'Modelo Tarifário'!$E$45))</f>
        <v>1475317.3568089216</v>
      </c>
      <c r="AF80" s="1344">
        <f>IF(((AF8*'Modelo Tarifário'!$C$58*'Modelo Tarifário'!$E$45)*('Premissas Economias e Água'!AG356))&gt;('Premissas Economias e Água'!AG216*12*'Modelo Tarifário'!$D$29*'Modelo Tarifário'!$C$58*'Modelo Tarifário'!$E$45),(AF8*'Modelo Tarifário'!$C$58*'Modelo Tarifário'!$E$45)*('Premissas Economias e Água'!AG356),('Premissas Economias e Água'!AG216*12*'Modelo Tarifário'!$D$29*'Modelo Tarifário'!$C$58*'Modelo Tarifário'!$E$45))</f>
        <v>1478260.0766209757</v>
      </c>
      <c r="AG80" s="1344">
        <f>IF(((AG8*'Modelo Tarifário'!$C$58*'Modelo Tarifário'!$E$45)*('Premissas Economias e Água'!AH356))&gt;('Premissas Economias e Água'!AH216*12*'Modelo Tarifário'!$D$29*'Modelo Tarifário'!$C$58*'Modelo Tarifário'!$E$45),(AG8*'Modelo Tarifário'!$C$58*'Modelo Tarifário'!$E$45)*('Premissas Economias e Água'!AH356),('Premissas Economias e Água'!AH216*12*'Modelo Tarifário'!$D$29*'Modelo Tarifário'!$C$58*'Modelo Tarifário'!$E$45))</f>
        <v>1481202.7964330304</v>
      </c>
      <c r="AH80" s="1344">
        <f>IF(((AH8*'Modelo Tarifário'!$C$58*'Modelo Tarifário'!$E$45)*('Premissas Economias e Água'!AI356))&gt;('Premissas Economias e Água'!AI216*12*'Modelo Tarifário'!$D$29*'Modelo Tarifário'!$C$58*'Modelo Tarifário'!$E$45),(AH8*'Modelo Tarifário'!$C$58*'Modelo Tarifário'!$E$45)*('Premissas Economias e Água'!AI356),('Premissas Economias e Água'!AI216*12*'Modelo Tarifário'!$D$29*'Modelo Tarifário'!$C$58*'Modelo Tarifário'!$E$45))</f>
        <v>1484145.5162450846</v>
      </c>
    </row>
    <row r="81" spans="2:34" s="79" customFormat="1" ht="12" collapsed="1" x14ac:dyDescent="0.3">
      <c r="B81" s="225"/>
      <c r="C81" s="173" t="s">
        <v>7</v>
      </c>
      <c r="D81" s="173"/>
      <c r="E81" s="497">
        <f>SUM(E82:E92)</f>
        <v>1175244.7825329273</v>
      </c>
      <c r="F81" s="497">
        <f t="shared" ref="F81:AH81" si="34">SUM(F82:F92)</f>
        <v>1172108.6647059508</v>
      </c>
      <c r="G81" s="497">
        <f t="shared" si="34"/>
        <v>1168972.546878974</v>
      </c>
      <c r="H81" s="497">
        <f t="shared" si="34"/>
        <v>1165836.4290519971</v>
      </c>
      <c r="I81" s="497">
        <f t="shared" si="34"/>
        <v>1162700.3112250206</v>
      </c>
      <c r="J81" s="497">
        <f t="shared" si="34"/>
        <v>1159441.208385221</v>
      </c>
      <c r="K81" s="497">
        <f t="shared" si="34"/>
        <v>1153968.3753146147</v>
      </c>
      <c r="L81" s="497">
        <f t="shared" si="34"/>
        <v>1148495.5422440083</v>
      </c>
      <c r="M81" s="497">
        <f t="shared" si="34"/>
        <v>1143022.7091734018</v>
      </c>
      <c r="N81" s="497">
        <f t="shared" si="34"/>
        <v>1137549.8761027954</v>
      </c>
      <c r="O81" s="497">
        <f t="shared" si="34"/>
        <v>1132015.5505257773</v>
      </c>
      <c r="P81" s="497">
        <f t="shared" si="34"/>
        <v>1124513.4647435981</v>
      </c>
      <c r="Q81" s="497">
        <f t="shared" si="34"/>
        <v>1117011.3789614181</v>
      </c>
      <c r="R81" s="497">
        <f t="shared" si="34"/>
        <v>1109509.2931792387</v>
      </c>
      <c r="S81" s="497">
        <f t="shared" si="34"/>
        <v>1102007.2073970588</v>
      </c>
      <c r="T81" s="497">
        <f t="shared" si="34"/>
        <v>1094382.1366020567</v>
      </c>
      <c r="U81" s="497">
        <f t="shared" si="34"/>
        <v>1086265.1257557641</v>
      </c>
      <c r="V81" s="497">
        <f t="shared" si="34"/>
        <v>1078148.1149094712</v>
      </c>
      <c r="W81" s="497">
        <f t="shared" si="34"/>
        <v>1070031.1040631784</v>
      </c>
      <c r="X81" s="497">
        <f t="shared" si="34"/>
        <v>1061914.0932168858</v>
      </c>
      <c r="Y81" s="497">
        <f t="shared" si="34"/>
        <v>1053920.0673834158</v>
      </c>
      <c r="Z81" s="497">
        <f t="shared" si="34"/>
        <v>1045803.0565371232</v>
      </c>
      <c r="AA81" s="497">
        <f t="shared" si="34"/>
        <v>1037686.0456908304</v>
      </c>
      <c r="AB81" s="497">
        <f t="shared" si="34"/>
        <v>1029569.0348445377</v>
      </c>
      <c r="AC81" s="497">
        <f t="shared" si="34"/>
        <v>1021452.0239982451</v>
      </c>
      <c r="AD81" s="497">
        <f t="shared" si="34"/>
        <v>1013335.0131519523</v>
      </c>
      <c r="AE81" s="497">
        <f t="shared" si="34"/>
        <v>1005218.0023056595</v>
      </c>
      <c r="AF81" s="497">
        <f t="shared" si="34"/>
        <v>997100.99145936675</v>
      </c>
      <c r="AG81" s="497">
        <f t="shared" si="34"/>
        <v>988983.98061307403</v>
      </c>
      <c r="AH81" s="497">
        <f t="shared" si="34"/>
        <v>980866.96976678155</v>
      </c>
    </row>
    <row r="82" spans="2:34" s="79" customFormat="1" ht="12" hidden="1" outlineLevel="1" x14ac:dyDescent="0.3">
      <c r="B82" s="1336"/>
      <c r="C82" s="1337" t="s">
        <v>10</v>
      </c>
      <c r="D82" s="1337"/>
      <c r="E82" s="1338">
        <f>IF(((E8*'Modelo Tarifário'!$C$59*'Modelo Tarifário'!$E$35)*('Premissas Economias e Água'!F361))&gt;('Premissas Economias e Água'!F221*12*'Modelo Tarifário'!$D$29*'Modelo Tarifário'!$C$59*'Modelo Tarifário'!$E$35),(E8*'Modelo Tarifário'!$C$59*'Modelo Tarifário'!$E$35)*('Premissas Economias e Água'!F361),('Premissas Economias e Água'!F221*12*'Modelo Tarifário'!$D$29*'Modelo Tarifário'!$C$59*'Modelo Tarifário'!$E$35))</f>
        <v>169404.79596881007</v>
      </c>
      <c r="F82" s="1338">
        <f>IF(((F8*'Modelo Tarifário'!$C$59*'Modelo Tarifário'!$E$35)*('Premissas Economias e Água'!G361))&gt;('Premissas Economias e Água'!G221*12*'Modelo Tarifário'!$D$29*'Modelo Tarifário'!$C$59*'Modelo Tarifário'!$E$35),(F8*'Modelo Tarifário'!$C$59*'Modelo Tarifário'!$E$35)*('Premissas Economias e Água'!G361),('Premissas Economias e Água'!G221*12*'Modelo Tarifário'!$D$29*'Modelo Tarifário'!$C$59*'Modelo Tarifário'!$E$35))</f>
        <v>168952.74256809795</v>
      </c>
      <c r="G82" s="1338">
        <f>IF(((G8*'Modelo Tarifário'!$C$59*'Modelo Tarifário'!$E$35)*('Premissas Economias e Água'!H361))&gt;('Premissas Economias e Água'!H221*12*'Modelo Tarifário'!$D$29*'Modelo Tarifário'!$C$59*'Modelo Tarifário'!$E$35),(G8*'Modelo Tarifário'!$C$59*'Modelo Tarifário'!$E$35)*('Premissas Economias e Água'!H361),('Premissas Economias e Água'!H221*12*'Modelo Tarifário'!$D$29*'Modelo Tarifário'!$C$59*'Modelo Tarifário'!$E$35))</f>
        <v>168500.68916738589</v>
      </c>
      <c r="H82" s="1338">
        <f>IF(((H8*'Modelo Tarifário'!$C$59*'Modelo Tarifário'!$E$35)*('Premissas Economias e Água'!I361))&gt;('Premissas Economias e Água'!I221*12*'Modelo Tarifário'!$D$29*'Modelo Tarifário'!$C$59*'Modelo Tarifário'!$E$35),(H8*'Modelo Tarifário'!$C$59*'Modelo Tarifário'!$E$35)*('Premissas Economias e Água'!I361),('Premissas Economias e Água'!I221*12*'Modelo Tarifário'!$D$29*'Modelo Tarifário'!$C$59*'Modelo Tarifário'!$E$35))</f>
        <v>168048.63576667377</v>
      </c>
      <c r="I82" s="1338">
        <f>IF(((I8*'Modelo Tarifário'!$C$59*'Modelo Tarifário'!$E$35)*('Premissas Economias e Água'!J361))&gt;('Premissas Economias e Água'!J221*12*'Modelo Tarifário'!$D$29*'Modelo Tarifário'!$C$59*'Modelo Tarifário'!$E$35),(I8*'Modelo Tarifário'!$C$59*'Modelo Tarifário'!$E$35)*('Premissas Economias e Água'!J361),('Premissas Economias e Água'!J221*12*'Modelo Tarifário'!$D$29*'Modelo Tarifário'!$C$59*'Modelo Tarifário'!$E$35))</f>
        <v>167596.58236596172</v>
      </c>
      <c r="J82" s="1338">
        <f>IF(((J8*'Modelo Tarifário'!$C$59*'Modelo Tarifário'!$E$35)*('Premissas Economias e Água'!K361))&gt;('Premissas Economias e Água'!K221*12*'Modelo Tarifário'!$D$29*'Modelo Tarifário'!$C$59*'Modelo Tarifário'!$E$35),(J8*'Modelo Tarifário'!$C$59*'Modelo Tarifário'!$E$35)*('Premissas Economias e Água'!K361),('Premissas Economias e Água'!K221*12*'Modelo Tarifário'!$D$29*'Modelo Tarifário'!$C$59*'Modelo Tarifário'!$E$35))</f>
        <v>167126.801380908</v>
      </c>
      <c r="K82" s="1338">
        <f>IF(((K8*'Modelo Tarifário'!$C$59*'Modelo Tarifário'!$E$35)*('Premissas Economias e Água'!L361))&gt;('Premissas Economias e Água'!L221*12*'Modelo Tarifário'!$D$29*'Modelo Tarifário'!$C$59*'Modelo Tarifário'!$E$35),(K8*'Modelo Tarifário'!$C$59*'Modelo Tarifário'!$E$35)*('Premissas Economias e Água'!L361),('Premissas Economias e Água'!L221*12*'Modelo Tarifário'!$D$29*'Modelo Tarifário'!$C$59*'Modelo Tarifário'!$E$35))</f>
        <v>166337.92387770454</v>
      </c>
      <c r="L82" s="1338">
        <f>IF(((L8*'Modelo Tarifário'!$C$59*'Modelo Tarifário'!$E$35)*('Premissas Economias e Água'!M361))&gt;('Premissas Economias e Água'!M221*12*'Modelo Tarifário'!$D$29*'Modelo Tarifário'!$C$59*'Modelo Tarifário'!$E$35),(L8*'Modelo Tarifário'!$C$59*'Modelo Tarifário'!$E$35)*('Premissas Economias e Água'!M361),('Premissas Economias e Água'!M221*12*'Modelo Tarifário'!$D$29*'Modelo Tarifário'!$C$59*'Modelo Tarifário'!$E$35))</f>
        <v>165549.04637450111</v>
      </c>
      <c r="M82" s="1338">
        <f>IF(((M8*'Modelo Tarifário'!$C$59*'Modelo Tarifário'!$E$35)*('Premissas Economias e Água'!N361))&gt;('Premissas Economias e Água'!N221*12*'Modelo Tarifário'!$D$29*'Modelo Tarifário'!$C$59*'Modelo Tarifário'!$E$35),(M8*'Modelo Tarifário'!$C$59*'Modelo Tarifário'!$E$35)*('Premissas Economias e Água'!N361),('Premissas Economias e Água'!N221*12*'Modelo Tarifário'!$D$29*'Modelo Tarifário'!$C$59*'Modelo Tarifário'!$E$35))</f>
        <v>164760.16887129765</v>
      </c>
      <c r="N82" s="1338">
        <f>IF(((N8*'Modelo Tarifário'!$C$59*'Modelo Tarifário'!$E$35)*('Premissas Economias e Água'!O361))&gt;('Premissas Economias e Água'!O221*12*'Modelo Tarifário'!$D$29*'Modelo Tarifário'!$C$59*'Modelo Tarifário'!$E$35),(N8*'Modelo Tarifário'!$C$59*'Modelo Tarifário'!$E$35)*('Premissas Economias e Água'!O361),('Premissas Economias e Água'!O221*12*'Modelo Tarifário'!$D$29*'Modelo Tarifário'!$C$59*'Modelo Tarifário'!$E$35))</f>
        <v>163971.29136809427</v>
      </c>
      <c r="O82" s="1338">
        <f>IF(((O8*'Modelo Tarifário'!$C$59*'Modelo Tarifário'!$E$35)*('Premissas Economias e Água'!P361))&gt;('Premissas Economias e Água'!P221*12*'Modelo Tarifário'!$D$29*'Modelo Tarifário'!$C$59*'Modelo Tarifário'!$E$35),(O8*'Modelo Tarifário'!$C$59*'Modelo Tarifário'!$E$35)*('Premissas Economias e Água'!P361),('Premissas Economias e Água'!P221*12*'Modelo Tarifário'!$D$29*'Modelo Tarifário'!$C$59*'Modelo Tarifário'!$E$35))</f>
        <v>163173.55007271995</v>
      </c>
      <c r="P82" s="1338">
        <f>IF(((P8*'Modelo Tarifário'!$C$59*'Modelo Tarifário'!$E$35)*('Premissas Economias e Água'!Q361))&gt;('Premissas Economias e Água'!Q221*12*'Modelo Tarifário'!$D$29*'Modelo Tarifário'!$C$59*'Modelo Tarifário'!$E$35),(P8*'Modelo Tarifário'!$C$59*'Modelo Tarifário'!$E$35)*('Premissas Economias e Água'!Q361),('Premissas Economias e Água'!Q221*12*'Modelo Tarifário'!$D$29*'Modelo Tarifário'!$C$59*'Modelo Tarifário'!$E$35))</f>
        <v>162092.16742787929</v>
      </c>
      <c r="Q82" s="1338">
        <f>IF(((Q8*'Modelo Tarifário'!$C$59*'Modelo Tarifário'!$E$35)*('Premissas Economias e Água'!R361))&gt;('Premissas Economias e Água'!R221*12*'Modelo Tarifário'!$D$29*'Modelo Tarifário'!$C$59*'Modelo Tarifário'!$E$35),(Q8*'Modelo Tarifário'!$C$59*'Modelo Tarifário'!$E$35)*('Premissas Economias e Água'!R361),('Premissas Economias e Água'!R221*12*'Modelo Tarifário'!$D$29*'Modelo Tarifário'!$C$59*'Modelo Tarifário'!$E$35))</f>
        <v>161010.78478303863</v>
      </c>
      <c r="R82" s="1338">
        <f>IF(((R8*'Modelo Tarifário'!$C$59*'Modelo Tarifário'!$E$35)*('Premissas Economias e Água'!S361))&gt;('Premissas Economias e Água'!S221*12*'Modelo Tarifário'!$D$29*'Modelo Tarifário'!$C$59*'Modelo Tarifário'!$E$35),(R8*'Modelo Tarifário'!$C$59*'Modelo Tarifário'!$E$35)*('Premissas Economias e Água'!S361),('Premissas Economias e Água'!S221*12*'Modelo Tarifário'!$D$29*'Modelo Tarifário'!$C$59*'Modelo Tarifário'!$E$35))</f>
        <v>159929.40213819797</v>
      </c>
      <c r="S82" s="1338">
        <f>IF(((S8*'Modelo Tarifário'!$C$59*'Modelo Tarifário'!$E$35)*('Premissas Economias e Água'!T361))&gt;('Premissas Economias e Água'!T221*12*'Modelo Tarifário'!$D$29*'Modelo Tarifário'!$C$59*'Modelo Tarifário'!$E$35),(S8*'Modelo Tarifário'!$C$59*'Modelo Tarifário'!$E$35)*('Premissas Economias e Água'!T361),('Premissas Economias e Água'!T221*12*'Modelo Tarifário'!$D$29*'Modelo Tarifário'!$C$59*'Modelo Tarifário'!$E$35))</f>
        <v>158848.01949335728</v>
      </c>
      <c r="T82" s="1338">
        <f>IF(((T8*'Modelo Tarifário'!$C$59*'Modelo Tarifário'!$E$35)*('Premissas Economias e Água'!U361))&gt;('Premissas Economias e Água'!U221*12*'Modelo Tarifário'!$D$29*'Modelo Tarifário'!$C$59*'Modelo Tarifário'!$E$35),(T8*'Modelo Tarifário'!$C$59*'Modelo Tarifário'!$E$35)*('Premissas Economias e Água'!U361),('Premissas Economias e Água'!U221*12*'Modelo Tarifário'!$D$29*'Modelo Tarifário'!$C$59*'Modelo Tarifário'!$E$35))</f>
        <v>157748.90926417499</v>
      </c>
      <c r="U82" s="1338">
        <f>IF(((U8*'Modelo Tarifário'!$C$59*'Modelo Tarifário'!$E$35)*('Premissas Economias e Água'!V361))&gt;('Premissas Economias e Água'!V221*12*'Modelo Tarifário'!$D$29*'Modelo Tarifário'!$C$59*'Modelo Tarifário'!$E$35),(U8*'Modelo Tarifário'!$C$59*'Modelo Tarifário'!$E$35)*('Premissas Economias e Água'!V361),('Premissas Economias e Água'!V221*12*'Modelo Tarifário'!$D$29*'Modelo Tarifário'!$C$59*'Modelo Tarifário'!$E$35))</f>
        <v>156578.88869762607</v>
      </c>
      <c r="V82" s="1338">
        <f>IF(((V8*'Modelo Tarifário'!$C$59*'Modelo Tarifário'!$E$35)*('Premissas Economias e Água'!W361))&gt;('Premissas Economias e Água'!W221*12*'Modelo Tarifário'!$D$29*'Modelo Tarifário'!$C$59*'Modelo Tarifário'!$E$35),(V8*'Modelo Tarifário'!$C$59*'Modelo Tarifário'!$E$35)*('Premissas Economias e Água'!W361),('Premissas Economias e Água'!W221*12*'Modelo Tarifário'!$D$29*'Modelo Tarifário'!$C$59*'Modelo Tarifário'!$E$35))</f>
        <v>155408.86813107715</v>
      </c>
      <c r="W82" s="1338">
        <f>IF(((W8*'Modelo Tarifário'!$C$59*'Modelo Tarifário'!$E$35)*('Premissas Economias e Água'!X361))&gt;('Premissas Economias e Água'!X221*12*'Modelo Tarifário'!$D$29*'Modelo Tarifário'!$C$59*'Modelo Tarifário'!$E$35),(W8*'Modelo Tarifário'!$C$59*'Modelo Tarifário'!$E$35)*('Premissas Economias e Água'!X361),('Premissas Economias e Água'!X221*12*'Modelo Tarifário'!$D$29*'Modelo Tarifário'!$C$59*'Modelo Tarifário'!$E$35))</f>
        <v>154238.84756452823</v>
      </c>
      <c r="X82" s="1338">
        <f>IF(((X8*'Modelo Tarifário'!$C$59*'Modelo Tarifário'!$E$35)*('Premissas Economias e Água'!Y361))&gt;('Premissas Economias e Água'!Y221*12*'Modelo Tarifário'!$D$29*'Modelo Tarifário'!$C$59*'Modelo Tarifário'!$E$35),(X8*'Modelo Tarifário'!$C$59*'Modelo Tarifário'!$E$35)*('Premissas Economias e Água'!Y361),('Premissas Economias e Água'!Y221*12*'Modelo Tarifário'!$D$29*'Modelo Tarifário'!$C$59*'Modelo Tarifário'!$E$35))</f>
        <v>153068.82699797934</v>
      </c>
      <c r="Y82" s="1338">
        <f>IF(((Y8*'Modelo Tarifário'!$C$59*'Modelo Tarifário'!$E$35)*('Premissas Economias e Água'!Z361))&gt;('Premissas Economias e Água'!Z221*12*'Modelo Tarifário'!$D$29*'Modelo Tarifário'!$C$59*'Modelo Tarifário'!$E$35),(Y8*'Modelo Tarifário'!$C$59*'Modelo Tarifário'!$E$35)*('Premissas Economias e Água'!Z361),('Premissas Economias e Água'!Z221*12*'Modelo Tarifário'!$D$29*'Modelo Tarifário'!$C$59*'Modelo Tarifário'!$E$35))</f>
        <v>151916.53401577205</v>
      </c>
      <c r="Z82" s="1338">
        <f>IF(((Z8*'Modelo Tarifário'!$C$59*'Modelo Tarifário'!$E$35)*('Premissas Economias e Água'!AA361))&gt;('Premissas Economias e Água'!AA221*12*'Modelo Tarifário'!$D$29*'Modelo Tarifário'!$C$59*'Modelo Tarifário'!$E$35),(Z8*'Modelo Tarifário'!$C$59*'Modelo Tarifário'!$E$35)*('Premissas Economias e Água'!AA361),('Premissas Economias e Água'!AA221*12*'Modelo Tarifário'!$D$29*'Modelo Tarifário'!$C$59*'Modelo Tarifário'!$E$35))</f>
        <v>150746.5134492231</v>
      </c>
      <c r="AA82" s="1338">
        <f>IF(((AA8*'Modelo Tarifário'!$C$59*'Modelo Tarifário'!$E$35)*('Premissas Economias e Água'!AB361))&gt;('Premissas Economias e Água'!AB221*12*'Modelo Tarifário'!$D$29*'Modelo Tarifário'!$C$59*'Modelo Tarifário'!$E$35),(AA8*'Modelo Tarifário'!$C$59*'Modelo Tarifário'!$E$35)*('Premissas Economias e Água'!AB361),('Premissas Economias e Água'!AB221*12*'Modelo Tarifário'!$D$29*'Modelo Tarifário'!$C$59*'Modelo Tarifário'!$E$35))</f>
        <v>149576.49288267424</v>
      </c>
      <c r="AB82" s="1338">
        <f>IF(((AB8*'Modelo Tarifário'!$C$59*'Modelo Tarifário'!$E$35)*('Premissas Economias e Água'!AC361))&gt;('Premissas Economias e Água'!AC221*12*'Modelo Tarifário'!$D$29*'Modelo Tarifário'!$C$59*'Modelo Tarifário'!$E$35),(AB8*'Modelo Tarifário'!$C$59*'Modelo Tarifário'!$E$35)*('Premissas Economias e Água'!AC361),('Premissas Economias e Água'!AC221*12*'Modelo Tarifário'!$D$29*'Modelo Tarifário'!$C$59*'Modelo Tarifário'!$E$35))</f>
        <v>148406.47231612529</v>
      </c>
      <c r="AC82" s="1338">
        <f>IF(((AC8*'Modelo Tarifário'!$C$59*'Modelo Tarifário'!$E$35)*('Premissas Economias e Água'!AD361))&gt;('Premissas Economias e Água'!AD221*12*'Modelo Tarifário'!$D$29*'Modelo Tarifário'!$C$59*'Modelo Tarifário'!$E$35),(AC8*'Modelo Tarifário'!$C$59*'Modelo Tarifário'!$E$35)*('Premissas Economias e Água'!AD361),('Premissas Economias e Água'!AD221*12*'Modelo Tarifário'!$D$29*'Modelo Tarifário'!$C$59*'Modelo Tarifário'!$E$35))</f>
        <v>147236.45174957637</v>
      </c>
      <c r="AD82" s="1338">
        <f>IF(((AD8*'Modelo Tarifário'!$C$59*'Modelo Tarifário'!$E$35)*('Premissas Economias e Água'!AE361))&gt;('Premissas Economias e Água'!AE221*12*'Modelo Tarifário'!$D$29*'Modelo Tarifário'!$C$59*'Modelo Tarifário'!$E$35),(AD8*'Modelo Tarifário'!$C$59*'Modelo Tarifário'!$E$35)*('Premissas Economias e Água'!AE361),('Premissas Economias e Água'!AE221*12*'Modelo Tarifário'!$D$29*'Modelo Tarifário'!$C$59*'Modelo Tarifário'!$E$35))</f>
        <v>146066.43118302745</v>
      </c>
      <c r="AE82" s="1338">
        <f>IF(((AE8*'Modelo Tarifário'!$C$59*'Modelo Tarifário'!$E$35)*('Premissas Economias e Água'!AF361))&gt;('Premissas Economias e Água'!AF221*12*'Modelo Tarifário'!$D$29*'Modelo Tarifário'!$C$59*'Modelo Tarifário'!$E$35),(AE8*'Modelo Tarifário'!$C$59*'Modelo Tarifário'!$E$35)*('Premissas Economias e Água'!AF361),('Premissas Economias e Água'!AF221*12*'Modelo Tarifário'!$D$29*'Modelo Tarifário'!$C$59*'Modelo Tarifário'!$E$35))</f>
        <v>144896.41061647853</v>
      </c>
      <c r="AF82" s="1338">
        <f>IF(((AF8*'Modelo Tarifário'!$C$59*'Modelo Tarifário'!$E$35)*('Premissas Economias e Água'!AG361))&gt;('Premissas Economias e Água'!AG221*12*'Modelo Tarifário'!$D$29*'Modelo Tarifário'!$C$59*'Modelo Tarifário'!$E$35),(AF8*'Modelo Tarifário'!$C$59*'Modelo Tarifário'!$E$35)*('Premissas Economias e Água'!AG361),('Premissas Economias e Água'!AG221*12*'Modelo Tarifário'!$D$29*'Modelo Tarifário'!$C$59*'Modelo Tarifário'!$E$35))</f>
        <v>143726.39004992961</v>
      </c>
      <c r="AG82" s="1338">
        <f>IF(((AG8*'Modelo Tarifário'!$C$59*'Modelo Tarifário'!$E$35)*('Premissas Economias e Água'!AH361))&gt;('Premissas Economias e Água'!AH221*12*'Modelo Tarifário'!$D$29*'Modelo Tarifário'!$C$59*'Modelo Tarifário'!$E$35),(AG8*'Modelo Tarifário'!$C$59*'Modelo Tarifário'!$E$35)*('Premissas Economias e Água'!AH361),('Premissas Economias e Água'!AH221*12*'Modelo Tarifário'!$D$29*'Modelo Tarifário'!$C$59*'Modelo Tarifário'!$E$35))</f>
        <v>142556.36948338069</v>
      </c>
      <c r="AH82" s="1338">
        <f>IF(((AH8*'Modelo Tarifário'!$C$59*'Modelo Tarifário'!$E$35)*('Premissas Economias e Água'!AI361))&gt;('Premissas Economias e Água'!AI221*12*'Modelo Tarifário'!$D$29*'Modelo Tarifário'!$C$59*'Modelo Tarifário'!$E$35),(AH8*'Modelo Tarifário'!$C$59*'Modelo Tarifário'!$E$35)*('Premissas Economias e Água'!AI361),('Premissas Economias e Água'!AI221*12*'Modelo Tarifário'!$D$29*'Modelo Tarifário'!$C$59*'Modelo Tarifário'!$E$35))</f>
        <v>141386.3489168318</v>
      </c>
    </row>
    <row r="83" spans="2:34" s="79" customFormat="1" ht="12" hidden="1" outlineLevel="1" x14ac:dyDescent="0.3">
      <c r="B83" s="1339"/>
      <c r="C83" s="1335" t="s">
        <v>277</v>
      </c>
      <c r="D83" s="1335"/>
      <c r="E83" s="1340">
        <f>IF(('Premissas Economias e Água'!F222*'Modelo Tarifário'!$I$36*12*'Modelo Tarifário'!$B$5*'Modelo Tarifário'!$E$36)&gt;('Premissas Economias e Água'!F222*12*'Modelo Tarifário'!$D$29*'Modelo Tarifário'!$E$36),('Premissas Economias e Água'!F222*'Modelo Tarifário'!$I$36*12*'Modelo Tarifário'!$B$5*'Modelo Tarifário'!$E$36),('Premissas Economias e Água'!F222*12*'Modelo Tarifário'!$D$29*'Modelo Tarifário'!$E$36))</f>
        <v>75259.294726672757</v>
      </c>
      <c r="F83" s="1340">
        <f>IF(('Premissas Economias e Água'!G222*'Modelo Tarifário'!$I$36*12*'Modelo Tarifário'!$B$5*'Modelo Tarifário'!$E$36)&gt;('Premissas Economias e Água'!G222*12*'Modelo Tarifário'!$D$29*'Modelo Tarifário'!$E$36),('Premissas Economias e Água'!G222*'Modelo Tarifário'!$I$36*12*'Modelo Tarifário'!$B$5*'Modelo Tarifário'!$E$36),('Premissas Economias e Água'!G222*12*'Modelo Tarifário'!$D$29*'Modelo Tarifário'!$E$36))</f>
        <v>75058.466763557401</v>
      </c>
      <c r="G83" s="1340">
        <f>IF(('Premissas Economias e Água'!H222*'Modelo Tarifário'!$I$36*12*'Modelo Tarifário'!$B$5*'Modelo Tarifário'!$E$36)&gt;('Premissas Economias e Água'!H222*12*'Modelo Tarifário'!$D$29*'Modelo Tarifário'!$E$36),('Premissas Economias e Água'!H222*'Modelo Tarifário'!$I$36*12*'Modelo Tarifário'!$B$5*'Modelo Tarifário'!$E$36),('Premissas Economias e Água'!H222*12*'Modelo Tarifário'!$D$29*'Modelo Tarifário'!$E$36))</f>
        <v>74857.638800442073</v>
      </c>
      <c r="H83" s="1340">
        <f>IF(('Premissas Economias e Água'!I222*'Modelo Tarifário'!$I$36*12*'Modelo Tarifário'!$B$5*'Modelo Tarifário'!$E$36)&gt;('Premissas Economias e Água'!I222*12*'Modelo Tarifário'!$D$29*'Modelo Tarifário'!$E$36),('Premissas Economias e Água'!I222*'Modelo Tarifário'!$I$36*12*'Modelo Tarifário'!$B$5*'Modelo Tarifário'!$E$36),('Premissas Economias e Água'!I222*12*'Modelo Tarifário'!$D$29*'Modelo Tarifário'!$E$36))</f>
        <v>74656.810837326746</v>
      </c>
      <c r="I83" s="1340">
        <f>IF(('Premissas Economias e Água'!J222*'Modelo Tarifário'!$I$36*12*'Modelo Tarifário'!$B$5*'Modelo Tarifário'!$E$36)&gt;('Premissas Economias e Água'!J222*12*'Modelo Tarifário'!$D$29*'Modelo Tarifário'!$E$36),('Premissas Economias e Água'!J222*'Modelo Tarifário'!$I$36*12*'Modelo Tarifário'!$B$5*'Modelo Tarifário'!$E$36),('Premissas Economias e Água'!J222*12*'Modelo Tarifário'!$D$29*'Modelo Tarifário'!$E$36))</f>
        <v>74455.98287421139</v>
      </c>
      <c r="J83" s="1340">
        <f>IF(('Premissas Economias e Água'!K222*'Modelo Tarifário'!$I$36*12*'Modelo Tarifário'!$B$5*'Modelo Tarifário'!$E$36)&gt;('Premissas Economias e Água'!K222*12*'Modelo Tarifário'!$D$29*'Modelo Tarifário'!$E$36),('Premissas Economias e Água'!K222*'Modelo Tarifário'!$I$36*12*'Modelo Tarifário'!$B$5*'Modelo Tarifário'!$E$36),('Premissas Economias e Água'!K222*12*'Modelo Tarifário'!$D$29*'Modelo Tarifário'!$E$36))</f>
        <v>74247.279304699376</v>
      </c>
      <c r="K83" s="1340">
        <f>IF(('Premissas Economias e Água'!L222*'Modelo Tarifário'!$I$36*12*'Modelo Tarifário'!$B$5*'Modelo Tarifário'!$E$36)&gt;('Premissas Economias e Água'!L222*12*'Modelo Tarifário'!$D$29*'Modelo Tarifário'!$E$36),('Premissas Economias e Água'!L222*'Modelo Tarifário'!$I$36*12*'Modelo Tarifário'!$B$5*'Modelo Tarifário'!$E$36),('Premissas Economias e Água'!L222*12*'Modelo Tarifário'!$D$29*'Modelo Tarifário'!$E$36))</f>
        <v>73896.814820047133</v>
      </c>
      <c r="L83" s="1340">
        <f>IF(('Premissas Economias e Água'!M222*'Modelo Tarifário'!$I$36*12*'Modelo Tarifário'!$B$5*'Modelo Tarifário'!$E$36)&gt;('Premissas Economias e Água'!M222*12*'Modelo Tarifário'!$D$29*'Modelo Tarifário'!$E$36),('Premissas Economias e Água'!M222*'Modelo Tarifário'!$I$36*12*'Modelo Tarifário'!$B$5*'Modelo Tarifário'!$E$36),('Premissas Economias e Água'!M222*12*'Modelo Tarifário'!$D$29*'Modelo Tarifário'!$E$36))</f>
        <v>73546.350335394891</v>
      </c>
      <c r="M83" s="1340">
        <f>IF(('Premissas Economias e Água'!N222*'Modelo Tarifário'!$I$36*12*'Modelo Tarifário'!$B$5*'Modelo Tarifário'!$E$36)&gt;('Premissas Economias e Água'!N222*12*'Modelo Tarifário'!$D$29*'Modelo Tarifário'!$E$36),('Premissas Economias e Água'!N222*'Modelo Tarifário'!$I$36*12*'Modelo Tarifário'!$B$5*'Modelo Tarifário'!$E$36),('Premissas Economias e Água'!N222*12*'Modelo Tarifário'!$D$29*'Modelo Tarifário'!$E$36))</f>
        <v>73195.885850742619</v>
      </c>
      <c r="N83" s="1340">
        <f>IF(('Premissas Economias e Água'!O222*'Modelo Tarifário'!$I$36*12*'Modelo Tarifário'!$B$5*'Modelo Tarifário'!$E$36)&gt;('Premissas Economias e Água'!O222*12*'Modelo Tarifário'!$D$29*'Modelo Tarifário'!$E$36),('Premissas Economias e Água'!O222*'Modelo Tarifário'!$I$36*12*'Modelo Tarifário'!$B$5*'Modelo Tarifário'!$E$36),('Premissas Economias e Água'!O222*12*'Modelo Tarifário'!$D$29*'Modelo Tarifário'!$E$36))</f>
        <v>72845.421366090362</v>
      </c>
      <c r="O83" s="1340">
        <f>IF(('Premissas Economias e Água'!P222*'Modelo Tarifário'!$I$36*12*'Modelo Tarifário'!$B$5*'Modelo Tarifário'!$E$36)&gt;('Premissas Economias e Água'!P222*12*'Modelo Tarifário'!$D$29*'Modelo Tarifário'!$E$36),('Premissas Economias e Água'!P222*'Modelo Tarifário'!$I$36*12*'Modelo Tarifário'!$B$5*'Modelo Tarifário'!$E$36),('Premissas Economias e Água'!P222*12*'Modelo Tarifário'!$D$29*'Modelo Tarifário'!$E$36))</f>
        <v>72491.019078239769</v>
      </c>
      <c r="P83" s="1340">
        <f>IF(('Premissas Economias e Água'!Q222*'Modelo Tarifário'!$I$36*12*'Modelo Tarifário'!$B$5*'Modelo Tarifário'!$E$36)&gt;('Premissas Economias e Água'!Q222*12*'Modelo Tarifário'!$D$29*'Modelo Tarifário'!$E$36),('Premissas Economias e Água'!Q222*'Modelo Tarifário'!$I$36*12*'Modelo Tarifário'!$B$5*'Modelo Tarifário'!$E$36),('Premissas Economias e Água'!Q222*12*'Modelo Tarifário'!$D$29*'Modelo Tarifário'!$E$36))</f>
        <v>72010.607088042307</v>
      </c>
      <c r="Q83" s="1340">
        <f>IF(('Premissas Economias e Água'!R222*'Modelo Tarifário'!$I$36*12*'Modelo Tarifário'!$B$5*'Modelo Tarifário'!$E$36)&gt;('Premissas Economias e Água'!R222*12*'Modelo Tarifário'!$D$29*'Modelo Tarifário'!$E$36),('Premissas Economias e Água'!R222*'Modelo Tarifário'!$I$36*12*'Modelo Tarifário'!$B$5*'Modelo Tarifário'!$E$36),('Premissas Economias e Água'!R222*12*'Modelo Tarifário'!$D$29*'Modelo Tarifário'!$E$36))</f>
        <v>71530.195097844844</v>
      </c>
      <c r="R83" s="1340">
        <f>IF(('Premissas Economias e Água'!S222*'Modelo Tarifário'!$I$36*12*'Modelo Tarifário'!$B$5*'Modelo Tarifário'!$E$36)&gt;('Premissas Economias e Água'!S222*12*'Modelo Tarifário'!$D$29*'Modelo Tarifário'!$E$36),('Premissas Economias e Água'!S222*'Modelo Tarifário'!$I$36*12*'Modelo Tarifário'!$B$5*'Modelo Tarifário'!$E$36),('Premissas Economias e Água'!S222*12*'Modelo Tarifário'!$D$29*'Modelo Tarifário'!$E$36))</f>
        <v>71049.783107647367</v>
      </c>
      <c r="S83" s="1340">
        <f>IF(('Premissas Economias e Água'!T222*'Modelo Tarifário'!$I$36*12*'Modelo Tarifário'!$B$5*'Modelo Tarifário'!$E$36)&gt;('Premissas Economias e Água'!T222*12*'Modelo Tarifário'!$D$29*'Modelo Tarifário'!$E$36),('Premissas Economias e Água'!T222*'Modelo Tarifário'!$I$36*12*'Modelo Tarifário'!$B$5*'Modelo Tarifário'!$E$36),('Premissas Economias e Água'!T222*12*'Modelo Tarifário'!$D$29*'Modelo Tarifário'!$E$36))</f>
        <v>70569.371117449889</v>
      </c>
      <c r="T83" s="1340">
        <f>IF(('Premissas Economias e Água'!U222*'Modelo Tarifário'!$I$36*12*'Modelo Tarifário'!$B$5*'Modelo Tarifário'!$E$36)&gt;('Premissas Economias e Água'!U222*12*'Modelo Tarifário'!$D$29*'Modelo Tarifário'!$E$36),('Premissas Economias e Água'!U222*'Modelo Tarifário'!$I$36*12*'Modelo Tarifário'!$B$5*'Modelo Tarifário'!$E$36),('Premissas Economias e Água'!U222*12*'Modelo Tarifário'!$D$29*'Modelo Tarifário'!$E$36))</f>
        <v>70081.08352085574</v>
      </c>
      <c r="U83" s="1340">
        <f>IF(('Premissas Economias e Água'!V222*'Modelo Tarifário'!$I$36*12*'Modelo Tarifário'!$B$5*'Modelo Tarifário'!$E$36)&gt;('Premissas Economias e Água'!V222*12*'Modelo Tarifário'!$D$29*'Modelo Tarifário'!$E$36),('Premissas Economias e Água'!V222*'Modelo Tarifário'!$I$36*12*'Modelo Tarifário'!$B$5*'Modelo Tarifário'!$E$36),('Premissas Economias e Água'!V222*12*'Modelo Tarifário'!$D$29*'Modelo Tarifário'!$E$36))</f>
        <v>69561.293498674859</v>
      </c>
      <c r="V83" s="1340">
        <f>IF(('Premissas Economias e Água'!W222*'Modelo Tarifário'!$I$36*12*'Modelo Tarifário'!$B$5*'Modelo Tarifário'!$E$36)&gt;('Premissas Economias e Água'!W222*12*'Modelo Tarifário'!$D$29*'Modelo Tarifário'!$E$36),('Premissas Economias e Água'!W222*'Modelo Tarifário'!$I$36*12*'Modelo Tarifário'!$B$5*'Modelo Tarifário'!$E$36),('Premissas Economias e Água'!W222*12*'Modelo Tarifário'!$D$29*'Modelo Tarifário'!$E$36))</f>
        <v>69041.503476494006</v>
      </c>
      <c r="W83" s="1340">
        <f>IF(('Premissas Economias e Água'!X222*'Modelo Tarifário'!$I$36*12*'Modelo Tarifário'!$B$5*'Modelo Tarifário'!$E$36)&gt;('Premissas Economias e Água'!X222*12*'Modelo Tarifário'!$D$29*'Modelo Tarifário'!$E$36),('Premissas Economias e Água'!X222*'Modelo Tarifário'!$I$36*12*'Modelo Tarifário'!$B$5*'Modelo Tarifário'!$E$36),('Premissas Economias e Água'!X222*12*'Modelo Tarifário'!$D$29*'Modelo Tarifário'!$E$36))</f>
        <v>68521.713454313125</v>
      </c>
      <c r="X83" s="1340">
        <f>IF(('Premissas Economias e Água'!Y222*'Modelo Tarifário'!$I$36*12*'Modelo Tarifário'!$B$5*'Modelo Tarifário'!$E$36)&gt;('Premissas Economias e Água'!Y222*12*'Modelo Tarifário'!$D$29*'Modelo Tarifário'!$E$36),('Premissas Economias e Água'!Y222*'Modelo Tarifário'!$I$36*12*'Modelo Tarifário'!$B$5*'Modelo Tarifário'!$E$36),('Premissas Economias e Água'!Y222*12*'Modelo Tarifário'!$D$29*'Modelo Tarifário'!$E$36))</f>
        <v>68001.923432132258</v>
      </c>
      <c r="Y83" s="1340">
        <f>IF(('Premissas Economias e Água'!Z222*'Modelo Tarifário'!$I$36*12*'Modelo Tarifário'!$B$5*'Modelo Tarifário'!$E$36)&gt;('Premissas Economias e Água'!Z222*12*'Modelo Tarifário'!$D$29*'Modelo Tarifário'!$E$36),('Premissas Economias e Água'!Z222*'Modelo Tarifário'!$I$36*12*'Modelo Tarifário'!$B$5*'Modelo Tarifário'!$E$36),('Premissas Economias e Água'!Z222*12*'Modelo Tarifário'!$D$29*'Modelo Tarifário'!$E$36))</f>
        <v>67490.009016348078</v>
      </c>
      <c r="Z83" s="1340">
        <f>IF(('Premissas Economias e Água'!AA222*'Modelo Tarifário'!$I$36*12*'Modelo Tarifário'!$B$5*'Modelo Tarifário'!$E$36)&gt;('Premissas Economias e Água'!AA222*12*'Modelo Tarifário'!$D$29*'Modelo Tarifário'!$E$36),('Premissas Economias e Água'!AA222*'Modelo Tarifário'!$I$36*12*'Modelo Tarifário'!$B$5*'Modelo Tarifário'!$E$36),('Premissas Economias e Água'!AA222*12*'Modelo Tarifário'!$D$29*'Modelo Tarifário'!$E$36))</f>
        <v>66970.218994167182</v>
      </c>
      <c r="AA83" s="1340">
        <f>IF(('Premissas Economias e Água'!AB222*'Modelo Tarifário'!$I$36*12*'Modelo Tarifário'!$B$5*'Modelo Tarifário'!$E$36)&gt;('Premissas Economias e Água'!AB222*12*'Modelo Tarifário'!$D$29*'Modelo Tarifário'!$E$36),('Premissas Economias e Água'!AB222*'Modelo Tarifário'!$I$36*12*'Modelo Tarifário'!$B$5*'Modelo Tarifário'!$E$36),('Premissas Economias e Água'!AB222*12*'Modelo Tarifário'!$D$29*'Modelo Tarifário'!$E$36))</f>
        <v>66450.42897198633</v>
      </c>
      <c r="AB83" s="1340">
        <f>IF(('Premissas Economias e Água'!AC222*'Modelo Tarifário'!$I$36*12*'Modelo Tarifário'!$B$5*'Modelo Tarifário'!$E$36)&gt;('Premissas Economias e Água'!AC222*12*'Modelo Tarifário'!$D$29*'Modelo Tarifário'!$E$36),('Premissas Economias e Água'!AC222*'Modelo Tarifário'!$I$36*12*'Modelo Tarifário'!$B$5*'Modelo Tarifário'!$E$36),('Premissas Economias e Água'!AC222*12*'Modelo Tarifário'!$D$29*'Modelo Tarifário'!$E$36))</f>
        <v>65930.638949805463</v>
      </c>
      <c r="AC83" s="1340">
        <f>IF(('Premissas Economias e Água'!AD222*'Modelo Tarifário'!$I$36*12*'Modelo Tarifário'!$B$5*'Modelo Tarifário'!$E$36)&gt;('Premissas Economias e Água'!AD222*12*'Modelo Tarifário'!$D$29*'Modelo Tarifário'!$E$36),('Premissas Economias e Água'!AD222*'Modelo Tarifário'!$I$36*12*'Modelo Tarifário'!$B$5*'Modelo Tarifário'!$E$36),('Premissas Economias e Água'!AD222*12*'Modelo Tarifário'!$D$29*'Modelo Tarifário'!$E$36))</f>
        <v>65410.848927624582</v>
      </c>
      <c r="AD83" s="1340">
        <f>IF(('Premissas Economias e Água'!AE222*'Modelo Tarifário'!$I$36*12*'Modelo Tarifário'!$B$5*'Modelo Tarifário'!$E$36)&gt;('Premissas Economias e Água'!AE222*12*'Modelo Tarifário'!$D$29*'Modelo Tarifário'!$E$36),('Premissas Economias e Água'!AE222*'Modelo Tarifário'!$I$36*12*'Modelo Tarifário'!$B$5*'Modelo Tarifário'!$E$36),('Premissas Economias e Água'!AE222*12*'Modelo Tarifário'!$D$29*'Modelo Tarifário'!$E$36))</f>
        <v>64891.058905443708</v>
      </c>
      <c r="AE83" s="1340">
        <f>IF(('Premissas Economias e Água'!AF222*'Modelo Tarifário'!$I$36*12*'Modelo Tarifário'!$B$5*'Modelo Tarifário'!$E$36)&gt;('Premissas Economias e Água'!AF222*12*'Modelo Tarifário'!$D$29*'Modelo Tarifário'!$E$36),('Premissas Economias e Água'!AF222*'Modelo Tarifário'!$I$36*12*'Modelo Tarifário'!$B$5*'Modelo Tarifário'!$E$36),('Premissas Economias e Água'!AF222*12*'Modelo Tarifário'!$D$29*'Modelo Tarifário'!$E$36))</f>
        <v>64371.268883262826</v>
      </c>
      <c r="AF83" s="1340">
        <f>IF(('Premissas Economias e Água'!AG222*'Modelo Tarifário'!$I$36*12*'Modelo Tarifário'!$B$5*'Modelo Tarifário'!$E$36)&gt;('Premissas Economias e Água'!AG222*12*'Modelo Tarifário'!$D$29*'Modelo Tarifário'!$E$36),('Premissas Economias e Água'!AG222*'Modelo Tarifário'!$I$36*12*'Modelo Tarifário'!$B$5*'Modelo Tarifário'!$E$36),('Premissas Economias e Água'!AG222*12*'Modelo Tarifário'!$D$29*'Modelo Tarifário'!$E$36))</f>
        <v>63851.478861081974</v>
      </c>
      <c r="AG83" s="1340">
        <f>IF(('Premissas Economias e Água'!AH222*'Modelo Tarifário'!$I$36*12*'Modelo Tarifário'!$B$5*'Modelo Tarifário'!$E$36)&gt;('Premissas Economias e Água'!AH222*12*'Modelo Tarifário'!$D$29*'Modelo Tarifário'!$E$36),('Premissas Economias e Água'!AH222*'Modelo Tarifário'!$I$36*12*'Modelo Tarifário'!$B$5*'Modelo Tarifário'!$E$36),('Premissas Economias e Água'!AH222*12*'Modelo Tarifário'!$D$29*'Modelo Tarifário'!$E$36))</f>
        <v>63331.688838901086</v>
      </c>
      <c r="AH83" s="1340">
        <f>IF(('Premissas Economias e Água'!AI222*'Modelo Tarifário'!$I$36*12*'Modelo Tarifário'!$B$5*'Modelo Tarifário'!$E$36)&gt;('Premissas Economias e Água'!AI222*12*'Modelo Tarifário'!$D$29*'Modelo Tarifário'!$E$36),('Premissas Economias e Água'!AI222*'Modelo Tarifário'!$I$36*12*'Modelo Tarifário'!$B$5*'Modelo Tarifário'!$E$36),('Premissas Economias e Água'!AI222*12*'Modelo Tarifário'!$D$29*'Modelo Tarifário'!$E$36))</f>
        <v>62811.898816720226</v>
      </c>
    </row>
    <row r="84" spans="2:34" s="79" customFormat="1" ht="12" hidden="1" outlineLevel="1" x14ac:dyDescent="0.3">
      <c r="B84" s="1339"/>
      <c r="C84" s="1335" t="s">
        <v>278</v>
      </c>
      <c r="D84" s="1335"/>
      <c r="E84" s="1340">
        <f>IF(((E8*'Modelo Tarifário'!$C$59*'Modelo Tarifário'!$E$37)*('Premissas Economias e Água'!F363))&gt;('Premissas Economias e Água'!F223*12*'Modelo Tarifário'!$D$29*'Modelo Tarifário'!$C$59*'Modelo Tarifário'!$E$37),(E8*'Modelo Tarifário'!$C$59*'Modelo Tarifário'!$E$37)*('Premissas Economias e Água'!F363),('Premissas Economias e Água'!F223*12*'Modelo Tarifário'!$D$29*'Modelo Tarifário'!$C$59*'Modelo Tarifário'!$E$37))</f>
        <v>149964.18110801917</v>
      </c>
      <c r="F84" s="1340">
        <f>IF(((F8*'Modelo Tarifário'!$C$59*'Modelo Tarifário'!$E$37)*('Premissas Economias e Água'!G363))&gt;('Premissas Economias e Água'!G223*12*'Modelo Tarifário'!$D$29*'Modelo Tarifário'!$C$59*'Modelo Tarifário'!$E$37),(F8*'Modelo Tarifário'!$C$59*'Modelo Tarifário'!$E$37)*('Premissas Economias e Água'!G363),('Premissas Economias e Água'!G223*12*'Modelo Tarifário'!$D$29*'Modelo Tarifário'!$C$59*'Modelo Tarifário'!$E$37))</f>
        <v>149564.00460966688</v>
      </c>
      <c r="G84" s="1340">
        <f>IF(((G8*'Modelo Tarifário'!$C$59*'Modelo Tarifário'!$E$37)*('Premissas Economias e Água'!H363))&gt;('Premissas Economias e Água'!H223*12*'Modelo Tarifário'!$D$29*'Modelo Tarifário'!$C$59*'Modelo Tarifário'!$E$37),(G8*'Modelo Tarifário'!$C$59*'Modelo Tarifário'!$E$37)*('Premissas Economias e Água'!H363),('Premissas Economias e Água'!H223*12*'Modelo Tarifário'!$D$29*'Modelo Tarifário'!$C$59*'Modelo Tarifário'!$E$37))</f>
        <v>149163.82811131456</v>
      </c>
      <c r="H84" s="1340">
        <f>IF(((H8*'Modelo Tarifário'!$C$59*'Modelo Tarifário'!$E$37)*('Premissas Economias e Água'!I363))&gt;('Premissas Economias e Água'!I223*12*'Modelo Tarifário'!$D$29*'Modelo Tarifário'!$C$59*'Modelo Tarifário'!$E$37),(H8*'Modelo Tarifário'!$C$59*'Modelo Tarifário'!$E$37)*('Premissas Economias e Água'!I363),('Premissas Economias e Água'!I223*12*'Modelo Tarifário'!$D$29*'Modelo Tarifário'!$C$59*'Modelo Tarifário'!$E$37))</f>
        <v>148763.65161296231</v>
      </c>
      <c r="I84" s="1340">
        <f>IF(((I8*'Modelo Tarifário'!$C$59*'Modelo Tarifário'!$E$37)*('Premissas Economias e Água'!J363))&gt;('Premissas Economias e Água'!J223*12*'Modelo Tarifário'!$D$29*'Modelo Tarifário'!$C$59*'Modelo Tarifário'!$E$37),(I8*'Modelo Tarifário'!$C$59*'Modelo Tarifário'!$E$37)*('Premissas Economias e Água'!J363),('Premissas Economias e Água'!J223*12*'Modelo Tarifário'!$D$29*'Modelo Tarifário'!$C$59*'Modelo Tarifário'!$E$37))</f>
        <v>148363.47511460996</v>
      </c>
      <c r="J84" s="1340">
        <f>IF(((J8*'Modelo Tarifário'!$C$59*'Modelo Tarifário'!$E$37)*('Premissas Economias e Água'!K363))&gt;('Premissas Economias e Água'!K223*12*'Modelo Tarifário'!$D$29*'Modelo Tarifário'!$C$59*'Modelo Tarifário'!$E$37),(J8*'Modelo Tarifário'!$C$59*'Modelo Tarifário'!$E$37)*('Premissas Economias e Água'!K363),('Premissas Economias e Água'!K223*12*'Modelo Tarifário'!$D$29*'Modelo Tarifário'!$C$59*'Modelo Tarifário'!$E$37))</f>
        <v>147947.60542024387</v>
      </c>
      <c r="K84" s="1340">
        <f>IF(((K8*'Modelo Tarifário'!$C$59*'Modelo Tarifário'!$E$37)*('Premissas Economias e Água'!L363))&gt;('Premissas Economias e Água'!L223*12*'Modelo Tarifário'!$D$29*'Modelo Tarifário'!$C$59*'Modelo Tarifário'!$E$37),(K8*'Modelo Tarifário'!$C$59*'Modelo Tarifário'!$E$37)*('Premissas Economias e Água'!L363),('Premissas Economias e Água'!L223*12*'Modelo Tarifário'!$D$29*'Modelo Tarifário'!$C$59*'Modelo Tarifário'!$E$37))</f>
        <v>147249.2581976291</v>
      </c>
      <c r="L84" s="1340">
        <f>IF(((L8*'Modelo Tarifário'!$C$59*'Modelo Tarifário'!$E$37)*('Premissas Economias e Água'!M363))&gt;('Premissas Economias e Água'!M223*12*'Modelo Tarifário'!$D$29*'Modelo Tarifário'!$C$59*'Modelo Tarifário'!$E$37),(L8*'Modelo Tarifário'!$C$59*'Modelo Tarifário'!$E$37)*('Premissas Economias e Água'!M363),('Premissas Economias e Água'!M223*12*'Modelo Tarifário'!$D$29*'Modelo Tarifário'!$C$59*'Modelo Tarifário'!$E$37))</f>
        <v>146550.91097501435</v>
      </c>
      <c r="M84" s="1340">
        <f>IF(((M8*'Modelo Tarifário'!$C$59*'Modelo Tarifário'!$E$37)*('Premissas Economias e Água'!N363))&gt;('Premissas Economias e Água'!N223*12*'Modelo Tarifário'!$D$29*'Modelo Tarifário'!$C$59*'Modelo Tarifário'!$E$37),(M8*'Modelo Tarifário'!$C$59*'Modelo Tarifário'!$E$37)*('Premissas Economias e Água'!N363),('Premissas Economias e Água'!N223*12*'Modelo Tarifário'!$D$29*'Modelo Tarifário'!$C$59*'Modelo Tarifário'!$E$37))</f>
        <v>145852.56375239952</v>
      </c>
      <c r="N84" s="1340">
        <f>IF(((N8*'Modelo Tarifário'!$C$59*'Modelo Tarifário'!$E$37)*('Premissas Economias e Água'!O363))&gt;('Premissas Economias e Água'!O223*12*'Modelo Tarifário'!$D$29*'Modelo Tarifário'!$C$59*'Modelo Tarifário'!$E$37),(N8*'Modelo Tarifário'!$C$59*'Modelo Tarifário'!$E$37)*('Premissas Economias e Água'!O363),('Premissas Economias e Água'!O223*12*'Modelo Tarifário'!$D$29*'Modelo Tarifário'!$C$59*'Modelo Tarifário'!$E$37))</f>
        <v>145154.21652978478</v>
      </c>
      <c r="O84" s="1340">
        <f>IF(((O8*'Modelo Tarifário'!$C$59*'Modelo Tarifário'!$E$37)*('Premissas Economias e Água'!P363))&gt;('Premissas Economias e Água'!P223*12*'Modelo Tarifário'!$D$29*'Modelo Tarifário'!$C$59*'Modelo Tarifário'!$E$37),(O8*'Modelo Tarifário'!$C$59*'Modelo Tarifário'!$E$37)*('Premissas Economias e Água'!P363),('Premissas Economias e Água'!P223*12*'Modelo Tarifário'!$D$29*'Modelo Tarifário'!$C$59*'Modelo Tarifário'!$E$37))</f>
        <v>144448.02270916308</v>
      </c>
      <c r="P84" s="1340">
        <f>IF(((P8*'Modelo Tarifário'!$C$59*'Modelo Tarifário'!$E$37)*('Premissas Economias e Água'!Q363))&gt;('Premissas Economias e Água'!Q223*12*'Modelo Tarifário'!$D$29*'Modelo Tarifário'!$C$59*'Modelo Tarifário'!$E$37),(P8*'Modelo Tarifário'!$C$59*'Modelo Tarifário'!$E$37)*('Premissas Economias e Água'!Q363),('Premissas Economias e Água'!Q223*12*'Modelo Tarifário'!$D$29*'Modelo Tarifário'!$C$59*'Modelo Tarifário'!$E$37))</f>
        <v>143490.73775232033</v>
      </c>
      <c r="Q84" s="1340">
        <f>IF(((Q8*'Modelo Tarifário'!$C$59*'Modelo Tarifário'!$E$37)*('Premissas Economias e Água'!R363))&gt;('Premissas Economias e Água'!R223*12*'Modelo Tarifário'!$D$29*'Modelo Tarifário'!$C$59*'Modelo Tarifário'!$E$37),(Q8*'Modelo Tarifário'!$C$59*'Modelo Tarifário'!$E$37)*('Premissas Economias e Água'!R363),('Premissas Economias e Água'!R223*12*'Modelo Tarifário'!$D$29*'Modelo Tarifário'!$C$59*'Modelo Tarifário'!$E$37))</f>
        <v>142533.45279547761</v>
      </c>
      <c r="R84" s="1340">
        <f>IF(((R8*'Modelo Tarifário'!$C$59*'Modelo Tarifário'!$E$37)*('Premissas Economias e Água'!S363))&gt;('Premissas Economias e Água'!S223*12*'Modelo Tarifário'!$D$29*'Modelo Tarifário'!$C$59*'Modelo Tarifário'!$E$37),(R8*'Modelo Tarifário'!$C$59*'Modelo Tarifário'!$E$37)*('Premissas Economias e Água'!S363),('Premissas Economias e Água'!S223*12*'Modelo Tarifário'!$D$29*'Modelo Tarifário'!$C$59*'Modelo Tarifário'!$E$37))</f>
        <v>141576.16783863486</v>
      </c>
      <c r="S84" s="1340">
        <f>IF(((S8*'Modelo Tarifário'!$C$59*'Modelo Tarifário'!$E$37)*('Premissas Economias e Água'!T363))&gt;('Premissas Economias e Água'!T223*12*'Modelo Tarifário'!$D$29*'Modelo Tarifário'!$C$59*'Modelo Tarifário'!$E$37),(S8*'Modelo Tarifário'!$C$59*'Modelo Tarifário'!$E$37)*('Premissas Economias e Água'!T363),('Premissas Economias e Água'!T223*12*'Modelo Tarifário'!$D$29*'Modelo Tarifário'!$C$59*'Modelo Tarifário'!$E$37))</f>
        <v>140618.88288179215</v>
      </c>
      <c r="T84" s="1340">
        <f>IF(((T8*'Modelo Tarifário'!$C$59*'Modelo Tarifário'!$E$37)*('Premissas Economias e Água'!U363))&gt;('Premissas Economias e Água'!U223*12*'Modelo Tarifário'!$D$29*'Modelo Tarifário'!$C$59*'Modelo Tarifário'!$E$37),(T8*'Modelo Tarifário'!$C$59*'Modelo Tarifário'!$E$37)*('Premissas Economias e Água'!U363),('Premissas Economias e Água'!U223*12*'Modelo Tarifário'!$D$29*'Modelo Tarifário'!$C$59*'Modelo Tarifário'!$E$37))</f>
        <v>139645.90472893557</v>
      </c>
      <c r="U84" s="1340">
        <f>IF(((U8*'Modelo Tarifário'!$C$59*'Modelo Tarifário'!$E$37)*('Premissas Economias e Água'!V363))&gt;('Premissas Economias e Água'!V223*12*'Modelo Tarifário'!$D$29*'Modelo Tarifário'!$C$59*'Modelo Tarifário'!$E$37),(U8*'Modelo Tarifário'!$C$59*'Modelo Tarifário'!$E$37)*('Premissas Economias e Água'!V363),('Premissas Economias e Água'!V223*12*'Modelo Tarifário'!$D$29*'Modelo Tarifário'!$C$59*'Modelo Tarifário'!$E$37))</f>
        <v>138610.15379202375</v>
      </c>
      <c r="V84" s="1340">
        <f>IF(((V8*'Modelo Tarifário'!$C$59*'Modelo Tarifário'!$E$37)*('Premissas Economias e Água'!W363))&gt;('Premissas Economias e Água'!W223*12*'Modelo Tarifário'!$D$29*'Modelo Tarifário'!$C$59*'Modelo Tarifário'!$E$37),(V8*'Modelo Tarifário'!$C$59*'Modelo Tarifário'!$E$37)*('Premissas Economias e Água'!W363),('Premissas Economias e Água'!W223*12*'Modelo Tarifário'!$D$29*'Modelo Tarifário'!$C$59*'Modelo Tarifário'!$E$37))</f>
        <v>137574.40285511196</v>
      </c>
      <c r="W84" s="1340">
        <f>IF(((W8*'Modelo Tarifário'!$C$59*'Modelo Tarifário'!$E$37)*('Premissas Economias e Água'!X363))&gt;('Premissas Economias e Água'!X223*12*'Modelo Tarifário'!$D$29*'Modelo Tarifário'!$C$59*'Modelo Tarifário'!$E$37),(W8*'Modelo Tarifário'!$C$59*'Modelo Tarifário'!$E$37)*('Premissas Economias e Água'!X363),('Premissas Economias e Água'!X223*12*'Modelo Tarifário'!$D$29*'Modelo Tarifário'!$C$59*'Modelo Tarifário'!$E$37))</f>
        <v>136538.65191820014</v>
      </c>
      <c r="X84" s="1340">
        <f>IF(((X8*'Modelo Tarifário'!$C$59*'Modelo Tarifário'!$E$37)*('Premissas Economias e Água'!Y363))&gt;('Premissas Economias e Água'!Y223*12*'Modelo Tarifário'!$D$29*'Modelo Tarifário'!$C$59*'Modelo Tarifário'!$E$37),(X8*'Modelo Tarifário'!$C$59*'Modelo Tarifário'!$E$37)*('Premissas Economias e Água'!Y363),('Premissas Economias e Água'!Y223*12*'Modelo Tarifário'!$D$29*'Modelo Tarifário'!$C$59*'Modelo Tarifário'!$E$37))</f>
        <v>135502.90098128835</v>
      </c>
      <c r="Y84" s="1340">
        <f>IF(((Y8*'Modelo Tarifário'!$C$59*'Modelo Tarifário'!$E$37)*('Premissas Economias e Água'!Z363))&gt;('Premissas Economias e Água'!Z223*12*'Modelo Tarifário'!$D$29*'Modelo Tarifário'!$C$59*'Modelo Tarifário'!$E$37),(Y8*'Modelo Tarifário'!$C$59*'Modelo Tarifário'!$E$37)*('Premissas Economias e Água'!Z363),('Premissas Economias e Água'!Z223*12*'Modelo Tarifário'!$D$29*'Modelo Tarifário'!$C$59*'Modelo Tarifário'!$E$37))</f>
        <v>134482.84324039036</v>
      </c>
      <c r="Z84" s="1340">
        <f>IF(((Z8*'Modelo Tarifário'!$C$59*'Modelo Tarifário'!$E$37)*('Premissas Economias e Água'!AA363))&gt;('Premissas Economias e Água'!AA223*12*'Modelo Tarifário'!$D$29*'Modelo Tarifário'!$C$59*'Modelo Tarifário'!$E$37),(Z8*'Modelo Tarifário'!$C$59*'Modelo Tarifário'!$E$37)*('Premissas Economias e Água'!AA363),('Premissas Economias e Água'!AA223*12*'Modelo Tarifário'!$D$29*'Modelo Tarifário'!$C$59*'Modelo Tarifário'!$E$37))</f>
        <v>133447.09230347857</v>
      </c>
      <c r="AA84" s="1340">
        <f>IF(((AA8*'Modelo Tarifário'!$C$59*'Modelo Tarifário'!$E$37)*('Premissas Economias e Água'!AB363))&gt;('Premissas Economias e Água'!AB223*12*'Modelo Tarifário'!$D$29*'Modelo Tarifário'!$C$59*'Modelo Tarifário'!$E$37),(AA8*'Modelo Tarifário'!$C$59*'Modelo Tarifário'!$E$37)*('Premissas Economias e Água'!AB363),('Premissas Economias e Água'!AB223*12*'Modelo Tarifário'!$D$29*'Modelo Tarifário'!$C$59*'Modelo Tarifário'!$E$37))</f>
        <v>132411.34136656675</v>
      </c>
      <c r="AB84" s="1340">
        <f>IF(((AB8*'Modelo Tarifário'!$C$59*'Modelo Tarifário'!$E$37)*('Premissas Economias e Água'!AC363))&gt;('Premissas Economias e Água'!AC223*12*'Modelo Tarifário'!$D$29*'Modelo Tarifário'!$C$59*'Modelo Tarifário'!$E$37),(AB8*'Modelo Tarifário'!$C$59*'Modelo Tarifário'!$E$37)*('Premissas Economias e Água'!AC363),('Premissas Economias e Água'!AC223*12*'Modelo Tarifário'!$D$29*'Modelo Tarifário'!$C$59*'Modelo Tarifário'!$E$37))</f>
        <v>131375.59042965493</v>
      </c>
      <c r="AC84" s="1340">
        <f>IF(((AC8*'Modelo Tarifário'!$C$59*'Modelo Tarifário'!$E$37)*('Premissas Economias e Água'!AD363))&gt;('Premissas Economias e Água'!AD223*12*'Modelo Tarifário'!$D$29*'Modelo Tarifário'!$C$59*'Modelo Tarifário'!$E$37),(AC8*'Modelo Tarifário'!$C$59*'Modelo Tarifário'!$E$37)*('Premissas Economias e Água'!AD363),('Premissas Economias e Água'!AD223*12*'Modelo Tarifário'!$D$29*'Modelo Tarifário'!$C$59*'Modelo Tarifário'!$E$37))</f>
        <v>130339.83949274312</v>
      </c>
      <c r="AD84" s="1340">
        <f>IF(((AD8*'Modelo Tarifário'!$C$59*'Modelo Tarifário'!$E$37)*('Premissas Economias e Água'!AE363))&gt;('Premissas Economias e Água'!AE223*12*'Modelo Tarifário'!$D$29*'Modelo Tarifário'!$C$59*'Modelo Tarifário'!$E$37),(AD8*'Modelo Tarifário'!$C$59*'Modelo Tarifário'!$E$37)*('Premissas Economias e Água'!AE363),('Premissas Economias e Água'!AE223*12*'Modelo Tarifário'!$D$29*'Modelo Tarifário'!$C$59*'Modelo Tarifário'!$E$37))</f>
        <v>129304.0885558313</v>
      </c>
      <c r="AE84" s="1340">
        <f>IF(((AE8*'Modelo Tarifário'!$C$59*'Modelo Tarifário'!$E$37)*('Premissas Economias e Água'!AF363))&gt;('Premissas Economias e Água'!AF223*12*'Modelo Tarifário'!$D$29*'Modelo Tarifário'!$C$59*'Modelo Tarifário'!$E$37),(AE8*'Modelo Tarifário'!$C$59*'Modelo Tarifário'!$E$37)*('Premissas Economias e Água'!AF363),('Premissas Economias e Água'!AF223*12*'Modelo Tarifário'!$D$29*'Modelo Tarifário'!$C$59*'Modelo Tarifário'!$E$37))</f>
        <v>128268.33761891948</v>
      </c>
      <c r="AF84" s="1340">
        <f>IF(((AF8*'Modelo Tarifário'!$C$59*'Modelo Tarifário'!$E$37)*('Premissas Economias e Água'!AG363))&gt;('Premissas Economias e Água'!AG223*12*'Modelo Tarifário'!$D$29*'Modelo Tarifário'!$C$59*'Modelo Tarifário'!$E$37),(AF8*'Modelo Tarifário'!$C$59*'Modelo Tarifário'!$E$37)*('Premissas Economias e Água'!AG363),('Premissas Economias e Água'!AG223*12*'Modelo Tarifário'!$D$29*'Modelo Tarifário'!$C$59*'Modelo Tarifário'!$E$37))</f>
        <v>127232.58668200768</v>
      </c>
      <c r="AG84" s="1340">
        <f>IF(((AG8*'Modelo Tarifário'!$C$59*'Modelo Tarifário'!$E$37)*('Premissas Economias e Água'!AH363))&gt;('Premissas Economias e Água'!AH223*12*'Modelo Tarifário'!$D$29*'Modelo Tarifário'!$C$59*'Modelo Tarifário'!$E$37),(AG8*'Modelo Tarifário'!$C$59*'Modelo Tarifário'!$E$37)*('Premissas Economias e Água'!AH363),('Premissas Economias e Água'!AH223*12*'Modelo Tarifário'!$D$29*'Modelo Tarifário'!$C$59*'Modelo Tarifário'!$E$37))</f>
        <v>126196.83574509586</v>
      </c>
      <c r="AH84" s="1340">
        <f>IF(((AH8*'Modelo Tarifário'!$C$59*'Modelo Tarifário'!$E$37)*('Premissas Economias e Água'!AI363))&gt;('Premissas Economias e Água'!AI223*12*'Modelo Tarifário'!$D$29*'Modelo Tarifário'!$C$59*'Modelo Tarifário'!$E$37),(AH8*'Modelo Tarifário'!$C$59*'Modelo Tarifário'!$E$37)*('Premissas Economias e Água'!AI363),('Premissas Economias e Água'!AI223*12*'Modelo Tarifário'!$D$29*'Modelo Tarifário'!$C$59*'Modelo Tarifário'!$E$37))</f>
        <v>125161.08480818407</v>
      </c>
    </row>
    <row r="85" spans="2:34" s="79" customFormat="1" ht="12" hidden="1" outlineLevel="1" x14ac:dyDescent="0.3">
      <c r="B85" s="1339"/>
      <c r="C85" s="1335" t="s">
        <v>279</v>
      </c>
      <c r="D85" s="1335"/>
      <c r="E85" s="1340">
        <f>IF(((E8*'Modelo Tarifário'!$C$59*'Modelo Tarifário'!$E$38)*('Premissas Economias e Água'!F364))&gt;('Premissas Economias e Água'!F224*12*'Modelo Tarifário'!$D$29*'Modelo Tarifário'!$C$59*'Modelo Tarifário'!$E$38),(E8*'Modelo Tarifário'!$C$59*'Modelo Tarifário'!$E$38)*('Premissas Economias e Água'!F364),('Premissas Economias e Água'!F224*12*'Modelo Tarifário'!$D$29*'Modelo Tarifário'!$C$59*'Modelo Tarifário'!$E$38))</f>
        <v>172443.81402395468</v>
      </c>
      <c r="F85" s="1340">
        <f>IF(((F8*'Modelo Tarifário'!$C$59*'Modelo Tarifário'!$E$38)*('Premissas Economias e Água'!G364))&gt;('Premissas Economias e Água'!G224*12*'Modelo Tarifário'!$D$29*'Modelo Tarifário'!$C$59*'Modelo Tarifário'!$E$38),(F8*'Modelo Tarifário'!$C$59*'Modelo Tarifário'!$E$38)*('Premissas Economias e Água'!G364),('Premissas Economias e Água'!G224*12*'Modelo Tarifário'!$D$29*'Modelo Tarifário'!$C$59*'Modelo Tarifário'!$E$38))</f>
        <v>171983.65106271452</v>
      </c>
      <c r="G85" s="1340">
        <f>IF(((G8*'Modelo Tarifário'!$C$59*'Modelo Tarifário'!$E$38)*('Premissas Economias e Água'!H364))&gt;('Premissas Economias e Água'!H224*12*'Modelo Tarifário'!$D$29*'Modelo Tarifário'!$C$59*'Modelo Tarifário'!$E$38),(G8*'Modelo Tarifário'!$C$59*'Modelo Tarifário'!$E$38)*('Premissas Economias e Água'!H364),('Premissas Economias e Água'!H224*12*'Modelo Tarifário'!$D$29*'Modelo Tarifário'!$C$59*'Modelo Tarifário'!$E$38))</f>
        <v>171523.48810147439</v>
      </c>
      <c r="H85" s="1340">
        <f>IF(((H8*'Modelo Tarifário'!$C$59*'Modelo Tarifário'!$E$38)*('Premissas Economias e Água'!I364))&gt;('Premissas Economias e Água'!I224*12*'Modelo Tarifário'!$D$29*'Modelo Tarifário'!$C$59*'Modelo Tarifário'!$E$38),(H8*'Modelo Tarifário'!$C$59*'Modelo Tarifário'!$E$38)*('Premissas Economias e Água'!I364),('Premissas Economias e Água'!I224*12*'Modelo Tarifário'!$D$29*'Modelo Tarifário'!$C$59*'Modelo Tarifário'!$E$38))</f>
        <v>171063.32514023423</v>
      </c>
      <c r="I85" s="1340">
        <f>IF(((I8*'Modelo Tarifário'!$C$59*'Modelo Tarifário'!$E$38)*('Premissas Economias e Água'!J364))&gt;('Premissas Economias e Água'!J224*12*'Modelo Tarifário'!$D$29*'Modelo Tarifário'!$C$59*'Modelo Tarifário'!$E$38),(I8*'Modelo Tarifário'!$C$59*'Modelo Tarifário'!$E$38)*('Premissas Economias e Água'!J364),('Premissas Economias e Água'!J224*12*'Modelo Tarifário'!$D$29*'Modelo Tarifário'!$C$59*'Modelo Tarifário'!$E$38))</f>
        <v>170603.16217899407</v>
      </c>
      <c r="J85" s="1340">
        <f>IF(((J8*'Modelo Tarifário'!$C$59*'Modelo Tarifário'!$E$38)*('Premissas Economias e Água'!K364))&gt;('Premissas Economias e Água'!K224*12*'Modelo Tarifário'!$D$29*'Modelo Tarifário'!$C$59*'Modelo Tarifário'!$E$38),(J8*'Modelo Tarifário'!$C$59*'Modelo Tarifário'!$E$38)*('Premissas Economias e Água'!K364),('Premissas Economias e Água'!K224*12*'Modelo Tarifário'!$D$29*'Modelo Tarifário'!$C$59*'Modelo Tarifário'!$E$38))</f>
        <v>170124.9536114308</v>
      </c>
      <c r="K85" s="1340">
        <f>IF(((K8*'Modelo Tarifário'!$C$59*'Modelo Tarifário'!$E$38)*('Premissas Economias e Água'!L364))&gt;('Premissas Economias e Água'!L224*12*'Modelo Tarifário'!$D$29*'Modelo Tarifário'!$C$59*'Modelo Tarifário'!$E$38),(K8*'Modelo Tarifário'!$C$59*'Modelo Tarifário'!$E$38)*('Premissas Economias e Água'!L364),('Premissas Economias e Água'!L224*12*'Modelo Tarifário'!$D$29*'Modelo Tarifário'!$C$59*'Modelo Tarifário'!$E$38))</f>
        <v>169321.9241300509</v>
      </c>
      <c r="L85" s="1340">
        <f>IF(((L8*'Modelo Tarifário'!$C$59*'Modelo Tarifário'!$E$38)*('Premissas Economias e Água'!M364))&gt;('Premissas Economias e Água'!M224*12*'Modelo Tarifário'!$D$29*'Modelo Tarifário'!$C$59*'Modelo Tarifário'!$E$38),(L8*'Modelo Tarifário'!$C$59*'Modelo Tarifário'!$E$38)*('Premissas Economias e Água'!M364),('Premissas Economias e Água'!M224*12*'Modelo Tarifário'!$D$29*'Modelo Tarifário'!$C$59*'Modelo Tarifário'!$E$38))</f>
        <v>168518.89464867109</v>
      </c>
      <c r="M85" s="1340">
        <f>IF(((M8*'Modelo Tarifário'!$C$59*'Modelo Tarifário'!$E$38)*('Premissas Economias e Água'!N364))&gt;('Premissas Economias e Água'!N224*12*'Modelo Tarifário'!$D$29*'Modelo Tarifário'!$C$59*'Modelo Tarifário'!$E$38),(M8*'Modelo Tarifário'!$C$59*'Modelo Tarifário'!$E$38)*('Premissas Economias e Água'!N364),('Premissas Economias e Água'!N224*12*'Modelo Tarifário'!$D$29*'Modelo Tarifário'!$C$59*'Modelo Tarifário'!$E$38))</f>
        <v>167715.86516729119</v>
      </c>
      <c r="N85" s="1340">
        <f>IF(((N8*'Modelo Tarifário'!$C$59*'Modelo Tarifário'!$E$38)*('Premissas Economias e Água'!O364))&gt;('Premissas Economias e Água'!O224*12*'Modelo Tarifário'!$D$29*'Modelo Tarifário'!$C$59*'Modelo Tarifário'!$E$38),(N8*'Modelo Tarifário'!$C$59*'Modelo Tarifário'!$E$38)*('Premissas Economias e Água'!O364),('Premissas Economias e Água'!O224*12*'Modelo Tarifário'!$D$29*'Modelo Tarifário'!$C$59*'Modelo Tarifário'!$E$38))</f>
        <v>166912.83568591138</v>
      </c>
      <c r="O85" s="1340">
        <f>IF(((O8*'Modelo Tarifário'!$C$59*'Modelo Tarifário'!$E$38)*('Premissas Economias e Água'!P364))&gt;('Premissas Economias e Água'!P224*12*'Modelo Tarifário'!$D$29*'Modelo Tarifário'!$C$59*'Modelo Tarifário'!$E$38),(O8*'Modelo Tarifário'!$C$59*'Modelo Tarifário'!$E$38)*('Premissas Economias e Água'!P364),('Premissas Economias e Água'!P224*12*'Modelo Tarifário'!$D$29*'Modelo Tarifário'!$C$59*'Modelo Tarifário'!$E$38))</f>
        <v>166100.7834013699</v>
      </c>
      <c r="P85" s="1340">
        <f>IF(((P8*'Modelo Tarifário'!$C$59*'Modelo Tarifário'!$E$38)*('Premissas Economias e Água'!Q364))&gt;('Premissas Economias e Água'!Q224*12*'Modelo Tarifário'!$D$29*'Modelo Tarifário'!$C$59*'Modelo Tarifário'!$E$38),(P8*'Modelo Tarifário'!$C$59*'Modelo Tarifário'!$E$38)*('Premissas Economias e Água'!Q364),('Premissas Economias e Água'!Q224*12*'Modelo Tarifário'!$D$29*'Modelo Tarifário'!$C$59*'Modelo Tarifário'!$E$38))</f>
        <v>165000.00141565816</v>
      </c>
      <c r="Q85" s="1340">
        <f>IF(((Q8*'Modelo Tarifário'!$C$59*'Modelo Tarifário'!$E$38)*('Premissas Economias e Água'!R364))&gt;('Premissas Economias e Água'!R224*12*'Modelo Tarifário'!$D$29*'Modelo Tarifário'!$C$59*'Modelo Tarifário'!$E$38),(Q8*'Modelo Tarifário'!$C$59*'Modelo Tarifário'!$E$38)*('Premissas Economias e Água'!R364),('Premissas Economias e Água'!R224*12*'Modelo Tarifário'!$D$29*'Modelo Tarifário'!$C$59*'Modelo Tarifário'!$E$38))</f>
        <v>163899.21942994645</v>
      </c>
      <c r="R85" s="1340">
        <f>IF(((R8*'Modelo Tarifário'!$C$59*'Modelo Tarifário'!$E$38)*('Premissas Economias e Água'!S364))&gt;('Premissas Economias e Água'!S224*12*'Modelo Tarifário'!$D$29*'Modelo Tarifário'!$C$59*'Modelo Tarifário'!$E$38),(R8*'Modelo Tarifário'!$C$59*'Modelo Tarifário'!$E$38)*('Premissas Economias e Água'!S364),('Premissas Economias e Água'!S224*12*'Modelo Tarifário'!$D$29*'Modelo Tarifário'!$C$59*'Modelo Tarifário'!$E$38))</f>
        <v>162798.4374442347</v>
      </c>
      <c r="S85" s="1340">
        <f>IF(((S8*'Modelo Tarifário'!$C$59*'Modelo Tarifário'!$E$38)*('Premissas Economias e Água'!T364))&gt;('Premissas Economias e Água'!T224*12*'Modelo Tarifário'!$D$29*'Modelo Tarifário'!$C$59*'Modelo Tarifário'!$E$38),(S8*'Modelo Tarifário'!$C$59*'Modelo Tarifário'!$E$38)*('Premissas Economias e Água'!T364),('Premissas Economias e Água'!T224*12*'Modelo Tarifário'!$D$29*'Modelo Tarifário'!$C$59*'Modelo Tarifário'!$E$38))</f>
        <v>161697.65545852302</v>
      </c>
      <c r="T85" s="1340">
        <f>IF(((T8*'Modelo Tarifário'!$C$59*'Modelo Tarifário'!$E$38)*('Premissas Economias e Água'!U364))&gt;('Premissas Economias e Água'!U224*12*'Modelo Tarifário'!$D$29*'Modelo Tarifário'!$C$59*'Modelo Tarifário'!$E$38),(T8*'Modelo Tarifário'!$C$59*'Modelo Tarifário'!$E$38)*('Premissas Economias e Água'!U364),('Premissas Economias e Água'!U224*12*'Modelo Tarifário'!$D$29*'Modelo Tarifário'!$C$59*'Modelo Tarifário'!$E$38))</f>
        <v>160578.82786648814</v>
      </c>
      <c r="U85" s="1340">
        <f>IF(((U8*'Modelo Tarifário'!$C$59*'Modelo Tarifário'!$E$38)*('Premissas Economias e Água'!V364))&gt;('Premissas Economias e Água'!V224*12*'Modelo Tarifário'!$D$29*'Modelo Tarifário'!$C$59*'Modelo Tarifário'!$E$38),(U8*'Modelo Tarifário'!$C$59*'Modelo Tarifário'!$E$38)*('Premissas Economias e Água'!V364),('Premissas Economias e Água'!V224*12*'Modelo Tarifário'!$D$29*'Modelo Tarifário'!$C$59*'Modelo Tarifário'!$E$38))</f>
        <v>159387.8178491607</v>
      </c>
      <c r="V85" s="1340">
        <f>IF(((V8*'Modelo Tarifário'!$C$59*'Modelo Tarifário'!$E$38)*('Premissas Economias e Água'!W364))&gt;('Premissas Economias e Água'!W224*12*'Modelo Tarifário'!$D$29*'Modelo Tarifário'!$C$59*'Modelo Tarifário'!$E$38),(V8*'Modelo Tarifário'!$C$59*'Modelo Tarifário'!$E$38)*('Premissas Economias e Água'!W364),('Premissas Economias e Água'!W224*12*'Modelo Tarifário'!$D$29*'Modelo Tarifário'!$C$59*'Modelo Tarifário'!$E$38))</f>
        <v>158196.80783183323</v>
      </c>
      <c r="W85" s="1340">
        <f>IF(((W8*'Modelo Tarifário'!$C$59*'Modelo Tarifário'!$E$38)*('Premissas Economias e Água'!X364))&gt;('Premissas Economias e Água'!X224*12*'Modelo Tarifário'!$D$29*'Modelo Tarifário'!$C$59*'Modelo Tarifário'!$E$38),(W8*'Modelo Tarifário'!$C$59*'Modelo Tarifário'!$E$38)*('Premissas Economias e Água'!X364),('Premissas Economias e Água'!X224*12*'Modelo Tarifário'!$D$29*'Modelo Tarifário'!$C$59*'Modelo Tarifário'!$E$38))</f>
        <v>157005.79781450582</v>
      </c>
      <c r="X85" s="1340">
        <f>IF(((X8*'Modelo Tarifário'!$C$59*'Modelo Tarifário'!$E$38)*('Premissas Economias e Água'!Y364))&gt;('Premissas Economias e Água'!Y224*12*'Modelo Tarifário'!$D$29*'Modelo Tarifário'!$C$59*'Modelo Tarifário'!$E$38),(X8*'Modelo Tarifário'!$C$59*'Modelo Tarifário'!$E$38)*('Premissas Economias e Água'!Y364),('Premissas Economias e Água'!Y224*12*'Modelo Tarifário'!$D$29*'Modelo Tarifário'!$C$59*'Modelo Tarifário'!$E$38))</f>
        <v>155814.7877971784</v>
      </c>
      <c r="Y85" s="1340">
        <f>IF(((Y8*'Modelo Tarifário'!$C$59*'Modelo Tarifário'!$E$38)*('Premissas Economias e Água'!Z364))&gt;('Premissas Economias e Água'!Z224*12*'Modelo Tarifário'!$D$29*'Modelo Tarifário'!$C$59*'Modelo Tarifário'!$E$38),(Y8*'Modelo Tarifário'!$C$59*'Modelo Tarifário'!$E$38)*('Premissas Economias e Água'!Z364),('Premissas Economias e Água'!Z224*12*'Modelo Tarifário'!$D$29*'Modelo Tarifário'!$C$59*'Modelo Tarifário'!$E$38))</f>
        <v>154641.82338617407</v>
      </c>
      <c r="Z85" s="1340">
        <f>IF(((Z8*'Modelo Tarifário'!$C$59*'Modelo Tarifário'!$E$38)*('Premissas Economias e Água'!AA364))&gt;('Premissas Economias e Água'!AA224*12*'Modelo Tarifário'!$D$29*'Modelo Tarifário'!$C$59*'Modelo Tarifário'!$E$38),(Z8*'Modelo Tarifário'!$C$59*'Modelo Tarifário'!$E$38)*('Premissas Economias e Água'!AA364),('Premissas Economias e Água'!AA224*12*'Modelo Tarifário'!$D$29*'Modelo Tarifário'!$C$59*'Modelo Tarifário'!$E$38))</f>
        <v>153450.81336884663</v>
      </c>
      <c r="AA85" s="1340">
        <f>IF(((AA8*'Modelo Tarifário'!$C$59*'Modelo Tarifário'!$E$38)*('Premissas Economias e Água'!AB364))&gt;('Premissas Economias e Água'!AB224*12*'Modelo Tarifário'!$D$29*'Modelo Tarifário'!$C$59*'Modelo Tarifário'!$E$38),(AA8*'Modelo Tarifário'!$C$59*'Modelo Tarifário'!$E$38)*('Premissas Economias e Água'!AB364),('Premissas Economias e Água'!AB224*12*'Modelo Tarifário'!$D$29*'Modelo Tarifário'!$C$59*'Modelo Tarifário'!$E$38))</f>
        <v>152259.80335151922</v>
      </c>
      <c r="AB85" s="1340">
        <f>IF(((AB8*'Modelo Tarifário'!$C$59*'Modelo Tarifário'!$E$38)*('Premissas Economias e Água'!AC364))&gt;('Premissas Economias e Água'!AC224*12*'Modelo Tarifário'!$D$29*'Modelo Tarifário'!$C$59*'Modelo Tarifário'!$E$38),(AB8*'Modelo Tarifário'!$C$59*'Modelo Tarifário'!$E$38)*('Premissas Economias e Água'!AC364),('Premissas Economias e Água'!AC224*12*'Modelo Tarifário'!$D$29*'Modelo Tarifário'!$C$59*'Modelo Tarifário'!$E$38))</f>
        <v>151068.79333419175</v>
      </c>
      <c r="AC85" s="1340">
        <f>IF(((AC8*'Modelo Tarifário'!$C$59*'Modelo Tarifário'!$E$38)*('Premissas Economias e Água'!AD364))&gt;('Premissas Economias e Água'!AD224*12*'Modelo Tarifário'!$D$29*'Modelo Tarifário'!$C$59*'Modelo Tarifário'!$E$38),(AC8*'Modelo Tarifário'!$C$59*'Modelo Tarifário'!$E$38)*('Premissas Economias e Água'!AD364),('Premissas Economias e Água'!AD224*12*'Modelo Tarifário'!$D$29*'Modelo Tarifário'!$C$59*'Modelo Tarifário'!$E$38))</f>
        <v>149877.78331686434</v>
      </c>
      <c r="AD85" s="1340">
        <f>IF(((AD8*'Modelo Tarifário'!$C$59*'Modelo Tarifário'!$E$38)*('Premissas Economias e Água'!AE364))&gt;('Premissas Economias e Água'!AE224*12*'Modelo Tarifário'!$D$29*'Modelo Tarifário'!$C$59*'Modelo Tarifário'!$E$38),(AD8*'Modelo Tarifário'!$C$59*'Modelo Tarifário'!$E$38)*('Premissas Economias e Água'!AE364),('Premissas Economias e Água'!AE224*12*'Modelo Tarifário'!$D$29*'Modelo Tarifário'!$C$59*'Modelo Tarifário'!$E$38))</f>
        <v>148686.77329953687</v>
      </c>
      <c r="AE85" s="1340">
        <f>IF(((AE8*'Modelo Tarifário'!$C$59*'Modelo Tarifário'!$E$38)*('Premissas Economias e Água'!AF364))&gt;('Premissas Economias e Água'!AF224*12*'Modelo Tarifário'!$D$29*'Modelo Tarifário'!$C$59*'Modelo Tarifário'!$E$38),(AE8*'Modelo Tarifário'!$C$59*'Modelo Tarifário'!$E$38)*('Premissas Economias e Água'!AF364),('Premissas Economias e Água'!AF224*12*'Modelo Tarifário'!$D$29*'Modelo Tarifário'!$C$59*'Modelo Tarifário'!$E$38))</f>
        <v>147495.76328220943</v>
      </c>
      <c r="AF85" s="1340">
        <f>IF(((AF8*'Modelo Tarifário'!$C$59*'Modelo Tarifário'!$E$38)*('Premissas Economias e Água'!AG364))&gt;('Premissas Economias e Água'!AG224*12*'Modelo Tarifário'!$D$29*'Modelo Tarifário'!$C$59*'Modelo Tarifário'!$E$38),(AF8*'Modelo Tarifário'!$C$59*'Modelo Tarifário'!$E$38)*('Premissas Economias e Água'!AG364),('Premissas Economias e Água'!AG224*12*'Modelo Tarifário'!$D$29*'Modelo Tarifário'!$C$59*'Modelo Tarifário'!$E$38))</f>
        <v>146304.75326488199</v>
      </c>
      <c r="AG85" s="1340">
        <f>IF(((AG8*'Modelo Tarifário'!$C$59*'Modelo Tarifário'!$E$38)*('Premissas Economias e Água'!AH364))&gt;('Premissas Economias e Água'!AH224*12*'Modelo Tarifário'!$D$29*'Modelo Tarifário'!$C$59*'Modelo Tarifário'!$E$38),(AG8*'Modelo Tarifário'!$C$59*'Modelo Tarifário'!$E$38)*('Premissas Economias e Água'!AH364),('Premissas Economias e Água'!AH224*12*'Modelo Tarifário'!$D$29*'Modelo Tarifário'!$C$59*'Modelo Tarifário'!$E$38))</f>
        <v>145113.74324755455</v>
      </c>
      <c r="AH85" s="1340">
        <f>IF(((AH8*'Modelo Tarifário'!$C$59*'Modelo Tarifário'!$E$38)*('Premissas Economias e Água'!AI364))&gt;('Premissas Economias e Água'!AI224*12*'Modelo Tarifário'!$D$29*'Modelo Tarifário'!$C$59*'Modelo Tarifário'!$E$38),(AH8*'Modelo Tarifário'!$C$59*'Modelo Tarifário'!$E$38)*('Premissas Economias e Água'!AI364),('Premissas Economias e Água'!AI224*12*'Modelo Tarifário'!$D$29*'Modelo Tarifário'!$C$59*'Modelo Tarifário'!$E$38))</f>
        <v>143922.73323022714</v>
      </c>
    </row>
    <row r="86" spans="2:34" s="79" customFormat="1" ht="12" hidden="1" outlineLevel="1" x14ac:dyDescent="0.3">
      <c r="B86" s="1339"/>
      <c r="C86" s="1335" t="s">
        <v>280</v>
      </c>
      <c r="D86" s="1335"/>
      <c r="E86" s="1340">
        <f>IF(((E8*'Modelo Tarifário'!$C$59*'Modelo Tarifário'!$E$39)*('Premissas Economias e Água'!F365))&gt;('Premissas Economias e Água'!F225*12*'Modelo Tarifário'!$D$29*'Modelo Tarifário'!$C$59*'Modelo Tarifário'!$E$39),(E8*'Modelo Tarifário'!$C$59*'Modelo Tarifário'!$E$39)*('Premissas Economias e Água'!F365),('Premissas Economias e Água'!F225*12*'Modelo Tarifário'!$D$29*'Modelo Tarifário'!$C$59*'Modelo Tarifário'!$E$39))</f>
        <v>135616.36271626563</v>
      </c>
      <c r="F86" s="1340">
        <f>IF(((F8*'Modelo Tarifário'!$C$59*'Modelo Tarifário'!$E$39)*('Premissas Economias e Água'!G365))&gt;('Premissas Economias e Água'!G225*12*'Modelo Tarifário'!$D$29*'Modelo Tarifário'!$C$59*'Modelo Tarifário'!$E$39),(F8*'Modelo Tarifário'!$C$59*'Modelo Tarifário'!$E$39)*('Premissas Economias e Água'!G365),('Premissas Economias e Água'!G225*12*'Modelo Tarifário'!$D$29*'Modelo Tarifário'!$C$59*'Modelo Tarifário'!$E$39))</f>
        <v>135254.47309202279</v>
      </c>
      <c r="G86" s="1340">
        <f>IF(((G8*'Modelo Tarifário'!$C$59*'Modelo Tarifário'!$E$39)*('Premissas Economias e Água'!H365))&gt;('Premissas Economias e Água'!H225*12*'Modelo Tarifário'!$D$29*'Modelo Tarifário'!$C$59*'Modelo Tarifário'!$E$39),(G8*'Modelo Tarifário'!$C$59*'Modelo Tarifário'!$E$39)*('Premissas Economias e Água'!H365),('Premissas Economias e Água'!H225*12*'Modelo Tarifário'!$D$29*'Modelo Tarifário'!$C$59*'Modelo Tarifário'!$E$39))</f>
        <v>134892.58346777991</v>
      </c>
      <c r="H86" s="1340">
        <f>IF(((H8*'Modelo Tarifário'!$C$59*'Modelo Tarifário'!$E$39)*('Premissas Economias e Água'!I365))&gt;('Premissas Economias e Água'!I225*12*'Modelo Tarifário'!$D$29*'Modelo Tarifário'!$C$59*'Modelo Tarifário'!$E$39),(H8*'Modelo Tarifário'!$C$59*'Modelo Tarifário'!$E$39)*('Premissas Economias e Água'!I365),('Premissas Economias e Água'!I225*12*'Modelo Tarifário'!$D$29*'Modelo Tarifário'!$C$59*'Modelo Tarifário'!$E$39))</f>
        <v>134530.69384353704</v>
      </c>
      <c r="I86" s="1340">
        <f>IF(((I8*'Modelo Tarifário'!$C$59*'Modelo Tarifário'!$E$39)*('Premissas Economias e Água'!J365))&gt;('Premissas Economias e Água'!J225*12*'Modelo Tarifário'!$D$29*'Modelo Tarifário'!$C$59*'Modelo Tarifário'!$E$39),(I8*'Modelo Tarifário'!$C$59*'Modelo Tarifário'!$E$39)*('Premissas Economias e Água'!J365),('Premissas Economias e Água'!J225*12*'Modelo Tarifário'!$D$29*'Modelo Tarifário'!$C$59*'Modelo Tarifário'!$E$39))</f>
        <v>134168.80421929419</v>
      </c>
      <c r="J86" s="1340">
        <f>IF(((J8*'Modelo Tarifário'!$C$59*'Modelo Tarifário'!$E$39)*('Premissas Economias e Água'!K365))&gt;('Premissas Economias e Água'!K225*12*'Modelo Tarifário'!$D$29*'Modelo Tarifário'!$C$59*'Modelo Tarifário'!$E$39),(J8*'Modelo Tarifário'!$C$59*'Modelo Tarifário'!$E$39)*('Premissas Economias e Água'!K365),('Premissas Economias e Água'!K225*12*'Modelo Tarifário'!$D$29*'Modelo Tarifário'!$C$59*'Modelo Tarifário'!$E$39))</f>
        <v>133792.72284508101</v>
      </c>
      <c r="K86" s="1340">
        <f>IF(((K8*'Modelo Tarifário'!$C$59*'Modelo Tarifário'!$E$39)*('Premissas Economias e Água'!L365))&gt;('Premissas Economias e Água'!L225*12*'Modelo Tarifário'!$D$29*'Modelo Tarifário'!$C$59*'Modelo Tarifário'!$E$39),(K8*'Modelo Tarifário'!$C$59*'Modelo Tarifário'!$E$39)*('Premissas Economias e Água'!L365),('Premissas Economias e Água'!L225*12*'Modelo Tarifário'!$D$29*'Modelo Tarifário'!$C$59*'Modelo Tarifário'!$E$39))</f>
        <v>133161.18997140232</v>
      </c>
      <c r="L86" s="1340">
        <f>IF(((L8*'Modelo Tarifário'!$C$59*'Modelo Tarifário'!$E$39)*('Premissas Economias e Água'!M365))&gt;('Premissas Economias e Água'!M225*12*'Modelo Tarifário'!$D$29*'Modelo Tarifário'!$C$59*'Modelo Tarifário'!$E$39),(L8*'Modelo Tarifário'!$C$59*'Modelo Tarifário'!$E$39)*('Premissas Economias e Água'!M365),('Premissas Economias e Água'!M225*12*'Modelo Tarifário'!$D$29*'Modelo Tarifário'!$C$59*'Modelo Tarifário'!$E$39))</f>
        <v>132529.6570977236</v>
      </c>
      <c r="M86" s="1340">
        <f>IF(((M8*'Modelo Tarifário'!$C$59*'Modelo Tarifário'!$E$39)*('Premissas Economias e Água'!N365))&gt;('Premissas Economias e Água'!N225*12*'Modelo Tarifário'!$D$29*'Modelo Tarifário'!$C$59*'Modelo Tarifário'!$E$39),(M8*'Modelo Tarifário'!$C$59*'Modelo Tarifário'!$E$39)*('Premissas Economias e Água'!N365),('Premissas Economias e Água'!N225*12*'Modelo Tarifário'!$D$29*'Modelo Tarifário'!$C$59*'Modelo Tarifário'!$E$39))</f>
        <v>131898.12422404488</v>
      </c>
      <c r="N86" s="1340">
        <f>IF(((N8*'Modelo Tarifário'!$C$59*'Modelo Tarifário'!$E$39)*('Premissas Economias e Água'!O365))&gt;('Premissas Economias e Água'!O225*12*'Modelo Tarifário'!$D$29*'Modelo Tarifário'!$C$59*'Modelo Tarifário'!$E$39),(N8*'Modelo Tarifário'!$C$59*'Modelo Tarifário'!$E$39)*('Premissas Economias e Água'!O365),('Premissas Economias e Água'!O225*12*'Modelo Tarifário'!$D$29*'Modelo Tarifário'!$C$59*'Modelo Tarifário'!$E$39))</f>
        <v>131266.59135036616</v>
      </c>
      <c r="O86" s="1340">
        <f>IF(((O8*'Modelo Tarifário'!$C$59*'Modelo Tarifário'!$E$39)*('Premissas Economias e Água'!P365))&gt;('Premissas Economias e Água'!P225*12*'Modelo Tarifário'!$D$29*'Modelo Tarifário'!$C$59*'Modelo Tarifário'!$E$39),(O8*'Modelo Tarifário'!$C$59*'Modelo Tarifário'!$E$39)*('Premissas Economias e Água'!P365),('Premissas Economias e Água'!P225*12*'Modelo Tarifário'!$D$29*'Modelo Tarifário'!$C$59*'Modelo Tarifário'!$E$39))</f>
        <v>130627.96260170228</v>
      </c>
      <c r="P86" s="1340">
        <f>IF(((P8*'Modelo Tarifário'!$C$59*'Modelo Tarifário'!$E$39)*('Premissas Economias e Água'!Q365))&gt;('Premissas Economias e Água'!Q225*12*'Modelo Tarifário'!$D$29*'Modelo Tarifário'!$C$59*'Modelo Tarifário'!$E$39),(P8*'Modelo Tarifário'!$C$59*'Modelo Tarifário'!$E$39)*('Premissas Economias e Água'!Q365),('Premissas Economias e Água'!Q225*12*'Modelo Tarifário'!$D$29*'Modelo Tarifário'!$C$59*'Modelo Tarifário'!$E$39))</f>
        <v>129762.2658535135</v>
      </c>
      <c r="Q86" s="1340">
        <f>IF(((Q8*'Modelo Tarifário'!$C$59*'Modelo Tarifário'!$E$39)*('Premissas Economias e Água'!R365))&gt;('Premissas Economias e Água'!R225*12*'Modelo Tarifário'!$D$29*'Modelo Tarifário'!$C$59*'Modelo Tarifário'!$E$39),(Q8*'Modelo Tarifário'!$C$59*'Modelo Tarifário'!$E$39)*('Premissas Economias e Água'!R365),('Premissas Economias e Água'!R225*12*'Modelo Tarifário'!$D$29*'Modelo Tarifário'!$C$59*'Modelo Tarifário'!$E$39))</f>
        <v>128896.56910532468</v>
      </c>
      <c r="R86" s="1340">
        <f>IF(((R8*'Modelo Tarifário'!$C$59*'Modelo Tarifário'!$E$39)*('Premissas Economias e Água'!S365))&gt;('Premissas Economias e Água'!S225*12*'Modelo Tarifário'!$D$29*'Modelo Tarifário'!$C$59*'Modelo Tarifário'!$E$39),(R8*'Modelo Tarifário'!$C$59*'Modelo Tarifário'!$E$39)*('Premissas Economias e Água'!S365),('Premissas Economias e Água'!S225*12*'Modelo Tarifário'!$D$29*'Modelo Tarifário'!$C$59*'Modelo Tarifário'!$E$39))</f>
        <v>128030.87235713587</v>
      </c>
      <c r="S86" s="1340">
        <f>IF(((S8*'Modelo Tarifário'!$C$59*'Modelo Tarifário'!$E$39)*('Premissas Economias e Água'!T365))&gt;('Premissas Economias e Água'!T225*12*'Modelo Tarifário'!$D$29*'Modelo Tarifário'!$C$59*'Modelo Tarifário'!$E$39),(S8*'Modelo Tarifário'!$C$59*'Modelo Tarifário'!$E$39)*('Premissas Economias e Água'!T365),('Premissas Economias e Água'!T225*12*'Modelo Tarifário'!$D$29*'Modelo Tarifário'!$C$59*'Modelo Tarifário'!$E$39))</f>
        <v>127165.17560894707</v>
      </c>
      <c r="T86" s="1340">
        <f>IF(((T8*'Modelo Tarifário'!$C$59*'Modelo Tarifário'!$E$39)*('Premissas Economias e Água'!U365))&gt;('Premissas Economias e Água'!U225*12*'Modelo Tarifário'!$D$29*'Modelo Tarifário'!$C$59*'Modelo Tarifário'!$E$39),(T8*'Modelo Tarifário'!$C$59*'Modelo Tarifário'!$E$39)*('Premissas Economias e Água'!U365),('Premissas Economias e Água'!U225*12*'Modelo Tarifário'!$D$29*'Modelo Tarifário'!$C$59*'Modelo Tarifário'!$E$39))</f>
        <v>126285.28711078798</v>
      </c>
      <c r="U86" s="1340">
        <f>IF(((U8*'Modelo Tarifário'!$C$59*'Modelo Tarifário'!$E$39)*('Premissas Economias e Água'!V365))&gt;('Premissas Economias e Água'!V225*12*'Modelo Tarifário'!$D$29*'Modelo Tarifário'!$C$59*'Modelo Tarifário'!$E$39),(U8*'Modelo Tarifário'!$C$59*'Modelo Tarifário'!$E$39)*('Premissas Economias e Água'!V365),('Premissas Economias e Água'!V225*12*'Modelo Tarifário'!$D$29*'Modelo Tarifário'!$C$59*'Modelo Tarifário'!$E$39))</f>
        <v>125348.63161274762</v>
      </c>
      <c r="V86" s="1340">
        <f>IF(((V8*'Modelo Tarifário'!$C$59*'Modelo Tarifário'!$E$39)*('Premissas Economias e Água'!W365))&gt;('Premissas Economias e Água'!W225*12*'Modelo Tarifário'!$D$29*'Modelo Tarifário'!$C$59*'Modelo Tarifário'!$E$39),(V8*'Modelo Tarifário'!$C$59*'Modelo Tarifário'!$E$39)*('Premissas Economias e Água'!W365),('Premissas Economias e Água'!W225*12*'Modelo Tarifário'!$D$29*'Modelo Tarifário'!$C$59*'Modelo Tarifário'!$E$39))</f>
        <v>124411.97611470727</v>
      </c>
      <c r="W86" s="1340">
        <f>IF(((W8*'Modelo Tarifário'!$C$59*'Modelo Tarifário'!$E$39)*('Premissas Economias e Água'!X365))&gt;('Premissas Economias e Água'!X225*12*'Modelo Tarifário'!$D$29*'Modelo Tarifário'!$C$59*'Modelo Tarifário'!$E$39),(W8*'Modelo Tarifário'!$C$59*'Modelo Tarifário'!$E$39)*('Premissas Economias e Água'!X365),('Premissas Economias e Água'!X225*12*'Modelo Tarifário'!$D$29*'Modelo Tarifário'!$C$59*'Modelo Tarifário'!$E$39))</f>
        <v>123475.32061666693</v>
      </c>
      <c r="X86" s="1340">
        <f>IF(((X8*'Modelo Tarifário'!$C$59*'Modelo Tarifário'!$E$39)*('Premissas Economias e Água'!Y365))&gt;('Premissas Economias e Água'!Y225*12*'Modelo Tarifário'!$D$29*'Modelo Tarifário'!$C$59*'Modelo Tarifário'!$E$39),(X8*'Modelo Tarifário'!$C$59*'Modelo Tarifário'!$E$39)*('Premissas Economias e Água'!Y365),('Premissas Economias e Água'!Y225*12*'Modelo Tarifário'!$D$29*'Modelo Tarifário'!$C$59*'Modelo Tarifário'!$E$39))</f>
        <v>122538.6651186266</v>
      </c>
      <c r="Y86" s="1340">
        <f>IF(((Y8*'Modelo Tarifário'!$C$59*'Modelo Tarifário'!$E$39)*('Premissas Economias e Água'!Z365))&gt;('Premissas Economias e Água'!Z225*12*'Modelo Tarifário'!$D$29*'Modelo Tarifário'!$C$59*'Modelo Tarifário'!$E$39),(Y8*'Modelo Tarifário'!$C$59*'Modelo Tarifário'!$E$39)*('Premissas Economias e Água'!Z365),('Premissas Economias e Água'!Z225*12*'Modelo Tarifário'!$D$29*'Modelo Tarifário'!$C$59*'Modelo Tarifário'!$E$39))</f>
        <v>121616.20137055656</v>
      </c>
      <c r="Z86" s="1340">
        <f>IF(((Z8*'Modelo Tarifário'!$C$59*'Modelo Tarifário'!$E$39)*('Premissas Economias e Água'!AA365))&gt;('Premissas Economias e Água'!AA225*12*'Modelo Tarifário'!$D$29*'Modelo Tarifário'!$C$59*'Modelo Tarifário'!$E$39),(Z8*'Modelo Tarifário'!$C$59*'Modelo Tarifário'!$E$39)*('Premissas Economias e Água'!AA365),('Premissas Economias e Água'!AA225*12*'Modelo Tarifário'!$D$29*'Modelo Tarifário'!$C$59*'Modelo Tarifário'!$E$39))</f>
        <v>120679.5458725162</v>
      </c>
      <c r="AA86" s="1340">
        <f>IF(((AA8*'Modelo Tarifário'!$C$59*'Modelo Tarifário'!$E$39)*('Premissas Economias e Água'!AB365))&gt;('Premissas Economias e Água'!AB225*12*'Modelo Tarifário'!$D$29*'Modelo Tarifário'!$C$59*'Modelo Tarifário'!$E$39),(AA8*'Modelo Tarifário'!$C$59*'Modelo Tarifário'!$E$39)*('Premissas Economias e Água'!AB365),('Premissas Economias e Água'!AB225*12*'Modelo Tarifário'!$D$29*'Modelo Tarifário'!$C$59*'Modelo Tarifário'!$E$39))</f>
        <v>119742.89037447586</v>
      </c>
      <c r="AB86" s="1340">
        <f>IF(((AB8*'Modelo Tarifário'!$C$59*'Modelo Tarifário'!$E$39)*('Premissas Economias e Água'!AC365))&gt;('Premissas Economias e Água'!AC225*12*'Modelo Tarifário'!$D$29*'Modelo Tarifário'!$C$59*'Modelo Tarifário'!$E$39),(AB8*'Modelo Tarifário'!$C$59*'Modelo Tarifário'!$E$39)*('Premissas Economias e Água'!AC365),('Premissas Economias e Água'!AC225*12*'Modelo Tarifário'!$D$29*'Modelo Tarifário'!$C$59*'Modelo Tarifário'!$E$39))</f>
        <v>118806.23487643553</v>
      </c>
      <c r="AC86" s="1340">
        <f>IF(((AC8*'Modelo Tarifário'!$C$59*'Modelo Tarifário'!$E$39)*('Premissas Economias e Água'!AD365))&gt;('Premissas Economias e Água'!AD225*12*'Modelo Tarifário'!$D$29*'Modelo Tarifário'!$C$59*'Modelo Tarifário'!$E$39),(AC8*'Modelo Tarifário'!$C$59*'Modelo Tarifário'!$E$39)*('Premissas Economias e Água'!AD365),('Premissas Economias e Água'!AD225*12*'Modelo Tarifário'!$D$29*'Modelo Tarifário'!$C$59*'Modelo Tarifário'!$E$39))</f>
        <v>117869.57937839518</v>
      </c>
      <c r="AD86" s="1340">
        <f>IF(((AD8*'Modelo Tarifário'!$C$59*'Modelo Tarifário'!$E$39)*('Premissas Economias e Água'!AE365))&gt;('Premissas Economias e Água'!AE225*12*'Modelo Tarifário'!$D$29*'Modelo Tarifário'!$C$59*'Modelo Tarifário'!$E$39),(AD8*'Modelo Tarifário'!$C$59*'Modelo Tarifário'!$E$39)*('Premissas Economias e Água'!AE365),('Premissas Economias e Água'!AE225*12*'Modelo Tarifário'!$D$29*'Modelo Tarifário'!$C$59*'Modelo Tarifário'!$E$39))</f>
        <v>116932.92388035484</v>
      </c>
      <c r="AE86" s="1340">
        <f>IF(((AE8*'Modelo Tarifário'!$C$59*'Modelo Tarifário'!$E$39)*('Premissas Economias e Água'!AF365))&gt;('Premissas Economias e Água'!AF225*12*'Modelo Tarifário'!$D$29*'Modelo Tarifário'!$C$59*'Modelo Tarifário'!$E$39),(AE8*'Modelo Tarifário'!$C$59*'Modelo Tarifário'!$E$39)*('Premissas Economias e Água'!AF365),('Premissas Economias e Água'!AF225*12*'Modelo Tarifário'!$D$29*'Modelo Tarifário'!$C$59*'Modelo Tarifário'!$E$39))</f>
        <v>115996.26838231449</v>
      </c>
      <c r="AF86" s="1340">
        <f>IF(((AF8*'Modelo Tarifário'!$C$59*'Modelo Tarifário'!$E$39)*('Premissas Economias e Água'!AG365))&gt;('Premissas Economias e Água'!AG225*12*'Modelo Tarifário'!$D$29*'Modelo Tarifário'!$C$59*'Modelo Tarifário'!$E$39),(AF8*'Modelo Tarifário'!$C$59*'Modelo Tarifário'!$E$39)*('Premissas Economias e Água'!AG365),('Premissas Economias e Água'!AG225*12*'Modelo Tarifário'!$D$29*'Modelo Tarifário'!$C$59*'Modelo Tarifário'!$E$39))</f>
        <v>115059.61288427415</v>
      </c>
      <c r="AG86" s="1340">
        <f>IF(((AG8*'Modelo Tarifário'!$C$59*'Modelo Tarifário'!$E$39)*('Premissas Economias e Água'!AH365))&gt;('Premissas Economias e Água'!AH225*12*'Modelo Tarifário'!$D$29*'Modelo Tarifário'!$C$59*'Modelo Tarifário'!$E$39),(AG8*'Modelo Tarifário'!$C$59*'Modelo Tarifário'!$E$39)*('Premissas Economias e Água'!AH365),('Premissas Economias e Água'!AH225*12*'Modelo Tarifário'!$D$29*'Modelo Tarifário'!$C$59*'Modelo Tarifário'!$E$39))</f>
        <v>114122.9573862338</v>
      </c>
      <c r="AH86" s="1340">
        <f>IF(((AH8*'Modelo Tarifário'!$C$59*'Modelo Tarifário'!$E$39)*('Premissas Economias e Água'!AI365))&gt;('Premissas Economias e Água'!AI225*12*'Modelo Tarifário'!$D$29*'Modelo Tarifário'!$C$59*'Modelo Tarifário'!$E$39),(AH8*'Modelo Tarifário'!$C$59*'Modelo Tarifário'!$E$39)*('Premissas Economias e Água'!AI365),('Premissas Economias e Água'!AI225*12*'Modelo Tarifário'!$D$29*'Modelo Tarifário'!$C$59*'Modelo Tarifário'!$E$39))</f>
        <v>113186.30188819344</v>
      </c>
    </row>
    <row r="87" spans="2:34" s="79" customFormat="1" ht="12" hidden="1" outlineLevel="1" x14ac:dyDescent="0.3">
      <c r="B87" s="1339"/>
      <c r="C87" s="1335" t="s">
        <v>281</v>
      </c>
      <c r="D87" s="1335"/>
      <c r="E87" s="1340">
        <f>IF(((E8*'Modelo Tarifário'!$C$59*'Modelo Tarifário'!$E$40)*('Premissas Economias e Água'!F366))&gt;('Premissas Economias e Água'!F226*12*'Modelo Tarifário'!$D$29*'Modelo Tarifário'!$C$59*'Modelo Tarifário'!$E$40),(E8*'Modelo Tarifário'!$C$59*'Modelo Tarifário'!$E$40)*('Premissas Economias e Água'!F366),('Premissas Economias e Água'!F226*12*'Modelo Tarifário'!$D$29*'Modelo Tarifário'!$C$59*'Modelo Tarifário'!$E$40))</f>
        <v>97374.307795709348</v>
      </c>
      <c r="F87" s="1340">
        <f>IF(((F8*'Modelo Tarifário'!$C$59*'Modelo Tarifário'!$E$40)*('Premissas Economias e Água'!G366))&gt;('Premissas Economias e Água'!G226*12*'Modelo Tarifário'!$D$29*'Modelo Tarifário'!$C$59*'Modelo Tarifário'!$E$40),(F8*'Modelo Tarifário'!$C$59*'Modelo Tarifário'!$E$40)*('Premissas Economias e Água'!G366),('Premissas Economias e Água'!G226*12*'Modelo Tarifário'!$D$29*'Modelo Tarifário'!$C$59*'Modelo Tarifário'!$E$40))</f>
        <v>97114.466350670598</v>
      </c>
      <c r="G87" s="1340">
        <f>IF(((G8*'Modelo Tarifário'!$C$59*'Modelo Tarifário'!$E$40)*('Premissas Economias e Água'!H366))&gt;('Premissas Economias e Água'!H226*12*'Modelo Tarifário'!$D$29*'Modelo Tarifário'!$C$59*'Modelo Tarifário'!$E$40),(G8*'Modelo Tarifário'!$C$59*'Modelo Tarifário'!$E$40)*('Premissas Economias e Água'!H366),('Premissas Economias e Água'!H226*12*'Modelo Tarifário'!$D$29*'Modelo Tarifário'!$C$59*'Modelo Tarifário'!$E$40))</f>
        <v>96854.62490563179</v>
      </c>
      <c r="H87" s="1340">
        <f>IF(((H8*'Modelo Tarifário'!$C$59*'Modelo Tarifário'!$E$40)*('Premissas Economias e Água'!I366))&gt;('Premissas Economias e Água'!I226*12*'Modelo Tarifário'!$D$29*'Modelo Tarifário'!$C$59*'Modelo Tarifário'!$E$40),(H8*'Modelo Tarifário'!$C$59*'Modelo Tarifário'!$E$40)*('Premissas Economias e Água'!I366),('Premissas Economias e Água'!I226*12*'Modelo Tarifário'!$D$29*'Modelo Tarifário'!$C$59*'Modelo Tarifário'!$E$40))</f>
        <v>96594.783460593026</v>
      </c>
      <c r="I87" s="1340">
        <f>IF(((I8*'Modelo Tarifário'!$C$59*'Modelo Tarifário'!$E$40)*('Premissas Economias e Água'!J366))&gt;('Premissas Economias e Água'!J226*12*'Modelo Tarifário'!$D$29*'Modelo Tarifário'!$C$59*'Modelo Tarifário'!$E$40),(I8*'Modelo Tarifário'!$C$59*'Modelo Tarifário'!$E$40)*('Premissas Economias e Água'!J366),('Premissas Economias e Água'!J226*12*'Modelo Tarifário'!$D$29*'Modelo Tarifário'!$C$59*'Modelo Tarifário'!$E$40))</f>
        <v>96334.942015554232</v>
      </c>
      <c r="J87" s="1340">
        <f>IF(((J8*'Modelo Tarifário'!$C$59*'Modelo Tarifário'!$E$40)*('Premissas Economias e Água'!K366))&gt;('Premissas Economias e Água'!K226*12*'Modelo Tarifário'!$D$29*'Modelo Tarifário'!$C$59*'Modelo Tarifário'!$E$40),(J8*'Modelo Tarifário'!$C$59*'Modelo Tarifário'!$E$40)*('Premissas Economias e Água'!K366),('Premissas Economias e Água'!K226*12*'Modelo Tarifário'!$D$29*'Modelo Tarifário'!$C$59*'Modelo Tarifário'!$E$40))</f>
        <v>96064.910709925694</v>
      </c>
      <c r="K87" s="1340">
        <f>IF(((K8*'Modelo Tarifário'!$C$59*'Modelo Tarifário'!$E$40)*('Premissas Economias e Água'!L366))&gt;('Premissas Economias e Água'!L226*12*'Modelo Tarifário'!$D$29*'Modelo Tarifário'!$C$59*'Modelo Tarifário'!$E$40),(K8*'Modelo Tarifário'!$C$59*'Modelo Tarifário'!$E$40)*('Premissas Economias e Água'!L366),('Premissas Economias e Água'!L226*12*'Modelo Tarifário'!$D$29*'Modelo Tarifário'!$C$59*'Modelo Tarifário'!$E$40))</f>
        <v>95611.461913681545</v>
      </c>
      <c r="L87" s="1340">
        <f>IF(((L8*'Modelo Tarifário'!$C$59*'Modelo Tarifário'!$E$40)*('Premissas Economias e Água'!M366))&gt;('Premissas Economias e Água'!M226*12*'Modelo Tarifário'!$D$29*'Modelo Tarifário'!$C$59*'Modelo Tarifário'!$E$40),(L8*'Modelo Tarifário'!$C$59*'Modelo Tarifário'!$E$40)*('Premissas Economias e Água'!M366),('Premissas Economias e Água'!M226*12*'Modelo Tarifário'!$D$29*'Modelo Tarifário'!$C$59*'Modelo Tarifário'!$E$40))</f>
        <v>95158.013117437396</v>
      </c>
      <c r="M87" s="1340">
        <f>IF(((M8*'Modelo Tarifário'!$C$59*'Modelo Tarifário'!$E$40)*('Premissas Economias e Água'!N366))&gt;('Premissas Economias e Água'!N226*12*'Modelo Tarifário'!$D$29*'Modelo Tarifário'!$C$59*'Modelo Tarifário'!$E$40),(M8*'Modelo Tarifário'!$C$59*'Modelo Tarifário'!$E$40)*('Premissas Economias e Água'!N366),('Premissas Economias e Água'!N226*12*'Modelo Tarifário'!$D$29*'Modelo Tarifário'!$C$59*'Modelo Tarifário'!$E$40))</f>
        <v>94704.564321193262</v>
      </c>
      <c r="N87" s="1340">
        <f>IF(((N8*'Modelo Tarifário'!$C$59*'Modelo Tarifário'!$E$40)*('Premissas Economias e Água'!O366))&gt;('Premissas Economias e Água'!O226*12*'Modelo Tarifário'!$D$29*'Modelo Tarifário'!$C$59*'Modelo Tarifário'!$E$40),(N8*'Modelo Tarifário'!$C$59*'Modelo Tarifário'!$E$40)*('Premissas Economias e Água'!O366),('Premissas Economias e Água'!O226*12*'Modelo Tarifário'!$D$29*'Modelo Tarifário'!$C$59*'Modelo Tarifário'!$E$40))</f>
        <v>94251.115524949113</v>
      </c>
      <c r="O87" s="1340">
        <f>IF(((O8*'Modelo Tarifário'!$C$59*'Modelo Tarifário'!$E$40)*('Premissas Economias e Água'!P366))&gt;('Premissas Economias e Água'!P226*12*'Modelo Tarifário'!$D$29*'Modelo Tarifário'!$C$59*'Modelo Tarifário'!$E$40),(O8*'Modelo Tarifário'!$C$59*'Modelo Tarifário'!$E$40)*('Premissas Economias e Água'!P366),('Premissas Economias e Água'!P226*12*'Modelo Tarifário'!$D$29*'Modelo Tarifário'!$C$59*'Modelo Tarifário'!$E$40))</f>
        <v>93792.571798410077</v>
      </c>
      <c r="P87" s="1340">
        <f>IF(((P8*'Modelo Tarifário'!$C$59*'Modelo Tarifário'!$E$40)*('Premissas Economias e Água'!Q366))&gt;('Premissas Economias e Água'!Q226*12*'Modelo Tarifário'!$D$29*'Modelo Tarifário'!$C$59*'Modelo Tarifário'!$E$40),(P8*'Modelo Tarifário'!$C$59*'Modelo Tarifário'!$E$40)*('Premissas Economias e Água'!Q366),('Premissas Economias e Água'!Q226*12*'Modelo Tarifário'!$D$29*'Modelo Tarifário'!$C$59*'Modelo Tarifário'!$E$40))</f>
        <v>93170.990302434962</v>
      </c>
      <c r="Q87" s="1340">
        <f>IF(((Q8*'Modelo Tarifário'!$C$59*'Modelo Tarifário'!$E$40)*('Premissas Economias e Água'!R366))&gt;('Premissas Economias e Água'!R226*12*'Modelo Tarifário'!$D$29*'Modelo Tarifário'!$C$59*'Modelo Tarifário'!$E$40),(Q8*'Modelo Tarifário'!$C$59*'Modelo Tarifário'!$E$40)*('Premissas Economias e Água'!R366),('Premissas Economias e Água'!R226*12*'Modelo Tarifário'!$D$29*'Modelo Tarifário'!$C$59*'Modelo Tarifário'!$E$40))</f>
        <v>92549.408806459833</v>
      </c>
      <c r="R87" s="1340">
        <f>IF(((R8*'Modelo Tarifário'!$C$59*'Modelo Tarifário'!$E$40)*('Premissas Economias e Água'!S366))&gt;('Premissas Economias e Água'!S226*12*'Modelo Tarifário'!$D$29*'Modelo Tarifário'!$C$59*'Modelo Tarifário'!$E$40),(R8*'Modelo Tarifário'!$C$59*'Modelo Tarifário'!$E$40)*('Premissas Economias e Água'!S366),('Premissas Economias e Água'!S226*12*'Modelo Tarifário'!$D$29*'Modelo Tarifário'!$C$59*'Modelo Tarifário'!$E$40))</f>
        <v>91927.827310484703</v>
      </c>
      <c r="S87" s="1340">
        <f>IF(((S8*'Modelo Tarifário'!$C$59*'Modelo Tarifário'!$E$40)*('Premissas Economias e Água'!T366))&gt;('Premissas Economias e Água'!T226*12*'Modelo Tarifário'!$D$29*'Modelo Tarifário'!$C$59*'Modelo Tarifário'!$E$40),(S8*'Modelo Tarifário'!$C$59*'Modelo Tarifário'!$E$40)*('Premissas Economias e Água'!T366),('Premissas Economias e Água'!T226*12*'Modelo Tarifário'!$D$29*'Modelo Tarifário'!$C$59*'Modelo Tarifário'!$E$40))</f>
        <v>91306.245814509588</v>
      </c>
      <c r="T87" s="1340">
        <f>IF(((T8*'Modelo Tarifário'!$C$59*'Modelo Tarifário'!$E$40)*('Premissas Economias e Água'!U366))&gt;('Premissas Economias e Água'!U226*12*'Modelo Tarifário'!$D$29*'Modelo Tarifário'!$C$59*'Modelo Tarifário'!$E$40),(T8*'Modelo Tarifário'!$C$59*'Modelo Tarifário'!$E$40)*('Premissas Economias e Água'!U366),('Premissas Economias e Água'!U226*12*'Modelo Tarifário'!$D$29*'Modelo Tarifário'!$C$59*'Modelo Tarifário'!$E$40))</f>
        <v>90674.474457944714</v>
      </c>
      <c r="U87" s="1340">
        <f>IF(((U8*'Modelo Tarifário'!$C$59*'Modelo Tarifário'!$E$40)*('Premissas Economias e Água'!V366))&gt;('Premissas Economias e Água'!V226*12*'Modelo Tarifário'!$D$29*'Modelo Tarifário'!$C$59*'Modelo Tarifário'!$E$40),(U8*'Modelo Tarifário'!$C$59*'Modelo Tarifário'!$E$40)*('Premissas Economias e Água'!V366),('Premissas Economias e Água'!V226*12*'Modelo Tarifário'!$D$29*'Modelo Tarifário'!$C$59*'Modelo Tarifário'!$E$40))</f>
        <v>90001.943659020806</v>
      </c>
      <c r="V87" s="1340">
        <f>IF(((V8*'Modelo Tarifário'!$C$59*'Modelo Tarifário'!$E$40)*('Premissas Economias e Água'!W366))&gt;('Premissas Economias e Água'!W226*12*'Modelo Tarifário'!$D$29*'Modelo Tarifário'!$C$59*'Modelo Tarifário'!$E$40),(V8*'Modelo Tarifário'!$C$59*'Modelo Tarifário'!$E$40)*('Premissas Economias e Água'!W366),('Premissas Economias e Água'!W226*12*'Modelo Tarifário'!$D$29*'Modelo Tarifário'!$C$59*'Modelo Tarifário'!$E$40))</f>
        <v>89329.412860096912</v>
      </c>
      <c r="W87" s="1340">
        <f>IF(((W8*'Modelo Tarifário'!$C$59*'Modelo Tarifário'!$E$40)*('Premissas Economias e Água'!X366))&gt;('Premissas Economias e Água'!X226*12*'Modelo Tarifário'!$D$29*'Modelo Tarifário'!$C$59*'Modelo Tarifário'!$E$40),(W8*'Modelo Tarifário'!$C$59*'Modelo Tarifário'!$E$40)*('Premissas Economias e Água'!X366),('Premissas Economias e Água'!X226*12*'Modelo Tarifário'!$D$29*'Modelo Tarifário'!$C$59*'Modelo Tarifário'!$E$40))</f>
        <v>88656.882061173019</v>
      </c>
      <c r="X87" s="1340">
        <f>IF(((X8*'Modelo Tarifário'!$C$59*'Modelo Tarifário'!$E$40)*('Premissas Economias e Água'!Y366))&gt;('Premissas Economias e Água'!Y226*12*'Modelo Tarifário'!$D$29*'Modelo Tarifário'!$C$59*'Modelo Tarifário'!$E$40),(X8*'Modelo Tarifário'!$C$59*'Modelo Tarifário'!$E$40)*('Premissas Economias e Água'!Y366),('Premissas Economias e Água'!Y226*12*'Modelo Tarifário'!$D$29*'Modelo Tarifário'!$C$59*'Modelo Tarifário'!$E$40))</f>
        <v>87984.351262249111</v>
      </c>
      <c r="Y87" s="1340">
        <f>IF(((Y8*'Modelo Tarifário'!$C$59*'Modelo Tarifário'!$E$40)*('Premissas Economias e Água'!Z366))&gt;('Premissas Economias e Água'!Z226*12*'Modelo Tarifário'!$D$29*'Modelo Tarifário'!$C$59*'Modelo Tarifário'!$E$40),(Y8*'Modelo Tarifário'!$C$59*'Modelo Tarifário'!$E$40)*('Premissas Economias e Água'!Z366),('Premissas Economias e Água'!Z226*12*'Modelo Tarifário'!$D$29*'Modelo Tarifário'!$C$59*'Modelo Tarifário'!$E$40))</f>
        <v>87322.010323914961</v>
      </c>
      <c r="Z87" s="1340">
        <f>IF(((Z8*'Modelo Tarifário'!$C$59*'Modelo Tarifário'!$E$40)*('Premissas Economias e Água'!AA366))&gt;('Premissas Economias e Água'!AA226*12*'Modelo Tarifário'!$D$29*'Modelo Tarifário'!$C$59*'Modelo Tarifário'!$E$40),(Z8*'Modelo Tarifário'!$C$59*'Modelo Tarifário'!$E$40)*('Premissas Economias e Água'!AA366),('Premissas Economias e Água'!AA226*12*'Modelo Tarifário'!$D$29*'Modelo Tarifário'!$C$59*'Modelo Tarifário'!$E$40))</f>
        <v>86649.479524991068</v>
      </c>
      <c r="AA87" s="1340">
        <f>IF(((AA8*'Modelo Tarifário'!$C$59*'Modelo Tarifário'!$E$40)*('Premissas Economias e Água'!AB366))&gt;('Premissas Economias e Água'!AB226*12*'Modelo Tarifário'!$D$29*'Modelo Tarifário'!$C$59*'Modelo Tarifário'!$E$40),(AA8*'Modelo Tarifário'!$C$59*'Modelo Tarifário'!$E$40)*('Premissas Economias e Água'!AB366),('Premissas Economias e Água'!AB226*12*'Modelo Tarifário'!$D$29*'Modelo Tarifário'!$C$59*'Modelo Tarifário'!$E$40))</f>
        <v>85976.948726067145</v>
      </c>
      <c r="AB87" s="1340">
        <f>IF(((AB8*'Modelo Tarifário'!$C$59*'Modelo Tarifário'!$E$40)*('Premissas Economias e Água'!AC366))&gt;('Premissas Economias e Água'!AC226*12*'Modelo Tarifário'!$D$29*'Modelo Tarifário'!$C$59*'Modelo Tarifário'!$E$40),(AB8*'Modelo Tarifário'!$C$59*'Modelo Tarifário'!$E$40)*('Premissas Economias e Água'!AC366),('Premissas Economias e Água'!AC226*12*'Modelo Tarifário'!$D$29*'Modelo Tarifário'!$C$59*'Modelo Tarifário'!$E$40))</f>
        <v>85304.417927143251</v>
      </c>
      <c r="AC87" s="1340">
        <f>IF(((AC8*'Modelo Tarifário'!$C$59*'Modelo Tarifário'!$E$40)*('Premissas Economias e Água'!AD366))&gt;('Premissas Economias e Água'!AD226*12*'Modelo Tarifário'!$D$29*'Modelo Tarifário'!$C$59*'Modelo Tarifário'!$E$40),(AC8*'Modelo Tarifário'!$C$59*'Modelo Tarifário'!$E$40)*('Premissas Economias e Água'!AD366),('Premissas Economias e Água'!AD226*12*'Modelo Tarifário'!$D$29*'Modelo Tarifário'!$C$59*'Modelo Tarifário'!$E$40))</f>
        <v>84631.887128219343</v>
      </c>
      <c r="AD87" s="1340">
        <f>IF(((AD8*'Modelo Tarifário'!$C$59*'Modelo Tarifário'!$E$40)*('Premissas Economias e Água'!AE366))&gt;('Premissas Economias e Água'!AE226*12*'Modelo Tarifário'!$D$29*'Modelo Tarifário'!$C$59*'Modelo Tarifário'!$E$40),(AD8*'Modelo Tarifário'!$C$59*'Modelo Tarifário'!$E$40)*('Premissas Economias e Água'!AE366),('Premissas Economias e Água'!AE226*12*'Modelo Tarifário'!$D$29*'Modelo Tarifário'!$C$59*'Modelo Tarifário'!$E$40))</f>
        <v>83959.35632929545</v>
      </c>
      <c r="AE87" s="1340">
        <f>IF(((AE8*'Modelo Tarifário'!$C$59*'Modelo Tarifário'!$E$40)*('Premissas Economias e Água'!AF366))&gt;('Premissas Economias e Água'!AF226*12*'Modelo Tarifário'!$D$29*'Modelo Tarifário'!$C$59*'Modelo Tarifário'!$E$40),(AE8*'Modelo Tarifário'!$C$59*'Modelo Tarifário'!$E$40)*('Premissas Economias e Água'!AF366),('Premissas Economias e Água'!AF226*12*'Modelo Tarifário'!$D$29*'Modelo Tarifário'!$C$59*'Modelo Tarifário'!$E$40))</f>
        <v>83286.825530371541</v>
      </c>
      <c r="AF87" s="1340">
        <f>IF(((AF8*'Modelo Tarifário'!$C$59*'Modelo Tarifário'!$E$40)*('Premissas Economias e Água'!AG366))&gt;('Premissas Economias e Água'!AG226*12*'Modelo Tarifário'!$D$29*'Modelo Tarifário'!$C$59*'Modelo Tarifário'!$E$40),(AF8*'Modelo Tarifário'!$C$59*'Modelo Tarifário'!$E$40)*('Premissas Economias e Água'!AG366),('Premissas Economias e Água'!AG226*12*'Modelo Tarifário'!$D$29*'Modelo Tarifário'!$C$59*'Modelo Tarifário'!$E$40))</f>
        <v>82614.294731447633</v>
      </c>
      <c r="AG87" s="1340">
        <f>IF(((AG8*'Modelo Tarifário'!$C$59*'Modelo Tarifário'!$E$40)*('Premissas Economias e Água'!AH366))&gt;('Premissas Economias e Água'!AH226*12*'Modelo Tarifário'!$D$29*'Modelo Tarifário'!$C$59*'Modelo Tarifário'!$E$40),(AG8*'Modelo Tarifário'!$C$59*'Modelo Tarifário'!$E$40)*('Premissas Economias e Água'!AH366),('Premissas Economias e Água'!AH226*12*'Modelo Tarifário'!$D$29*'Modelo Tarifário'!$C$59*'Modelo Tarifário'!$E$40))</f>
        <v>81941.763932523725</v>
      </c>
      <c r="AH87" s="1340">
        <f>IF(((AH8*'Modelo Tarifário'!$C$59*'Modelo Tarifário'!$E$40)*('Premissas Economias e Água'!AI366))&gt;('Premissas Economias e Água'!AI226*12*'Modelo Tarifário'!$D$29*'Modelo Tarifário'!$C$59*'Modelo Tarifário'!$E$40),(AH8*'Modelo Tarifário'!$C$59*'Modelo Tarifário'!$E$40)*('Premissas Economias e Água'!AI366),('Premissas Economias e Água'!AI226*12*'Modelo Tarifário'!$D$29*'Modelo Tarifário'!$C$59*'Modelo Tarifário'!$E$40))</f>
        <v>81269.233133599831</v>
      </c>
    </row>
    <row r="88" spans="2:34" s="79" customFormat="1" ht="12" hidden="1" outlineLevel="1" x14ac:dyDescent="0.3">
      <c r="B88" s="1339"/>
      <c r="C88" s="1335" t="s">
        <v>282</v>
      </c>
      <c r="D88" s="1335"/>
      <c r="E88" s="1340">
        <f>IF(((E8*'Modelo Tarifário'!$C$59*'Modelo Tarifário'!$E$41)*('Premissas Economias e Água'!F367))&gt;('Premissas Economias e Água'!F227*12*'Modelo Tarifário'!$D$29*'Modelo Tarifário'!$C$59*'Modelo Tarifário'!$E$41),(E8*'Modelo Tarifário'!$C$59*'Modelo Tarifário'!$E$41)*('Premissas Economias e Água'!F367),('Premissas Economias e Água'!F227*12*'Modelo Tarifário'!$D$29*'Modelo Tarifário'!$C$59*'Modelo Tarifário'!$E$41))</f>
        <v>88664.694802397556</v>
      </c>
      <c r="F88" s="1340">
        <f>IF(((F8*'Modelo Tarifário'!$C$59*'Modelo Tarifário'!$E$41)*('Premissas Economias e Água'!G367))&gt;('Premissas Economias e Água'!G227*12*'Modelo Tarifário'!$D$29*'Modelo Tarifário'!$C$59*'Modelo Tarifário'!$E$41),(F8*'Modelo Tarifário'!$C$59*'Modelo Tarifário'!$E$41)*('Premissas Economias e Água'!G367),('Premissas Economias e Água'!G227*12*'Modelo Tarifário'!$D$29*'Modelo Tarifário'!$C$59*'Modelo Tarifário'!$E$41))</f>
        <v>88428.094790105708</v>
      </c>
      <c r="G88" s="1340">
        <f>IF(((G8*'Modelo Tarifário'!$C$59*'Modelo Tarifário'!$E$41)*('Premissas Economias e Água'!H367))&gt;('Premissas Economias e Água'!H227*12*'Modelo Tarifário'!$D$29*'Modelo Tarifário'!$C$59*'Modelo Tarifário'!$E$41),(G8*'Modelo Tarifário'!$C$59*'Modelo Tarifário'!$E$41)*('Premissas Economias e Água'!H367),('Premissas Economias e Água'!H227*12*'Modelo Tarifário'!$D$29*'Modelo Tarifário'!$C$59*'Modelo Tarifário'!$E$41))</f>
        <v>88191.49477781383</v>
      </c>
      <c r="H88" s="1340">
        <f>IF(((H8*'Modelo Tarifário'!$C$59*'Modelo Tarifário'!$E$41)*('Premissas Economias e Água'!I367))&gt;('Premissas Economias e Água'!I227*12*'Modelo Tarifário'!$D$29*'Modelo Tarifário'!$C$59*'Modelo Tarifário'!$E$41),(H8*'Modelo Tarifário'!$C$59*'Modelo Tarifário'!$E$41)*('Premissas Economias e Água'!I367),('Premissas Economias e Água'!I227*12*'Modelo Tarifário'!$D$29*'Modelo Tarifário'!$C$59*'Modelo Tarifário'!$E$41))</f>
        <v>87954.894765521953</v>
      </c>
      <c r="I88" s="1340">
        <f>IF(((I8*'Modelo Tarifário'!$C$59*'Modelo Tarifário'!$E$41)*('Premissas Economias e Água'!J367))&gt;('Premissas Economias e Água'!J227*12*'Modelo Tarifário'!$D$29*'Modelo Tarifário'!$C$59*'Modelo Tarifário'!$E$41),(I8*'Modelo Tarifário'!$C$59*'Modelo Tarifário'!$E$41)*('Premissas Economias e Água'!J367),('Premissas Economias e Água'!J227*12*'Modelo Tarifário'!$D$29*'Modelo Tarifário'!$C$59*'Modelo Tarifário'!$E$41))</f>
        <v>87718.294753230075</v>
      </c>
      <c r="J88" s="1340">
        <f>IF(((J8*'Modelo Tarifário'!$C$59*'Modelo Tarifário'!$E$41)*('Premissas Economias e Água'!K367))&gt;('Premissas Economias e Água'!K227*12*'Modelo Tarifário'!$D$29*'Modelo Tarifário'!$C$59*'Modelo Tarifário'!$E$41),(J8*'Modelo Tarifário'!$C$59*'Modelo Tarifário'!$E$41)*('Premissas Economias e Água'!K367),('Premissas Economias e Água'!K227*12*'Modelo Tarifário'!$D$29*'Modelo Tarifário'!$C$59*'Modelo Tarifário'!$E$41))</f>
        <v>87472.416309083623</v>
      </c>
      <c r="K88" s="1340">
        <f>IF(((K8*'Modelo Tarifário'!$C$59*'Modelo Tarifário'!$E$41)*('Premissas Economias e Água'!L367))&gt;('Premissas Economias e Água'!L227*12*'Modelo Tarifário'!$D$29*'Modelo Tarifário'!$C$59*'Modelo Tarifário'!$E$41),(K8*'Modelo Tarifário'!$C$59*'Modelo Tarifário'!$E$41)*('Premissas Economias e Água'!L367),('Premissas Economias e Água'!L227*12*'Modelo Tarifário'!$D$29*'Modelo Tarifário'!$C$59*'Modelo Tarifário'!$E$41))</f>
        <v>87059.526091554668</v>
      </c>
      <c r="L88" s="1340">
        <f>IF(((L8*'Modelo Tarifário'!$C$59*'Modelo Tarifário'!$E$41)*('Premissas Economias e Água'!M367))&gt;('Premissas Economias e Água'!M227*12*'Modelo Tarifário'!$D$29*'Modelo Tarifário'!$C$59*'Modelo Tarifário'!$E$41),(L8*'Modelo Tarifário'!$C$59*'Modelo Tarifário'!$E$41)*('Premissas Economias e Água'!M367),('Premissas Economias e Água'!M227*12*'Modelo Tarifário'!$D$29*'Modelo Tarifário'!$C$59*'Modelo Tarifário'!$E$41))</f>
        <v>86646.635874025727</v>
      </c>
      <c r="M88" s="1340">
        <f>IF(((M8*'Modelo Tarifário'!$C$59*'Modelo Tarifário'!$E$41)*('Premissas Economias e Água'!N367))&gt;('Premissas Economias e Água'!N227*12*'Modelo Tarifário'!$D$29*'Modelo Tarifário'!$C$59*'Modelo Tarifário'!$E$41),(M8*'Modelo Tarifário'!$C$59*'Modelo Tarifário'!$E$41)*('Premissas Economias e Água'!N367),('Premissas Economias e Água'!N227*12*'Modelo Tarifário'!$D$29*'Modelo Tarifário'!$C$59*'Modelo Tarifário'!$E$41))</f>
        <v>86233.745656496758</v>
      </c>
      <c r="N88" s="1340">
        <f>IF(((N8*'Modelo Tarifário'!$C$59*'Modelo Tarifário'!$E$41)*('Premissas Economias e Água'!O367))&gt;('Premissas Economias e Água'!O227*12*'Modelo Tarifário'!$D$29*'Modelo Tarifário'!$C$59*'Modelo Tarifário'!$E$41),(N8*'Modelo Tarifário'!$C$59*'Modelo Tarifário'!$E$41)*('Premissas Economias e Água'!O367),('Premissas Economias e Água'!O227*12*'Modelo Tarifário'!$D$29*'Modelo Tarifário'!$C$59*'Modelo Tarifário'!$E$41))</f>
        <v>85820.855438967803</v>
      </c>
      <c r="O88" s="1340">
        <f>IF(((O8*'Modelo Tarifário'!$C$59*'Modelo Tarifário'!$E$41)*('Premissas Economias e Água'!P367))&gt;('Premissas Economias e Água'!P227*12*'Modelo Tarifário'!$D$29*'Modelo Tarifário'!$C$59*'Modelo Tarifário'!$E$41),(O8*'Modelo Tarifário'!$C$59*'Modelo Tarifário'!$E$41)*('Premissas Economias e Água'!P367),('Premissas Economias e Água'!P227*12*'Modelo Tarifário'!$D$29*'Modelo Tarifário'!$C$59*'Modelo Tarifário'!$E$41))</f>
        <v>85403.326005511553</v>
      </c>
      <c r="P88" s="1340">
        <f>IF(((P8*'Modelo Tarifário'!$C$59*'Modelo Tarifário'!$E$41)*('Premissas Economias e Água'!Q367))&gt;('Premissas Economias e Água'!Q227*12*'Modelo Tarifário'!$D$29*'Modelo Tarifário'!$C$59*'Modelo Tarifário'!$E$41),(P8*'Modelo Tarifário'!$C$59*'Modelo Tarifário'!$E$41)*('Premissas Economias e Água'!Q367),('Premissas Economias e Água'!Q227*12*'Modelo Tarifário'!$D$29*'Modelo Tarifário'!$C$59*'Modelo Tarifário'!$E$41))</f>
        <v>84837.341662381979</v>
      </c>
      <c r="Q88" s="1340">
        <f>IF(((Q8*'Modelo Tarifário'!$C$59*'Modelo Tarifário'!$E$41)*('Premissas Economias e Água'!R367))&gt;('Premissas Economias e Água'!R227*12*'Modelo Tarifário'!$D$29*'Modelo Tarifário'!$C$59*'Modelo Tarifário'!$E$41),(Q8*'Modelo Tarifário'!$C$59*'Modelo Tarifário'!$E$41)*('Premissas Economias e Água'!R367),('Premissas Economias e Água'!R227*12*'Modelo Tarifário'!$D$29*'Modelo Tarifário'!$C$59*'Modelo Tarifário'!$E$41))</f>
        <v>84271.357319252391</v>
      </c>
      <c r="R88" s="1340">
        <f>IF(((R8*'Modelo Tarifário'!$C$59*'Modelo Tarifário'!$E$41)*('Premissas Economias e Água'!S367))&gt;('Premissas Economias e Água'!S227*12*'Modelo Tarifário'!$D$29*'Modelo Tarifário'!$C$59*'Modelo Tarifário'!$E$41),(R8*'Modelo Tarifário'!$C$59*'Modelo Tarifário'!$E$41)*('Premissas Economias e Água'!S367),('Premissas Economias e Água'!S227*12*'Modelo Tarifário'!$D$29*'Modelo Tarifário'!$C$59*'Modelo Tarifário'!$E$41))</f>
        <v>83705.372976122817</v>
      </c>
      <c r="S88" s="1340">
        <f>IF(((S8*'Modelo Tarifário'!$C$59*'Modelo Tarifário'!$E$41)*('Premissas Economias e Água'!T367))&gt;('Premissas Economias e Água'!T227*12*'Modelo Tarifário'!$D$29*'Modelo Tarifário'!$C$59*'Modelo Tarifário'!$E$41),(S8*'Modelo Tarifário'!$C$59*'Modelo Tarifário'!$E$41)*('Premissas Economias e Água'!T367),('Premissas Economias e Água'!T227*12*'Modelo Tarifário'!$D$29*'Modelo Tarifário'!$C$59*'Modelo Tarifário'!$E$41))</f>
        <v>83139.388632993243</v>
      </c>
      <c r="T88" s="1340">
        <f>IF(((T8*'Modelo Tarifário'!$C$59*'Modelo Tarifário'!$E$41)*('Premissas Economias e Água'!U367))&gt;('Premissas Economias e Água'!U227*12*'Modelo Tarifário'!$D$29*'Modelo Tarifário'!$C$59*'Modelo Tarifário'!$E$41),(T8*'Modelo Tarifário'!$C$59*'Modelo Tarifário'!$E$41)*('Premissas Economias e Água'!U367),('Premissas Economias e Água'!U227*12*'Modelo Tarifário'!$D$29*'Modelo Tarifário'!$C$59*'Modelo Tarifário'!$E$41))</f>
        <v>82564.12585800908</v>
      </c>
      <c r="U88" s="1340">
        <f>IF(((U8*'Modelo Tarifário'!$C$59*'Modelo Tarifário'!$E$41)*('Premissas Economias e Água'!V367))&gt;('Premissas Economias e Água'!V227*12*'Modelo Tarifário'!$D$29*'Modelo Tarifário'!$C$59*'Modelo Tarifário'!$E$41),(U8*'Modelo Tarifário'!$C$59*'Modelo Tarifário'!$E$41)*('Premissas Economias e Água'!V367),('Premissas Economias e Água'!V227*12*'Modelo Tarifário'!$D$29*'Modelo Tarifário'!$C$59*'Modelo Tarifário'!$E$41))</f>
        <v>81951.749355606589</v>
      </c>
      <c r="V88" s="1340">
        <f>IF(((V8*'Modelo Tarifário'!$C$59*'Modelo Tarifário'!$E$41)*('Premissas Economias e Água'!W367))&gt;('Premissas Economias e Água'!W227*12*'Modelo Tarifário'!$D$29*'Modelo Tarifário'!$C$59*'Modelo Tarifário'!$E$41),(V8*'Modelo Tarifário'!$C$59*'Modelo Tarifário'!$E$41)*('Premissas Economias e Água'!W367),('Premissas Economias e Água'!W227*12*'Modelo Tarifário'!$D$29*'Modelo Tarifário'!$C$59*'Modelo Tarifário'!$E$41))</f>
        <v>81339.372853204084</v>
      </c>
      <c r="W88" s="1340">
        <f>IF(((W8*'Modelo Tarifário'!$C$59*'Modelo Tarifário'!$E$41)*('Premissas Economias e Água'!X367))&gt;('Premissas Economias e Água'!X227*12*'Modelo Tarifário'!$D$29*'Modelo Tarifário'!$C$59*'Modelo Tarifário'!$E$41),(W8*'Modelo Tarifário'!$C$59*'Modelo Tarifário'!$E$41)*('Premissas Economias e Água'!X367),('Premissas Economias e Água'!X227*12*'Modelo Tarifário'!$D$29*'Modelo Tarifário'!$C$59*'Modelo Tarifário'!$E$41))</f>
        <v>80726.996350801594</v>
      </c>
      <c r="X88" s="1340">
        <f>IF(((X8*'Modelo Tarifário'!$C$59*'Modelo Tarifário'!$E$41)*('Premissas Economias e Água'!Y367))&gt;('Premissas Economias e Água'!Y227*12*'Modelo Tarifário'!$D$29*'Modelo Tarifário'!$C$59*'Modelo Tarifário'!$E$41),(X8*'Modelo Tarifário'!$C$59*'Modelo Tarifário'!$E$41)*('Premissas Economias e Água'!Y367),('Premissas Economias e Água'!Y227*12*'Modelo Tarifário'!$D$29*'Modelo Tarifário'!$C$59*'Modelo Tarifário'!$E$41))</f>
        <v>80114.619848399117</v>
      </c>
      <c r="Y88" s="1340">
        <f>IF(((Y8*'Modelo Tarifário'!$C$59*'Modelo Tarifário'!$E$41)*('Premissas Economias e Água'!Z367))&gt;('Premissas Economias e Água'!Z227*12*'Modelo Tarifário'!$D$29*'Modelo Tarifário'!$C$59*'Modelo Tarifário'!$E$41),(Y8*'Modelo Tarifário'!$C$59*'Modelo Tarifário'!$E$41)*('Premissas Economias e Água'!Z367),('Premissas Economias e Água'!Z227*12*'Modelo Tarifário'!$D$29*'Modelo Tarifário'!$C$59*'Modelo Tarifário'!$E$41))</f>
        <v>79511.521777851201</v>
      </c>
      <c r="Z88" s="1340">
        <f>IF(((Z8*'Modelo Tarifário'!$C$59*'Modelo Tarifário'!$E$41)*('Premissas Economias e Água'!AA367))&gt;('Premissas Economias e Água'!AA227*12*'Modelo Tarifário'!$D$29*'Modelo Tarifário'!$C$59*'Modelo Tarifário'!$E$41),(Z8*'Modelo Tarifário'!$C$59*'Modelo Tarifário'!$E$41)*('Premissas Economias e Água'!AA367),('Premissas Economias e Água'!AA227*12*'Modelo Tarifário'!$D$29*'Modelo Tarifário'!$C$59*'Modelo Tarifário'!$E$41))</f>
        <v>78899.145275448696</v>
      </c>
      <c r="AA88" s="1340">
        <f>IF(((AA8*'Modelo Tarifário'!$C$59*'Modelo Tarifário'!$E$41)*('Premissas Economias e Água'!AB367))&gt;('Premissas Economias e Água'!AB227*12*'Modelo Tarifário'!$D$29*'Modelo Tarifário'!$C$59*'Modelo Tarifário'!$E$41),(AA8*'Modelo Tarifário'!$C$59*'Modelo Tarifário'!$E$41)*('Premissas Economias e Água'!AB367),('Premissas Economias e Água'!AB227*12*'Modelo Tarifário'!$D$29*'Modelo Tarifário'!$C$59*'Modelo Tarifário'!$E$41))</f>
        <v>78286.768773046206</v>
      </c>
      <c r="AB88" s="1340">
        <f>IF(((AB8*'Modelo Tarifário'!$C$59*'Modelo Tarifário'!$E$41)*('Premissas Economias e Água'!AC367))&gt;('Premissas Economias e Água'!AC227*12*'Modelo Tarifário'!$D$29*'Modelo Tarifário'!$C$59*'Modelo Tarifário'!$E$41),(AB8*'Modelo Tarifário'!$C$59*'Modelo Tarifário'!$E$41)*('Premissas Economias e Água'!AC367),('Premissas Economias e Água'!AC227*12*'Modelo Tarifário'!$D$29*'Modelo Tarifário'!$C$59*'Modelo Tarifário'!$E$41))</f>
        <v>77674.392270643715</v>
      </c>
      <c r="AC88" s="1340">
        <f>IF(((AC8*'Modelo Tarifário'!$C$59*'Modelo Tarifário'!$E$41)*('Premissas Economias e Água'!AD367))&gt;('Premissas Economias e Água'!AD227*12*'Modelo Tarifário'!$D$29*'Modelo Tarifário'!$C$59*'Modelo Tarifário'!$E$41),(AC8*'Modelo Tarifário'!$C$59*'Modelo Tarifário'!$E$41)*('Premissas Economias e Água'!AD367),('Premissas Economias e Água'!AD227*12*'Modelo Tarifário'!$D$29*'Modelo Tarifário'!$C$59*'Modelo Tarifário'!$E$41))</f>
        <v>77062.01576824121</v>
      </c>
      <c r="AD88" s="1340">
        <f>IF(((AD8*'Modelo Tarifário'!$C$59*'Modelo Tarifário'!$E$41)*('Premissas Economias e Água'!AE367))&gt;('Premissas Economias e Água'!AE227*12*'Modelo Tarifário'!$D$29*'Modelo Tarifário'!$C$59*'Modelo Tarifário'!$E$41),(AD8*'Modelo Tarifário'!$C$59*'Modelo Tarifário'!$E$41)*('Premissas Economias e Água'!AE367),('Premissas Economias e Água'!AE227*12*'Modelo Tarifário'!$D$29*'Modelo Tarifário'!$C$59*'Modelo Tarifário'!$E$41))</f>
        <v>76449.639265838719</v>
      </c>
      <c r="AE88" s="1340">
        <f>IF(((AE8*'Modelo Tarifário'!$C$59*'Modelo Tarifário'!$E$41)*('Premissas Economias e Água'!AF367))&gt;('Premissas Economias e Água'!AF227*12*'Modelo Tarifário'!$D$29*'Modelo Tarifário'!$C$59*'Modelo Tarifário'!$E$41),(AE8*'Modelo Tarifário'!$C$59*'Modelo Tarifário'!$E$41)*('Premissas Economias e Água'!AF367),('Premissas Economias e Água'!AF227*12*'Modelo Tarifário'!$D$29*'Modelo Tarifário'!$C$59*'Modelo Tarifário'!$E$41))</f>
        <v>75837.262763436214</v>
      </c>
      <c r="AF88" s="1340">
        <f>IF(((AF8*'Modelo Tarifário'!$C$59*'Modelo Tarifário'!$E$41)*('Premissas Economias e Água'!AG367))&gt;('Premissas Economias e Água'!AG227*12*'Modelo Tarifário'!$D$29*'Modelo Tarifário'!$C$59*'Modelo Tarifário'!$E$41),(AF8*'Modelo Tarifário'!$C$59*'Modelo Tarifário'!$E$41)*('Premissas Economias e Água'!AG367),('Premissas Economias e Água'!AG227*12*'Modelo Tarifário'!$D$29*'Modelo Tarifário'!$C$59*'Modelo Tarifário'!$E$41))</f>
        <v>75224.886261033724</v>
      </c>
      <c r="AG88" s="1340">
        <f>IF(((AG8*'Modelo Tarifário'!$C$59*'Modelo Tarifário'!$E$41)*('Premissas Economias e Água'!AH367))&gt;('Premissas Economias e Água'!AH227*12*'Modelo Tarifário'!$D$29*'Modelo Tarifário'!$C$59*'Modelo Tarifário'!$E$41),(AG8*'Modelo Tarifário'!$C$59*'Modelo Tarifário'!$E$41)*('Premissas Economias e Água'!AH367),('Premissas Economias e Água'!AH227*12*'Modelo Tarifário'!$D$29*'Modelo Tarifário'!$C$59*'Modelo Tarifário'!$E$41))</f>
        <v>74612.509758631233</v>
      </c>
      <c r="AH88" s="1340">
        <f>IF(((AH8*'Modelo Tarifário'!$C$59*'Modelo Tarifário'!$E$41)*('Premissas Economias e Água'!AI367))&gt;('Premissas Economias e Água'!AI227*12*'Modelo Tarifário'!$D$29*'Modelo Tarifário'!$C$59*'Modelo Tarifário'!$E$41),(AH8*'Modelo Tarifário'!$C$59*'Modelo Tarifário'!$E$41)*('Premissas Economias e Água'!AI367),('Premissas Economias e Água'!AI227*12*'Modelo Tarifário'!$D$29*'Modelo Tarifário'!$C$59*'Modelo Tarifário'!$E$41))</f>
        <v>74000.133256228728</v>
      </c>
    </row>
    <row r="89" spans="2:34" s="79" customFormat="1" ht="12" hidden="1" outlineLevel="1" x14ac:dyDescent="0.3">
      <c r="B89" s="1339"/>
      <c r="C89" s="1335" t="s">
        <v>283</v>
      </c>
      <c r="D89" s="1335"/>
      <c r="E89" s="1340">
        <f>IF(((E8*'Modelo Tarifário'!$C$59*'Modelo Tarifário'!$E$42)*('Premissas Economias e Água'!F368))&gt;('Premissas Economias e Água'!F228*12*'Modelo Tarifário'!$D$29*'Modelo Tarifário'!$C$59*'Modelo Tarifário'!$E$42),(E8*'Modelo Tarifário'!$C$59*'Modelo Tarifário'!$E$42)*('Premissas Economias e Água'!F368),('Premissas Economias e Água'!F228*12*'Modelo Tarifário'!$D$29*'Modelo Tarifário'!$C$59*'Modelo Tarifário'!$E$42))</f>
        <v>21346.228278370134</v>
      </c>
      <c r="F89" s="1340">
        <f>IF(((F8*'Modelo Tarifário'!$C$59*'Modelo Tarifário'!$E$42)*('Premissas Economias e Água'!G368))&gt;('Premissas Economias e Água'!G228*12*'Modelo Tarifário'!$D$29*'Modelo Tarifário'!$C$59*'Modelo Tarifário'!$E$42),(F8*'Modelo Tarifário'!$C$59*'Modelo Tarifário'!$E$42)*('Premissas Economias e Água'!G368),('Premissas Economias e Água'!G228*12*'Modelo Tarifário'!$D$29*'Modelo Tarifário'!$C$59*'Modelo Tarifário'!$E$42))</f>
        <v>21289.266283696797</v>
      </c>
      <c r="G89" s="1340">
        <f>IF(((G8*'Modelo Tarifário'!$C$59*'Modelo Tarifário'!$E$42)*('Premissas Economias e Água'!H368))&gt;('Premissas Economias e Água'!H228*12*'Modelo Tarifário'!$D$29*'Modelo Tarifário'!$C$59*'Modelo Tarifário'!$E$42),(G8*'Modelo Tarifário'!$C$59*'Modelo Tarifário'!$E$42)*('Premissas Economias e Água'!H368),('Premissas Economias e Água'!H228*12*'Modelo Tarifário'!$D$29*'Modelo Tarifário'!$C$59*'Modelo Tarifário'!$E$42))</f>
        <v>21232.304289023454</v>
      </c>
      <c r="H89" s="1340">
        <f>IF(((H8*'Modelo Tarifário'!$C$59*'Modelo Tarifário'!$E$42)*('Premissas Economias e Água'!I368))&gt;('Premissas Economias e Água'!I228*12*'Modelo Tarifário'!$D$29*'Modelo Tarifário'!$C$59*'Modelo Tarifário'!$E$42),(H8*'Modelo Tarifário'!$C$59*'Modelo Tarifário'!$E$42)*('Premissas Economias e Água'!I368),('Premissas Economias e Água'!I228*12*'Modelo Tarifário'!$D$29*'Modelo Tarifário'!$C$59*'Modelo Tarifário'!$E$42))</f>
        <v>21175.342294350114</v>
      </c>
      <c r="I89" s="1340">
        <f>IF(((I8*'Modelo Tarifário'!$C$59*'Modelo Tarifário'!$E$42)*('Premissas Economias e Água'!J368))&gt;('Premissas Economias e Água'!J228*12*'Modelo Tarifário'!$D$29*'Modelo Tarifário'!$C$59*'Modelo Tarifário'!$E$42),(I8*'Modelo Tarifário'!$C$59*'Modelo Tarifário'!$E$42)*('Premissas Economias e Água'!J368),('Premissas Economias e Água'!J228*12*'Modelo Tarifário'!$D$29*'Modelo Tarifário'!$C$59*'Modelo Tarifário'!$E$42))</f>
        <v>21118.38029967677</v>
      </c>
      <c r="J89" s="1340">
        <f>IF(((J8*'Modelo Tarifário'!$C$59*'Modelo Tarifário'!$E$42)*('Premissas Economias e Água'!K368))&gt;('Premissas Economias e Água'!K228*12*'Modelo Tarifário'!$D$29*'Modelo Tarifário'!$C$59*'Modelo Tarifário'!$E$42),(J8*'Modelo Tarifário'!$C$59*'Modelo Tarifário'!$E$42)*('Premissas Economias e Água'!K368),('Premissas Economias e Água'!K228*12*'Modelo Tarifário'!$D$29*'Modelo Tarifário'!$C$59*'Modelo Tarifário'!$E$42))</f>
        <v>21059.184501290751</v>
      </c>
      <c r="K89" s="1340">
        <f>IF(((K8*'Modelo Tarifário'!$C$59*'Modelo Tarifário'!$E$42)*('Premissas Economias e Água'!L368))&gt;('Premissas Economias e Água'!L228*12*'Modelo Tarifário'!$D$29*'Modelo Tarifário'!$C$59*'Modelo Tarifário'!$E$42),(K8*'Modelo Tarifário'!$C$59*'Modelo Tarifário'!$E$42)*('Premissas Economias e Água'!L368),('Premissas Economias e Água'!L228*12*'Modelo Tarifário'!$D$29*'Modelo Tarifário'!$C$59*'Modelo Tarifário'!$E$42))</f>
        <v>20959.780236076491</v>
      </c>
      <c r="L89" s="1340">
        <f>IF(((L8*'Modelo Tarifário'!$C$59*'Modelo Tarifário'!$E$42)*('Premissas Economias e Água'!M368))&gt;('Premissas Economias e Água'!M228*12*'Modelo Tarifário'!$D$29*'Modelo Tarifário'!$C$59*'Modelo Tarifário'!$E$42),(L8*'Modelo Tarifário'!$C$59*'Modelo Tarifário'!$E$42)*('Premissas Economias e Água'!M368),('Premissas Economias e Água'!M228*12*'Modelo Tarifário'!$D$29*'Modelo Tarifário'!$C$59*'Modelo Tarifário'!$E$42))</f>
        <v>20860.375970862235</v>
      </c>
      <c r="M89" s="1340">
        <f>IF(((M8*'Modelo Tarifário'!$C$59*'Modelo Tarifário'!$E$42)*('Premissas Economias e Água'!N368))&gt;('Premissas Economias e Água'!N228*12*'Modelo Tarifário'!$D$29*'Modelo Tarifário'!$C$59*'Modelo Tarifário'!$E$42),(M8*'Modelo Tarifário'!$C$59*'Modelo Tarifário'!$E$42)*('Premissas Economias e Água'!N368),('Premissas Economias e Água'!N228*12*'Modelo Tarifário'!$D$29*'Modelo Tarifário'!$C$59*'Modelo Tarifário'!$E$42))</f>
        <v>20760.971705647971</v>
      </c>
      <c r="N89" s="1340">
        <f>IF(((N8*'Modelo Tarifário'!$C$59*'Modelo Tarifário'!$E$42)*('Premissas Economias e Água'!O368))&gt;('Premissas Economias e Água'!O228*12*'Modelo Tarifário'!$D$29*'Modelo Tarifário'!$C$59*'Modelo Tarifário'!$E$42),(N8*'Modelo Tarifário'!$C$59*'Modelo Tarifário'!$E$42)*('Premissas Economias e Água'!O368),('Premissas Economias e Água'!O228*12*'Modelo Tarifário'!$D$29*'Modelo Tarifário'!$C$59*'Modelo Tarifário'!$E$42))</f>
        <v>20661.567440433711</v>
      </c>
      <c r="O89" s="1340">
        <f>IF(((O8*'Modelo Tarifário'!$C$59*'Modelo Tarifário'!$E$42)*('Premissas Economias e Água'!P368))&gt;('Premissas Economias e Água'!P228*12*'Modelo Tarifário'!$D$29*'Modelo Tarifário'!$C$59*'Modelo Tarifário'!$E$42),(O8*'Modelo Tarifário'!$C$59*'Modelo Tarifário'!$E$42)*('Premissas Economias e Água'!P368),('Premissas Economias e Água'!P228*12*'Modelo Tarifário'!$D$29*'Modelo Tarifário'!$C$59*'Modelo Tarifário'!$E$42))</f>
        <v>20561.04627336311</v>
      </c>
      <c r="P89" s="1340">
        <f>IF(((P8*'Modelo Tarifário'!$C$59*'Modelo Tarifário'!$E$42)*('Premissas Economias e Água'!Q368))&gt;('Premissas Economias e Água'!Q228*12*'Modelo Tarifário'!$D$29*'Modelo Tarifário'!$C$59*'Modelo Tarifário'!$E$42),(P8*'Modelo Tarifário'!$C$59*'Modelo Tarifário'!$E$42)*('Premissas Economias e Água'!Q368),('Premissas Economias e Água'!Q228*12*'Modelo Tarifário'!$D$29*'Modelo Tarifário'!$C$59*'Modelo Tarifário'!$E$42))</f>
        <v>20424.784246889631</v>
      </c>
      <c r="Q89" s="1340">
        <f>IF(((Q8*'Modelo Tarifário'!$C$59*'Modelo Tarifário'!$E$42)*('Premissas Economias e Água'!R368))&gt;('Premissas Economias e Água'!R228*12*'Modelo Tarifário'!$D$29*'Modelo Tarifário'!$C$59*'Modelo Tarifário'!$E$42),(Q8*'Modelo Tarifário'!$C$59*'Modelo Tarifário'!$E$42)*('Premissas Economias e Água'!R368),('Premissas Economias e Água'!R228*12*'Modelo Tarifário'!$D$29*'Modelo Tarifário'!$C$59*'Modelo Tarifário'!$E$42))</f>
        <v>20288.522220416151</v>
      </c>
      <c r="R89" s="1340">
        <f>IF(((R8*'Modelo Tarifário'!$C$59*'Modelo Tarifário'!$E$42)*('Premissas Economias e Água'!S368))&gt;('Premissas Economias e Água'!S228*12*'Modelo Tarifário'!$D$29*'Modelo Tarifário'!$C$59*'Modelo Tarifário'!$E$42),(R8*'Modelo Tarifário'!$C$59*'Modelo Tarifário'!$E$42)*('Premissas Economias e Água'!S368),('Premissas Economias e Água'!S228*12*'Modelo Tarifário'!$D$29*'Modelo Tarifário'!$C$59*'Modelo Tarifário'!$E$42))</f>
        <v>20152.260193942668</v>
      </c>
      <c r="S89" s="1340">
        <f>IF(((S8*'Modelo Tarifário'!$C$59*'Modelo Tarifário'!$E$42)*('Premissas Economias e Água'!T368))&gt;('Premissas Economias e Água'!T228*12*'Modelo Tarifário'!$D$29*'Modelo Tarifário'!$C$59*'Modelo Tarifário'!$E$42),(S8*'Modelo Tarifário'!$C$59*'Modelo Tarifário'!$E$42)*('Premissas Economias e Água'!T368),('Premissas Economias e Água'!T228*12*'Modelo Tarifário'!$D$29*'Modelo Tarifário'!$C$59*'Modelo Tarifário'!$E$42))</f>
        <v>20015.998167469192</v>
      </c>
      <c r="T89" s="1340">
        <f>IF(((T8*'Modelo Tarifário'!$C$59*'Modelo Tarifário'!$E$42)*('Premissas Economias e Água'!U368))&gt;('Premissas Economias e Água'!U228*12*'Modelo Tarifário'!$D$29*'Modelo Tarifário'!$C$59*'Modelo Tarifário'!$E$42),(T8*'Modelo Tarifário'!$C$59*'Modelo Tarifário'!$E$42)*('Premissas Economias e Água'!U368),('Premissas Economias e Água'!U228*12*'Modelo Tarifário'!$D$29*'Modelo Tarifário'!$C$59*'Modelo Tarifário'!$E$42))</f>
        <v>19877.502337283029</v>
      </c>
      <c r="U89" s="1340">
        <f>IF(((U8*'Modelo Tarifário'!$C$59*'Modelo Tarifário'!$E$42)*('Premissas Economias e Água'!V368))&gt;('Premissas Economias e Água'!V228*12*'Modelo Tarifário'!$D$29*'Modelo Tarifário'!$C$59*'Modelo Tarifário'!$E$42),(U8*'Modelo Tarifário'!$C$59*'Modelo Tarifário'!$E$42)*('Premissas Economias e Água'!V368),('Premissas Economias e Água'!V228*12*'Modelo Tarifário'!$D$29*'Modelo Tarifário'!$C$59*'Modelo Tarifário'!$E$42))</f>
        <v>19730.07129224615</v>
      </c>
      <c r="V89" s="1340">
        <f>IF(((V8*'Modelo Tarifário'!$C$59*'Modelo Tarifário'!$E$42)*('Premissas Economias e Água'!W368))&gt;('Premissas Economias e Água'!W228*12*'Modelo Tarifário'!$D$29*'Modelo Tarifário'!$C$59*'Modelo Tarifário'!$E$42),(V8*'Modelo Tarifário'!$C$59*'Modelo Tarifário'!$E$42)*('Premissas Economias e Água'!W368),('Premissas Economias e Água'!W228*12*'Modelo Tarifário'!$D$29*'Modelo Tarifário'!$C$59*'Modelo Tarifário'!$E$42))</f>
        <v>19582.640247209267</v>
      </c>
      <c r="W89" s="1340">
        <f>IF(((W8*'Modelo Tarifário'!$C$59*'Modelo Tarifário'!$E$42)*('Premissas Economias e Água'!X368))&gt;('Premissas Economias e Água'!X228*12*'Modelo Tarifário'!$D$29*'Modelo Tarifário'!$C$59*'Modelo Tarifário'!$E$42),(W8*'Modelo Tarifário'!$C$59*'Modelo Tarifário'!$E$42)*('Premissas Economias e Água'!X368),('Premissas Economias e Água'!X228*12*'Modelo Tarifário'!$D$29*'Modelo Tarifário'!$C$59*'Modelo Tarifário'!$E$42))</f>
        <v>19435.209202172387</v>
      </c>
      <c r="X89" s="1340">
        <f>IF(((X8*'Modelo Tarifário'!$C$59*'Modelo Tarifário'!$E$42)*('Premissas Economias e Água'!Y368))&gt;('Premissas Economias e Água'!Y228*12*'Modelo Tarifário'!$D$29*'Modelo Tarifário'!$C$59*'Modelo Tarifário'!$E$42),(X8*'Modelo Tarifário'!$C$59*'Modelo Tarifário'!$E$42)*('Premissas Economias e Água'!Y368),('Premissas Economias e Água'!Y228*12*'Modelo Tarifário'!$D$29*'Modelo Tarifário'!$C$59*'Modelo Tarifário'!$E$42))</f>
        <v>19287.778157135512</v>
      </c>
      <c r="Y89" s="1340">
        <f>IF(((Y8*'Modelo Tarifário'!$C$59*'Modelo Tarifário'!$E$42)*('Premissas Economias e Água'!Z368))&gt;('Premissas Economias e Água'!Z228*12*'Modelo Tarifário'!$D$29*'Modelo Tarifário'!$C$59*'Modelo Tarifário'!$E$42),(Y8*'Modelo Tarifário'!$C$59*'Modelo Tarifário'!$E$42)*('Premissas Economias e Água'!Z368),('Premissas Economias e Água'!Z228*12*'Modelo Tarifário'!$D$29*'Modelo Tarifário'!$C$59*'Modelo Tarifário'!$E$42))</f>
        <v>19142.580915811312</v>
      </c>
      <c r="Z89" s="1340">
        <f>IF(((Z8*'Modelo Tarifário'!$C$59*'Modelo Tarifário'!$E$42)*('Premissas Economias e Água'!AA368))&gt;('Premissas Economias e Água'!AA228*12*'Modelo Tarifário'!$D$29*'Modelo Tarifário'!$C$59*'Modelo Tarifário'!$E$42),(Z8*'Modelo Tarifário'!$C$59*'Modelo Tarifário'!$E$42)*('Premissas Economias e Água'!AA368),('Premissas Economias e Água'!AA228*12*'Modelo Tarifário'!$D$29*'Modelo Tarifário'!$C$59*'Modelo Tarifário'!$E$42))</f>
        <v>18995.149870774429</v>
      </c>
      <c r="AA89" s="1340">
        <f>IF(((AA8*'Modelo Tarifário'!$C$59*'Modelo Tarifário'!$E$42)*('Premissas Economias e Água'!AB368))&gt;('Premissas Economias e Água'!AB228*12*'Modelo Tarifário'!$D$29*'Modelo Tarifário'!$C$59*'Modelo Tarifário'!$E$42),(AA8*'Modelo Tarifário'!$C$59*'Modelo Tarifário'!$E$42)*('Premissas Economias e Água'!AB368),('Premissas Economias e Água'!AB228*12*'Modelo Tarifário'!$D$29*'Modelo Tarifário'!$C$59*'Modelo Tarifário'!$E$42))</f>
        <v>18847.718825737549</v>
      </c>
      <c r="AB89" s="1340">
        <f>IF(((AB8*'Modelo Tarifário'!$C$59*'Modelo Tarifário'!$E$42)*('Premissas Economias e Água'!AC368))&gt;('Premissas Economias e Água'!AC228*12*'Modelo Tarifário'!$D$29*'Modelo Tarifário'!$C$59*'Modelo Tarifário'!$E$42),(AB8*'Modelo Tarifário'!$C$59*'Modelo Tarifário'!$E$42)*('Premissas Economias e Água'!AC368),('Premissas Economias e Água'!AC228*12*'Modelo Tarifário'!$D$29*'Modelo Tarifário'!$C$59*'Modelo Tarifário'!$E$42))</f>
        <v>18700.287780700666</v>
      </c>
      <c r="AC89" s="1340">
        <f>IF(((AC8*'Modelo Tarifário'!$C$59*'Modelo Tarifário'!$E$42)*('Premissas Economias e Água'!AD368))&gt;('Premissas Economias e Água'!AD228*12*'Modelo Tarifário'!$D$29*'Modelo Tarifário'!$C$59*'Modelo Tarifário'!$E$42),(AC8*'Modelo Tarifário'!$C$59*'Modelo Tarifário'!$E$42)*('Premissas Economias e Água'!AD368),('Premissas Economias e Água'!AD228*12*'Modelo Tarifário'!$D$29*'Modelo Tarifário'!$C$59*'Modelo Tarifário'!$E$42))</f>
        <v>18552.856735663787</v>
      </c>
      <c r="AD89" s="1340">
        <f>IF(((AD8*'Modelo Tarifário'!$C$59*'Modelo Tarifário'!$E$42)*('Premissas Economias e Água'!AE368))&gt;('Premissas Economias e Água'!AE228*12*'Modelo Tarifário'!$D$29*'Modelo Tarifário'!$C$59*'Modelo Tarifário'!$E$42),(AD8*'Modelo Tarifário'!$C$59*'Modelo Tarifário'!$E$42)*('Premissas Economias e Água'!AE368),('Premissas Economias e Água'!AE228*12*'Modelo Tarifário'!$D$29*'Modelo Tarifário'!$C$59*'Modelo Tarifário'!$E$42))</f>
        <v>18405.425690626907</v>
      </c>
      <c r="AE89" s="1340">
        <f>IF(((AE8*'Modelo Tarifário'!$C$59*'Modelo Tarifário'!$E$42)*('Premissas Economias e Água'!AF368))&gt;('Premissas Economias e Água'!AF228*12*'Modelo Tarifário'!$D$29*'Modelo Tarifário'!$C$59*'Modelo Tarifário'!$E$42),(AE8*'Modelo Tarifário'!$C$59*'Modelo Tarifário'!$E$42)*('Premissas Economias e Água'!AF368),('Premissas Economias e Água'!AF228*12*'Modelo Tarifário'!$D$29*'Modelo Tarifário'!$C$59*'Modelo Tarifário'!$E$42))</f>
        <v>18257.994645590024</v>
      </c>
      <c r="AF89" s="1340">
        <f>IF(((AF8*'Modelo Tarifário'!$C$59*'Modelo Tarifário'!$E$42)*('Premissas Economias e Água'!AG368))&gt;('Premissas Economias e Água'!AG228*12*'Modelo Tarifário'!$D$29*'Modelo Tarifário'!$C$59*'Modelo Tarifário'!$E$42),(AF8*'Modelo Tarifário'!$C$59*'Modelo Tarifário'!$E$42)*('Premissas Economias e Água'!AG368),('Premissas Economias e Água'!AG228*12*'Modelo Tarifário'!$D$29*'Modelo Tarifário'!$C$59*'Modelo Tarifário'!$E$42))</f>
        <v>18110.563600553145</v>
      </c>
      <c r="AG89" s="1340">
        <f>IF(((AG8*'Modelo Tarifário'!$C$59*'Modelo Tarifário'!$E$42)*('Premissas Economias e Água'!AH368))&gt;('Premissas Economias e Água'!AH228*12*'Modelo Tarifário'!$D$29*'Modelo Tarifário'!$C$59*'Modelo Tarifário'!$E$42),(AG8*'Modelo Tarifário'!$C$59*'Modelo Tarifário'!$E$42)*('Premissas Economias e Água'!AH368),('Premissas Economias e Água'!AH228*12*'Modelo Tarifário'!$D$29*'Modelo Tarifário'!$C$59*'Modelo Tarifário'!$E$42))</f>
        <v>17963.132555516262</v>
      </c>
      <c r="AH89" s="1340">
        <f>IF(((AH8*'Modelo Tarifário'!$C$59*'Modelo Tarifário'!$E$42)*('Premissas Economias e Água'!AI368))&gt;('Premissas Economias e Água'!AI228*12*'Modelo Tarifário'!$D$29*'Modelo Tarifário'!$C$59*'Modelo Tarifário'!$E$42),(AH8*'Modelo Tarifário'!$C$59*'Modelo Tarifário'!$E$42)*('Premissas Economias e Água'!AI368),('Premissas Economias e Água'!AI228*12*'Modelo Tarifário'!$D$29*'Modelo Tarifário'!$C$59*'Modelo Tarifário'!$E$42))</f>
        <v>17815.701510479386</v>
      </c>
    </row>
    <row r="90" spans="2:34" s="79" customFormat="1" ht="12" hidden="1" outlineLevel="1" x14ac:dyDescent="0.3">
      <c r="B90" s="1339"/>
      <c r="C90" s="1335" t="s">
        <v>12</v>
      </c>
      <c r="D90" s="1335"/>
      <c r="E90" s="1340">
        <f>IF(((E8*'Modelo Tarifário'!$C$59*'Modelo Tarifário'!$E$43)*('Premissas Economias e Água'!F369))&gt;('Premissas Economias e Água'!F229*12*'Modelo Tarifário'!$D$29*'Modelo Tarifário'!$C$59*'Modelo Tarifário'!$E$43),(E8*'Modelo Tarifário'!$C$59*'Modelo Tarifário'!$E$43)*('Premissas Economias e Água'!F369),('Premissas Economias e Água'!F229*12*'Modelo Tarifário'!$D$29*'Modelo Tarifário'!$C$59*'Modelo Tarifário'!$E$43))</f>
        <v>177580.06471633437</v>
      </c>
      <c r="F90" s="1340">
        <f>IF(((F8*'Modelo Tarifário'!$C$59*'Modelo Tarifário'!$E$43)*('Premissas Economias e Água'!G369))&gt;('Premissas Economias e Água'!G229*12*'Modelo Tarifário'!$D$29*'Modelo Tarifário'!$C$59*'Modelo Tarifário'!$E$43),(F8*'Modelo Tarifário'!$C$59*'Modelo Tarifário'!$E$43)*('Premissas Economias e Água'!G369),('Premissas Economias e Água'!G229*12*'Modelo Tarifário'!$D$29*'Modelo Tarifário'!$C$59*'Modelo Tarifário'!$E$43))</f>
        <v>177106.1957700947</v>
      </c>
      <c r="G90" s="1340">
        <f>IF(((G8*'Modelo Tarifário'!$C$59*'Modelo Tarifário'!$E$43)*('Premissas Economias e Água'!H369))&gt;('Premissas Economias e Água'!H229*12*'Modelo Tarifário'!$D$29*'Modelo Tarifário'!$C$59*'Modelo Tarifário'!$E$43),(G8*'Modelo Tarifário'!$C$59*'Modelo Tarifário'!$E$43)*('Premissas Economias e Água'!H369),('Premissas Economias e Água'!H229*12*'Modelo Tarifário'!$D$29*'Modelo Tarifário'!$C$59*'Modelo Tarifário'!$E$43))</f>
        <v>176632.32682385502</v>
      </c>
      <c r="H90" s="1340">
        <f>IF(((H8*'Modelo Tarifário'!$C$59*'Modelo Tarifário'!$E$43)*('Premissas Economias e Água'!I369))&gt;('Premissas Economias e Água'!I229*12*'Modelo Tarifário'!$D$29*'Modelo Tarifário'!$C$59*'Modelo Tarifário'!$E$43),(H8*'Modelo Tarifário'!$C$59*'Modelo Tarifário'!$E$43)*('Premissas Economias e Água'!I369),('Premissas Economias e Água'!I229*12*'Modelo Tarifário'!$D$29*'Modelo Tarifário'!$C$59*'Modelo Tarifário'!$E$43))</f>
        <v>176158.45787761529</v>
      </c>
      <c r="I90" s="1340">
        <f>IF(((I8*'Modelo Tarifário'!$C$59*'Modelo Tarifário'!$E$43)*('Premissas Economias e Água'!J369))&gt;('Premissas Economias e Água'!J229*12*'Modelo Tarifário'!$D$29*'Modelo Tarifário'!$C$59*'Modelo Tarifário'!$E$43),(I8*'Modelo Tarifário'!$C$59*'Modelo Tarifário'!$E$43)*('Premissas Economias e Água'!J369),('Premissas Economias e Água'!J229*12*'Modelo Tarifário'!$D$29*'Modelo Tarifário'!$C$59*'Modelo Tarifário'!$E$43))</f>
        <v>175684.58893137559</v>
      </c>
      <c r="J90" s="1340">
        <f>IF(((J8*'Modelo Tarifário'!$C$59*'Modelo Tarifário'!$E$43)*('Premissas Economias e Água'!K369))&gt;('Premissas Economias e Água'!K229*12*'Modelo Tarifário'!$D$29*'Modelo Tarifário'!$C$59*'Modelo Tarifário'!$E$43),(J8*'Modelo Tarifário'!$C$59*'Modelo Tarifário'!$E$43)*('Premissas Economias e Água'!K369),('Premissas Economias e Água'!K229*12*'Modelo Tarifário'!$D$29*'Modelo Tarifário'!$C$59*'Modelo Tarifário'!$E$43))</f>
        <v>175192.13688920491</v>
      </c>
      <c r="K90" s="1340">
        <f>IF(((K8*'Modelo Tarifário'!$C$59*'Modelo Tarifário'!$E$43)*('Premissas Economias e Água'!L369))&gt;('Premissas Economias e Água'!L229*12*'Modelo Tarifário'!$D$29*'Modelo Tarifário'!$C$59*'Modelo Tarifário'!$E$43),(K8*'Modelo Tarifário'!$C$59*'Modelo Tarifário'!$E$43)*('Premissas Economias e Água'!L369),('Premissas Economias e Água'!L229*12*'Modelo Tarifário'!$D$29*'Modelo Tarifário'!$C$59*'Modelo Tarifário'!$E$43))</f>
        <v>174365.18912027683</v>
      </c>
      <c r="L90" s="1340">
        <f>IF(((L8*'Modelo Tarifário'!$C$59*'Modelo Tarifário'!$E$43)*('Premissas Economias e Água'!M369))&gt;('Premissas Economias e Água'!M229*12*'Modelo Tarifário'!$D$29*'Modelo Tarifário'!$C$59*'Modelo Tarifário'!$E$43),(L8*'Modelo Tarifário'!$C$59*'Modelo Tarifário'!$E$43)*('Premissas Economias e Água'!M369),('Premissas Economias e Água'!M229*12*'Modelo Tarifário'!$D$29*'Modelo Tarifário'!$C$59*'Modelo Tarifário'!$E$43))</f>
        <v>173538.24135134873</v>
      </c>
      <c r="M90" s="1340">
        <f>IF(((M8*'Modelo Tarifário'!$C$59*'Modelo Tarifário'!$E$43)*('Premissas Economias e Água'!N369))&gt;('Premissas Economias e Água'!N229*12*'Modelo Tarifário'!$D$29*'Modelo Tarifário'!$C$59*'Modelo Tarifário'!$E$43),(M8*'Modelo Tarifário'!$C$59*'Modelo Tarifário'!$E$43)*('Premissas Economias e Água'!N369),('Premissas Economias e Água'!N229*12*'Modelo Tarifário'!$D$29*'Modelo Tarifário'!$C$59*'Modelo Tarifário'!$E$43))</f>
        <v>172711.29358242062</v>
      </c>
      <c r="N90" s="1340">
        <f>IF(((N8*'Modelo Tarifário'!$C$59*'Modelo Tarifário'!$E$43)*('Premissas Economias e Água'!O369))&gt;('Premissas Economias e Água'!O229*12*'Modelo Tarifário'!$D$29*'Modelo Tarifário'!$C$59*'Modelo Tarifário'!$E$43),(N8*'Modelo Tarifário'!$C$59*'Modelo Tarifário'!$E$43)*('Premissas Economias e Água'!O369),('Premissas Economias e Água'!O229*12*'Modelo Tarifário'!$D$29*'Modelo Tarifário'!$C$59*'Modelo Tarifário'!$E$43))</f>
        <v>171884.34581349255</v>
      </c>
      <c r="O90" s="1340">
        <f>IF(((O8*'Modelo Tarifário'!$C$59*'Modelo Tarifário'!$E$43)*('Premissas Economias e Água'!P369))&gt;('Premissas Economias e Água'!P229*12*'Modelo Tarifário'!$D$29*'Modelo Tarifário'!$C$59*'Modelo Tarifário'!$E$43),(O8*'Modelo Tarifário'!$C$59*'Modelo Tarifário'!$E$43)*('Premissas Economias e Água'!P369),('Premissas Economias e Água'!P229*12*'Modelo Tarifário'!$D$29*'Modelo Tarifário'!$C$59*'Modelo Tarifário'!$E$43))</f>
        <v>171048.10649659898</v>
      </c>
      <c r="P90" s="1340">
        <f>IF(((P8*'Modelo Tarifário'!$C$59*'Modelo Tarifário'!$E$43)*('Premissas Economias e Água'!Q369))&gt;('Premissas Economias e Água'!Q229*12*'Modelo Tarifário'!$D$29*'Modelo Tarifário'!$C$59*'Modelo Tarifário'!$E$43),(P8*'Modelo Tarifário'!$C$59*'Modelo Tarifário'!$E$43)*('Premissas Economias e Água'!Q369),('Premissas Economias e Água'!Q229*12*'Modelo Tarifário'!$D$29*'Modelo Tarifário'!$C$59*'Modelo Tarifário'!$E$43))</f>
        <v>169914.5376448099</v>
      </c>
      <c r="Q90" s="1340">
        <f>IF(((Q8*'Modelo Tarifário'!$C$59*'Modelo Tarifário'!$E$43)*('Premissas Economias e Água'!R369))&gt;('Premissas Economias e Água'!R229*12*'Modelo Tarifário'!$D$29*'Modelo Tarifário'!$C$59*'Modelo Tarifário'!$E$43),(Q8*'Modelo Tarifário'!$C$59*'Modelo Tarifário'!$E$43)*('Premissas Economias e Água'!R369),('Premissas Economias e Água'!R229*12*'Modelo Tarifário'!$D$29*'Modelo Tarifário'!$C$59*'Modelo Tarifário'!$E$43))</f>
        <v>168780.96879302082</v>
      </c>
      <c r="R90" s="1340">
        <f>IF(((R8*'Modelo Tarifário'!$C$59*'Modelo Tarifário'!$E$43)*('Premissas Economias e Água'!S369))&gt;('Premissas Economias e Água'!S229*12*'Modelo Tarifário'!$D$29*'Modelo Tarifário'!$C$59*'Modelo Tarifário'!$E$43),(R8*'Modelo Tarifário'!$C$59*'Modelo Tarifário'!$E$43)*('Premissas Economias e Água'!S369),('Premissas Economias e Água'!S229*12*'Modelo Tarifário'!$D$29*'Modelo Tarifário'!$C$59*'Modelo Tarifário'!$E$43))</f>
        <v>167647.39994123174</v>
      </c>
      <c r="S90" s="1340">
        <f>IF(((S8*'Modelo Tarifário'!$C$59*'Modelo Tarifário'!$E$43)*('Premissas Economias e Água'!T369))&gt;('Premissas Economias e Água'!T229*12*'Modelo Tarifário'!$D$29*'Modelo Tarifário'!$C$59*'Modelo Tarifário'!$E$43),(S8*'Modelo Tarifário'!$C$59*'Modelo Tarifário'!$E$43)*('Premissas Economias e Água'!T369),('Premissas Economias e Água'!T229*12*'Modelo Tarifário'!$D$29*'Modelo Tarifário'!$C$59*'Modelo Tarifário'!$E$43))</f>
        <v>166513.83108944265</v>
      </c>
      <c r="T90" s="1340">
        <f>IF(((T8*'Modelo Tarifário'!$C$59*'Modelo Tarifário'!$E$43)*('Premissas Economias e Água'!U369))&gt;('Premissas Economias e Água'!U229*12*'Modelo Tarifário'!$D$29*'Modelo Tarifário'!$C$59*'Modelo Tarifário'!$E$43),(T8*'Modelo Tarifário'!$C$59*'Modelo Tarifário'!$E$43)*('Premissas Economias e Água'!U369),('Premissas Economias e Água'!U229*12*'Modelo Tarifário'!$D$29*'Modelo Tarifário'!$C$59*'Modelo Tarifário'!$E$43))</f>
        <v>165361.67914172262</v>
      </c>
      <c r="U90" s="1340">
        <f>IF(((U8*'Modelo Tarifário'!$C$59*'Modelo Tarifário'!$E$43)*('Premissas Economias e Água'!V369))&gt;('Premissas Economias e Água'!V229*12*'Modelo Tarifário'!$D$29*'Modelo Tarifário'!$C$59*'Modelo Tarifário'!$E$43),(U8*'Modelo Tarifário'!$C$59*'Modelo Tarifário'!$E$43)*('Premissas Economias e Água'!V369),('Premissas Economias e Água'!V229*12*'Modelo Tarifário'!$D$29*'Modelo Tarifário'!$C$59*'Modelo Tarifário'!$E$43))</f>
        <v>164135.19481027871</v>
      </c>
      <c r="V90" s="1340">
        <f>IF(((V8*'Modelo Tarifário'!$C$59*'Modelo Tarifário'!$E$43)*('Premissas Economias e Água'!W369))&gt;('Premissas Economias e Água'!W229*12*'Modelo Tarifário'!$D$29*'Modelo Tarifário'!$C$59*'Modelo Tarifário'!$E$43),(V8*'Modelo Tarifário'!$C$59*'Modelo Tarifário'!$E$43)*('Premissas Economias e Água'!W369),('Premissas Economias e Água'!W229*12*'Modelo Tarifário'!$D$29*'Modelo Tarifário'!$C$59*'Modelo Tarifário'!$E$43))</f>
        <v>162908.71047883478</v>
      </c>
      <c r="W90" s="1340">
        <f>IF(((W8*'Modelo Tarifário'!$C$59*'Modelo Tarifário'!$E$43)*('Premissas Economias e Água'!X369))&gt;('Premissas Economias e Água'!X229*12*'Modelo Tarifário'!$D$29*'Modelo Tarifário'!$C$59*'Modelo Tarifário'!$E$43),(W8*'Modelo Tarifário'!$C$59*'Modelo Tarifário'!$E$43)*('Premissas Economias e Água'!X369),('Premissas Economias e Água'!X229*12*'Modelo Tarifário'!$D$29*'Modelo Tarifário'!$C$59*'Modelo Tarifário'!$E$43))</f>
        <v>161682.22614739084</v>
      </c>
      <c r="X90" s="1340">
        <f>IF(((X8*'Modelo Tarifário'!$C$59*'Modelo Tarifário'!$E$43)*('Premissas Economias e Água'!Y369))&gt;('Premissas Economias e Água'!Y229*12*'Modelo Tarifário'!$D$29*'Modelo Tarifário'!$C$59*'Modelo Tarifário'!$E$43),(X8*'Modelo Tarifário'!$C$59*'Modelo Tarifário'!$E$43)*('Premissas Economias e Água'!Y369),('Premissas Economias e Água'!Y229*12*'Modelo Tarifário'!$D$29*'Modelo Tarifário'!$C$59*'Modelo Tarifário'!$E$43))</f>
        <v>160455.741815947</v>
      </c>
      <c r="Y90" s="1340">
        <f>IF(((Y8*'Modelo Tarifário'!$C$59*'Modelo Tarifário'!$E$43)*('Premissas Economias e Água'!Z369))&gt;('Premissas Economias e Água'!Z229*12*'Modelo Tarifário'!$D$29*'Modelo Tarifário'!$C$59*'Modelo Tarifário'!$E$43),(Y8*'Modelo Tarifário'!$C$59*'Modelo Tarifário'!$E$43)*('Premissas Economias e Água'!Z369),('Premissas Economias e Água'!Z229*12*'Modelo Tarifário'!$D$29*'Modelo Tarifário'!$C$59*'Modelo Tarifário'!$E$43))</f>
        <v>159247.84058043401</v>
      </c>
      <c r="Z90" s="1340">
        <f>IF(((Z8*'Modelo Tarifário'!$C$59*'Modelo Tarifário'!$E$43)*('Premissas Economias e Água'!AA369))&gt;('Premissas Economias e Água'!AA229*12*'Modelo Tarifário'!$D$29*'Modelo Tarifário'!$C$59*'Modelo Tarifário'!$E$43),(Z8*'Modelo Tarifário'!$C$59*'Modelo Tarifário'!$E$43)*('Premissas Economias e Água'!AA369),('Premissas Economias e Água'!AA229*12*'Modelo Tarifário'!$D$29*'Modelo Tarifário'!$C$59*'Modelo Tarifário'!$E$43))</f>
        <v>158021.35624899011</v>
      </c>
      <c r="AA90" s="1340">
        <f>IF(((AA8*'Modelo Tarifário'!$C$59*'Modelo Tarifário'!$E$43)*('Premissas Economias e Água'!AB369))&gt;('Premissas Economias e Água'!AB229*12*'Modelo Tarifário'!$D$29*'Modelo Tarifário'!$C$59*'Modelo Tarifário'!$E$43),(AA8*'Modelo Tarifário'!$C$59*'Modelo Tarifário'!$E$43)*('Premissas Economias e Água'!AB369),('Premissas Economias e Água'!AB229*12*'Modelo Tarifário'!$D$29*'Modelo Tarifário'!$C$59*'Modelo Tarifário'!$E$43))</f>
        <v>156794.8719175462</v>
      </c>
      <c r="AB90" s="1340">
        <f>IF(((AB8*'Modelo Tarifário'!$C$59*'Modelo Tarifário'!$E$43)*('Premissas Economias e Água'!AC369))&gt;('Premissas Economias e Água'!AC229*12*'Modelo Tarifário'!$D$29*'Modelo Tarifário'!$C$59*'Modelo Tarifário'!$E$43),(AB8*'Modelo Tarifário'!$C$59*'Modelo Tarifário'!$E$43)*('Premissas Economias e Água'!AC369),('Premissas Economias e Água'!AC229*12*'Modelo Tarifário'!$D$29*'Modelo Tarifário'!$C$59*'Modelo Tarifário'!$E$43))</f>
        <v>155568.38758610227</v>
      </c>
      <c r="AC90" s="1340">
        <f>IF(((AC8*'Modelo Tarifário'!$C$59*'Modelo Tarifário'!$E$43)*('Premissas Economias e Água'!AD369))&gt;('Premissas Economias e Água'!AD229*12*'Modelo Tarifário'!$D$29*'Modelo Tarifário'!$C$59*'Modelo Tarifário'!$E$43),(AC8*'Modelo Tarifário'!$C$59*'Modelo Tarifário'!$E$43)*('Premissas Economias e Água'!AD369),('Premissas Economias e Água'!AD229*12*'Modelo Tarifário'!$D$29*'Modelo Tarifário'!$C$59*'Modelo Tarifário'!$E$43))</f>
        <v>154341.90325465836</v>
      </c>
      <c r="AD90" s="1340">
        <f>IF(((AD8*'Modelo Tarifário'!$C$59*'Modelo Tarifário'!$E$43)*('Premissas Economias e Água'!AE369))&gt;('Premissas Economias e Água'!AE229*12*'Modelo Tarifário'!$D$29*'Modelo Tarifário'!$C$59*'Modelo Tarifário'!$E$43),(AD8*'Modelo Tarifário'!$C$59*'Modelo Tarifário'!$E$43)*('Premissas Economias e Água'!AE369),('Premissas Economias e Água'!AE229*12*'Modelo Tarifário'!$D$29*'Modelo Tarifário'!$C$59*'Modelo Tarifário'!$E$43))</f>
        <v>153115.41892321446</v>
      </c>
      <c r="AE90" s="1340">
        <f>IF(((AE8*'Modelo Tarifário'!$C$59*'Modelo Tarifário'!$E$43)*('Premissas Economias e Água'!AF369))&gt;('Premissas Economias e Água'!AF229*12*'Modelo Tarifário'!$D$29*'Modelo Tarifário'!$C$59*'Modelo Tarifário'!$E$43),(AE8*'Modelo Tarifário'!$C$59*'Modelo Tarifário'!$E$43)*('Premissas Economias e Água'!AF369),('Premissas Economias e Água'!AF229*12*'Modelo Tarifário'!$D$29*'Modelo Tarifário'!$C$59*'Modelo Tarifário'!$E$43))</f>
        <v>151888.93459177049</v>
      </c>
      <c r="AF90" s="1340">
        <f>IF(((AF8*'Modelo Tarifário'!$C$59*'Modelo Tarifário'!$E$43)*('Premissas Economias e Água'!AG369))&gt;('Premissas Economias e Água'!AG229*12*'Modelo Tarifário'!$D$29*'Modelo Tarifário'!$C$59*'Modelo Tarifário'!$E$43),(AF8*'Modelo Tarifário'!$C$59*'Modelo Tarifário'!$E$43)*('Premissas Economias e Água'!AG369),('Premissas Economias e Água'!AG229*12*'Modelo Tarifário'!$D$29*'Modelo Tarifário'!$C$59*'Modelo Tarifário'!$E$43))</f>
        <v>150662.45026032662</v>
      </c>
      <c r="AG90" s="1340">
        <f>IF(((AG8*'Modelo Tarifário'!$C$59*'Modelo Tarifário'!$E$43)*('Premissas Economias e Água'!AH369))&gt;('Premissas Economias e Água'!AH229*12*'Modelo Tarifário'!$D$29*'Modelo Tarifário'!$C$59*'Modelo Tarifário'!$E$43),(AG8*'Modelo Tarifário'!$C$59*'Modelo Tarifário'!$E$43)*('Premissas Economias e Água'!AH369),('Premissas Economias e Água'!AH229*12*'Modelo Tarifário'!$D$29*'Modelo Tarifário'!$C$59*'Modelo Tarifário'!$E$43))</f>
        <v>149435.96592888268</v>
      </c>
      <c r="AH90" s="1340">
        <f>IF(((AH8*'Modelo Tarifário'!$C$59*'Modelo Tarifário'!$E$43)*('Premissas Economias e Água'!AI369))&gt;('Premissas Economias e Água'!AI229*12*'Modelo Tarifário'!$D$29*'Modelo Tarifário'!$C$59*'Modelo Tarifário'!$E$43),(AH8*'Modelo Tarifário'!$C$59*'Modelo Tarifário'!$E$43)*('Premissas Economias e Água'!AI369),('Premissas Economias e Água'!AI229*12*'Modelo Tarifário'!$D$29*'Modelo Tarifário'!$C$59*'Modelo Tarifário'!$E$43))</f>
        <v>148209.48159743877</v>
      </c>
    </row>
    <row r="91" spans="2:34" s="79" customFormat="1" ht="12" hidden="1" outlineLevel="1" x14ac:dyDescent="0.3">
      <c r="B91" s="1339"/>
      <c r="C91" s="1335" t="s">
        <v>13</v>
      </c>
      <c r="D91" s="1335"/>
      <c r="E91" s="1340">
        <f>IF(((E8*'Modelo Tarifário'!$C$59*'Modelo Tarifário'!$E$44)*('Premissas Economias e Água'!F370))&gt;('Premissas Economias e Água'!F230*12*'Modelo Tarifário'!$D$29*'Modelo Tarifário'!$C$59*'Modelo Tarifário'!$E$44),(E8*'Modelo Tarifário'!$C$59*'Modelo Tarifário'!$E$44)*('Premissas Economias e Água'!F370),('Premissas Economias e Água'!F230*12*'Modelo Tarifário'!$D$29*'Modelo Tarifário'!$C$59*'Modelo Tarifário'!$E$44))</f>
        <v>9129.9313630008273</v>
      </c>
      <c r="F91" s="1340">
        <f>IF(((F8*'Modelo Tarifário'!$C$59*'Modelo Tarifário'!$E$44)*('Premissas Economias e Água'!G370))&gt;('Premissas Economias e Água'!G230*12*'Modelo Tarifário'!$D$29*'Modelo Tarifário'!$C$59*'Modelo Tarifário'!$E$44),(F8*'Modelo Tarifário'!$C$59*'Modelo Tarifário'!$E$44)*('Premissas Economias e Água'!G370),('Premissas Economias e Água'!G230*12*'Modelo Tarifário'!$D$29*'Modelo Tarifário'!$C$59*'Modelo Tarifário'!$E$44))</f>
        <v>9105.5683188655712</v>
      </c>
      <c r="G91" s="1340">
        <f>IF(((G8*'Modelo Tarifário'!$C$59*'Modelo Tarifário'!$E$44)*('Premissas Economias e Água'!H370))&gt;('Premissas Economias e Água'!H230*12*'Modelo Tarifário'!$D$29*'Modelo Tarifário'!$C$59*'Modelo Tarifário'!$E$44),(G8*'Modelo Tarifário'!$C$59*'Modelo Tarifário'!$E$44)*('Premissas Economias e Água'!H370),('Premissas Economias e Água'!H230*12*'Modelo Tarifário'!$D$29*'Modelo Tarifário'!$C$59*'Modelo Tarifário'!$E$44))</f>
        <v>9081.2052747303096</v>
      </c>
      <c r="H91" s="1340">
        <f>IF(((H8*'Modelo Tarifário'!$C$59*'Modelo Tarifário'!$E$44)*('Premissas Economias e Água'!I370))&gt;('Premissas Economias e Água'!I230*12*'Modelo Tarifário'!$D$29*'Modelo Tarifário'!$C$59*'Modelo Tarifário'!$E$44),(H8*'Modelo Tarifário'!$C$59*'Modelo Tarifário'!$E$44)*('Premissas Economias e Água'!I370),('Premissas Economias e Água'!I230*12*'Modelo Tarifário'!$D$29*'Modelo Tarifário'!$C$59*'Modelo Tarifário'!$E$44))</f>
        <v>9056.8422305950535</v>
      </c>
      <c r="I91" s="1340">
        <f>IF(((I8*'Modelo Tarifário'!$C$59*'Modelo Tarifário'!$E$44)*('Premissas Economias e Água'!J370))&gt;('Premissas Economias e Água'!J230*12*'Modelo Tarifário'!$D$29*'Modelo Tarifário'!$C$59*'Modelo Tarifário'!$E$44),(I8*'Modelo Tarifário'!$C$59*'Modelo Tarifário'!$E$44)*('Premissas Economias e Água'!J370),('Premissas Economias e Água'!J230*12*'Modelo Tarifário'!$D$29*'Modelo Tarifário'!$C$59*'Modelo Tarifário'!$E$44))</f>
        <v>9032.4791864597955</v>
      </c>
      <c r="J91" s="1340">
        <f>IF(((J8*'Modelo Tarifário'!$C$59*'Modelo Tarifário'!$E$44)*('Premissas Economias e Água'!K370))&gt;('Premissas Economias e Água'!K230*12*'Modelo Tarifário'!$D$29*'Modelo Tarifário'!$C$59*'Modelo Tarifário'!$E$44),(J8*'Modelo Tarifário'!$C$59*'Modelo Tarifário'!$E$44)*('Premissas Economias e Água'!K370),('Premissas Economias e Água'!K230*12*'Modelo Tarifário'!$D$29*'Modelo Tarifário'!$C$59*'Modelo Tarifário'!$E$44))</f>
        <v>9007.1607288290397</v>
      </c>
      <c r="K91" s="1340">
        <f>IF(((K8*'Modelo Tarifário'!$C$59*'Modelo Tarifário'!$E$44)*('Premissas Economias e Água'!L370))&gt;('Premissas Economias e Água'!L230*12*'Modelo Tarifário'!$D$29*'Modelo Tarifário'!$C$59*'Modelo Tarifário'!$E$44),(K8*'Modelo Tarifário'!$C$59*'Modelo Tarifário'!$E$44)*('Premissas Economias e Água'!L370),('Premissas Economias e Água'!L230*12*'Modelo Tarifário'!$D$29*'Modelo Tarifário'!$C$59*'Modelo Tarifário'!$E$44))</f>
        <v>8964.6448282792771</v>
      </c>
      <c r="L91" s="1340">
        <f>IF(((L8*'Modelo Tarifário'!$C$59*'Modelo Tarifário'!$E$44)*('Premissas Economias e Água'!M370))&gt;('Premissas Economias e Água'!M230*12*'Modelo Tarifário'!$D$29*'Modelo Tarifário'!$C$59*'Modelo Tarifário'!$E$44),(L8*'Modelo Tarifário'!$C$59*'Modelo Tarifário'!$E$44)*('Premissas Economias e Água'!M370),('Premissas Economias e Água'!M230*12*'Modelo Tarifário'!$D$29*'Modelo Tarifário'!$C$59*'Modelo Tarifário'!$E$44))</f>
        <v>8922.1289277295127</v>
      </c>
      <c r="M91" s="1340">
        <f>IF(((M8*'Modelo Tarifário'!$C$59*'Modelo Tarifário'!$E$44)*('Premissas Economias e Água'!N370))&gt;('Premissas Economias e Água'!N230*12*'Modelo Tarifário'!$D$29*'Modelo Tarifário'!$C$59*'Modelo Tarifário'!$E$44),(M8*'Modelo Tarifário'!$C$59*'Modelo Tarifário'!$E$44)*('Premissas Economias e Água'!N370),('Premissas Economias e Água'!N230*12*'Modelo Tarifário'!$D$29*'Modelo Tarifário'!$C$59*'Modelo Tarifário'!$E$44))</f>
        <v>8879.6130271797483</v>
      </c>
      <c r="N91" s="1340">
        <f>IF(((N8*'Modelo Tarifário'!$C$59*'Modelo Tarifário'!$E$44)*('Premissas Economias e Água'!O370))&gt;('Premissas Economias e Água'!O230*12*'Modelo Tarifário'!$D$29*'Modelo Tarifário'!$C$59*'Modelo Tarifário'!$E$44),(N8*'Modelo Tarifário'!$C$59*'Modelo Tarifário'!$E$44)*('Premissas Economias e Água'!O370),('Premissas Economias e Água'!O230*12*'Modelo Tarifário'!$D$29*'Modelo Tarifário'!$C$59*'Modelo Tarifário'!$E$44))</f>
        <v>8837.0971266299857</v>
      </c>
      <c r="O91" s="1340">
        <f>IF(((O8*'Modelo Tarifário'!$C$59*'Modelo Tarifário'!$E$44)*('Premissas Economias e Água'!P370))&gt;('Premissas Economias e Água'!P230*12*'Modelo Tarifário'!$D$29*'Modelo Tarifário'!$C$59*'Modelo Tarifário'!$E$44),(O8*'Modelo Tarifário'!$C$59*'Modelo Tarifário'!$E$44)*('Premissas Economias e Água'!P370),('Premissas Economias e Água'!P230*12*'Modelo Tarifário'!$D$29*'Modelo Tarifário'!$C$59*'Modelo Tarifário'!$E$44))</f>
        <v>8794.1035193324715</v>
      </c>
      <c r="P91" s="1340">
        <f>IF(((P8*'Modelo Tarifário'!$C$59*'Modelo Tarifário'!$E$44)*('Premissas Economias e Água'!Q370))&gt;('Premissas Economias e Água'!Q230*12*'Modelo Tarifário'!$D$29*'Modelo Tarifário'!$C$59*'Modelo Tarifário'!$E$44),(P8*'Modelo Tarifário'!$C$59*'Modelo Tarifário'!$E$44)*('Premissas Economias e Água'!Q370),('Premissas Economias e Água'!Q230*12*'Modelo Tarifário'!$D$29*'Modelo Tarifário'!$C$59*'Modelo Tarifário'!$E$44))</f>
        <v>8735.8232961069552</v>
      </c>
      <c r="Q91" s="1340">
        <f>IF(((Q8*'Modelo Tarifário'!$C$59*'Modelo Tarifário'!$E$44)*('Premissas Economias e Água'!R370))&gt;('Premissas Economias e Água'!R230*12*'Modelo Tarifário'!$D$29*'Modelo Tarifário'!$C$59*'Modelo Tarifário'!$E$44),(Q8*'Modelo Tarifário'!$C$59*'Modelo Tarifário'!$E$44)*('Premissas Economias e Água'!R370),('Premissas Economias e Água'!R230*12*'Modelo Tarifário'!$D$29*'Modelo Tarifário'!$C$59*'Modelo Tarifário'!$E$44))</f>
        <v>8677.5430728814354</v>
      </c>
      <c r="R91" s="1340">
        <f>IF(((R8*'Modelo Tarifário'!$C$59*'Modelo Tarifário'!$E$44)*('Premissas Economias e Água'!S370))&gt;('Premissas Economias e Água'!S230*12*'Modelo Tarifário'!$D$29*'Modelo Tarifário'!$C$59*'Modelo Tarifário'!$E$44),(R8*'Modelo Tarifário'!$C$59*'Modelo Tarifário'!$E$44)*('Premissas Economias e Água'!S370),('Premissas Economias e Água'!S230*12*'Modelo Tarifário'!$D$29*'Modelo Tarifário'!$C$59*'Modelo Tarifário'!$E$44))</f>
        <v>8619.2628496559173</v>
      </c>
      <c r="S91" s="1340">
        <f>IF(((S8*'Modelo Tarifário'!$C$59*'Modelo Tarifário'!$E$44)*('Premissas Economias e Água'!T370))&gt;('Premissas Economias e Água'!T230*12*'Modelo Tarifário'!$D$29*'Modelo Tarifário'!$C$59*'Modelo Tarifário'!$E$44),(S8*'Modelo Tarifário'!$C$59*'Modelo Tarifário'!$E$44)*('Premissas Economias e Água'!T370),('Premissas Economias e Água'!T230*12*'Modelo Tarifário'!$D$29*'Modelo Tarifário'!$C$59*'Modelo Tarifário'!$E$44))</f>
        <v>8560.9826264303993</v>
      </c>
      <c r="T91" s="1340">
        <f>IF(((T8*'Modelo Tarifário'!$C$59*'Modelo Tarifário'!$E$44)*('Premissas Economias e Água'!U370))&gt;('Premissas Economias e Água'!U230*12*'Modelo Tarifário'!$D$29*'Modelo Tarifário'!$C$59*'Modelo Tarifário'!$E$44),(T8*'Modelo Tarifário'!$C$59*'Modelo Tarifário'!$E$44)*('Premissas Economias e Água'!U370),('Premissas Economias e Água'!U230*12*'Modelo Tarifário'!$D$29*'Modelo Tarifário'!$C$59*'Modelo Tarifário'!$E$44))</f>
        <v>8501.7469897093815</v>
      </c>
      <c r="U91" s="1340">
        <f>IF(((U8*'Modelo Tarifário'!$C$59*'Modelo Tarifário'!$E$44)*('Premissas Economias e Água'!V370))&gt;('Premissas Economias e Água'!V230*12*'Modelo Tarifário'!$D$29*'Modelo Tarifário'!$C$59*'Modelo Tarifário'!$E$44),(U8*'Modelo Tarifário'!$C$59*'Modelo Tarifário'!$E$44)*('Premissas Economias e Água'!V370),('Premissas Economias e Água'!V230*12*'Modelo Tarifário'!$D$29*'Modelo Tarifário'!$C$59*'Modelo Tarifário'!$E$44))</f>
        <v>8438.6896990063615</v>
      </c>
      <c r="V91" s="1340">
        <f>IF(((V8*'Modelo Tarifário'!$C$59*'Modelo Tarifário'!$E$44)*('Premissas Economias e Água'!W370))&gt;('Premissas Economias e Água'!W230*12*'Modelo Tarifário'!$D$29*'Modelo Tarifário'!$C$59*'Modelo Tarifário'!$E$44),(V8*'Modelo Tarifário'!$C$59*'Modelo Tarifário'!$E$44)*('Premissas Economias e Água'!W370),('Premissas Economias e Água'!W230*12*'Modelo Tarifário'!$D$29*'Modelo Tarifário'!$C$59*'Modelo Tarifário'!$E$44))</f>
        <v>8375.6324083033433</v>
      </c>
      <c r="W91" s="1340">
        <f>IF(((W8*'Modelo Tarifário'!$C$59*'Modelo Tarifário'!$E$44)*('Premissas Economias e Água'!X370))&gt;('Premissas Economias e Água'!X230*12*'Modelo Tarifário'!$D$29*'Modelo Tarifário'!$C$59*'Modelo Tarifário'!$E$44),(W8*'Modelo Tarifário'!$C$59*'Modelo Tarifário'!$E$44)*('Premissas Economias e Água'!X370),('Premissas Economias e Água'!X230*12*'Modelo Tarifário'!$D$29*'Modelo Tarifário'!$C$59*'Modelo Tarifário'!$E$44))</f>
        <v>8312.5751176003232</v>
      </c>
      <c r="X91" s="1340">
        <f>IF(((X8*'Modelo Tarifário'!$C$59*'Modelo Tarifário'!$E$44)*('Premissas Economias e Água'!Y370))&gt;('Premissas Economias e Água'!Y230*12*'Modelo Tarifário'!$D$29*'Modelo Tarifário'!$C$59*'Modelo Tarifário'!$E$44),(X8*'Modelo Tarifário'!$C$59*'Modelo Tarifário'!$E$44)*('Premissas Economias e Água'!Y370),('Premissas Economias e Água'!Y230*12*'Modelo Tarifário'!$D$29*'Modelo Tarifário'!$C$59*'Modelo Tarifário'!$E$44))</f>
        <v>8249.517826897305</v>
      </c>
      <c r="Y91" s="1340">
        <f>IF(((Y8*'Modelo Tarifário'!$C$59*'Modelo Tarifário'!$E$44)*('Premissas Economias e Água'!Z370))&gt;('Premissas Economias e Água'!Z230*12*'Modelo Tarifário'!$D$29*'Modelo Tarifário'!$C$59*'Modelo Tarifário'!$E$44),(Y8*'Modelo Tarifário'!$C$59*'Modelo Tarifário'!$E$44)*('Premissas Economias e Água'!Z370),('Premissas Economias e Água'!Z230*12*'Modelo Tarifário'!$D$29*'Modelo Tarifário'!$C$59*'Modelo Tarifário'!$E$44))</f>
        <v>8187.4159496897855</v>
      </c>
      <c r="Z91" s="1340">
        <f>IF(((Z8*'Modelo Tarifário'!$C$59*'Modelo Tarifário'!$E$44)*('Premissas Economias e Água'!AA370))&gt;('Premissas Economias e Água'!AA230*12*'Modelo Tarifário'!$D$29*'Modelo Tarifário'!$C$59*'Modelo Tarifário'!$E$44),(Z8*'Modelo Tarifário'!$C$59*'Modelo Tarifário'!$E$44)*('Premissas Economias e Água'!AA370),('Premissas Economias e Água'!AA230*12*'Modelo Tarifário'!$D$29*'Modelo Tarifário'!$C$59*'Modelo Tarifário'!$E$44))</f>
        <v>8124.3586589867637</v>
      </c>
      <c r="AA91" s="1340">
        <f>IF(((AA8*'Modelo Tarifário'!$C$59*'Modelo Tarifário'!$E$44)*('Premissas Economias e Água'!AB370))&gt;('Premissas Economias e Água'!AB230*12*'Modelo Tarifário'!$D$29*'Modelo Tarifário'!$C$59*'Modelo Tarifário'!$E$44),(AA8*'Modelo Tarifário'!$C$59*'Modelo Tarifário'!$E$44)*('Premissas Economias e Água'!AB370),('Premissas Economias e Água'!AB230*12*'Modelo Tarifário'!$D$29*'Modelo Tarifário'!$C$59*'Modelo Tarifário'!$E$44))</f>
        <v>8061.3013682837463</v>
      </c>
      <c r="AB91" s="1340">
        <f>IF(((AB8*'Modelo Tarifário'!$C$59*'Modelo Tarifário'!$E$44)*('Premissas Economias e Água'!AC370))&gt;('Premissas Economias e Água'!AC230*12*'Modelo Tarifário'!$D$29*'Modelo Tarifário'!$C$59*'Modelo Tarifário'!$E$44),(AB8*'Modelo Tarifário'!$C$59*'Modelo Tarifário'!$E$44)*('Premissas Economias e Água'!AC370),('Premissas Economias e Água'!AC230*12*'Modelo Tarifário'!$D$29*'Modelo Tarifário'!$C$59*'Modelo Tarifário'!$E$44))</f>
        <v>7998.2440775807245</v>
      </c>
      <c r="AC91" s="1340">
        <f>IF(((AC8*'Modelo Tarifário'!$C$59*'Modelo Tarifário'!$E$44)*('Premissas Economias e Água'!AD370))&gt;('Premissas Economias e Água'!AD230*12*'Modelo Tarifário'!$D$29*'Modelo Tarifário'!$C$59*'Modelo Tarifário'!$E$44),(AC8*'Modelo Tarifário'!$C$59*'Modelo Tarifário'!$E$44)*('Premissas Economias e Água'!AD370),('Premissas Economias e Água'!AD230*12*'Modelo Tarifário'!$D$29*'Modelo Tarifário'!$C$59*'Modelo Tarifário'!$E$44))</f>
        <v>7935.1867868777081</v>
      </c>
      <c r="AD91" s="1340">
        <f>IF(((AD8*'Modelo Tarifário'!$C$59*'Modelo Tarifário'!$E$44)*('Premissas Economias e Água'!AE370))&gt;('Premissas Economias e Água'!AE230*12*'Modelo Tarifário'!$D$29*'Modelo Tarifário'!$C$59*'Modelo Tarifário'!$E$44),(AD8*'Modelo Tarifário'!$C$59*'Modelo Tarifário'!$E$44)*('Premissas Economias e Água'!AE370),('Premissas Economias e Água'!AE230*12*'Modelo Tarifário'!$D$29*'Modelo Tarifário'!$C$59*'Modelo Tarifário'!$E$44))</f>
        <v>7872.1294961746871</v>
      </c>
      <c r="AE91" s="1340">
        <f>IF(((AE8*'Modelo Tarifário'!$C$59*'Modelo Tarifário'!$E$44)*('Premissas Economias e Água'!AF370))&gt;('Premissas Economias e Água'!AF230*12*'Modelo Tarifário'!$D$29*'Modelo Tarifário'!$C$59*'Modelo Tarifário'!$E$44),(AE8*'Modelo Tarifário'!$C$59*'Modelo Tarifário'!$E$44)*('Premissas Economias e Água'!AF370),('Premissas Economias e Água'!AF230*12*'Modelo Tarifário'!$D$29*'Modelo Tarifário'!$C$59*'Modelo Tarifário'!$E$44))</f>
        <v>7809.0722054716653</v>
      </c>
      <c r="AF91" s="1340">
        <f>IF(((AF8*'Modelo Tarifário'!$C$59*'Modelo Tarifário'!$E$44)*('Premissas Economias e Água'!AG370))&gt;('Premissas Economias e Água'!AG230*12*'Modelo Tarifário'!$D$29*'Modelo Tarifário'!$C$59*'Modelo Tarifário'!$E$44),(AF8*'Modelo Tarifário'!$C$59*'Modelo Tarifário'!$E$44)*('Premissas Economias e Água'!AG370),('Premissas Economias e Água'!AG230*12*'Modelo Tarifário'!$D$29*'Modelo Tarifário'!$C$59*'Modelo Tarifário'!$E$44))</f>
        <v>7746.0149147686479</v>
      </c>
      <c r="AG91" s="1340">
        <f>IF(((AG8*'Modelo Tarifário'!$C$59*'Modelo Tarifário'!$E$44)*('Premissas Economias e Água'!AH370))&gt;('Premissas Economias e Água'!AH230*12*'Modelo Tarifário'!$D$29*'Modelo Tarifário'!$C$59*'Modelo Tarifário'!$E$44),(AG8*'Modelo Tarifário'!$C$59*'Modelo Tarifário'!$E$44)*('Premissas Economias e Água'!AH370),('Premissas Economias e Água'!AH230*12*'Modelo Tarifário'!$D$29*'Modelo Tarifário'!$C$59*'Modelo Tarifário'!$E$44))</f>
        <v>7682.9576240656279</v>
      </c>
      <c r="AH91" s="1340">
        <f>IF(((AH8*'Modelo Tarifário'!$C$59*'Modelo Tarifário'!$E$44)*('Premissas Economias e Água'!AI370))&gt;('Premissas Economias e Água'!AI230*12*'Modelo Tarifário'!$D$29*'Modelo Tarifário'!$C$59*'Modelo Tarifário'!$E$44),(AH8*'Modelo Tarifário'!$C$59*'Modelo Tarifário'!$E$44)*('Premissas Economias e Água'!AI370),('Premissas Economias e Água'!AI230*12*'Modelo Tarifário'!$D$29*'Modelo Tarifário'!$C$59*'Modelo Tarifário'!$E$44))</f>
        <v>7619.9003333626088</v>
      </c>
    </row>
    <row r="92" spans="2:34" s="79" customFormat="1" ht="12" hidden="1" outlineLevel="1" x14ac:dyDescent="0.3">
      <c r="B92" s="1341"/>
      <c r="C92" s="1342" t="s">
        <v>14</v>
      </c>
      <c r="D92" s="1343"/>
      <c r="E92" s="1344">
        <f>IF(((E8*'Modelo Tarifário'!$C$59*'Modelo Tarifário'!$E$45)*('Premissas Economias e Água'!F371))&gt;('Premissas Economias e Água'!F231*12*'Modelo Tarifário'!$D$29*'Modelo Tarifário'!$C$59*'Modelo Tarifário'!$E$45),(E8*'Modelo Tarifário'!$C$59*'Modelo Tarifário'!$E$45)*('Premissas Economias e Água'!F371),('Premissas Economias e Água'!F231*12*'Modelo Tarifário'!$D$29*'Modelo Tarifário'!$C$59*'Modelo Tarifário'!$E$45))</f>
        <v>78461.107033392909</v>
      </c>
      <c r="F92" s="1344">
        <f>IF(((F8*'Modelo Tarifário'!$C$59*'Modelo Tarifário'!$E$45)*('Premissas Economias e Água'!G371))&gt;('Premissas Economias e Água'!G231*12*'Modelo Tarifário'!$D$29*'Modelo Tarifário'!$C$59*'Modelo Tarifário'!$E$45),(F8*'Modelo Tarifário'!$C$59*'Modelo Tarifário'!$E$45)*('Premissas Economias e Água'!G371),('Premissas Economias e Água'!G231*12*'Modelo Tarifário'!$D$29*'Modelo Tarifário'!$C$59*'Modelo Tarifário'!$E$45))</f>
        <v>78251.735096457851</v>
      </c>
      <c r="G92" s="1344">
        <f>IF(((G8*'Modelo Tarifário'!$C$59*'Modelo Tarifário'!$E$45)*('Premissas Economias e Água'!H371))&gt;('Premissas Economias e Água'!H231*12*'Modelo Tarifário'!$D$29*'Modelo Tarifário'!$C$59*'Modelo Tarifário'!$E$45),(G8*'Modelo Tarifário'!$C$59*'Modelo Tarifário'!$E$45)*('Premissas Economias e Água'!H371),('Premissas Economias e Água'!H231*12*'Modelo Tarifário'!$D$29*'Modelo Tarifário'!$C$59*'Modelo Tarifário'!$E$45))</f>
        <v>78042.363159522763</v>
      </c>
      <c r="H92" s="1344">
        <f>IF(((H8*'Modelo Tarifário'!$C$59*'Modelo Tarifário'!$E$45)*('Premissas Economias e Água'!I371))&gt;('Premissas Economias e Água'!I231*12*'Modelo Tarifário'!$D$29*'Modelo Tarifário'!$C$59*'Modelo Tarifário'!$E$45),(H8*'Modelo Tarifário'!$C$59*'Modelo Tarifário'!$E$45)*('Premissas Economias e Água'!I371),('Premissas Economias e Água'!I231*12*'Modelo Tarifário'!$D$29*'Modelo Tarifário'!$C$59*'Modelo Tarifário'!$E$45))</f>
        <v>77832.991222587705</v>
      </c>
      <c r="I92" s="1344">
        <f>IF(((I8*'Modelo Tarifário'!$C$59*'Modelo Tarifário'!$E$45)*('Premissas Economias e Água'!J371))&gt;('Premissas Economias e Água'!J231*12*'Modelo Tarifário'!$D$29*'Modelo Tarifário'!$C$59*'Modelo Tarifário'!$E$45),(I8*'Modelo Tarifário'!$C$59*'Modelo Tarifário'!$E$45)*('Premissas Economias e Água'!J371),('Premissas Economias e Água'!J231*12*'Modelo Tarifário'!$D$29*'Modelo Tarifário'!$C$59*'Modelo Tarifário'!$E$45))</f>
        <v>77623.619285652632</v>
      </c>
      <c r="J92" s="1344">
        <f>IF(((J8*'Modelo Tarifário'!$C$59*'Modelo Tarifário'!$E$45)*('Premissas Economias e Água'!K371))&gt;('Premissas Economias e Água'!K231*12*'Modelo Tarifário'!$D$29*'Modelo Tarifário'!$C$59*'Modelo Tarifário'!$E$45),(J8*'Modelo Tarifário'!$C$59*'Modelo Tarifário'!$E$45)*('Premissas Economias e Água'!K371),('Premissas Economias e Água'!K231*12*'Modelo Tarifário'!$D$29*'Modelo Tarifário'!$C$59*'Modelo Tarifário'!$E$45))</f>
        <v>77406.036684524021</v>
      </c>
      <c r="K92" s="1344">
        <f>IF(((K8*'Modelo Tarifário'!$C$59*'Modelo Tarifário'!$E$45)*('Premissas Economias e Água'!L371))&gt;('Premissas Economias e Água'!L231*12*'Modelo Tarifário'!$D$29*'Modelo Tarifário'!$C$59*'Modelo Tarifário'!$E$45),(K8*'Modelo Tarifário'!$C$59*'Modelo Tarifário'!$E$45)*('Premissas Economias e Água'!L371),('Premissas Economias e Água'!L231*12*'Modelo Tarifário'!$D$29*'Modelo Tarifário'!$C$59*'Modelo Tarifário'!$E$45))</f>
        <v>77040.662127911855</v>
      </c>
      <c r="L92" s="1344">
        <f>IF(((L8*'Modelo Tarifário'!$C$59*'Modelo Tarifário'!$E$45)*('Premissas Economias e Água'!M371))&gt;('Premissas Economias e Água'!M231*12*'Modelo Tarifário'!$D$29*'Modelo Tarifário'!$C$59*'Modelo Tarifário'!$E$45),(L8*'Modelo Tarifário'!$C$59*'Modelo Tarifário'!$E$45)*('Premissas Economias e Água'!M371),('Premissas Economias e Água'!M231*12*'Modelo Tarifário'!$D$29*'Modelo Tarifário'!$C$59*'Modelo Tarifário'!$E$45))</f>
        <v>76675.287571299676</v>
      </c>
      <c r="M92" s="1344">
        <f>IF(((M8*'Modelo Tarifário'!$C$59*'Modelo Tarifário'!$E$45)*('Premissas Economias e Água'!N371))&gt;('Premissas Economias e Água'!N231*12*'Modelo Tarifário'!$D$29*'Modelo Tarifário'!$C$59*'Modelo Tarifário'!$E$45),(M8*'Modelo Tarifário'!$C$59*'Modelo Tarifário'!$E$45)*('Premissas Economias e Água'!N371),('Premissas Economias e Água'!N231*12*'Modelo Tarifário'!$D$29*'Modelo Tarifário'!$C$59*'Modelo Tarifário'!$E$45))</f>
        <v>76309.913014687496</v>
      </c>
      <c r="N92" s="1344">
        <f>IF(((N8*'Modelo Tarifário'!$C$59*'Modelo Tarifário'!$E$45)*('Premissas Economias e Água'!O371))&gt;('Premissas Economias e Água'!O231*12*'Modelo Tarifário'!$D$29*'Modelo Tarifário'!$C$59*'Modelo Tarifário'!$E$45),(N8*'Modelo Tarifário'!$C$59*'Modelo Tarifário'!$E$45)*('Premissas Economias e Água'!O371),('Premissas Economias e Água'!O231*12*'Modelo Tarifário'!$D$29*'Modelo Tarifário'!$C$59*'Modelo Tarifário'!$E$45))</f>
        <v>75944.538458075316</v>
      </c>
      <c r="O92" s="1344">
        <f>IF(((O8*'Modelo Tarifário'!$C$59*'Modelo Tarifário'!$E$45)*('Premissas Economias e Água'!P371))&gt;('Premissas Economias e Água'!P231*12*'Modelo Tarifário'!$D$29*'Modelo Tarifário'!$C$59*'Modelo Tarifário'!$E$45),(O8*'Modelo Tarifário'!$C$59*'Modelo Tarifário'!$E$45)*('Premissas Economias e Água'!P371),('Premissas Economias e Água'!P231*12*'Modelo Tarifário'!$D$29*'Modelo Tarifário'!$C$59*'Modelo Tarifário'!$E$45))</f>
        <v>75575.058569366374</v>
      </c>
      <c r="P92" s="1344">
        <f>IF(((P8*'Modelo Tarifário'!$C$59*'Modelo Tarifário'!$E$45)*('Premissas Economias e Água'!Q371))&gt;('Premissas Economias e Água'!Q231*12*'Modelo Tarifário'!$D$29*'Modelo Tarifário'!$C$59*'Modelo Tarifário'!$E$45),(P8*'Modelo Tarifário'!$C$59*'Modelo Tarifário'!$E$45)*('Premissas Economias e Água'!Q371),('Premissas Economias e Água'!Q231*12*'Modelo Tarifário'!$D$29*'Modelo Tarifário'!$C$59*'Modelo Tarifário'!$E$45))</f>
        <v>75074.208053560913</v>
      </c>
      <c r="Q92" s="1344">
        <f>IF(((Q8*'Modelo Tarifário'!$C$59*'Modelo Tarifário'!$E$45)*('Premissas Economias e Água'!R371))&gt;('Premissas Economias e Água'!R231*12*'Modelo Tarifário'!$D$29*'Modelo Tarifário'!$C$59*'Modelo Tarifário'!$E$45),(Q8*'Modelo Tarifário'!$C$59*'Modelo Tarifário'!$E$45)*('Premissas Economias e Água'!R371),('Premissas Economias e Água'!R231*12*'Modelo Tarifário'!$D$29*'Modelo Tarifário'!$C$59*'Modelo Tarifário'!$E$45))</f>
        <v>74573.357537755452</v>
      </c>
      <c r="R92" s="1344">
        <f>IF(((R8*'Modelo Tarifário'!$C$59*'Modelo Tarifário'!$E$45)*('Premissas Economias e Água'!S371))&gt;('Premissas Economias e Água'!S231*12*'Modelo Tarifário'!$D$29*'Modelo Tarifário'!$C$59*'Modelo Tarifário'!$E$45),(R8*'Modelo Tarifário'!$C$59*'Modelo Tarifário'!$E$45)*('Premissas Economias e Água'!S371),('Premissas Economias e Água'!S231*12*'Modelo Tarifário'!$D$29*'Modelo Tarifário'!$C$59*'Modelo Tarifário'!$E$45))</f>
        <v>74072.507021949976</v>
      </c>
      <c r="S92" s="1344">
        <f>IF(((S8*'Modelo Tarifário'!$C$59*'Modelo Tarifário'!$E$45)*('Premissas Economias e Água'!T371))&gt;('Premissas Economias e Água'!T231*12*'Modelo Tarifário'!$D$29*'Modelo Tarifário'!$C$59*'Modelo Tarifário'!$E$45),(S8*'Modelo Tarifário'!$C$59*'Modelo Tarifário'!$E$45)*('Premissas Economias e Água'!T371),('Premissas Economias e Água'!T231*12*'Modelo Tarifário'!$D$29*'Modelo Tarifário'!$C$59*'Modelo Tarifário'!$E$45))</f>
        <v>73571.656506144529</v>
      </c>
      <c r="T92" s="1344">
        <f>IF(((T8*'Modelo Tarifário'!$C$59*'Modelo Tarifário'!$E$45)*('Premissas Economias e Água'!U371))&gt;('Premissas Economias e Água'!U231*12*'Modelo Tarifário'!$D$29*'Modelo Tarifário'!$C$59*'Modelo Tarifário'!$E$45),(T8*'Modelo Tarifário'!$C$59*'Modelo Tarifário'!$E$45)*('Premissas Economias e Água'!U371),('Premissas Economias e Água'!U231*12*'Modelo Tarifário'!$D$29*'Modelo Tarifário'!$C$59*'Modelo Tarifário'!$E$45))</f>
        <v>73062.595326145543</v>
      </c>
      <c r="U92" s="1344">
        <f>IF(((U8*'Modelo Tarifário'!$C$59*'Modelo Tarifário'!$E$45)*('Premissas Economias e Água'!V371))&gt;('Premissas Economias e Água'!V231*12*'Modelo Tarifário'!$D$29*'Modelo Tarifário'!$C$59*'Modelo Tarifário'!$E$45),(U8*'Modelo Tarifário'!$C$59*'Modelo Tarifário'!$E$45)*('Premissas Economias e Água'!V371),('Premissas Economias e Água'!V231*12*'Modelo Tarifário'!$D$29*'Modelo Tarifário'!$C$59*'Modelo Tarifário'!$E$45))</f>
        <v>72520.691489372417</v>
      </c>
      <c r="V92" s="1344">
        <f>IF(((V8*'Modelo Tarifário'!$C$59*'Modelo Tarifário'!$E$45)*('Premissas Economias e Água'!W371))&gt;('Premissas Economias e Água'!W231*12*'Modelo Tarifário'!$D$29*'Modelo Tarifário'!$C$59*'Modelo Tarifário'!$E$45),(V8*'Modelo Tarifário'!$C$59*'Modelo Tarifário'!$E$45)*('Premissas Economias e Água'!W371),('Premissas Economias e Água'!W231*12*'Modelo Tarifário'!$D$29*'Modelo Tarifário'!$C$59*'Modelo Tarifário'!$E$45))</f>
        <v>71978.787652599305</v>
      </c>
      <c r="W92" s="1344">
        <f>IF(((W8*'Modelo Tarifário'!$C$59*'Modelo Tarifário'!$E$45)*('Premissas Economias e Água'!X371))&gt;('Premissas Economias e Água'!X231*12*'Modelo Tarifário'!$D$29*'Modelo Tarifário'!$C$59*'Modelo Tarifário'!$E$45),(W8*'Modelo Tarifário'!$C$59*'Modelo Tarifário'!$E$45)*('Premissas Economias e Água'!X371),('Premissas Economias e Água'!X231*12*'Modelo Tarifário'!$D$29*'Modelo Tarifário'!$C$59*'Modelo Tarifário'!$E$45))</f>
        <v>71436.883815826179</v>
      </c>
      <c r="X92" s="1344">
        <f>IF(((X8*'Modelo Tarifário'!$C$59*'Modelo Tarifário'!$E$45)*('Premissas Economias e Água'!Y371))&gt;('Premissas Economias e Água'!Y231*12*'Modelo Tarifário'!$D$29*'Modelo Tarifário'!$C$59*'Modelo Tarifário'!$E$45),(X8*'Modelo Tarifário'!$C$59*'Modelo Tarifário'!$E$45)*('Premissas Economias e Água'!Y371),('Premissas Economias e Água'!Y231*12*'Modelo Tarifário'!$D$29*'Modelo Tarifário'!$C$59*'Modelo Tarifário'!$E$45))</f>
        <v>70894.979979053067</v>
      </c>
      <c r="Y92" s="1344">
        <f>IF(((Y8*'Modelo Tarifário'!$C$59*'Modelo Tarifário'!$E$45)*('Premissas Economias e Água'!Z371))&gt;('Premissas Economias e Água'!Z231*12*'Modelo Tarifário'!$D$29*'Modelo Tarifário'!$C$59*'Modelo Tarifário'!$E$45),(Y8*'Modelo Tarifário'!$C$59*'Modelo Tarifário'!$E$45)*('Premissas Economias e Água'!Z371),('Premissas Economias e Água'!Z231*12*'Modelo Tarifário'!$D$29*'Modelo Tarifário'!$C$59*'Modelo Tarifário'!$E$45))</f>
        <v>70361.286806473479</v>
      </c>
      <c r="Z92" s="1344">
        <f>IF(((Z8*'Modelo Tarifário'!$C$59*'Modelo Tarifário'!$E$45)*('Premissas Economias e Água'!AA371))&gt;('Premissas Economias e Água'!AA231*12*'Modelo Tarifário'!$D$29*'Modelo Tarifário'!$C$59*'Modelo Tarifário'!$E$45),(Z8*'Modelo Tarifário'!$C$59*'Modelo Tarifário'!$E$45)*('Premissas Economias e Água'!AA371),('Premissas Economias e Água'!AA231*12*'Modelo Tarifário'!$D$29*'Modelo Tarifário'!$C$59*'Modelo Tarifário'!$E$45))</f>
        <v>69819.382969700353</v>
      </c>
      <c r="AA92" s="1344">
        <f>IF(((AA8*'Modelo Tarifário'!$C$59*'Modelo Tarifário'!$E$45)*('Premissas Economias e Água'!AB371))&gt;('Premissas Economias e Água'!AB231*12*'Modelo Tarifário'!$D$29*'Modelo Tarifário'!$C$59*'Modelo Tarifário'!$E$45),(AA8*'Modelo Tarifário'!$C$59*'Modelo Tarifário'!$E$45)*('Premissas Economias e Água'!AB371),('Premissas Economias e Água'!AB231*12*'Modelo Tarifário'!$D$29*'Modelo Tarifário'!$C$59*'Modelo Tarifário'!$E$45))</f>
        <v>69277.479132927241</v>
      </c>
      <c r="AB92" s="1344">
        <f>IF(((AB8*'Modelo Tarifário'!$C$59*'Modelo Tarifário'!$E$45)*('Premissas Economias e Água'!AC371))&gt;('Premissas Economias e Água'!AC231*12*'Modelo Tarifário'!$D$29*'Modelo Tarifário'!$C$59*'Modelo Tarifário'!$E$45),(AB8*'Modelo Tarifário'!$C$59*'Modelo Tarifário'!$E$45)*('Premissas Economias e Água'!AC371),('Premissas Economias e Água'!AC231*12*'Modelo Tarifário'!$D$29*'Modelo Tarifário'!$C$59*'Modelo Tarifário'!$E$45))</f>
        <v>68735.575296154115</v>
      </c>
      <c r="AC92" s="1344">
        <f>IF(((AC8*'Modelo Tarifário'!$C$59*'Modelo Tarifário'!$E$45)*('Premissas Economias e Água'!AD371))&gt;('Premissas Economias e Água'!AD231*12*'Modelo Tarifário'!$D$29*'Modelo Tarifário'!$C$59*'Modelo Tarifário'!$E$45),(AC8*'Modelo Tarifário'!$C$59*'Modelo Tarifário'!$E$45)*('Premissas Economias e Água'!AD371),('Premissas Economias e Água'!AD231*12*'Modelo Tarifário'!$D$29*'Modelo Tarifário'!$C$59*'Modelo Tarifário'!$E$45))</f>
        <v>68193.671459380988</v>
      </c>
      <c r="AD92" s="1344">
        <f>IF(((AD8*'Modelo Tarifário'!$C$59*'Modelo Tarifário'!$E$45)*('Premissas Economias e Água'!AE371))&gt;('Premissas Economias e Água'!AE231*12*'Modelo Tarifário'!$D$29*'Modelo Tarifário'!$C$59*'Modelo Tarifário'!$E$45),(AD8*'Modelo Tarifário'!$C$59*'Modelo Tarifário'!$E$45)*('Premissas Economias e Água'!AE371),('Premissas Economias e Água'!AE231*12*'Modelo Tarifário'!$D$29*'Modelo Tarifário'!$C$59*'Modelo Tarifário'!$E$45))</f>
        <v>67651.767622607877</v>
      </c>
      <c r="AE92" s="1344">
        <f>IF(((AE8*'Modelo Tarifário'!$C$59*'Modelo Tarifário'!$E$45)*('Premissas Economias e Água'!AF371))&gt;('Premissas Economias e Água'!AF231*12*'Modelo Tarifário'!$D$29*'Modelo Tarifário'!$C$59*'Modelo Tarifário'!$E$45),(AE8*'Modelo Tarifário'!$C$59*'Modelo Tarifário'!$E$45)*('Premissas Economias e Água'!AF371),('Premissas Economias e Água'!AF231*12*'Modelo Tarifário'!$D$29*'Modelo Tarifário'!$C$59*'Modelo Tarifário'!$E$45))</f>
        <v>67109.86378583475</v>
      </c>
      <c r="AF92" s="1344">
        <f>IF(((AF8*'Modelo Tarifário'!$C$59*'Modelo Tarifário'!$E$45)*('Premissas Economias e Água'!AG371))&gt;('Premissas Economias e Água'!AG231*12*'Modelo Tarifário'!$D$29*'Modelo Tarifário'!$C$59*'Modelo Tarifário'!$E$45),(AF8*'Modelo Tarifário'!$C$59*'Modelo Tarifário'!$E$45)*('Premissas Economias e Água'!AG371),('Premissas Economias e Água'!AG231*12*'Modelo Tarifário'!$D$29*'Modelo Tarifário'!$C$59*'Modelo Tarifário'!$E$45))</f>
        <v>66567.959949061638</v>
      </c>
      <c r="AG92" s="1344">
        <f>IF(((AG8*'Modelo Tarifário'!$C$59*'Modelo Tarifário'!$E$45)*('Premissas Economias e Água'!AH371))&gt;('Premissas Economias e Água'!AH231*12*'Modelo Tarifário'!$D$29*'Modelo Tarifário'!$C$59*'Modelo Tarifário'!$E$45),(AG8*'Modelo Tarifário'!$C$59*'Modelo Tarifário'!$E$45)*('Premissas Economias e Água'!AH371),('Premissas Economias e Água'!AH231*12*'Modelo Tarifário'!$D$29*'Modelo Tarifário'!$C$59*'Modelo Tarifário'!$E$45))</f>
        <v>66026.056112288512</v>
      </c>
      <c r="AH92" s="1344">
        <f>IF(((AH8*'Modelo Tarifário'!$C$59*'Modelo Tarifário'!$E$45)*('Premissas Economias e Água'!AI371))&gt;('Premissas Economias e Água'!AI231*12*'Modelo Tarifário'!$D$29*'Modelo Tarifário'!$C$59*'Modelo Tarifário'!$E$45),(AH8*'Modelo Tarifário'!$C$59*'Modelo Tarifário'!$E$45)*('Premissas Economias e Água'!AI371),('Premissas Economias e Água'!AI231*12*'Modelo Tarifário'!$D$29*'Modelo Tarifário'!$C$59*'Modelo Tarifário'!$E$45))</f>
        <v>65484.1522755154</v>
      </c>
    </row>
    <row r="93" spans="2:34" s="79" customFormat="1" ht="12" collapsed="1" x14ac:dyDescent="0.3">
      <c r="B93" s="225"/>
      <c r="C93" s="173" t="s">
        <v>8</v>
      </c>
      <c r="D93" s="173"/>
      <c r="E93" s="497">
        <f t="shared" ref="E93:AH93" si="35">SUM(E94:E104)</f>
        <v>2025606.8302264472</v>
      </c>
      <c r="F93" s="497">
        <f t="shared" si="35"/>
        <v>2043171.7894738647</v>
      </c>
      <c r="G93" s="497">
        <f t="shared" si="35"/>
        <v>2060736.7487212822</v>
      </c>
      <c r="H93" s="497">
        <f t="shared" si="35"/>
        <v>2078301.7079686997</v>
      </c>
      <c r="I93" s="497">
        <f t="shared" si="35"/>
        <v>2095866.667216117</v>
      </c>
      <c r="J93" s="497">
        <f t="shared" si="35"/>
        <v>2113169.4628926776</v>
      </c>
      <c r="K93" s="497">
        <f t="shared" si="35"/>
        <v>2127064.1321480977</v>
      </c>
      <c r="L93" s="497">
        <f t="shared" si="35"/>
        <v>2140958.8014035174</v>
      </c>
      <c r="M93" s="497">
        <f t="shared" si="35"/>
        <v>2154853.4706589375</v>
      </c>
      <c r="N93" s="497">
        <f t="shared" si="35"/>
        <v>2168748.1399143571</v>
      </c>
      <c r="O93" s="497">
        <f t="shared" si="35"/>
        <v>2182773.890955206</v>
      </c>
      <c r="P93" s="497">
        <f t="shared" si="35"/>
        <v>2193915.8427166278</v>
      </c>
      <c r="Q93" s="497">
        <f t="shared" si="35"/>
        <v>2205057.794478049</v>
      </c>
      <c r="R93" s="497">
        <f t="shared" si="35"/>
        <v>2216199.7462394703</v>
      </c>
      <c r="S93" s="497">
        <f t="shared" si="35"/>
        <v>2227341.6980008921</v>
      </c>
      <c r="T93" s="497">
        <f t="shared" si="35"/>
        <v>2238614.7315477422</v>
      </c>
      <c r="U93" s="497">
        <f t="shared" si="35"/>
        <v>2245824.2297463086</v>
      </c>
      <c r="V93" s="497">
        <f t="shared" si="35"/>
        <v>2253033.7279448761</v>
      </c>
      <c r="W93" s="497">
        <f t="shared" si="35"/>
        <v>2260243.226143443</v>
      </c>
      <c r="X93" s="497">
        <f t="shared" si="35"/>
        <v>2267452.7243420095</v>
      </c>
      <c r="Y93" s="497">
        <f t="shared" si="35"/>
        <v>2274793.3043260053</v>
      </c>
      <c r="Z93" s="497">
        <f t="shared" si="35"/>
        <v>2282002.8025245718</v>
      </c>
      <c r="AA93" s="497">
        <f t="shared" si="35"/>
        <v>2289212.3007231392</v>
      </c>
      <c r="AB93" s="497">
        <f t="shared" si="35"/>
        <v>2296421.7989217052</v>
      </c>
      <c r="AC93" s="497">
        <f t="shared" si="35"/>
        <v>2303631.2971202731</v>
      </c>
      <c r="AD93" s="497">
        <f t="shared" si="35"/>
        <v>2310840.7953188401</v>
      </c>
      <c r="AE93" s="497">
        <f t="shared" si="35"/>
        <v>2318050.293517407</v>
      </c>
      <c r="AF93" s="497">
        <f t="shared" si="35"/>
        <v>2325259.7917159731</v>
      </c>
      <c r="AG93" s="497">
        <f t="shared" si="35"/>
        <v>2332469.2899145405</v>
      </c>
      <c r="AH93" s="497">
        <f t="shared" si="35"/>
        <v>2339678.7881131079</v>
      </c>
    </row>
    <row r="94" spans="2:34" s="79" customFormat="1" ht="12" hidden="1" outlineLevel="1" x14ac:dyDescent="0.3">
      <c r="B94" s="1336"/>
      <c r="C94" s="1337" t="s">
        <v>10</v>
      </c>
      <c r="D94" s="1337"/>
      <c r="E94" s="1338">
        <f>IF(((E8*'Modelo Tarifário'!$C$60*'Modelo Tarifário'!$E$35)*('Premissas Economias e Água'!F376))&gt;('Premissas Economias e Água'!F236*12*'Modelo Tarifário'!$D$29*'Modelo Tarifário'!$C$60*'Modelo Tarifário'!$E$35),(E8*'Modelo Tarifário'!$C$60*'Modelo Tarifário'!$E$35)*('Premissas Economias e Água'!F376),('Premissas Economias e Água'!F236*12*'Modelo Tarifário'!$D$29*'Modelo Tarifário'!$C$60*'Modelo Tarifário'!$E$35))</f>
        <v>273692.58734232851</v>
      </c>
      <c r="F94" s="1338">
        <f>IF(((F8*'Modelo Tarifário'!$C$60*'Modelo Tarifário'!$E$35)*('Premissas Economias e Água'!G376))&gt;('Premissas Economias e Água'!G236*12*'Modelo Tarifário'!$D$29*'Modelo Tarifário'!$C$60*'Modelo Tarifário'!$E$35),(F8*'Modelo Tarifário'!$C$60*'Modelo Tarifário'!$E$35)*('Premissas Economias e Água'!G376),('Premissas Economias e Água'!G236*12*'Modelo Tarifário'!$D$29*'Modelo Tarifário'!$C$60*'Modelo Tarifário'!$E$35))</f>
        <v>276065.90040153201</v>
      </c>
      <c r="G94" s="1338">
        <f>IF(((G8*'Modelo Tarifário'!$C$60*'Modelo Tarifário'!$E$35)*('Premissas Economias e Água'!H376))&gt;('Premissas Economias e Água'!H236*12*'Modelo Tarifário'!$D$29*'Modelo Tarifário'!$C$60*'Modelo Tarifário'!$E$35),(G8*'Modelo Tarifário'!$C$60*'Modelo Tarifário'!$E$35)*('Premissas Economias e Água'!H376),('Premissas Economias e Água'!H236*12*'Modelo Tarifário'!$D$29*'Modelo Tarifário'!$C$60*'Modelo Tarifário'!$E$35))</f>
        <v>278439.21346073551</v>
      </c>
      <c r="H94" s="1338">
        <f>IF(((H8*'Modelo Tarifário'!$C$60*'Modelo Tarifário'!$E$35)*('Premissas Economias e Água'!I376))&gt;('Premissas Economias e Água'!I236*12*'Modelo Tarifário'!$D$29*'Modelo Tarifário'!$C$60*'Modelo Tarifário'!$E$35),(H8*'Modelo Tarifário'!$C$60*'Modelo Tarifário'!$E$35)*('Premissas Economias e Água'!I376),('Premissas Economias e Água'!I236*12*'Modelo Tarifário'!$D$29*'Modelo Tarifário'!$C$60*'Modelo Tarifário'!$E$35))</f>
        <v>280812.52651993901</v>
      </c>
      <c r="I94" s="1338">
        <f>IF(((I8*'Modelo Tarifário'!$C$60*'Modelo Tarifário'!$E$35)*('Premissas Economias e Água'!J376))&gt;('Premissas Economias e Água'!J236*12*'Modelo Tarifário'!$D$29*'Modelo Tarifário'!$C$60*'Modelo Tarifário'!$E$35),(I8*'Modelo Tarifário'!$C$60*'Modelo Tarifário'!$E$35)*('Premissas Economias e Água'!J376),('Premissas Economias e Água'!J236*12*'Modelo Tarifário'!$D$29*'Modelo Tarifário'!$C$60*'Modelo Tarifário'!$E$35))</f>
        <v>283185.83957914257</v>
      </c>
      <c r="J94" s="1338">
        <f>IF(((J8*'Modelo Tarifário'!$C$60*'Modelo Tarifário'!$E$35)*('Premissas Economias e Água'!K376))&gt;('Premissas Economias e Água'!K236*12*'Modelo Tarifário'!$D$29*'Modelo Tarifário'!$C$60*'Modelo Tarifário'!$E$35),(J8*'Modelo Tarifário'!$C$60*'Modelo Tarifário'!$E$35)*('Premissas Economias e Água'!K376),('Premissas Economias e Água'!K236*12*'Modelo Tarifário'!$D$29*'Modelo Tarifário'!$C$60*'Modelo Tarifário'!$E$35))</f>
        <v>285523.73005537287</v>
      </c>
      <c r="K94" s="1338">
        <f>IF(((K8*'Modelo Tarifário'!$C$60*'Modelo Tarifário'!$E$35)*('Premissas Economias e Água'!L376))&gt;('Premissas Economias e Água'!L236*12*'Modelo Tarifário'!$D$29*'Modelo Tarifário'!$C$60*'Modelo Tarifário'!$E$35),(K8*'Modelo Tarifário'!$C$60*'Modelo Tarifário'!$E$35)*('Premissas Economias e Água'!L376),('Premissas Economias e Água'!L236*12*'Modelo Tarifário'!$D$29*'Modelo Tarifário'!$C$60*'Modelo Tarifário'!$E$35))</f>
        <v>287401.12695295177</v>
      </c>
      <c r="L94" s="1338">
        <f>IF(((L8*'Modelo Tarifário'!$C$60*'Modelo Tarifário'!$E$35)*('Premissas Economias e Água'!M376))&gt;('Premissas Economias e Água'!M236*12*'Modelo Tarifário'!$D$29*'Modelo Tarifário'!$C$60*'Modelo Tarifário'!$E$35),(L8*'Modelo Tarifário'!$C$60*'Modelo Tarifário'!$E$35)*('Premissas Economias e Água'!M376),('Premissas Economias e Água'!M236*12*'Modelo Tarifário'!$D$29*'Modelo Tarifário'!$C$60*'Modelo Tarifário'!$E$35))</f>
        <v>289278.52385053068</v>
      </c>
      <c r="M94" s="1338">
        <f>IF(((M8*'Modelo Tarifário'!$C$60*'Modelo Tarifário'!$E$35)*('Premissas Economias e Água'!N376))&gt;('Premissas Economias e Água'!N236*12*'Modelo Tarifário'!$D$29*'Modelo Tarifário'!$C$60*'Modelo Tarifário'!$E$35),(M8*'Modelo Tarifário'!$C$60*'Modelo Tarifário'!$E$35)*('Premissas Economias e Água'!N376),('Premissas Economias e Água'!N236*12*'Modelo Tarifário'!$D$29*'Modelo Tarifário'!$C$60*'Modelo Tarifário'!$E$35))</f>
        <v>291155.92074810964</v>
      </c>
      <c r="N94" s="1338">
        <f>IF(((N8*'Modelo Tarifário'!$C$60*'Modelo Tarifário'!$E$35)*('Premissas Economias e Água'!O376))&gt;('Premissas Economias e Água'!O236*12*'Modelo Tarifário'!$D$29*'Modelo Tarifário'!$C$60*'Modelo Tarifário'!$E$35),(N8*'Modelo Tarifário'!$C$60*'Modelo Tarifário'!$E$35)*('Premissas Economias e Água'!O376),('Premissas Economias e Água'!O236*12*'Modelo Tarifário'!$D$29*'Modelo Tarifário'!$C$60*'Modelo Tarifário'!$E$35))</f>
        <v>293033.31764568854</v>
      </c>
      <c r="O94" s="1338">
        <f>IF(((O8*'Modelo Tarifário'!$C$60*'Modelo Tarifário'!$E$35)*('Premissas Economias e Água'!P376))&gt;('Premissas Economias e Água'!P236*12*'Modelo Tarifário'!$D$29*'Modelo Tarifário'!$C$60*'Modelo Tarifário'!$E$35),(O8*'Modelo Tarifário'!$C$60*'Modelo Tarifário'!$E$35)*('Premissas Economias e Água'!P376),('Premissas Economias e Água'!P236*12*'Modelo Tarifário'!$D$29*'Modelo Tarifário'!$C$60*'Modelo Tarifário'!$E$35))</f>
        <v>294928.42583475407</v>
      </c>
      <c r="P94" s="1338">
        <f>IF(((P8*'Modelo Tarifário'!$C$60*'Modelo Tarifário'!$E$35)*('Premissas Economias e Água'!Q376))&gt;('Premissas Economias e Água'!Q236*12*'Modelo Tarifário'!$D$29*'Modelo Tarifário'!$C$60*'Modelo Tarifário'!$E$35),(P8*'Modelo Tarifário'!$C$60*'Modelo Tarifário'!$E$35)*('Premissas Economias e Água'!Q376),('Premissas Economias e Água'!Q236*12*'Modelo Tarifário'!$D$29*'Modelo Tarifário'!$C$60*'Modelo Tarifário'!$E$35))</f>
        <v>296433.88561111444</v>
      </c>
      <c r="Q94" s="1338">
        <f>IF(((Q8*'Modelo Tarifário'!$C$60*'Modelo Tarifário'!$E$35)*('Premissas Economias e Água'!R376))&gt;('Premissas Economias e Água'!R236*12*'Modelo Tarifário'!$D$29*'Modelo Tarifário'!$C$60*'Modelo Tarifário'!$E$35),(Q8*'Modelo Tarifário'!$C$60*'Modelo Tarifário'!$E$35)*('Premissas Economias e Água'!R376),('Premissas Economias e Água'!R236*12*'Modelo Tarifário'!$D$29*'Modelo Tarifário'!$C$60*'Modelo Tarifário'!$E$35))</f>
        <v>297939.34538747492</v>
      </c>
      <c r="R94" s="1338">
        <f>IF(((R8*'Modelo Tarifário'!$C$60*'Modelo Tarifário'!$E$35)*('Premissas Economias e Água'!S376))&gt;('Premissas Economias e Água'!S236*12*'Modelo Tarifário'!$D$29*'Modelo Tarifário'!$C$60*'Modelo Tarifário'!$E$35),(R8*'Modelo Tarifário'!$C$60*'Modelo Tarifário'!$E$35)*('Premissas Economias e Água'!S376),('Premissas Economias e Água'!S236*12*'Modelo Tarifário'!$D$29*'Modelo Tarifário'!$C$60*'Modelo Tarifário'!$E$35))</f>
        <v>299444.80516383535</v>
      </c>
      <c r="S94" s="1338">
        <f>IF(((S8*'Modelo Tarifário'!$C$60*'Modelo Tarifário'!$E$35)*('Premissas Economias e Água'!T376))&gt;('Premissas Economias e Água'!T236*12*'Modelo Tarifário'!$D$29*'Modelo Tarifário'!$C$60*'Modelo Tarifário'!$E$35),(S8*'Modelo Tarifário'!$C$60*'Modelo Tarifário'!$E$35)*('Premissas Economias e Água'!T376),('Premissas Economias e Água'!T236*12*'Modelo Tarifário'!$D$29*'Modelo Tarifário'!$C$60*'Modelo Tarifário'!$E$35))</f>
        <v>300950.26494019578</v>
      </c>
      <c r="T94" s="1338">
        <f>IF(((T8*'Modelo Tarifário'!$C$60*'Modelo Tarifário'!$E$35)*('Premissas Economias e Água'!U376))&gt;('Premissas Economias e Água'!U236*12*'Modelo Tarifário'!$D$29*'Modelo Tarifário'!$C$60*'Modelo Tarifário'!$E$35),(T8*'Modelo Tarifário'!$C$60*'Modelo Tarifário'!$E$35)*('Premissas Economias e Água'!U376),('Premissas Economias e Água'!U236*12*'Modelo Tarifário'!$D$29*'Modelo Tarifário'!$C$60*'Modelo Tarifário'!$E$35))</f>
        <v>302473.43600804283</v>
      </c>
      <c r="U94" s="1338">
        <f>IF(((U8*'Modelo Tarifário'!$C$60*'Modelo Tarifário'!$E$35)*('Premissas Economias e Água'!V376))&gt;('Premissas Economias e Água'!V236*12*'Modelo Tarifário'!$D$29*'Modelo Tarifário'!$C$60*'Modelo Tarifário'!$E$35),(U8*'Modelo Tarifário'!$C$60*'Modelo Tarifário'!$E$35)*('Premissas Economias e Água'!V376),('Premissas Economias e Água'!V236*12*'Modelo Tarifário'!$D$29*'Modelo Tarifário'!$C$60*'Modelo Tarifário'!$E$35))</f>
        <v>303447.55703980546</v>
      </c>
      <c r="V94" s="1338">
        <f>IF(((V8*'Modelo Tarifário'!$C$60*'Modelo Tarifário'!$E$35)*('Premissas Economias e Água'!W376))&gt;('Premissas Economias e Água'!W236*12*'Modelo Tarifário'!$D$29*'Modelo Tarifário'!$C$60*'Modelo Tarifário'!$E$35),(V8*'Modelo Tarifário'!$C$60*'Modelo Tarifário'!$E$35)*('Premissas Economias e Água'!W376),('Premissas Economias e Água'!W236*12*'Modelo Tarifário'!$D$29*'Modelo Tarifário'!$C$60*'Modelo Tarifário'!$E$35))</f>
        <v>304421.67807156808</v>
      </c>
      <c r="W94" s="1338">
        <f>IF(((W8*'Modelo Tarifário'!$C$60*'Modelo Tarifário'!$E$35)*('Premissas Economias e Água'!X376))&gt;('Premissas Economias e Água'!X236*12*'Modelo Tarifário'!$D$29*'Modelo Tarifário'!$C$60*'Modelo Tarifário'!$E$35),(W8*'Modelo Tarifário'!$C$60*'Modelo Tarifário'!$E$35)*('Premissas Economias e Água'!X376),('Premissas Economias e Água'!X236*12*'Modelo Tarifário'!$D$29*'Modelo Tarifário'!$C$60*'Modelo Tarifário'!$E$35))</f>
        <v>305395.7991033307</v>
      </c>
      <c r="X94" s="1338">
        <f>IF(((X8*'Modelo Tarifário'!$C$60*'Modelo Tarifário'!$E$35)*('Premissas Economias e Água'!Y376))&gt;('Premissas Economias e Água'!Y236*12*'Modelo Tarifário'!$D$29*'Modelo Tarifário'!$C$60*'Modelo Tarifário'!$E$35),(X8*'Modelo Tarifário'!$C$60*'Modelo Tarifário'!$E$35)*('Premissas Economias e Água'!Y376),('Premissas Economias e Água'!Y236*12*'Modelo Tarifário'!$D$29*'Modelo Tarifário'!$C$60*'Modelo Tarifário'!$E$35))</f>
        <v>306369.92013509333</v>
      </c>
      <c r="Y94" s="1338">
        <f>IF(((Y8*'Modelo Tarifário'!$C$60*'Modelo Tarifário'!$E$35)*('Premissas Economias e Água'!Z376))&gt;('Premissas Economias e Água'!Z236*12*'Modelo Tarifário'!$D$29*'Modelo Tarifário'!$C$60*'Modelo Tarifário'!$E$35),(Y8*'Modelo Tarifário'!$C$60*'Modelo Tarifário'!$E$35)*('Premissas Economias e Água'!Z376),('Premissas Economias e Água'!Z236*12*'Modelo Tarifário'!$D$29*'Modelo Tarifário'!$C$60*'Modelo Tarifário'!$E$35))</f>
        <v>307361.75245834258</v>
      </c>
      <c r="Z94" s="1338">
        <f>IF(((Z8*'Modelo Tarifário'!$C$60*'Modelo Tarifário'!$E$35)*('Premissas Economias e Água'!AA376))&gt;('Premissas Economias e Água'!AA236*12*'Modelo Tarifário'!$D$29*'Modelo Tarifário'!$C$60*'Modelo Tarifário'!$E$35),(Z8*'Modelo Tarifário'!$C$60*'Modelo Tarifário'!$E$35)*('Premissas Economias e Água'!AA376),('Premissas Economias e Água'!AA236*12*'Modelo Tarifário'!$D$29*'Modelo Tarifário'!$C$60*'Modelo Tarifário'!$E$35))</f>
        <v>308335.87349010521</v>
      </c>
      <c r="AA94" s="1338">
        <f>IF(((AA8*'Modelo Tarifário'!$C$60*'Modelo Tarifário'!$E$35)*('Premissas Economias e Água'!AB376))&gt;('Premissas Economias e Água'!AB236*12*'Modelo Tarifário'!$D$29*'Modelo Tarifário'!$C$60*'Modelo Tarifário'!$E$35),(AA8*'Modelo Tarifário'!$C$60*'Modelo Tarifário'!$E$35)*('Premissas Economias e Água'!AB376),('Premissas Economias e Água'!AB236*12*'Modelo Tarifário'!$D$29*'Modelo Tarifário'!$C$60*'Modelo Tarifário'!$E$35))</f>
        <v>309309.99452186789</v>
      </c>
      <c r="AB94" s="1338">
        <f>IF(((AB8*'Modelo Tarifário'!$C$60*'Modelo Tarifário'!$E$35)*('Premissas Economias e Água'!AC376))&gt;('Premissas Economias e Água'!AC236*12*'Modelo Tarifário'!$D$29*'Modelo Tarifário'!$C$60*'Modelo Tarifário'!$E$35),(AB8*'Modelo Tarifário'!$C$60*'Modelo Tarifário'!$E$35)*('Premissas Economias e Água'!AC376),('Premissas Economias e Água'!AC236*12*'Modelo Tarifário'!$D$29*'Modelo Tarifário'!$C$60*'Modelo Tarifário'!$E$35))</f>
        <v>310284.11555363052</v>
      </c>
      <c r="AC94" s="1338">
        <f>IF(((AC8*'Modelo Tarifário'!$C$60*'Modelo Tarifário'!$E$35)*('Premissas Economias e Água'!AD376))&gt;('Premissas Economias e Água'!AD236*12*'Modelo Tarifário'!$D$29*'Modelo Tarifário'!$C$60*'Modelo Tarifário'!$E$35),(AC8*'Modelo Tarifário'!$C$60*'Modelo Tarifário'!$E$35)*('Premissas Economias e Água'!AD376),('Premissas Economias e Água'!AD236*12*'Modelo Tarifário'!$D$29*'Modelo Tarifário'!$C$60*'Modelo Tarifário'!$E$35))</f>
        <v>311258.2365853932</v>
      </c>
      <c r="AD94" s="1338">
        <f>IF(((AD8*'Modelo Tarifário'!$C$60*'Modelo Tarifário'!$E$35)*('Premissas Economias e Água'!AE376))&gt;('Premissas Economias e Água'!AE236*12*'Modelo Tarifário'!$D$29*'Modelo Tarifário'!$C$60*'Modelo Tarifário'!$E$35),(AD8*'Modelo Tarifário'!$C$60*'Modelo Tarifário'!$E$35)*('Premissas Economias e Água'!AE376),('Premissas Economias e Água'!AE236*12*'Modelo Tarifário'!$D$29*'Modelo Tarifário'!$C$60*'Modelo Tarifário'!$E$35))</f>
        <v>312232.35761715588</v>
      </c>
      <c r="AE94" s="1338">
        <f>IF(((AE8*'Modelo Tarifário'!$C$60*'Modelo Tarifário'!$E$35)*('Premissas Economias e Água'!AF376))&gt;('Premissas Economias e Água'!AF236*12*'Modelo Tarifário'!$D$29*'Modelo Tarifário'!$C$60*'Modelo Tarifário'!$E$35),(AE8*'Modelo Tarifário'!$C$60*'Modelo Tarifário'!$E$35)*('Premissas Economias e Água'!AF376),('Premissas Economias e Água'!AF236*12*'Modelo Tarifário'!$D$29*'Modelo Tarifário'!$C$60*'Modelo Tarifário'!$E$35))</f>
        <v>313206.47864891845</v>
      </c>
      <c r="AF94" s="1338">
        <f>IF(((AF8*'Modelo Tarifário'!$C$60*'Modelo Tarifário'!$E$35)*('Premissas Economias e Água'!AG376))&gt;('Premissas Economias e Água'!AG236*12*'Modelo Tarifário'!$D$29*'Modelo Tarifário'!$C$60*'Modelo Tarifário'!$E$35),(AF8*'Modelo Tarifário'!$C$60*'Modelo Tarifário'!$E$35)*('Premissas Economias e Água'!AG376),('Premissas Economias e Água'!AG236*12*'Modelo Tarifário'!$D$29*'Modelo Tarifário'!$C$60*'Modelo Tarifário'!$E$35))</f>
        <v>314180.59968068107</v>
      </c>
      <c r="AG94" s="1338">
        <f>IF(((AG8*'Modelo Tarifário'!$C$60*'Modelo Tarifário'!$E$35)*('Premissas Economias e Água'!AH376))&gt;('Premissas Economias e Água'!AH236*12*'Modelo Tarifário'!$D$29*'Modelo Tarifário'!$C$60*'Modelo Tarifário'!$E$35),(AG8*'Modelo Tarifário'!$C$60*'Modelo Tarifário'!$E$35)*('Premissas Economias e Água'!AH376),('Premissas Economias e Água'!AH236*12*'Modelo Tarifário'!$D$29*'Modelo Tarifário'!$C$60*'Modelo Tarifário'!$E$35))</f>
        <v>315154.72071244376</v>
      </c>
      <c r="AH94" s="1338">
        <f>IF(((AH8*'Modelo Tarifário'!$C$60*'Modelo Tarifário'!$E$35)*('Premissas Economias e Água'!AI376))&gt;('Premissas Economias e Água'!AI236*12*'Modelo Tarifário'!$D$29*'Modelo Tarifário'!$C$60*'Modelo Tarifário'!$E$35),(AH8*'Modelo Tarifário'!$C$60*'Modelo Tarifário'!$E$35)*('Premissas Economias e Água'!AI376),('Premissas Economias e Água'!AI236*12*'Modelo Tarifário'!$D$29*'Modelo Tarifário'!$C$60*'Modelo Tarifário'!$E$35))</f>
        <v>316128.84174420638</v>
      </c>
    </row>
    <row r="95" spans="2:34" s="79" customFormat="1" ht="12" hidden="1" outlineLevel="1" x14ac:dyDescent="0.3">
      <c r="B95" s="1339"/>
      <c r="C95" s="1335" t="s">
        <v>277</v>
      </c>
      <c r="D95" s="1335"/>
      <c r="E95" s="1340">
        <f>IF(('Premissas Economias e Água'!F237*'Modelo Tarifário'!$I$36*12*'Modelo Tarifário'!$B$5*'Modelo Tarifário'!$E$36)&gt;('Premissas Economias e Água'!F237*12*'Modelo Tarifário'!$D$29*'Modelo Tarifário'!$E$36),('Premissas Economias e Água'!F237*'Modelo Tarifário'!$I$36*12*'Modelo Tarifário'!$B$5*'Modelo Tarifário'!$E$36),('Premissas Economias e Água'!F237*12*'Modelo Tarifário'!$D$29*'Modelo Tarifário'!$E$36))</f>
        <v>61243.531957735599</v>
      </c>
      <c r="F95" s="1340">
        <f>IF(('Premissas Economias e Água'!G237*'Modelo Tarifário'!$I$36*12*'Modelo Tarifário'!$B$5*'Modelo Tarifário'!$E$36)&gt;('Premissas Economias e Água'!G237*12*'Modelo Tarifário'!$D$29*'Modelo Tarifário'!$E$36),('Premissas Economias e Água'!G237*'Modelo Tarifário'!$I$36*12*'Modelo Tarifário'!$B$5*'Modelo Tarifário'!$E$36),('Premissas Economias e Água'!G237*12*'Modelo Tarifário'!$D$29*'Modelo Tarifário'!$E$36))</f>
        <v>61774.602512471683</v>
      </c>
      <c r="G95" s="1340">
        <f>IF(('Premissas Economias e Água'!H237*'Modelo Tarifário'!$I$36*12*'Modelo Tarifário'!$B$5*'Modelo Tarifário'!$E$36)&gt;('Premissas Economias e Água'!H237*12*'Modelo Tarifário'!$D$29*'Modelo Tarifário'!$E$36),('Premissas Economias e Água'!H237*'Modelo Tarifário'!$I$36*12*'Modelo Tarifário'!$B$5*'Modelo Tarifário'!$E$36),('Premissas Economias e Água'!H237*12*'Modelo Tarifário'!$D$29*'Modelo Tarifário'!$E$36))</f>
        <v>62305.673067207761</v>
      </c>
      <c r="H95" s="1340">
        <f>IF(('Premissas Economias e Água'!I237*'Modelo Tarifário'!$I$36*12*'Modelo Tarifário'!$B$5*'Modelo Tarifário'!$E$36)&gt;('Premissas Economias e Água'!I237*12*'Modelo Tarifário'!$D$29*'Modelo Tarifário'!$E$36),('Premissas Economias e Água'!I237*'Modelo Tarifário'!$I$36*12*'Modelo Tarifário'!$B$5*'Modelo Tarifário'!$E$36),('Premissas Economias e Água'!I237*12*'Modelo Tarifário'!$D$29*'Modelo Tarifário'!$E$36))</f>
        <v>62836.743621943831</v>
      </c>
      <c r="I95" s="1340">
        <f>IF(('Premissas Economias e Água'!J237*'Modelo Tarifário'!$I$36*12*'Modelo Tarifário'!$B$5*'Modelo Tarifário'!$E$36)&gt;('Premissas Economias e Água'!J237*12*'Modelo Tarifário'!$D$29*'Modelo Tarifário'!$E$36),('Premissas Economias e Água'!J237*'Modelo Tarifário'!$I$36*12*'Modelo Tarifário'!$B$5*'Modelo Tarifário'!$E$36),('Premissas Economias e Água'!J237*12*'Modelo Tarifário'!$D$29*'Modelo Tarifário'!$E$36))</f>
        <v>63367.814176679909</v>
      </c>
      <c r="J95" s="1340">
        <f>IF(('Premissas Economias e Água'!K237*'Modelo Tarifário'!$I$36*12*'Modelo Tarifário'!$B$5*'Modelo Tarifário'!$E$36)&gt;('Premissas Economias e Água'!K237*12*'Modelo Tarifário'!$D$29*'Modelo Tarifário'!$E$36),('Premissas Economias e Água'!K237*'Modelo Tarifário'!$I$36*12*'Modelo Tarifário'!$B$5*'Modelo Tarifário'!$E$36),('Premissas Economias e Água'!K237*12*'Modelo Tarifário'!$D$29*'Modelo Tarifário'!$E$36))</f>
        <v>63890.958305225889</v>
      </c>
      <c r="K95" s="1340">
        <f>IF(('Premissas Economias e Água'!L237*'Modelo Tarifário'!$I$36*12*'Modelo Tarifário'!$B$5*'Modelo Tarifário'!$E$36)&gt;('Premissas Economias e Água'!L237*12*'Modelo Tarifário'!$D$29*'Modelo Tarifário'!$E$36),('Premissas Economias e Água'!L237*'Modelo Tarifário'!$I$36*12*'Modelo Tarifário'!$B$5*'Modelo Tarifário'!$E$36),('Premissas Economias e Água'!L237*12*'Modelo Tarifário'!$D$29*'Modelo Tarifário'!$E$36))</f>
        <v>64311.058893300687</v>
      </c>
      <c r="L95" s="1340">
        <f>IF(('Premissas Economias e Água'!M237*'Modelo Tarifário'!$I$36*12*'Modelo Tarifário'!$B$5*'Modelo Tarifário'!$E$36)&gt;('Premissas Economias e Água'!M237*12*'Modelo Tarifário'!$D$29*'Modelo Tarifário'!$E$36),('Premissas Economias e Água'!M237*'Modelo Tarifário'!$I$36*12*'Modelo Tarifário'!$B$5*'Modelo Tarifário'!$E$36),('Premissas Economias e Água'!M237*12*'Modelo Tarifário'!$D$29*'Modelo Tarifário'!$E$36))</f>
        <v>64731.159481375493</v>
      </c>
      <c r="M95" s="1340">
        <f>IF(('Premissas Economias e Água'!N237*'Modelo Tarifário'!$I$36*12*'Modelo Tarifário'!$B$5*'Modelo Tarifário'!$E$36)&gt;('Premissas Economias e Água'!N237*12*'Modelo Tarifário'!$D$29*'Modelo Tarifário'!$E$36),('Premissas Economias e Água'!N237*'Modelo Tarifário'!$I$36*12*'Modelo Tarifário'!$B$5*'Modelo Tarifário'!$E$36),('Premissas Economias e Água'!N237*12*'Modelo Tarifário'!$D$29*'Modelo Tarifário'!$E$36))</f>
        <v>65151.260069450298</v>
      </c>
      <c r="N95" s="1340">
        <f>IF(('Premissas Economias e Água'!O237*'Modelo Tarifário'!$I$36*12*'Modelo Tarifário'!$B$5*'Modelo Tarifário'!$E$36)&gt;('Premissas Economias e Água'!O237*12*'Modelo Tarifário'!$D$29*'Modelo Tarifário'!$E$36),('Premissas Economias e Água'!O237*'Modelo Tarifário'!$I$36*12*'Modelo Tarifário'!$B$5*'Modelo Tarifário'!$E$36),('Premissas Economias e Água'!O237*12*'Modelo Tarifário'!$D$29*'Modelo Tarifário'!$E$36))</f>
        <v>65571.360657525103</v>
      </c>
      <c r="O95" s="1340">
        <f>IF(('Premissas Economias e Água'!P237*'Modelo Tarifário'!$I$36*12*'Modelo Tarifário'!$B$5*'Modelo Tarifário'!$E$36)&gt;('Premissas Economias e Água'!P237*12*'Modelo Tarifário'!$D$29*'Modelo Tarifário'!$E$36),('Premissas Economias e Água'!P237*'Modelo Tarifário'!$I$36*12*'Modelo Tarifário'!$B$5*'Modelo Tarifário'!$E$36),('Premissas Economias e Água'!P237*12*'Modelo Tarifário'!$D$29*'Modelo Tarifário'!$E$36))</f>
        <v>65995.424458694964</v>
      </c>
      <c r="P95" s="1340">
        <f>IF(('Premissas Economias e Água'!Q237*'Modelo Tarifário'!$I$36*12*'Modelo Tarifário'!$B$5*'Modelo Tarifário'!$E$36)&gt;('Premissas Economias e Água'!Q237*12*'Modelo Tarifário'!$D$29*'Modelo Tarifário'!$E$36),('Premissas Economias e Água'!Q237*'Modelo Tarifário'!$I$36*12*'Modelo Tarifário'!$B$5*'Modelo Tarifário'!$E$36),('Premissas Economias e Água'!Q237*12*'Modelo Tarifário'!$D$29*'Modelo Tarifário'!$E$36))</f>
        <v>66332.297571773815</v>
      </c>
      <c r="Q95" s="1340">
        <f>IF(('Premissas Economias e Água'!R237*'Modelo Tarifário'!$I$36*12*'Modelo Tarifário'!$B$5*'Modelo Tarifário'!$E$36)&gt;('Premissas Economias e Água'!R237*12*'Modelo Tarifário'!$D$29*'Modelo Tarifário'!$E$36),('Premissas Economias e Água'!R237*'Modelo Tarifário'!$I$36*12*'Modelo Tarifário'!$B$5*'Modelo Tarifário'!$E$36),('Premissas Economias e Água'!R237*12*'Modelo Tarifário'!$D$29*'Modelo Tarifário'!$E$36))</f>
        <v>66669.170684852681</v>
      </c>
      <c r="R95" s="1340">
        <f>IF(('Premissas Economias e Água'!S237*'Modelo Tarifário'!$I$36*12*'Modelo Tarifário'!$B$5*'Modelo Tarifário'!$E$36)&gt;('Premissas Economias e Água'!S237*12*'Modelo Tarifário'!$D$29*'Modelo Tarifário'!$E$36),('Premissas Economias e Água'!S237*'Modelo Tarifário'!$I$36*12*'Modelo Tarifário'!$B$5*'Modelo Tarifário'!$E$36),('Premissas Economias e Água'!S237*12*'Modelo Tarifário'!$D$29*'Modelo Tarifário'!$E$36))</f>
        <v>67006.043797931517</v>
      </c>
      <c r="S95" s="1340">
        <f>IF(('Premissas Economias e Água'!T237*'Modelo Tarifário'!$I$36*12*'Modelo Tarifário'!$B$5*'Modelo Tarifário'!$E$36)&gt;('Premissas Economias e Água'!T237*12*'Modelo Tarifário'!$D$29*'Modelo Tarifário'!$E$36),('Premissas Economias e Água'!T237*'Modelo Tarifário'!$I$36*12*'Modelo Tarifário'!$B$5*'Modelo Tarifário'!$E$36),('Premissas Economias e Água'!T237*12*'Modelo Tarifário'!$D$29*'Modelo Tarifário'!$E$36))</f>
        <v>67342.916911010368</v>
      </c>
      <c r="T95" s="1340">
        <f>IF(('Premissas Economias e Água'!U237*'Modelo Tarifário'!$I$36*12*'Modelo Tarifário'!$B$5*'Modelo Tarifário'!$E$36)&gt;('Premissas Economias e Água'!U237*12*'Modelo Tarifário'!$D$29*'Modelo Tarifário'!$E$36),('Premissas Economias e Água'!U237*'Modelo Tarifário'!$I$36*12*'Modelo Tarifário'!$B$5*'Modelo Tarifário'!$E$36),('Premissas Economias e Água'!U237*12*'Modelo Tarifário'!$D$29*'Modelo Tarifário'!$E$36))</f>
        <v>67683.753237184268</v>
      </c>
      <c r="U95" s="1340">
        <f>IF(('Premissas Economias e Água'!V237*'Modelo Tarifário'!$I$36*12*'Modelo Tarifário'!$B$5*'Modelo Tarifário'!$E$36)&gt;('Premissas Economias e Água'!V237*12*'Modelo Tarifário'!$D$29*'Modelo Tarifário'!$E$36),('Premissas Economias e Água'!V237*'Modelo Tarifário'!$I$36*12*'Modelo Tarifário'!$B$5*'Modelo Tarifário'!$E$36),('Premissas Economias e Água'!V237*12*'Modelo Tarifário'!$D$29*'Modelo Tarifário'!$E$36))</f>
        <v>67901.729957411779</v>
      </c>
      <c r="V95" s="1340">
        <f>IF(('Premissas Economias e Água'!W237*'Modelo Tarifário'!$I$36*12*'Modelo Tarifário'!$B$5*'Modelo Tarifário'!$E$36)&gt;('Premissas Economias e Água'!W237*12*'Modelo Tarifário'!$D$29*'Modelo Tarifário'!$E$36),('Premissas Economias e Água'!W237*'Modelo Tarifário'!$I$36*12*'Modelo Tarifário'!$B$5*'Modelo Tarifário'!$E$36),('Premissas Economias e Água'!W237*12*'Modelo Tarifário'!$D$29*'Modelo Tarifário'!$E$36))</f>
        <v>68119.70667763926</v>
      </c>
      <c r="W95" s="1340">
        <f>IF(('Premissas Economias e Água'!X237*'Modelo Tarifário'!$I$36*12*'Modelo Tarifário'!$B$5*'Modelo Tarifário'!$E$36)&gt;('Premissas Economias e Água'!X237*12*'Modelo Tarifário'!$D$29*'Modelo Tarifário'!$E$36),('Premissas Economias e Água'!X237*'Modelo Tarifário'!$I$36*12*'Modelo Tarifário'!$B$5*'Modelo Tarifário'!$E$36),('Premissas Economias e Água'!X237*12*'Modelo Tarifário'!$D$29*'Modelo Tarifário'!$E$36))</f>
        <v>68337.683397866756</v>
      </c>
      <c r="X95" s="1340">
        <f>IF(('Premissas Economias e Água'!Y237*'Modelo Tarifário'!$I$36*12*'Modelo Tarifário'!$B$5*'Modelo Tarifário'!$E$36)&gt;('Premissas Economias e Água'!Y237*12*'Modelo Tarifário'!$D$29*'Modelo Tarifário'!$E$36),('Premissas Economias e Água'!Y237*'Modelo Tarifário'!$I$36*12*'Modelo Tarifário'!$B$5*'Modelo Tarifário'!$E$36),('Premissas Economias e Água'!Y237*12*'Modelo Tarifário'!$D$29*'Modelo Tarifário'!$E$36))</f>
        <v>68555.660118094238</v>
      </c>
      <c r="Y95" s="1340">
        <f>IF(('Premissas Economias e Água'!Z237*'Modelo Tarifário'!$I$36*12*'Modelo Tarifário'!$B$5*'Modelo Tarifário'!$E$36)&gt;('Premissas Economias e Água'!Z237*12*'Modelo Tarifário'!$D$29*'Modelo Tarifário'!$E$36),('Premissas Economias e Água'!Z237*'Modelo Tarifário'!$I$36*12*'Modelo Tarifário'!$B$5*'Modelo Tarifário'!$E$36),('Premissas Economias e Água'!Z237*12*'Modelo Tarifário'!$D$29*'Modelo Tarifário'!$E$36))</f>
        <v>68777.600051416797</v>
      </c>
      <c r="Z95" s="1340">
        <f>IF(('Premissas Economias e Água'!AA237*'Modelo Tarifário'!$I$36*12*'Modelo Tarifário'!$B$5*'Modelo Tarifário'!$E$36)&gt;('Premissas Economias e Água'!AA237*12*'Modelo Tarifário'!$D$29*'Modelo Tarifário'!$E$36),('Premissas Economias e Água'!AA237*'Modelo Tarifário'!$I$36*12*'Modelo Tarifário'!$B$5*'Modelo Tarifário'!$E$36),('Premissas Economias e Água'!AA237*12*'Modelo Tarifário'!$D$29*'Modelo Tarifário'!$E$36))</f>
        <v>68995.576771644279</v>
      </c>
      <c r="AA95" s="1340">
        <f>IF(('Premissas Economias e Água'!AB237*'Modelo Tarifário'!$I$36*12*'Modelo Tarifário'!$B$5*'Modelo Tarifário'!$E$36)&gt;('Premissas Economias e Água'!AB237*12*'Modelo Tarifário'!$D$29*'Modelo Tarifário'!$E$36),('Premissas Economias e Água'!AB237*'Modelo Tarifário'!$I$36*12*'Modelo Tarifário'!$B$5*'Modelo Tarifário'!$E$36),('Premissas Economias e Água'!AB237*12*'Modelo Tarifário'!$D$29*'Modelo Tarifário'!$E$36))</f>
        <v>69213.553491871775</v>
      </c>
      <c r="AB95" s="1340">
        <f>IF(('Premissas Economias e Água'!AC237*'Modelo Tarifário'!$I$36*12*'Modelo Tarifário'!$B$5*'Modelo Tarifário'!$E$36)&gt;('Premissas Economias e Água'!AC237*12*'Modelo Tarifário'!$D$29*'Modelo Tarifário'!$E$36),('Premissas Economias e Água'!AC237*'Modelo Tarifário'!$I$36*12*'Modelo Tarifário'!$B$5*'Modelo Tarifário'!$E$36),('Premissas Economias e Água'!AC237*12*'Modelo Tarifário'!$D$29*'Modelo Tarifário'!$E$36))</f>
        <v>69431.530212099271</v>
      </c>
      <c r="AC95" s="1340">
        <f>IF(('Premissas Economias e Água'!AD237*'Modelo Tarifário'!$I$36*12*'Modelo Tarifário'!$B$5*'Modelo Tarifário'!$E$36)&gt;('Premissas Economias e Água'!AD237*12*'Modelo Tarifário'!$D$29*'Modelo Tarifário'!$E$36),('Premissas Economias e Água'!AD237*'Modelo Tarifário'!$I$36*12*'Modelo Tarifário'!$B$5*'Modelo Tarifário'!$E$36),('Premissas Economias e Água'!AD237*12*'Modelo Tarifário'!$D$29*'Modelo Tarifário'!$E$36))</f>
        <v>69649.506932326753</v>
      </c>
      <c r="AD95" s="1340">
        <f>IF(('Premissas Economias e Água'!AE237*'Modelo Tarifário'!$I$36*12*'Modelo Tarifário'!$B$5*'Modelo Tarifário'!$E$36)&gt;('Premissas Economias e Água'!AE237*12*'Modelo Tarifário'!$D$29*'Modelo Tarifário'!$E$36),('Premissas Economias e Água'!AE237*'Modelo Tarifário'!$I$36*12*'Modelo Tarifário'!$B$5*'Modelo Tarifário'!$E$36),('Premissas Economias e Água'!AE237*12*'Modelo Tarifário'!$D$29*'Modelo Tarifário'!$E$36))</f>
        <v>69867.483652554263</v>
      </c>
      <c r="AE95" s="1340">
        <f>IF(('Premissas Economias e Água'!AF237*'Modelo Tarifário'!$I$36*12*'Modelo Tarifário'!$B$5*'Modelo Tarifário'!$E$36)&gt;('Premissas Economias e Água'!AF237*12*'Modelo Tarifário'!$D$29*'Modelo Tarifário'!$E$36),('Premissas Economias e Água'!AF237*'Modelo Tarifário'!$I$36*12*'Modelo Tarifário'!$B$5*'Modelo Tarifário'!$E$36),('Premissas Economias e Água'!AF237*12*'Modelo Tarifário'!$D$29*'Modelo Tarifário'!$E$36))</f>
        <v>70085.460372781759</v>
      </c>
      <c r="AF95" s="1340">
        <f>IF(('Premissas Economias e Água'!AG237*'Modelo Tarifário'!$I$36*12*'Modelo Tarifário'!$B$5*'Modelo Tarifário'!$E$36)&gt;('Premissas Economias e Água'!AG237*12*'Modelo Tarifário'!$D$29*'Modelo Tarifário'!$E$36),('Premissas Economias e Água'!AG237*'Modelo Tarifário'!$I$36*12*'Modelo Tarifário'!$B$5*'Modelo Tarifário'!$E$36),('Premissas Economias e Água'!AG237*12*'Modelo Tarifário'!$D$29*'Modelo Tarifário'!$E$36))</f>
        <v>70303.437093009226</v>
      </c>
      <c r="AG95" s="1340">
        <f>IF(('Premissas Economias e Água'!AH237*'Modelo Tarifário'!$I$36*12*'Modelo Tarifário'!$B$5*'Modelo Tarifário'!$E$36)&gt;('Premissas Economias e Água'!AH237*12*'Modelo Tarifário'!$D$29*'Modelo Tarifário'!$E$36),('Premissas Economias e Água'!AH237*'Modelo Tarifário'!$I$36*12*'Modelo Tarifário'!$B$5*'Modelo Tarifário'!$E$36),('Premissas Economias e Água'!AH237*12*'Modelo Tarifário'!$D$29*'Modelo Tarifário'!$E$36))</f>
        <v>70521.413813236737</v>
      </c>
      <c r="AH95" s="1340">
        <f>IF(('Premissas Economias e Água'!AI237*'Modelo Tarifário'!$I$36*12*'Modelo Tarifário'!$B$5*'Modelo Tarifário'!$E$36)&gt;('Premissas Economias e Água'!AI237*12*'Modelo Tarifário'!$D$29*'Modelo Tarifário'!$E$36),('Premissas Economias e Água'!AI237*'Modelo Tarifário'!$I$36*12*'Modelo Tarifário'!$B$5*'Modelo Tarifário'!$E$36),('Premissas Economias e Água'!AI237*12*'Modelo Tarifário'!$D$29*'Modelo Tarifário'!$E$36))</f>
        <v>70739.390533464233</v>
      </c>
    </row>
    <row r="96" spans="2:34" s="79" customFormat="1" ht="12" hidden="1" outlineLevel="1" x14ac:dyDescent="0.3">
      <c r="B96" s="1339"/>
      <c r="C96" s="1335" t="s">
        <v>278</v>
      </c>
      <c r="D96" s="1335"/>
      <c r="E96" s="1340">
        <f>IF(((E8*'Modelo Tarifário'!$C$60*'Modelo Tarifário'!$E$37)*('Premissas Economias e Água'!F378))&gt;('Premissas Economias e Água'!F238*12*'Modelo Tarifário'!$D$29*'Modelo Tarifário'!$C$60*'Modelo Tarifário'!$E$37),(E8*'Modelo Tarifário'!$C$60*'Modelo Tarifário'!$E$37)*('Premissas Economias e Água'!F378),('Premissas Economias e Água'!F238*12*'Modelo Tarifário'!$D$29*'Modelo Tarifário'!$C$60*'Modelo Tarifário'!$E$37))</f>
        <v>267705.37056696904</v>
      </c>
      <c r="F96" s="1340">
        <f>IF(((F8*'Modelo Tarifário'!$C$60*'Modelo Tarifário'!$E$37)*('Premissas Economias e Água'!G378))&gt;('Premissas Economias e Água'!G238*12*'Modelo Tarifário'!$D$29*'Modelo Tarifário'!$C$60*'Modelo Tarifário'!$E$37),(F8*'Modelo Tarifário'!$C$60*'Modelo Tarifário'!$E$37)*('Premissas Economias e Água'!G378),('Premissas Economias e Água'!G238*12*'Modelo Tarifário'!$D$29*'Modelo Tarifário'!$C$60*'Modelo Tarifário'!$E$37))</f>
        <v>270026.76574304962</v>
      </c>
      <c r="G96" s="1340">
        <f>IF(((G8*'Modelo Tarifário'!$C$60*'Modelo Tarifário'!$E$37)*('Premissas Economias e Água'!H378))&gt;('Premissas Economias e Água'!H238*12*'Modelo Tarifário'!$D$29*'Modelo Tarifário'!$C$60*'Modelo Tarifário'!$E$37),(G8*'Modelo Tarifário'!$C$60*'Modelo Tarifário'!$E$37)*('Premissas Economias e Água'!H378),('Premissas Economias e Água'!H238*12*'Modelo Tarifário'!$D$29*'Modelo Tarifário'!$C$60*'Modelo Tarifário'!$E$37))</f>
        <v>272348.16091913026</v>
      </c>
      <c r="H96" s="1340">
        <f>IF(((H8*'Modelo Tarifário'!$C$60*'Modelo Tarifário'!$E$37)*('Premissas Economias e Água'!I378))&gt;('Premissas Economias e Água'!I238*12*'Modelo Tarifário'!$D$29*'Modelo Tarifário'!$C$60*'Modelo Tarifário'!$E$37),(H8*'Modelo Tarifário'!$C$60*'Modelo Tarifário'!$E$37)*('Premissas Economias e Água'!I378),('Premissas Economias e Água'!I238*12*'Modelo Tarifário'!$D$29*'Modelo Tarifário'!$C$60*'Modelo Tarifário'!$E$37))</f>
        <v>274669.55609521084</v>
      </c>
      <c r="I96" s="1340">
        <f>IF(((I8*'Modelo Tarifário'!$C$60*'Modelo Tarifário'!$E$37)*('Premissas Economias e Água'!J378))&gt;('Premissas Economias e Água'!J238*12*'Modelo Tarifário'!$D$29*'Modelo Tarifário'!$C$60*'Modelo Tarifário'!$E$37),(I8*'Modelo Tarifário'!$C$60*'Modelo Tarifário'!$E$37)*('Premissas Economias e Água'!J378),('Premissas Economias e Água'!J238*12*'Modelo Tarifário'!$D$29*'Modelo Tarifário'!$C$60*'Modelo Tarifário'!$E$37))</f>
        <v>276990.95127129147</v>
      </c>
      <c r="J96" s="1340">
        <f>IF(((J8*'Modelo Tarifário'!$C$60*'Modelo Tarifário'!$E$37)*('Premissas Economias e Água'!K378))&gt;('Premissas Economias e Água'!K238*12*'Modelo Tarifário'!$D$29*'Modelo Tarifário'!$C$60*'Modelo Tarifário'!$E$37),(J8*'Modelo Tarifário'!$C$60*'Modelo Tarifário'!$E$37)*('Premissas Economias e Água'!K378),('Premissas Economias e Água'!K238*12*'Modelo Tarifário'!$D$29*'Modelo Tarifário'!$C$60*'Modelo Tarifário'!$E$37))</f>
        <v>279277.69875817682</v>
      </c>
      <c r="K96" s="1340">
        <f>IF(((K8*'Modelo Tarifário'!$C$60*'Modelo Tarifário'!$E$37)*('Premissas Economias e Água'!L378))&gt;('Premissas Economias e Água'!L238*12*'Modelo Tarifário'!$D$29*'Modelo Tarifário'!$C$60*'Modelo Tarifário'!$E$37),(K8*'Modelo Tarifário'!$C$60*'Modelo Tarifário'!$E$37)*('Premissas Economias e Água'!L378),('Premissas Economias e Água'!L238*12*'Modelo Tarifário'!$D$29*'Modelo Tarifário'!$C$60*'Modelo Tarifário'!$E$37))</f>
        <v>281114.02628552419</v>
      </c>
      <c r="L96" s="1340">
        <f>IF(((L8*'Modelo Tarifário'!$C$60*'Modelo Tarifário'!$E$37)*('Premissas Economias e Água'!M378))&gt;('Premissas Economias e Água'!M238*12*'Modelo Tarifário'!$D$29*'Modelo Tarifário'!$C$60*'Modelo Tarifário'!$E$37),(L8*'Modelo Tarifário'!$C$60*'Modelo Tarifário'!$E$37)*('Premissas Economias e Água'!M378),('Premissas Economias e Água'!M238*12*'Modelo Tarifário'!$D$29*'Modelo Tarifário'!$C$60*'Modelo Tarifário'!$E$37))</f>
        <v>282950.35381287162</v>
      </c>
      <c r="M96" s="1340">
        <f>IF(((M8*'Modelo Tarifário'!$C$60*'Modelo Tarifário'!$E$37)*('Premissas Economias e Água'!N378))&gt;('Premissas Economias e Água'!N238*12*'Modelo Tarifário'!$D$29*'Modelo Tarifário'!$C$60*'Modelo Tarifário'!$E$37),(M8*'Modelo Tarifário'!$C$60*'Modelo Tarifário'!$E$37)*('Premissas Economias e Água'!N378),('Premissas Economias e Água'!N238*12*'Modelo Tarifário'!$D$29*'Modelo Tarifário'!$C$60*'Modelo Tarifário'!$E$37))</f>
        <v>284786.68134021893</v>
      </c>
      <c r="N96" s="1340">
        <f>IF(((N8*'Modelo Tarifário'!$C$60*'Modelo Tarifário'!$E$37)*('Premissas Economias e Água'!O378))&gt;('Premissas Economias e Água'!O238*12*'Modelo Tarifário'!$D$29*'Modelo Tarifário'!$C$60*'Modelo Tarifário'!$E$37),(N8*'Modelo Tarifário'!$C$60*'Modelo Tarifário'!$E$37)*('Premissas Economias e Água'!O378),('Premissas Economias e Água'!O238*12*'Modelo Tarifário'!$D$29*'Modelo Tarifário'!$C$60*'Modelo Tarifário'!$E$37))</f>
        <v>286623.00886756624</v>
      </c>
      <c r="O96" s="1340">
        <f>IF(((O8*'Modelo Tarifário'!$C$60*'Modelo Tarifário'!$E$37)*('Premissas Economias e Água'!P378))&gt;('Premissas Economias e Água'!P238*12*'Modelo Tarifário'!$D$29*'Modelo Tarifário'!$C$60*'Modelo Tarifário'!$E$37),(O8*'Modelo Tarifário'!$C$60*'Modelo Tarifário'!$E$37)*('Premissas Economias e Água'!P378),('Premissas Economias e Água'!P238*12*'Modelo Tarifário'!$D$29*'Modelo Tarifário'!$C$60*'Modelo Tarifário'!$E$37))</f>
        <v>288476.66023951129</v>
      </c>
      <c r="P96" s="1340">
        <f>IF(((P8*'Modelo Tarifário'!$C$60*'Modelo Tarifário'!$E$37)*('Premissas Economias e Água'!Q378))&gt;('Premissas Economias e Água'!Q238*12*'Modelo Tarifário'!$D$29*'Modelo Tarifário'!$C$60*'Modelo Tarifário'!$E$37),(P8*'Modelo Tarifário'!$C$60*'Modelo Tarifário'!$E$37)*('Premissas Economias e Água'!Q378),('Premissas Economias e Água'!Q238*12*'Modelo Tarifário'!$D$29*'Modelo Tarifário'!$C$60*'Modelo Tarifário'!$E$37))</f>
        <v>289949.18703030871</v>
      </c>
      <c r="Q96" s="1340">
        <f>IF(((Q8*'Modelo Tarifário'!$C$60*'Modelo Tarifário'!$E$37)*('Premissas Economias e Água'!R378))&gt;('Premissas Economias e Água'!R238*12*'Modelo Tarifário'!$D$29*'Modelo Tarifário'!$C$60*'Modelo Tarifário'!$E$37),(Q8*'Modelo Tarifário'!$C$60*'Modelo Tarifário'!$E$37)*('Premissas Economias e Água'!R378),('Premissas Economias e Água'!R238*12*'Modelo Tarifário'!$D$29*'Modelo Tarifário'!$C$60*'Modelo Tarifário'!$E$37))</f>
        <v>291421.71382110612</v>
      </c>
      <c r="R96" s="1340">
        <f>IF(((R8*'Modelo Tarifário'!$C$60*'Modelo Tarifário'!$E$37)*('Premissas Economias e Água'!S378))&gt;('Premissas Economias e Água'!S238*12*'Modelo Tarifário'!$D$29*'Modelo Tarifário'!$C$60*'Modelo Tarifário'!$E$37),(R8*'Modelo Tarifário'!$C$60*'Modelo Tarifário'!$E$37)*('Premissas Economias e Água'!S378),('Premissas Economias e Água'!S238*12*'Modelo Tarifário'!$D$29*'Modelo Tarifário'!$C$60*'Modelo Tarifário'!$E$37))</f>
        <v>292894.24061190349</v>
      </c>
      <c r="S96" s="1340">
        <f>IF(((S8*'Modelo Tarifário'!$C$60*'Modelo Tarifário'!$E$37)*('Premissas Economias e Água'!T378))&gt;('Premissas Economias e Água'!T238*12*'Modelo Tarifário'!$D$29*'Modelo Tarifário'!$C$60*'Modelo Tarifário'!$E$37),(S8*'Modelo Tarifário'!$C$60*'Modelo Tarifário'!$E$37)*('Premissas Economias e Água'!T378),('Premissas Economias e Água'!T238*12*'Modelo Tarifário'!$D$29*'Modelo Tarifário'!$C$60*'Modelo Tarifário'!$E$37))</f>
        <v>294366.76740270091</v>
      </c>
      <c r="T96" s="1340">
        <f>IF(((T8*'Modelo Tarifário'!$C$60*'Modelo Tarifário'!$E$37)*('Premissas Economias e Água'!U378))&gt;('Premissas Economias e Água'!U238*12*'Modelo Tarifário'!$D$29*'Modelo Tarifário'!$C$60*'Modelo Tarifário'!$E$37),(T8*'Modelo Tarifário'!$C$60*'Modelo Tarifário'!$E$37)*('Premissas Economias e Água'!U378),('Premissas Economias e Água'!U238*12*'Modelo Tarifário'!$D$29*'Modelo Tarifário'!$C$60*'Modelo Tarifário'!$E$37))</f>
        <v>295856.61803809594</v>
      </c>
      <c r="U96" s="1340">
        <f>IF(((U8*'Modelo Tarifário'!$C$60*'Modelo Tarifário'!$E$37)*('Premissas Economias e Água'!V378))&gt;('Premissas Economias e Água'!V238*12*'Modelo Tarifário'!$D$29*'Modelo Tarifário'!$C$60*'Modelo Tarifário'!$E$37),(U8*'Modelo Tarifário'!$C$60*'Modelo Tarifário'!$E$37)*('Premissas Economias e Água'!V378),('Premissas Economias e Água'!V238*12*'Modelo Tarifário'!$D$29*'Modelo Tarifário'!$C$60*'Modelo Tarifário'!$E$37))</f>
        <v>296809.4294909648</v>
      </c>
      <c r="V96" s="1340">
        <f>IF(((V8*'Modelo Tarifário'!$C$60*'Modelo Tarifário'!$E$37)*('Premissas Economias e Água'!W378))&gt;('Premissas Economias e Água'!W238*12*'Modelo Tarifário'!$D$29*'Modelo Tarifário'!$C$60*'Modelo Tarifário'!$E$37),(V8*'Modelo Tarifário'!$C$60*'Modelo Tarifário'!$E$37)*('Premissas Economias e Água'!W378),('Premissas Economias e Água'!W238*12*'Modelo Tarifário'!$D$29*'Modelo Tarifário'!$C$60*'Modelo Tarifário'!$E$37))</f>
        <v>297762.24094383378</v>
      </c>
      <c r="W96" s="1340">
        <f>IF(((W8*'Modelo Tarifário'!$C$60*'Modelo Tarifário'!$E$37)*('Premissas Economias e Água'!X378))&gt;('Premissas Economias e Água'!X238*12*'Modelo Tarifário'!$D$29*'Modelo Tarifário'!$C$60*'Modelo Tarifário'!$E$37),(W8*'Modelo Tarifário'!$C$60*'Modelo Tarifário'!$E$37)*('Premissas Economias e Água'!X378),('Premissas Economias e Água'!X238*12*'Modelo Tarifário'!$D$29*'Modelo Tarifário'!$C$60*'Modelo Tarifário'!$E$37))</f>
        <v>298715.05239670264</v>
      </c>
      <c r="X96" s="1340">
        <f>IF(((X8*'Modelo Tarifário'!$C$60*'Modelo Tarifário'!$E$37)*('Premissas Economias e Água'!Y378))&gt;('Premissas Economias e Água'!Y238*12*'Modelo Tarifário'!$D$29*'Modelo Tarifário'!$C$60*'Modelo Tarifário'!$E$37),(X8*'Modelo Tarifário'!$C$60*'Modelo Tarifário'!$E$37)*('Premissas Economias e Água'!Y378),('Premissas Economias e Água'!Y238*12*'Modelo Tarifário'!$D$29*'Modelo Tarifário'!$C$60*'Modelo Tarifário'!$E$37))</f>
        <v>299667.86384957156</v>
      </c>
      <c r="Y96" s="1340">
        <f>IF(((Y8*'Modelo Tarifário'!$C$60*'Modelo Tarifário'!$E$37)*('Premissas Economias e Água'!Z378))&gt;('Premissas Economias e Água'!Z238*12*'Modelo Tarifário'!$D$29*'Modelo Tarifário'!$C$60*'Modelo Tarifário'!$E$37),(Y8*'Modelo Tarifário'!$C$60*'Modelo Tarifário'!$E$37)*('Premissas Economias e Água'!Z378),('Premissas Economias e Água'!Z238*12*'Modelo Tarifário'!$D$29*'Modelo Tarifário'!$C$60*'Modelo Tarifário'!$E$37))</f>
        <v>300637.99914703809</v>
      </c>
      <c r="Z96" s="1340">
        <f>IF(((Z8*'Modelo Tarifário'!$C$60*'Modelo Tarifário'!$E$37)*('Premissas Economias e Água'!AA378))&gt;('Premissas Economias e Água'!AA238*12*'Modelo Tarifário'!$D$29*'Modelo Tarifário'!$C$60*'Modelo Tarifário'!$E$37),(Z8*'Modelo Tarifário'!$C$60*'Modelo Tarifário'!$E$37)*('Premissas Economias e Água'!AA378),('Premissas Economias e Água'!AA238*12*'Modelo Tarifário'!$D$29*'Modelo Tarifário'!$C$60*'Modelo Tarifário'!$E$37))</f>
        <v>301590.81059990701</v>
      </c>
      <c r="AA96" s="1340">
        <f>IF(((AA8*'Modelo Tarifário'!$C$60*'Modelo Tarifário'!$E$37)*('Premissas Economias e Água'!AB378))&gt;('Premissas Economias e Água'!AB238*12*'Modelo Tarifário'!$D$29*'Modelo Tarifário'!$C$60*'Modelo Tarifário'!$E$37),(AA8*'Modelo Tarifário'!$C$60*'Modelo Tarifário'!$E$37)*('Premissas Economias e Água'!AB378),('Premissas Economias e Água'!AB238*12*'Modelo Tarifário'!$D$29*'Modelo Tarifário'!$C$60*'Modelo Tarifário'!$E$37))</f>
        <v>302543.62205277599</v>
      </c>
      <c r="AB96" s="1340">
        <f>IF(((AB8*'Modelo Tarifário'!$C$60*'Modelo Tarifário'!$E$37)*('Premissas Economias e Água'!AC378))&gt;('Premissas Economias e Água'!AC238*12*'Modelo Tarifário'!$D$29*'Modelo Tarifário'!$C$60*'Modelo Tarifário'!$E$37),(AB8*'Modelo Tarifário'!$C$60*'Modelo Tarifário'!$E$37)*('Premissas Economias e Água'!AC378),('Premissas Economias e Água'!AC238*12*'Modelo Tarifário'!$D$29*'Modelo Tarifário'!$C$60*'Modelo Tarifário'!$E$37))</f>
        <v>303496.43350564479</v>
      </c>
      <c r="AC96" s="1340">
        <f>IF(((AC8*'Modelo Tarifário'!$C$60*'Modelo Tarifário'!$E$37)*('Premissas Economias e Água'!AD378))&gt;('Premissas Economias e Água'!AD238*12*'Modelo Tarifário'!$D$29*'Modelo Tarifário'!$C$60*'Modelo Tarifário'!$E$37),(AC8*'Modelo Tarifário'!$C$60*'Modelo Tarifário'!$E$37)*('Premissas Economias e Água'!AD378),('Premissas Economias e Água'!AD238*12*'Modelo Tarifário'!$D$29*'Modelo Tarifário'!$C$60*'Modelo Tarifário'!$E$37))</f>
        <v>304449.24495851371</v>
      </c>
      <c r="AD96" s="1340">
        <f>IF(((AD8*'Modelo Tarifário'!$C$60*'Modelo Tarifário'!$E$37)*('Premissas Economias e Água'!AE378))&gt;('Premissas Economias e Água'!AE238*12*'Modelo Tarifário'!$D$29*'Modelo Tarifário'!$C$60*'Modelo Tarifário'!$E$37),(AD8*'Modelo Tarifário'!$C$60*'Modelo Tarifário'!$E$37)*('Premissas Economias e Água'!AE378),('Premissas Economias e Água'!AE238*12*'Modelo Tarifário'!$D$29*'Modelo Tarifário'!$C$60*'Modelo Tarifário'!$E$37))</f>
        <v>305402.05641138268</v>
      </c>
      <c r="AE96" s="1340">
        <f>IF(((AE8*'Modelo Tarifário'!$C$60*'Modelo Tarifário'!$E$37)*('Premissas Economias e Água'!AF378))&gt;('Premissas Economias e Água'!AF238*12*'Modelo Tarifário'!$D$29*'Modelo Tarifário'!$C$60*'Modelo Tarifário'!$E$37),(AE8*'Modelo Tarifário'!$C$60*'Modelo Tarifário'!$E$37)*('Premissas Economias e Água'!AF378),('Premissas Economias e Água'!AF238*12*'Modelo Tarifário'!$D$29*'Modelo Tarifário'!$C$60*'Modelo Tarifário'!$E$37))</f>
        <v>306354.8678642516</v>
      </c>
      <c r="AF96" s="1340">
        <f>IF(((AF8*'Modelo Tarifário'!$C$60*'Modelo Tarifário'!$E$37)*('Premissas Economias e Água'!AG378))&gt;('Premissas Economias e Água'!AG238*12*'Modelo Tarifário'!$D$29*'Modelo Tarifário'!$C$60*'Modelo Tarifário'!$E$37),(AF8*'Modelo Tarifário'!$C$60*'Modelo Tarifário'!$E$37)*('Premissas Economias e Água'!AG378),('Premissas Economias e Água'!AG238*12*'Modelo Tarifário'!$D$29*'Modelo Tarifário'!$C$60*'Modelo Tarifário'!$E$37))</f>
        <v>307307.67931712046</v>
      </c>
      <c r="AG96" s="1340">
        <f>IF(((AG8*'Modelo Tarifário'!$C$60*'Modelo Tarifário'!$E$37)*('Premissas Economias e Água'!AH378))&gt;('Premissas Economias e Água'!AH238*12*'Modelo Tarifário'!$D$29*'Modelo Tarifário'!$C$60*'Modelo Tarifário'!$E$37),(AG8*'Modelo Tarifário'!$C$60*'Modelo Tarifário'!$E$37)*('Premissas Economias e Água'!AH378),('Premissas Economias e Água'!AH238*12*'Modelo Tarifário'!$D$29*'Modelo Tarifário'!$C$60*'Modelo Tarifário'!$E$37))</f>
        <v>308260.49076998938</v>
      </c>
      <c r="AH96" s="1340">
        <f>IF(((AH8*'Modelo Tarifário'!$C$60*'Modelo Tarifário'!$E$37)*('Premissas Economias e Água'!AI378))&gt;('Premissas Economias e Água'!AI238*12*'Modelo Tarifário'!$D$29*'Modelo Tarifário'!$C$60*'Modelo Tarifário'!$E$37),(AH8*'Modelo Tarifário'!$C$60*'Modelo Tarifário'!$E$37)*('Premissas Economias e Água'!AI378),('Premissas Economias e Água'!AI238*12*'Modelo Tarifário'!$D$29*'Modelo Tarifário'!$C$60*'Modelo Tarifário'!$E$37))</f>
        <v>309213.3022228583</v>
      </c>
    </row>
    <row r="97" spans="2:34" s="79" customFormat="1" ht="12" hidden="1" outlineLevel="1" x14ac:dyDescent="0.3">
      <c r="B97" s="1339"/>
      <c r="C97" s="1335" t="s">
        <v>279</v>
      </c>
      <c r="D97" s="1335"/>
      <c r="E97" s="1340">
        <f>IF(((E8*'Modelo Tarifário'!$C$60*'Modelo Tarifário'!$E$38)*('Premissas Economias e Água'!F379))&gt;('Premissas Economias e Água'!F239*12*'Modelo Tarifário'!$D$29*'Modelo Tarifário'!$C$60*'Modelo Tarifário'!$E$38),(E8*'Modelo Tarifário'!$C$60*'Modelo Tarifário'!$E$38)*('Premissas Economias e Água'!F379),('Premissas Economias e Água'!F239*12*'Modelo Tarifário'!$D$29*'Modelo Tarifário'!$C$60*'Modelo Tarifário'!$E$38))</f>
        <v>307834.40948483732</v>
      </c>
      <c r="F97" s="1340">
        <f>IF(((F8*'Modelo Tarifário'!$C$60*'Modelo Tarifário'!$E$38)*('Premissas Economias e Água'!G379))&gt;('Premissas Economias e Água'!G239*12*'Modelo Tarifário'!$D$29*'Modelo Tarifário'!$C$60*'Modelo Tarifário'!$E$38),(F8*'Modelo Tarifário'!$C$60*'Modelo Tarifário'!$E$38)*('Premissas Economias e Água'!G379),('Premissas Economias e Água'!G239*12*'Modelo Tarifário'!$D$29*'Modelo Tarifário'!$C$60*'Modelo Tarifário'!$E$38))</f>
        <v>310503.78183136985</v>
      </c>
      <c r="G97" s="1340">
        <f>IF(((G8*'Modelo Tarifário'!$C$60*'Modelo Tarifário'!$E$38)*('Premissas Economias e Água'!H379))&gt;('Premissas Economias e Água'!H239*12*'Modelo Tarifário'!$D$29*'Modelo Tarifário'!$C$60*'Modelo Tarifário'!$E$38),(G8*'Modelo Tarifário'!$C$60*'Modelo Tarifário'!$E$38)*('Premissas Economias e Água'!H379),('Premissas Economias e Água'!H239*12*'Modelo Tarifário'!$D$29*'Modelo Tarifário'!$C$60*'Modelo Tarifário'!$E$38))</f>
        <v>313173.1541779025</v>
      </c>
      <c r="H97" s="1340">
        <f>IF(((H8*'Modelo Tarifário'!$C$60*'Modelo Tarifário'!$E$38)*('Premissas Economias e Água'!I379))&gt;('Premissas Economias e Água'!I239*12*'Modelo Tarifário'!$D$29*'Modelo Tarifário'!$C$60*'Modelo Tarifário'!$E$38),(H8*'Modelo Tarifário'!$C$60*'Modelo Tarifário'!$E$38)*('Premissas Economias e Água'!I379),('Premissas Economias e Água'!I239*12*'Modelo Tarifário'!$D$29*'Modelo Tarifário'!$C$60*'Modelo Tarifário'!$E$38))</f>
        <v>315842.52652443509</v>
      </c>
      <c r="I97" s="1340">
        <f>IF(((I8*'Modelo Tarifário'!$C$60*'Modelo Tarifário'!$E$38)*('Premissas Economias e Água'!J379))&gt;('Premissas Economias e Água'!J239*12*'Modelo Tarifário'!$D$29*'Modelo Tarifário'!$C$60*'Modelo Tarifário'!$E$38),(I8*'Modelo Tarifário'!$C$60*'Modelo Tarifário'!$E$38)*('Premissas Economias e Água'!J379),('Premissas Economias e Água'!J239*12*'Modelo Tarifário'!$D$29*'Modelo Tarifário'!$C$60*'Modelo Tarifário'!$E$38))</f>
        <v>318511.89887096768</v>
      </c>
      <c r="J97" s="1340">
        <f>IF(((J8*'Modelo Tarifário'!$C$60*'Modelo Tarifário'!$E$38)*('Premissas Economias e Água'!K379))&gt;('Premissas Economias e Água'!K239*12*'Modelo Tarifário'!$D$29*'Modelo Tarifário'!$C$60*'Modelo Tarifário'!$E$38),(J8*'Modelo Tarifário'!$C$60*'Modelo Tarifário'!$E$38)*('Premissas Economias e Água'!K379),('Premissas Economias e Água'!K239*12*'Modelo Tarifário'!$D$29*'Modelo Tarifário'!$C$60*'Modelo Tarifário'!$E$38))</f>
        <v>321141.42983919376</v>
      </c>
      <c r="K97" s="1340">
        <f>IF(((K8*'Modelo Tarifário'!$C$60*'Modelo Tarifário'!$E$38)*('Premissas Economias e Água'!L379))&gt;('Premissas Economias e Água'!L239*12*'Modelo Tarifário'!$D$29*'Modelo Tarifário'!$C$60*'Modelo Tarifário'!$E$38),(K8*'Modelo Tarifário'!$C$60*'Modelo Tarifário'!$E$38)*('Premissas Economias e Água'!L379),('Premissas Economias e Água'!L239*12*'Modelo Tarifário'!$D$29*'Modelo Tarifário'!$C$60*'Modelo Tarifário'!$E$38))</f>
        <v>323253.02288943599</v>
      </c>
      <c r="L97" s="1340">
        <f>IF(((L8*'Modelo Tarifário'!$C$60*'Modelo Tarifário'!$E$38)*('Premissas Economias e Água'!M379))&gt;('Premissas Economias e Água'!M239*12*'Modelo Tarifário'!$D$29*'Modelo Tarifário'!$C$60*'Modelo Tarifário'!$E$38),(L8*'Modelo Tarifário'!$C$60*'Modelo Tarifário'!$E$38)*('Premissas Economias e Água'!M379),('Premissas Economias e Água'!M239*12*'Modelo Tarifário'!$D$29*'Modelo Tarifário'!$C$60*'Modelo Tarifário'!$E$38))</f>
        <v>325364.61593967816</v>
      </c>
      <c r="M97" s="1340">
        <f>IF(((M8*'Modelo Tarifário'!$C$60*'Modelo Tarifário'!$E$38)*('Premissas Economias e Água'!N379))&gt;('Premissas Economias e Água'!N239*12*'Modelo Tarifário'!$D$29*'Modelo Tarifário'!$C$60*'Modelo Tarifário'!$E$38),(M8*'Modelo Tarifário'!$C$60*'Modelo Tarifário'!$E$38)*('Premissas Economias e Água'!N379),('Premissas Economias e Água'!N239*12*'Modelo Tarifário'!$D$29*'Modelo Tarifário'!$C$60*'Modelo Tarifário'!$E$38))</f>
        <v>327476.20898992044</v>
      </c>
      <c r="N97" s="1340">
        <f>IF(((N8*'Modelo Tarifário'!$C$60*'Modelo Tarifário'!$E$38)*('Premissas Economias e Água'!O379))&gt;('Premissas Economias e Água'!O239*12*'Modelo Tarifário'!$D$29*'Modelo Tarifário'!$C$60*'Modelo Tarifário'!$E$38),(N8*'Modelo Tarifário'!$C$60*'Modelo Tarifário'!$E$38)*('Premissas Economias e Água'!O379),('Premissas Economias e Água'!O239*12*'Modelo Tarifário'!$D$29*'Modelo Tarifário'!$C$60*'Modelo Tarifário'!$E$38))</f>
        <v>329587.80204016255</v>
      </c>
      <c r="O97" s="1340">
        <f>IF(((O8*'Modelo Tarifário'!$C$60*'Modelo Tarifário'!$E$38)*('Premissas Economias e Água'!P379))&gt;('Premissas Economias e Água'!P239*12*'Modelo Tarifário'!$D$29*'Modelo Tarifário'!$C$60*'Modelo Tarifário'!$E$38),(O8*'Modelo Tarifário'!$C$60*'Modelo Tarifário'!$E$38)*('Premissas Economias e Água'!P379),('Premissas Economias e Água'!P239*12*'Modelo Tarifário'!$D$29*'Modelo Tarifário'!$C$60*'Modelo Tarifário'!$E$38))</f>
        <v>331719.31577955809</v>
      </c>
      <c r="P97" s="1340">
        <f>IF(((P8*'Modelo Tarifário'!$C$60*'Modelo Tarifário'!$E$38)*('Premissas Economias e Água'!Q379))&gt;('Premissas Economias e Água'!Q239*12*'Modelo Tarifário'!$D$29*'Modelo Tarifário'!$C$60*'Modelo Tarifário'!$E$38),(P8*'Modelo Tarifário'!$C$60*'Modelo Tarifário'!$E$38)*('Premissas Economias e Água'!Q379),('Premissas Economias e Água'!Q239*12*'Modelo Tarifário'!$D$29*'Modelo Tarifário'!$C$60*'Modelo Tarifário'!$E$38))</f>
        <v>333412.57435758249</v>
      </c>
      <c r="Q97" s="1340">
        <f>IF(((Q8*'Modelo Tarifário'!$C$60*'Modelo Tarifário'!$E$38)*('Premissas Economias e Água'!R379))&gt;('Premissas Economias e Água'!R239*12*'Modelo Tarifário'!$D$29*'Modelo Tarifário'!$C$60*'Modelo Tarifário'!$E$38),(Q8*'Modelo Tarifário'!$C$60*'Modelo Tarifário'!$E$38)*('Premissas Economias e Água'!R379),('Premissas Economias e Água'!R239*12*'Modelo Tarifário'!$D$29*'Modelo Tarifário'!$C$60*'Modelo Tarifário'!$E$38))</f>
        <v>335105.83293560689</v>
      </c>
      <c r="R97" s="1340">
        <f>IF(((R8*'Modelo Tarifário'!$C$60*'Modelo Tarifário'!$E$38)*('Premissas Economias e Água'!S379))&gt;('Premissas Economias e Água'!S239*12*'Modelo Tarifário'!$D$29*'Modelo Tarifário'!$C$60*'Modelo Tarifário'!$E$38),(R8*'Modelo Tarifário'!$C$60*'Modelo Tarifário'!$E$38)*('Premissas Economias e Água'!S379),('Premissas Economias e Água'!S239*12*'Modelo Tarifário'!$D$29*'Modelo Tarifário'!$C$60*'Modelo Tarifário'!$E$38))</f>
        <v>336799.09151363134</v>
      </c>
      <c r="S97" s="1340">
        <f>IF(((S8*'Modelo Tarifário'!$C$60*'Modelo Tarifário'!$E$38)*('Premissas Economias e Água'!T379))&gt;('Premissas Economias e Água'!T239*12*'Modelo Tarifário'!$D$29*'Modelo Tarifário'!$C$60*'Modelo Tarifário'!$E$38),(S8*'Modelo Tarifário'!$C$60*'Modelo Tarifário'!$E$38)*('Premissas Economias e Água'!T379),('Premissas Economias e Água'!T239*12*'Modelo Tarifário'!$D$29*'Modelo Tarifário'!$C$60*'Modelo Tarifário'!$E$38))</f>
        <v>338492.35009165568</v>
      </c>
      <c r="T97" s="1340">
        <f>IF(((T8*'Modelo Tarifário'!$C$60*'Modelo Tarifário'!$E$38)*('Premissas Economias e Água'!U379))&gt;('Premissas Economias e Água'!U239*12*'Modelo Tarifário'!$D$29*'Modelo Tarifário'!$C$60*'Modelo Tarifário'!$E$38),(T8*'Modelo Tarifário'!$C$60*'Modelo Tarifário'!$E$38)*('Premissas Economias e Água'!U379),('Premissas Economias e Água'!U239*12*'Modelo Tarifário'!$D$29*'Modelo Tarifário'!$C$60*'Modelo Tarifário'!$E$38))</f>
        <v>340205.52935883333</v>
      </c>
      <c r="U97" s="1340">
        <f>IF(((U8*'Modelo Tarifário'!$C$60*'Modelo Tarifário'!$E$38)*('Premissas Economias e Água'!V379))&gt;('Premissas Economias e Água'!V239*12*'Modelo Tarifário'!$D$29*'Modelo Tarifário'!$C$60*'Modelo Tarifário'!$E$38),(U8*'Modelo Tarifário'!$C$60*'Modelo Tarifário'!$E$38)*('Premissas Economias e Água'!V379),('Premissas Economias e Água'!V239*12*'Modelo Tarifário'!$D$29*'Modelo Tarifário'!$C$60*'Modelo Tarifário'!$E$38))</f>
        <v>341301.16726226086</v>
      </c>
      <c r="V97" s="1340">
        <f>IF(((V8*'Modelo Tarifário'!$C$60*'Modelo Tarifário'!$E$38)*('Premissas Economias e Água'!W379))&gt;('Premissas Economias e Água'!W239*12*'Modelo Tarifário'!$D$29*'Modelo Tarifário'!$C$60*'Modelo Tarifário'!$E$38),(V8*'Modelo Tarifário'!$C$60*'Modelo Tarifário'!$E$38)*('Premissas Economias e Água'!W379),('Premissas Economias e Água'!W239*12*'Modelo Tarifário'!$D$29*'Modelo Tarifário'!$C$60*'Modelo Tarifário'!$E$38))</f>
        <v>342396.80516568845</v>
      </c>
      <c r="W97" s="1340">
        <f>IF(((W8*'Modelo Tarifário'!$C$60*'Modelo Tarifário'!$E$38)*('Premissas Economias e Água'!X379))&gt;('Premissas Economias e Água'!X239*12*'Modelo Tarifário'!$D$29*'Modelo Tarifário'!$C$60*'Modelo Tarifário'!$E$38),(W8*'Modelo Tarifário'!$C$60*'Modelo Tarifário'!$E$38)*('Premissas Economias e Água'!X379),('Premissas Economias e Água'!X239*12*'Modelo Tarifário'!$D$29*'Modelo Tarifário'!$C$60*'Modelo Tarifário'!$E$38))</f>
        <v>343492.44306911598</v>
      </c>
      <c r="X97" s="1340">
        <f>IF(((X8*'Modelo Tarifário'!$C$60*'Modelo Tarifário'!$E$38)*('Premissas Economias e Água'!Y379))&gt;('Premissas Economias e Água'!Y239*12*'Modelo Tarifário'!$D$29*'Modelo Tarifário'!$C$60*'Modelo Tarifário'!$E$38),(X8*'Modelo Tarifário'!$C$60*'Modelo Tarifário'!$E$38)*('Premissas Economias e Água'!Y379),('Premissas Economias e Água'!Y239*12*'Modelo Tarifário'!$D$29*'Modelo Tarifário'!$C$60*'Modelo Tarifário'!$E$38))</f>
        <v>344588.08097254351</v>
      </c>
      <c r="Y97" s="1340">
        <f>IF(((Y8*'Modelo Tarifário'!$C$60*'Modelo Tarifário'!$E$38)*('Premissas Economias e Água'!Z379))&gt;('Premissas Economias e Água'!Z239*12*'Modelo Tarifário'!$D$29*'Modelo Tarifário'!$C$60*'Modelo Tarifário'!$E$38),(Y8*'Modelo Tarifário'!$C$60*'Modelo Tarifário'!$E$38)*('Premissas Economias e Água'!Z379),('Premissas Economias e Água'!Z239*12*'Modelo Tarifário'!$D$29*'Modelo Tarifário'!$C$60*'Modelo Tarifário'!$E$38))</f>
        <v>345703.63956512429</v>
      </c>
      <c r="Z97" s="1340">
        <f>IF(((Z8*'Modelo Tarifário'!$C$60*'Modelo Tarifário'!$E$38)*('Premissas Economias e Água'!AA379))&gt;('Premissas Economias e Água'!AA239*12*'Modelo Tarifário'!$D$29*'Modelo Tarifário'!$C$60*'Modelo Tarifário'!$E$38),(Z8*'Modelo Tarifário'!$C$60*'Modelo Tarifário'!$E$38)*('Premissas Economias e Água'!AA379),('Premissas Economias e Água'!AA239*12*'Modelo Tarifário'!$D$29*'Modelo Tarifário'!$C$60*'Modelo Tarifário'!$E$38))</f>
        <v>346799.27746855182</v>
      </c>
      <c r="AA97" s="1340">
        <f>IF(((AA8*'Modelo Tarifário'!$C$60*'Modelo Tarifário'!$E$38)*('Premissas Economias e Água'!AB379))&gt;('Premissas Economias e Água'!AB239*12*'Modelo Tarifário'!$D$29*'Modelo Tarifário'!$C$60*'Modelo Tarifário'!$E$38),(AA8*'Modelo Tarifário'!$C$60*'Modelo Tarifário'!$E$38)*('Premissas Economias e Água'!AB379),('Premissas Economias e Água'!AB239*12*'Modelo Tarifário'!$D$29*'Modelo Tarifário'!$C$60*'Modelo Tarifário'!$E$38))</f>
        <v>347894.91537197947</v>
      </c>
      <c r="AB97" s="1340">
        <f>IF(((AB8*'Modelo Tarifário'!$C$60*'Modelo Tarifário'!$E$38)*('Premissas Economias e Água'!AC379))&gt;('Premissas Economias e Água'!AC239*12*'Modelo Tarifário'!$D$29*'Modelo Tarifário'!$C$60*'Modelo Tarifário'!$E$38),(AB8*'Modelo Tarifário'!$C$60*'Modelo Tarifário'!$E$38)*('Premissas Economias e Água'!AC379),('Premissas Economias e Água'!AC239*12*'Modelo Tarifário'!$D$29*'Modelo Tarifário'!$C$60*'Modelo Tarifário'!$E$38))</f>
        <v>348990.553275407</v>
      </c>
      <c r="AC97" s="1340">
        <f>IF(((AC8*'Modelo Tarifário'!$C$60*'Modelo Tarifário'!$E$38)*('Premissas Economias e Água'!AD379))&gt;('Premissas Economias e Água'!AD239*12*'Modelo Tarifário'!$D$29*'Modelo Tarifário'!$C$60*'Modelo Tarifário'!$E$38),(AC8*'Modelo Tarifário'!$C$60*'Modelo Tarifário'!$E$38)*('Premissas Economias e Água'!AD379),('Premissas Economias e Água'!AD239*12*'Modelo Tarifário'!$D$29*'Modelo Tarifário'!$C$60*'Modelo Tarifário'!$E$38))</f>
        <v>350086.19117883453</v>
      </c>
      <c r="AD97" s="1340">
        <f>IF(((AD8*'Modelo Tarifário'!$C$60*'Modelo Tarifário'!$E$38)*('Premissas Economias e Água'!AE379))&gt;('Premissas Economias e Água'!AE239*12*'Modelo Tarifário'!$D$29*'Modelo Tarifário'!$C$60*'Modelo Tarifário'!$E$38),(AD8*'Modelo Tarifário'!$C$60*'Modelo Tarifário'!$E$38)*('Premissas Economias e Água'!AE379),('Premissas Economias e Água'!AE239*12*'Modelo Tarifário'!$D$29*'Modelo Tarifário'!$C$60*'Modelo Tarifário'!$E$38))</f>
        <v>351181.82908226212</v>
      </c>
      <c r="AE97" s="1340">
        <f>IF(((AE8*'Modelo Tarifário'!$C$60*'Modelo Tarifário'!$E$38)*('Premissas Economias e Água'!AF379))&gt;('Premissas Economias e Água'!AF239*12*'Modelo Tarifário'!$D$29*'Modelo Tarifário'!$C$60*'Modelo Tarifário'!$E$38),(AE8*'Modelo Tarifário'!$C$60*'Modelo Tarifário'!$E$38)*('Premissas Economias e Água'!AF379),('Premissas Economias e Água'!AF239*12*'Modelo Tarifário'!$D$29*'Modelo Tarifário'!$C$60*'Modelo Tarifário'!$E$38))</f>
        <v>352277.46698568965</v>
      </c>
      <c r="AF97" s="1340">
        <f>IF(((AF8*'Modelo Tarifário'!$C$60*'Modelo Tarifário'!$E$38)*('Premissas Economias e Água'!AG379))&gt;('Premissas Economias e Água'!AG239*12*'Modelo Tarifário'!$D$29*'Modelo Tarifário'!$C$60*'Modelo Tarifário'!$E$38),(AF8*'Modelo Tarifário'!$C$60*'Modelo Tarifário'!$E$38)*('Premissas Economias e Água'!AG379),('Premissas Economias e Água'!AG239*12*'Modelo Tarifário'!$D$29*'Modelo Tarifário'!$C$60*'Modelo Tarifário'!$E$38))</f>
        <v>353373.10488911724</v>
      </c>
      <c r="AG97" s="1340">
        <f>IF(((AG8*'Modelo Tarifário'!$C$60*'Modelo Tarifário'!$E$38)*('Premissas Economias e Água'!AH379))&gt;('Premissas Economias e Água'!AH239*12*'Modelo Tarifário'!$D$29*'Modelo Tarifário'!$C$60*'Modelo Tarifário'!$E$38),(AG8*'Modelo Tarifário'!$C$60*'Modelo Tarifário'!$E$38)*('Premissas Economias e Água'!AH379),('Premissas Economias e Água'!AH239*12*'Modelo Tarifário'!$D$29*'Modelo Tarifário'!$C$60*'Modelo Tarifário'!$E$38))</f>
        <v>354468.74279254483</v>
      </c>
      <c r="AH97" s="1340">
        <f>IF(((AH8*'Modelo Tarifário'!$C$60*'Modelo Tarifário'!$E$38)*('Premissas Economias e Água'!AI379))&gt;('Premissas Economias e Água'!AI239*12*'Modelo Tarifário'!$D$29*'Modelo Tarifário'!$C$60*'Modelo Tarifário'!$E$38),(AH8*'Modelo Tarifário'!$C$60*'Modelo Tarifário'!$E$38)*('Premissas Economias e Água'!AI379),('Premissas Economias e Água'!AI239*12*'Modelo Tarifário'!$D$29*'Modelo Tarifário'!$C$60*'Modelo Tarifário'!$E$38))</f>
        <v>355564.3806959723</v>
      </c>
    </row>
    <row r="98" spans="2:34" s="79" customFormat="1" ht="12" hidden="1" outlineLevel="1" x14ac:dyDescent="0.3">
      <c r="B98" s="1339"/>
      <c r="C98" s="1335" t="s">
        <v>280</v>
      </c>
      <c r="D98" s="1335"/>
      <c r="E98" s="1340">
        <f>IF(((E8*'Modelo Tarifário'!$C$60*'Modelo Tarifário'!$E$39)*('Premissas Economias e Água'!F380))&gt;('Premissas Economias e Água'!F240*12*'Modelo Tarifário'!$D$29*'Modelo Tarifário'!$C$60*'Modelo Tarifário'!$E$39),(E8*'Modelo Tarifário'!$C$60*'Modelo Tarifário'!$E$39)*('Premissas Economias e Água'!F380),('Premissas Economias e Água'!F240*12*'Modelo Tarifário'!$D$29*'Modelo Tarifário'!$C$60*'Modelo Tarifário'!$E$39))</f>
        <v>257202.2700190453</v>
      </c>
      <c r="F98" s="1340">
        <f>IF(((F8*'Modelo Tarifário'!$C$60*'Modelo Tarifário'!$E$39)*('Premissas Economias e Água'!G380))&gt;('Premissas Economias e Água'!G240*12*'Modelo Tarifário'!$D$29*'Modelo Tarifário'!$C$60*'Modelo Tarifário'!$E$39),(F8*'Modelo Tarifário'!$C$60*'Modelo Tarifário'!$E$39)*('Premissas Economias e Água'!G380),('Premissas Economias e Água'!G240*12*'Modelo Tarifário'!$D$29*'Modelo Tarifário'!$C$60*'Modelo Tarifário'!$E$39))</f>
        <v>259432.58802736425</v>
      </c>
      <c r="G98" s="1340">
        <f>IF(((G8*'Modelo Tarifário'!$C$60*'Modelo Tarifário'!$E$39)*('Premissas Economias e Água'!H380))&gt;('Premissas Economias e Água'!H240*12*'Modelo Tarifário'!$D$29*'Modelo Tarifário'!$C$60*'Modelo Tarifário'!$E$39),(G8*'Modelo Tarifário'!$C$60*'Modelo Tarifário'!$E$39)*('Premissas Economias e Água'!H380),('Premissas Economias e Água'!H240*12*'Modelo Tarifário'!$D$29*'Modelo Tarifário'!$C$60*'Modelo Tarifário'!$E$39))</f>
        <v>261662.90603568315</v>
      </c>
      <c r="H98" s="1340">
        <f>IF(((H8*'Modelo Tarifário'!$C$60*'Modelo Tarifário'!$E$39)*('Premissas Economias e Água'!I380))&gt;('Premissas Economias e Água'!I240*12*'Modelo Tarifário'!$D$29*'Modelo Tarifário'!$C$60*'Modelo Tarifário'!$E$39),(H8*'Modelo Tarifário'!$C$60*'Modelo Tarifário'!$E$39)*('Premissas Economias e Água'!I380),('Premissas Economias e Água'!I240*12*'Modelo Tarifário'!$D$29*'Modelo Tarifário'!$C$60*'Modelo Tarifário'!$E$39))</f>
        <v>263893.22404400207</v>
      </c>
      <c r="I98" s="1340">
        <f>IF(((I8*'Modelo Tarifário'!$C$60*'Modelo Tarifário'!$E$39)*('Premissas Economias e Água'!J380))&gt;('Premissas Economias e Água'!J240*12*'Modelo Tarifário'!$D$29*'Modelo Tarifário'!$C$60*'Modelo Tarifário'!$E$39),(I8*'Modelo Tarifário'!$C$60*'Modelo Tarifário'!$E$39)*('Premissas Economias e Água'!J380),('Premissas Economias e Água'!J240*12*'Modelo Tarifário'!$D$29*'Modelo Tarifário'!$C$60*'Modelo Tarifário'!$E$39))</f>
        <v>266123.54205232096</v>
      </c>
      <c r="J98" s="1340">
        <f>IF(((J8*'Modelo Tarifário'!$C$60*'Modelo Tarifário'!$E$39)*('Premissas Economias e Água'!K380))&gt;('Premissas Economias e Água'!K240*12*'Modelo Tarifário'!$D$29*'Modelo Tarifário'!$C$60*'Modelo Tarifário'!$E$39),(J8*'Modelo Tarifário'!$C$60*'Modelo Tarifário'!$E$39)*('Premissas Economias e Água'!K380),('Premissas Economias e Água'!K240*12*'Modelo Tarifário'!$D$29*'Modelo Tarifário'!$C$60*'Modelo Tarifário'!$E$39))</f>
        <v>268320.57173215749</v>
      </c>
      <c r="K98" s="1340">
        <f>IF(((K8*'Modelo Tarifário'!$C$60*'Modelo Tarifário'!$E$39)*('Premissas Economias e Água'!L380))&gt;('Premissas Economias e Água'!L240*12*'Modelo Tarifário'!$D$29*'Modelo Tarifário'!$C$60*'Modelo Tarifário'!$E$39),(K8*'Modelo Tarifário'!$C$60*'Modelo Tarifário'!$E$39)*('Premissas Economias e Água'!L380),('Premissas Economias e Água'!L240*12*'Modelo Tarifário'!$D$29*'Modelo Tarifário'!$C$60*'Modelo Tarifário'!$E$39))</f>
        <v>270084.85314172314</v>
      </c>
      <c r="L98" s="1340">
        <f>IF(((L8*'Modelo Tarifário'!$C$60*'Modelo Tarifário'!$E$39)*('Premissas Economias e Água'!M380))&gt;('Premissas Economias e Água'!M240*12*'Modelo Tarifário'!$D$29*'Modelo Tarifário'!$C$60*'Modelo Tarifário'!$E$39),(L8*'Modelo Tarifário'!$C$60*'Modelo Tarifário'!$E$39)*('Premissas Economias e Água'!M380),('Premissas Economias e Água'!M240*12*'Modelo Tarifário'!$D$29*'Modelo Tarifário'!$C$60*'Modelo Tarifário'!$E$39))</f>
        <v>271849.13455128885</v>
      </c>
      <c r="M98" s="1340">
        <f>IF(((M8*'Modelo Tarifário'!$C$60*'Modelo Tarifário'!$E$39)*('Premissas Economias e Água'!N380))&gt;('Premissas Economias e Água'!N240*12*'Modelo Tarifário'!$D$29*'Modelo Tarifário'!$C$60*'Modelo Tarifário'!$E$39),(M8*'Modelo Tarifário'!$C$60*'Modelo Tarifário'!$E$39)*('Premissas Economias e Água'!N380),('Premissas Economias e Água'!N240*12*'Modelo Tarifário'!$D$29*'Modelo Tarifário'!$C$60*'Modelo Tarifário'!$E$39))</f>
        <v>273613.41596085462</v>
      </c>
      <c r="N98" s="1340">
        <f>IF(((N8*'Modelo Tarifário'!$C$60*'Modelo Tarifário'!$E$39)*('Premissas Economias e Água'!O380))&gt;('Premissas Economias e Água'!O240*12*'Modelo Tarifário'!$D$29*'Modelo Tarifário'!$C$60*'Modelo Tarifário'!$E$39),(N8*'Modelo Tarifário'!$C$60*'Modelo Tarifário'!$E$39)*('Premissas Economias e Água'!O380),('Premissas Economias e Água'!O240*12*'Modelo Tarifário'!$D$29*'Modelo Tarifário'!$C$60*'Modelo Tarifário'!$E$39))</f>
        <v>275377.69737042027</v>
      </c>
      <c r="O98" s="1340">
        <f>IF(((O8*'Modelo Tarifário'!$C$60*'Modelo Tarifário'!$E$39)*('Premissas Economias e Água'!P380))&gt;('Premissas Economias e Água'!P240*12*'Modelo Tarifário'!$D$29*'Modelo Tarifário'!$C$60*'Modelo Tarifário'!$E$39),(O8*'Modelo Tarifário'!$C$60*'Modelo Tarifário'!$E$39)*('Premissas Economias e Água'!P380),('Premissas Economias e Água'!P240*12*'Modelo Tarifário'!$D$29*'Modelo Tarifário'!$C$60*'Modelo Tarifário'!$E$39))</f>
        <v>277158.62294422725</v>
      </c>
      <c r="P98" s="1340">
        <f>IF(((P8*'Modelo Tarifário'!$C$60*'Modelo Tarifário'!$E$39)*('Premissas Economias e Água'!Q380))&gt;('Premissas Economias e Água'!Q240*12*'Modelo Tarifário'!$D$29*'Modelo Tarifário'!$C$60*'Modelo Tarifário'!$E$39),(P8*'Modelo Tarifário'!$C$60*'Modelo Tarifário'!$E$39)*('Premissas Economias e Água'!Q380),('Premissas Economias e Água'!Q240*12*'Modelo Tarifário'!$D$29*'Modelo Tarifário'!$C$60*'Modelo Tarifário'!$E$39))</f>
        <v>278573.37690472801</v>
      </c>
      <c r="Q98" s="1340">
        <f>IF(((Q8*'Modelo Tarifário'!$C$60*'Modelo Tarifário'!$E$39)*('Premissas Economias e Água'!R380))&gt;('Premissas Economias e Água'!R240*12*'Modelo Tarifário'!$D$29*'Modelo Tarifário'!$C$60*'Modelo Tarifário'!$E$39),(Q8*'Modelo Tarifário'!$C$60*'Modelo Tarifário'!$E$39)*('Premissas Economias e Água'!R380),('Premissas Economias e Água'!R240*12*'Modelo Tarifário'!$D$29*'Modelo Tarifário'!$C$60*'Modelo Tarifário'!$E$39))</f>
        <v>279988.13086522877</v>
      </c>
      <c r="R98" s="1340">
        <f>IF(((R8*'Modelo Tarifário'!$C$60*'Modelo Tarifário'!$E$39)*('Premissas Economias e Água'!S380))&gt;('Premissas Economias e Água'!S240*12*'Modelo Tarifário'!$D$29*'Modelo Tarifário'!$C$60*'Modelo Tarifário'!$E$39),(R8*'Modelo Tarifário'!$C$60*'Modelo Tarifário'!$E$39)*('Premissas Economias e Água'!S380),('Premissas Economias e Água'!S240*12*'Modelo Tarifário'!$D$29*'Modelo Tarifário'!$C$60*'Modelo Tarifário'!$E$39))</f>
        <v>281402.88482572953</v>
      </c>
      <c r="S98" s="1340">
        <f>IF(((S8*'Modelo Tarifário'!$C$60*'Modelo Tarifário'!$E$39)*('Premissas Economias e Água'!T380))&gt;('Premissas Economias e Água'!T240*12*'Modelo Tarifário'!$D$29*'Modelo Tarifário'!$C$60*'Modelo Tarifário'!$E$39),(S8*'Modelo Tarifário'!$C$60*'Modelo Tarifário'!$E$39)*('Premissas Economias e Água'!T380),('Premissas Economias e Água'!T240*12*'Modelo Tarifário'!$D$29*'Modelo Tarifário'!$C$60*'Modelo Tarifário'!$E$39))</f>
        <v>282817.63878623041</v>
      </c>
      <c r="T98" s="1340">
        <f>IF(((T8*'Modelo Tarifário'!$C$60*'Modelo Tarifário'!$E$39)*('Premissas Economias e Água'!U380))&gt;('Premissas Economias e Água'!U240*12*'Modelo Tarifário'!$D$29*'Modelo Tarifário'!$C$60*'Modelo Tarifário'!$E$39),(T8*'Modelo Tarifário'!$C$60*'Modelo Tarifário'!$E$39)*('Premissas Economias e Água'!U380),('Premissas Economias e Água'!U240*12*'Modelo Tarifário'!$D$29*'Modelo Tarifário'!$C$60*'Modelo Tarifário'!$E$39))</f>
        <v>284249.03691097233</v>
      </c>
      <c r="U98" s="1340">
        <f>IF(((U8*'Modelo Tarifário'!$C$60*'Modelo Tarifário'!$E$39)*('Premissas Economias e Água'!V380))&gt;('Premissas Economias e Água'!V240*12*'Modelo Tarifário'!$D$29*'Modelo Tarifário'!$C$60*'Modelo Tarifário'!$E$39),(U8*'Modelo Tarifário'!$C$60*'Modelo Tarifário'!$E$39)*('Premissas Economias e Água'!V380),('Premissas Economias e Água'!V240*12*'Modelo Tarifário'!$D$29*'Modelo Tarifário'!$C$60*'Modelo Tarifário'!$E$39))</f>
        <v>285164.46594423754</v>
      </c>
      <c r="V98" s="1340">
        <f>IF(((V8*'Modelo Tarifário'!$C$60*'Modelo Tarifário'!$E$39)*('Premissas Economias e Água'!W380))&gt;('Premissas Economias e Água'!W240*12*'Modelo Tarifário'!$D$29*'Modelo Tarifário'!$C$60*'Modelo Tarifário'!$E$39),(V8*'Modelo Tarifário'!$C$60*'Modelo Tarifário'!$E$39)*('Premissas Economias e Água'!W380),('Premissas Economias e Água'!W240*12*'Modelo Tarifário'!$D$29*'Modelo Tarifário'!$C$60*'Modelo Tarifário'!$E$39))</f>
        <v>286079.89497750282</v>
      </c>
      <c r="W98" s="1340">
        <f>IF(((W8*'Modelo Tarifário'!$C$60*'Modelo Tarifário'!$E$39)*('Premissas Economias e Água'!X380))&gt;('Premissas Economias e Água'!X240*12*'Modelo Tarifário'!$D$29*'Modelo Tarifário'!$C$60*'Modelo Tarifário'!$E$39),(W8*'Modelo Tarifário'!$C$60*'Modelo Tarifário'!$E$39)*('Premissas Economias e Água'!X380),('Premissas Economias e Água'!X240*12*'Modelo Tarifário'!$D$29*'Modelo Tarifário'!$C$60*'Modelo Tarifário'!$E$39))</f>
        <v>286995.32401076803</v>
      </c>
      <c r="X98" s="1340">
        <f>IF(((X8*'Modelo Tarifário'!$C$60*'Modelo Tarifário'!$E$39)*('Premissas Economias e Água'!Y380))&gt;('Premissas Economias e Água'!Y240*12*'Modelo Tarifário'!$D$29*'Modelo Tarifário'!$C$60*'Modelo Tarifário'!$E$39),(X8*'Modelo Tarifário'!$C$60*'Modelo Tarifário'!$E$39)*('Premissas Economias e Água'!Y380),('Premissas Economias e Água'!Y240*12*'Modelo Tarifário'!$D$29*'Modelo Tarifário'!$C$60*'Modelo Tarifário'!$E$39))</f>
        <v>287910.75304403319</v>
      </c>
      <c r="Y98" s="1340">
        <f>IF(((Y8*'Modelo Tarifário'!$C$60*'Modelo Tarifário'!$E$39)*('Premissas Economias e Água'!Z380))&gt;('Premissas Economias e Água'!Z240*12*'Modelo Tarifário'!$D$29*'Modelo Tarifário'!$C$60*'Modelo Tarifário'!$E$39),(Y8*'Modelo Tarifário'!$C$60*'Modelo Tarifário'!$E$39)*('Premissas Economias e Água'!Z380),('Premissas Economias e Água'!Z240*12*'Modelo Tarifário'!$D$29*'Modelo Tarifário'!$C$60*'Modelo Tarifário'!$E$39))</f>
        <v>288842.82624153962</v>
      </c>
      <c r="Z98" s="1340">
        <f>IF(((Z8*'Modelo Tarifário'!$C$60*'Modelo Tarifário'!$E$39)*('Premissas Economias e Água'!AA380))&gt;('Premissas Economias e Água'!AA240*12*'Modelo Tarifário'!$D$29*'Modelo Tarifário'!$C$60*'Modelo Tarifário'!$E$39),(Z8*'Modelo Tarifário'!$C$60*'Modelo Tarifário'!$E$39)*('Premissas Economias e Água'!AA380),('Premissas Economias e Água'!AA240*12*'Modelo Tarifário'!$D$29*'Modelo Tarifário'!$C$60*'Modelo Tarifário'!$E$39))</f>
        <v>289758.25527480483</v>
      </c>
      <c r="AA98" s="1340">
        <f>IF(((AA8*'Modelo Tarifário'!$C$60*'Modelo Tarifário'!$E$39)*('Premissas Economias e Água'!AB380))&gt;('Premissas Economias e Água'!AB240*12*'Modelo Tarifário'!$D$29*'Modelo Tarifário'!$C$60*'Modelo Tarifário'!$E$39),(AA8*'Modelo Tarifário'!$C$60*'Modelo Tarifário'!$E$39)*('Premissas Economias e Água'!AB380),('Premissas Economias e Água'!AB240*12*'Modelo Tarifário'!$D$29*'Modelo Tarifário'!$C$60*'Modelo Tarifário'!$E$39))</f>
        <v>290673.68430807011</v>
      </c>
      <c r="AB98" s="1340">
        <f>IF(((AB8*'Modelo Tarifário'!$C$60*'Modelo Tarifário'!$E$39)*('Premissas Economias e Água'!AC380))&gt;('Premissas Economias e Água'!AC240*12*'Modelo Tarifário'!$D$29*'Modelo Tarifário'!$C$60*'Modelo Tarifário'!$E$39),(AB8*'Modelo Tarifário'!$C$60*'Modelo Tarifário'!$E$39)*('Premissas Economias e Água'!AC380),('Premissas Economias e Água'!AC240*12*'Modelo Tarifário'!$D$29*'Modelo Tarifário'!$C$60*'Modelo Tarifário'!$E$39))</f>
        <v>291589.11334133532</v>
      </c>
      <c r="AC98" s="1340">
        <f>IF(((AC8*'Modelo Tarifário'!$C$60*'Modelo Tarifário'!$E$39)*('Premissas Economias e Água'!AD380))&gt;('Premissas Economias e Água'!AD240*12*'Modelo Tarifário'!$D$29*'Modelo Tarifário'!$C$60*'Modelo Tarifário'!$E$39),(AC8*'Modelo Tarifário'!$C$60*'Modelo Tarifário'!$E$39)*('Premissas Economias e Água'!AD380),('Premissas Economias e Água'!AD240*12*'Modelo Tarifário'!$D$29*'Modelo Tarifário'!$C$60*'Modelo Tarifário'!$E$39))</f>
        <v>292504.54237460054</v>
      </c>
      <c r="AD98" s="1340">
        <f>IF(((AD8*'Modelo Tarifário'!$C$60*'Modelo Tarifário'!$E$39)*('Premissas Economias e Água'!AE380))&gt;('Premissas Economias e Água'!AE240*12*'Modelo Tarifário'!$D$29*'Modelo Tarifário'!$C$60*'Modelo Tarifário'!$E$39),(AD8*'Modelo Tarifário'!$C$60*'Modelo Tarifário'!$E$39)*('Premissas Economias e Água'!AE380),('Premissas Economias e Água'!AE240*12*'Modelo Tarifário'!$D$29*'Modelo Tarifário'!$C$60*'Modelo Tarifário'!$E$39))</f>
        <v>293419.97140786581</v>
      </c>
      <c r="AE98" s="1340">
        <f>IF(((AE8*'Modelo Tarifário'!$C$60*'Modelo Tarifário'!$E$39)*('Premissas Economias e Água'!AF380))&gt;('Premissas Economias e Água'!AF240*12*'Modelo Tarifário'!$D$29*'Modelo Tarifário'!$C$60*'Modelo Tarifário'!$E$39),(AE8*'Modelo Tarifário'!$C$60*'Modelo Tarifário'!$E$39)*('Premissas Economias e Água'!AF380),('Premissas Economias e Água'!AF240*12*'Modelo Tarifário'!$D$29*'Modelo Tarifário'!$C$60*'Modelo Tarifário'!$E$39))</f>
        <v>294335.40044113103</v>
      </c>
      <c r="AF98" s="1340">
        <f>IF(((AF8*'Modelo Tarifário'!$C$60*'Modelo Tarifário'!$E$39)*('Premissas Economias e Água'!AG380))&gt;('Premissas Economias e Água'!AG240*12*'Modelo Tarifário'!$D$29*'Modelo Tarifário'!$C$60*'Modelo Tarifário'!$E$39),(AF8*'Modelo Tarifário'!$C$60*'Modelo Tarifário'!$E$39)*('Premissas Economias e Água'!AG380),('Premissas Economias e Água'!AG240*12*'Modelo Tarifário'!$D$29*'Modelo Tarifário'!$C$60*'Modelo Tarifário'!$E$39))</f>
        <v>295250.82947439625</v>
      </c>
      <c r="AG98" s="1340">
        <f>IF(((AG8*'Modelo Tarifário'!$C$60*'Modelo Tarifário'!$E$39)*('Premissas Economias e Água'!AH380))&gt;('Premissas Economias e Água'!AH240*12*'Modelo Tarifário'!$D$29*'Modelo Tarifário'!$C$60*'Modelo Tarifário'!$E$39),(AG8*'Modelo Tarifário'!$C$60*'Modelo Tarifário'!$E$39)*('Premissas Economias e Água'!AH380),('Premissas Economias e Água'!AH240*12*'Modelo Tarifário'!$D$29*'Modelo Tarifário'!$C$60*'Modelo Tarifário'!$E$39))</f>
        <v>296166.25850766146</v>
      </c>
      <c r="AH98" s="1340">
        <f>IF(((AH8*'Modelo Tarifário'!$C$60*'Modelo Tarifário'!$E$39)*('Premissas Economias e Água'!AI380))&gt;('Premissas Economias e Água'!AI240*12*'Modelo Tarifário'!$D$29*'Modelo Tarifário'!$C$60*'Modelo Tarifário'!$E$39),(AH8*'Modelo Tarifário'!$C$60*'Modelo Tarifário'!$E$39)*('Premissas Economias e Água'!AI380),('Premissas Economias e Água'!AI240*12*'Modelo Tarifário'!$D$29*'Modelo Tarifário'!$C$60*'Modelo Tarifário'!$E$39))</f>
        <v>297081.68754092668</v>
      </c>
    </row>
    <row r="99" spans="2:34" s="79" customFormat="1" ht="12" hidden="1" outlineLevel="1" x14ac:dyDescent="0.3">
      <c r="B99" s="1339"/>
      <c r="C99" s="1335" t="s">
        <v>281</v>
      </c>
      <c r="D99" s="1335"/>
      <c r="E99" s="1340">
        <f>IF(((E8*'Modelo Tarifário'!$C$60*'Modelo Tarifário'!$E$40)*('Premissas Economias e Água'!F381))&gt;('Premissas Economias e Água'!F241*12*'Modelo Tarifário'!$D$29*'Modelo Tarifário'!$C$60*'Modelo Tarifário'!$E$40),(E8*'Modelo Tarifário'!$C$60*'Modelo Tarifário'!$E$40)*('Premissas Economias e Água'!F381),('Premissas Economias e Água'!F241*12*'Modelo Tarifário'!$D$29*'Modelo Tarifário'!$C$60*'Modelo Tarifário'!$E$40))</f>
        <v>184674.56658595236</v>
      </c>
      <c r="F99" s="1340">
        <f>IF(((F8*'Modelo Tarifário'!$C$60*'Modelo Tarifário'!$E$40)*('Premissas Economias e Água'!G381))&gt;('Premissas Economias e Água'!G241*12*'Modelo Tarifário'!$D$29*'Modelo Tarifário'!$C$60*'Modelo Tarifário'!$E$40),(F8*'Modelo Tarifário'!$C$60*'Modelo Tarifário'!$E$40)*('Premissas Economias e Água'!G381),('Premissas Economias e Água'!G241*12*'Modelo Tarifário'!$D$29*'Modelo Tarifário'!$C$60*'Modelo Tarifário'!$E$40))</f>
        <v>186275.96385007698</v>
      </c>
      <c r="G99" s="1340">
        <f>IF(((G8*'Modelo Tarifário'!$C$60*'Modelo Tarifário'!$E$40)*('Premissas Economias e Água'!H381))&gt;('Premissas Economias e Água'!H241*12*'Modelo Tarifário'!$D$29*'Modelo Tarifário'!$C$60*'Modelo Tarifário'!$E$40),(G8*'Modelo Tarifário'!$C$60*'Modelo Tarifário'!$E$40)*('Premissas Economias e Água'!H381),('Premissas Economias e Água'!H241*12*'Modelo Tarifário'!$D$29*'Modelo Tarifário'!$C$60*'Modelo Tarifário'!$E$40))</f>
        <v>187877.36111420157</v>
      </c>
      <c r="H99" s="1340">
        <f>IF(((H8*'Modelo Tarifário'!$C$60*'Modelo Tarifário'!$E$40)*('Premissas Economias e Água'!I381))&gt;('Premissas Economias e Água'!I241*12*'Modelo Tarifário'!$D$29*'Modelo Tarifário'!$C$60*'Modelo Tarifário'!$E$40),(H8*'Modelo Tarifário'!$C$60*'Modelo Tarifário'!$E$40)*('Premissas Economias e Água'!I381),('Premissas Economias e Água'!I241*12*'Modelo Tarifário'!$D$29*'Modelo Tarifário'!$C$60*'Modelo Tarifário'!$E$40))</f>
        <v>189478.75837832622</v>
      </c>
      <c r="I99" s="1340">
        <f>IF(((I8*'Modelo Tarifário'!$C$60*'Modelo Tarifário'!$E$40)*('Premissas Economias e Água'!J381))&gt;('Premissas Economias e Água'!J241*12*'Modelo Tarifário'!$D$29*'Modelo Tarifário'!$C$60*'Modelo Tarifário'!$E$40),(I8*'Modelo Tarifário'!$C$60*'Modelo Tarifário'!$E$40)*('Premissas Economias e Água'!J381),('Premissas Economias e Água'!J241*12*'Modelo Tarifário'!$D$29*'Modelo Tarifário'!$C$60*'Modelo Tarifário'!$E$40))</f>
        <v>191080.15564245082</v>
      </c>
      <c r="J99" s="1340">
        <f>IF(((J8*'Modelo Tarifário'!$C$60*'Modelo Tarifário'!$E$40)*('Premissas Economias e Água'!K381))&gt;('Premissas Economias e Água'!K241*12*'Modelo Tarifário'!$D$29*'Modelo Tarifário'!$C$60*'Modelo Tarifário'!$E$40),(J8*'Modelo Tarifário'!$C$60*'Modelo Tarifário'!$E$40)*('Premissas Economias e Água'!K381),('Premissas Economias e Água'!K241*12*'Modelo Tarifário'!$D$29*'Modelo Tarifário'!$C$60*'Modelo Tarifário'!$E$40))</f>
        <v>192657.65145487204</v>
      </c>
      <c r="K99" s="1340">
        <f>IF(((K8*'Modelo Tarifário'!$C$60*'Modelo Tarifário'!$E$40)*('Premissas Economias e Água'!L381))&gt;('Premissas Economias e Água'!L241*12*'Modelo Tarifário'!$D$29*'Modelo Tarifário'!$C$60*'Modelo Tarifário'!$E$40),(K8*'Modelo Tarifário'!$C$60*'Modelo Tarifário'!$E$40)*('Premissas Economias e Água'!L381),('Premissas Economias e Água'!L241*12*'Modelo Tarifário'!$D$29*'Modelo Tarifário'!$C$60*'Modelo Tarifário'!$E$40))</f>
        <v>193924.42839514971</v>
      </c>
      <c r="L99" s="1340">
        <f>IF(((L8*'Modelo Tarifário'!$C$60*'Modelo Tarifário'!$E$40)*('Premissas Economias e Água'!M381))&gt;('Premissas Economias e Água'!M241*12*'Modelo Tarifário'!$D$29*'Modelo Tarifário'!$C$60*'Modelo Tarifário'!$E$40),(L8*'Modelo Tarifário'!$C$60*'Modelo Tarifário'!$E$40)*('Premissas Economias e Água'!M381),('Premissas Economias e Água'!M241*12*'Modelo Tarifário'!$D$29*'Modelo Tarifário'!$C$60*'Modelo Tarifário'!$E$40))</f>
        <v>195191.20533542742</v>
      </c>
      <c r="M99" s="1340">
        <f>IF(((M8*'Modelo Tarifário'!$C$60*'Modelo Tarifário'!$E$40)*('Premissas Economias e Água'!N381))&gt;('Premissas Economias e Água'!N241*12*'Modelo Tarifário'!$D$29*'Modelo Tarifário'!$C$60*'Modelo Tarifário'!$E$40),(M8*'Modelo Tarifário'!$C$60*'Modelo Tarifário'!$E$40)*('Premissas Economias e Água'!N381),('Premissas Economias e Água'!N241*12*'Modelo Tarifário'!$D$29*'Modelo Tarifário'!$C$60*'Modelo Tarifário'!$E$40))</f>
        <v>196457.98227570512</v>
      </c>
      <c r="N99" s="1340">
        <f>IF(((N8*'Modelo Tarifário'!$C$60*'Modelo Tarifário'!$E$40)*('Premissas Economias e Água'!O381))&gt;('Premissas Economias e Água'!O241*12*'Modelo Tarifário'!$D$29*'Modelo Tarifário'!$C$60*'Modelo Tarifário'!$E$40),(N8*'Modelo Tarifário'!$C$60*'Modelo Tarifário'!$E$40)*('Premissas Economias e Água'!O381),('Premissas Economias e Água'!O241*12*'Modelo Tarifário'!$D$29*'Modelo Tarifário'!$C$60*'Modelo Tarifário'!$E$40))</f>
        <v>197724.75921598278</v>
      </c>
      <c r="O99" s="1340">
        <f>IF(((O8*'Modelo Tarifário'!$C$60*'Modelo Tarifário'!$E$40)*('Premissas Economias e Água'!P381))&gt;('Premissas Economias e Água'!P241*12*'Modelo Tarifário'!$D$29*'Modelo Tarifário'!$C$60*'Modelo Tarifário'!$E$40),(O8*'Modelo Tarifário'!$C$60*'Modelo Tarifário'!$E$40)*('Premissas Economias e Água'!P381),('Premissas Economias e Água'!P241*12*'Modelo Tarifário'!$D$29*'Modelo Tarifário'!$C$60*'Modelo Tarifário'!$E$40))</f>
        <v>199003.48688211216</v>
      </c>
      <c r="P99" s="1340">
        <f>IF(((P8*'Modelo Tarifário'!$C$60*'Modelo Tarifário'!$E$40)*('Premissas Economias e Água'!Q381))&gt;('Premissas Economias e Água'!Q241*12*'Modelo Tarifário'!$D$29*'Modelo Tarifário'!$C$60*'Modelo Tarifário'!$E$40),(P8*'Modelo Tarifário'!$C$60*'Modelo Tarifário'!$E$40)*('Premissas Economias e Água'!Q381),('Premissas Economias e Água'!Q241*12*'Modelo Tarifário'!$D$29*'Modelo Tarifário'!$C$60*'Modelo Tarifário'!$E$40))</f>
        <v>200019.29857950463</v>
      </c>
      <c r="Q99" s="1340">
        <f>IF(((Q8*'Modelo Tarifário'!$C$60*'Modelo Tarifário'!$E$40)*('Premissas Economias e Água'!R381))&gt;('Premissas Economias e Água'!R241*12*'Modelo Tarifário'!$D$29*'Modelo Tarifário'!$C$60*'Modelo Tarifário'!$E$40),(Q8*'Modelo Tarifário'!$C$60*'Modelo Tarifário'!$E$40)*('Premissas Economias e Água'!R381),('Premissas Economias e Água'!R241*12*'Modelo Tarifário'!$D$29*'Modelo Tarifário'!$C$60*'Modelo Tarifário'!$E$40))</f>
        <v>201035.11027689709</v>
      </c>
      <c r="R99" s="1340">
        <f>IF(((R8*'Modelo Tarifário'!$C$60*'Modelo Tarifário'!$E$40)*('Premissas Economias e Água'!S381))&gt;('Premissas Economias e Água'!S241*12*'Modelo Tarifário'!$D$29*'Modelo Tarifário'!$C$60*'Modelo Tarifário'!$E$40),(R8*'Modelo Tarifário'!$C$60*'Modelo Tarifário'!$E$40)*('Premissas Economias e Água'!S381),('Premissas Economias e Água'!S241*12*'Modelo Tarifário'!$D$29*'Modelo Tarifário'!$C$60*'Modelo Tarifário'!$E$40))</f>
        <v>202050.92197428955</v>
      </c>
      <c r="S99" s="1340">
        <f>IF(((S8*'Modelo Tarifário'!$C$60*'Modelo Tarifário'!$E$40)*('Premissas Economias e Água'!T381))&gt;('Premissas Economias e Água'!T241*12*'Modelo Tarifário'!$D$29*'Modelo Tarifário'!$C$60*'Modelo Tarifário'!$E$40),(S8*'Modelo Tarifário'!$C$60*'Modelo Tarifário'!$E$40)*('Premissas Economias e Água'!T381),('Premissas Economias e Água'!T241*12*'Modelo Tarifário'!$D$29*'Modelo Tarifário'!$C$60*'Modelo Tarifário'!$E$40))</f>
        <v>203066.73367168204</v>
      </c>
      <c r="T99" s="1340">
        <f>IF(((T8*'Modelo Tarifário'!$C$60*'Modelo Tarifário'!$E$40)*('Premissas Economias e Água'!U381))&gt;('Premissas Economias e Água'!U241*12*'Modelo Tarifário'!$D$29*'Modelo Tarifário'!$C$60*'Modelo Tarifário'!$E$40),(T8*'Modelo Tarifário'!$C$60*'Modelo Tarifário'!$E$40)*('Premissas Economias e Água'!U381),('Premissas Economias e Água'!U241*12*'Modelo Tarifário'!$D$29*'Modelo Tarifário'!$C$60*'Modelo Tarifário'!$E$40))</f>
        <v>204094.49609492617</v>
      </c>
      <c r="U99" s="1340">
        <f>IF(((U8*'Modelo Tarifário'!$C$60*'Modelo Tarifário'!$E$40)*('Premissas Economias e Água'!V381))&gt;('Premissas Economias e Água'!V241*12*'Modelo Tarifário'!$D$29*'Modelo Tarifário'!$C$60*'Modelo Tarifário'!$E$40),(U8*'Modelo Tarifário'!$C$60*'Modelo Tarifário'!$E$40)*('Premissas Economias e Água'!V381),('Premissas Economias e Água'!V241*12*'Modelo Tarifário'!$D$29*'Modelo Tarifário'!$C$60*'Modelo Tarifário'!$E$40))</f>
        <v>204751.78601676834</v>
      </c>
      <c r="V99" s="1340">
        <f>IF(((V8*'Modelo Tarifário'!$C$60*'Modelo Tarifário'!$E$40)*('Premissas Economias e Água'!W381))&gt;('Premissas Economias e Água'!W241*12*'Modelo Tarifário'!$D$29*'Modelo Tarifário'!$C$60*'Modelo Tarifário'!$E$40),(V8*'Modelo Tarifário'!$C$60*'Modelo Tarifário'!$E$40)*('Premissas Economias e Água'!W381),('Premissas Economias e Água'!W241*12*'Modelo Tarifário'!$D$29*'Modelo Tarifário'!$C$60*'Modelo Tarifário'!$E$40))</f>
        <v>205409.07593861056</v>
      </c>
      <c r="W99" s="1340">
        <f>IF(((W8*'Modelo Tarifário'!$C$60*'Modelo Tarifário'!$E$40)*('Premissas Economias e Água'!X381))&gt;('Premissas Economias e Água'!X241*12*'Modelo Tarifário'!$D$29*'Modelo Tarifário'!$C$60*'Modelo Tarifário'!$E$40),(W8*'Modelo Tarifário'!$C$60*'Modelo Tarifário'!$E$40)*('Premissas Economias e Água'!X381),('Premissas Economias e Água'!X241*12*'Modelo Tarifário'!$D$29*'Modelo Tarifário'!$C$60*'Modelo Tarifário'!$E$40))</f>
        <v>206066.36586045273</v>
      </c>
      <c r="X99" s="1340">
        <f>IF(((X8*'Modelo Tarifário'!$C$60*'Modelo Tarifário'!$E$40)*('Premissas Economias e Água'!Y381))&gt;('Premissas Economias e Água'!Y241*12*'Modelo Tarifário'!$D$29*'Modelo Tarifário'!$C$60*'Modelo Tarifário'!$E$40),(X8*'Modelo Tarifário'!$C$60*'Modelo Tarifário'!$E$40)*('Premissas Economias e Água'!Y381),('Premissas Economias e Água'!Y241*12*'Modelo Tarifário'!$D$29*'Modelo Tarifário'!$C$60*'Modelo Tarifário'!$E$40))</f>
        <v>206723.65578229495</v>
      </c>
      <c r="Y99" s="1340">
        <f>IF(((Y8*'Modelo Tarifário'!$C$60*'Modelo Tarifário'!$E$40)*('Premissas Economias e Água'!Z381))&gt;('Premissas Economias e Água'!Z241*12*'Modelo Tarifário'!$D$29*'Modelo Tarifário'!$C$60*'Modelo Tarifário'!$E$40),(Y8*'Modelo Tarifário'!$C$60*'Modelo Tarifário'!$E$40)*('Premissas Economias e Água'!Z381),('Premissas Economias e Água'!Z241*12*'Modelo Tarifário'!$D$29*'Modelo Tarifário'!$C$60*'Modelo Tarifário'!$E$40))</f>
        <v>207392.89642998882</v>
      </c>
      <c r="Z99" s="1340">
        <f>IF(((Z8*'Modelo Tarifário'!$C$60*'Modelo Tarifário'!$E$40)*('Premissas Economias e Água'!AA381))&gt;('Premissas Economias e Água'!AA241*12*'Modelo Tarifário'!$D$29*'Modelo Tarifário'!$C$60*'Modelo Tarifário'!$E$40),(Z8*'Modelo Tarifário'!$C$60*'Modelo Tarifário'!$E$40)*('Premissas Economias e Água'!AA381),('Premissas Economias e Água'!AA241*12*'Modelo Tarifário'!$D$29*'Modelo Tarifário'!$C$60*'Modelo Tarifário'!$E$40))</f>
        <v>208050.18635183101</v>
      </c>
      <c r="AA99" s="1340">
        <f>IF(((AA8*'Modelo Tarifário'!$C$60*'Modelo Tarifário'!$E$40)*('Premissas Economias e Água'!AB381))&gt;('Premissas Economias e Água'!AB241*12*'Modelo Tarifário'!$D$29*'Modelo Tarifário'!$C$60*'Modelo Tarifário'!$E$40),(AA8*'Modelo Tarifário'!$C$60*'Modelo Tarifário'!$E$40)*('Premissas Economias e Água'!AB381),('Premissas Economias e Água'!AB241*12*'Modelo Tarifário'!$D$29*'Modelo Tarifário'!$C$60*'Modelo Tarifário'!$E$40))</f>
        <v>208707.47627367321</v>
      </c>
      <c r="AB99" s="1340">
        <f>IF(((AB8*'Modelo Tarifário'!$C$60*'Modelo Tarifário'!$E$40)*('Premissas Economias e Água'!AC381))&gt;('Premissas Economias e Água'!AC241*12*'Modelo Tarifário'!$D$29*'Modelo Tarifário'!$C$60*'Modelo Tarifário'!$E$40),(AB8*'Modelo Tarifário'!$C$60*'Modelo Tarifário'!$E$40)*('Premissas Economias e Água'!AC381),('Premissas Economias e Água'!AC241*12*'Modelo Tarifário'!$D$29*'Modelo Tarifário'!$C$60*'Modelo Tarifário'!$E$40))</f>
        <v>209364.7661955154</v>
      </c>
      <c r="AC99" s="1340">
        <f>IF(((AC8*'Modelo Tarifário'!$C$60*'Modelo Tarifário'!$E$40)*('Premissas Economias e Água'!AD381))&gt;('Premissas Economias e Água'!AD241*12*'Modelo Tarifário'!$D$29*'Modelo Tarifário'!$C$60*'Modelo Tarifário'!$E$40),(AC8*'Modelo Tarifário'!$C$60*'Modelo Tarifário'!$E$40)*('Premissas Economias e Água'!AD381),('Premissas Economias e Água'!AD241*12*'Modelo Tarifário'!$D$29*'Modelo Tarifário'!$C$60*'Modelo Tarifário'!$E$40))</f>
        <v>210022.0561173576</v>
      </c>
      <c r="AD99" s="1340">
        <f>IF(((AD8*'Modelo Tarifário'!$C$60*'Modelo Tarifário'!$E$40)*('Premissas Economias e Água'!AE381))&gt;('Premissas Economias e Água'!AE241*12*'Modelo Tarifário'!$D$29*'Modelo Tarifário'!$C$60*'Modelo Tarifário'!$E$40),(AD8*'Modelo Tarifário'!$C$60*'Modelo Tarifário'!$E$40)*('Premissas Economias e Água'!AE381),('Premissas Economias e Água'!AE241*12*'Modelo Tarifário'!$D$29*'Modelo Tarifário'!$C$60*'Modelo Tarifário'!$E$40))</f>
        <v>210679.34603919982</v>
      </c>
      <c r="AE99" s="1340">
        <f>IF(((AE8*'Modelo Tarifário'!$C$60*'Modelo Tarifário'!$E$40)*('Premissas Economias e Água'!AF381))&gt;('Premissas Economias e Água'!AF241*12*'Modelo Tarifário'!$D$29*'Modelo Tarifário'!$C$60*'Modelo Tarifário'!$E$40),(AE8*'Modelo Tarifário'!$C$60*'Modelo Tarifário'!$E$40)*('Premissas Economias e Água'!AF381),('Premissas Economias e Água'!AF241*12*'Modelo Tarifário'!$D$29*'Modelo Tarifário'!$C$60*'Modelo Tarifário'!$E$40))</f>
        <v>211336.63596104199</v>
      </c>
      <c r="AF99" s="1340">
        <f>IF(((AF8*'Modelo Tarifário'!$C$60*'Modelo Tarifário'!$E$40)*('Premissas Economias e Água'!AG381))&gt;('Premissas Economias e Água'!AG241*12*'Modelo Tarifário'!$D$29*'Modelo Tarifário'!$C$60*'Modelo Tarifário'!$E$40),(AF8*'Modelo Tarifário'!$C$60*'Modelo Tarifário'!$E$40)*('Premissas Economias e Água'!AG381),('Premissas Economias e Água'!AG241*12*'Modelo Tarifário'!$D$29*'Modelo Tarifário'!$C$60*'Modelo Tarifário'!$E$40))</f>
        <v>211993.92588288416</v>
      </c>
      <c r="AG99" s="1340">
        <f>IF(((AG8*'Modelo Tarifário'!$C$60*'Modelo Tarifário'!$E$40)*('Premissas Economias e Água'!AH381))&gt;('Premissas Economias e Água'!AH241*12*'Modelo Tarifário'!$D$29*'Modelo Tarifário'!$C$60*'Modelo Tarifário'!$E$40),(AG8*'Modelo Tarifário'!$C$60*'Modelo Tarifário'!$E$40)*('Premissas Economias e Água'!AH381),('Premissas Economias e Água'!AH241*12*'Modelo Tarifário'!$D$29*'Modelo Tarifário'!$C$60*'Modelo Tarifário'!$E$40))</f>
        <v>212651.21580472638</v>
      </c>
      <c r="AH99" s="1340">
        <f>IF(((AH8*'Modelo Tarifário'!$C$60*'Modelo Tarifário'!$E$40)*('Premissas Economias e Água'!AI381))&gt;('Premissas Economias e Água'!AI241*12*'Modelo Tarifário'!$D$29*'Modelo Tarifário'!$C$60*'Modelo Tarifário'!$E$40),(AH8*'Modelo Tarifário'!$C$60*'Modelo Tarifário'!$E$40)*('Premissas Economias e Água'!AI381),('Premissas Economias e Água'!AI241*12*'Modelo Tarifário'!$D$29*'Modelo Tarifário'!$C$60*'Modelo Tarifário'!$E$40))</f>
        <v>213308.50572656855</v>
      </c>
    </row>
    <row r="100" spans="2:34" s="79" customFormat="1" ht="12" hidden="1" outlineLevel="1" x14ac:dyDescent="0.3">
      <c r="B100" s="1339"/>
      <c r="C100" s="1335" t="s">
        <v>282</v>
      </c>
      <c r="D100" s="1335"/>
      <c r="E100" s="1340">
        <f>IF(((E8*'Modelo Tarifário'!$C$60*'Modelo Tarifário'!$E$41)*('Premissas Economias e Água'!F382))&gt;('Premissas Economias e Água'!F242*12*'Modelo Tarifário'!$D$29*'Modelo Tarifário'!$C$60*'Modelo Tarifário'!$E$41),(E8*'Modelo Tarifário'!$C$60*'Modelo Tarifário'!$E$41)*('Premissas Economias e Água'!F382),('Premissas Economias e Água'!F242*12*'Modelo Tarifário'!$D$29*'Modelo Tarifário'!$C$60*'Modelo Tarifário'!$E$41))</f>
        <v>168156.41060536518</v>
      </c>
      <c r="F100" s="1340">
        <f>IF(((F8*'Modelo Tarifário'!$C$60*'Modelo Tarifário'!$E$41)*('Premissas Economias e Água'!G382))&gt;('Premissas Economias e Água'!G242*12*'Modelo Tarifário'!$D$29*'Modelo Tarifário'!$C$60*'Modelo Tarifário'!$E$41),(F8*'Modelo Tarifário'!$C$60*'Modelo Tarifário'!$E$41)*('Premissas Economias e Água'!G382),('Premissas Economias e Água'!G242*12*'Modelo Tarifário'!$D$29*'Modelo Tarifário'!$C$60*'Modelo Tarifário'!$E$41))</f>
        <v>169614.5714169305</v>
      </c>
      <c r="G100" s="1340">
        <f>IF(((G8*'Modelo Tarifário'!$C$60*'Modelo Tarifário'!$E$41)*('Premissas Economias e Água'!H382))&gt;('Premissas Economias e Água'!H242*12*'Modelo Tarifário'!$D$29*'Modelo Tarifário'!$C$60*'Modelo Tarifário'!$E$41),(G8*'Modelo Tarifário'!$C$60*'Modelo Tarifário'!$E$41)*('Premissas Economias e Água'!H382),('Premissas Economias e Água'!H242*12*'Modelo Tarifário'!$D$29*'Modelo Tarifário'!$C$60*'Modelo Tarifário'!$E$41))</f>
        <v>171072.73222849582</v>
      </c>
      <c r="H100" s="1340">
        <f>IF(((H8*'Modelo Tarifário'!$C$60*'Modelo Tarifário'!$E$41)*('Premissas Economias e Água'!I382))&gt;('Premissas Economias e Água'!I242*12*'Modelo Tarifário'!$D$29*'Modelo Tarifário'!$C$60*'Modelo Tarifário'!$E$41),(H8*'Modelo Tarifário'!$C$60*'Modelo Tarifário'!$E$41)*('Premissas Economias e Água'!I382),('Premissas Economias e Água'!I242*12*'Modelo Tarifário'!$D$29*'Modelo Tarifário'!$C$60*'Modelo Tarifário'!$E$41))</f>
        <v>172530.89304006117</v>
      </c>
      <c r="I100" s="1340">
        <f>IF(((I8*'Modelo Tarifário'!$C$60*'Modelo Tarifário'!$E$41)*('Premissas Economias e Água'!J382))&gt;('Premissas Economias e Água'!J242*12*'Modelo Tarifário'!$D$29*'Modelo Tarifário'!$C$60*'Modelo Tarifário'!$E$41),(I8*'Modelo Tarifário'!$C$60*'Modelo Tarifário'!$E$41)*('Premissas Economias e Água'!J382),('Premissas Economias e Água'!J242*12*'Modelo Tarifário'!$D$29*'Modelo Tarifário'!$C$60*'Modelo Tarifário'!$E$41))</f>
        <v>173989.05385162646</v>
      </c>
      <c r="J100" s="1340">
        <f>IF(((J8*'Modelo Tarifário'!$C$60*'Modelo Tarifário'!$E$41)*('Premissas Economias e Água'!K382))&gt;('Premissas Economias e Água'!K242*12*'Modelo Tarifário'!$D$29*'Modelo Tarifário'!$C$60*'Modelo Tarifário'!$E$41),(J8*'Modelo Tarifário'!$C$60*'Modelo Tarifário'!$E$41)*('Premissas Economias e Água'!K382),('Premissas Economias e Água'!K242*12*'Modelo Tarifário'!$D$29*'Modelo Tarifário'!$C$60*'Modelo Tarifário'!$E$41))</f>
        <v>175425.45106898932</v>
      </c>
      <c r="K100" s="1340">
        <f>IF(((K8*'Modelo Tarifário'!$C$60*'Modelo Tarifário'!$E$41)*('Premissas Economias e Água'!L382))&gt;('Premissas Economias e Água'!L242*12*'Modelo Tarifário'!$D$29*'Modelo Tarifário'!$C$60*'Modelo Tarifário'!$E$41),(K8*'Modelo Tarifário'!$C$60*'Modelo Tarifário'!$E$41)*('Premissas Economias e Água'!L382),('Premissas Economias e Água'!L242*12*'Modelo Tarifário'!$D$29*'Modelo Tarifário'!$C$60*'Modelo Tarifário'!$E$41))</f>
        <v>176578.92156172008</v>
      </c>
      <c r="L100" s="1340">
        <f>IF(((L8*'Modelo Tarifário'!$C$60*'Modelo Tarifário'!$E$41)*('Premissas Economias e Água'!M382))&gt;('Premissas Economias e Água'!M242*12*'Modelo Tarifário'!$D$29*'Modelo Tarifário'!$C$60*'Modelo Tarifário'!$E$41),(L8*'Modelo Tarifário'!$C$60*'Modelo Tarifário'!$E$41)*('Premissas Economias e Água'!M382),('Premissas Economias e Água'!M242*12*'Modelo Tarifário'!$D$29*'Modelo Tarifário'!$C$60*'Modelo Tarifário'!$E$41))</f>
        <v>177732.39205445087</v>
      </c>
      <c r="M100" s="1340">
        <f>IF(((M8*'Modelo Tarifário'!$C$60*'Modelo Tarifário'!$E$41)*('Premissas Economias e Água'!N382))&gt;('Premissas Economias e Água'!N242*12*'Modelo Tarifário'!$D$29*'Modelo Tarifário'!$C$60*'Modelo Tarifário'!$E$41),(M8*'Modelo Tarifário'!$C$60*'Modelo Tarifário'!$E$41)*('Premissas Economias e Água'!N382),('Premissas Economias e Água'!N242*12*'Modelo Tarifário'!$D$29*'Modelo Tarifário'!$C$60*'Modelo Tarifário'!$E$41))</f>
        <v>178885.86254718166</v>
      </c>
      <c r="N100" s="1340">
        <f>IF(((N8*'Modelo Tarifário'!$C$60*'Modelo Tarifário'!$E$41)*('Premissas Economias e Água'!O382))&gt;('Premissas Economias e Água'!O242*12*'Modelo Tarifário'!$D$29*'Modelo Tarifário'!$C$60*'Modelo Tarifário'!$E$41),(N8*'Modelo Tarifário'!$C$60*'Modelo Tarifário'!$E$41)*('Premissas Economias e Água'!O382),('Premissas Economias e Água'!O242*12*'Modelo Tarifário'!$D$29*'Modelo Tarifário'!$C$60*'Modelo Tarifário'!$E$41))</f>
        <v>180039.33303991242</v>
      </c>
      <c r="O100" s="1340">
        <f>IF(((O8*'Modelo Tarifário'!$C$60*'Modelo Tarifário'!$E$41)*('Premissas Economias e Água'!P382))&gt;('Premissas Economias e Água'!P242*12*'Modelo Tarifário'!$D$29*'Modelo Tarifário'!$C$60*'Modelo Tarifário'!$E$41),(O8*'Modelo Tarifário'!$C$60*'Modelo Tarifário'!$E$41)*('Premissas Economias e Água'!P382),('Premissas Economias e Água'!P242*12*'Modelo Tarifário'!$D$29*'Modelo Tarifário'!$C$60*'Modelo Tarifário'!$E$41))</f>
        <v>181203.68532974448</v>
      </c>
      <c r="P100" s="1340">
        <f>IF(((P8*'Modelo Tarifário'!$C$60*'Modelo Tarifário'!$E$41)*('Premissas Economias e Água'!Q382))&gt;('Premissas Economias e Água'!Q242*12*'Modelo Tarifário'!$D$29*'Modelo Tarifário'!$C$60*'Modelo Tarifário'!$E$41),(P8*'Modelo Tarifário'!$C$60*'Modelo Tarifário'!$E$41)*('Premissas Economias e Água'!Q382),('Premissas Economias e Água'!Q242*12*'Modelo Tarifário'!$D$29*'Modelo Tarifário'!$C$60*'Modelo Tarifário'!$E$41))</f>
        <v>182128.63808334933</v>
      </c>
      <c r="Q100" s="1340">
        <f>IF(((Q8*'Modelo Tarifário'!$C$60*'Modelo Tarifário'!$E$41)*('Premissas Economias e Água'!R382))&gt;('Premissas Economias e Água'!R242*12*'Modelo Tarifário'!$D$29*'Modelo Tarifário'!$C$60*'Modelo Tarifário'!$E$41),(Q8*'Modelo Tarifário'!$C$60*'Modelo Tarifário'!$E$41)*('Premissas Economias e Água'!R382),('Premissas Economias e Água'!R242*12*'Modelo Tarifário'!$D$29*'Modelo Tarifário'!$C$60*'Modelo Tarifário'!$E$41))</f>
        <v>183053.59083695419</v>
      </c>
      <c r="R100" s="1340">
        <f>IF(((R8*'Modelo Tarifário'!$C$60*'Modelo Tarifário'!$E$41)*('Premissas Economias e Água'!S382))&gt;('Premissas Economias e Água'!S242*12*'Modelo Tarifário'!$D$29*'Modelo Tarifário'!$C$60*'Modelo Tarifário'!$E$41),(R8*'Modelo Tarifário'!$C$60*'Modelo Tarifário'!$E$41)*('Premissas Economias e Água'!S382),('Premissas Economias e Água'!S242*12*'Modelo Tarifário'!$D$29*'Modelo Tarifário'!$C$60*'Modelo Tarifário'!$E$41))</f>
        <v>183978.54359055904</v>
      </c>
      <c r="S100" s="1340">
        <f>IF(((S8*'Modelo Tarifário'!$C$60*'Modelo Tarifário'!$E$41)*('Premissas Economias e Água'!T382))&gt;('Premissas Economias e Água'!T242*12*'Modelo Tarifário'!$D$29*'Modelo Tarifário'!$C$60*'Modelo Tarifário'!$E$41),(S8*'Modelo Tarifário'!$C$60*'Modelo Tarifário'!$E$41)*('Premissas Economias e Água'!T382),('Premissas Economias e Água'!T242*12*'Modelo Tarifário'!$D$29*'Modelo Tarifário'!$C$60*'Modelo Tarifário'!$E$41))</f>
        <v>184903.49634416393</v>
      </c>
      <c r="T100" s="1340">
        <f>IF(((T8*'Modelo Tarifário'!$C$60*'Modelo Tarifário'!$E$41)*('Premissas Economias e Água'!U382))&gt;('Premissas Economias e Água'!U242*12*'Modelo Tarifário'!$D$29*'Modelo Tarifário'!$C$60*'Modelo Tarifário'!$E$41),(T8*'Modelo Tarifário'!$C$60*'Modelo Tarifário'!$E$41)*('Premissas Economias e Água'!U382),('Premissas Economias e Água'!U242*12*'Modelo Tarifário'!$D$29*'Modelo Tarifário'!$C$60*'Modelo Tarifário'!$E$41))</f>
        <v>185839.33089487001</v>
      </c>
      <c r="U100" s="1340">
        <f>IF(((U8*'Modelo Tarifário'!$C$60*'Modelo Tarifário'!$E$41)*('Premissas Economias e Água'!V382))&gt;('Premissas Economias e Água'!V242*12*'Modelo Tarifário'!$D$29*'Modelo Tarifário'!$C$60*'Modelo Tarifário'!$E$41),(U8*'Modelo Tarifário'!$C$60*'Modelo Tarifário'!$E$41)*('Premissas Economias e Água'!V382),('Premissas Economias e Água'!V242*12*'Modelo Tarifário'!$D$29*'Modelo Tarifário'!$C$60*'Modelo Tarifário'!$E$41))</f>
        <v>186437.82973543787</v>
      </c>
      <c r="V100" s="1340">
        <f>IF(((V8*'Modelo Tarifário'!$C$60*'Modelo Tarifário'!$E$41)*('Premissas Economias e Água'!W382))&gt;('Premissas Economias e Água'!W242*12*'Modelo Tarifário'!$D$29*'Modelo Tarifário'!$C$60*'Modelo Tarifário'!$E$41),(V8*'Modelo Tarifário'!$C$60*'Modelo Tarifário'!$E$41)*('Premissas Economias e Água'!W382),('Premissas Economias e Água'!W242*12*'Modelo Tarifário'!$D$29*'Modelo Tarifário'!$C$60*'Modelo Tarifário'!$E$41))</f>
        <v>187036.32857600573</v>
      </c>
      <c r="W100" s="1340">
        <f>IF(((W8*'Modelo Tarifário'!$C$60*'Modelo Tarifário'!$E$41)*('Premissas Economias e Água'!X382))&gt;('Premissas Economias e Água'!X242*12*'Modelo Tarifário'!$D$29*'Modelo Tarifário'!$C$60*'Modelo Tarifário'!$E$41),(W8*'Modelo Tarifário'!$C$60*'Modelo Tarifário'!$E$41)*('Premissas Economias e Água'!X382),('Premissas Economias e Água'!X242*12*'Modelo Tarifário'!$D$29*'Modelo Tarifário'!$C$60*'Modelo Tarifário'!$E$41))</f>
        <v>187634.82741657359</v>
      </c>
      <c r="X100" s="1340">
        <f>IF(((X8*'Modelo Tarifário'!$C$60*'Modelo Tarifário'!$E$41)*('Premissas Economias e Água'!Y382))&gt;('Premissas Economias e Água'!Y242*12*'Modelo Tarifário'!$D$29*'Modelo Tarifário'!$C$60*'Modelo Tarifário'!$E$41),(X8*'Modelo Tarifário'!$C$60*'Modelo Tarifário'!$E$41)*('Premissas Economias e Água'!Y382),('Premissas Economias e Água'!Y242*12*'Modelo Tarifário'!$D$29*'Modelo Tarifário'!$C$60*'Modelo Tarifário'!$E$41))</f>
        <v>188233.32625714145</v>
      </c>
      <c r="Y100" s="1340">
        <f>IF(((Y8*'Modelo Tarifário'!$C$60*'Modelo Tarifário'!$E$41)*('Premissas Economias e Água'!Z382))&gt;('Premissas Economias e Água'!Z242*12*'Modelo Tarifário'!$D$29*'Modelo Tarifário'!$C$60*'Modelo Tarifário'!$E$41),(Y8*'Modelo Tarifário'!$C$60*'Modelo Tarifário'!$E$41)*('Premissas Economias e Água'!Z382),('Premissas Economias e Água'!Z242*12*'Modelo Tarifário'!$D$29*'Modelo Tarifário'!$C$60*'Modelo Tarifário'!$E$41))</f>
        <v>188842.70689481054</v>
      </c>
      <c r="Z100" s="1340">
        <f>IF(((Z8*'Modelo Tarifário'!$C$60*'Modelo Tarifário'!$E$41)*('Premissas Economias e Água'!AA382))&gt;('Premissas Economias e Água'!AA242*12*'Modelo Tarifário'!$D$29*'Modelo Tarifário'!$C$60*'Modelo Tarifário'!$E$41),(Z8*'Modelo Tarifário'!$C$60*'Modelo Tarifário'!$E$41)*('Premissas Economias e Água'!AA382),('Premissas Economias e Água'!AA242*12*'Modelo Tarifário'!$D$29*'Modelo Tarifário'!$C$60*'Modelo Tarifário'!$E$41))</f>
        <v>189441.20573537835</v>
      </c>
      <c r="AA100" s="1340">
        <f>IF(((AA8*'Modelo Tarifário'!$C$60*'Modelo Tarifário'!$E$41)*('Premissas Economias e Água'!AB382))&gt;('Premissas Economias e Água'!AB242*12*'Modelo Tarifário'!$D$29*'Modelo Tarifário'!$C$60*'Modelo Tarifário'!$E$41),(AA8*'Modelo Tarifário'!$C$60*'Modelo Tarifário'!$E$41)*('Premissas Economias e Água'!AB382),('Premissas Economias e Água'!AB242*12*'Modelo Tarifário'!$D$29*'Modelo Tarifário'!$C$60*'Modelo Tarifário'!$E$41))</f>
        <v>190039.70457594626</v>
      </c>
      <c r="AB100" s="1340">
        <f>IF(((AB8*'Modelo Tarifário'!$C$60*'Modelo Tarifário'!$E$41)*('Premissas Economias e Água'!AC382))&gt;('Premissas Economias e Água'!AC242*12*'Modelo Tarifário'!$D$29*'Modelo Tarifário'!$C$60*'Modelo Tarifário'!$E$41),(AB8*'Modelo Tarifário'!$C$60*'Modelo Tarifário'!$E$41)*('Premissas Economias e Água'!AC382),('Premissas Economias e Água'!AC242*12*'Modelo Tarifário'!$D$29*'Modelo Tarifário'!$C$60*'Modelo Tarifário'!$E$41))</f>
        <v>190638.20341651409</v>
      </c>
      <c r="AC100" s="1340">
        <f>IF(((AC8*'Modelo Tarifário'!$C$60*'Modelo Tarifário'!$E$41)*('Premissas Economias e Água'!AD382))&gt;('Premissas Economias e Água'!AD242*12*'Modelo Tarifário'!$D$29*'Modelo Tarifário'!$C$60*'Modelo Tarifário'!$E$41),(AC8*'Modelo Tarifário'!$C$60*'Modelo Tarifário'!$E$41)*('Premissas Economias e Água'!AD382),('Premissas Economias e Água'!AD242*12*'Modelo Tarifário'!$D$29*'Modelo Tarifário'!$C$60*'Modelo Tarifário'!$E$41))</f>
        <v>191236.70225708198</v>
      </c>
      <c r="AD100" s="1340">
        <f>IF(((AD8*'Modelo Tarifário'!$C$60*'Modelo Tarifário'!$E$41)*('Premissas Economias e Água'!AE382))&gt;('Premissas Economias e Água'!AE242*12*'Modelo Tarifário'!$D$29*'Modelo Tarifário'!$C$60*'Modelo Tarifário'!$E$41),(AD8*'Modelo Tarifário'!$C$60*'Modelo Tarifário'!$E$41)*('Premissas Economias e Água'!AE382),('Premissas Economias e Água'!AE242*12*'Modelo Tarifário'!$D$29*'Modelo Tarifário'!$C$60*'Modelo Tarifário'!$E$41))</f>
        <v>191835.20109764984</v>
      </c>
      <c r="AE100" s="1340">
        <f>IF(((AE8*'Modelo Tarifário'!$C$60*'Modelo Tarifário'!$E$41)*('Premissas Economias e Água'!AF382))&gt;('Premissas Economias e Água'!AF242*12*'Modelo Tarifário'!$D$29*'Modelo Tarifário'!$C$60*'Modelo Tarifário'!$E$41),(AE8*'Modelo Tarifário'!$C$60*'Modelo Tarifário'!$E$41)*('Premissas Economias e Água'!AF382),('Premissas Economias e Água'!AF242*12*'Modelo Tarifário'!$D$29*'Modelo Tarifário'!$C$60*'Modelo Tarifário'!$E$41))</f>
        <v>192433.6999382177</v>
      </c>
      <c r="AF100" s="1340">
        <f>IF(((AF8*'Modelo Tarifário'!$C$60*'Modelo Tarifário'!$E$41)*('Premissas Economias e Água'!AG382))&gt;('Premissas Economias e Água'!AG242*12*'Modelo Tarifário'!$D$29*'Modelo Tarifário'!$C$60*'Modelo Tarifário'!$E$41),(AF8*'Modelo Tarifário'!$C$60*'Modelo Tarifário'!$E$41)*('Premissas Economias e Água'!AG382),('Premissas Economias e Água'!AG242*12*'Modelo Tarifário'!$D$29*'Modelo Tarifário'!$C$60*'Modelo Tarifário'!$E$41))</f>
        <v>193032.19877878553</v>
      </c>
      <c r="AG100" s="1340">
        <f>IF(((AG8*'Modelo Tarifário'!$C$60*'Modelo Tarifário'!$E$41)*('Premissas Economias e Água'!AH382))&gt;('Premissas Economias e Água'!AH242*12*'Modelo Tarifário'!$D$29*'Modelo Tarifário'!$C$60*'Modelo Tarifário'!$E$41),(AG8*'Modelo Tarifário'!$C$60*'Modelo Tarifário'!$E$41)*('Premissas Economias e Água'!AH382),('Premissas Economias e Água'!AH242*12*'Modelo Tarifário'!$D$29*'Modelo Tarifário'!$C$60*'Modelo Tarifário'!$E$41))</f>
        <v>193630.69761935342</v>
      </c>
      <c r="AH100" s="1340">
        <f>IF(((AH8*'Modelo Tarifário'!$C$60*'Modelo Tarifário'!$E$41)*('Premissas Economias e Água'!AI382))&gt;('Premissas Economias e Água'!AI242*12*'Modelo Tarifário'!$D$29*'Modelo Tarifário'!$C$60*'Modelo Tarifário'!$E$41),(AH8*'Modelo Tarifário'!$C$60*'Modelo Tarifário'!$E$41)*('Premissas Economias e Água'!AI382),('Premissas Economias e Água'!AI242*12*'Modelo Tarifário'!$D$29*'Modelo Tarifário'!$C$60*'Modelo Tarifário'!$E$41))</f>
        <v>194229.19645992125</v>
      </c>
    </row>
    <row r="101" spans="2:34" s="79" customFormat="1" ht="12" hidden="1" outlineLevel="1" x14ac:dyDescent="0.3">
      <c r="B101" s="1339"/>
      <c r="C101" s="1335" t="s">
        <v>283</v>
      </c>
      <c r="D101" s="1335"/>
      <c r="E101" s="1340">
        <f>IF(((E8*'Modelo Tarifário'!$C$60*'Modelo Tarifário'!$E$42)*('Premissas Economias e Água'!F383))&gt;('Premissas Economias e Água'!F243*12*'Modelo Tarifário'!$D$29*'Modelo Tarifário'!$C$60*'Modelo Tarifário'!$E$42),(E8*'Modelo Tarifário'!$C$60*'Modelo Tarifário'!$E$42)*('Premissas Economias e Água'!F383),('Premissas Economias e Água'!F243*12*'Modelo Tarifário'!$D$29*'Modelo Tarifário'!$C$60*'Modelo Tarifário'!$E$42))</f>
        <v>40484.040860380912</v>
      </c>
      <c r="F101" s="1340">
        <f>IF(((F8*'Modelo Tarifário'!$C$60*'Modelo Tarifário'!$E$42)*('Premissas Economias e Água'!G383))&gt;('Premissas Economias e Água'!G243*12*'Modelo Tarifário'!$D$29*'Modelo Tarifário'!$C$60*'Modelo Tarifário'!$E$42),(F8*'Modelo Tarifário'!$C$60*'Modelo Tarifário'!$E$42)*('Premissas Economias e Água'!G383),('Premissas Economias e Água'!G243*12*'Modelo Tarifário'!$D$29*'Modelo Tarifário'!$C$60*'Modelo Tarifário'!$E$42))</f>
        <v>40835.096414337495</v>
      </c>
      <c r="G101" s="1340">
        <f>IF(((G8*'Modelo Tarifário'!$C$60*'Modelo Tarifário'!$E$42)*('Premissas Economias e Água'!H383))&gt;('Premissas Economias e Água'!H243*12*'Modelo Tarifário'!$D$29*'Modelo Tarifário'!$C$60*'Modelo Tarifário'!$E$42),(G8*'Modelo Tarifário'!$C$60*'Modelo Tarifário'!$E$42)*('Premissas Economias e Água'!H383),('Premissas Economias e Água'!H243*12*'Modelo Tarifário'!$D$29*'Modelo Tarifário'!$C$60*'Modelo Tarifário'!$E$42))</f>
        <v>41186.151968294071</v>
      </c>
      <c r="H101" s="1340">
        <f>IF(((H8*'Modelo Tarifário'!$C$60*'Modelo Tarifário'!$E$42)*('Premissas Economias e Água'!I383))&gt;('Premissas Economias e Água'!I243*12*'Modelo Tarifário'!$D$29*'Modelo Tarifário'!$C$60*'Modelo Tarifário'!$E$42),(H8*'Modelo Tarifário'!$C$60*'Modelo Tarifário'!$E$42)*('Premissas Economias e Água'!I383),('Premissas Economias e Água'!I243*12*'Modelo Tarifário'!$D$29*'Modelo Tarifário'!$C$60*'Modelo Tarifário'!$E$42))</f>
        <v>41537.207522250654</v>
      </c>
      <c r="I101" s="1340">
        <f>IF(((I8*'Modelo Tarifário'!$C$60*'Modelo Tarifário'!$E$42)*('Premissas Economias e Água'!J383))&gt;('Premissas Economias e Água'!J243*12*'Modelo Tarifário'!$D$29*'Modelo Tarifário'!$C$60*'Modelo Tarifário'!$E$42),(I8*'Modelo Tarifário'!$C$60*'Modelo Tarifário'!$E$42)*('Premissas Economias e Água'!J383),('Premissas Economias e Água'!J243*12*'Modelo Tarifário'!$D$29*'Modelo Tarifário'!$C$60*'Modelo Tarifário'!$E$42))</f>
        <v>41888.263076207237</v>
      </c>
      <c r="J101" s="1340">
        <f>IF(((J8*'Modelo Tarifário'!$C$60*'Modelo Tarifário'!$E$42)*('Premissas Economias e Água'!K383))&gt;('Premissas Economias e Água'!K243*12*'Modelo Tarifário'!$D$29*'Modelo Tarifário'!$C$60*'Modelo Tarifário'!$E$42),(J8*'Modelo Tarifário'!$C$60*'Modelo Tarifário'!$E$42)*('Premissas Economias e Água'!K383),('Premissas Economias e Água'!K243*12*'Modelo Tarifário'!$D$29*'Modelo Tarifário'!$C$60*'Modelo Tarifário'!$E$42))</f>
        <v>42234.078995030133</v>
      </c>
      <c r="K101" s="1340">
        <f>IF(((K8*'Modelo Tarifário'!$C$60*'Modelo Tarifário'!$E$42)*('Premissas Economias e Água'!L383))&gt;('Premissas Economias e Água'!L243*12*'Modelo Tarifário'!$D$29*'Modelo Tarifário'!$C$60*'Modelo Tarifário'!$E$42),(K8*'Modelo Tarifário'!$C$60*'Modelo Tarifário'!$E$42)*('Premissas Economias e Água'!L383),('Premissas Economias e Água'!L243*12*'Modelo Tarifário'!$D$29*'Modelo Tarifário'!$C$60*'Modelo Tarifário'!$E$42))</f>
        <v>42511.779657115185</v>
      </c>
      <c r="L101" s="1340">
        <f>IF(((L8*'Modelo Tarifário'!$C$60*'Modelo Tarifário'!$E$42)*('Premissas Economias e Água'!M383))&gt;('Premissas Economias e Água'!M243*12*'Modelo Tarifário'!$D$29*'Modelo Tarifário'!$C$60*'Modelo Tarifário'!$E$42),(L8*'Modelo Tarifário'!$C$60*'Modelo Tarifário'!$E$42)*('Premissas Economias e Água'!M383),('Premissas Economias e Água'!M243*12*'Modelo Tarifário'!$D$29*'Modelo Tarifário'!$C$60*'Modelo Tarifário'!$E$42))</f>
        <v>42789.480319200244</v>
      </c>
      <c r="M101" s="1340">
        <f>IF(((M8*'Modelo Tarifário'!$C$60*'Modelo Tarifário'!$E$42)*('Premissas Economias e Água'!N383))&gt;('Premissas Economias e Água'!N243*12*'Modelo Tarifário'!$D$29*'Modelo Tarifário'!$C$60*'Modelo Tarifário'!$E$42),(M8*'Modelo Tarifário'!$C$60*'Modelo Tarifário'!$E$42)*('Premissas Economias e Água'!N383),('Premissas Economias e Água'!N243*12*'Modelo Tarifário'!$D$29*'Modelo Tarifário'!$C$60*'Modelo Tarifário'!$E$42))</f>
        <v>43067.18098128531</v>
      </c>
      <c r="N101" s="1340">
        <f>IF(((N8*'Modelo Tarifário'!$C$60*'Modelo Tarifário'!$E$42)*('Premissas Economias e Água'!O383))&gt;('Premissas Economias e Água'!O243*12*'Modelo Tarifário'!$D$29*'Modelo Tarifário'!$C$60*'Modelo Tarifário'!$E$42),(N8*'Modelo Tarifário'!$C$60*'Modelo Tarifário'!$E$42)*('Premissas Economias e Água'!O383),('Premissas Economias e Água'!O243*12*'Modelo Tarifário'!$D$29*'Modelo Tarifário'!$C$60*'Modelo Tarifário'!$E$42))</f>
        <v>43344.881643370354</v>
      </c>
      <c r="O101" s="1340">
        <f>IF(((O8*'Modelo Tarifário'!$C$60*'Modelo Tarifário'!$E$42)*('Premissas Economias e Água'!P383))&gt;('Premissas Economias e Água'!P243*12*'Modelo Tarifário'!$D$29*'Modelo Tarifário'!$C$60*'Modelo Tarifário'!$E$42),(O8*'Modelo Tarifário'!$C$60*'Modelo Tarifário'!$E$42)*('Premissas Economias e Água'!P383),('Premissas Economias e Água'!P243*12*'Modelo Tarifário'!$D$29*'Modelo Tarifário'!$C$60*'Modelo Tarifário'!$E$42))</f>
        <v>43625.202123022267</v>
      </c>
      <c r="P101" s="1340">
        <f>IF(((P8*'Modelo Tarifário'!$C$60*'Modelo Tarifário'!$E$42)*('Premissas Economias e Água'!Q383))&gt;('Premissas Economias e Água'!Q243*12*'Modelo Tarifário'!$D$29*'Modelo Tarifário'!$C$60*'Modelo Tarifário'!$E$42),(P8*'Modelo Tarifário'!$C$60*'Modelo Tarifário'!$E$42)*('Premissas Economias e Água'!Q383),('Premissas Economias e Água'!Q243*12*'Modelo Tarifário'!$D$29*'Modelo Tarifário'!$C$60*'Modelo Tarifário'!$E$42))</f>
        <v>43847.886616203672</v>
      </c>
      <c r="Q101" s="1340">
        <f>IF(((Q8*'Modelo Tarifário'!$C$60*'Modelo Tarifário'!$E$42)*('Premissas Economias e Água'!R383))&gt;('Premissas Economias e Água'!R243*12*'Modelo Tarifário'!$D$29*'Modelo Tarifário'!$C$60*'Modelo Tarifário'!$E$42),(Q8*'Modelo Tarifário'!$C$60*'Modelo Tarifário'!$E$42)*('Premissas Economias e Água'!R383),('Premissas Economias e Água'!R243*12*'Modelo Tarifário'!$D$29*'Modelo Tarifário'!$C$60*'Modelo Tarifário'!$E$42))</f>
        <v>44070.571109385084</v>
      </c>
      <c r="R101" s="1340">
        <f>IF(((R8*'Modelo Tarifário'!$C$60*'Modelo Tarifário'!$E$42)*('Premissas Economias e Água'!S383))&gt;('Premissas Economias e Água'!S243*12*'Modelo Tarifário'!$D$29*'Modelo Tarifário'!$C$60*'Modelo Tarifário'!$E$42),(R8*'Modelo Tarifário'!$C$60*'Modelo Tarifário'!$E$42)*('Premissas Economias e Água'!S383),('Premissas Economias e Água'!S243*12*'Modelo Tarifário'!$D$29*'Modelo Tarifário'!$C$60*'Modelo Tarifário'!$E$42))</f>
        <v>44293.255602566496</v>
      </c>
      <c r="S101" s="1340">
        <f>IF(((S8*'Modelo Tarifário'!$C$60*'Modelo Tarifário'!$E$42)*('Premissas Economias e Água'!T383))&gt;('Premissas Economias e Água'!T243*12*'Modelo Tarifário'!$D$29*'Modelo Tarifário'!$C$60*'Modelo Tarifário'!$E$42),(S8*'Modelo Tarifário'!$C$60*'Modelo Tarifário'!$E$42)*('Premissas Economias e Água'!T383),('Premissas Economias e Água'!T243*12*'Modelo Tarifário'!$D$29*'Modelo Tarifário'!$C$60*'Modelo Tarifário'!$E$42))</f>
        <v>44515.940095747908</v>
      </c>
      <c r="T101" s="1340">
        <f>IF(((T8*'Modelo Tarifário'!$C$60*'Modelo Tarifário'!$E$42)*('Premissas Economias e Água'!U383))&gt;('Premissas Economias e Água'!U243*12*'Modelo Tarifário'!$D$29*'Modelo Tarifário'!$C$60*'Modelo Tarifário'!$E$42),(T8*'Modelo Tarifário'!$C$60*'Modelo Tarifário'!$E$42)*('Premissas Economias e Água'!U383),('Premissas Economias e Água'!U243*12*'Modelo Tarifário'!$D$29*'Modelo Tarifário'!$C$60*'Modelo Tarifário'!$E$42))</f>
        <v>44741.24440649616</v>
      </c>
      <c r="U101" s="1340">
        <f>IF(((U8*'Modelo Tarifário'!$C$60*'Modelo Tarifário'!$E$42)*('Premissas Economias e Água'!V383))&gt;('Premissas Economias e Água'!V243*12*'Modelo Tarifário'!$D$29*'Modelo Tarifário'!$C$60*'Modelo Tarifário'!$E$42),(U8*'Modelo Tarifário'!$C$60*'Modelo Tarifário'!$E$42)*('Premissas Economias e Água'!V383),('Premissas Economias e Água'!V243*12*'Modelo Tarifário'!$D$29*'Modelo Tarifário'!$C$60*'Modelo Tarifário'!$E$42))</f>
        <v>44885.334372672369</v>
      </c>
      <c r="V101" s="1340">
        <f>IF(((V8*'Modelo Tarifário'!$C$60*'Modelo Tarifário'!$E$42)*('Premissas Economias e Água'!W383))&gt;('Premissas Economias e Água'!W243*12*'Modelo Tarifário'!$D$29*'Modelo Tarifário'!$C$60*'Modelo Tarifário'!$E$42),(V8*'Modelo Tarifário'!$C$60*'Modelo Tarifário'!$E$42)*('Premissas Economias e Água'!W383),('Premissas Economias e Água'!W243*12*'Modelo Tarifário'!$D$29*'Modelo Tarifário'!$C$60*'Modelo Tarifário'!$E$42))</f>
        <v>45029.424338848577</v>
      </c>
      <c r="W101" s="1340">
        <f>IF(((W8*'Modelo Tarifário'!$C$60*'Modelo Tarifário'!$E$42)*('Premissas Economias e Água'!X383))&gt;('Premissas Economias e Água'!X243*12*'Modelo Tarifário'!$D$29*'Modelo Tarifário'!$C$60*'Modelo Tarifário'!$E$42),(W8*'Modelo Tarifário'!$C$60*'Modelo Tarifário'!$E$42)*('Premissas Economias e Água'!X383),('Premissas Economias e Água'!X243*12*'Modelo Tarifário'!$D$29*'Modelo Tarifário'!$C$60*'Modelo Tarifário'!$E$42))</f>
        <v>45173.514305024779</v>
      </c>
      <c r="X101" s="1340">
        <f>IF(((X8*'Modelo Tarifário'!$C$60*'Modelo Tarifário'!$E$42)*('Premissas Economias e Água'!Y383))&gt;('Premissas Economias e Água'!Y243*12*'Modelo Tarifário'!$D$29*'Modelo Tarifário'!$C$60*'Modelo Tarifário'!$E$42),(X8*'Modelo Tarifário'!$C$60*'Modelo Tarifário'!$E$42)*('Premissas Economias e Água'!Y383),('Premissas Economias e Água'!Y243*12*'Modelo Tarifário'!$D$29*'Modelo Tarifário'!$C$60*'Modelo Tarifário'!$E$42))</f>
        <v>45317.604271200995</v>
      </c>
      <c r="Y101" s="1340">
        <f>IF(((Y8*'Modelo Tarifário'!$C$60*'Modelo Tarifário'!$E$42)*('Premissas Economias e Água'!Z383))&gt;('Premissas Economias e Água'!Z243*12*'Modelo Tarifário'!$D$29*'Modelo Tarifário'!$C$60*'Modelo Tarifário'!$E$42),(Y8*'Modelo Tarifário'!$C$60*'Modelo Tarifário'!$E$42)*('Premissas Economias e Água'!Z383),('Premissas Economias e Água'!Z243*12*'Modelo Tarifário'!$D$29*'Modelo Tarifário'!$C$60*'Modelo Tarifário'!$E$42))</f>
        <v>45464.314054944036</v>
      </c>
      <c r="Z101" s="1340">
        <f>IF(((Z8*'Modelo Tarifário'!$C$60*'Modelo Tarifário'!$E$42)*('Premissas Economias e Água'!AA383))&gt;('Premissas Economias e Água'!AA243*12*'Modelo Tarifário'!$D$29*'Modelo Tarifário'!$C$60*'Modelo Tarifário'!$E$42),(Z8*'Modelo Tarifário'!$C$60*'Modelo Tarifário'!$E$42)*('Premissas Economias e Água'!AA383),('Premissas Economias e Água'!AA243*12*'Modelo Tarifário'!$D$29*'Modelo Tarifário'!$C$60*'Modelo Tarifário'!$E$42))</f>
        <v>45608.404021120252</v>
      </c>
      <c r="AA101" s="1340">
        <f>IF(((AA8*'Modelo Tarifário'!$C$60*'Modelo Tarifário'!$E$42)*('Premissas Economias e Água'!AB383))&gt;('Premissas Economias e Água'!AB243*12*'Modelo Tarifário'!$D$29*'Modelo Tarifário'!$C$60*'Modelo Tarifário'!$E$42),(AA8*'Modelo Tarifário'!$C$60*'Modelo Tarifário'!$E$42)*('Premissas Economias e Água'!AB383),('Premissas Economias e Água'!AB243*12*'Modelo Tarifário'!$D$29*'Modelo Tarifário'!$C$60*'Modelo Tarifário'!$E$42))</f>
        <v>45752.493987296461</v>
      </c>
      <c r="AB101" s="1340">
        <f>IF(((AB8*'Modelo Tarifário'!$C$60*'Modelo Tarifário'!$E$42)*('Premissas Economias e Água'!AC383))&gt;('Premissas Economias e Água'!AC243*12*'Modelo Tarifário'!$D$29*'Modelo Tarifário'!$C$60*'Modelo Tarifário'!$E$42),(AB8*'Modelo Tarifário'!$C$60*'Modelo Tarifário'!$E$42)*('Premissas Economias e Água'!AC383),('Premissas Economias e Água'!AC243*12*'Modelo Tarifário'!$D$29*'Modelo Tarifário'!$C$60*'Modelo Tarifário'!$E$42))</f>
        <v>45896.583953472662</v>
      </c>
      <c r="AC101" s="1340">
        <f>IF(((AC8*'Modelo Tarifário'!$C$60*'Modelo Tarifário'!$E$42)*('Premissas Economias e Água'!AD383))&gt;('Premissas Economias e Água'!AD243*12*'Modelo Tarifário'!$D$29*'Modelo Tarifário'!$C$60*'Modelo Tarifário'!$E$42),(AC8*'Modelo Tarifário'!$C$60*'Modelo Tarifário'!$E$42)*('Premissas Economias e Água'!AD383),('Premissas Economias e Água'!AD243*12*'Modelo Tarifário'!$D$29*'Modelo Tarifário'!$C$60*'Modelo Tarifário'!$E$42))</f>
        <v>46040.673919648878</v>
      </c>
      <c r="AD101" s="1340">
        <f>IF(((AD8*'Modelo Tarifário'!$C$60*'Modelo Tarifário'!$E$42)*('Premissas Economias e Água'!AE383))&gt;('Premissas Economias e Água'!AE243*12*'Modelo Tarifário'!$D$29*'Modelo Tarifário'!$C$60*'Modelo Tarifário'!$E$42),(AD8*'Modelo Tarifário'!$C$60*'Modelo Tarifário'!$E$42)*('Premissas Economias e Água'!AE383),('Premissas Economias e Água'!AE243*12*'Modelo Tarifário'!$D$29*'Modelo Tarifário'!$C$60*'Modelo Tarifário'!$E$42))</f>
        <v>46184.763885825094</v>
      </c>
      <c r="AE101" s="1340">
        <f>IF(((AE8*'Modelo Tarifário'!$C$60*'Modelo Tarifário'!$E$42)*('Premissas Economias e Água'!AF383))&gt;('Premissas Economias e Água'!AF243*12*'Modelo Tarifário'!$D$29*'Modelo Tarifário'!$C$60*'Modelo Tarifário'!$E$42),(AE8*'Modelo Tarifário'!$C$60*'Modelo Tarifário'!$E$42)*('Premissas Economias e Água'!AF383),('Premissas Economias e Água'!AF243*12*'Modelo Tarifário'!$D$29*'Modelo Tarifário'!$C$60*'Modelo Tarifário'!$E$42))</f>
        <v>46328.853852001295</v>
      </c>
      <c r="AF101" s="1340">
        <f>IF(((AF8*'Modelo Tarifário'!$C$60*'Modelo Tarifário'!$E$42)*('Premissas Economias e Água'!AG383))&gt;('Premissas Economias e Água'!AG243*12*'Modelo Tarifário'!$D$29*'Modelo Tarifário'!$C$60*'Modelo Tarifário'!$E$42),(AF8*'Modelo Tarifário'!$C$60*'Modelo Tarifário'!$E$42)*('Premissas Economias e Água'!AG383),('Premissas Economias e Água'!AG243*12*'Modelo Tarifário'!$D$29*'Modelo Tarifário'!$C$60*'Modelo Tarifário'!$E$42))</f>
        <v>46472.943818177504</v>
      </c>
      <c r="AG101" s="1340">
        <f>IF(((AG8*'Modelo Tarifário'!$C$60*'Modelo Tarifário'!$E$42)*('Premissas Economias e Água'!AH383))&gt;('Premissas Economias e Água'!AH243*12*'Modelo Tarifário'!$D$29*'Modelo Tarifário'!$C$60*'Modelo Tarifário'!$E$42),(AG8*'Modelo Tarifário'!$C$60*'Modelo Tarifário'!$E$42)*('Premissas Economias e Água'!AH383),('Premissas Economias e Água'!AH243*12*'Modelo Tarifário'!$D$29*'Modelo Tarifário'!$C$60*'Modelo Tarifário'!$E$42))</f>
        <v>46617.03378435372</v>
      </c>
      <c r="AH101" s="1340">
        <f>IF(((AH8*'Modelo Tarifário'!$C$60*'Modelo Tarifário'!$E$42)*('Premissas Economias e Água'!AI383))&gt;('Premissas Economias e Água'!AI243*12*'Modelo Tarifário'!$D$29*'Modelo Tarifário'!$C$60*'Modelo Tarifário'!$E$42),(AH8*'Modelo Tarifário'!$C$60*'Modelo Tarifário'!$E$42)*('Premissas Economias e Água'!AI383),('Premissas Economias e Água'!AI243*12*'Modelo Tarifário'!$D$29*'Modelo Tarifário'!$C$60*'Modelo Tarifário'!$E$42))</f>
        <v>46761.123750529921</v>
      </c>
    </row>
    <row r="102" spans="2:34" s="79" customFormat="1" ht="12" hidden="1" outlineLevel="1" x14ac:dyDescent="0.3">
      <c r="B102" s="1339"/>
      <c r="C102" s="1335" t="s">
        <v>12</v>
      </c>
      <c r="D102" s="1335"/>
      <c r="E102" s="1340">
        <f>IF(((E8*'Modelo Tarifário'!$C$60*'Modelo Tarifário'!$E$43)*('Premissas Economias e Água'!F384))&gt;('Premissas Economias e Água'!F244*12*'Modelo Tarifário'!$D$29*'Modelo Tarifário'!$C$60*'Modelo Tarifário'!$E$43),(E8*'Modelo Tarifário'!$C$60*'Modelo Tarifário'!$E$43)*('Premissas Economias e Água'!F384),('Premissas Economias e Água'!F244*12*'Modelo Tarifário'!$D$29*'Modelo Tarifário'!$C$60*'Modelo Tarifário'!$E$43))</f>
        <v>305631.03201525944</v>
      </c>
      <c r="F102" s="1340">
        <f>IF(((F8*'Modelo Tarifário'!$C$60*'Modelo Tarifário'!$E$43)*('Premissas Economias e Água'!G384))&gt;('Premissas Economias e Água'!G244*12*'Modelo Tarifário'!$D$29*'Modelo Tarifário'!$C$60*'Modelo Tarifário'!$E$43),(F8*'Modelo Tarifário'!$C$60*'Modelo Tarifário'!$E$43)*('Premissas Economias e Água'!G384),('Premissas Economias e Água'!G244*12*'Modelo Tarifário'!$D$29*'Modelo Tarifário'!$C$60*'Modelo Tarifário'!$E$43))</f>
        <v>308281.2978723775</v>
      </c>
      <c r="G102" s="1340">
        <f>IF(((G8*'Modelo Tarifário'!$C$60*'Modelo Tarifário'!$E$43)*('Premissas Economias e Água'!H384))&gt;('Premissas Economias e Água'!H244*12*'Modelo Tarifário'!$D$29*'Modelo Tarifário'!$C$60*'Modelo Tarifário'!$E$43),(G8*'Modelo Tarifário'!$C$60*'Modelo Tarifário'!$E$43)*('Premissas Economias e Água'!H384),('Premissas Economias e Água'!H244*12*'Modelo Tarifário'!$D$29*'Modelo Tarifário'!$C$60*'Modelo Tarifário'!$E$43))</f>
        <v>310931.56372949545</v>
      </c>
      <c r="H102" s="1340">
        <f>IF(((H8*'Modelo Tarifário'!$C$60*'Modelo Tarifário'!$E$43)*('Premissas Economias e Água'!I384))&gt;('Premissas Economias e Água'!I244*12*'Modelo Tarifário'!$D$29*'Modelo Tarifário'!$C$60*'Modelo Tarifário'!$E$43),(H8*'Modelo Tarifário'!$C$60*'Modelo Tarifário'!$E$43)*('Premissas Economias e Água'!I384),('Premissas Economias e Água'!I244*12*'Modelo Tarifário'!$D$29*'Modelo Tarifário'!$C$60*'Modelo Tarifário'!$E$43))</f>
        <v>313581.82958661346</v>
      </c>
      <c r="I102" s="1340">
        <f>IF(((I8*'Modelo Tarifário'!$C$60*'Modelo Tarifário'!$E$43)*('Premissas Economias e Água'!J384))&gt;('Premissas Economias e Água'!J244*12*'Modelo Tarifário'!$D$29*'Modelo Tarifário'!$C$60*'Modelo Tarifário'!$E$43),(I8*'Modelo Tarifário'!$C$60*'Modelo Tarifário'!$E$43)*('Premissas Economias e Água'!J384),('Premissas Economias e Água'!J244*12*'Modelo Tarifário'!$D$29*'Modelo Tarifário'!$C$60*'Modelo Tarifário'!$E$43))</f>
        <v>316232.09544373146</v>
      </c>
      <c r="J102" s="1340">
        <f>IF(((J8*'Modelo Tarifário'!$C$60*'Modelo Tarifário'!$E$43)*('Premissas Economias e Água'!K384))&gt;('Premissas Economias e Água'!K244*12*'Modelo Tarifário'!$D$29*'Modelo Tarifário'!$C$60*'Modelo Tarifário'!$E$43),(J8*'Modelo Tarifário'!$C$60*'Modelo Tarifário'!$E$43)*('Premissas Economias e Água'!K384),('Premissas Economias e Água'!K244*12*'Modelo Tarifário'!$D$29*'Modelo Tarifário'!$C$60*'Modelo Tarifário'!$E$43))</f>
        <v>318842.80509402684</v>
      </c>
      <c r="K102" s="1340">
        <f>IF(((K8*'Modelo Tarifário'!$C$60*'Modelo Tarifário'!$E$43)*('Premissas Economias e Água'!L384))&gt;('Premissas Economias e Água'!L244*12*'Modelo Tarifário'!$D$29*'Modelo Tarifário'!$C$60*'Modelo Tarifário'!$E$43),(K8*'Modelo Tarifário'!$C$60*'Modelo Tarifário'!$E$43)*('Premissas Economias e Água'!L384),('Premissas Economias e Água'!L244*12*'Modelo Tarifário'!$D$29*'Modelo Tarifário'!$C$60*'Modelo Tarifário'!$E$43))</f>
        <v>320939.28405562765</v>
      </c>
      <c r="L102" s="1340">
        <f>IF(((L8*'Modelo Tarifário'!$C$60*'Modelo Tarifário'!$E$43)*('Premissas Economias e Água'!M384))&gt;('Premissas Economias e Água'!M244*12*'Modelo Tarifário'!$D$29*'Modelo Tarifário'!$C$60*'Modelo Tarifário'!$E$43),(L8*'Modelo Tarifário'!$C$60*'Modelo Tarifário'!$E$43)*('Premissas Economias e Água'!M384),('Premissas Economias e Água'!M244*12*'Modelo Tarifário'!$D$29*'Modelo Tarifário'!$C$60*'Modelo Tarifário'!$E$43))</f>
        <v>323035.76301722851</v>
      </c>
      <c r="M102" s="1340">
        <f>IF(((M8*'Modelo Tarifário'!$C$60*'Modelo Tarifário'!$E$43)*('Premissas Economias e Água'!N384))&gt;('Premissas Economias e Água'!N244*12*'Modelo Tarifário'!$D$29*'Modelo Tarifário'!$C$60*'Modelo Tarifário'!$E$43),(M8*'Modelo Tarifário'!$C$60*'Modelo Tarifário'!$E$43)*('Premissas Economias e Água'!N384),('Premissas Economias e Água'!N244*12*'Modelo Tarifário'!$D$29*'Modelo Tarifário'!$C$60*'Modelo Tarifário'!$E$43))</f>
        <v>325132.24197882932</v>
      </c>
      <c r="N102" s="1340">
        <f>IF(((N8*'Modelo Tarifário'!$C$60*'Modelo Tarifário'!$E$43)*('Premissas Economias e Água'!O384))&gt;('Premissas Economias e Água'!O244*12*'Modelo Tarifário'!$D$29*'Modelo Tarifário'!$C$60*'Modelo Tarifário'!$E$43),(N8*'Modelo Tarifário'!$C$60*'Modelo Tarifário'!$E$43)*('Premissas Economias e Água'!O384),('Premissas Economias e Água'!O244*12*'Modelo Tarifário'!$D$29*'Modelo Tarifário'!$C$60*'Modelo Tarifário'!$E$43))</f>
        <v>327228.72094043012</v>
      </c>
      <c r="O102" s="1340">
        <f>IF(((O8*'Modelo Tarifário'!$C$60*'Modelo Tarifário'!$E$43)*('Premissas Economias e Água'!P384))&gt;('Premissas Economias e Água'!P244*12*'Modelo Tarifário'!$D$29*'Modelo Tarifário'!$C$60*'Modelo Tarifário'!$E$43),(O8*'Modelo Tarifário'!$C$60*'Modelo Tarifário'!$E$43)*('Premissas Economias e Água'!P384),('Premissas Economias e Água'!P244*12*'Modelo Tarifário'!$D$29*'Modelo Tarifário'!$C$60*'Modelo Tarifário'!$E$43))</f>
        <v>329344.9780054423</v>
      </c>
      <c r="P102" s="1340">
        <f>IF(((P8*'Modelo Tarifário'!$C$60*'Modelo Tarifário'!$E$43)*('Premissas Economias e Água'!Q384))&gt;('Premissas Economias e Água'!Q244*12*'Modelo Tarifário'!$D$29*'Modelo Tarifário'!$C$60*'Modelo Tarifário'!$E$43),(P8*'Modelo Tarifário'!$C$60*'Modelo Tarifário'!$E$43)*('Premissas Economias e Água'!Q384),('Premissas Economias e Água'!Q244*12*'Modelo Tarifário'!$D$29*'Modelo Tarifário'!$C$60*'Modelo Tarifário'!$E$43))</f>
        <v>331026.11679540522</v>
      </c>
      <c r="Q102" s="1340">
        <f>IF(((Q8*'Modelo Tarifário'!$C$60*'Modelo Tarifário'!$E$43)*('Premissas Economias e Água'!R384))&gt;('Premissas Economias e Água'!R244*12*'Modelo Tarifário'!$D$29*'Modelo Tarifário'!$C$60*'Modelo Tarifário'!$E$43),(Q8*'Modelo Tarifário'!$C$60*'Modelo Tarifário'!$E$43)*('Premissas Economias e Água'!R384),('Premissas Economias e Água'!R244*12*'Modelo Tarifário'!$D$29*'Modelo Tarifário'!$C$60*'Modelo Tarifário'!$E$43))</f>
        <v>332707.25558536814</v>
      </c>
      <c r="R102" s="1340">
        <f>IF(((R8*'Modelo Tarifário'!$C$60*'Modelo Tarifário'!$E$43)*('Premissas Economias e Água'!S384))&gt;('Premissas Economias e Água'!S244*12*'Modelo Tarifário'!$D$29*'Modelo Tarifário'!$C$60*'Modelo Tarifário'!$E$43),(R8*'Modelo Tarifário'!$C$60*'Modelo Tarifário'!$E$43)*('Premissas Economias e Água'!S384),('Premissas Economias e Água'!S244*12*'Modelo Tarifário'!$D$29*'Modelo Tarifário'!$C$60*'Modelo Tarifário'!$E$43))</f>
        <v>334388.39437533106</v>
      </c>
      <c r="S102" s="1340">
        <f>IF(((S8*'Modelo Tarifário'!$C$60*'Modelo Tarifário'!$E$43)*('Premissas Economias e Água'!T384))&gt;('Premissas Economias e Água'!T244*12*'Modelo Tarifário'!$D$29*'Modelo Tarifário'!$C$60*'Modelo Tarifário'!$E$43),(S8*'Modelo Tarifário'!$C$60*'Modelo Tarifário'!$E$43)*('Premissas Economias e Água'!T384),('Premissas Economias e Água'!T244*12*'Modelo Tarifário'!$D$29*'Modelo Tarifário'!$C$60*'Modelo Tarifário'!$E$43))</f>
        <v>336069.53316529398</v>
      </c>
      <c r="T102" s="1340">
        <f>IF(((T8*'Modelo Tarifário'!$C$60*'Modelo Tarifário'!$E$43)*('Premissas Economias e Água'!U384))&gt;('Premissas Economias e Água'!U244*12*'Modelo Tarifário'!$D$29*'Modelo Tarifário'!$C$60*'Modelo Tarifário'!$E$43),(T8*'Modelo Tarifário'!$C$60*'Modelo Tarifário'!$E$43)*('Premissas Economias e Água'!U384),('Premissas Economias e Água'!U244*12*'Modelo Tarifário'!$D$29*'Modelo Tarifário'!$C$60*'Modelo Tarifário'!$E$43))</f>
        <v>337770.45005866827</v>
      </c>
      <c r="U102" s="1340">
        <f>IF(((U8*'Modelo Tarifário'!$C$60*'Modelo Tarifário'!$E$43)*('Premissas Economias e Água'!V384))&gt;('Premissas Economias e Água'!V244*12*'Modelo Tarifário'!$D$29*'Modelo Tarifário'!$C$60*'Modelo Tarifário'!$E$43),(U8*'Modelo Tarifário'!$C$60*'Modelo Tarifário'!$E$43)*('Premissas Economias e Água'!V384),('Premissas Economias e Água'!V244*12*'Modelo Tarifário'!$D$29*'Modelo Tarifário'!$C$60*'Modelo Tarifário'!$E$43))</f>
        <v>338858.24574629124</v>
      </c>
      <c r="V102" s="1340">
        <f>IF(((V8*'Modelo Tarifário'!$C$60*'Modelo Tarifário'!$E$43)*('Premissas Economias e Água'!W384))&gt;('Premissas Economias e Água'!W244*12*'Modelo Tarifário'!$D$29*'Modelo Tarifário'!$C$60*'Modelo Tarifário'!$E$43),(V8*'Modelo Tarifário'!$C$60*'Modelo Tarifário'!$E$43)*('Premissas Economias e Água'!W384),('Premissas Economias e Água'!W244*12*'Modelo Tarifário'!$D$29*'Modelo Tarifário'!$C$60*'Modelo Tarifário'!$E$43))</f>
        <v>339946.04143391439</v>
      </c>
      <c r="W102" s="1340">
        <f>IF(((W8*'Modelo Tarifário'!$C$60*'Modelo Tarifário'!$E$43)*('Premissas Economias e Água'!X384))&gt;('Premissas Economias e Água'!X244*12*'Modelo Tarifário'!$D$29*'Modelo Tarifário'!$C$60*'Modelo Tarifário'!$E$43),(W8*'Modelo Tarifário'!$C$60*'Modelo Tarifário'!$E$43)*('Premissas Economias e Água'!X384),('Premissas Economias e Água'!X244*12*'Modelo Tarifário'!$D$29*'Modelo Tarifário'!$C$60*'Modelo Tarifário'!$E$43))</f>
        <v>341033.83712153748</v>
      </c>
      <c r="X102" s="1340">
        <f>IF(((X8*'Modelo Tarifário'!$C$60*'Modelo Tarifário'!$E$43)*('Premissas Economias e Água'!Y384))&gt;('Premissas Economias e Água'!Y244*12*'Modelo Tarifário'!$D$29*'Modelo Tarifário'!$C$60*'Modelo Tarifário'!$E$43),(X8*'Modelo Tarifário'!$C$60*'Modelo Tarifário'!$E$43)*('Premissas Economias e Água'!Y384),('Premissas Economias e Água'!Y244*12*'Modelo Tarifário'!$D$29*'Modelo Tarifário'!$C$60*'Modelo Tarifário'!$E$43))</f>
        <v>342121.63280916045</v>
      </c>
      <c r="Y102" s="1340">
        <f>IF(((Y8*'Modelo Tarifário'!$C$60*'Modelo Tarifário'!$E$43)*('Premissas Economias e Água'!Z384))&gt;('Premissas Economias e Água'!Z244*12*'Modelo Tarifário'!$D$29*'Modelo Tarifário'!$C$60*'Modelo Tarifário'!$E$43),(Y8*'Modelo Tarifário'!$C$60*'Modelo Tarifário'!$E$43)*('Premissas Economias e Água'!Z384),('Premissas Economias e Água'!Z244*12*'Modelo Tarifário'!$D$29*'Modelo Tarifário'!$C$60*'Modelo Tarifário'!$E$43))</f>
        <v>343229.20660019486</v>
      </c>
      <c r="Z102" s="1340">
        <f>IF(((Z8*'Modelo Tarifário'!$C$60*'Modelo Tarifário'!$E$43)*('Premissas Economias e Água'!AA384))&gt;('Premissas Economias e Água'!AA244*12*'Modelo Tarifário'!$D$29*'Modelo Tarifário'!$C$60*'Modelo Tarifário'!$E$43),(Z8*'Modelo Tarifário'!$C$60*'Modelo Tarifário'!$E$43)*('Premissas Economias e Água'!AA384),('Premissas Economias e Água'!AA244*12*'Modelo Tarifário'!$D$29*'Modelo Tarifário'!$C$60*'Modelo Tarifário'!$E$43))</f>
        <v>344317.002287818</v>
      </c>
      <c r="AA102" s="1340">
        <f>IF(((AA8*'Modelo Tarifário'!$C$60*'Modelo Tarifário'!$E$43)*('Premissas Economias e Água'!AB384))&gt;('Premissas Economias e Água'!AB244*12*'Modelo Tarifário'!$D$29*'Modelo Tarifário'!$C$60*'Modelo Tarifário'!$E$43),(AA8*'Modelo Tarifário'!$C$60*'Modelo Tarifário'!$E$43)*('Premissas Economias e Água'!AB384),('Premissas Economias e Água'!AB244*12*'Modelo Tarifário'!$D$29*'Modelo Tarifário'!$C$60*'Modelo Tarifário'!$E$43))</f>
        <v>345404.79797544103</v>
      </c>
      <c r="AB102" s="1340">
        <f>IF(((AB8*'Modelo Tarifário'!$C$60*'Modelo Tarifário'!$E$43)*('Premissas Economias e Água'!AC384))&gt;('Premissas Economias e Água'!AC244*12*'Modelo Tarifário'!$D$29*'Modelo Tarifário'!$C$60*'Modelo Tarifário'!$E$43),(AB8*'Modelo Tarifário'!$C$60*'Modelo Tarifário'!$E$43)*('Premissas Economias e Água'!AC384),('Premissas Economias e Água'!AC244*12*'Modelo Tarifário'!$D$29*'Modelo Tarifário'!$C$60*'Modelo Tarifário'!$E$43))</f>
        <v>346492.59366306412</v>
      </c>
      <c r="AC102" s="1340">
        <f>IF(((AC8*'Modelo Tarifário'!$C$60*'Modelo Tarifário'!$E$43)*('Premissas Economias e Água'!AD384))&gt;('Premissas Economias e Água'!AD244*12*'Modelo Tarifário'!$D$29*'Modelo Tarifário'!$C$60*'Modelo Tarifário'!$E$43),(AC8*'Modelo Tarifário'!$C$60*'Modelo Tarifário'!$E$43)*('Premissas Economias e Água'!AD384),('Premissas Economias e Água'!AD244*12*'Modelo Tarifário'!$D$29*'Modelo Tarifário'!$C$60*'Modelo Tarifário'!$E$43))</f>
        <v>347580.38935068715</v>
      </c>
      <c r="AD102" s="1340">
        <f>IF(((AD8*'Modelo Tarifário'!$C$60*'Modelo Tarifário'!$E$43)*('Premissas Economias e Água'!AE384))&gt;('Premissas Economias e Água'!AE244*12*'Modelo Tarifário'!$D$29*'Modelo Tarifário'!$C$60*'Modelo Tarifário'!$E$43),(AD8*'Modelo Tarifário'!$C$60*'Modelo Tarifário'!$E$43)*('Premissas Economias e Água'!AE384),('Premissas Economias e Água'!AE244*12*'Modelo Tarifário'!$D$29*'Modelo Tarifário'!$C$60*'Modelo Tarifário'!$E$43))</f>
        <v>348668.18503831024</v>
      </c>
      <c r="AE102" s="1340">
        <f>IF(((AE8*'Modelo Tarifário'!$C$60*'Modelo Tarifário'!$E$43)*('Premissas Economias e Água'!AF384))&gt;('Premissas Economias e Água'!AF244*12*'Modelo Tarifário'!$D$29*'Modelo Tarifário'!$C$60*'Modelo Tarifário'!$E$43),(AE8*'Modelo Tarifário'!$C$60*'Modelo Tarifário'!$E$43)*('Premissas Economias e Água'!AF384),('Premissas Economias e Água'!AF244*12*'Modelo Tarifário'!$D$29*'Modelo Tarifário'!$C$60*'Modelo Tarifário'!$E$43))</f>
        <v>349755.98072593333</v>
      </c>
      <c r="AF102" s="1340">
        <f>IF(((AF8*'Modelo Tarifário'!$C$60*'Modelo Tarifário'!$E$43)*('Premissas Economias e Água'!AG384))&gt;('Premissas Economias e Água'!AG244*12*'Modelo Tarifário'!$D$29*'Modelo Tarifário'!$C$60*'Modelo Tarifário'!$E$43),(AF8*'Modelo Tarifário'!$C$60*'Modelo Tarifário'!$E$43)*('Premissas Economias e Água'!AG384),('Premissas Economias e Água'!AG244*12*'Modelo Tarifário'!$D$29*'Modelo Tarifário'!$C$60*'Modelo Tarifário'!$E$43))</f>
        <v>350843.77641355636</v>
      </c>
      <c r="AG102" s="1340">
        <f>IF(((AG8*'Modelo Tarifário'!$C$60*'Modelo Tarifário'!$E$43)*('Premissas Economias e Água'!AH384))&gt;('Premissas Economias e Água'!AH244*12*'Modelo Tarifário'!$D$29*'Modelo Tarifário'!$C$60*'Modelo Tarifário'!$E$43),(AG8*'Modelo Tarifário'!$C$60*'Modelo Tarifário'!$E$43)*('Premissas Economias e Água'!AH384),('Premissas Economias e Água'!AH244*12*'Modelo Tarifário'!$D$29*'Modelo Tarifário'!$C$60*'Modelo Tarifário'!$E$43))</f>
        <v>351931.57210117939</v>
      </c>
      <c r="AH102" s="1340">
        <f>IF(((AH8*'Modelo Tarifário'!$C$60*'Modelo Tarifário'!$E$43)*('Premissas Economias e Água'!AI384))&gt;('Premissas Economias e Água'!AI244*12*'Modelo Tarifário'!$D$29*'Modelo Tarifário'!$C$60*'Modelo Tarifário'!$E$43),(AH8*'Modelo Tarifário'!$C$60*'Modelo Tarifário'!$E$43)*('Premissas Economias e Água'!AI384),('Premissas Economias e Água'!AI244*12*'Modelo Tarifário'!$D$29*'Modelo Tarifário'!$C$60*'Modelo Tarifário'!$E$43))</f>
        <v>353019.36778880254</v>
      </c>
    </row>
    <row r="103" spans="2:34" s="79" customFormat="1" ht="12" hidden="1" outlineLevel="1" x14ac:dyDescent="0.3">
      <c r="B103" s="1339"/>
      <c r="C103" s="1335" t="s">
        <v>13</v>
      </c>
      <c r="D103" s="1335"/>
      <c r="E103" s="1340">
        <f>IF(((E8*'Modelo Tarifário'!$C$60*'Modelo Tarifário'!$E$44)*('Premissas Economias e Água'!F385))&gt;('Premissas Economias e Água'!F245*12*'Modelo Tarifário'!$D$29*'Modelo Tarifário'!$C$60*'Modelo Tarifário'!$E$44),(E8*'Modelo Tarifário'!$C$60*'Modelo Tarifário'!$E$44)*('Premissas Economias e Água'!F385),('Premissas Economias e Água'!F245*12*'Modelo Tarifário'!$D$29*'Modelo Tarifário'!$C$60*'Modelo Tarifário'!$E$44))</f>
        <v>15715.768890316029</v>
      </c>
      <c r="F103" s="1340">
        <f>IF(((F8*'Modelo Tarifário'!$C$60*'Modelo Tarifário'!$E$44)*('Premissas Economias e Água'!G385))&gt;('Premissas Economias e Água'!G245*12*'Modelo Tarifário'!$D$29*'Modelo Tarifário'!$C$60*'Modelo Tarifário'!$E$44),(F8*'Modelo Tarifário'!$C$60*'Modelo Tarifário'!$E$44)*('Premissas Economias e Água'!G385),('Premissas Economias e Água'!G245*12*'Modelo Tarifário'!$D$29*'Modelo Tarifário'!$C$60*'Modelo Tarifário'!$E$44))</f>
        <v>15852.047479023875</v>
      </c>
      <c r="G103" s="1340">
        <f>IF(((G8*'Modelo Tarifário'!$C$60*'Modelo Tarifário'!$E$44)*('Premissas Economias e Água'!H385))&gt;('Premissas Economias e Água'!H245*12*'Modelo Tarifário'!$D$29*'Modelo Tarifário'!$C$60*'Modelo Tarifário'!$E$44),(G8*'Modelo Tarifário'!$C$60*'Modelo Tarifário'!$E$44)*('Premissas Economias e Água'!H385),('Premissas Economias e Água'!H245*12*'Modelo Tarifário'!$D$29*'Modelo Tarifário'!$C$60*'Modelo Tarifário'!$E$44))</f>
        <v>15988.326067731723</v>
      </c>
      <c r="H103" s="1340">
        <f>IF(((H8*'Modelo Tarifário'!$C$60*'Modelo Tarifário'!$E$44)*('Premissas Economias e Água'!I385))&gt;('Premissas Economias e Água'!I245*12*'Modelo Tarifário'!$D$29*'Modelo Tarifário'!$C$60*'Modelo Tarifário'!$E$44),(H8*'Modelo Tarifário'!$C$60*'Modelo Tarifário'!$E$44)*('Premissas Economias e Água'!I385),('Premissas Economias e Água'!I245*12*'Modelo Tarifário'!$D$29*'Modelo Tarifário'!$C$60*'Modelo Tarifário'!$E$44))</f>
        <v>16124.604656439569</v>
      </c>
      <c r="I103" s="1340">
        <f>IF(((I8*'Modelo Tarifário'!$C$60*'Modelo Tarifário'!$E$44)*('Premissas Economias e Água'!J385))&gt;('Premissas Economias e Água'!J245*12*'Modelo Tarifário'!$D$29*'Modelo Tarifário'!$C$60*'Modelo Tarifário'!$E$44),(I8*'Modelo Tarifário'!$C$60*'Modelo Tarifário'!$E$44)*('Premissas Economias e Água'!J385),('Premissas Economias e Água'!J245*12*'Modelo Tarifário'!$D$29*'Modelo Tarifário'!$C$60*'Modelo Tarifário'!$E$44))</f>
        <v>16260.883245147415</v>
      </c>
      <c r="J103" s="1340">
        <f>IF(((J8*'Modelo Tarifário'!$C$60*'Modelo Tarifário'!$E$44)*('Premissas Economias e Água'!K385))&gt;('Premissas Economias e Água'!K245*12*'Modelo Tarifário'!$D$29*'Modelo Tarifário'!$C$60*'Modelo Tarifário'!$E$44),(J8*'Modelo Tarifário'!$C$60*'Modelo Tarifário'!$E$44)*('Premissas Economias e Água'!K385),('Premissas Economias e Água'!K245*12*'Modelo Tarifário'!$D$29*'Modelo Tarifário'!$C$60*'Modelo Tarifário'!$E$44))</f>
        <v>16395.127825068575</v>
      </c>
      <c r="K103" s="1340">
        <f>IF(((K8*'Modelo Tarifário'!$C$60*'Modelo Tarifário'!$E$44)*('Premissas Economias e Água'!L385))&gt;('Premissas Economias e Água'!L245*12*'Modelo Tarifário'!$D$29*'Modelo Tarifário'!$C$60*'Modelo Tarifário'!$E$44),(K8*'Modelo Tarifário'!$C$60*'Modelo Tarifário'!$E$44)*('Premissas Economias e Água'!L385),('Premissas Economias e Água'!L245*12*'Modelo Tarifário'!$D$29*'Modelo Tarifário'!$C$60*'Modelo Tarifário'!$E$44))</f>
        <v>16502.930290762841</v>
      </c>
      <c r="L103" s="1340">
        <f>IF(((L8*'Modelo Tarifário'!$C$60*'Modelo Tarifário'!$E$44)*('Premissas Economias e Água'!M385))&gt;('Premissas Economias e Água'!M245*12*'Modelo Tarifário'!$D$29*'Modelo Tarifário'!$C$60*'Modelo Tarifário'!$E$44),(L8*'Modelo Tarifário'!$C$60*'Modelo Tarifário'!$E$44)*('Premissas Economias e Água'!M385),('Premissas Economias e Água'!M245*12*'Modelo Tarifário'!$D$29*'Modelo Tarifário'!$C$60*'Modelo Tarifário'!$E$44))</f>
        <v>16610.73275645711</v>
      </c>
      <c r="M103" s="1340">
        <f>IF(((M8*'Modelo Tarifário'!$C$60*'Modelo Tarifário'!$E$44)*('Premissas Economias e Água'!N385))&gt;('Premissas Economias e Água'!N245*12*'Modelo Tarifário'!$D$29*'Modelo Tarifário'!$C$60*'Modelo Tarifário'!$E$44),(M8*'Modelo Tarifário'!$C$60*'Modelo Tarifário'!$E$44)*('Premissas Economias e Água'!N385),('Premissas Economias e Água'!N245*12*'Modelo Tarifário'!$D$29*'Modelo Tarifário'!$C$60*'Modelo Tarifário'!$E$44))</f>
        <v>16718.535222151375</v>
      </c>
      <c r="N103" s="1340">
        <f>IF(((N8*'Modelo Tarifário'!$C$60*'Modelo Tarifário'!$E$44)*('Premissas Economias e Água'!O385))&gt;('Premissas Economias e Água'!O245*12*'Modelo Tarifário'!$D$29*'Modelo Tarifário'!$C$60*'Modelo Tarifário'!$E$44),(N8*'Modelo Tarifário'!$C$60*'Modelo Tarifário'!$E$44)*('Premissas Economias e Água'!O385),('Premissas Economias e Água'!O245*12*'Modelo Tarifário'!$D$29*'Modelo Tarifário'!$C$60*'Modelo Tarifário'!$E$44))</f>
        <v>16826.337687845644</v>
      </c>
      <c r="O103" s="1340">
        <f>IF(((O8*'Modelo Tarifário'!$C$60*'Modelo Tarifário'!$E$44)*('Premissas Economias e Água'!P385))&gt;('Premissas Economias e Água'!P245*12*'Modelo Tarifário'!$D$29*'Modelo Tarifário'!$C$60*'Modelo Tarifário'!$E$44),(O8*'Modelo Tarifário'!$C$60*'Modelo Tarifário'!$E$44)*('Premissas Economias e Água'!P385),('Premissas Economias e Água'!P245*12*'Modelo Tarifário'!$D$29*'Modelo Tarifário'!$C$60*'Modelo Tarifário'!$E$44))</f>
        <v>16935.157157933252</v>
      </c>
      <c r="P103" s="1340">
        <f>IF(((P8*'Modelo Tarifário'!$C$60*'Modelo Tarifário'!$E$44)*('Premissas Economias e Água'!Q385))&gt;('Premissas Economias e Água'!Q245*12*'Modelo Tarifário'!$D$29*'Modelo Tarifário'!$C$60*'Modelo Tarifário'!$E$44),(P8*'Modelo Tarifário'!$C$60*'Modelo Tarifário'!$E$44)*('Premissas Economias e Água'!Q385),('Premissas Economias e Água'!Q245*12*'Modelo Tarifário'!$D$29*'Modelo Tarifário'!$C$60*'Modelo Tarifário'!$E$44))</f>
        <v>17021.602531367334</v>
      </c>
      <c r="Q103" s="1340">
        <f>IF(((Q8*'Modelo Tarifário'!$C$60*'Modelo Tarifário'!$E$44)*('Premissas Economias e Água'!R385))&gt;('Premissas Economias e Água'!R245*12*'Modelo Tarifário'!$D$29*'Modelo Tarifário'!$C$60*'Modelo Tarifário'!$E$44),(Q8*'Modelo Tarifário'!$C$60*'Modelo Tarifário'!$E$44)*('Premissas Economias e Água'!R385),('Premissas Economias e Água'!R245*12*'Modelo Tarifário'!$D$29*'Modelo Tarifário'!$C$60*'Modelo Tarifário'!$E$44))</f>
        <v>17108.047904801413</v>
      </c>
      <c r="R103" s="1340">
        <f>IF(((R8*'Modelo Tarifário'!$C$60*'Modelo Tarifário'!$E$44)*('Premissas Economias e Água'!S385))&gt;('Premissas Economias e Água'!S245*12*'Modelo Tarifário'!$D$29*'Modelo Tarifário'!$C$60*'Modelo Tarifário'!$E$44),(R8*'Modelo Tarifário'!$C$60*'Modelo Tarifário'!$E$44)*('Premissas Economias e Água'!S385),('Premissas Economias e Água'!S245*12*'Modelo Tarifário'!$D$29*'Modelo Tarifário'!$C$60*'Modelo Tarifário'!$E$44))</f>
        <v>17194.493278235495</v>
      </c>
      <c r="S103" s="1340">
        <f>IF(((S8*'Modelo Tarifário'!$C$60*'Modelo Tarifário'!$E$44)*('Premissas Economias e Água'!T385))&gt;('Premissas Economias e Água'!T245*12*'Modelo Tarifário'!$D$29*'Modelo Tarifário'!$C$60*'Modelo Tarifário'!$E$44),(S8*'Modelo Tarifário'!$C$60*'Modelo Tarifário'!$E$44)*('Premissas Economias e Água'!T385),('Premissas Economias e Água'!T245*12*'Modelo Tarifário'!$D$29*'Modelo Tarifário'!$C$60*'Modelo Tarifário'!$E$44))</f>
        <v>17280.938651669578</v>
      </c>
      <c r="T103" s="1340">
        <f>IF(((T8*'Modelo Tarifário'!$C$60*'Modelo Tarifário'!$E$44)*('Premissas Economias e Água'!U385))&gt;('Premissas Economias e Água'!U245*12*'Modelo Tarifário'!$D$29*'Modelo Tarifário'!$C$60*'Modelo Tarifário'!$E$44),(T8*'Modelo Tarifário'!$C$60*'Modelo Tarifário'!$E$44)*('Premissas Economias e Água'!U385),('Premissas Economias e Água'!U245*12*'Modelo Tarifário'!$D$29*'Modelo Tarifário'!$C$60*'Modelo Tarifário'!$E$44))</f>
        <v>17368.401029496999</v>
      </c>
      <c r="U103" s="1340">
        <f>IF(((U8*'Modelo Tarifário'!$C$60*'Modelo Tarifário'!$E$44)*('Premissas Economias e Água'!V385))&gt;('Premissas Economias e Água'!V245*12*'Modelo Tarifário'!$D$29*'Modelo Tarifário'!$C$60*'Modelo Tarifário'!$E$44),(U8*'Modelo Tarifário'!$C$60*'Modelo Tarifário'!$E$44)*('Premissas Economias e Água'!V385),('Premissas Economias e Água'!V245*12*'Modelo Tarifário'!$D$29*'Modelo Tarifário'!$C$60*'Modelo Tarifário'!$E$44))</f>
        <v>17424.336271130815</v>
      </c>
      <c r="V103" s="1340">
        <f>IF(((V8*'Modelo Tarifário'!$C$60*'Modelo Tarifário'!$E$44)*('Premissas Economias e Água'!W385))&gt;('Premissas Economias e Água'!W245*12*'Modelo Tarifário'!$D$29*'Modelo Tarifário'!$C$60*'Modelo Tarifário'!$E$44),(V8*'Modelo Tarifário'!$C$60*'Modelo Tarifário'!$E$44)*('Premissas Economias e Água'!W385),('Premissas Economias e Água'!W245*12*'Modelo Tarifário'!$D$29*'Modelo Tarifário'!$C$60*'Modelo Tarifário'!$E$44))</f>
        <v>17480.271512764637</v>
      </c>
      <c r="W103" s="1340">
        <f>IF(((W8*'Modelo Tarifário'!$C$60*'Modelo Tarifário'!$E$44)*('Premissas Economias e Água'!X385))&gt;('Premissas Economias e Água'!X245*12*'Modelo Tarifário'!$D$29*'Modelo Tarifário'!$C$60*'Modelo Tarifário'!$E$44),(W8*'Modelo Tarifário'!$C$60*'Modelo Tarifário'!$E$44)*('Premissas Economias e Água'!X385),('Premissas Economias e Água'!X245*12*'Modelo Tarifário'!$D$29*'Modelo Tarifário'!$C$60*'Modelo Tarifário'!$E$44))</f>
        <v>17536.206754398452</v>
      </c>
      <c r="X103" s="1340">
        <f>IF(((X8*'Modelo Tarifário'!$C$60*'Modelo Tarifário'!$E$44)*('Premissas Economias e Água'!Y385))&gt;('Premissas Economias e Água'!Y245*12*'Modelo Tarifário'!$D$29*'Modelo Tarifário'!$C$60*'Modelo Tarifário'!$E$44),(X8*'Modelo Tarifário'!$C$60*'Modelo Tarifário'!$E$44)*('Premissas Economias e Água'!Y385),('Premissas Economias e Água'!Y245*12*'Modelo Tarifário'!$D$29*'Modelo Tarifário'!$C$60*'Modelo Tarifário'!$E$44))</f>
        <v>17592.141996032267</v>
      </c>
      <c r="Y103" s="1340">
        <f>IF(((Y8*'Modelo Tarifário'!$C$60*'Modelo Tarifário'!$E$44)*('Premissas Economias e Água'!Z385))&gt;('Premissas Economias e Água'!Z245*12*'Modelo Tarifário'!$D$29*'Modelo Tarifário'!$C$60*'Modelo Tarifário'!$E$44),(Y8*'Modelo Tarifário'!$C$60*'Modelo Tarifário'!$E$44)*('Premissas Economias e Água'!Z385),('Premissas Economias e Água'!Z245*12*'Modelo Tarifário'!$D$29*'Modelo Tarifário'!$C$60*'Modelo Tarifário'!$E$44))</f>
        <v>17649.094242059429</v>
      </c>
      <c r="Z103" s="1340">
        <f>IF(((Z8*'Modelo Tarifário'!$C$60*'Modelo Tarifário'!$E$44)*('Premissas Economias e Água'!AA385))&gt;('Premissas Economias e Água'!AA245*12*'Modelo Tarifário'!$D$29*'Modelo Tarifário'!$C$60*'Modelo Tarifário'!$E$44),(Z8*'Modelo Tarifário'!$C$60*'Modelo Tarifário'!$E$44)*('Premissas Economias e Água'!AA385),('Premissas Economias e Água'!AA245*12*'Modelo Tarifário'!$D$29*'Modelo Tarifário'!$C$60*'Modelo Tarifário'!$E$44))</f>
        <v>17705.029483693244</v>
      </c>
      <c r="AA103" s="1340">
        <f>IF(((AA8*'Modelo Tarifário'!$C$60*'Modelo Tarifário'!$E$44)*('Premissas Economias e Água'!AB385))&gt;('Premissas Economias e Água'!AB245*12*'Modelo Tarifário'!$D$29*'Modelo Tarifário'!$C$60*'Modelo Tarifário'!$E$44),(AA8*'Modelo Tarifário'!$C$60*'Modelo Tarifário'!$E$44)*('Premissas Economias e Água'!AB385),('Premissas Economias e Água'!AB245*12*'Modelo Tarifário'!$D$29*'Modelo Tarifário'!$C$60*'Modelo Tarifário'!$E$44))</f>
        <v>17760.964725327067</v>
      </c>
      <c r="AB103" s="1340">
        <f>IF(((AB8*'Modelo Tarifário'!$C$60*'Modelo Tarifário'!$E$44)*('Premissas Economias e Água'!AC385))&gt;('Premissas Economias e Água'!AC245*12*'Modelo Tarifário'!$D$29*'Modelo Tarifário'!$C$60*'Modelo Tarifário'!$E$44),(AB8*'Modelo Tarifário'!$C$60*'Modelo Tarifário'!$E$44)*('Premissas Economias e Água'!AC385),('Premissas Economias e Água'!AC245*12*'Modelo Tarifário'!$D$29*'Modelo Tarifário'!$C$60*'Modelo Tarifário'!$E$44))</f>
        <v>17816.899966960882</v>
      </c>
      <c r="AC103" s="1340">
        <f>IF(((AC8*'Modelo Tarifário'!$C$60*'Modelo Tarifário'!$E$44)*('Premissas Economias e Água'!AD385))&gt;('Premissas Economias e Água'!AD245*12*'Modelo Tarifário'!$D$29*'Modelo Tarifário'!$C$60*'Modelo Tarifário'!$E$44),(AC8*'Modelo Tarifário'!$C$60*'Modelo Tarifário'!$E$44)*('Premissas Economias e Água'!AD385),('Premissas Economias e Água'!AD245*12*'Modelo Tarifário'!$D$29*'Modelo Tarifário'!$C$60*'Modelo Tarifário'!$E$44))</f>
        <v>17872.835208594701</v>
      </c>
      <c r="AD103" s="1340">
        <f>IF(((AD8*'Modelo Tarifário'!$C$60*'Modelo Tarifário'!$E$44)*('Premissas Economias e Água'!AE385))&gt;('Premissas Economias e Água'!AE245*12*'Modelo Tarifário'!$D$29*'Modelo Tarifário'!$C$60*'Modelo Tarifário'!$E$44),(AD8*'Modelo Tarifário'!$C$60*'Modelo Tarifário'!$E$44)*('Premissas Economias e Água'!AE385),('Premissas Economias e Água'!AE245*12*'Modelo Tarifário'!$D$29*'Modelo Tarifário'!$C$60*'Modelo Tarifário'!$E$44))</f>
        <v>17928.77045022852</v>
      </c>
      <c r="AE103" s="1340">
        <f>IF(((AE8*'Modelo Tarifário'!$C$60*'Modelo Tarifário'!$E$44)*('Premissas Economias e Água'!AF385))&gt;('Premissas Economias e Água'!AF245*12*'Modelo Tarifário'!$D$29*'Modelo Tarifário'!$C$60*'Modelo Tarifário'!$E$44),(AE8*'Modelo Tarifário'!$C$60*'Modelo Tarifário'!$E$44)*('Premissas Economias e Água'!AF385),('Premissas Economias e Água'!AF245*12*'Modelo Tarifário'!$D$29*'Modelo Tarifário'!$C$60*'Modelo Tarifário'!$E$44))</f>
        <v>17984.705691862338</v>
      </c>
      <c r="AF103" s="1340">
        <f>IF(((AF8*'Modelo Tarifário'!$C$60*'Modelo Tarifário'!$E$44)*('Premissas Economias e Água'!AG385))&gt;('Premissas Economias e Água'!AG245*12*'Modelo Tarifário'!$D$29*'Modelo Tarifário'!$C$60*'Modelo Tarifário'!$E$44),(AF8*'Modelo Tarifário'!$C$60*'Modelo Tarifário'!$E$44)*('Premissas Economias e Água'!AG385),('Premissas Economias e Água'!AG245*12*'Modelo Tarifário'!$D$29*'Modelo Tarifário'!$C$60*'Modelo Tarifário'!$E$44))</f>
        <v>18040.64093349615</v>
      </c>
      <c r="AG103" s="1340">
        <f>IF(((AG8*'Modelo Tarifário'!$C$60*'Modelo Tarifário'!$E$44)*('Premissas Economias e Água'!AH385))&gt;('Premissas Economias e Água'!AH245*12*'Modelo Tarifário'!$D$29*'Modelo Tarifário'!$C$60*'Modelo Tarifário'!$E$44),(AG8*'Modelo Tarifário'!$C$60*'Modelo Tarifário'!$E$44)*('Premissas Economias e Água'!AH385),('Premissas Economias e Água'!AH245*12*'Modelo Tarifário'!$D$29*'Modelo Tarifário'!$C$60*'Modelo Tarifário'!$E$44))</f>
        <v>18096.576175129972</v>
      </c>
      <c r="AH103" s="1340">
        <f>IF(((AH8*'Modelo Tarifário'!$C$60*'Modelo Tarifário'!$E$44)*('Premissas Economias e Água'!AI385))&gt;('Premissas Economias e Água'!AI245*12*'Modelo Tarifário'!$D$29*'Modelo Tarifário'!$C$60*'Modelo Tarifário'!$E$44),(AH8*'Modelo Tarifário'!$C$60*'Modelo Tarifário'!$E$44)*('Premissas Economias e Água'!AI385),('Premissas Economias e Água'!AI245*12*'Modelo Tarifário'!$D$29*'Modelo Tarifário'!$C$60*'Modelo Tarifário'!$E$44))</f>
        <v>18152.511416763788</v>
      </c>
    </row>
    <row r="104" spans="2:34" s="79" customFormat="1" ht="12" hidden="1" outlineLevel="1" x14ac:dyDescent="0.3">
      <c r="B104" s="1341"/>
      <c r="C104" s="1342" t="s">
        <v>14</v>
      </c>
      <c r="D104" s="1343"/>
      <c r="E104" s="1344">
        <f>IF(((E8*'Modelo Tarifário'!$C$60*'Modelo Tarifário'!$E$45)*('Premissas Economias e Água'!F386))&gt;('Premissas Economias e Água'!F246*12*'Modelo Tarifário'!$D$29*'Modelo Tarifário'!$C$60*'Modelo Tarifário'!$E$45),(E8*'Modelo Tarifário'!$C$60*'Modelo Tarifário'!$E$45)*('Premissas Economias e Água'!F386),('Premissas Economias e Água'!F246*12*'Modelo Tarifário'!$D$29*'Modelo Tarifário'!$C$60*'Modelo Tarifário'!$E$45))</f>
        <v>143266.84189825732</v>
      </c>
      <c r="F104" s="1344">
        <f>IF(((F8*'Modelo Tarifário'!$C$60*'Modelo Tarifário'!$E$45)*('Premissas Economias e Água'!G386))&gt;('Premissas Economias e Água'!G246*12*'Modelo Tarifário'!$D$29*'Modelo Tarifário'!$C$60*'Modelo Tarifário'!$E$45),(F8*'Modelo Tarifário'!$C$60*'Modelo Tarifário'!$E$45)*('Premissas Economias e Água'!G386),('Premissas Economias e Água'!G246*12*'Modelo Tarifário'!$D$29*'Modelo Tarifário'!$C$60*'Modelo Tarifário'!$E$45))</f>
        <v>144509.17392533078</v>
      </c>
      <c r="G104" s="1344">
        <f>IF(((G8*'Modelo Tarifário'!$C$60*'Modelo Tarifário'!$E$45)*('Premissas Economias e Água'!H386))&gt;('Premissas Economias e Água'!H246*12*'Modelo Tarifário'!$D$29*'Modelo Tarifário'!$C$60*'Modelo Tarifário'!$E$45),(G8*'Modelo Tarifário'!$C$60*'Modelo Tarifário'!$E$45)*('Premissas Economias e Água'!H386),('Premissas Economias e Água'!H246*12*'Modelo Tarifário'!$D$29*'Modelo Tarifário'!$C$60*'Modelo Tarifário'!$E$45))</f>
        <v>145751.50595240429</v>
      </c>
      <c r="H104" s="1344">
        <f>IF(((H8*'Modelo Tarifário'!$C$60*'Modelo Tarifário'!$E$45)*('Premissas Economias e Água'!I386))&gt;('Premissas Economias e Água'!I246*12*'Modelo Tarifário'!$D$29*'Modelo Tarifário'!$C$60*'Modelo Tarifário'!$E$45),(H8*'Modelo Tarifário'!$C$60*'Modelo Tarifário'!$E$45)*('Premissas Economias e Água'!I386),('Premissas Economias e Água'!I246*12*'Modelo Tarifário'!$D$29*'Modelo Tarifário'!$C$60*'Modelo Tarifário'!$E$45))</f>
        <v>146993.83797947777</v>
      </c>
      <c r="I104" s="1344">
        <f>IF(((I8*'Modelo Tarifário'!$C$60*'Modelo Tarifário'!$E$45)*('Premissas Economias e Água'!J386))&gt;('Premissas Economias e Água'!J246*12*'Modelo Tarifário'!$D$29*'Modelo Tarifário'!$C$60*'Modelo Tarifário'!$E$45),(I8*'Modelo Tarifário'!$C$60*'Modelo Tarifário'!$E$45)*('Premissas Economias e Água'!J386),('Premissas Economias e Água'!J246*12*'Modelo Tarifário'!$D$29*'Modelo Tarifário'!$C$60*'Modelo Tarifário'!$E$45))</f>
        <v>148236.17000655123</v>
      </c>
      <c r="J104" s="1344">
        <f>IF(((J8*'Modelo Tarifário'!$C$60*'Modelo Tarifário'!$E$45)*('Premissas Economias e Água'!K386))&gt;('Premissas Economias e Água'!K246*12*'Modelo Tarifário'!$D$29*'Modelo Tarifário'!$C$60*'Modelo Tarifário'!$E$45),(J8*'Modelo Tarifário'!$C$60*'Modelo Tarifário'!$E$45)*('Premissas Economias e Água'!K386),('Premissas Economias e Água'!K246*12*'Modelo Tarifário'!$D$29*'Modelo Tarifário'!$C$60*'Modelo Tarifário'!$E$45))</f>
        <v>149459.95976456392</v>
      </c>
      <c r="K104" s="1344">
        <f>IF(((K8*'Modelo Tarifário'!$C$60*'Modelo Tarifário'!$E$45)*('Premissas Economias e Água'!L386))&gt;('Premissas Economias e Água'!L246*12*'Modelo Tarifário'!$D$29*'Modelo Tarifário'!$C$60*'Modelo Tarifário'!$E$45),(K8*'Modelo Tarifário'!$C$60*'Modelo Tarifário'!$E$45)*('Premissas Economias e Água'!L386),('Premissas Economias e Água'!L246*12*'Modelo Tarifário'!$D$29*'Modelo Tarifário'!$C$60*'Modelo Tarifário'!$E$45))</f>
        <v>150442.7000247862</v>
      </c>
      <c r="L104" s="1344">
        <f>IF(((L8*'Modelo Tarifário'!$C$60*'Modelo Tarifário'!$E$45)*('Premissas Economias e Água'!M386))&gt;('Premissas Economias e Água'!M246*12*'Modelo Tarifário'!$D$29*'Modelo Tarifário'!$C$60*'Modelo Tarifário'!$E$45),(L8*'Modelo Tarifário'!$C$60*'Modelo Tarifário'!$E$45)*('Premissas Economias e Água'!M386),('Premissas Economias e Água'!M246*12*'Modelo Tarifário'!$D$29*'Modelo Tarifário'!$C$60*'Modelo Tarifário'!$E$45))</f>
        <v>151425.44028500852</v>
      </c>
      <c r="M104" s="1344">
        <f>IF(((M8*'Modelo Tarifário'!$C$60*'Modelo Tarifário'!$E$45)*('Premissas Economias e Água'!N386))&gt;('Premissas Economias e Água'!N246*12*'Modelo Tarifário'!$D$29*'Modelo Tarifário'!$C$60*'Modelo Tarifário'!$E$45),(M8*'Modelo Tarifário'!$C$60*'Modelo Tarifário'!$E$45)*('Premissas Economias e Água'!N386),('Premissas Economias e Água'!N246*12*'Modelo Tarifário'!$D$29*'Modelo Tarifário'!$C$60*'Modelo Tarifário'!$E$45))</f>
        <v>152408.18054523083</v>
      </c>
      <c r="N104" s="1344">
        <f>IF(((N8*'Modelo Tarifário'!$C$60*'Modelo Tarifário'!$E$45)*('Premissas Economias e Água'!O386))&gt;('Premissas Economias e Água'!O246*12*'Modelo Tarifário'!$D$29*'Modelo Tarifário'!$C$60*'Modelo Tarifário'!$E$45),(N8*'Modelo Tarifário'!$C$60*'Modelo Tarifário'!$E$45)*('Premissas Economias e Água'!O386),('Premissas Economias e Água'!O246*12*'Modelo Tarifário'!$D$29*'Modelo Tarifário'!$C$60*'Modelo Tarifário'!$E$45))</f>
        <v>153390.92080545312</v>
      </c>
      <c r="O104" s="1344">
        <f>IF(((O8*'Modelo Tarifário'!$C$60*'Modelo Tarifário'!$E$45)*('Premissas Economias e Água'!P386))&gt;('Premissas Economias e Água'!P246*12*'Modelo Tarifário'!$D$29*'Modelo Tarifário'!$C$60*'Modelo Tarifário'!$E$45),(O8*'Modelo Tarifário'!$C$60*'Modelo Tarifário'!$E$45)*('Premissas Economias e Água'!P386),('Premissas Economias e Água'!P246*12*'Modelo Tarifário'!$D$29*'Modelo Tarifário'!$C$60*'Modelo Tarifário'!$E$45))</f>
        <v>154382.93220020586</v>
      </c>
      <c r="P104" s="1344">
        <f>IF(((P8*'Modelo Tarifário'!$C$60*'Modelo Tarifário'!$E$45)*('Premissas Economias e Água'!Q386))&gt;('Premissas Economias e Água'!Q246*12*'Modelo Tarifário'!$D$29*'Modelo Tarifário'!$C$60*'Modelo Tarifário'!$E$45),(P8*'Modelo Tarifário'!$C$60*'Modelo Tarifário'!$E$45)*('Premissas Economias e Água'!Q386),('Premissas Economias e Água'!Q246*12*'Modelo Tarifário'!$D$29*'Modelo Tarifário'!$C$60*'Modelo Tarifário'!$E$45))</f>
        <v>155170.97863528976</v>
      </c>
      <c r="Q104" s="1344">
        <f>IF(((Q8*'Modelo Tarifário'!$C$60*'Modelo Tarifário'!$E$45)*('Premissas Economias e Água'!R386))&gt;('Premissas Economias e Água'!R246*12*'Modelo Tarifário'!$D$29*'Modelo Tarifário'!$C$60*'Modelo Tarifário'!$E$45),(Q8*'Modelo Tarifário'!$C$60*'Modelo Tarifário'!$E$45)*('Premissas Economias e Água'!R386),('Premissas Economias e Água'!R246*12*'Modelo Tarifário'!$D$29*'Modelo Tarifário'!$C$60*'Modelo Tarifário'!$E$45))</f>
        <v>155959.0250703737</v>
      </c>
      <c r="R104" s="1344">
        <f>IF(((R8*'Modelo Tarifário'!$C$60*'Modelo Tarifário'!$E$45)*('Premissas Economias e Água'!S386))&gt;('Premissas Economias e Água'!S246*12*'Modelo Tarifário'!$D$29*'Modelo Tarifário'!$C$60*'Modelo Tarifário'!$E$45),(R8*'Modelo Tarifário'!$C$60*'Modelo Tarifário'!$E$45)*('Premissas Economias e Água'!S386),('Premissas Economias e Água'!S246*12*'Modelo Tarifário'!$D$29*'Modelo Tarifário'!$C$60*'Modelo Tarifário'!$E$45))</f>
        <v>156747.0715054576</v>
      </c>
      <c r="S104" s="1344">
        <f>IF(((S8*'Modelo Tarifário'!$C$60*'Modelo Tarifário'!$E$45)*('Premissas Economias e Água'!T386))&gt;('Premissas Economias e Água'!T246*12*'Modelo Tarifário'!$D$29*'Modelo Tarifário'!$C$60*'Modelo Tarifário'!$E$45),(S8*'Modelo Tarifário'!$C$60*'Modelo Tarifário'!$E$45)*('Premissas Economias e Água'!T386),('Premissas Economias e Água'!T246*12*'Modelo Tarifário'!$D$29*'Modelo Tarifário'!$C$60*'Modelo Tarifário'!$E$45))</f>
        <v>157535.11794054153</v>
      </c>
      <c r="T104" s="1344">
        <f>IF(((T8*'Modelo Tarifário'!$C$60*'Modelo Tarifário'!$E$45)*('Premissas Economias e Água'!U386))&gt;('Premissas Economias e Água'!U246*12*'Modelo Tarifário'!$D$29*'Modelo Tarifário'!$C$60*'Modelo Tarifário'!$E$45),(T8*'Modelo Tarifário'!$C$60*'Modelo Tarifário'!$E$45)*('Premissas Economias e Água'!U386),('Premissas Economias e Água'!U246*12*'Modelo Tarifário'!$D$29*'Modelo Tarifário'!$C$60*'Modelo Tarifário'!$E$45))</f>
        <v>158332.43551015586</v>
      </c>
      <c r="U104" s="1344">
        <f>IF(((U8*'Modelo Tarifário'!$C$60*'Modelo Tarifário'!$E$45)*('Premissas Economias e Água'!V386))&gt;('Premissas Economias e Água'!V246*12*'Modelo Tarifário'!$D$29*'Modelo Tarifário'!$C$60*'Modelo Tarifário'!$E$45),(U8*'Modelo Tarifário'!$C$60*'Modelo Tarifário'!$E$45)*('Premissas Economias e Água'!V386),('Premissas Economias e Água'!V246*12*'Modelo Tarifário'!$D$29*'Modelo Tarifário'!$C$60*'Modelo Tarifário'!$E$45))</f>
        <v>158842.3479093278</v>
      </c>
      <c r="V104" s="1344">
        <f>IF(((V8*'Modelo Tarifário'!$C$60*'Modelo Tarifário'!$E$45)*('Premissas Economias e Água'!W386))&gt;('Premissas Economias e Água'!W246*12*'Modelo Tarifário'!$D$29*'Modelo Tarifário'!$C$60*'Modelo Tarifário'!$E$45),(V8*'Modelo Tarifário'!$C$60*'Modelo Tarifário'!$E$45)*('Premissas Economias e Água'!W386),('Premissas Economias e Água'!W246*12*'Modelo Tarifário'!$D$29*'Modelo Tarifário'!$C$60*'Modelo Tarifário'!$E$45))</f>
        <v>159352.26030849974</v>
      </c>
      <c r="W104" s="1344">
        <f>IF(((W8*'Modelo Tarifário'!$C$60*'Modelo Tarifário'!$E$45)*('Premissas Economias e Água'!X386))&gt;('Premissas Economias e Água'!X246*12*'Modelo Tarifário'!$D$29*'Modelo Tarifário'!$C$60*'Modelo Tarifário'!$E$45),(W8*'Modelo Tarifário'!$C$60*'Modelo Tarifário'!$E$45)*('Premissas Economias e Água'!X386),('Premissas Economias e Água'!X246*12*'Modelo Tarifário'!$D$29*'Modelo Tarifário'!$C$60*'Modelo Tarifário'!$E$45))</f>
        <v>159862.17270767171</v>
      </c>
      <c r="X104" s="1344">
        <f>IF(((X8*'Modelo Tarifário'!$C$60*'Modelo Tarifário'!$E$45)*('Premissas Economias e Água'!Y386))&gt;('Premissas Economias e Água'!Y246*12*'Modelo Tarifário'!$D$29*'Modelo Tarifário'!$C$60*'Modelo Tarifário'!$E$45),(X8*'Modelo Tarifário'!$C$60*'Modelo Tarifário'!$E$45)*('Premissas Economias e Água'!Y386),('Premissas Economias e Água'!Y246*12*'Modelo Tarifário'!$D$29*'Modelo Tarifário'!$C$60*'Modelo Tarifário'!$E$45))</f>
        <v>160372.08510684365</v>
      </c>
      <c r="Y104" s="1344">
        <f>IF(((Y8*'Modelo Tarifário'!$C$60*'Modelo Tarifário'!$E$45)*('Premissas Economias e Água'!Z386))&gt;('Premissas Economias e Água'!Z246*12*'Modelo Tarifário'!$D$29*'Modelo Tarifário'!$C$60*'Modelo Tarifário'!$E$45),(Y8*'Modelo Tarifário'!$C$60*'Modelo Tarifário'!$E$45)*('Premissas Economias e Água'!Z386),('Premissas Economias e Água'!Z246*12*'Modelo Tarifário'!$D$29*'Modelo Tarifário'!$C$60*'Modelo Tarifário'!$E$45))</f>
        <v>160891.26864054598</v>
      </c>
      <c r="Z104" s="1344">
        <f>IF(((Z8*'Modelo Tarifário'!$C$60*'Modelo Tarifário'!$E$45)*('Premissas Economias e Água'!AA386))&gt;('Premissas Economias e Água'!AA246*12*'Modelo Tarifário'!$D$29*'Modelo Tarifário'!$C$60*'Modelo Tarifário'!$E$45),(Z8*'Modelo Tarifário'!$C$60*'Modelo Tarifário'!$E$45)*('Premissas Economias e Água'!AA386),('Premissas Economias e Água'!AA246*12*'Modelo Tarifário'!$D$29*'Modelo Tarifário'!$C$60*'Modelo Tarifário'!$E$45))</f>
        <v>161401.18103971792</v>
      </c>
      <c r="AA104" s="1344">
        <f>IF(((AA8*'Modelo Tarifário'!$C$60*'Modelo Tarifário'!$E$45)*('Premissas Economias e Água'!AB386))&gt;('Premissas Economias e Água'!AB246*12*'Modelo Tarifário'!$D$29*'Modelo Tarifário'!$C$60*'Modelo Tarifário'!$E$45),(AA8*'Modelo Tarifário'!$C$60*'Modelo Tarifário'!$E$45)*('Premissas Economias e Água'!AB386),('Premissas Economias e Água'!AB246*12*'Modelo Tarifário'!$D$29*'Modelo Tarifário'!$C$60*'Modelo Tarifário'!$E$45))</f>
        <v>161911.09343888992</v>
      </c>
      <c r="AB104" s="1344">
        <f>IF(((AB8*'Modelo Tarifário'!$C$60*'Modelo Tarifário'!$E$45)*('Premissas Economias e Água'!AC386))&gt;('Premissas Economias e Água'!AC246*12*'Modelo Tarifário'!$D$29*'Modelo Tarifário'!$C$60*'Modelo Tarifário'!$E$45),(AB8*'Modelo Tarifário'!$C$60*'Modelo Tarifário'!$E$45)*('Premissas Economias e Água'!AC386),('Premissas Economias e Água'!AC246*12*'Modelo Tarifário'!$D$29*'Modelo Tarifário'!$C$60*'Modelo Tarifário'!$E$45))</f>
        <v>162421.00583806186</v>
      </c>
      <c r="AC104" s="1344">
        <f>IF(((AC8*'Modelo Tarifário'!$C$60*'Modelo Tarifário'!$E$45)*('Premissas Economias e Água'!AD386))&gt;('Premissas Economias e Água'!AD246*12*'Modelo Tarifário'!$D$29*'Modelo Tarifário'!$C$60*'Modelo Tarifário'!$E$45),(AC8*'Modelo Tarifário'!$C$60*'Modelo Tarifário'!$E$45)*('Premissas Economias e Água'!AD386),('Premissas Economias e Água'!AD246*12*'Modelo Tarifário'!$D$29*'Modelo Tarifário'!$C$60*'Modelo Tarifário'!$E$45))</f>
        <v>162930.91823723383</v>
      </c>
      <c r="AD104" s="1344">
        <f>IF(((AD8*'Modelo Tarifário'!$C$60*'Modelo Tarifário'!$E$45)*('Premissas Economias e Água'!AE386))&gt;('Premissas Economias e Água'!AE246*12*'Modelo Tarifário'!$D$29*'Modelo Tarifário'!$C$60*'Modelo Tarifário'!$E$45),(AD8*'Modelo Tarifário'!$C$60*'Modelo Tarifário'!$E$45)*('Premissas Economias e Água'!AE386),('Premissas Economias e Água'!AE246*12*'Modelo Tarifário'!$D$29*'Modelo Tarifário'!$C$60*'Modelo Tarifário'!$E$45))</f>
        <v>163440.83063640576</v>
      </c>
      <c r="AE104" s="1344">
        <f>IF(((AE8*'Modelo Tarifário'!$C$60*'Modelo Tarifário'!$E$45)*('Premissas Economias e Água'!AF386))&gt;('Premissas Economias e Água'!AF246*12*'Modelo Tarifário'!$D$29*'Modelo Tarifário'!$C$60*'Modelo Tarifário'!$E$45),(AE8*'Modelo Tarifário'!$C$60*'Modelo Tarifário'!$E$45)*('Premissas Economias e Água'!AF386),('Premissas Economias e Água'!AF246*12*'Modelo Tarifário'!$D$29*'Modelo Tarifário'!$C$60*'Modelo Tarifário'!$E$45))</f>
        <v>163950.7430355777</v>
      </c>
      <c r="AF104" s="1344">
        <f>IF(((AF8*'Modelo Tarifário'!$C$60*'Modelo Tarifário'!$E$45)*('Premissas Economias e Água'!AG386))&gt;('Premissas Economias e Água'!AG246*12*'Modelo Tarifário'!$D$29*'Modelo Tarifário'!$C$60*'Modelo Tarifário'!$E$45),(AF8*'Modelo Tarifário'!$C$60*'Modelo Tarifário'!$E$45)*('Premissas Economias e Água'!AG386),('Premissas Economias e Água'!AG246*12*'Modelo Tarifário'!$D$29*'Modelo Tarifário'!$C$60*'Modelo Tarifário'!$E$45))</f>
        <v>164460.65543474964</v>
      </c>
      <c r="AG104" s="1344">
        <f>IF(((AG8*'Modelo Tarifário'!$C$60*'Modelo Tarifário'!$E$45)*('Premissas Economias e Água'!AH386))&gt;('Premissas Economias e Água'!AH246*12*'Modelo Tarifário'!$D$29*'Modelo Tarifário'!$C$60*'Modelo Tarifário'!$E$45),(AG8*'Modelo Tarifário'!$C$60*'Modelo Tarifário'!$E$45)*('Premissas Economias e Água'!AH386),('Premissas Economias e Água'!AH246*12*'Modelo Tarifário'!$D$29*'Modelo Tarifário'!$C$60*'Modelo Tarifário'!$E$45))</f>
        <v>164970.56783392161</v>
      </c>
      <c r="AH104" s="1344">
        <f>IF(((AH8*'Modelo Tarifário'!$C$60*'Modelo Tarifário'!$E$45)*('Premissas Economias e Água'!AI386))&gt;('Premissas Economias e Água'!AI246*12*'Modelo Tarifário'!$D$29*'Modelo Tarifário'!$C$60*'Modelo Tarifário'!$E$45),(AH8*'Modelo Tarifário'!$C$60*'Modelo Tarifário'!$E$45)*('Premissas Economias e Água'!AI386),('Premissas Economias e Água'!AI246*12*'Modelo Tarifário'!$D$29*'Modelo Tarifário'!$C$60*'Modelo Tarifário'!$E$45))</f>
        <v>165480.48023309355</v>
      </c>
    </row>
    <row r="105" spans="2:34" s="79" customFormat="1" ht="12" collapsed="1" x14ac:dyDescent="0.3">
      <c r="B105" s="225"/>
      <c r="C105" s="173" t="s">
        <v>9</v>
      </c>
      <c r="D105" s="173"/>
      <c r="E105" s="497">
        <f>SUM(E106:E116)</f>
        <v>1638660.8747489401</v>
      </c>
      <c r="F105" s="497">
        <f t="shared" ref="F105:AH105" si="36">SUM(F106:F116)</f>
        <v>1653095.5511315395</v>
      </c>
      <c r="G105" s="497">
        <f t="shared" si="36"/>
        <v>1667530.2275141384</v>
      </c>
      <c r="H105" s="497">
        <f t="shared" si="36"/>
        <v>1681964.9038967378</v>
      </c>
      <c r="I105" s="497">
        <f t="shared" si="36"/>
        <v>1696399.5802793365</v>
      </c>
      <c r="J105" s="497">
        <f t="shared" si="36"/>
        <v>1711094.3409210821</v>
      </c>
      <c r="K105" s="497">
        <f t="shared" si="36"/>
        <v>1723318.3011009409</v>
      </c>
      <c r="L105" s="497">
        <f t="shared" si="36"/>
        <v>1735542.2612807993</v>
      </c>
      <c r="M105" s="497">
        <f t="shared" si="36"/>
        <v>1747766.2214606584</v>
      </c>
      <c r="N105" s="497">
        <f t="shared" si="36"/>
        <v>1759990.1816405167</v>
      </c>
      <c r="O105" s="497">
        <f t="shared" si="36"/>
        <v>1772084.0996908029</v>
      </c>
      <c r="P105" s="497">
        <f t="shared" si="36"/>
        <v>1780666.8802426187</v>
      </c>
      <c r="Q105" s="497">
        <f t="shared" si="36"/>
        <v>1789249.6607944341</v>
      </c>
      <c r="R105" s="497">
        <f t="shared" si="36"/>
        <v>1797832.44134625</v>
      </c>
      <c r="S105" s="497">
        <f t="shared" si="36"/>
        <v>1806415.2218980661</v>
      </c>
      <c r="T105" s="497">
        <f t="shared" si="36"/>
        <v>1815258.0867090274</v>
      </c>
      <c r="U105" s="497">
        <f t="shared" si="36"/>
        <v>1821500.10892853</v>
      </c>
      <c r="V105" s="497">
        <f t="shared" si="36"/>
        <v>1827742.1311480321</v>
      </c>
      <c r="W105" s="497">
        <f t="shared" si="36"/>
        <v>1833984.1533675345</v>
      </c>
      <c r="X105" s="497">
        <f t="shared" si="36"/>
        <v>1840226.1755870371</v>
      </c>
      <c r="Y105" s="497">
        <f t="shared" si="36"/>
        <v>1846728.2820656851</v>
      </c>
      <c r="Z105" s="497">
        <f t="shared" si="36"/>
        <v>1852970.3042851877</v>
      </c>
      <c r="AA105" s="497">
        <f t="shared" si="36"/>
        <v>1859212.3265046906</v>
      </c>
      <c r="AB105" s="497">
        <f t="shared" si="36"/>
        <v>1865454.3487241927</v>
      </c>
      <c r="AC105" s="497">
        <f t="shared" si="36"/>
        <v>1871696.3709436946</v>
      </c>
      <c r="AD105" s="497">
        <f t="shared" si="36"/>
        <v>1877938.393163197</v>
      </c>
      <c r="AE105" s="497">
        <f t="shared" si="36"/>
        <v>1884180.4153826993</v>
      </c>
      <c r="AF105" s="497">
        <f t="shared" si="36"/>
        <v>1890422.4376022017</v>
      </c>
      <c r="AG105" s="497">
        <f t="shared" si="36"/>
        <v>1896664.4598217038</v>
      </c>
      <c r="AH105" s="497">
        <f t="shared" si="36"/>
        <v>1902906.4820412057</v>
      </c>
    </row>
    <row r="106" spans="2:34" s="79" customFormat="1" ht="12" hidden="1" outlineLevel="1" x14ac:dyDescent="0.3">
      <c r="B106" s="1336"/>
      <c r="C106" s="1337" t="s">
        <v>10</v>
      </c>
      <c r="D106" s="1337"/>
      <c r="E106" s="1338">
        <f>IF(((E8*'Modelo Tarifário'!$C$61*'Modelo Tarifário'!$E$35)*('Premissas Economias e Água'!F391))&gt;('Premissas Economias e Água'!F251*12*'Modelo Tarifário'!$D$29*'Modelo Tarifário'!$C$61*'Modelo Tarifário'!$E$35),(E8*'Modelo Tarifário'!$C$61*'Modelo Tarifário'!$E$35)*('Premissas Economias e Água'!F391),('Premissas Economias e Água'!F251*12*'Modelo Tarifário'!$D$29*'Modelo Tarifário'!$C$61*'Modelo Tarifário'!$E$35))</f>
        <v>312542.56065034406</v>
      </c>
      <c r="F106" s="1338">
        <f>IF(((F8*'Modelo Tarifário'!$C$61*'Modelo Tarifário'!$E$35)*('Premissas Economias e Água'!G391))&gt;('Premissas Economias e Água'!G251*12*'Modelo Tarifário'!$D$29*'Modelo Tarifário'!$C$61*'Modelo Tarifário'!$E$35),(F8*'Modelo Tarifário'!$C$61*'Modelo Tarifário'!$E$35)*('Premissas Economias e Água'!G391),('Premissas Economias e Água'!G251*12*'Modelo Tarifário'!$D$29*'Modelo Tarifário'!$C$61*'Modelo Tarifário'!$E$35))</f>
        <v>315295.69327729341</v>
      </c>
      <c r="G106" s="1338">
        <f>IF(((G8*'Modelo Tarifário'!$C$61*'Modelo Tarifário'!$E$35)*('Premissas Economias e Água'!H391))&gt;('Premissas Economias e Água'!H251*12*'Modelo Tarifário'!$D$29*'Modelo Tarifário'!$C$61*'Modelo Tarifário'!$E$35),(G8*'Modelo Tarifário'!$C$61*'Modelo Tarifário'!$E$35)*('Premissas Economias e Água'!H391),('Premissas Economias e Água'!H251*12*'Modelo Tarifário'!$D$29*'Modelo Tarifário'!$C$61*'Modelo Tarifário'!$E$35))</f>
        <v>318048.82590424269</v>
      </c>
      <c r="H106" s="1338">
        <f>IF(((H8*'Modelo Tarifário'!$C$61*'Modelo Tarifário'!$E$35)*('Premissas Economias e Água'!I391))&gt;('Premissas Economias e Água'!I251*12*'Modelo Tarifário'!$D$29*'Modelo Tarifário'!$C$61*'Modelo Tarifário'!$E$35),(H8*'Modelo Tarifário'!$C$61*'Modelo Tarifário'!$E$35)*('Premissas Economias e Água'!I391),('Premissas Economias e Água'!I251*12*'Modelo Tarifário'!$D$29*'Modelo Tarifário'!$C$61*'Modelo Tarifário'!$E$35))</f>
        <v>320801.95853119198</v>
      </c>
      <c r="I106" s="1338">
        <f>IF(((I8*'Modelo Tarifário'!$C$61*'Modelo Tarifário'!$E$35)*('Premissas Economias e Água'!J391))&gt;('Premissas Economias e Água'!J251*12*'Modelo Tarifário'!$D$29*'Modelo Tarifário'!$C$61*'Modelo Tarifário'!$E$35),(I8*'Modelo Tarifário'!$C$61*'Modelo Tarifário'!$E$35)*('Premissas Economias e Água'!J391),('Premissas Economias e Água'!J251*12*'Modelo Tarifário'!$D$29*'Modelo Tarifário'!$C$61*'Modelo Tarifário'!$E$35))</f>
        <v>323555.09115814127</v>
      </c>
      <c r="J106" s="1338">
        <f>IF(((J8*'Modelo Tarifário'!$C$61*'Modelo Tarifário'!$E$35)*('Premissas Economias e Água'!K391))&gt;('Premissas Economias e Água'!K251*12*'Modelo Tarifário'!$D$29*'Modelo Tarifário'!$C$61*'Modelo Tarifário'!$E$35),(J8*'Modelo Tarifário'!$C$61*'Modelo Tarifário'!$E$35)*('Premissas Economias e Água'!K391),('Premissas Economias e Água'!K251*12*'Modelo Tarifário'!$D$29*'Modelo Tarifário'!$C$61*'Modelo Tarifário'!$E$35))</f>
        <v>326357.82977836893</v>
      </c>
      <c r="K106" s="1338">
        <f>IF(((K8*'Modelo Tarifário'!$C$61*'Modelo Tarifário'!$E$35)*('Premissas Economias e Água'!L391))&gt;('Premissas Economias e Água'!L251*12*'Modelo Tarifário'!$D$29*'Modelo Tarifário'!$C$61*'Modelo Tarifário'!$E$35),(K8*'Modelo Tarifário'!$C$61*'Modelo Tarifário'!$E$35)*('Premissas Economias e Água'!L391),('Premissas Economias e Água'!L251*12*'Modelo Tarifário'!$D$29*'Modelo Tarifário'!$C$61*'Modelo Tarifário'!$E$35))</f>
        <v>328689.31146245217</v>
      </c>
      <c r="L106" s="1338">
        <f>IF(((L8*'Modelo Tarifário'!$C$61*'Modelo Tarifário'!$E$35)*('Premissas Economias e Água'!M391))&gt;('Premissas Economias e Água'!M251*12*'Modelo Tarifário'!$D$29*'Modelo Tarifário'!$C$61*'Modelo Tarifário'!$E$35),(L8*'Modelo Tarifário'!$C$61*'Modelo Tarifário'!$E$35)*('Premissas Economias e Água'!M391),('Premissas Economias e Água'!M251*12*'Modelo Tarifário'!$D$29*'Modelo Tarifário'!$C$61*'Modelo Tarifário'!$E$35))</f>
        <v>331020.79314653535</v>
      </c>
      <c r="M106" s="1338">
        <f>IF(((M8*'Modelo Tarifário'!$C$61*'Modelo Tarifário'!$E$35)*('Premissas Economias e Água'!N391))&gt;('Premissas Economias e Água'!N251*12*'Modelo Tarifário'!$D$29*'Modelo Tarifário'!$C$61*'Modelo Tarifário'!$E$35),(M8*'Modelo Tarifário'!$C$61*'Modelo Tarifário'!$E$35)*('Premissas Economias e Água'!N391),('Premissas Economias e Água'!N251*12*'Modelo Tarifário'!$D$29*'Modelo Tarifário'!$C$61*'Modelo Tarifário'!$E$35))</f>
        <v>333352.27483061852</v>
      </c>
      <c r="N106" s="1338">
        <f>IF(((N8*'Modelo Tarifário'!$C$61*'Modelo Tarifário'!$E$35)*('Premissas Economias e Água'!O391))&gt;('Premissas Economias e Água'!O251*12*'Modelo Tarifário'!$D$29*'Modelo Tarifário'!$C$61*'Modelo Tarifário'!$E$35),(N8*'Modelo Tarifário'!$C$61*'Modelo Tarifário'!$E$35)*('Premissas Economias e Água'!O391),('Premissas Economias e Água'!O251*12*'Modelo Tarifário'!$D$29*'Modelo Tarifário'!$C$61*'Modelo Tarifário'!$E$35))</f>
        <v>335683.7565147017</v>
      </c>
      <c r="O106" s="1338">
        <f>IF(((O8*'Modelo Tarifário'!$C$61*'Modelo Tarifário'!$E$35)*('Premissas Economias e Água'!P391))&gt;('Premissas Economias e Água'!P251*12*'Modelo Tarifário'!$D$29*'Modelo Tarifário'!$C$61*'Modelo Tarifário'!$E$35),(O8*'Modelo Tarifário'!$C$61*'Modelo Tarifário'!$E$35)*('Premissas Economias e Água'!P391),('Premissas Economias e Água'!P251*12*'Modelo Tarifário'!$D$29*'Modelo Tarifário'!$C$61*'Modelo Tarifário'!$E$35))</f>
        <v>337990.43520214572</v>
      </c>
      <c r="P106" s="1338">
        <f>IF(((P8*'Modelo Tarifário'!$C$61*'Modelo Tarifário'!$E$35)*('Premissas Economias e Água'!Q391))&gt;('Premissas Economias e Água'!Q251*12*'Modelo Tarifário'!$D$29*'Modelo Tarifário'!$C$61*'Modelo Tarifário'!$E$35),(P8*'Modelo Tarifário'!$C$61*'Modelo Tarifário'!$E$35)*('Premissas Economias e Água'!Q391),('Premissas Economias e Água'!Q251*12*'Modelo Tarifário'!$D$29*'Modelo Tarifário'!$C$61*'Modelo Tarifário'!$E$35))</f>
        <v>339627.43298033177</v>
      </c>
      <c r="Q106" s="1338">
        <f>IF(((Q8*'Modelo Tarifário'!$C$61*'Modelo Tarifário'!$E$35)*('Premissas Economias e Água'!R391))&gt;('Premissas Economias e Água'!R251*12*'Modelo Tarifário'!$D$29*'Modelo Tarifário'!$C$61*'Modelo Tarifário'!$E$35),(Q8*'Modelo Tarifário'!$C$61*'Modelo Tarifário'!$E$35)*('Premissas Economias e Água'!R391),('Premissas Economias e Água'!R251*12*'Modelo Tarifário'!$D$29*'Modelo Tarifário'!$C$61*'Modelo Tarifário'!$E$35))</f>
        <v>341264.43075851788</v>
      </c>
      <c r="R106" s="1338">
        <f>IF(((R8*'Modelo Tarifário'!$C$61*'Modelo Tarifário'!$E$35)*('Premissas Economias e Água'!S391))&gt;('Premissas Economias e Água'!S251*12*'Modelo Tarifário'!$D$29*'Modelo Tarifário'!$C$61*'Modelo Tarifário'!$E$35),(R8*'Modelo Tarifário'!$C$61*'Modelo Tarifário'!$E$35)*('Premissas Economias e Água'!S391),('Premissas Economias e Água'!S251*12*'Modelo Tarifário'!$D$29*'Modelo Tarifário'!$C$61*'Modelo Tarifário'!$E$35))</f>
        <v>342901.42853670398</v>
      </c>
      <c r="S106" s="1338">
        <f>IF(((S8*'Modelo Tarifário'!$C$61*'Modelo Tarifário'!$E$35)*('Premissas Economias e Água'!T391))&gt;('Premissas Economias e Água'!T251*12*'Modelo Tarifário'!$D$29*'Modelo Tarifário'!$C$61*'Modelo Tarifário'!$E$35),(S8*'Modelo Tarifário'!$C$61*'Modelo Tarifário'!$E$35)*('Premissas Economias e Água'!T391),('Premissas Economias e Água'!T251*12*'Modelo Tarifário'!$D$29*'Modelo Tarifário'!$C$61*'Modelo Tarifário'!$E$35))</f>
        <v>344538.42631489004</v>
      </c>
      <c r="T106" s="1338">
        <f>IF(((T8*'Modelo Tarifário'!$C$61*'Modelo Tarifário'!$E$35)*('Premissas Economias e Água'!U391))&gt;('Premissas Economias e Água'!U251*12*'Modelo Tarifário'!$D$29*'Modelo Tarifário'!$C$61*'Modelo Tarifário'!$E$35),(T8*'Modelo Tarifário'!$C$61*'Modelo Tarifário'!$E$35)*('Premissas Economias e Água'!U391),('Premissas Economias e Água'!U251*12*'Modelo Tarifário'!$D$29*'Modelo Tarifário'!$C$61*'Modelo Tarifário'!$E$35))</f>
        <v>346225.03008635447</v>
      </c>
      <c r="U106" s="1338">
        <f>IF(((U8*'Modelo Tarifário'!$C$61*'Modelo Tarifário'!$E$35)*('Premissas Economias e Água'!V391))&gt;('Premissas Economias e Água'!V251*12*'Modelo Tarifário'!$D$29*'Modelo Tarifário'!$C$61*'Modelo Tarifário'!$E$35),(U8*'Modelo Tarifário'!$C$61*'Modelo Tarifário'!$E$35)*('Premissas Economias e Água'!V391),('Premissas Economias e Água'!V251*12*'Modelo Tarifário'!$D$29*'Modelo Tarifário'!$C$61*'Modelo Tarifário'!$E$35))</f>
        <v>347415.57392503531</v>
      </c>
      <c r="V106" s="1338">
        <f>IF(((V8*'Modelo Tarifário'!$C$61*'Modelo Tarifário'!$E$35)*('Premissas Economias e Água'!W391))&gt;('Premissas Economias e Água'!W251*12*'Modelo Tarifário'!$D$29*'Modelo Tarifário'!$C$61*'Modelo Tarifário'!$E$35),(V8*'Modelo Tarifário'!$C$61*'Modelo Tarifário'!$E$35)*('Premissas Economias e Água'!W391),('Premissas Economias e Água'!W251*12*'Modelo Tarifário'!$D$29*'Modelo Tarifário'!$C$61*'Modelo Tarifário'!$E$35))</f>
        <v>348606.11776371603</v>
      </c>
      <c r="W106" s="1338">
        <f>IF(((W8*'Modelo Tarifário'!$C$61*'Modelo Tarifário'!$E$35)*('Premissas Economias e Água'!X391))&gt;('Premissas Economias e Água'!X251*12*'Modelo Tarifário'!$D$29*'Modelo Tarifário'!$C$61*'Modelo Tarifário'!$E$35),(W8*'Modelo Tarifário'!$C$61*'Modelo Tarifário'!$E$35)*('Premissas Economias e Água'!X391),('Premissas Economias e Água'!X251*12*'Modelo Tarifário'!$D$29*'Modelo Tarifário'!$C$61*'Modelo Tarifário'!$E$35))</f>
        <v>349796.66160239681</v>
      </c>
      <c r="X106" s="1338">
        <f>IF(((X8*'Modelo Tarifário'!$C$61*'Modelo Tarifário'!$E$35)*('Premissas Economias e Água'!Y391))&gt;('Premissas Economias e Água'!Y251*12*'Modelo Tarifário'!$D$29*'Modelo Tarifário'!$C$61*'Modelo Tarifário'!$E$35),(X8*'Modelo Tarifário'!$C$61*'Modelo Tarifário'!$E$35)*('Premissas Economias e Água'!Y391),('Premissas Economias e Água'!Y251*12*'Modelo Tarifário'!$D$29*'Modelo Tarifário'!$C$61*'Modelo Tarifário'!$E$35))</f>
        <v>350987.20544107759</v>
      </c>
      <c r="Y106" s="1338">
        <f>IF(((Y8*'Modelo Tarifário'!$C$61*'Modelo Tarifário'!$E$35)*('Premissas Economias e Água'!Z391))&gt;('Premissas Economias e Água'!Z251*12*'Modelo Tarifário'!$D$29*'Modelo Tarifário'!$C$61*'Modelo Tarifário'!$E$35),(Y8*'Modelo Tarifário'!$C$61*'Modelo Tarifário'!$E$35)*('Premissas Economias e Água'!Z391),('Premissas Economias e Água'!Z251*12*'Modelo Tarifário'!$D$29*'Modelo Tarifário'!$C$61*'Modelo Tarifário'!$E$35))</f>
        <v>352227.35527303675</v>
      </c>
      <c r="Z106" s="1338">
        <f>IF(((Z8*'Modelo Tarifário'!$C$61*'Modelo Tarifário'!$E$35)*('Premissas Economias e Água'!AA391))&gt;('Premissas Economias e Água'!AA251*12*'Modelo Tarifário'!$D$29*'Modelo Tarifário'!$C$61*'Modelo Tarifário'!$E$35),(Z8*'Modelo Tarifário'!$C$61*'Modelo Tarifário'!$E$35)*('Premissas Economias e Água'!AA391),('Premissas Economias e Água'!AA251*12*'Modelo Tarifário'!$D$29*'Modelo Tarifário'!$C$61*'Modelo Tarifário'!$E$35))</f>
        <v>353417.89911171753</v>
      </c>
      <c r="AA106" s="1338">
        <f>IF(((AA8*'Modelo Tarifário'!$C$61*'Modelo Tarifário'!$E$35)*('Premissas Economias e Água'!AB391))&gt;('Premissas Economias e Água'!AB251*12*'Modelo Tarifário'!$D$29*'Modelo Tarifário'!$C$61*'Modelo Tarifário'!$E$35),(AA8*'Modelo Tarifário'!$C$61*'Modelo Tarifário'!$E$35)*('Premissas Economias e Água'!AB391),('Premissas Economias e Água'!AB251*12*'Modelo Tarifário'!$D$29*'Modelo Tarifário'!$C$61*'Modelo Tarifário'!$E$35))</f>
        <v>354608.44295039837</v>
      </c>
      <c r="AB106" s="1338">
        <f>IF(((AB8*'Modelo Tarifário'!$C$61*'Modelo Tarifário'!$E$35)*('Premissas Economias e Água'!AC391))&gt;('Premissas Economias e Água'!AC251*12*'Modelo Tarifário'!$D$29*'Modelo Tarifário'!$C$61*'Modelo Tarifário'!$E$35),(AB8*'Modelo Tarifário'!$C$61*'Modelo Tarifário'!$E$35)*('Premissas Economias e Água'!AC391),('Premissas Economias e Água'!AC251*12*'Modelo Tarifário'!$D$29*'Modelo Tarifário'!$C$61*'Modelo Tarifário'!$E$35))</f>
        <v>355798.98678907915</v>
      </c>
      <c r="AC106" s="1338">
        <f>IF(((AC8*'Modelo Tarifário'!$C$61*'Modelo Tarifário'!$E$35)*('Premissas Economias e Água'!AD391))&gt;('Premissas Economias e Água'!AD251*12*'Modelo Tarifário'!$D$29*'Modelo Tarifário'!$C$61*'Modelo Tarifário'!$E$35),(AC8*'Modelo Tarifário'!$C$61*'Modelo Tarifário'!$E$35)*('Premissas Economias e Água'!AD391),('Premissas Economias e Água'!AD251*12*'Modelo Tarifário'!$D$29*'Modelo Tarifário'!$C$61*'Modelo Tarifário'!$E$35))</f>
        <v>356989.53062775981</v>
      </c>
      <c r="AD106" s="1338">
        <f>IF(((AD8*'Modelo Tarifário'!$C$61*'Modelo Tarifário'!$E$35)*('Premissas Economias e Água'!AE391))&gt;('Premissas Economias e Água'!AE251*12*'Modelo Tarifário'!$D$29*'Modelo Tarifário'!$C$61*'Modelo Tarifário'!$E$35),(AD8*'Modelo Tarifário'!$C$61*'Modelo Tarifário'!$E$35)*('Premissas Economias e Água'!AE391),('Premissas Economias e Água'!AE251*12*'Modelo Tarifário'!$D$29*'Modelo Tarifário'!$C$61*'Modelo Tarifário'!$E$35))</f>
        <v>358180.07446644065</v>
      </c>
      <c r="AE106" s="1338">
        <f>IF(((AE8*'Modelo Tarifário'!$C$61*'Modelo Tarifário'!$E$35)*('Premissas Economias e Água'!AF391))&gt;('Premissas Economias e Água'!AF251*12*'Modelo Tarifário'!$D$29*'Modelo Tarifário'!$C$61*'Modelo Tarifário'!$E$35),(AE8*'Modelo Tarifário'!$C$61*'Modelo Tarifário'!$E$35)*('Premissas Economias e Água'!AF391),('Premissas Economias e Água'!AF251*12*'Modelo Tarifário'!$D$29*'Modelo Tarifário'!$C$61*'Modelo Tarifário'!$E$35))</f>
        <v>359370.61830512143</v>
      </c>
      <c r="AF106" s="1338">
        <f>IF(((AF8*'Modelo Tarifário'!$C$61*'Modelo Tarifário'!$E$35)*('Premissas Economias e Água'!AG391))&gt;('Premissas Economias e Água'!AG251*12*'Modelo Tarifário'!$D$29*'Modelo Tarifário'!$C$61*'Modelo Tarifário'!$E$35),(AF8*'Modelo Tarifário'!$C$61*'Modelo Tarifário'!$E$35)*('Premissas Economias e Água'!AG391),('Premissas Economias e Água'!AG251*12*'Modelo Tarifário'!$D$29*'Modelo Tarifário'!$C$61*'Modelo Tarifário'!$E$35))</f>
        <v>360561.16214380227</v>
      </c>
      <c r="AG106" s="1338">
        <f>IF(((AG8*'Modelo Tarifário'!$C$61*'Modelo Tarifário'!$E$35)*('Premissas Economias e Água'!AH391))&gt;('Premissas Economias e Água'!AH251*12*'Modelo Tarifário'!$D$29*'Modelo Tarifário'!$C$61*'Modelo Tarifário'!$E$35),(AG8*'Modelo Tarifário'!$C$61*'Modelo Tarifário'!$E$35)*('Premissas Economias e Água'!AH391),('Premissas Economias e Água'!AH251*12*'Modelo Tarifário'!$D$29*'Modelo Tarifário'!$C$61*'Modelo Tarifário'!$E$35))</f>
        <v>361751.70598248305</v>
      </c>
      <c r="AH106" s="1338">
        <f>IF(((AH8*'Modelo Tarifário'!$C$61*'Modelo Tarifário'!$E$35)*('Premissas Economias e Água'!AI391))&gt;('Premissas Economias e Água'!AI251*12*'Modelo Tarifário'!$D$29*'Modelo Tarifário'!$C$61*'Modelo Tarifário'!$E$35),(AH8*'Modelo Tarifário'!$C$61*'Modelo Tarifário'!$E$35)*('Premissas Economias e Água'!AI391),('Premissas Economias e Água'!AI251*12*'Modelo Tarifário'!$D$29*'Modelo Tarifário'!$C$61*'Modelo Tarifário'!$E$35))</f>
        <v>362942.24982116371</v>
      </c>
    </row>
    <row r="107" spans="2:34" s="79" customFormat="1" ht="12" hidden="1" outlineLevel="1" x14ac:dyDescent="0.3">
      <c r="B107" s="1339"/>
      <c r="C107" s="1335" t="s">
        <v>277</v>
      </c>
      <c r="D107" s="1335"/>
      <c r="E107" s="1340">
        <f>IF(('Premissas Economias e Água'!F252*'Modelo Tarifário'!$I$36*12*'Modelo Tarifário'!$B$5*'Modelo Tarifário'!$E$36)&gt;('Premissas Economias e Água'!F252*12*'Modelo Tarifário'!$D$29*'Modelo Tarifário'!$E$36),('Premissas Economias e Água'!F252*'Modelo Tarifário'!$I$36*12*'Modelo Tarifário'!$B$5*'Modelo Tarifário'!$E$36),('Premissas Economias e Água'!F252*12*'Modelo Tarifário'!$D$29*'Modelo Tarifário'!$E$36))</f>
        <v>40016.480598157483</v>
      </c>
      <c r="F107" s="1340">
        <f>IF(('Premissas Economias e Água'!G252*'Modelo Tarifário'!$I$36*12*'Modelo Tarifário'!$B$5*'Modelo Tarifário'!$E$36)&gt;('Premissas Economias e Água'!G252*12*'Modelo Tarifário'!$D$29*'Modelo Tarifário'!$E$36),('Premissas Economias e Água'!G252*'Modelo Tarifário'!$I$36*12*'Modelo Tarifário'!$B$5*'Modelo Tarifário'!$E$36),('Premissas Economias e Água'!G252*12*'Modelo Tarifário'!$D$29*'Modelo Tarifário'!$E$36))</f>
        <v>40368.978760715654</v>
      </c>
      <c r="G107" s="1340">
        <f>IF(('Premissas Economias e Água'!H252*'Modelo Tarifário'!$I$36*12*'Modelo Tarifário'!$B$5*'Modelo Tarifário'!$E$36)&gt;('Premissas Economias e Água'!H252*12*'Modelo Tarifário'!$D$29*'Modelo Tarifário'!$E$36),('Premissas Economias e Água'!H252*'Modelo Tarifário'!$I$36*12*'Modelo Tarifário'!$B$5*'Modelo Tarifário'!$E$36),('Premissas Economias e Água'!H252*12*'Modelo Tarifário'!$D$29*'Modelo Tarifário'!$E$36))</f>
        <v>40721.476923273818</v>
      </c>
      <c r="H107" s="1340">
        <f>IF(('Premissas Economias e Água'!I252*'Modelo Tarifário'!$I$36*12*'Modelo Tarifário'!$B$5*'Modelo Tarifário'!$E$36)&gt;('Premissas Economias e Água'!I252*12*'Modelo Tarifário'!$D$29*'Modelo Tarifário'!$E$36),('Premissas Economias e Água'!I252*'Modelo Tarifário'!$I$36*12*'Modelo Tarifário'!$B$5*'Modelo Tarifário'!$E$36),('Premissas Economias e Água'!I252*12*'Modelo Tarifário'!$D$29*'Modelo Tarifário'!$E$36))</f>
        <v>41073.975085831989</v>
      </c>
      <c r="I107" s="1340">
        <f>IF(('Premissas Economias e Água'!J252*'Modelo Tarifário'!$I$36*12*'Modelo Tarifário'!$B$5*'Modelo Tarifário'!$E$36)&gt;('Premissas Economias e Água'!J252*12*'Modelo Tarifário'!$D$29*'Modelo Tarifário'!$E$36),('Premissas Economias e Água'!J252*'Modelo Tarifário'!$I$36*12*'Modelo Tarifário'!$B$5*'Modelo Tarifário'!$E$36),('Premissas Economias e Água'!J252*12*'Modelo Tarifário'!$D$29*'Modelo Tarifário'!$E$36))</f>
        <v>41426.473248390161</v>
      </c>
      <c r="J107" s="1340">
        <f>IF(('Premissas Economias e Água'!K252*'Modelo Tarifário'!$I$36*12*'Modelo Tarifário'!$B$5*'Modelo Tarifário'!$E$36)&gt;('Premissas Economias e Água'!K252*12*'Modelo Tarifário'!$D$29*'Modelo Tarifário'!$E$36),('Premissas Economias e Água'!K252*'Modelo Tarifário'!$I$36*12*'Modelo Tarifário'!$B$5*'Modelo Tarifário'!$E$36),('Premissas Economias e Água'!K252*12*'Modelo Tarifário'!$D$29*'Modelo Tarifário'!$E$36))</f>
        <v>41785.322729192623</v>
      </c>
      <c r="K107" s="1340">
        <f>IF(('Premissas Economias e Água'!L252*'Modelo Tarifário'!$I$36*12*'Modelo Tarifário'!$B$5*'Modelo Tarifário'!$E$36)&gt;('Premissas Economias e Água'!L252*12*'Modelo Tarifário'!$D$29*'Modelo Tarifário'!$E$36),('Premissas Economias e Água'!L252*'Modelo Tarifário'!$I$36*12*'Modelo Tarifário'!$B$5*'Modelo Tarifário'!$E$36),('Premissas Economias e Água'!L252*12*'Modelo Tarifário'!$D$29*'Modelo Tarifário'!$E$36))</f>
        <v>42083.834686674309</v>
      </c>
      <c r="L107" s="1340">
        <f>IF(('Premissas Economias e Água'!M252*'Modelo Tarifário'!$I$36*12*'Modelo Tarifário'!$B$5*'Modelo Tarifário'!$E$36)&gt;('Premissas Economias e Água'!M252*12*'Modelo Tarifário'!$D$29*'Modelo Tarifário'!$E$36),('Premissas Economias e Água'!M252*'Modelo Tarifário'!$I$36*12*'Modelo Tarifário'!$B$5*'Modelo Tarifário'!$E$36),('Premissas Economias e Água'!M252*12*'Modelo Tarifário'!$D$29*'Modelo Tarifário'!$E$36))</f>
        <v>42382.346644156001</v>
      </c>
      <c r="M107" s="1340">
        <f>IF(('Premissas Economias e Água'!N252*'Modelo Tarifário'!$I$36*12*'Modelo Tarifário'!$B$5*'Modelo Tarifário'!$E$36)&gt;('Premissas Economias e Água'!N252*12*'Modelo Tarifário'!$D$29*'Modelo Tarifário'!$E$36),('Premissas Economias e Água'!N252*'Modelo Tarifário'!$I$36*12*'Modelo Tarifário'!$B$5*'Modelo Tarifário'!$E$36),('Premissas Economias e Água'!N252*12*'Modelo Tarifário'!$D$29*'Modelo Tarifário'!$E$36))</f>
        <v>42680.858601637694</v>
      </c>
      <c r="N107" s="1340">
        <f>IF(('Premissas Economias e Água'!O252*'Modelo Tarifário'!$I$36*12*'Modelo Tarifário'!$B$5*'Modelo Tarifário'!$E$36)&gt;('Premissas Economias e Água'!O252*12*'Modelo Tarifário'!$D$29*'Modelo Tarifário'!$E$36),('Premissas Economias e Água'!O252*'Modelo Tarifário'!$I$36*12*'Modelo Tarifário'!$B$5*'Modelo Tarifário'!$E$36),('Premissas Economias e Água'!O252*12*'Modelo Tarifário'!$D$29*'Modelo Tarifário'!$E$36))</f>
        <v>42979.370559119387</v>
      </c>
      <c r="O107" s="1340">
        <f>IF(('Premissas Economias e Água'!P252*'Modelo Tarifário'!$I$36*12*'Modelo Tarifário'!$B$5*'Modelo Tarifário'!$E$36)&gt;('Premissas Economias e Água'!P252*12*'Modelo Tarifário'!$D$29*'Modelo Tarifário'!$E$36),('Premissas Economias e Água'!P252*'Modelo Tarifário'!$I$36*12*'Modelo Tarifário'!$B$5*'Modelo Tarifário'!$E$36),('Premissas Economias e Água'!P252*12*'Modelo Tarifário'!$D$29*'Modelo Tarifário'!$E$36))</f>
        <v>43274.706857478937</v>
      </c>
      <c r="P107" s="1340">
        <f>IF(('Premissas Economias e Água'!Q252*'Modelo Tarifário'!$I$36*12*'Modelo Tarifário'!$B$5*'Modelo Tarifário'!$E$36)&gt;('Premissas Economias e Água'!Q252*12*'Modelo Tarifário'!$D$29*'Modelo Tarifário'!$E$36),('Premissas Economias e Água'!Q252*'Modelo Tarifário'!$I$36*12*'Modelo Tarifário'!$B$5*'Modelo Tarifário'!$E$36),('Premissas Economias e Água'!Q252*12*'Modelo Tarifário'!$D$29*'Modelo Tarifário'!$E$36))</f>
        <v>43484.300359540546</v>
      </c>
      <c r="Q107" s="1340">
        <f>IF(('Premissas Economias e Água'!R252*'Modelo Tarifário'!$I$36*12*'Modelo Tarifário'!$B$5*'Modelo Tarifário'!$E$36)&gt;('Premissas Economias e Água'!R252*12*'Modelo Tarifário'!$D$29*'Modelo Tarifário'!$E$36),('Premissas Economias e Água'!R252*'Modelo Tarifário'!$I$36*12*'Modelo Tarifário'!$B$5*'Modelo Tarifário'!$E$36),('Premissas Economias e Água'!R252*12*'Modelo Tarifário'!$D$29*'Modelo Tarifário'!$E$36))</f>
        <v>43693.893861602155</v>
      </c>
      <c r="R107" s="1340">
        <f>IF(('Premissas Economias e Água'!S252*'Modelo Tarifário'!$I$36*12*'Modelo Tarifário'!$B$5*'Modelo Tarifário'!$E$36)&gt;('Premissas Economias e Água'!S252*12*'Modelo Tarifário'!$D$29*'Modelo Tarifário'!$E$36),('Premissas Economias e Água'!S252*'Modelo Tarifário'!$I$36*12*'Modelo Tarifário'!$B$5*'Modelo Tarifário'!$E$36),('Premissas Economias e Água'!S252*12*'Modelo Tarifário'!$D$29*'Modelo Tarifário'!$E$36))</f>
        <v>43903.487363663771</v>
      </c>
      <c r="S107" s="1340">
        <f>IF(('Premissas Economias e Água'!T252*'Modelo Tarifário'!$I$36*12*'Modelo Tarifário'!$B$5*'Modelo Tarifário'!$E$36)&gt;('Premissas Economias e Água'!T252*12*'Modelo Tarifário'!$D$29*'Modelo Tarifário'!$E$36),('Premissas Economias e Água'!T252*'Modelo Tarifário'!$I$36*12*'Modelo Tarifário'!$B$5*'Modelo Tarifário'!$E$36),('Premissas Economias e Água'!T252*12*'Modelo Tarifário'!$D$29*'Modelo Tarifário'!$E$36))</f>
        <v>44113.08086572538</v>
      </c>
      <c r="T107" s="1340">
        <f>IF(('Premissas Economias e Água'!U252*'Modelo Tarifário'!$I$36*12*'Modelo Tarifário'!$B$5*'Modelo Tarifário'!$E$36)&gt;('Premissas Economias e Água'!U252*12*'Modelo Tarifário'!$D$29*'Modelo Tarifário'!$E$36),('Premissas Economias e Água'!U252*'Modelo Tarifário'!$I$36*12*'Modelo Tarifário'!$B$5*'Modelo Tarifário'!$E$36),('Premissas Economias e Água'!U252*12*'Modelo Tarifário'!$D$29*'Modelo Tarifário'!$E$36))</f>
        <v>44329.025686031295</v>
      </c>
      <c r="U107" s="1340">
        <f>IF(('Premissas Economias e Água'!V252*'Modelo Tarifário'!$I$36*12*'Modelo Tarifário'!$B$5*'Modelo Tarifário'!$E$36)&gt;('Premissas Economias e Água'!V252*12*'Modelo Tarifário'!$D$29*'Modelo Tarifário'!$E$36),('Premissas Economias e Água'!V252*'Modelo Tarifário'!$I$36*12*'Modelo Tarifário'!$B$5*'Modelo Tarifário'!$E$36),('Premissas Economias e Água'!V252*12*'Modelo Tarifário'!$D$29*'Modelo Tarifário'!$E$36))</f>
        <v>44481.457323894283</v>
      </c>
      <c r="V107" s="1340">
        <f>IF(('Premissas Economias e Água'!W252*'Modelo Tarifário'!$I$36*12*'Modelo Tarifário'!$B$5*'Modelo Tarifário'!$E$36)&gt;('Premissas Economias e Água'!W252*12*'Modelo Tarifário'!$D$29*'Modelo Tarifário'!$E$36),('Premissas Economias e Água'!W252*'Modelo Tarifário'!$I$36*12*'Modelo Tarifário'!$B$5*'Modelo Tarifário'!$E$36),('Premissas Economias e Água'!W252*12*'Modelo Tarifário'!$D$29*'Modelo Tarifário'!$E$36))</f>
        <v>44633.888961757271</v>
      </c>
      <c r="W107" s="1340">
        <f>IF(('Premissas Economias e Água'!X252*'Modelo Tarifário'!$I$36*12*'Modelo Tarifário'!$B$5*'Modelo Tarifário'!$E$36)&gt;('Premissas Economias e Água'!X252*12*'Modelo Tarifário'!$D$29*'Modelo Tarifário'!$E$36),('Premissas Economias e Água'!X252*'Modelo Tarifário'!$I$36*12*'Modelo Tarifário'!$B$5*'Modelo Tarifário'!$E$36),('Premissas Economias e Água'!X252*12*'Modelo Tarifário'!$D$29*'Modelo Tarifário'!$E$36))</f>
        <v>44786.320599620267</v>
      </c>
      <c r="X107" s="1340">
        <f>IF(('Premissas Economias e Água'!Y252*'Modelo Tarifário'!$I$36*12*'Modelo Tarifário'!$B$5*'Modelo Tarifário'!$E$36)&gt;('Premissas Economias e Água'!Y252*12*'Modelo Tarifário'!$D$29*'Modelo Tarifário'!$E$36),('Premissas Economias e Água'!Y252*'Modelo Tarifário'!$I$36*12*'Modelo Tarifário'!$B$5*'Modelo Tarifário'!$E$36),('Premissas Economias e Água'!Y252*12*'Modelo Tarifário'!$D$29*'Modelo Tarifário'!$E$36))</f>
        <v>44938.752237483262</v>
      </c>
      <c r="Y107" s="1340">
        <f>IF(('Premissas Economias e Água'!Z252*'Modelo Tarifário'!$I$36*12*'Modelo Tarifário'!$B$5*'Modelo Tarifário'!$E$36)&gt;('Premissas Economias e Água'!Z252*12*'Modelo Tarifário'!$D$29*'Modelo Tarifário'!$E$36),('Premissas Economias e Água'!Z252*'Modelo Tarifário'!$I$36*12*'Modelo Tarifário'!$B$5*'Modelo Tarifário'!$E$36),('Premissas Economias e Água'!Z252*12*'Modelo Tarifário'!$D$29*'Modelo Tarifário'!$E$36))</f>
        <v>45097.535193590535</v>
      </c>
      <c r="Z107" s="1340">
        <f>IF(('Premissas Economias e Água'!AA252*'Modelo Tarifário'!$I$36*12*'Modelo Tarifário'!$B$5*'Modelo Tarifário'!$E$36)&gt;('Premissas Economias e Água'!AA252*12*'Modelo Tarifário'!$D$29*'Modelo Tarifário'!$E$36),('Premissas Economias e Água'!AA252*'Modelo Tarifário'!$I$36*12*'Modelo Tarifário'!$B$5*'Modelo Tarifário'!$E$36),('Premissas Economias e Água'!AA252*12*'Modelo Tarifário'!$D$29*'Modelo Tarifário'!$E$36))</f>
        <v>45249.966831453537</v>
      </c>
      <c r="AA107" s="1340">
        <f>IF(('Premissas Economias e Água'!AB252*'Modelo Tarifário'!$I$36*12*'Modelo Tarifário'!$B$5*'Modelo Tarifário'!$E$36)&gt;('Premissas Economias e Água'!AB252*12*'Modelo Tarifário'!$D$29*'Modelo Tarifário'!$E$36),('Premissas Economias e Água'!AB252*'Modelo Tarifário'!$I$36*12*'Modelo Tarifário'!$B$5*'Modelo Tarifário'!$E$36),('Premissas Economias e Água'!AB252*12*'Modelo Tarifário'!$D$29*'Modelo Tarifário'!$E$36))</f>
        <v>45402.398469316526</v>
      </c>
      <c r="AB107" s="1340">
        <f>IF(('Premissas Economias e Água'!AC252*'Modelo Tarifário'!$I$36*12*'Modelo Tarifário'!$B$5*'Modelo Tarifário'!$E$36)&gt;('Premissas Economias e Água'!AC252*12*'Modelo Tarifário'!$D$29*'Modelo Tarifário'!$E$36),('Premissas Economias e Água'!AC252*'Modelo Tarifário'!$I$36*12*'Modelo Tarifário'!$B$5*'Modelo Tarifário'!$E$36),('Premissas Economias e Água'!AC252*12*'Modelo Tarifário'!$D$29*'Modelo Tarifário'!$E$36))</f>
        <v>45554.830107179521</v>
      </c>
      <c r="AC107" s="1340">
        <f>IF(('Premissas Economias e Água'!AD252*'Modelo Tarifário'!$I$36*12*'Modelo Tarifário'!$B$5*'Modelo Tarifário'!$E$36)&gt;('Premissas Economias e Água'!AD252*12*'Modelo Tarifário'!$D$29*'Modelo Tarifário'!$E$36),('Premissas Economias e Água'!AD252*'Modelo Tarifário'!$I$36*12*'Modelo Tarifário'!$B$5*'Modelo Tarifário'!$E$36),('Premissas Economias e Água'!AD252*12*'Modelo Tarifário'!$D$29*'Modelo Tarifário'!$E$36))</f>
        <v>45707.261745042502</v>
      </c>
      <c r="AD107" s="1340">
        <f>IF(('Premissas Economias e Água'!AE252*'Modelo Tarifário'!$I$36*12*'Modelo Tarifário'!$B$5*'Modelo Tarifário'!$E$36)&gt;('Premissas Economias e Água'!AE252*12*'Modelo Tarifário'!$D$29*'Modelo Tarifário'!$E$36),('Premissas Economias e Água'!AE252*'Modelo Tarifário'!$I$36*12*'Modelo Tarifário'!$B$5*'Modelo Tarifário'!$E$36),('Premissas Economias e Água'!AE252*12*'Modelo Tarifário'!$D$29*'Modelo Tarifário'!$E$36))</f>
        <v>45859.693382905505</v>
      </c>
      <c r="AE107" s="1340">
        <f>IF(('Premissas Economias e Água'!AF252*'Modelo Tarifário'!$I$36*12*'Modelo Tarifário'!$B$5*'Modelo Tarifário'!$E$36)&gt;('Premissas Economias e Água'!AF252*12*'Modelo Tarifário'!$D$29*'Modelo Tarifário'!$E$36),('Premissas Economias e Água'!AF252*'Modelo Tarifário'!$I$36*12*'Modelo Tarifário'!$B$5*'Modelo Tarifário'!$E$36),('Premissas Economias e Água'!AF252*12*'Modelo Tarifário'!$D$29*'Modelo Tarifário'!$E$36))</f>
        <v>46012.125020768493</v>
      </c>
      <c r="AF107" s="1340">
        <f>IF(('Premissas Economias e Água'!AG252*'Modelo Tarifário'!$I$36*12*'Modelo Tarifário'!$B$5*'Modelo Tarifário'!$E$36)&gt;('Premissas Economias e Água'!AG252*12*'Modelo Tarifário'!$D$29*'Modelo Tarifário'!$E$36),('Premissas Economias e Água'!AG252*'Modelo Tarifário'!$I$36*12*'Modelo Tarifário'!$B$5*'Modelo Tarifário'!$E$36),('Premissas Economias e Água'!AG252*12*'Modelo Tarifário'!$D$29*'Modelo Tarifário'!$E$36))</f>
        <v>46164.556658631489</v>
      </c>
      <c r="AG107" s="1340">
        <f>IF(('Premissas Economias e Água'!AH252*'Modelo Tarifário'!$I$36*12*'Modelo Tarifário'!$B$5*'Modelo Tarifário'!$E$36)&gt;('Premissas Economias e Água'!AH252*12*'Modelo Tarifário'!$D$29*'Modelo Tarifário'!$E$36),('Premissas Economias e Água'!AH252*'Modelo Tarifário'!$I$36*12*'Modelo Tarifário'!$B$5*'Modelo Tarifário'!$E$36),('Premissas Economias e Água'!AH252*12*'Modelo Tarifário'!$D$29*'Modelo Tarifário'!$E$36))</f>
        <v>46316.988296494485</v>
      </c>
      <c r="AH107" s="1340">
        <f>IF(('Premissas Economias e Água'!AI252*'Modelo Tarifário'!$I$36*12*'Modelo Tarifário'!$B$5*'Modelo Tarifário'!$E$36)&gt;('Premissas Economias e Água'!AI252*12*'Modelo Tarifário'!$D$29*'Modelo Tarifário'!$E$36),('Premissas Economias e Água'!AI252*'Modelo Tarifário'!$I$36*12*'Modelo Tarifário'!$B$5*'Modelo Tarifário'!$E$36),('Premissas Economias e Água'!AI252*12*'Modelo Tarifário'!$D$29*'Modelo Tarifário'!$E$36))</f>
        <v>46469.419934357466</v>
      </c>
    </row>
    <row r="108" spans="2:34" s="79" customFormat="1" ht="12" hidden="1" outlineLevel="1" x14ac:dyDescent="0.3">
      <c r="B108" s="1339"/>
      <c r="C108" s="1335" t="s">
        <v>278</v>
      </c>
      <c r="D108" s="1335"/>
      <c r="E108" s="1340">
        <f>IF(((E8*'Modelo Tarifário'!$C$61*'Modelo Tarifário'!$E$37)*('Premissas Economias e Água'!F393))&gt;('Premissas Economias e Água'!F253*12*'Modelo Tarifário'!$D$29*'Modelo Tarifário'!$C$61*'Modelo Tarifário'!$E$37),(E8*'Modelo Tarifário'!$C$61*'Modelo Tarifário'!$E$37)*('Premissas Economias e Água'!F393),('Premissas Economias e Água'!F253*12*'Modelo Tarifário'!$D$29*'Modelo Tarifário'!$C$61*'Modelo Tarifário'!$E$37))</f>
        <v>174918.50036847155</v>
      </c>
      <c r="F108" s="1340">
        <f>IF(((F8*'Modelo Tarifário'!$C$61*'Modelo Tarifário'!$E$37)*('Premissas Economias e Água'!G393))&gt;('Premissas Economias e Água'!G253*12*'Modelo Tarifário'!$D$29*'Modelo Tarifário'!$C$61*'Modelo Tarifário'!$E$37),(F8*'Modelo Tarifário'!$C$61*'Modelo Tarifário'!$E$37)*('Premissas Economias e Água'!G393),('Premissas Economias e Água'!G253*12*'Modelo Tarifário'!$D$29*'Modelo Tarifário'!$C$61*'Modelo Tarifário'!$E$37))</f>
        <v>176459.32677438381</v>
      </c>
      <c r="G108" s="1340">
        <f>IF(((G8*'Modelo Tarifário'!$C$61*'Modelo Tarifário'!$E$37)*('Premissas Economias e Água'!H393))&gt;('Premissas Economias e Água'!H253*12*'Modelo Tarifário'!$D$29*'Modelo Tarifário'!$C$61*'Modelo Tarifário'!$E$37),(G8*'Modelo Tarifário'!$C$61*'Modelo Tarifário'!$E$37)*('Premissas Economias e Água'!H393),('Premissas Economias e Água'!H253*12*'Modelo Tarifário'!$D$29*'Modelo Tarifário'!$C$61*'Modelo Tarifário'!$E$37))</f>
        <v>178000.15318029607</v>
      </c>
      <c r="H108" s="1340">
        <f>IF(((H8*'Modelo Tarifário'!$C$61*'Modelo Tarifário'!$E$37)*('Premissas Economias e Água'!I393))&gt;('Premissas Economias e Água'!I253*12*'Modelo Tarifário'!$D$29*'Modelo Tarifário'!$C$61*'Modelo Tarifário'!$E$37),(H8*'Modelo Tarifário'!$C$61*'Modelo Tarifário'!$E$37)*('Premissas Economias e Água'!I393),('Premissas Economias e Água'!I253*12*'Modelo Tarifário'!$D$29*'Modelo Tarifário'!$C$61*'Modelo Tarifário'!$E$37))</f>
        <v>179540.9795862083</v>
      </c>
      <c r="I108" s="1340">
        <f>IF(((I8*'Modelo Tarifário'!$C$61*'Modelo Tarifário'!$E$37)*('Premissas Economias e Água'!J393))&gt;('Premissas Economias e Água'!J253*12*'Modelo Tarifário'!$D$29*'Modelo Tarifário'!$C$61*'Modelo Tarifário'!$E$37),(I8*'Modelo Tarifário'!$C$61*'Modelo Tarifário'!$E$37)*('Premissas Economias e Água'!J393),('Premissas Economias e Água'!J253*12*'Modelo Tarifário'!$D$29*'Modelo Tarifário'!$C$61*'Modelo Tarifário'!$E$37))</f>
        <v>181081.80599212056</v>
      </c>
      <c r="J108" s="1340">
        <f>IF(((J8*'Modelo Tarifário'!$C$61*'Modelo Tarifário'!$E$37)*('Premissas Economias e Água'!K393))&gt;('Premissas Economias e Água'!K253*12*'Modelo Tarifário'!$D$29*'Modelo Tarifário'!$C$61*'Modelo Tarifário'!$E$37),(J8*'Modelo Tarifário'!$C$61*'Modelo Tarifário'!$E$37)*('Premissas Economias e Água'!K393),('Premissas Economias e Água'!K253*12*'Modelo Tarifário'!$D$29*'Modelo Tarifário'!$C$61*'Modelo Tarifário'!$E$37))</f>
        <v>182650.39503597721</v>
      </c>
      <c r="K108" s="1340">
        <f>IF(((K8*'Modelo Tarifário'!$C$61*'Modelo Tarifário'!$E$37)*('Premissas Economias e Água'!L393))&gt;('Premissas Economias e Água'!L253*12*'Modelo Tarifário'!$D$29*'Modelo Tarifário'!$C$61*'Modelo Tarifário'!$E$37),(K8*'Modelo Tarifário'!$C$61*'Modelo Tarifário'!$E$37)*('Premissas Economias e Água'!L393),('Premissas Economias e Água'!L253*12*'Modelo Tarifário'!$D$29*'Modelo Tarifário'!$C$61*'Modelo Tarifário'!$E$37))</f>
        <v>183955.23901936237</v>
      </c>
      <c r="L108" s="1340">
        <f>IF(((L8*'Modelo Tarifário'!$C$61*'Modelo Tarifário'!$E$37)*('Premissas Economias e Água'!M393))&gt;('Premissas Economias e Água'!M253*12*'Modelo Tarifário'!$D$29*'Modelo Tarifário'!$C$61*'Modelo Tarifário'!$E$37),(L8*'Modelo Tarifário'!$C$61*'Modelo Tarifário'!$E$37)*('Premissas Economias e Água'!M393),('Premissas Economias e Água'!M253*12*'Modelo Tarifário'!$D$29*'Modelo Tarifário'!$C$61*'Modelo Tarifário'!$E$37))</f>
        <v>185260.08300274747</v>
      </c>
      <c r="M108" s="1340">
        <f>IF(((M8*'Modelo Tarifário'!$C$61*'Modelo Tarifário'!$E$37)*('Premissas Economias e Água'!N393))&gt;('Premissas Economias e Água'!N253*12*'Modelo Tarifário'!$D$29*'Modelo Tarifário'!$C$61*'Modelo Tarifário'!$E$37),(M8*'Modelo Tarifário'!$C$61*'Modelo Tarifário'!$E$37)*('Premissas Economias e Água'!N393),('Premissas Economias e Água'!N253*12*'Modelo Tarifário'!$D$29*'Modelo Tarifário'!$C$61*'Modelo Tarifário'!$E$37))</f>
        <v>186564.92698613269</v>
      </c>
      <c r="N108" s="1340">
        <f>IF(((N8*'Modelo Tarifário'!$C$61*'Modelo Tarifário'!$E$37)*('Premissas Economias e Água'!O393))&gt;('Premissas Economias e Água'!O253*12*'Modelo Tarifário'!$D$29*'Modelo Tarifário'!$C$61*'Modelo Tarifário'!$E$37),(N8*'Modelo Tarifário'!$C$61*'Modelo Tarifário'!$E$37)*('Premissas Economias e Água'!O393),('Premissas Economias e Água'!O253*12*'Modelo Tarifário'!$D$29*'Modelo Tarifário'!$C$61*'Modelo Tarifário'!$E$37))</f>
        <v>187869.77096951782</v>
      </c>
      <c r="O108" s="1340">
        <f>IF(((O8*'Modelo Tarifário'!$C$61*'Modelo Tarifário'!$E$37)*('Premissas Economias e Água'!P393))&gt;('Premissas Economias e Água'!P253*12*'Modelo Tarifário'!$D$29*'Modelo Tarifário'!$C$61*'Modelo Tarifário'!$E$37),(O8*'Modelo Tarifário'!$C$61*'Modelo Tarifário'!$E$37)*('Premissas Economias e Água'!P393),('Premissas Economias e Água'!P253*12*'Modelo Tarifário'!$D$29*'Modelo Tarifário'!$C$61*'Modelo Tarifário'!$E$37))</f>
        <v>189160.73363393077</v>
      </c>
      <c r="P108" s="1340">
        <f>IF(((P8*'Modelo Tarifário'!$C$61*'Modelo Tarifário'!$E$37)*('Premissas Economias e Água'!Q393))&gt;('Premissas Economias e Água'!Q253*12*'Modelo Tarifário'!$D$29*'Modelo Tarifário'!$C$61*'Modelo Tarifário'!$E$37),(P8*'Modelo Tarifário'!$C$61*'Modelo Tarifário'!$E$37)*('Premissas Economias e Água'!Q393),('Premissas Economias e Água'!Q253*12*'Modelo Tarifário'!$D$29*'Modelo Tarifário'!$C$61*'Modelo Tarifário'!$E$37))</f>
        <v>190076.90068609483</v>
      </c>
      <c r="Q108" s="1340">
        <f>IF(((Q8*'Modelo Tarifário'!$C$61*'Modelo Tarifário'!$E$37)*('Premissas Economias e Água'!R393))&gt;('Premissas Economias e Água'!R253*12*'Modelo Tarifário'!$D$29*'Modelo Tarifário'!$C$61*'Modelo Tarifário'!$E$37),(Q8*'Modelo Tarifário'!$C$61*'Modelo Tarifário'!$E$37)*('Premissas Economias e Água'!R393),('Premissas Economias e Água'!R253*12*'Modelo Tarifário'!$D$29*'Modelo Tarifário'!$C$61*'Modelo Tarifário'!$E$37))</f>
        <v>190993.06773825883</v>
      </c>
      <c r="R108" s="1340">
        <f>IF(((R8*'Modelo Tarifário'!$C$61*'Modelo Tarifário'!$E$37)*('Premissas Economias e Água'!S393))&gt;('Premissas Economias e Água'!S253*12*'Modelo Tarifário'!$D$29*'Modelo Tarifário'!$C$61*'Modelo Tarifário'!$E$37),(R8*'Modelo Tarifário'!$C$61*'Modelo Tarifário'!$E$37)*('Premissas Economias e Água'!S393),('Premissas Economias e Água'!S253*12*'Modelo Tarifário'!$D$29*'Modelo Tarifário'!$C$61*'Modelo Tarifário'!$E$37))</f>
        <v>191909.23479042292</v>
      </c>
      <c r="S108" s="1340">
        <f>IF(((S8*'Modelo Tarifário'!$C$61*'Modelo Tarifário'!$E$37)*('Premissas Economias e Água'!T393))&gt;('Premissas Economias e Água'!T253*12*'Modelo Tarifário'!$D$29*'Modelo Tarifário'!$C$61*'Modelo Tarifário'!$E$37),(S8*'Modelo Tarifário'!$C$61*'Modelo Tarifário'!$E$37)*('Premissas Economias e Água'!T393),('Premissas Economias e Água'!T253*12*'Modelo Tarifário'!$D$29*'Modelo Tarifário'!$C$61*'Modelo Tarifário'!$E$37))</f>
        <v>192825.40184258699</v>
      </c>
      <c r="T108" s="1340">
        <f>IF(((T8*'Modelo Tarifário'!$C$61*'Modelo Tarifário'!$E$37)*('Premissas Economias e Água'!U393))&gt;('Premissas Economias e Água'!U253*12*'Modelo Tarifário'!$D$29*'Modelo Tarifário'!$C$61*'Modelo Tarifário'!$E$37),(T8*'Modelo Tarifário'!$C$61*'Modelo Tarifário'!$E$37)*('Premissas Economias e Água'!U393),('Premissas Economias e Água'!U253*12*'Modelo Tarifário'!$D$29*'Modelo Tarifário'!$C$61*'Modelo Tarifário'!$E$37))</f>
        <v>193769.33153269536</v>
      </c>
      <c r="U108" s="1340">
        <f>IF(((U8*'Modelo Tarifário'!$C$61*'Modelo Tarifário'!$E$37)*('Premissas Economias e Água'!V393))&gt;('Premissas Economias e Água'!V253*12*'Modelo Tarifário'!$D$29*'Modelo Tarifário'!$C$61*'Modelo Tarifário'!$E$37),(U8*'Modelo Tarifário'!$C$61*'Modelo Tarifário'!$E$37)*('Premissas Economias e Água'!V393),('Premissas Economias e Água'!V253*12*'Modelo Tarifário'!$D$29*'Modelo Tarifário'!$C$61*'Modelo Tarifário'!$E$37))</f>
        <v>194435.63484336014</v>
      </c>
      <c r="V108" s="1340">
        <f>IF(((V8*'Modelo Tarifário'!$C$61*'Modelo Tarifário'!$E$37)*('Premissas Economias e Água'!W393))&gt;('Premissas Economias e Água'!W253*12*'Modelo Tarifário'!$D$29*'Modelo Tarifário'!$C$61*'Modelo Tarifário'!$E$37),(V8*'Modelo Tarifário'!$C$61*'Modelo Tarifário'!$E$37)*('Premissas Economias e Água'!W393),('Premissas Economias e Água'!W253*12*'Modelo Tarifário'!$D$29*'Modelo Tarifário'!$C$61*'Modelo Tarifário'!$E$37))</f>
        <v>195101.93815402489</v>
      </c>
      <c r="W108" s="1340">
        <f>IF(((W8*'Modelo Tarifário'!$C$61*'Modelo Tarifário'!$E$37)*('Premissas Economias e Água'!X393))&gt;('Premissas Economias e Água'!X253*12*'Modelo Tarifário'!$D$29*'Modelo Tarifário'!$C$61*'Modelo Tarifário'!$E$37),(W8*'Modelo Tarifário'!$C$61*'Modelo Tarifário'!$E$37)*('Premissas Economias e Água'!X393),('Premissas Economias e Água'!X253*12*'Modelo Tarifário'!$D$29*'Modelo Tarifário'!$C$61*'Modelo Tarifário'!$E$37))</f>
        <v>195768.24146468961</v>
      </c>
      <c r="X108" s="1340">
        <f>IF(((X8*'Modelo Tarifário'!$C$61*'Modelo Tarifário'!$E$37)*('Premissas Economias e Água'!Y393))&gt;('Premissas Economias e Água'!Y253*12*'Modelo Tarifário'!$D$29*'Modelo Tarifário'!$C$61*'Modelo Tarifário'!$E$37),(X8*'Modelo Tarifário'!$C$61*'Modelo Tarifário'!$E$37)*('Premissas Economias e Água'!Y393),('Premissas Economias e Água'!Y253*12*'Modelo Tarifário'!$D$29*'Modelo Tarifário'!$C$61*'Modelo Tarifário'!$E$37))</f>
        <v>196434.54477535441</v>
      </c>
      <c r="Y108" s="1340">
        <f>IF(((Y8*'Modelo Tarifário'!$C$61*'Modelo Tarifário'!$E$37)*('Premissas Economias e Água'!Z393))&gt;('Premissas Economias e Água'!Z253*12*'Modelo Tarifário'!$D$29*'Modelo Tarifário'!$C$61*'Modelo Tarifário'!$E$37),(Y8*'Modelo Tarifário'!$C$61*'Modelo Tarifário'!$E$37)*('Premissas Economias e Água'!Z393),('Premissas Economias e Água'!Z253*12*'Modelo Tarifário'!$D$29*'Modelo Tarifário'!$C$61*'Modelo Tarifário'!$E$37))</f>
        <v>197128.61072396353</v>
      </c>
      <c r="Z108" s="1340">
        <f>IF(((Z8*'Modelo Tarifário'!$C$61*'Modelo Tarifário'!$E$37)*('Premissas Economias e Água'!AA393))&gt;('Premissas Economias e Água'!AA253*12*'Modelo Tarifário'!$D$29*'Modelo Tarifário'!$C$61*'Modelo Tarifário'!$E$37),(Z8*'Modelo Tarifário'!$C$61*'Modelo Tarifário'!$E$37)*('Premissas Economias e Água'!AA393),('Premissas Economias e Água'!AA253*12*'Modelo Tarifário'!$D$29*'Modelo Tarifário'!$C$61*'Modelo Tarifário'!$E$37))</f>
        <v>197794.91403462831</v>
      </c>
      <c r="AA108" s="1340">
        <f>IF(((AA8*'Modelo Tarifário'!$C$61*'Modelo Tarifário'!$E$37)*('Premissas Economias e Água'!AB393))&gt;('Premissas Economias e Água'!AB253*12*'Modelo Tarifário'!$D$29*'Modelo Tarifário'!$C$61*'Modelo Tarifário'!$E$37),(AA8*'Modelo Tarifário'!$C$61*'Modelo Tarifário'!$E$37)*('Premissas Economias e Água'!AB393),('Premissas Economias e Água'!AB253*12*'Modelo Tarifário'!$D$29*'Modelo Tarifário'!$C$61*'Modelo Tarifário'!$E$37))</f>
        <v>198461.21734529306</v>
      </c>
      <c r="AB108" s="1340">
        <f>IF(((AB8*'Modelo Tarifário'!$C$61*'Modelo Tarifário'!$E$37)*('Premissas Economias e Água'!AC393))&gt;('Premissas Economias e Água'!AC253*12*'Modelo Tarifário'!$D$29*'Modelo Tarifário'!$C$61*'Modelo Tarifário'!$E$37),(AB8*'Modelo Tarifário'!$C$61*'Modelo Tarifário'!$E$37)*('Premissas Economias e Água'!AC393),('Premissas Economias e Água'!AC253*12*'Modelo Tarifário'!$D$29*'Modelo Tarifário'!$C$61*'Modelo Tarifário'!$E$37))</f>
        <v>199127.52065595784</v>
      </c>
      <c r="AC108" s="1340">
        <f>IF(((AC8*'Modelo Tarifário'!$C$61*'Modelo Tarifário'!$E$37)*('Premissas Economias e Água'!AD393))&gt;('Premissas Economias e Água'!AD253*12*'Modelo Tarifário'!$D$29*'Modelo Tarifário'!$C$61*'Modelo Tarifário'!$E$37),(AC8*'Modelo Tarifário'!$C$61*'Modelo Tarifário'!$E$37)*('Premissas Economias e Água'!AD393),('Premissas Economias e Água'!AD253*12*'Modelo Tarifário'!$D$29*'Modelo Tarifário'!$C$61*'Modelo Tarifário'!$E$37))</f>
        <v>199793.82396662259</v>
      </c>
      <c r="AD108" s="1340">
        <f>IF(((AD8*'Modelo Tarifário'!$C$61*'Modelo Tarifário'!$E$37)*('Premissas Economias e Água'!AE393))&gt;('Premissas Economias e Água'!AE253*12*'Modelo Tarifário'!$D$29*'Modelo Tarifário'!$C$61*'Modelo Tarifário'!$E$37),(AD8*'Modelo Tarifário'!$C$61*'Modelo Tarifário'!$E$37)*('Premissas Economias e Água'!AE393),('Premissas Economias e Água'!AE253*12*'Modelo Tarifário'!$D$29*'Modelo Tarifário'!$C$61*'Modelo Tarifário'!$E$37))</f>
        <v>200460.12727728731</v>
      </c>
      <c r="AE108" s="1340">
        <f>IF(((AE8*'Modelo Tarifário'!$C$61*'Modelo Tarifário'!$E$37)*('Premissas Economias e Água'!AF393))&gt;('Premissas Economias e Água'!AF253*12*'Modelo Tarifário'!$D$29*'Modelo Tarifário'!$C$61*'Modelo Tarifário'!$E$37),(AE8*'Modelo Tarifário'!$C$61*'Modelo Tarifário'!$E$37)*('Premissas Economias e Água'!AF393),('Premissas Economias e Água'!AF253*12*'Modelo Tarifário'!$D$29*'Modelo Tarifário'!$C$61*'Modelo Tarifário'!$E$37))</f>
        <v>201126.43058795211</v>
      </c>
      <c r="AF108" s="1340">
        <f>IF(((AF8*'Modelo Tarifário'!$C$61*'Modelo Tarifário'!$E$37)*('Premissas Economias e Água'!AG393))&gt;('Premissas Economias e Água'!AG253*12*'Modelo Tarifário'!$D$29*'Modelo Tarifário'!$C$61*'Modelo Tarifário'!$E$37),(AF8*'Modelo Tarifário'!$C$61*'Modelo Tarifário'!$E$37)*('Premissas Economias e Água'!AG393),('Premissas Economias e Água'!AG253*12*'Modelo Tarifário'!$D$29*'Modelo Tarifário'!$C$61*'Modelo Tarifário'!$E$37))</f>
        <v>201792.73389861683</v>
      </c>
      <c r="AG108" s="1340">
        <f>IF(((AG8*'Modelo Tarifário'!$C$61*'Modelo Tarifário'!$E$37)*('Premissas Economias e Água'!AH393))&gt;('Premissas Economias e Água'!AH253*12*'Modelo Tarifário'!$D$29*'Modelo Tarifário'!$C$61*'Modelo Tarifário'!$E$37),(AG8*'Modelo Tarifário'!$C$61*'Modelo Tarifário'!$E$37)*('Premissas Economias e Água'!AH393),('Premissas Economias e Água'!AH253*12*'Modelo Tarifário'!$D$29*'Modelo Tarifário'!$C$61*'Modelo Tarifário'!$E$37))</f>
        <v>202459.03720928164</v>
      </c>
      <c r="AH108" s="1340">
        <f>IF(((AH8*'Modelo Tarifário'!$C$61*'Modelo Tarifário'!$E$37)*('Premissas Economias e Água'!AI393))&gt;('Premissas Economias e Água'!AI253*12*'Modelo Tarifário'!$D$29*'Modelo Tarifário'!$C$61*'Modelo Tarifário'!$E$37),(AH8*'Modelo Tarifário'!$C$61*'Modelo Tarifário'!$E$37)*('Premissas Economias e Água'!AI393),('Premissas Economias e Água'!AI253*12*'Modelo Tarifário'!$D$29*'Modelo Tarifário'!$C$61*'Modelo Tarifário'!$E$37))</f>
        <v>203125.34051994636</v>
      </c>
    </row>
    <row r="109" spans="2:34" s="79" customFormat="1" ht="12" hidden="1" outlineLevel="1" x14ac:dyDescent="0.3">
      <c r="B109" s="1339"/>
      <c r="C109" s="1335" t="s">
        <v>279</v>
      </c>
      <c r="D109" s="1335"/>
      <c r="E109" s="1340">
        <f>IF(((E8*'Modelo Tarifário'!$C$61*'Modelo Tarifário'!$E$38)*('Premissas Economias e Água'!F394))&gt;('Premissas Economias e Água'!F254*12*'Modelo Tarifário'!$D$29*'Modelo Tarifário'!$C$61*'Modelo Tarifário'!$E$38),(E8*'Modelo Tarifário'!$C$61*'Modelo Tarifário'!$E$38)*('Premissas Economias e Água'!F394),('Premissas Economias e Água'!F254*12*'Modelo Tarifário'!$D$29*'Modelo Tarifário'!$C$61*'Modelo Tarifário'!$E$38))</f>
        <v>201138.78610228206</v>
      </c>
      <c r="F109" s="1340">
        <f>IF(((F8*'Modelo Tarifário'!$C$61*'Modelo Tarifário'!$E$38)*('Premissas Economias e Água'!G394))&gt;('Premissas Economias e Água'!G254*12*'Modelo Tarifário'!$D$29*'Modelo Tarifário'!$C$61*'Modelo Tarifário'!$E$38),(F8*'Modelo Tarifário'!$C$61*'Modelo Tarifário'!$E$38)*('Premissas Economias e Água'!G394),('Premissas Economias e Água'!G254*12*'Modelo Tarifário'!$D$29*'Modelo Tarifário'!$C$61*'Modelo Tarifário'!$E$38))</f>
        <v>202910.58240871437</v>
      </c>
      <c r="G109" s="1340">
        <f>IF(((G8*'Modelo Tarifário'!$C$61*'Modelo Tarifário'!$E$38)*('Premissas Economias e Água'!H394))&gt;('Premissas Economias e Água'!H254*12*'Modelo Tarifário'!$D$29*'Modelo Tarifário'!$C$61*'Modelo Tarifário'!$E$38),(G8*'Modelo Tarifário'!$C$61*'Modelo Tarifário'!$E$38)*('Premissas Economias e Água'!H394),('Premissas Economias e Água'!H254*12*'Modelo Tarifário'!$D$29*'Modelo Tarifário'!$C$61*'Modelo Tarifário'!$E$38))</f>
        <v>204682.37871514665</v>
      </c>
      <c r="H109" s="1340">
        <f>IF(((H8*'Modelo Tarifário'!$C$61*'Modelo Tarifário'!$E$38)*('Premissas Economias e Água'!I394))&gt;('Premissas Economias e Água'!I254*12*'Modelo Tarifário'!$D$29*'Modelo Tarifário'!$C$61*'Modelo Tarifário'!$E$38),(H8*'Modelo Tarifário'!$C$61*'Modelo Tarifário'!$E$38)*('Premissas Economias e Água'!I394),('Premissas Economias e Água'!I254*12*'Modelo Tarifário'!$D$29*'Modelo Tarifário'!$C$61*'Modelo Tarifário'!$E$38))</f>
        <v>206454.17502157897</v>
      </c>
      <c r="I109" s="1340">
        <f>IF(((I8*'Modelo Tarifário'!$C$61*'Modelo Tarifário'!$E$38)*('Premissas Economias e Água'!J394))&gt;('Premissas Economias e Água'!J254*12*'Modelo Tarifário'!$D$29*'Modelo Tarifário'!$C$61*'Modelo Tarifário'!$E$38),(I8*'Modelo Tarifário'!$C$61*'Modelo Tarifário'!$E$38)*('Premissas Economias e Água'!J394),('Premissas Economias e Água'!J254*12*'Modelo Tarifário'!$D$29*'Modelo Tarifário'!$C$61*'Modelo Tarifário'!$E$38))</f>
        <v>208225.97132801125</v>
      </c>
      <c r="J109" s="1340">
        <f>IF(((J8*'Modelo Tarifário'!$C$61*'Modelo Tarifário'!$E$38)*('Premissas Economias e Água'!K394))&gt;('Premissas Economias e Água'!K254*12*'Modelo Tarifário'!$D$29*'Modelo Tarifário'!$C$61*'Modelo Tarifário'!$E$38),(J8*'Modelo Tarifário'!$C$61*'Modelo Tarifário'!$E$38)*('Premissas Economias e Água'!K394),('Premissas Economias e Água'!K254*12*'Modelo Tarifário'!$D$29*'Modelo Tarifário'!$C$61*'Modelo Tarifário'!$E$38))</f>
        <v>210029.69189221709</v>
      </c>
      <c r="K109" s="1340">
        <f>IF(((K8*'Modelo Tarifário'!$C$61*'Modelo Tarifário'!$E$38)*('Premissas Economias e Água'!L394))&gt;('Premissas Economias e Água'!L254*12*'Modelo Tarifário'!$D$29*'Modelo Tarifário'!$C$61*'Modelo Tarifário'!$E$38),(K8*'Modelo Tarifário'!$C$61*'Modelo Tarifário'!$E$38)*('Premissas Economias e Água'!L394),('Premissas Economias e Água'!L254*12*'Modelo Tarifário'!$D$29*'Modelo Tarifário'!$C$61*'Modelo Tarifário'!$E$38))</f>
        <v>211530.13200757417</v>
      </c>
      <c r="L109" s="1340">
        <f>IF(((L8*'Modelo Tarifário'!$C$61*'Modelo Tarifário'!$E$38)*('Premissas Economias e Água'!M394))&gt;('Premissas Economias e Água'!M254*12*'Modelo Tarifário'!$D$29*'Modelo Tarifário'!$C$61*'Modelo Tarifário'!$E$38),(L8*'Modelo Tarifário'!$C$61*'Modelo Tarifário'!$E$38)*('Premissas Economias e Água'!M394),('Premissas Economias e Água'!M254*12*'Modelo Tarifário'!$D$29*'Modelo Tarifário'!$C$61*'Modelo Tarifário'!$E$38))</f>
        <v>213030.57212293122</v>
      </c>
      <c r="M109" s="1340">
        <f>IF(((M8*'Modelo Tarifário'!$C$61*'Modelo Tarifário'!$E$38)*('Premissas Economias e Água'!N394))&gt;('Premissas Economias e Água'!N254*12*'Modelo Tarifário'!$D$29*'Modelo Tarifário'!$C$61*'Modelo Tarifário'!$E$38),(M8*'Modelo Tarifário'!$C$61*'Modelo Tarifário'!$E$38)*('Premissas Economias e Água'!N394),('Premissas Economias e Água'!N254*12*'Modelo Tarifário'!$D$29*'Modelo Tarifário'!$C$61*'Modelo Tarifário'!$E$38))</f>
        <v>214531.01223828833</v>
      </c>
      <c r="N109" s="1340">
        <f>IF(((N8*'Modelo Tarifário'!$C$61*'Modelo Tarifário'!$E$38)*('Premissas Economias e Água'!O394))&gt;('Premissas Economias e Água'!O254*12*'Modelo Tarifário'!$D$29*'Modelo Tarifário'!$C$61*'Modelo Tarifário'!$E$38),(N8*'Modelo Tarifário'!$C$61*'Modelo Tarifário'!$E$38)*('Premissas Economias e Água'!O394),('Premissas Economias e Água'!O254*12*'Modelo Tarifário'!$D$29*'Modelo Tarifário'!$C$61*'Modelo Tarifário'!$E$38))</f>
        <v>216031.45235364538</v>
      </c>
      <c r="O109" s="1340">
        <f>IF(((O8*'Modelo Tarifário'!$C$61*'Modelo Tarifário'!$E$38)*('Premissas Economias e Água'!P394))&gt;('Premissas Economias e Água'!P254*12*'Modelo Tarifário'!$D$29*'Modelo Tarifário'!$C$61*'Modelo Tarifário'!$E$38),(O8*'Modelo Tarifário'!$C$61*'Modelo Tarifário'!$E$38)*('Premissas Economias e Água'!P394),('Premissas Economias e Água'!P254*12*'Modelo Tarifário'!$D$29*'Modelo Tarifário'!$C$61*'Modelo Tarifário'!$E$38))</f>
        <v>217515.93034011571</v>
      </c>
      <c r="P109" s="1340">
        <f>IF(((P8*'Modelo Tarifário'!$C$61*'Modelo Tarifário'!$E$38)*('Premissas Economias e Água'!Q394))&gt;('Premissas Economias e Água'!Q254*12*'Modelo Tarifário'!$D$29*'Modelo Tarifário'!$C$61*'Modelo Tarifário'!$E$38),(P8*'Modelo Tarifário'!$C$61*'Modelo Tarifário'!$E$38)*('Premissas Economias e Água'!Q394),('Premissas Economias e Água'!Q254*12*'Modelo Tarifário'!$D$29*'Modelo Tarifário'!$C$61*'Modelo Tarifário'!$E$38))</f>
        <v>218569.43084664299</v>
      </c>
      <c r="Q109" s="1340">
        <f>IF(((Q8*'Modelo Tarifário'!$C$61*'Modelo Tarifário'!$E$38)*('Premissas Economias e Água'!R394))&gt;('Premissas Economias e Água'!R254*12*'Modelo Tarifário'!$D$29*'Modelo Tarifário'!$C$61*'Modelo Tarifário'!$E$38),(Q8*'Modelo Tarifário'!$C$61*'Modelo Tarifário'!$E$38)*('Premissas Economias e Água'!R394),('Premissas Economias e Água'!R254*12*'Modelo Tarifário'!$D$29*'Modelo Tarifário'!$C$61*'Modelo Tarifário'!$E$38))</f>
        <v>219622.93135317028</v>
      </c>
      <c r="R109" s="1340">
        <f>IF(((R8*'Modelo Tarifário'!$C$61*'Modelo Tarifário'!$E$38)*('Premissas Economias e Água'!S394))&gt;('Premissas Economias e Água'!S254*12*'Modelo Tarifário'!$D$29*'Modelo Tarifário'!$C$61*'Modelo Tarifário'!$E$38),(R8*'Modelo Tarifário'!$C$61*'Modelo Tarifário'!$E$38)*('Premissas Economias e Água'!S394),('Premissas Economias e Água'!S254*12*'Modelo Tarifário'!$D$29*'Modelo Tarifário'!$C$61*'Modelo Tarifário'!$E$38))</f>
        <v>220676.43185969762</v>
      </c>
      <c r="S109" s="1340">
        <f>IF(((S8*'Modelo Tarifário'!$C$61*'Modelo Tarifário'!$E$38)*('Premissas Economias e Água'!T394))&gt;('Premissas Economias e Água'!T254*12*'Modelo Tarifário'!$D$29*'Modelo Tarifário'!$C$61*'Modelo Tarifário'!$E$38),(S8*'Modelo Tarifário'!$C$61*'Modelo Tarifário'!$E$38)*('Premissas Economias e Água'!T394),('Premissas Economias e Água'!T254*12*'Modelo Tarifário'!$D$29*'Modelo Tarifário'!$C$61*'Modelo Tarifário'!$E$38))</f>
        <v>221729.93236622494</v>
      </c>
      <c r="T109" s="1340">
        <f>IF(((T8*'Modelo Tarifário'!$C$61*'Modelo Tarifário'!$E$38)*('Premissas Economias e Água'!U394))&gt;('Premissas Economias e Água'!U254*12*'Modelo Tarifário'!$D$29*'Modelo Tarifário'!$C$61*'Modelo Tarifário'!$E$38),(T8*'Modelo Tarifário'!$C$61*'Modelo Tarifário'!$E$38)*('Premissas Economias e Água'!U394),('Premissas Economias e Água'!U254*12*'Modelo Tarifário'!$D$29*'Modelo Tarifário'!$C$61*'Modelo Tarifário'!$E$38))</f>
        <v>222815.35713052578</v>
      </c>
      <c r="U109" s="1340">
        <f>IF(((U8*'Modelo Tarifário'!$C$61*'Modelo Tarifário'!$E$38)*('Premissas Economias e Água'!V394))&gt;('Premissas Economias e Água'!V254*12*'Modelo Tarifário'!$D$29*'Modelo Tarifário'!$C$61*'Modelo Tarifário'!$E$38),(U8*'Modelo Tarifário'!$C$61*'Modelo Tarifário'!$E$38)*('Premissas Economias e Água'!V394),('Premissas Economias e Água'!V254*12*'Modelo Tarifário'!$D$29*'Modelo Tarifário'!$C$61*'Modelo Tarifário'!$E$38))</f>
        <v>223581.53931709114</v>
      </c>
      <c r="V109" s="1340">
        <f>IF(((V8*'Modelo Tarifário'!$C$61*'Modelo Tarifário'!$E$38)*('Premissas Economias e Água'!W394))&gt;('Premissas Economias e Água'!W254*12*'Modelo Tarifário'!$D$29*'Modelo Tarifário'!$C$61*'Modelo Tarifário'!$E$38),(V8*'Modelo Tarifário'!$C$61*'Modelo Tarifário'!$E$38)*('Premissas Economias e Água'!W394),('Premissas Economias e Água'!W254*12*'Modelo Tarifário'!$D$29*'Modelo Tarifário'!$C$61*'Modelo Tarifário'!$E$38))</f>
        <v>224347.72150365639</v>
      </c>
      <c r="W109" s="1340">
        <f>IF(((W8*'Modelo Tarifário'!$C$61*'Modelo Tarifário'!$E$38)*('Premissas Economias e Água'!X394))&gt;('Premissas Economias e Água'!X254*12*'Modelo Tarifário'!$D$29*'Modelo Tarifário'!$C$61*'Modelo Tarifário'!$E$38),(W8*'Modelo Tarifário'!$C$61*'Modelo Tarifário'!$E$38)*('Premissas Economias e Água'!X394),('Premissas Economias e Água'!X254*12*'Modelo Tarifário'!$D$29*'Modelo Tarifário'!$C$61*'Modelo Tarifário'!$E$38))</f>
        <v>225113.90369022175</v>
      </c>
      <c r="X109" s="1340">
        <f>IF(((X8*'Modelo Tarifário'!$C$61*'Modelo Tarifário'!$E$38)*('Premissas Economias e Água'!Y394))&gt;('Premissas Economias e Água'!Y254*12*'Modelo Tarifário'!$D$29*'Modelo Tarifário'!$C$61*'Modelo Tarifário'!$E$38),(X8*'Modelo Tarifário'!$C$61*'Modelo Tarifário'!$E$38)*('Premissas Economias e Água'!Y394),('Premissas Economias e Água'!Y254*12*'Modelo Tarifário'!$D$29*'Modelo Tarifário'!$C$61*'Modelo Tarifário'!$E$38))</f>
        <v>225880.08587678705</v>
      </c>
      <c r="Y109" s="1340">
        <f>IF(((Y8*'Modelo Tarifário'!$C$61*'Modelo Tarifário'!$E$38)*('Premissas Economias e Água'!Z394))&gt;('Premissas Economias e Água'!Z254*12*'Modelo Tarifário'!$D$29*'Modelo Tarifário'!$C$61*'Modelo Tarifário'!$E$38),(Y8*'Modelo Tarifário'!$C$61*'Modelo Tarifário'!$E$38)*('Premissas Economias e Água'!Z394),('Premissas Economias e Água'!Z254*12*'Modelo Tarifário'!$D$29*'Modelo Tarifário'!$C$61*'Modelo Tarifário'!$E$38))</f>
        <v>226678.19232112594</v>
      </c>
      <c r="Z109" s="1340">
        <f>IF(((Z8*'Modelo Tarifário'!$C$61*'Modelo Tarifário'!$E$38)*('Premissas Economias e Água'!AA394))&gt;('Premissas Economias e Água'!AA254*12*'Modelo Tarifário'!$D$29*'Modelo Tarifário'!$C$61*'Modelo Tarifário'!$E$38),(Z8*'Modelo Tarifário'!$C$61*'Modelo Tarifário'!$E$38)*('Premissas Economias e Água'!AA394),('Premissas Economias e Água'!AA254*12*'Modelo Tarifário'!$D$29*'Modelo Tarifário'!$C$61*'Modelo Tarifário'!$E$38))</f>
        <v>227444.37450769125</v>
      </c>
      <c r="AA109" s="1340">
        <f>IF(((AA8*'Modelo Tarifário'!$C$61*'Modelo Tarifário'!$E$38)*('Premissas Economias e Água'!AB394))&gt;('Premissas Economias e Água'!AB254*12*'Modelo Tarifário'!$D$29*'Modelo Tarifário'!$C$61*'Modelo Tarifário'!$E$38),(AA8*'Modelo Tarifário'!$C$61*'Modelo Tarifário'!$E$38)*('Premissas Economias e Água'!AB394),('Premissas Economias e Água'!AB254*12*'Modelo Tarifário'!$D$29*'Modelo Tarifário'!$C$61*'Modelo Tarifário'!$E$38))</f>
        <v>228210.55669425658</v>
      </c>
      <c r="AB109" s="1340">
        <f>IF(((AB8*'Modelo Tarifário'!$C$61*'Modelo Tarifário'!$E$38)*('Premissas Economias e Água'!AC394))&gt;('Premissas Economias e Água'!AC254*12*'Modelo Tarifário'!$D$29*'Modelo Tarifário'!$C$61*'Modelo Tarifário'!$E$38),(AB8*'Modelo Tarifário'!$C$61*'Modelo Tarifário'!$E$38)*('Premissas Economias e Água'!AC394),('Premissas Economias e Água'!AC254*12*'Modelo Tarifário'!$D$29*'Modelo Tarifário'!$C$61*'Modelo Tarifário'!$E$38))</f>
        <v>228976.73888082188</v>
      </c>
      <c r="AC109" s="1340">
        <f>IF(((AC8*'Modelo Tarifário'!$C$61*'Modelo Tarifário'!$E$38)*('Premissas Economias e Água'!AD394))&gt;('Premissas Economias e Água'!AD254*12*'Modelo Tarifário'!$D$29*'Modelo Tarifário'!$C$61*'Modelo Tarifário'!$E$38),(AC8*'Modelo Tarifário'!$C$61*'Modelo Tarifário'!$E$38)*('Premissas Economias e Água'!AD394),('Premissas Economias e Água'!AD254*12*'Modelo Tarifário'!$D$29*'Modelo Tarifário'!$C$61*'Modelo Tarifário'!$E$38))</f>
        <v>229742.92106738716</v>
      </c>
      <c r="AD109" s="1340">
        <f>IF(((AD8*'Modelo Tarifário'!$C$61*'Modelo Tarifário'!$E$38)*('Premissas Economias e Água'!AE394))&gt;('Premissas Economias e Água'!AE254*12*'Modelo Tarifário'!$D$29*'Modelo Tarifário'!$C$61*'Modelo Tarifário'!$E$38),(AD8*'Modelo Tarifário'!$C$61*'Modelo Tarifário'!$E$38)*('Premissas Economias e Água'!AE394),('Premissas Economias e Água'!AE254*12*'Modelo Tarifário'!$D$29*'Modelo Tarifário'!$C$61*'Modelo Tarifário'!$E$38))</f>
        <v>230509.10325395249</v>
      </c>
      <c r="AE109" s="1340">
        <f>IF(((AE8*'Modelo Tarifário'!$C$61*'Modelo Tarifário'!$E$38)*('Premissas Economias e Água'!AF394))&gt;('Premissas Economias e Água'!AF254*12*'Modelo Tarifário'!$D$29*'Modelo Tarifário'!$C$61*'Modelo Tarifário'!$E$38),(AE8*'Modelo Tarifário'!$C$61*'Modelo Tarifário'!$E$38)*('Premissas Economias e Água'!AF394),('Premissas Economias e Água'!AF254*12*'Modelo Tarifário'!$D$29*'Modelo Tarifário'!$C$61*'Modelo Tarifário'!$E$38))</f>
        <v>231275.28544051779</v>
      </c>
      <c r="AF109" s="1340">
        <f>IF(((AF8*'Modelo Tarifário'!$C$61*'Modelo Tarifário'!$E$38)*('Premissas Economias e Água'!AG394))&gt;('Premissas Economias e Água'!AG254*12*'Modelo Tarifário'!$D$29*'Modelo Tarifário'!$C$61*'Modelo Tarifário'!$E$38),(AF8*'Modelo Tarifário'!$C$61*'Modelo Tarifário'!$E$38)*('Premissas Economias e Água'!AG394),('Premissas Economias e Água'!AG254*12*'Modelo Tarifário'!$D$29*'Modelo Tarifário'!$C$61*'Modelo Tarifário'!$E$38))</f>
        <v>232041.46762708313</v>
      </c>
      <c r="AG109" s="1340">
        <f>IF(((AG8*'Modelo Tarifário'!$C$61*'Modelo Tarifário'!$E$38)*('Premissas Economias e Água'!AH394))&gt;('Premissas Economias e Água'!AH254*12*'Modelo Tarifário'!$D$29*'Modelo Tarifário'!$C$61*'Modelo Tarifário'!$E$38),(AG8*'Modelo Tarifário'!$C$61*'Modelo Tarifário'!$E$38)*('Premissas Economias e Água'!AH394),('Premissas Economias e Água'!AH254*12*'Modelo Tarifário'!$D$29*'Modelo Tarifário'!$C$61*'Modelo Tarifário'!$E$38))</f>
        <v>232807.64981364843</v>
      </c>
      <c r="AH109" s="1340">
        <f>IF(((AH8*'Modelo Tarifário'!$C$61*'Modelo Tarifário'!$E$38)*('Premissas Economias e Água'!AI394))&gt;('Premissas Economias e Água'!AI254*12*'Modelo Tarifário'!$D$29*'Modelo Tarifário'!$C$61*'Modelo Tarifário'!$E$38),(AH8*'Modelo Tarifário'!$C$61*'Modelo Tarifário'!$E$38)*('Premissas Economias e Água'!AI394),('Premissas Economias e Água'!AI254*12*'Modelo Tarifário'!$D$29*'Modelo Tarifário'!$C$61*'Modelo Tarifário'!$E$38))</f>
        <v>233573.83200021373</v>
      </c>
    </row>
    <row r="110" spans="2:34" s="79" customFormat="1" ht="12" hidden="1" outlineLevel="1" x14ac:dyDescent="0.3">
      <c r="B110" s="1339"/>
      <c r="C110" s="1335" t="s">
        <v>280</v>
      </c>
      <c r="D110" s="1335"/>
      <c r="E110" s="1340">
        <f>IF(((E8*'Modelo Tarifário'!$C$61*'Modelo Tarifário'!$E$39)*('Premissas Economias e Água'!F395))&gt;('Premissas Economias e Água'!F255*12*'Modelo Tarifário'!$D$29*'Modelo Tarifário'!$C$61*'Modelo Tarifário'!$E$39),(E8*'Modelo Tarifário'!$C$61*'Modelo Tarifário'!$E$39)*('Premissas Economias e Água'!F395),('Premissas Economias e Água'!F255*12*'Modelo Tarifário'!$D$29*'Modelo Tarifário'!$C$61*'Modelo Tarifário'!$E$39))</f>
        <v>183662.00157809796</v>
      </c>
      <c r="F110" s="1340">
        <f>IF(((F8*'Modelo Tarifário'!$C$61*'Modelo Tarifário'!$E$39)*('Premissas Economias e Água'!G395))&gt;('Premissas Economias e Água'!G255*12*'Modelo Tarifário'!$D$29*'Modelo Tarifário'!$C$61*'Modelo Tarifário'!$E$39),(F8*'Modelo Tarifário'!$C$61*'Modelo Tarifário'!$E$39)*('Premissas Economias e Água'!G395),('Premissas Economias e Água'!G255*12*'Modelo Tarifário'!$D$29*'Modelo Tarifário'!$C$61*'Modelo Tarifário'!$E$39))</f>
        <v>185279.84795339903</v>
      </c>
      <c r="G110" s="1340">
        <f>IF(((G8*'Modelo Tarifário'!$C$61*'Modelo Tarifário'!$E$39)*('Premissas Economias e Água'!H395))&gt;('Premissas Economias e Água'!H255*12*'Modelo Tarifário'!$D$29*'Modelo Tarifário'!$C$61*'Modelo Tarifário'!$E$39),(G8*'Modelo Tarifário'!$C$61*'Modelo Tarifário'!$E$39)*('Premissas Economias e Água'!H395),('Premissas Economias e Água'!H255*12*'Modelo Tarifário'!$D$29*'Modelo Tarifário'!$C$61*'Modelo Tarifário'!$E$39))</f>
        <v>186897.6943287001</v>
      </c>
      <c r="H110" s="1340">
        <f>IF(((H8*'Modelo Tarifário'!$C$61*'Modelo Tarifário'!$E$39)*('Premissas Economias e Água'!I395))&gt;('Premissas Economias e Água'!I255*12*'Modelo Tarifário'!$D$29*'Modelo Tarifário'!$C$61*'Modelo Tarifário'!$E$39),(H8*'Modelo Tarifário'!$C$61*'Modelo Tarifário'!$E$39)*('Premissas Economias e Água'!I395),('Premissas Economias e Água'!I255*12*'Modelo Tarifário'!$D$29*'Modelo Tarifário'!$C$61*'Modelo Tarifário'!$E$39))</f>
        <v>188515.54070400118</v>
      </c>
      <c r="I110" s="1340">
        <f>IF(((I8*'Modelo Tarifário'!$C$61*'Modelo Tarifário'!$E$39)*('Premissas Economias e Água'!J395))&gt;('Premissas Economias e Água'!J255*12*'Modelo Tarifário'!$D$29*'Modelo Tarifário'!$C$61*'Modelo Tarifário'!$E$39),(I8*'Modelo Tarifário'!$C$61*'Modelo Tarifário'!$E$39)*('Premissas Economias e Água'!J395),('Premissas Economias e Água'!J255*12*'Modelo Tarifário'!$D$29*'Modelo Tarifário'!$C$61*'Modelo Tarifário'!$E$39))</f>
        <v>190133.38707930222</v>
      </c>
      <c r="J110" s="1340">
        <f>IF(((J8*'Modelo Tarifário'!$C$61*'Modelo Tarifário'!$E$39)*('Premissas Economias e Água'!K395))&gt;('Premissas Economias e Água'!K255*12*'Modelo Tarifário'!$D$29*'Modelo Tarifário'!$C$61*'Modelo Tarifário'!$E$39),(J8*'Modelo Tarifário'!$C$61*'Modelo Tarifário'!$E$39)*('Premissas Economias e Água'!K395),('Premissas Economias e Água'!K255*12*'Modelo Tarifário'!$D$29*'Modelo Tarifário'!$C$61*'Modelo Tarifário'!$E$39))</f>
        <v>191780.38383974388</v>
      </c>
      <c r="K110" s="1340">
        <f>IF(((K8*'Modelo Tarifário'!$C$61*'Modelo Tarifário'!$E$39)*('Premissas Economias e Água'!L395))&gt;('Premissas Economias e Água'!L255*12*'Modelo Tarifário'!$D$29*'Modelo Tarifário'!$C$61*'Modelo Tarifário'!$E$39),(K8*'Modelo Tarifário'!$C$61*'Modelo Tarifário'!$E$39)*('Premissas Economias e Água'!L395),('Premissas Economias e Água'!L255*12*'Modelo Tarifário'!$D$29*'Modelo Tarifário'!$C$61*'Modelo Tarifário'!$E$39))</f>
        <v>193150.45194135021</v>
      </c>
      <c r="L110" s="1340">
        <f>IF(((L8*'Modelo Tarifário'!$C$61*'Modelo Tarifário'!$E$39)*('Premissas Economias e Água'!M395))&gt;('Premissas Economias e Água'!M255*12*'Modelo Tarifário'!$D$29*'Modelo Tarifário'!$C$61*'Modelo Tarifário'!$E$39),(L8*'Modelo Tarifário'!$C$61*'Modelo Tarifário'!$E$39)*('Premissas Economias e Água'!M395),('Premissas Economias e Água'!M255*12*'Modelo Tarifário'!$D$29*'Modelo Tarifário'!$C$61*'Modelo Tarifário'!$E$39))</f>
        <v>194520.52004295652</v>
      </c>
      <c r="M110" s="1340">
        <f>IF(((M8*'Modelo Tarifário'!$C$61*'Modelo Tarifário'!$E$39)*('Premissas Economias e Água'!N395))&gt;('Premissas Economias e Água'!N255*12*'Modelo Tarifário'!$D$29*'Modelo Tarifário'!$C$61*'Modelo Tarifário'!$E$39),(M8*'Modelo Tarifário'!$C$61*'Modelo Tarifário'!$E$39)*('Premissas Economias e Água'!N395),('Premissas Economias e Água'!N255*12*'Modelo Tarifário'!$D$29*'Modelo Tarifário'!$C$61*'Modelo Tarifário'!$E$39))</f>
        <v>195890.58814456285</v>
      </c>
      <c r="N110" s="1340">
        <f>IF(((N8*'Modelo Tarifário'!$C$61*'Modelo Tarifário'!$E$39)*('Premissas Economias e Água'!O395))&gt;('Premissas Economias e Água'!O255*12*'Modelo Tarifário'!$D$29*'Modelo Tarifário'!$C$61*'Modelo Tarifário'!$E$39),(N8*'Modelo Tarifário'!$C$61*'Modelo Tarifário'!$E$39)*('Premissas Economias e Água'!O395),('Premissas Economias e Água'!O255*12*'Modelo Tarifário'!$D$29*'Modelo Tarifário'!$C$61*'Modelo Tarifário'!$E$39))</f>
        <v>197260.65624616915</v>
      </c>
      <c r="O110" s="1340">
        <f>IF(((O8*'Modelo Tarifário'!$C$61*'Modelo Tarifário'!$E$39)*('Premissas Economias e Água'!P395))&gt;('Premissas Economias e Água'!P255*12*'Modelo Tarifário'!$D$29*'Modelo Tarifário'!$C$61*'Modelo Tarifário'!$E$39),(O8*'Modelo Tarifário'!$C$61*'Modelo Tarifário'!$E$39)*('Premissas Economias e Água'!P395),('Premissas Economias e Água'!P255*12*'Modelo Tarifário'!$D$29*'Modelo Tarifário'!$C$61*'Modelo Tarifário'!$E$39))</f>
        <v>198616.1491552052</v>
      </c>
      <c r="P110" s="1340">
        <f>IF(((P8*'Modelo Tarifário'!$C$61*'Modelo Tarifário'!$E$39)*('Premissas Economias e Água'!Q395))&gt;('Premissas Economias e Água'!Q255*12*'Modelo Tarifário'!$D$29*'Modelo Tarifário'!$C$61*'Modelo Tarifário'!$E$39),(P8*'Modelo Tarifário'!$C$61*'Modelo Tarifário'!$E$39)*('Premissas Economias e Água'!Q395),('Premissas Economias e Água'!Q255*12*'Modelo Tarifário'!$D$29*'Modelo Tarifário'!$C$61*'Modelo Tarifário'!$E$39))</f>
        <v>199578.1118648437</v>
      </c>
      <c r="Q110" s="1340">
        <f>IF(((Q8*'Modelo Tarifário'!$C$61*'Modelo Tarifário'!$E$39)*('Premissas Economias e Água'!R395))&gt;('Premissas Economias e Água'!R255*12*'Modelo Tarifário'!$D$29*'Modelo Tarifário'!$C$61*'Modelo Tarifário'!$E$39),(Q8*'Modelo Tarifário'!$C$61*'Modelo Tarifário'!$E$39)*('Premissas Economias e Água'!R395),('Premissas Economias e Água'!R255*12*'Modelo Tarifário'!$D$29*'Modelo Tarifário'!$C$61*'Modelo Tarifário'!$E$39))</f>
        <v>200540.0745744821</v>
      </c>
      <c r="R110" s="1340">
        <f>IF(((R8*'Modelo Tarifário'!$C$61*'Modelo Tarifário'!$E$39)*('Premissas Economias e Água'!S395))&gt;('Premissas Economias e Água'!S255*12*'Modelo Tarifário'!$D$29*'Modelo Tarifário'!$C$61*'Modelo Tarifário'!$E$39),(R8*'Modelo Tarifário'!$C$61*'Modelo Tarifário'!$E$39)*('Premissas Economias e Água'!S395),('Premissas Economias e Água'!S255*12*'Modelo Tarifário'!$D$29*'Modelo Tarifário'!$C$61*'Modelo Tarifário'!$E$39))</f>
        <v>201502.03728412063</v>
      </c>
      <c r="S110" s="1340">
        <f>IF(((S8*'Modelo Tarifário'!$C$61*'Modelo Tarifário'!$E$39)*('Premissas Economias e Água'!T395))&gt;('Premissas Economias e Água'!T255*12*'Modelo Tarifário'!$D$29*'Modelo Tarifário'!$C$61*'Modelo Tarifário'!$E$39),(S8*'Modelo Tarifário'!$C$61*'Modelo Tarifário'!$E$39)*('Premissas Economias e Água'!T395),('Premissas Economias e Água'!T255*12*'Modelo Tarifário'!$D$29*'Modelo Tarifário'!$C$61*'Modelo Tarifário'!$E$39))</f>
        <v>202463.99999375909</v>
      </c>
      <c r="T110" s="1340">
        <f>IF(((T8*'Modelo Tarifário'!$C$61*'Modelo Tarifário'!$E$39)*('Premissas Economias e Água'!U395))&gt;('Premissas Economias e Água'!U255*12*'Modelo Tarifário'!$D$29*'Modelo Tarifário'!$C$61*'Modelo Tarifário'!$E$39),(T8*'Modelo Tarifário'!$C$61*'Modelo Tarifário'!$E$39)*('Premissas Economias e Água'!U395),('Premissas Economias e Água'!U255*12*'Modelo Tarifário'!$D$29*'Modelo Tarifário'!$C$61*'Modelo Tarifário'!$E$39))</f>
        <v>203455.11308853814</v>
      </c>
      <c r="U110" s="1340">
        <f>IF(((U8*'Modelo Tarifário'!$C$61*'Modelo Tarifário'!$E$39)*('Premissas Economias e Água'!V395))&gt;('Premissas Economias e Água'!V255*12*'Modelo Tarifário'!$D$29*'Modelo Tarifário'!$C$61*'Modelo Tarifário'!$E$39),(U8*'Modelo Tarifário'!$C$61*'Modelo Tarifário'!$E$39)*('Premissas Economias e Água'!V395),('Premissas Economias e Água'!V255*12*'Modelo Tarifário'!$D$29*'Modelo Tarifário'!$C$61*'Modelo Tarifário'!$E$39))</f>
        <v>204154.72233191159</v>
      </c>
      <c r="V110" s="1340">
        <f>IF(((V8*'Modelo Tarifário'!$C$61*'Modelo Tarifário'!$E$39)*('Premissas Economias e Água'!W395))&gt;('Premissas Economias e Água'!W255*12*'Modelo Tarifário'!$D$29*'Modelo Tarifário'!$C$61*'Modelo Tarifário'!$E$39),(V8*'Modelo Tarifário'!$C$61*'Modelo Tarifário'!$E$39)*('Premissas Economias e Água'!W395),('Premissas Economias e Água'!W255*12*'Modelo Tarifário'!$D$29*'Modelo Tarifário'!$C$61*'Modelo Tarifário'!$E$39))</f>
        <v>204854.33157528503</v>
      </c>
      <c r="W110" s="1340">
        <f>IF(((W8*'Modelo Tarifário'!$C$61*'Modelo Tarifário'!$E$39)*('Premissas Economias e Água'!X395))&gt;('Premissas Economias e Água'!X255*12*'Modelo Tarifário'!$D$29*'Modelo Tarifário'!$C$61*'Modelo Tarifário'!$E$39),(W8*'Modelo Tarifário'!$C$61*'Modelo Tarifário'!$E$39)*('Premissas Economias e Água'!X395),('Premissas Economias e Água'!X255*12*'Modelo Tarifário'!$D$29*'Modelo Tarifário'!$C$61*'Modelo Tarifário'!$E$39))</f>
        <v>205553.94081865845</v>
      </c>
      <c r="X110" s="1340">
        <f>IF(((X8*'Modelo Tarifário'!$C$61*'Modelo Tarifário'!$E$39)*('Premissas Economias e Água'!Y395))&gt;('Premissas Economias e Água'!Y255*12*'Modelo Tarifário'!$D$29*'Modelo Tarifário'!$C$61*'Modelo Tarifário'!$E$39),(X8*'Modelo Tarifário'!$C$61*'Modelo Tarifário'!$E$39)*('Premissas Economias e Água'!Y395),('Premissas Economias e Água'!Y255*12*'Modelo Tarifário'!$D$29*'Modelo Tarifário'!$C$61*'Modelo Tarifário'!$E$39))</f>
        <v>206253.55006203189</v>
      </c>
      <c r="Y110" s="1340">
        <f>IF(((Y8*'Modelo Tarifário'!$C$61*'Modelo Tarifário'!$E$39)*('Premissas Economias e Água'!Z395))&gt;('Premissas Economias e Água'!Z255*12*'Modelo Tarifário'!$D$29*'Modelo Tarifário'!$C$61*'Modelo Tarifário'!$E$39),(Y8*'Modelo Tarifário'!$C$61*'Modelo Tarifário'!$E$39)*('Premissas Economias e Água'!Z395),('Premissas Economias e Água'!Z255*12*'Modelo Tarifário'!$D$29*'Modelo Tarifário'!$C$61*'Modelo Tarifário'!$E$39))</f>
        <v>206982.3096905459</v>
      </c>
      <c r="Z110" s="1340">
        <f>IF(((Z8*'Modelo Tarifário'!$C$61*'Modelo Tarifário'!$E$39)*('Premissas Economias e Água'!AA395))&gt;('Premissas Economias e Água'!AA255*12*'Modelo Tarifário'!$D$29*'Modelo Tarifário'!$C$61*'Modelo Tarifário'!$E$39),(Z8*'Modelo Tarifário'!$C$61*'Modelo Tarifário'!$E$39)*('Premissas Economias e Água'!AA395),('Premissas Economias e Água'!AA255*12*'Modelo Tarifário'!$D$29*'Modelo Tarifário'!$C$61*'Modelo Tarifário'!$E$39))</f>
        <v>207681.91893391934</v>
      </c>
      <c r="AA110" s="1340">
        <f>IF(((AA8*'Modelo Tarifário'!$C$61*'Modelo Tarifário'!$E$39)*('Premissas Economias e Água'!AB395))&gt;('Premissas Economias e Água'!AB255*12*'Modelo Tarifário'!$D$29*'Modelo Tarifário'!$C$61*'Modelo Tarifário'!$E$39),(AA8*'Modelo Tarifário'!$C$61*'Modelo Tarifário'!$E$39)*('Premissas Economias e Água'!AB395),('Premissas Economias e Água'!AB255*12*'Modelo Tarifário'!$D$29*'Modelo Tarifário'!$C$61*'Modelo Tarifário'!$E$39))</f>
        <v>208381.52817729281</v>
      </c>
      <c r="AB110" s="1340">
        <f>IF(((AB8*'Modelo Tarifário'!$C$61*'Modelo Tarifário'!$E$39)*('Premissas Economias e Água'!AC395))&gt;('Premissas Economias e Água'!AC255*12*'Modelo Tarifário'!$D$29*'Modelo Tarifário'!$C$61*'Modelo Tarifário'!$E$39),(AB8*'Modelo Tarifário'!$C$61*'Modelo Tarifário'!$E$39)*('Premissas Economias e Água'!AC395),('Premissas Economias e Água'!AC255*12*'Modelo Tarifário'!$D$29*'Modelo Tarifário'!$C$61*'Modelo Tarifário'!$E$39))</f>
        <v>209081.13742066623</v>
      </c>
      <c r="AC110" s="1340">
        <f>IF(((AC8*'Modelo Tarifário'!$C$61*'Modelo Tarifário'!$E$39)*('Premissas Economias e Água'!AD395))&gt;('Premissas Economias e Água'!AD255*12*'Modelo Tarifário'!$D$29*'Modelo Tarifário'!$C$61*'Modelo Tarifário'!$E$39),(AC8*'Modelo Tarifário'!$C$61*'Modelo Tarifário'!$E$39)*('Premissas Economias e Água'!AD395),('Premissas Economias e Água'!AD255*12*'Modelo Tarifário'!$D$29*'Modelo Tarifário'!$C$61*'Modelo Tarifário'!$E$39))</f>
        <v>209780.74666403965</v>
      </c>
      <c r="AD110" s="1340">
        <f>IF(((AD8*'Modelo Tarifário'!$C$61*'Modelo Tarifário'!$E$39)*('Premissas Economias e Água'!AE395))&gt;('Premissas Economias e Água'!AE255*12*'Modelo Tarifário'!$D$29*'Modelo Tarifário'!$C$61*'Modelo Tarifário'!$E$39),(AD8*'Modelo Tarifário'!$C$61*'Modelo Tarifário'!$E$39)*('Premissas Economias e Água'!AE395),('Premissas Economias e Água'!AE255*12*'Modelo Tarifário'!$D$29*'Modelo Tarifário'!$C$61*'Modelo Tarifário'!$E$39))</f>
        <v>210480.35590741309</v>
      </c>
      <c r="AE110" s="1340">
        <f>IF(((AE8*'Modelo Tarifário'!$C$61*'Modelo Tarifário'!$E$39)*('Premissas Economias e Água'!AF395))&gt;('Premissas Economias e Água'!AF255*12*'Modelo Tarifário'!$D$29*'Modelo Tarifário'!$C$61*'Modelo Tarifário'!$E$39),(AE8*'Modelo Tarifário'!$C$61*'Modelo Tarifário'!$E$39)*('Premissas Economias e Água'!AF395),('Premissas Economias e Água'!AF255*12*'Modelo Tarifário'!$D$29*'Modelo Tarifário'!$C$61*'Modelo Tarifário'!$E$39))</f>
        <v>211179.96515078651</v>
      </c>
      <c r="AF110" s="1340">
        <f>IF(((AF8*'Modelo Tarifário'!$C$61*'Modelo Tarifário'!$E$39)*('Premissas Economias e Água'!AG395))&gt;('Premissas Economias e Água'!AG255*12*'Modelo Tarifário'!$D$29*'Modelo Tarifário'!$C$61*'Modelo Tarifário'!$E$39),(AF8*'Modelo Tarifário'!$C$61*'Modelo Tarifário'!$E$39)*('Premissas Economias e Água'!AG395),('Premissas Economias e Água'!AG255*12*'Modelo Tarifário'!$D$29*'Modelo Tarifário'!$C$61*'Modelo Tarifário'!$E$39))</f>
        <v>211879.57439416001</v>
      </c>
      <c r="AG110" s="1340">
        <f>IF(((AG8*'Modelo Tarifário'!$C$61*'Modelo Tarifário'!$E$39)*('Premissas Economias e Água'!AH395))&gt;('Premissas Economias e Água'!AH255*12*'Modelo Tarifário'!$D$29*'Modelo Tarifário'!$C$61*'Modelo Tarifário'!$E$39),(AG8*'Modelo Tarifário'!$C$61*'Modelo Tarifário'!$E$39)*('Premissas Economias e Água'!AH395),('Premissas Economias e Água'!AH255*12*'Modelo Tarifário'!$D$29*'Modelo Tarifário'!$C$61*'Modelo Tarifário'!$E$39))</f>
        <v>212579.18363753342</v>
      </c>
      <c r="AH110" s="1340">
        <f>IF(((AH8*'Modelo Tarifário'!$C$61*'Modelo Tarifário'!$E$39)*('Premissas Economias e Água'!AI395))&gt;('Premissas Economias e Água'!AI255*12*'Modelo Tarifário'!$D$29*'Modelo Tarifário'!$C$61*'Modelo Tarifário'!$E$39),(AH8*'Modelo Tarifário'!$C$61*'Modelo Tarifário'!$E$39)*('Premissas Economias e Água'!AI395),('Premissas Economias e Água'!AI255*12*'Modelo Tarifário'!$D$29*'Modelo Tarifário'!$C$61*'Modelo Tarifário'!$E$39))</f>
        <v>213278.79288090681</v>
      </c>
    </row>
    <row r="111" spans="2:34" s="79" customFormat="1" ht="12" hidden="1" outlineLevel="1" x14ac:dyDescent="0.3">
      <c r="B111" s="1339"/>
      <c r="C111" s="1335" t="s">
        <v>281</v>
      </c>
      <c r="D111" s="1335"/>
      <c r="E111" s="1340">
        <f>IF(((E8*'Modelo Tarifário'!$C$61*'Modelo Tarifário'!$E$40)*('Premissas Economias e Água'!F396))&gt;('Premissas Economias e Água'!F256*12*'Modelo Tarifário'!$D$29*'Modelo Tarifário'!$C$61*'Modelo Tarifário'!$E$40),(E8*'Modelo Tarifário'!$C$61*'Modelo Tarifário'!$E$40)*('Premissas Economias e Água'!F396),('Premissas Economias e Água'!F256*12*'Modelo Tarifário'!$D$29*'Modelo Tarifário'!$C$61*'Modelo Tarifário'!$E$40))</f>
        <v>131871.69979966429</v>
      </c>
      <c r="F111" s="1340">
        <f>IF(((F8*'Modelo Tarifário'!$C$61*'Modelo Tarifário'!$E$40)*('Premissas Economias e Água'!G396))&gt;('Premissas Economias e Água'!G256*12*'Modelo Tarifário'!$D$29*'Modelo Tarifário'!$C$61*'Modelo Tarifário'!$E$40),(F8*'Modelo Tarifário'!$C$61*'Modelo Tarifário'!$E$40)*('Premissas Economias e Água'!G396),('Premissas Economias e Água'!G256*12*'Modelo Tarifário'!$D$29*'Modelo Tarifário'!$C$61*'Modelo Tarifário'!$E$40))</f>
        <v>133033.33448562276</v>
      </c>
      <c r="G111" s="1340">
        <f>IF(((G8*'Modelo Tarifário'!$C$61*'Modelo Tarifário'!$E$40)*('Premissas Economias e Água'!H396))&gt;('Premissas Economias e Água'!H256*12*'Modelo Tarifário'!$D$29*'Modelo Tarifário'!$C$61*'Modelo Tarifário'!$E$40),(G8*'Modelo Tarifário'!$C$61*'Modelo Tarifário'!$E$40)*('Premissas Economias e Água'!H396),('Premissas Economias e Água'!H256*12*'Modelo Tarifário'!$D$29*'Modelo Tarifário'!$C$61*'Modelo Tarifário'!$E$40))</f>
        <v>134194.96917158127</v>
      </c>
      <c r="H111" s="1340">
        <f>IF(((H8*'Modelo Tarifário'!$C$61*'Modelo Tarifário'!$E$40)*('Premissas Economias e Água'!I396))&gt;('Premissas Economias e Água'!I256*12*'Modelo Tarifário'!$D$29*'Modelo Tarifário'!$C$61*'Modelo Tarifário'!$E$40),(H8*'Modelo Tarifário'!$C$61*'Modelo Tarifário'!$E$40)*('Premissas Economias e Água'!I396),('Premissas Economias e Água'!I256*12*'Modelo Tarifário'!$D$29*'Modelo Tarifário'!$C$61*'Modelo Tarifário'!$E$40))</f>
        <v>135356.60385753974</v>
      </c>
      <c r="I111" s="1340">
        <f>IF(((I8*'Modelo Tarifário'!$C$61*'Modelo Tarifário'!$E$40)*('Premissas Economias e Água'!J396))&gt;('Premissas Economias e Água'!J256*12*'Modelo Tarifário'!$D$29*'Modelo Tarifário'!$C$61*'Modelo Tarifário'!$E$40),(I8*'Modelo Tarifário'!$C$61*'Modelo Tarifário'!$E$40)*('Premissas Economias e Água'!J396),('Premissas Economias e Água'!J256*12*'Modelo Tarifário'!$D$29*'Modelo Tarifário'!$C$61*'Modelo Tarifário'!$E$40))</f>
        <v>136518.23854349818</v>
      </c>
      <c r="J111" s="1340">
        <f>IF(((J8*'Modelo Tarifário'!$C$61*'Modelo Tarifário'!$E$40)*('Premissas Economias e Água'!K396))&gt;('Premissas Economias e Água'!K256*12*'Modelo Tarifário'!$D$29*'Modelo Tarifário'!$C$61*'Modelo Tarifário'!$E$40),(J8*'Modelo Tarifário'!$C$61*'Modelo Tarifário'!$E$40)*('Premissas Economias e Água'!K396),('Premissas Economias e Água'!K256*12*'Modelo Tarifário'!$D$29*'Modelo Tarifário'!$C$61*'Modelo Tarifário'!$E$40))</f>
        <v>137700.80358415862</v>
      </c>
      <c r="K111" s="1340">
        <f>IF(((K8*'Modelo Tarifário'!$C$61*'Modelo Tarifário'!$E$40)*('Premissas Economias e Água'!L396))&gt;('Premissas Economias e Água'!L256*12*'Modelo Tarifário'!$D$29*'Modelo Tarifário'!$C$61*'Modelo Tarifário'!$E$40),(K8*'Modelo Tarifário'!$C$61*'Modelo Tarifário'!$E$40)*('Premissas Economias e Água'!L396),('Premissas Economias e Água'!L256*12*'Modelo Tarifário'!$D$29*'Modelo Tarifário'!$C$61*'Modelo Tarifário'!$E$40))</f>
        <v>138684.53025515049</v>
      </c>
      <c r="L111" s="1340">
        <f>IF(((L8*'Modelo Tarifário'!$C$61*'Modelo Tarifário'!$E$40)*('Premissas Economias e Água'!M396))&gt;('Premissas Economias e Água'!M256*12*'Modelo Tarifário'!$D$29*'Modelo Tarifário'!$C$61*'Modelo Tarifário'!$E$40),(L8*'Modelo Tarifário'!$C$61*'Modelo Tarifário'!$E$40)*('Premissas Economias e Água'!M396),('Premissas Economias e Água'!M256*12*'Modelo Tarifário'!$D$29*'Modelo Tarifário'!$C$61*'Modelo Tarifário'!$E$40))</f>
        <v>139668.25692614235</v>
      </c>
      <c r="M111" s="1340">
        <f>IF(((M8*'Modelo Tarifário'!$C$61*'Modelo Tarifário'!$E$40)*('Premissas Economias e Água'!N396))&gt;('Premissas Economias e Água'!N256*12*'Modelo Tarifário'!$D$29*'Modelo Tarifário'!$C$61*'Modelo Tarifário'!$E$40),(M8*'Modelo Tarifário'!$C$61*'Modelo Tarifário'!$E$40)*('Premissas Economias e Água'!N396),('Premissas Economias e Água'!N256*12*'Modelo Tarifário'!$D$29*'Modelo Tarifário'!$C$61*'Modelo Tarifário'!$E$40))</f>
        <v>140651.98359713421</v>
      </c>
      <c r="N111" s="1340">
        <f>IF(((N8*'Modelo Tarifário'!$C$61*'Modelo Tarifário'!$E$40)*('Premissas Economias e Água'!O396))&gt;('Premissas Economias e Água'!O256*12*'Modelo Tarifário'!$D$29*'Modelo Tarifário'!$C$61*'Modelo Tarifário'!$E$40),(N8*'Modelo Tarifário'!$C$61*'Modelo Tarifário'!$E$40)*('Premissas Economias e Água'!O396),('Premissas Economias e Água'!O256*12*'Modelo Tarifário'!$D$29*'Modelo Tarifário'!$C$61*'Modelo Tarifário'!$E$40))</f>
        <v>141635.71026812607</v>
      </c>
      <c r="O111" s="1340">
        <f>IF(((O8*'Modelo Tarifário'!$C$61*'Modelo Tarifário'!$E$40)*('Premissas Economias e Água'!P396))&gt;('Premissas Economias e Água'!P256*12*'Modelo Tarifário'!$D$29*'Modelo Tarifário'!$C$61*'Modelo Tarifário'!$E$40),(O8*'Modelo Tarifário'!$C$61*'Modelo Tarifário'!$E$40)*('Premissas Economias e Água'!P396),('Premissas Economias e Água'!P256*12*'Modelo Tarifário'!$D$29*'Modelo Tarifário'!$C$61*'Modelo Tarifário'!$E$40))</f>
        <v>142608.97176176697</v>
      </c>
      <c r="P111" s="1340">
        <f>IF(((P8*'Modelo Tarifário'!$C$61*'Modelo Tarifário'!$E$40)*('Premissas Economias e Água'!Q396))&gt;('Premissas Economias e Água'!Q256*12*'Modelo Tarifário'!$D$29*'Modelo Tarifário'!$C$61*'Modelo Tarifário'!$E$40),(P8*'Modelo Tarifário'!$C$61*'Modelo Tarifário'!$E$40)*('Premissas Economias e Água'!Q396),('Premissas Economias e Água'!Q256*12*'Modelo Tarifário'!$D$29*'Modelo Tarifário'!$C$61*'Modelo Tarifário'!$E$40))</f>
        <v>143299.67346693145</v>
      </c>
      <c r="Q111" s="1340">
        <f>IF(((Q8*'Modelo Tarifário'!$C$61*'Modelo Tarifário'!$E$40)*('Premissas Economias e Água'!R396))&gt;('Premissas Economias e Água'!R256*12*'Modelo Tarifário'!$D$29*'Modelo Tarifário'!$C$61*'Modelo Tarifário'!$E$40),(Q8*'Modelo Tarifário'!$C$61*'Modelo Tarifário'!$E$40)*('Premissas Economias e Água'!R396),('Premissas Economias e Água'!R256*12*'Modelo Tarifário'!$D$29*'Modelo Tarifário'!$C$61*'Modelo Tarifário'!$E$40))</f>
        <v>143990.37517209593</v>
      </c>
      <c r="R111" s="1340">
        <f>IF(((R8*'Modelo Tarifário'!$C$61*'Modelo Tarifário'!$E$40)*('Premissas Economias e Água'!S396))&gt;('Premissas Economias e Água'!S256*12*'Modelo Tarifário'!$D$29*'Modelo Tarifário'!$C$61*'Modelo Tarifário'!$E$40),(R8*'Modelo Tarifário'!$C$61*'Modelo Tarifário'!$E$40)*('Premissas Economias e Água'!S396),('Premissas Economias e Água'!S256*12*'Modelo Tarifário'!$D$29*'Modelo Tarifário'!$C$61*'Modelo Tarifário'!$E$40))</f>
        <v>144681.07687726046</v>
      </c>
      <c r="S111" s="1340">
        <f>IF(((S8*'Modelo Tarifário'!$C$61*'Modelo Tarifário'!$E$40)*('Premissas Economias e Água'!T396))&gt;('Premissas Economias e Água'!T256*12*'Modelo Tarifário'!$D$29*'Modelo Tarifário'!$C$61*'Modelo Tarifário'!$E$40),(S8*'Modelo Tarifário'!$C$61*'Modelo Tarifário'!$E$40)*('Premissas Economias e Água'!T396),('Premissas Economias e Água'!T256*12*'Modelo Tarifário'!$D$29*'Modelo Tarifário'!$C$61*'Modelo Tarifário'!$E$40))</f>
        <v>145371.77858242494</v>
      </c>
      <c r="T111" s="1340">
        <f>IF(((T8*'Modelo Tarifário'!$C$61*'Modelo Tarifário'!$E$40)*('Premissas Economias e Água'!U396))&gt;('Premissas Economias e Água'!U256*12*'Modelo Tarifário'!$D$29*'Modelo Tarifário'!$C$61*'Modelo Tarifário'!$E$40),(T8*'Modelo Tarifário'!$C$61*'Modelo Tarifário'!$E$40)*('Premissas Economias e Água'!U396),('Premissas Economias e Água'!U256*12*'Modelo Tarifário'!$D$29*'Modelo Tarifário'!$C$61*'Modelo Tarifário'!$E$40))</f>
        <v>146083.41064229142</v>
      </c>
      <c r="U111" s="1340">
        <f>IF(((U8*'Modelo Tarifário'!$C$61*'Modelo Tarifário'!$E$40)*('Premissas Economias e Água'!V396))&gt;('Premissas Economias e Água'!V256*12*'Modelo Tarifário'!$D$29*'Modelo Tarifário'!$C$61*'Modelo Tarifário'!$E$40),(U8*'Modelo Tarifário'!$C$61*'Modelo Tarifário'!$E$40)*('Premissas Economias e Água'!V396),('Premissas Economias e Água'!V256*12*'Modelo Tarifário'!$D$29*'Modelo Tarifário'!$C$61*'Modelo Tarifário'!$E$40))</f>
        <v>146585.73915513832</v>
      </c>
      <c r="V111" s="1340">
        <f>IF(((V8*'Modelo Tarifário'!$C$61*'Modelo Tarifário'!$E$40)*('Premissas Economias e Água'!W396))&gt;('Premissas Economias e Água'!W256*12*'Modelo Tarifário'!$D$29*'Modelo Tarifário'!$C$61*'Modelo Tarifário'!$E$40),(V8*'Modelo Tarifário'!$C$61*'Modelo Tarifário'!$E$40)*('Premissas Economias e Água'!W396),('Premissas Economias e Água'!W256*12*'Modelo Tarifário'!$D$29*'Modelo Tarifário'!$C$61*'Modelo Tarifário'!$E$40))</f>
        <v>147088.06766798522</v>
      </c>
      <c r="W111" s="1340">
        <f>IF(((W8*'Modelo Tarifário'!$C$61*'Modelo Tarifário'!$E$40)*('Premissas Economias e Água'!X396))&gt;('Premissas Economias e Água'!X256*12*'Modelo Tarifário'!$D$29*'Modelo Tarifário'!$C$61*'Modelo Tarifário'!$E$40),(W8*'Modelo Tarifário'!$C$61*'Modelo Tarifário'!$E$40)*('Premissas Economias e Água'!X396),('Premissas Economias e Água'!X256*12*'Modelo Tarifário'!$D$29*'Modelo Tarifário'!$C$61*'Modelo Tarifário'!$E$40))</f>
        <v>147590.39618083212</v>
      </c>
      <c r="X111" s="1340">
        <f>IF(((X8*'Modelo Tarifário'!$C$61*'Modelo Tarifário'!$E$40)*('Premissas Economias e Água'!Y396))&gt;('Premissas Economias e Água'!Y256*12*'Modelo Tarifário'!$D$29*'Modelo Tarifário'!$C$61*'Modelo Tarifário'!$E$40),(X8*'Modelo Tarifário'!$C$61*'Modelo Tarifário'!$E$40)*('Premissas Economias e Água'!Y396),('Premissas Economias e Água'!Y256*12*'Modelo Tarifário'!$D$29*'Modelo Tarifário'!$C$61*'Modelo Tarifário'!$E$40))</f>
        <v>148092.72469367902</v>
      </c>
      <c r="Y111" s="1340">
        <f>IF(((Y8*'Modelo Tarifário'!$C$61*'Modelo Tarifário'!$E$40)*('Premissas Economias e Água'!Z396))&gt;('Premissas Economias e Água'!Z256*12*'Modelo Tarifário'!$D$29*'Modelo Tarifário'!$C$61*'Modelo Tarifário'!$E$40),(Y8*'Modelo Tarifário'!$C$61*'Modelo Tarifário'!$E$40)*('Premissas Economias e Água'!Z396),('Premissas Economias e Água'!Z256*12*'Modelo Tarifário'!$D$29*'Modelo Tarifário'!$C$61*'Modelo Tarifário'!$E$40))</f>
        <v>148615.98356122791</v>
      </c>
      <c r="Z111" s="1340">
        <f>IF(((Z8*'Modelo Tarifário'!$C$61*'Modelo Tarifário'!$E$40)*('Premissas Economias e Água'!AA396))&gt;('Premissas Economias e Água'!AA256*12*'Modelo Tarifário'!$D$29*'Modelo Tarifário'!$C$61*'Modelo Tarifário'!$E$40),(Z8*'Modelo Tarifário'!$C$61*'Modelo Tarifário'!$E$40)*('Premissas Economias e Água'!AA396),('Premissas Economias e Água'!AA256*12*'Modelo Tarifário'!$D$29*'Modelo Tarifário'!$C$61*'Modelo Tarifário'!$E$40))</f>
        <v>149118.31207407481</v>
      </c>
      <c r="AA111" s="1340">
        <f>IF(((AA8*'Modelo Tarifário'!$C$61*'Modelo Tarifário'!$E$40)*('Premissas Economias e Água'!AB396))&gt;('Premissas Economias e Água'!AB256*12*'Modelo Tarifário'!$D$29*'Modelo Tarifário'!$C$61*'Modelo Tarifário'!$E$40),(AA8*'Modelo Tarifário'!$C$61*'Modelo Tarifário'!$E$40)*('Premissas Economias e Água'!AB396),('Premissas Economias e Água'!AB256*12*'Modelo Tarifário'!$D$29*'Modelo Tarifário'!$C$61*'Modelo Tarifário'!$E$40))</f>
        <v>149620.64058692171</v>
      </c>
      <c r="AB111" s="1340">
        <f>IF(((AB8*'Modelo Tarifário'!$C$61*'Modelo Tarifário'!$E$40)*('Premissas Economias e Água'!AC396))&gt;('Premissas Economias e Água'!AC256*12*'Modelo Tarifário'!$D$29*'Modelo Tarifário'!$C$61*'Modelo Tarifário'!$E$40),(AB8*'Modelo Tarifário'!$C$61*'Modelo Tarifário'!$E$40)*('Premissas Economias e Água'!AC396),('Premissas Economias e Água'!AC256*12*'Modelo Tarifário'!$D$29*'Modelo Tarifário'!$C$61*'Modelo Tarifário'!$E$40))</f>
        <v>150122.96909976861</v>
      </c>
      <c r="AC111" s="1340">
        <f>IF(((AC8*'Modelo Tarifário'!$C$61*'Modelo Tarifário'!$E$40)*('Premissas Economias e Água'!AD396))&gt;('Premissas Economias e Água'!AD256*12*'Modelo Tarifário'!$D$29*'Modelo Tarifário'!$C$61*'Modelo Tarifário'!$E$40),(AC8*'Modelo Tarifário'!$C$61*'Modelo Tarifário'!$E$40)*('Premissas Economias e Água'!AD396),('Premissas Economias e Água'!AD256*12*'Modelo Tarifário'!$D$29*'Modelo Tarifário'!$C$61*'Modelo Tarifário'!$E$40))</f>
        <v>150625.29761261551</v>
      </c>
      <c r="AD111" s="1340">
        <f>IF(((AD8*'Modelo Tarifário'!$C$61*'Modelo Tarifário'!$E$40)*('Premissas Economias e Água'!AE396))&gt;('Premissas Economias e Água'!AE256*12*'Modelo Tarifário'!$D$29*'Modelo Tarifário'!$C$61*'Modelo Tarifário'!$E$40),(AD8*'Modelo Tarifário'!$C$61*'Modelo Tarifário'!$E$40)*('Premissas Economias e Água'!AE396),('Premissas Economias e Água'!AE256*12*'Modelo Tarifário'!$D$29*'Modelo Tarifário'!$C$61*'Modelo Tarifário'!$E$40))</f>
        <v>151127.62612546241</v>
      </c>
      <c r="AE111" s="1340">
        <f>IF(((AE8*'Modelo Tarifário'!$C$61*'Modelo Tarifário'!$E$40)*('Premissas Economias e Água'!AF396))&gt;('Premissas Economias e Água'!AF256*12*'Modelo Tarifário'!$D$29*'Modelo Tarifário'!$C$61*'Modelo Tarifário'!$E$40),(AE8*'Modelo Tarifário'!$C$61*'Modelo Tarifário'!$E$40)*('Premissas Economias e Água'!AF396),('Premissas Economias e Água'!AF256*12*'Modelo Tarifário'!$D$29*'Modelo Tarifário'!$C$61*'Modelo Tarifário'!$E$40))</f>
        <v>151629.95463830931</v>
      </c>
      <c r="AF111" s="1340">
        <f>IF(((AF8*'Modelo Tarifário'!$C$61*'Modelo Tarifário'!$E$40)*('Premissas Economias e Água'!AG396))&gt;('Premissas Economias e Água'!AG256*12*'Modelo Tarifário'!$D$29*'Modelo Tarifário'!$C$61*'Modelo Tarifário'!$E$40),(AF8*'Modelo Tarifário'!$C$61*'Modelo Tarifário'!$E$40)*('Premissas Economias e Água'!AG396),('Premissas Economias e Água'!AG256*12*'Modelo Tarifário'!$D$29*'Modelo Tarifário'!$C$61*'Modelo Tarifário'!$E$40))</f>
        <v>152132.28315115627</v>
      </c>
      <c r="AG111" s="1340">
        <f>IF(((AG8*'Modelo Tarifário'!$C$61*'Modelo Tarifário'!$E$40)*('Premissas Economias e Água'!AH396))&gt;('Premissas Economias e Água'!AH256*12*'Modelo Tarifário'!$D$29*'Modelo Tarifário'!$C$61*'Modelo Tarifário'!$E$40),(AG8*'Modelo Tarifário'!$C$61*'Modelo Tarifário'!$E$40)*('Premissas Economias e Água'!AH396),('Premissas Economias e Água'!AH256*12*'Modelo Tarifário'!$D$29*'Modelo Tarifário'!$C$61*'Modelo Tarifário'!$E$40))</f>
        <v>152634.61166400317</v>
      </c>
      <c r="AH111" s="1340">
        <f>IF(((AH8*'Modelo Tarifário'!$C$61*'Modelo Tarifário'!$E$40)*('Premissas Economias e Água'!AI396))&gt;('Premissas Economias e Água'!AI256*12*'Modelo Tarifário'!$D$29*'Modelo Tarifário'!$C$61*'Modelo Tarifário'!$E$40),(AH8*'Modelo Tarifário'!$C$61*'Modelo Tarifário'!$E$40)*('Premissas Economias e Água'!AI396),('Premissas Economias e Água'!AI256*12*'Modelo Tarifário'!$D$29*'Modelo Tarifário'!$C$61*'Modelo Tarifário'!$E$40))</f>
        <v>153136.94017685004</v>
      </c>
    </row>
    <row r="112" spans="2:34" s="79" customFormat="1" ht="12" hidden="1" outlineLevel="1" x14ac:dyDescent="0.3">
      <c r="B112" s="1339"/>
      <c r="C112" s="1335" t="s">
        <v>282</v>
      </c>
      <c r="D112" s="1335"/>
      <c r="E112" s="1340">
        <f>IF(((E8*'Modelo Tarifário'!$C$61*'Modelo Tarifário'!$E$41)*('Premissas Economias e Água'!F397))&gt;('Premissas Economias e Água'!F257*12*'Modelo Tarifário'!$D$29*'Modelo Tarifário'!$C$61*'Modelo Tarifário'!$E$41),(E8*'Modelo Tarifário'!$C$61*'Modelo Tarifário'!$E$41)*('Premissas Economias e Água'!F397),('Premissas Economias e Água'!F257*12*'Modelo Tarifário'!$D$29*'Modelo Tarifário'!$C$61*'Modelo Tarifário'!$E$41))</f>
        <v>120076.47890387195</v>
      </c>
      <c r="F112" s="1340">
        <f>IF(((F8*'Modelo Tarifário'!$C$61*'Modelo Tarifário'!$E$41)*('Premissas Economias e Água'!G397))&gt;('Premissas Economias e Água'!G257*12*'Modelo Tarifário'!$D$29*'Modelo Tarifário'!$C$61*'Modelo Tarifário'!$E$41),(F8*'Modelo Tarifário'!$C$61*'Modelo Tarifário'!$E$41)*('Premissas Economias e Água'!G397),('Premissas Economias e Água'!G257*12*'Modelo Tarifário'!$D$29*'Modelo Tarifário'!$C$61*'Modelo Tarifário'!$E$41))</f>
        <v>121134.21155670346</v>
      </c>
      <c r="G112" s="1340">
        <f>IF(((G8*'Modelo Tarifário'!$C$61*'Modelo Tarifário'!$E$41)*('Premissas Economias e Água'!H397))&gt;('Premissas Economias e Água'!H257*12*'Modelo Tarifário'!$D$29*'Modelo Tarifário'!$C$61*'Modelo Tarifário'!$E$41),(G8*'Modelo Tarifário'!$C$61*'Modelo Tarifário'!$E$41)*('Premissas Economias e Água'!H397),('Premissas Economias e Água'!H257*12*'Modelo Tarifário'!$D$29*'Modelo Tarifário'!$C$61*'Modelo Tarifário'!$E$41))</f>
        <v>122191.94420953495</v>
      </c>
      <c r="H112" s="1340">
        <f>IF(((H8*'Modelo Tarifário'!$C$61*'Modelo Tarifário'!$E$41)*('Premissas Economias e Água'!I397))&gt;('Premissas Economias e Água'!I257*12*'Modelo Tarifário'!$D$29*'Modelo Tarifário'!$C$61*'Modelo Tarifário'!$E$41),(H8*'Modelo Tarifário'!$C$61*'Modelo Tarifário'!$E$41)*('Premissas Economias e Água'!I397),('Premissas Economias e Água'!I257*12*'Modelo Tarifário'!$D$29*'Modelo Tarifário'!$C$61*'Modelo Tarifário'!$E$41))</f>
        <v>123249.67686236647</v>
      </c>
      <c r="I112" s="1340">
        <f>IF(((I8*'Modelo Tarifário'!$C$61*'Modelo Tarifário'!$E$41)*('Premissas Economias e Água'!J397))&gt;('Premissas Economias e Água'!J257*12*'Modelo Tarifário'!$D$29*'Modelo Tarifário'!$C$61*'Modelo Tarifário'!$E$41),(I8*'Modelo Tarifário'!$C$61*'Modelo Tarifário'!$E$41)*('Premissas Economias e Água'!J397),('Premissas Economias e Água'!J257*12*'Modelo Tarifário'!$D$29*'Modelo Tarifário'!$C$61*'Modelo Tarifário'!$E$41))</f>
        <v>124307.40951519794</v>
      </c>
      <c r="J112" s="1340">
        <f>IF(((J8*'Modelo Tarifário'!$C$61*'Modelo Tarifário'!$E$41)*('Premissas Economias e Água'!K397))&gt;('Premissas Economias e Água'!K257*12*'Modelo Tarifário'!$D$29*'Modelo Tarifário'!$C$61*'Modelo Tarifário'!$E$41),(J8*'Modelo Tarifário'!$C$61*'Modelo Tarifário'!$E$41)*('Premissas Economias e Água'!K397),('Premissas Economias e Água'!K257*12*'Modelo Tarifário'!$D$29*'Modelo Tarifário'!$C$61*'Modelo Tarifário'!$E$41))</f>
        <v>125384.20041402642</v>
      </c>
      <c r="K112" s="1340">
        <f>IF(((K8*'Modelo Tarifário'!$C$61*'Modelo Tarifário'!$E$41)*('Premissas Economias e Água'!L397))&gt;('Premissas Economias e Água'!L257*12*'Modelo Tarifário'!$D$29*'Modelo Tarifário'!$C$61*'Modelo Tarifário'!$E$41),(K8*'Modelo Tarifário'!$C$61*'Modelo Tarifário'!$E$41)*('Premissas Economias e Água'!L397),('Premissas Economias e Água'!L257*12*'Modelo Tarifário'!$D$29*'Modelo Tarifário'!$C$61*'Modelo Tarifário'!$E$41))</f>
        <v>126279.93797588375</v>
      </c>
      <c r="L112" s="1340">
        <f>IF(((L8*'Modelo Tarifário'!$C$61*'Modelo Tarifário'!$E$41)*('Premissas Economias e Água'!M397))&gt;('Premissas Economias e Água'!M257*12*'Modelo Tarifário'!$D$29*'Modelo Tarifário'!$C$61*'Modelo Tarifário'!$E$41),(L8*'Modelo Tarifário'!$C$61*'Modelo Tarifário'!$E$41)*('Premissas Economias e Água'!M397),('Premissas Economias e Água'!M257*12*'Modelo Tarifário'!$D$29*'Modelo Tarifário'!$C$61*'Modelo Tarifário'!$E$41))</f>
        <v>127175.67553774104</v>
      </c>
      <c r="M112" s="1340">
        <f>IF(((M8*'Modelo Tarifário'!$C$61*'Modelo Tarifário'!$E$41)*('Premissas Economias e Água'!N397))&gt;('Premissas Economias e Água'!N257*12*'Modelo Tarifário'!$D$29*'Modelo Tarifário'!$C$61*'Modelo Tarifário'!$E$41),(M8*'Modelo Tarifário'!$C$61*'Modelo Tarifário'!$E$41)*('Premissas Economias e Água'!N397),('Premissas Economias e Água'!N257*12*'Modelo Tarifário'!$D$29*'Modelo Tarifário'!$C$61*'Modelo Tarifário'!$E$41))</f>
        <v>128071.41309959836</v>
      </c>
      <c r="N112" s="1340">
        <f>IF(((N8*'Modelo Tarifário'!$C$61*'Modelo Tarifário'!$E$41)*('Premissas Economias e Água'!O397))&gt;('Premissas Economias e Água'!O257*12*'Modelo Tarifário'!$D$29*'Modelo Tarifário'!$C$61*'Modelo Tarifário'!$E$41),(N8*'Modelo Tarifário'!$C$61*'Modelo Tarifário'!$E$41)*('Premissas Economias e Água'!O397),('Premissas Economias e Água'!O257*12*'Modelo Tarifário'!$D$29*'Modelo Tarifário'!$C$61*'Modelo Tarifário'!$E$41))</f>
        <v>128967.15066145566</v>
      </c>
      <c r="O112" s="1340">
        <f>IF(((O8*'Modelo Tarifário'!$C$61*'Modelo Tarifário'!$E$41)*('Premissas Economias e Água'!P397))&gt;('Premissas Economias e Água'!P257*12*'Modelo Tarifário'!$D$29*'Modelo Tarifário'!$C$61*'Modelo Tarifário'!$E$41),(O8*'Modelo Tarifário'!$C$61*'Modelo Tarifário'!$E$41)*('Premissas Economias e Água'!P397),('Premissas Economias e Água'!P257*12*'Modelo Tarifário'!$D$29*'Modelo Tarifário'!$C$61*'Modelo Tarifário'!$E$41))</f>
        <v>129853.3591003145</v>
      </c>
      <c r="P112" s="1340">
        <f>IF(((P8*'Modelo Tarifário'!$C$61*'Modelo Tarifário'!$E$41)*('Premissas Economias e Água'!Q397))&gt;('Premissas Economias e Água'!Q257*12*'Modelo Tarifário'!$D$29*'Modelo Tarifário'!$C$61*'Modelo Tarifário'!$E$41),(P8*'Modelo Tarifário'!$C$61*'Modelo Tarifário'!$E$41)*('Premissas Economias e Água'!Q397),('Premissas Economias e Água'!Q257*12*'Modelo Tarifário'!$D$29*'Modelo Tarifário'!$C$61*'Modelo Tarifário'!$E$41))</f>
        <v>130482.28121821431</v>
      </c>
      <c r="Q112" s="1340">
        <f>IF(((Q8*'Modelo Tarifário'!$C$61*'Modelo Tarifário'!$E$41)*('Premissas Economias e Água'!R397))&gt;('Premissas Economias e Água'!R257*12*'Modelo Tarifário'!$D$29*'Modelo Tarifário'!$C$61*'Modelo Tarifário'!$E$41),(Q8*'Modelo Tarifário'!$C$61*'Modelo Tarifário'!$E$41)*('Premissas Economias e Água'!R397),('Premissas Economias e Água'!R257*12*'Modelo Tarifário'!$D$29*'Modelo Tarifário'!$C$61*'Modelo Tarifário'!$E$41))</f>
        <v>131111.20333611412</v>
      </c>
      <c r="R112" s="1340">
        <f>IF(((R8*'Modelo Tarifário'!$C$61*'Modelo Tarifário'!$E$41)*('Premissas Economias e Água'!S397))&gt;('Premissas Economias e Água'!S257*12*'Modelo Tarifário'!$D$29*'Modelo Tarifário'!$C$61*'Modelo Tarifário'!$E$41),(R8*'Modelo Tarifário'!$C$61*'Modelo Tarifário'!$E$41)*('Premissas Economias e Água'!S397),('Premissas Economias e Água'!S257*12*'Modelo Tarifário'!$D$29*'Modelo Tarifário'!$C$61*'Modelo Tarifário'!$E$41))</f>
        <v>131740.12545401393</v>
      </c>
      <c r="S112" s="1340">
        <f>IF(((S8*'Modelo Tarifário'!$C$61*'Modelo Tarifário'!$E$41)*('Premissas Economias e Água'!T397))&gt;('Premissas Economias e Água'!T257*12*'Modelo Tarifário'!$D$29*'Modelo Tarifário'!$C$61*'Modelo Tarifário'!$E$41),(S8*'Modelo Tarifário'!$C$61*'Modelo Tarifário'!$E$41)*('Premissas Economias e Água'!T397),('Premissas Economias e Água'!T257*12*'Modelo Tarifário'!$D$29*'Modelo Tarifário'!$C$61*'Modelo Tarifário'!$E$41))</f>
        <v>132369.04757191375</v>
      </c>
      <c r="T112" s="1340">
        <f>IF(((T8*'Modelo Tarifário'!$C$61*'Modelo Tarifário'!$E$41)*('Premissas Economias e Água'!U397))&gt;('Premissas Economias e Água'!U257*12*'Modelo Tarifário'!$D$29*'Modelo Tarifário'!$C$61*'Modelo Tarifário'!$E$41),(T8*'Modelo Tarifário'!$C$61*'Modelo Tarifário'!$E$41)*('Premissas Economias e Água'!U397),('Premissas Economias e Água'!U257*12*'Modelo Tarifário'!$D$29*'Modelo Tarifário'!$C$61*'Modelo Tarifário'!$E$41))</f>
        <v>133017.02793581053</v>
      </c>
      <c r="U112" s="1340">
        <f>IF(((U8*'Modelo Tarifário'!$C$61*'Modelo Tarifário'!$E$41)*('Premissas Economias e Água'!V397))&gt;('Premissas Economias e Água'!V257*12*'Modelo Tarifário'!$D$29*'Modelo Tarifário'!$C$61*'Modelo Tarifário'!$E$41),(U8*'Modelo Tarifário'!$C$61*'Modelo Tarifário'!$E$41)*('Premissas Economias e Água'!V397),('Premissas Economias e Água'!V257*12*'Modelo Tarifário'!$D$29*'Modelo Tarifário'!$C$61*'Modelo Tarifário'!$E$41))</f>
        <v>133474.42583973767</v>
      </c>
      <c r="V112" s="1340">
        <f>IF(((V8*'Modelo Tarifário'!$C$61*'Modelo Tarifário'!$E$41)*('Premissas Economias e Água'!W397))&gt;('Premissas Economias e Água'!W257*12*'Modelo Tarifário'!$D$29*'Modelo Tarifário'!$C$61*'Modelo Tarifário'!$E$41),(V8*'Modelo Tarifário'!$C$61*'Modelo Tarifário'!$E$41)*('Premissas Economias e Água'!W397),('Premissas Economias e Água'!W257*12*'Modelo Tarifário'!$D$29*'Modelo Tarifário'!$C$61*'Modelo Tarifário'!$E$41))</f>
        <v>133931.82374366481</v>
      </c>
      <c r="W112" s="1340">
        <f>IF(((W8*'Modelo Tarifário'!$C$61*'Modelo Tarifário'!$E$41)*('Premissas Economias e Água'!X397))&gt;('Premissas Economias e Água'!X257*12*'Modelo Tarifário'!$D$29*'Modelo Tarifário'!$C$61*'Modelo Tarifário'!$E$41),(W8*'Modelo Tarifário'!$C$61*'Modelo Tarifário'!$E$41)*('Premissas Economias e Água'!X397),('Premissas Economias e Água'!X257*12*'Modelo Tarifário'!$D$29*'Modelo Tarifário'!$C$61*'Modelo Tarifário'!$E$41))</f>
        <v>134389.22164759191</v>
      </c>
      <c r="X112" s="1340">
        <f>IF(((X8*'Modelo Tarifário'!$C$61*'Modelo Tarifário'!$E$41)*('Premissas Economias e Água'!Y397))&gt;('Premissas Economias e Água'!Y257*12*'Modelo Tarifário'!$D$29*'Modelo Tarifário'!$C$61*'Modelo Tarifário'!$E$41),(X8*'Modelo Tarifário'!$C$61*'Modelo Tarifário'!$E$41)*('Premissas Economias e Água'!Y397),('Premissas Economias e Água'!Y257*12*'Modelo Tarifário'!$D$29*'Modelo Tarifário'!$C$61*'Modelo Tarifário'!$E$41))</f>
        <v>134846.61955151905</v>
      </c>
      <c r="Y112" s="1340">
        <f>IF(((Y8*'Modelo Tarifário'!$C$61*'Modelo Tarifário'!$E$41)*('Premissas Economias e Água'!Z397))&gt;('Premissas Economias e Água'!Z257*12*'Modelo Tarifário'!$D$29*'Modelo Tarifário'!$C$61*'Modelo Tarifário'!$E$41),(Y8*'Modelo Tarifário'!$C$61*'Modelo Tarifário'!$E$41)*('Premissas Economias e Água'!Z397),('Premissas Economias e Água'!Z257*12*'Modelo Tarifário'!$D$29*'Modelo Tarifário'!$C$61*'Modelo Tarifário'!$E$41))</f>
        <v>135323.07570144319</v>
      </c>
      <c r="Z112" s="1340">
        <f>IF(((Z8*'Modelo Tarifário'!$C$61*'Modelo Tarifário'!$E$41)*('Premissas Economias e Água'!AA397))&gt;('Premissas Economias e Água'!AA257*12*'Modelo Tarifário'!$D$29*'Modelo Tarifário'!$C$61*'Modelo Tarifário'!$E$41),(Z8*'Modelo Tarifário'!$C$61*'Modelo Tarifário'!$E$41)*('Premissas Economias e Água'!AA397),('Premissas Economias e Água'!AA257*12*'Modelo Tarifário'!$D$29*'Modelo Tarifário'!$C$61*'Modelo Tarifário'!$E$41))</f>
        <v>135780.47360537032</v>
      </c>
      <c r="AA112" s="1340">
        <f>IF(((AA8*'Modelo Tarifário'!$C$61*'Modelo Tarifário'!$E$41)*('Premissas Economias e Água'!AB397))&gt;('Premissas Economias e Água'!AB257*12*'Modelo Tarifário'!$D$29*'Modelo Tarifário'!$C$61*'Modelo Tarifário'!$E$41),(AA8*'Modelo Tarifário'!$C$61*'Modelo Tarifário'!$E$41)*('Premissas Economias e Água'!AB397),('Premissas Economias e Água'!AB257*12*'Modelo Tarifário'!$D$29*'Modelo Tarifário'!$C$61*'Modelo Tarifário'!$E$41))</f>
        <v>136237.87150929746</v>
      </c>
      <c r="AB112" s="1340">
        <f>IF(((AB8*'Modelo Tarifário'!$C$61*'Modelo Tarifário'!$E$41)*('Premissas Economias e Água'!AC397))&gt;('Premissas Economias e Água'!AC257*12*'Modelo Tarifário'!$D$29*'Modelo Tarifário'!$C$61*'Modelo Tarifário'!$E$41),(AB8*'Modelo Tarifário'!$C$61*'Modelo Tarifário'!$E$41)*('Premissas Economias e Água'!AC397),('Premissas Economias e Água'!AC257*12*'Modelo Tarifário'!$D$29*'Modelo Tarifário'!$C$61*'Modelo Tarifário'!$E$41))</f>
        <v>136695.2694132246</v>
      </c>
      <c r="AC112" s="1340">
        <f>IF(((AC8*'Modelo Tarifário'!$C$61*'Modelo Tarifário'!$E$41)*('Premissas Economias e Água'!AD397))&gt;('Premissas Economias e Água'!AD257*12*'Modelo Tarifário'!$D$29*'Modelo Tarifário'!$C$61*'Modelo Tarifário'!$E$41),(AC8*'Modelo Tarifário'!$C$61*'Modelo Tarifário'!$E$41)*('Premissas Economias e Água'!AD397),('Premissas Economias e Água'!AD257*12*'Modelo Tarifário'!$D$29*'Modelo Tarifário'!$C$61*'Modelo Tarifário'!$E$41))</f>
        <v>137152.6673171517</v>
      </c>
      <c r="AD112" s="1340">
        <f>IF(((AD8*'Modelo Tarifário'!$C$61*'Modelo Tarifário'!$E$41)*('Premissas Economias e Água'!AE397))&gt;('Premissas Economias e Água'!AE257*12*'Modelo Tarifário'!$D$29*'Modelo Tarifário'!$C$61*'Modelo Tarifário'!$E$41),(AD8*'Modelo Tarifário'!$C$61*'Modelo Tarifário'!$E$41)*('Premissas Economias e Água'!AE397),('Premissas Economias e Água'!AE257*12*'Modelo Tarifário'!$D$29*'Modelo Tarifário'!$C$61*'Modelo Tarifário'!$E$41))</f>
        <v>137610.06522107884</v>
      </c>
      <c r="AE112" s="1340">
        <f>IF(((AE8*'Modelo Tarifário'!$C$61*'Modelo Tarifário'!$E$41)*('Premissas Economias e Água'!AF397))&gt;('Premissas Economias e Água'!AF257*12*'Modelo Tarifário'!$D$29*'Modelo Tarifário'!$C$61*'Modelo Tarifário'!$E$41),(AE8*'Modelo Tarifário'!$C$61*'Modelo Tarifário'!$E$41)*('Premissas Economias e Água'!AF397),('Premissas Economias e Água'!AF257*12*'Modelo Tarifário'!$D$29*'Modelo Tarifário'!$C$61*'Modelo Tarifário'!$E$41))</f>
        <v>138067.46312500598</v>
      </c>
      <c r="AF112" s="1340">
        <f>IF(((AF8*'Modelo Tarifário'!$C$61*'Modelo Tarifário'!$E$41)*('Premissas Economias e Água'!AG397))&gt;('Premissas Economias e Água'!AG257*12*'Modelo Tarifário'!$D$29*'Modelo Tarifário'!$C$61*'Modelo Tarifário'!$E$41),(AF8*'Modelo Tarifário'!$C$61*'Modelo Tarifário'!$E$41)*('Premissas Economias e Água'!AG397),('Premissas Economias e Água'!AG257*12*'Modelo Tarifário'!$D$29*'Modelo Tarifário'!$C$61*'Modelo Tarifário'!$E$41))</f>
        <v>138524.86102893314</v>
      </c>
      <c r="AG112" s="1340">
        <f>IF(((AG8*'Modelo Tarifário'!$C$61*'Modelo Tarifário'!$E$41)*('Premissas Economias e Água'!AH397))&gt;('Premissas Economias e Água'!AH257*12*'Modelo Tarifário'!$D$29*'Modelo Tarifário'!$C$61*'Modelo Tarifário'!$E$41),(AG8*'Modelo Tarifário'!$C$61*'Modelo Tarifário'!$E$41)*('Premissas Economias e Água'!AH397),('Premissas Economias e Água'!AH257*12*'Modelo Tarifário'!$D$29*'Modelo Tarifário'!$C$61*'Modelo Tarifário'!$E$41))</f>
        <v>138982.25893286028</v>
      </c>
      <c r="AH112" s="1340">
        <f>IF(((AH8*'Modelo Tarifário'!$C$61*'Modelo Tarifário'!$E$41)*('Premissas Economias e Água'!AI397))&gt;('Premissas Economias e Água'!AI257*12*'Modelo Tarifário'!$D$29*'Modelo Tarifário'!$C$61*'Modelo Tarifário'!$E$41),(AH8*'Modelo Tarifário'!$C$61*'Modelo Tarifário'!$E$41)*('Premissas Economias e Água'!AI397),('Premissas Economias e Água'!AI257*12*'Modelo Tarifário'!$D$29*'Modelo Tarifário'!$C$61*'Modelo Tarifário'!$E$41))</f>
        <v>139439.65683678738</v>
      </c>
    </row>
    <row r="113" spans="2:34" s="79" customFormat="1" ht="12" hidden="1" outlineLevel="1" x14ac:dyDescent="0.3">
      <c r="B113" s="1339"/>
      <c r="C113" s="1335" t="s">
        <v>283</v>
      </c>
      <c r="D113" s="1335"/>
      <c r="E113" s="1340">
        <f>IF(((E8*'Modelo Tarifário'!$C$61*'Modelo Tarifário'!$E$42)*('Premissas Economias e Água'!F398))&gt;('Premissas Economias e Água'!F258*12*'Modelo Tarifário'!$D$29*'Modelo Tarifário'!$C$61*'Modelo Tarifário'!$E$42),(E8*'Modelo Tarifário'!$C$61*'Modelo Tarifário'!$E$42)*('Premissas Economias e Água'!F398),('Premissas Economias e Água'!F258*12*'Modelo Tarifário'!$D$29*'Modelo Tarifário'!$C$61*'Modelo Tarifário'!$E$42))</f>
        <v>28908.687220515149</v>
      </c>
      <c r="F113" s="1340">
        <f>IF(((F8*'Modelo Tarifário'!$C$61*'Modelo Tarifário'!$E$42)*('Premissas Economias e Água'!G398))&gt;('Premissas Economias e Água'!G258*12*'Modelo Tarifário'!$D$29*'Modelo Tarifário'!$C$61*'Modelo Tarifário'!$E$42),(F8*'Modelo Tarifário'!$C$61*'Modelo Tarifário'!$E$42)*('Premissas Economias e Água'!G398),('Premissas Economias e Água'!G258*12*'Modelo Tarifário'!$D$29*'Modelo Tarifário'!$C$61*'Modelo Tarifário'!$E$42))</f>
        <v>29163.338778445242</v>
      </c>
      <c r="G113" s="1340">
        <f>IF(((G8*'Modelo Tarifário'!$C$61*'Modelo Tarifário'!$E$42)*('Premissas Economias e Água'!H398))&gt;('Premissas Economias e Água'!H258*12*'Modelo Tarifário'!$D$29*'Modelo Tarifário'!$C$61*'Modelo Tarifário'!$E$42),(G8*'Modelo Tarifário'!$C$61*'Modelo Tarifário'!$E$42)*('Premissas Economias e Água'!H398),('Premissas Economias e Água'!H258*12*'Modelo Tarifário'!$D$29*'Modelo Tarifário'!$C$61*'Modelo Tarifário'!$E$42))</f>
        <v>29417.990336375344</v>
      </c>
      <c r="H113" s="1340">
        <f>IF(((H8*'Modelo Tarifário'!$C$61*'Modelo Tarifário'!$E$42)*('Premissas Economias e Água'!I398))&gt;('Premissas Economias e Água'!I258*12*'Modelo Tarifário'!$D$29*'Modelo Tarifário'!$C$61*'Modelo Tarifário'!$E$42),(H8*'Modelo Tarifário'!$C$61*'Modelo Tarifário'!$E$42)*('Premissas Economias e Água'!I398),('Premissas Economias e Água'!I258*12*'Modelo Tarifário'!$D$29*'Modelo Tarifário'!$C$61*'Modelo Tarifário'!$E$42))</f>
        <v>29672.641894305441</v>
      </c>
      <c r="I113" s="1340">
        <f>IF(((I8*'Modelo Tarifário'!$C$61*'Modelo Tarifário'!$E$42)*('Premissas Economias e Água'!J398))&gt;('Premissas Economias e Água'!J258*12*'Modelo Tarifário'!$D$29*'Modelo Tarifário'!$C$61*'Modelo Tarifário'!$E$42),(I8*'Modelo Tarifário'!$C$61*'Modelo Tarifário'!$E$42)*('Premissas Economias e Água'!J398),('Premissas Economias e Água'!J258*12*'Modelo Tarifário'!$D$29*'Modelo Tarifário'!$C$61*'Modelo Tarifário'!$E$42))</f>
        <v>29927.293452235539</v>
      </c>
      <c r="J113" s="1340">
        <f>IF(((J8*'Modelo Tarifário'!$C$61*'Modelo Tarifário'!$E$42)*('Premissas Economias e Água'!K398))&gt;('Premissas Economias e Água'!K258*12*'Modelo Tarifário'!$D$29*'Modelo Tarifário'!$C$61*'Modelo Tarifário'!$E$42),(J8*'Modelo Tarifário'!$C$61*'Modelo Tarifário'!$E$42)*('Premissas Economias e Água'!K398),('Premissas Economias e Água'!K258*12*'Modelo Tarifário'!$D$29*'Modelo Tarifário'!$C$61*'Modelo Tarifário'!$E$42))</f>
        <v>30186.533326524739</v>
      </c>
      <c r="K113" s="1340">
        <f>IF(((K8*'Modelo Tarifário'!$C$61*'Modelo Tarifário'!$E$42)*('Premissas Economias e Água'!L398))&gt;('Premissas Economias e Água'!L258*12*'Modelo Tarifário'!$D$29*'Modelo Tarifário'!$C$61*'Modelo Tarifário'!$E$42),(K8*'Modelo Tarifário'!$C$61*'Modelo Tarifário'!$E$42)*('Premissas Economias e Água'!L398),('Premissas Economias e Água'!L258*12*'Modelo Tarifário'!$D$29*'Modelo Tarifário'!$C$61*'Modelo Tarifário'!$E$42))</f>
        <v>30402.184195402482</v>
      </c>
      <c r="L113" s="1340">
        <f>IF(((L8*'Modelo Tarifário'!$C$61*'Modelo Tarifário'!$E$42)*('Premissas Economias e Água'!M398))&gt;('Premissas Economias e Água'!M258*12*'Modelo Tarifário'!$D$29*'Modelo Tarifário'!$C$61*'Modelo Tarifário'!$E$42),(L8*'Modelo Tarifário'!$C$61*'Modelo Tarifário'!$E$42)*('Premissas Economias e Água'!M398),('Premissas Economias e Água'!M258*12*'Modelo Tarifário'!$D$29*'Modelo Tarifário'!$C$61*'Modelo Tarifário'!$E$42))</f>
        <v>30617.835064280222</v>
      </c>
      <c r="M113" s="1340">
        <f>IF(((M8*'Modelo Tarifário'!$C$61*'Modelo Tarifário'!$E$42)*('Premissas Economias e Água'!N398))&gt;('Premissas Economias e Água'!N258*12*'Modelo Tarifário'!$D$29*'Modelo Tarifário'!$C$61*'Modelo Tarifário'!$E$42),(M8*'Modelo Tarifário'!$C$61*'Modelo Tarifário'!$E$42)*('Premissas Economias e Água'!N398),('Premissas Economias e Água'!N258*12*'Modelo Tarifário'!$D$29*'Modelo Tarifário'!$C$61*'Modelo Tarifário'!$E$42))</f>
        <v>30833.485933157965</v>
      </c>
      <c r="N113" s="1340">
        <f>IF(((N8*'Modelo Tarifário'!$C$61*'Modelo Tarifário'!$E$42)*('Premissas Economias e Água'!O398))&gt;('Premissas Economias e Água'!O258*12*'Modelo Tarifário'!$D$29*'Modelo Tarifário'!$C$61*'Modelo Tarifário'!$E$42),(N8*'Modelo Tarifário'!$C$61*'Modelo Tarifário'!$E$42)*('Premissas Economias e Água'!O398),('Premissas Economias e Água'!O258*12*'Modelo Tarifário'!$D$29*'Modelo Tarifário'!$C$61*'Modelo Tarifário'!$E$42))</f>
        <v>31049.136802035704</v>
      </c>
      <c r="O113" s="1340">
        <f>IF(((O8*'Modelo Tarifário'!$C$61*'Modelo Tarifário'!$E$42)*('Premissas Economias e Água'!P398))&gt;('Premissas Economias e Água'!P258*12*'Modelo Tarifário'!$D$29*'Modelo Tarifário'!$C$61*'Modelo Tarifário'!$E$42),(O8*'Modelo Tarifário'!$C$61*'Modelo Tarifário'!$E$42)*('Premissas Economias e Água'!P398),('Premissas Economias e Água'!P258*12*'Modelo Tarifário'!$D$29*'Modelo Tarifário'!$C$61*'Modelo Tarifário'!$E$42))</f>
        <v>31262.493512733898</v>
      </c>
      <c r="P113" s="1340">
        <f>IF(((P8*'Modelo Tarifário'!$C$61*'Modelo Tarifário'!$E$42)*('Premissas Economias e Água'!Q398))&gt;('Premissas Economias e Água'!Q258*12*'Modelo Tarifário'!$D$29*'Modelo Tarifário'!$C$61*'Modelo Tarifário'!$E$42),(P8*'Modelo Tarifário'!$C$61*'Modelo Tarifário'!$E$42)*('Premissas Economias e Água'!Q398),('Premissas Economias e Água'!Q258*12*'Modelo Tarifário'!$D$29*'Modelo Tarifário'!$C$61*'Modelo Tarifário'!$E$42))</f>
        <v>31413.907952584228</v>
      </c>
      <c r="Q113" s="1340">
        <f>IF(((Q8*'Modelo Tarifário'!$C$61*'Modelo Tarifário'!$E$42)*('Premissas Economias e Água'!R398))&gt;('Premissas Economias e Água'!R258*12*'Modelo Tarifário'!$D$29*'Modelo Tarifário'!$C$61*'Modelo Tarifário'!$E$42),(Q8*'Modelo Tarifário'!$C$61*'Modelo Tarifário'!$E$42)*('Premissas Economias e Água'!R398),('Premissas Economias e Água'!R258*12*'Modelo Tarifário'!$D$29*'Modelo Tarifário'!$C$61*'Modelo Tarifário'!$E$42))</f>
        <v>31565.322392434558</v>
      </c>
      <c r="R113" s="1340">
        <f>IF(((R8*'Modelo Tarifário'!$C$61*'Modelo Tarifário'!$E$42)*('Premissas Economias e Água'!S398))&gt;('Premissas Economias e Água'!S258*12*'Modelo Tarifário'!$D$29*'Modelo Tarifário'!$C$61*'Modelo Tarifário'!$E$42),(R8*'Modelo Tarifário'!$C$61*'Modelo Tarifário'!$E$42)*('Premissas Economias e Água'!S398),('Premissas Economias e Água'!S258*12*'Modelo Tarifário'!$D$29*'Modelo Tarifário'!$C$61*'Modelo Tarifário'!$E$42))</f>
        <v>31716.736832284885</v>
      </c>
      <c r="S113" s="1340">
        <f>IF(((S8*'Modelo Tarifário'!$C$61*'Modelo Tarifário'!$E$42)*('Premissas Economias e Água'!T398))&gt;('Premissas Economias e Água'!T258*12*'Modelo Tarifário'!$D$29*'Modelo Tarifário'!$C$61*'Modelo Tarifário'!$E$42),(S8*'Modelo Tarifário'!$C$61*'Modelo Tarifário'!$E$42)*('Premissas Economias e Água'!T398),('Premissas Economias e Água'!T258*12*'Modelo Tarifário'!$D$29*'Modelo Tarifário'!$C$61*'Modelo Tarifário'!$E$42))</f>
        <v>31868.151272135216</v>
      </c>
      <c r="T113" s="1340">
        <f>IF(((T8*'Modelo Tarifário'!$C$61*'Modelo Tarifário'!$E$42)*('Premissas Economias e Água'!U398))&gt;('Premissas Economias e Água'!U258*12*'Modelo Tarifário'!$D$29*'Modelo Tarifário'!$C$61*'Modelo Tarifário'!$E$42),(T8*'Modelo Tarifário'!$C$61*'Modelo Tarifário'!$E$42)*('Premissas Economias e Água'!U398),('Premissas Economias e Água'!U258*12*'Modelo Tarifário'!$D$29*'Modelo Tarifário'!$C$61*'Modelo Tarifário'!$E$42))</f>
        <v>32024.154028344648</v>
      </c>
      <c r="U113" s="1340">
        <f>IF(((U8*'Modelo Tarifário'!$C$61*'Modelo Tarifário'!$E$42)*('Premissas Economias e Água'!V398))&gt;('Premissas Economias e Água'!V258*12*'Modelo Tarifário'!$D$29*'Modelo Tarifário'!$C$61*'Modelo Tarifário'!$E$42),(U8*'Modelo Tarifário'!$C$61*'Modelo Tarifário'!$E$42)*('Premissas Economias e Água'!V398),('Premissas Economias e Água'!V258*12*'Modelo Tarifário'!$D$29*'Modelo Tarifário'!$C$61*'Modelo Tarifário'!$E$42))</f>
        <v>32134.273620963071</v>
      </c>
      <c r="V113" s="1340">
        <f>IF(((V8*'Modelo Tarifário'!$C$61*'Modelo Tarifário'!$E$42)*('Premissas Economias e Água'!W398))&gt;('Premissas Economias e Água'!W258*12*'Modelo Tarifário'!$D$29*'Modelo Tarifário'!$C$61*'Modelo Tarifário'!$E$42),(V8*'Modelo Tarifário'!$C$61*'Modelo Tarifário'!$E$42)*('Premissas Economias e Água'!W398),('Premissas Economias e Água'!W258*12*'Modelo Tarifário'!$D$29*'Modelo Tarifário'!$C$61*'Modelo Tarifário'!$E$42))</f>
        <v>32244.393213581487</v>
      </c>
      <c r="W113" s="1340">
        <f>IF(((W8*'Modelo Tarifário'!$C$61*'Modelo Tarifário'!$E$42)*('Premissas Economias e Água'!X398))&gt;('Premissas Economias e Água'!X258*12*'Modelo Tarifário'!$D$29*'Modelo Tarifário'!$C$61*'Modelo Tarifário'!$E$42),(W8*'Modelo Tarifário'!$C$61*'Modelo Tarifário'!$E$42)*('Premissas Economias e Água'!X398),('Premissas Economias e Água'!X258*12*'Modelo Tarifário'!$D$29*'Modelo Tarifário'!$C$61*'Modelo Tarifário'!$E$42))</f>
        <v>32354.512806199909</v>
      </c>
      <c r="X113" s="1340">
        <f>IF(((X8*'Modelo Tarifário'!$C$61*'Modelo Tarifário'!$E$42)*('Premissas Economias e Água'!Y398))&gt;('Premissas Economias e Água'!Y258*12*'Modelo Tarifário'!$D$29*'Modelo Tarifário'!$C$61*'Modelo Tarifário'!$E$42),(X8*'Modelo Tarifário'!$C$61*'Modelo Tarifário'!$E$42)*('Premissas Economias e Água'!Y398),('Premissas Economias e Água'!Y258*12*'Modelo Tarifário'!$D$29*'Modelo Tarifário'!$C$61*'Modelo Tarifário'!$E$42))</f>
        <v>32464.632398818332</v>
      </c>
      <c r="Y113" s="1340">
        <f>IF(((Y8*'Modelo Tarifário'!$C$61*'Modelo Tarifário'!$E$42)*('Premissas Economias e Água'!Z398))&gt;('Premissas Economias e Água'!Z258*12*'Modelo Tarifário'!$D$29*'Modelo Tarifário'!$C$61*'Modelo Tarifário'!$E$42),(Y8*'Modelo Tarifário'!$C$61*'Modelo Tarifário'!$E$42)*('Premissas Economias e Água'!Z398),('Premissas Economias e Água'!Z258*12*'Modelo Tarifário'!$D$29*'Modelo Tarifário'!$C$61*'Modelo Tarifário'!$E$42))</f>
        <v>32579.340307795854</v>
      </c>
      <c r="Z113" s="1340">
        <f>IF(((Z8*'Modelo Tarifário'!$C$61*'Modelo Tarifário'!$E$42)*('Premissas Economias e Água'!AA398))&gt;('Premissas Economias e Água'!AA258*12*'Modelo Tarifário'!$D$29*'Modelo Tarifário'!$C$61*'Modelo Tarifário'!$E$42),(Z8*'Modelo Tarifário'!$C$61*'Modelo Tarifário'!$E$42)*('Premissas Economias e Água'!AA398),('Premissas Economias e Água'!AA258*12*'Modelo Tarifário'!$D$29*'Modelo Tarifário'!$C$61*'Modelo Tarifário'!$E$42))</f>
        <v>32689.459900414273</v>
      </c>
      <c r="AA113" s="1340">
        <f>IF(((AA8*'Modelo Tarifário'!$C$61*'Modelo Tarifário'!$E$42)*('Premissas Economias e Água'!AB398))&gt;('Premissas Economias e Água'!AB258*12*'Modelo Tarifário'!$D$29*'Modelo Tarifário'!$C$61*'Modelo Tarifário'!$E$42),(AA8*'Modelo Tarifário'!$C$61*'Modelo Tarifário'!$E$42)*('Premissas Economias e Água'!AB398),('Premissas Economias e Água'!AB258*12*'Modelo Tarifário'!$D$29*'Modelo Tarifário'!$C$61*'Modelo Tarifário'!$E$42))</f>
        <v>32799.579493032696</v>
      </c>
      <c r="AB113" s="1340">
        <f>IF(((AB8*'Modelo Tarifário'!$C$61*'Modelo Tarifário'!$E$42)*('Premissas Economias e Água'!AC398))&gt;('Premissas Economias e Água'!AC258*12*'Modelo Tarifário'!$D$29*'Modelo Tarifário'!$C$61*'Modelo Tarifário'!$E$42),(AB8*'Modelo Tarifário'!$C$61*'Modelo Tarifário'!$E$42)*('Premissas Economias e Água'!AC398),('Premissas Economias e Água'!AC258*12*'Modelo Tarifário'!$D$29*'Modelo Tarifário'!$C$61*'Modelo Tarifário'!$E$42))</f>
        <v>32909.699085651118</v>
      </c>
      <c r="AC113" s="1340">
        <f>IF(((AC8*'Modelo Tarifário'!$C$61*'Modelo Tarifário'!$E$42)*('Premissas Economias e Água'!AD398))&gt;('Premissas Economias e Água'!AD258*12*'Modelo Tarifário'!$D$29*'Modelo Tarifário'!$C$61*'Modelo Tarifário'!$E$42),(AC8*'Modelo Tarifário'!$C$61*'Modelo Tarifário'!$E$42)*('Premissas Economias e Água'!AD398),('Premissas Economias e Água'!AD258*12*'Modelo Tarifário'!$D$29*'Modelo Tarifário'!$C$61*'Modelo Tarifário'!$E$42))</f>
        <v>33019.818678269534</v>
      </c>
      <c r="AD113" s="1340">
        <f>IF(((AD8*'Modelo Tarifário'!$C$61*'Modelo Tarifário'!$E$42)*('Premissas Economias e Água'!AE398))&gt;('Premissas Economias e Água'!AE258*12*'Modelo Tarifário'!$D$29*'Modelo Tarifário'!$C$61*'Modelo Tarifário'!$E$42),(AD8*'Modelo Tarifário'!$C$61*'Modelo Tarifário'!$E$42)*('Premissas Economias e Água'!AE398),('Premissas Economias e Água'!AE258*12*'Modelo Tarifário'!$D$29*'Modelo Tarifário'!$C$61*'Modelo Tarifário'!$E$42))</f>
        <v>33129.938270887957</v>
      </c>
      <c r="AE113" s="1340">
        <f>IF(((AE8*'Modelo Tarifário'!$C$61*'Modelo Tarifário'!$E$42)*('Premissas Economias e Água'!AF398))&gt;('Premissas Economias e Água'!AF258*12*'Modelo Tarifário'!$D$29*'Modelo Tarifário'!$C$61*'Modelo Tarifário'!$E$42),(AE8*'Modelo Tarifário'!$C$61*'Modelo Tarifário'!$E$42)*('Premissas Economias e Água'!AF398),('Premissas Economias e Água'!AF258*12*'Modelo Tarifário'!$D$29*'Modelo Tarifário'!$C$61*'Modelo Tarifário'!$E$42))</f>
        <v>33240.057863506379</v>
      </c>
      <c r="AF113" s="1340">
        <f>IF(((AF8*'Modelo Tarifário'!$C$61*'Modelo Tarifário'!$E$42)*('Premissas Economias e Água'!AG398))&gt;('Premissas Economias e Água'!AG258*12*'Modelo Tarifário'!$D$29*'Modelo Tarifário'!$C$61*'Modelo Tarifário'!$E$42),(AF8*'Modelo Tarifário'!$C$61*'Modelo Tarifário'!$E$42)*('Premissas Economias e Água'!AG398),('Premissas Economias e Água'!AG258*12*'Modelo Tarifário'!$D$29*'Modelo Tarifário'!$C$61*'Modelo Tarifário'!$E$42))</f>
        <v>33350.177456124809</v>
      </c>
      <c r="AG113" s="1340">
        <f>IF(((AG8*'Modelo Tarifário'!$C$61*'Modelo Tarifário'!$E$42)*('Premissas Economias e Água'!AH398))&gt;('Premissas Economias e Água'!AH258*12*'Modelo Tarifário'!$D$29*'Modelo Tarifário'!$C$61*'Modelo Tarifário'!$E$42),(AG8*'Modelo Tarifário'!$C$61*'Modelo Tarifário'!$E$42)*('Premissas Economias e Água'!AH398),('Premissas Economias e Água'!AH258*12*'Modelo Tarifário'!$D$29*'Modelo Tarifário'!$C$61*'Modelo Tarifário'!$E$42))</f>
        <v>33460.297048743225</v>
      </c>
      <c r="AH113" s="1340">
        <f>IF(((AH8*'Modelo Tarifário'!$C$61*'Modelo Tarifário'!$E$42)*('Premissas Economias e Água'!AI398))&gt;('Premissas Economias e Água'!AI258*12*'Modelo Tarifário'!$D$29*'Modelo Tarifário'!$C$61*'Modelo Tarifário'!$E$42),(AH8*'Modelo Tarifário'!$C$61*'Modelo Tarifário'!$E$42)*('Premissas Economias e Água'!AI398),('Premissas Economias e Água'!AI258*12*'Modelo Tarifário'!$D$29*'Modelo Tarifário'!$C$61*'Modelo Tarifário'!$E$42))</f>
        <v>33570.41664136164</v>
      </c>
    </row>
    <row r="114" spans="2:34" s="79" customFormat="1" ht="12" hidden="1" outlineLevel="1" x14ac:dyDescent="0.3">
      <c r="B114" s="1339"/>
      <c r="C114" s="1335" t="s">
        <v>12</v>
      </c>
      <c r="D114" s="1335"/>
      <c r="E114" s="1340">
        <f>IF(((E8*'Modelo Tarifário'!$C$61*'Modelo Tarifário'!$E$43)*('Premissas Economias e Água'!F399))&gt;('Premissas Economias e Água'!F259*12*'Modelo Tarifário'!$D$29*'Modelo Tarifário'!$C$61*'Modelo Tarifário'!$E$43),(E8*'Modelo Tarifário'!$C$61*'Modelo Tarifário'!$E$43)*('Premissas Economias e Água'!F399),('Premissas Economias e Água'!F259*12*'Modelo Tarifário'!$D$29*'Modelo Tarifário'!$C$61*'Modelo Tarifário'!$E$43))</f>
        <v>301624.56801606063</v>
      </c>
      <c r="F114" s="1340">
        <f>IF(((F8*'Modelo Tarifário'!$C$61*'Modelo Tarifário'!$E$43)*('Premissas Economias e Água'!G399))&gt;('Premissas Economias e Água'!G259*12*'Modelo Tarifário'!$D$29*'Modelo Tarifário'!$C$61*'Modelo Tarifário'!$E$43),(F8*'Modelo Tarifário'!$C$61*'Modelo Tarifário'!$E$43)*('Premissas Economias e Água'!G399),('Premissas Economias e Água'!G259*12*'Modelo Tarifário'!$D$29*'Modelo Tarifário'!$C$61*'Modelo Tarifário'!$E$43))</f>
        <v>304281.52595985739</v>
      </c>
      <c r="G114" s="1340">
        <f>IF(((G8*'Modelo Tarifário'!$C$61*'Modelo Tarifário'!$E$43)*('Premissas Economias e Água'!H399))&gt;('Premissas Economias e Água'!H259*12*'Modelo Tarifário'!$D$29*'Modelo Tarifário'!$C$61*'Modelo Tarifário'!$E$43),(G8*'Modelo Tarifário'!$C$61*'Modelo Tarifário'!$E$43)*('Premissas Economias e Água'!H399),('Premissas Economias e Água'!H259*12*'Modelo Tarifário'!$D$29*'Modelo Tarifário'!$C$61*'Modelo Tarifário'!$E$43))</f>
        <v>306938.48390365415</v>
      </c>
      <c r="H114" s="1340">
        <f>IF(((H8*'Modelo Tarifário'!$C$61*'Modelo Tarifário'!$E$43)*('Premissas Economias e Água'!I399))&gt;('Premissas Economias e Água'!I259*12*'Modelo Tarifário'!$D$29*'Modelo Tarifário'!$C$61*'Modelo Tarifário'!$E$43),(H8*'Modelo Tarifário'!$C$61*'Modelo Tarifário'!$E$43)*('Premissas Economias e Água'!I399),('Premissas Economias e Água'!I259*12*'Modelo Tarifário'!$D$29*'Modelo Tarifário'!$C$61*'Modelo Tarifário'!$E$43))</f>
        <v>309595.44184745086</v>
      </c>
      <c r="I114" s="1340">
        <f>IF(((I8*'Modelo Tarifário'!$C$61*'Modelo Tarifário'!$E$43)*('Premissas Economias e Água'!J399))&gt;('Premissas Economias e Água'!J259*12*'Modelo Tarifário'!$D$29*'Modelo Tarifário'!$C$61*'Modelo Tarifário'!$E$43),(I8*'Modelo Tarifário'!$C$61*'Modelo Tarifário'!$E$43)*('Premissas Economias e Água'!J399),('Premissas Economias e Água'!J259*12*'Modelo Tarifário'!$D$29*'Modelo Tarifário'!$C$61*'Modelo Tarifário'!$E$43))</f>
        <v>312252.39979124756</v>
      </c>
      <c r="J114" s="1340">
        <f>IF(((J8*'Modelo Tarifário'!$C$61*'Modelo Tarifário'!$E$43)*('Premissas Economias e Água'!K399))&gt;('Premissas Economias e Água'!K259*12*'Modelo Tarifário'!$D$29*'Modelo Tarifário'!$C$61*'Modelo Tarifário'!$E$43),(J8*'Modelo Tarifário'!$C$61*'Modelo Tarifário'!$E$43)*('Premissas Economias e Água'!K399),('Premissas Economias e Água'!K259*12*'Modelo Tarifário'!$D$29*'Modelo Tarifário'!$C$61*'Modelo Tarifário'!$E$43))</f>
        <v>314957.23085114878</v>
      </c>
      <c r="K114" s="1340">
        <f>IF(((K8*'Modelo Tarifário'!$C$61*'Modelo Tarifário'!$E$43)*('Premissas Economias e Água'!L399))&gt;('Premissas Economias e Água'!L259*12*'Modelo Tarifário'!$D$29*'Modelo Tarifário'!$C$61*'Modelo Tarifário'!$E$43),(K8*'Modelo Tarifário'!$C$61*'Modelo Tarifário'!$E$43)*('Premissas Economias e Água'!L399),('Premissas Economias e Água'!L259*12*'Modelo Tarifário'!$D$29*'Modelo Tarifário'!$C$61*'Modelo Tarifário'!$E$43))</f>
        <v>317207.26730805769</v>
      </c>
      <c r="L114" s="1340">
        <f>IF(((L8*'Modelo Tarifário'!$C$61*'Modelo Tarifário'!$E$43)*('Premissas Economias e Água'!M399))&gt;('Premissas Economias e Água'!M259*12*'Modelo Tarifário'!$D$29*'Modelo Tarifário'!$C$61*'Modelo Tarifário'!$E$43),(L8*'Modelo Tarifário'!$C$61*'Modelo Tarifário'!$E$43)*('Premissas Economias e Água'!M399),('Premissas Economias e Água'!M259*12*'Modelo Tarifário'!$D$29*'Modelo Tarifário'!$C$61*'Modelo Tarifário'!$E$43))</f>
        <v>319457.30376496667</v>
      </c>
      <c r="M114" s="1340">
        <f>IF(((M8*'Modelo Tarifário'!$C$61*'Modelo Tarifário'!$E$43)*('Premissas Economias e Água'!N399))&gt;('Premissas Economias e Água'!N259*12*'Modelo Tarifário'!$D$29*'Modelo Tarifário'!$C$61*'Modelo Tarifário'!$E$43),(M8*'Modelo Tarifário'!$C$61*'Modelo Tarifário'!$E$43)*('Premissas Economias e Água'!N399),('Premissas Economias e Água'!N259*12*'Modelo Tarifário'!$D$29*'Modelo Tarifário'!$C$61*'Modelo Tarifário'!$E$43))</f>
        <v>321707.34022187564</v>
      </c>
      <c r="N114" s="1340">
        <f>IF(((N8*'Modelo Tarifário'!$C$61*'Modelo Tarifário'!$E$43)*('Premissas Economias e Água'!O399))&gt;('Premissas Economias e Água'!O259*12*'Modelo Tarifário'!$D$29*'Modelo Tarifário'!$C$61*'Modelo Tarifário'!$E$43),(N8*'Modelo Tarifário'!$C$61*'Modelo Tarifário'!$E$43)*('Premissas Economias e Água'!O399),('Premissas Economias e Água'!O259*12*'Modelo Tarifário'!$D$29*'Modelo Tarifário'!$C$61*'Modelo Tarifário'!$E$43))</f>
        <v>323957.37667878461</v>
      </c>
      <c r="O114" s="1340">
        <f>IF(((O8*'Modelo Tarifário'!$C$61*'Modelo Tarifário'!$E$43)*('Premissas Economias e Água'!P399))&gt;('Premissas Economias e Água'!P259*12*'Modelo Tarifário'!$D$29*'Modelo Tarifário'!$C$61*'Modelo Tarifário'!$E$43),(O8*'Modelo Tarifário'!$C$61*'Modelo Tarifário'!$E$43)*('Premissas Economias e Água'!P399),('Premissas Economias e Água'!P259*12*'Modelo Tarifário'!$D$29*'Modelo Tarifário'!$C$61*'Modelo Tarifário'!$E$43))</f>
        <v>326183.47657764133</v>
      </c>
      <c r="P114" s="1340">
        <f>IF(((P8*'Modelo Tarifário'!$C$61*'Modelo Tarifário'!$E$43)*('Premissas Economias e Água'!Q399))&gt;('Premissas Economias e Água'!Q259*12*'Modelo Tarifário'!$D$29*'Modelo Tarifário'!$C$61*'Modelo Tarifário'!$E$43),(P8*'Modelo Tarifário'!$C$61*'Modelo Tarifário'!$E$43)*('Premissas Economias e Água'!Q399),('Premissas Economias e Água'!Q259*12*'Modelo Tarifário'!$D$29*'Modelo Tarifário'!$C$61*'Modelo Tarifário'!$E$43))</f>
        <v>327763.28940908803</v>
      </c>
      <c r="Q114" s="1340">
        <f>IF(((Q8*'Modelo Tarifário'!$C$61*'Modelo Tarifário'!$E$43)*('Premissas Economias e Água'!R399))&gt;('Premissas Economias e Água'!R259*12*'Modelo Tarifário'!$D$29*'Modelo Tarifário'!$C$61*'Modelo Tarifário'!$E$43),(Q8*'Modelo Tarifário'!$C$61*'Modelo Tarifário'!$E$43)*('Premissas Economias e Água'!R399),('Premissas Economias e Água'!R259*12*'Modelo Tarifário'!$D$29*'Modelo Tarifário'!$C$61*'Modelo Tarifário'!$E$43))</f>
        <v>329343.10224053473</v>
      </c>
      <c r="R114" s="1340">
        <f>IF(((R8*'Modelo Tarifário'!$C$61*'Modelo Tarifário'!$E$43)*('Premissas Economias e Água'!S399))&gt;('Premissas Economias e Água'!S259*12*'Modelo Tarifário'!$D$29*'Modelo Tarifário'!$C$61*'Modelo Tarifário'!$E$43),(R8*'Modelo Tarifário'!$C$61*'Modelo Tarifário'!$E$43)*('Premissas Economias e Água'!S399),('Premissas Economias e Água'!S259*12*'Modelo Tarifário'!$D$29*'Modelo Tarifário'!$C$61*'Modelo Tarifário'!$E$43))</f>
        <v>330922.91507198144</v>
      </c>
      <c r="S114" s="1340">
        <f>IF(((S8*'Modelo Tarifário'!$C$61*'Modelo Tarifário'!$E$43)*('Premissas Economias e Água'!T399))&gt;('Premissas Economias e Água'!T259*12*'Modelo Tarifário'!$D$29*'Modelo Tarifário'!$C$61*'Modelo Tarifário'!$E$43),(S8*'Modelo Tarifário'!$C$61*'Modelo Tarifário'!$E$43)*('Premissas Economias e Água'!T399),('Premissas Economias e Água'!T259*12*'Modelo Tarifário'!$D$29*'Modelo Tarifário'!$C$61*'Modelo Tarifário'!$E$43))</f>
        <v>332502.7279034282</v>
      </c>
      <c r="T114" s="1340">
        <f>IF(((T8*'Modelo Tarifário'!$C$61*'Modelo Tarifário'!$E$43)*('Premissas Economias e Água'!U399))&gt;('Premissas Economias e Água'!U259*12*'Modelo Tarifário'!$D$29*'Modelo Tarifário'!$C$61*'Modelo Tarifário'!$E$43),(T8*'Modelo Tarifário'!$C$61*'Modelo Tarifário'!$E$43)*('Premissas Economias e Água'!U399),('Premissas Economias e Água'!U259*12*'Modelo Tarifário'!$D$29*'Modelo Tarifário'!$C$61*'Modelo Tarifário'!$E$43))</f>
        <v>334130.4138509793</v>
      </c>
      <c r="U114" s="1340">
        <f>IF(((U8*'Modelo Tarifário'!$C$61*'Modelo Tarifário'!$E$43)*('Premissas Economias e Água'!V399))&gt;('Premissas Economias e Água'!V259*12*'Modelo Tarifário'!$D$29*'Modelo Tarifário'!$C$61*'Modelo Tarifário'!$E$43),(U8*'Modelo Tarifário'!$C$61*'Modelo Tarifário'!$E$43)*('Premissas Economias e Água'!V399),('Premissas Economias e Água'!V259*12*'Modelo Tarifário'!$D$29*'Modelo Tarifário'!$C$61*'Modelo Tarifário'!$E$43))</f>
        <v>335279.36863748607</v>
      </c>
      <c r="V114" s="1340">
        <f>IF(((V8*'Modelo Tarifário'!$C$61*'Modelo Tarifário'!$E$43)*('Premissas Economias e Água'!W399))&gt;('Premissas Economias e Água'!W259*12*'Modelo Tarifário'!$D$29*'Modelo Tarifário'!$C$61*'Modelo Tarifário'!$E$43),(V8*'Modelo Tarifário'!$C$61*'Modelo Tarifário'!$E$43)*('Premissas Economias e Água'!W399),('Premissas Economias e Água'!W259*12*'Modelo Tarifário'!$D$29*'Modelo Tarifário'!$C$61*'Modelo Tarifário'!$E$43))</f>
        <v>336428.32342399267</v>
      </c>
      <c r="W114" s="1340">
        <f>IF(((W8*'Modelo Tarifário'!$C$61*'Modelo Tarifário'!$E$43)*('Premissas Economias e Água'!X399))&gt;('Premissas Economias e Água'!X259*12*'Modelo Tarifário'!$D$29*'Modelo Tarifário'!$C$61*'Modelo Tarifário'!$E$43),(W8*'Modelo Tarifário'!$C$61*'Modelo Tarifário'!$E$43)*('Premissas Economias e Água'!X399),('Premissas Economias e Água'!X259*12*'Modelo Tarifário'!$D$29*'Modelo Tarifário'!$C$61*'Modelo Tarifário'!$E$43))</f>
        <v>337577.27821049944</v>
      </c>
      <c r="X114" s="1340">
        <f>IF(((X8*'Modelo Tarifário'!$C$61*'Modelo Tarifário'!$E$43)*('Premissas Economias e Água'!Y399))&gt;('Premissas Economias e Água'!Y259*12*'Modelo Tarifário'!$D$29*'Modelo Tarifário'!$C$61*'Modelo Tarifário'!$E$43),(X8*'Modelo Tarifário'!$C$61*'Modelo Tarifário'!$E$43)*('Premissas Economias e Água'!Y399),('Premissas Economias e Água'!Y259*12*'Modelo Tarifário'!$D$29*'Modelo Tarifário'!$C$61*'Modelo Tarifário'!$E$43))</f>
        <v>338726.2329970061</v>
      </c>
      <c r="Y114" s="1340">
        <f>IF(((Y8*'Modelo Tarifário'!$C$61*'Modelo Tarifário'!$E$43)*('Premissas Economias e Água'!Z399))&gt;('Premissas Economias e Água'!Z259*12*'Modelo Tarifário'!$D$29*'Modelo Tarifário'!$C$61*'Modelo Tarifário'!$E$43),(Y8*'Modelo Tarifário'!$C$61*'Modelo Tarifário'!$E$43)*('Premissas Economias e Água'!Z399),('Premissas Economias e Água'!Z259*12*'Modelo Tarifário'!$D$29*'Modelo Tarifário'!$C$61*'Modelo Tarifário'!$E$43))</f>
        <v>339923.06089961727</v>
      </c>
      <c r="Z114" s="1340">
        <f>IF(((Z8*'Modelo Tarifário'!$C$61*'Modelo Tarifário'!$E$43)*('Premissas Economias e Água'!AA399))&gt;('Premissas Economias e Água'!AA259*12*'Modelo Tarifário'!$D$29*'Modelo Tarifário'!$C$61*'Modelo Tarifário'!$E$43),(Z8*'Modelo Tarifário'!$C$61*'Modelo Tarifário'!$E$43)*('Premissas Economias e Água'!AA399),('Premissas Economias e Água'!AA259*12*'Modelo Tarifário'!$D$29*'Modelo Tarifário'!$C$61*'Modelo Tarifário'!$E$43))</f>
        <v>341072.01568612398</v>
      </c>
      <c r="AA114" s="1340">
        <f>IF(((AA8*'Modelo Tarifário'!$C$61*'Modelo Tarifário'!$E$43)*('Premissas Economias e Água'!AB399))&gt;('Premissas Economias e Água'!AB259*12*'Modelo Tarifário'!$D$29*'Modelo Tarifário'!$C$61*'Modelo Tarifário'!$E$43),(AA8*'Modelo Tarifário'!$C$61*'Modelo Tarifário'!$E$43)*('Premissas Economias e Água'!AB399),('Premissas Economias e Água'!AB259*12*'Modelo Tarifário'!$D$29*'Modelo Tarifário'!$C$61*'Modelo Tarifário'!$E$43))</f>
        <v>342220.9704726307</v>
      </c>
      <c r="AB114" s="1340">
        <f>IF(((AB8*'Modelo Tarifário'!$C$61*'Modelo Tarifário'!$E$43)*('Premissas Economias e Água'!AC399))&gt;('Premissas Economias e Água'!AC259*12*'Modelo Tarifário'!$D$29*'Modelo Tarifário'!$C$61*'Modelo Tarifário'!$E$43),(AB8*'Modelo Tarifário'!$C$61*'Modelo Tarifário'!$E$43)*('Premissas Economias e Água'!AC399),('Premissas Economias e Água'!AC259*12*'Modelo Tarifário'!$D$29*'Modelo Tarifário'!$C$61*'Modelo Tarifário'!$E$43))</f>
        <v>343369.92525913741</v>
      </c>
      <c r="AC114" s="1340">
        <f>IF(((AC8*'Modelo Tarifário'!$C$61*'Modelo Tarifário'!$E$43)*('Premissas Economias e Água'!AD399))&gt;('Premissas Economias e Água'!AD259*12*'Modelo Tarifário'!$D$29*'Modelo Tarifário'!$C$61*'Modelo Tarifário'!$E$43),(AC8*'Modelo Tarifário'!$C$61*'Modelo Tarifário'!$E$43)*('Premissas Economias e Água'!AD399),('Premissas Economias e Água'!AD259*12*'Modelo Tarifário'!$D$29*'Modelo Tarifário'!$C$61*'Modelo Tarifário'!$E$43))</f>
        <v>344518.88004564407</v>
      </c>
      <c r="AD114" s="1340">
        <f>IF(((AD8*'Modelo Tarifário'!$C$61*'Modelo Tarifário'!$E$43)*('Premissas Economias e Água'!AE399))&gt;('Premissas Economias e Água'!AE259*12*'Modelo Tarifário'!$D$29*'Modelo Tarifário'!$C$61*'Modelo Tarifário'!$E$43),(AD8*'Modelo Tarifário'!$C$61*'Modelo Tarifário'!$E$43)*('Premissas Economias e Água'!AE399),('Premissas Economias e Água'!AE259*12*'Modelo Tarifário'!$D$29*'Modelo Tarifário'!$C$61*'Modelo Tarifário'!$E$43))</f>
        <v>345667.83483215078</v>
      </c>
      <c r="AE114" s="1340">
        <f>IF(((AE8*'Modelo Tarifário'!$C$61*'Modelo Tarifário'!$E$43)*('Premissas Economias e Água'!AF399))&gt;('Premissas Economias e Água'!AF259*12*'Modelo Tarifário'!$D$29*'Modelo Tarifário'!$C$61*'Modelo Tarifário'!$E$43),(AE8*'Modelo Tarifário'!$C$61*'Modelo Tarifário'!$E$43)*('Premissas Economias e Água'!AF399),('Premissas Economias e Água'!AF259*12*'Modelo Tarifário'!$D$29*'Modelo Tarifário'!$C$61*'Modelo Tarifário'!$E$43))</f>
        <v>346816.78961865744</v>
      </c>
      <c r="AF114" s="1340">
        <f>IF(((AF8*'Modelo Tarifário'!$C$61*'Modelo Tarifário'!$E$43)*('Premissas Economias e Água'!AG399))&gt;('Premissas Economias e Água'!AG259*12*'Modelo Tarifário'!$D$29*'Modelo Tarifário'!$C$61*'Modelo Tarifário'!$E$43),(AF8*'Modelo Tarifário'!$C$61*'Modelo Tarifário'!$E$43)*('Premissas Economias e Água'!AG399),('Premissas Economias e Água'!AG259*12*'Modelo Tarifário'!$D$29*'Modelo Tarifário'!$C$61*'Modelo Tarifário'!$E$43))</f>
        <v>347965.74440516415</v>
      </c>
      <c r="AG114" s="1340">
        <f>IF(((AG8*'Modelo Tarifário'!$C$61*'Modelo Tarifário'!$E$43)*('Premissas Economias e Água'!AH399))&gt;('Premissas Economias e Água'!AH259*12*'Modelo Tarifário'!$D$29*'Modelo Tarifário'!$C$61*'Modelo Tarifário'!$E$43),(AG8*'Modelo Tarifário'!$C$61*'Modelo Tarifário'!$E$43)*('Premissas Economias e Água'!AH399),('Premissas Economias e Água'!AH259*12*'Modelo Tarifário'!$D$29*'Modelo Tarifário'!$C$61*'Modelo Tarifário'!$E$43))</f>
        <v>349114.69919167086</v>
      </c>
      <c r="AH114" s="1340">
        <f>IF(((AH8*'Modelo Tarifário'!$C$61*'Modelo Tarifário'!$E$43)*('Premissas Economias e Água'!AI399))&gt;('Premissas Economias e Água'!AI259*12*'Modelo Tarifário'!$D$29*'Modelo Tarifário'!$C$61*'Modelo Tarifário'!$E$43),(AH8*'Modelo Tarifário'!$C$61*'Modelo Tarifário'!$E$43)*('Premissas Economias e Água'!AI399),('Premissas Economias e Água'!AI259*12*'Modelo Tarifário'!$D$29*'Modelo Tarifário'!$C$61*'Modelo Tarifário'!$E$43))</f>
        <v>350263.65397817752</v>
      </c>
    </row>
    <row r="115" spans="2:34" s="79" customFormat="1" ht="12" hidden="1" outlineLevel="1" x14ac:dyDescent="0.3">
      <c r="B115" s="1339"/>
      <c r="C115" s="1335" t="s">
        <v>13</v>
      </c>
      <c r="D115" s="1335"/>
      <c r="E115" s="1340">
        <f>IF(((E8*'Modelo Tarifário'!$C$61*'Modelo Tarifário'!$E$44)*('Premissas Economias e Água'!F400))&gt;('Premissas Economias e Água'!F260*12*'Modelo Tarifário'!$D$29*'Modelo Tarifário'!$C$61*'Modelo Tarifário'!$E$44),(E8*'Modelo Tarifário'!$C$61*'Modelo Tarifário'!$E$44)*('Premissas Economias e Água'!F400),('Premissas Economias e Água'!F260*12*'Modelo Tarifário'!$D$29*'Modelo Tarifário'!$C$61*'Modelo Tarifário'!$E$44))</f>
        <v>16838.264719343188</v>
      </c>
      <c r="F115" s="1340">
        <f>IF(((F8*'Modelo Tarifário'!$C$61*'Modelo Tarifário'!$E$44)*('Premissas Economias e Água'!G400))&gt;('Premissas Economias e Água'!G260*12*'Modelo Tarifário'!$D$29*'Modelo Tarifário'!$C$61*'Modelo Tarifário'!$E$44),(F8*'Modelo Tarifário'!$C$61*'Modelo Tarifário'!$E$44)*('Premissas Economias e Água'!G400),('Premissas Economias e Água'!G260*12*'Modelo Tarifário'!$D$29*'Modelo Tarifário'!$C$61*'Modelo Tarifário'!$E$44))</f>
        <v>16986.590041448351</v>
      </c>
      <c r="G115" s="1340">
        <f>IF(((G8*'Modelo Tarifário'!$C$61*'Modelo Tarifário'!$E$44)*('Premissas Economias e Água'!H400))&gt;('Premissas Economias e Água'!H260*12*'Modelo Tarifário'!$D$29*'Modelo Tarifário'!$C$61*'Modelo Tarifário'!$E$44),(G8*'Modelo Tarifário'!$C$61*'Modelo Tarifário'!$E$44)*('Premissas Economias e Água'!H400),('Premissas Economias e Água'!H260*12*'Modelo Tarifário'!$D$29*'Modelo Tarifário'!$C$61*'Modelo Tarifário'!$E$44))</f>
        <v>17134.915363553508</v>
      </c>
      <c r="H115" s="1340">
        <f>IF(((H8*'Modelo Tarifário'!$C$61*'Modelo Tarifário'!$E$44)*('Premissas Economias e Água'!I400))&gt;('Premissas Economias e Água'!I260*12*'Modelo Tarifário'!$D$29*'Modelo Tarifário'!$C$61*'Modelo Tarifário'!$E$44),(H8*'Modelo Tarifário'!$C$61*'Modelo Tarifário'!$E$44)*('Premissas Economias e Água'!I400),('Premissas Economias e Água'!I260*12*'Modelo Tarifário'!$D$29*'Modelo Tarifário'!$C$61*'Modelo Tarifário'!$E$44))</f>
        <v>17283.240685658664</v>
      </c>
      <c r="I115" s="1340">
        <f>IF(((I8*'Modelo Tarifário'!$C$61*'Modelo Tarifário'!$E$44)*('Premissas Economias e Água'!J400))&gt;('Premissas Economias e Água'!J260*12*'Modelo Tarifário'!$D$29*'Modelo Tarifário'!$C$61*'Modelo Tarifário'!$E$44),(I8*'Modelo Tarifário'!$C$61*'Modelo Tarifário'!$E$44)*('Premissas Economias e Água'!J400),('Premissas Economias e Água'!J260*12*'Modelo Tarifário'!$D$29*'Modelo Tarifário'!$C$61*'Modelo Tarifário'!$E$44))</f>
        <v>17431.56600776382</v>
      </c>
      <c r="J115" s="1340">
        <f>IF(((J8*'Modelo Tarifário'!$C$61*'Modelo Tarifário'!$E$44)*('Premissas Economias e Água'!K400))&gt;('Premissas Economias e Água'!K260*12*'Modelo Tarifário'!$D$29*'Modelo Tarifário'!$C$61*'Modelo Tarifário'!$E$44),(J8*'Modelo Tarifário'!$C$61*'Modelo Tarifário'!$E$44)*('Premissas Economias e Água'!K400),('Premissas Economias e Água'!K260*12*'Modelo Tarifário'!$D$29*'Modelo Tarifário'!$C$61*'Modelo Tarifário'!$E$44))</f>
        <v>17582.563858195201</v>
      </c>
      <c r="K115" s="1340">
        <f>IF(((K8*'Modelo Tarifário'!$C$61*'Modelo Tarifário'!$E$44)*('Premissas Economias e Água'!L400))&gt;('Premissas Economias e Água'!L260*12*'Modelo Tarifário'!$D$29*'Modelo Tarifário'!$C$61*'Modelo Tarifário'!$E$44),(K8*'Modelo Tarifário'!$C$61*'Modelo Tarifário'!$E$44)*('Premissas Economias e Água'!L400),('Premissas Economias e Água'!L260*12*'Modelo Tarifário'!$D$29*'Modelo Tarifário'!$C$61*'Modelo Tarifário'!$E$44))</f>
        <v>17708.172689527495</v>
      </c>
      <c r="L115" s="1340">
        <f>IF(((L8*'Modelo Tarifário'!$C$61*'Modelo Tarifário'!$E$44)*('Premissas Economias e Água'!M400))&gt;('Premissas Economias e Água'!M260*12*'Modelo Tarifário'!$D$29*'Modelo Tarifário'!$C$61*'Modelo Tarifário'!$E$44),(L8*'Modelo Tarifário'!$C$61*'Modelo Tarifário'!$E$44)*('Premissas Economias e Água'!M400),('Premissas Economias e Água'!M260*12*'Modelo Tarifário'!$D$29*'Modelo Tarifário'!$C$61*'Modelo Tarifário'!$E$44))</f>
        <v>17833.781520859789</v>
      </c>
      <c r="M115" s="1340">
        <f>IF(((M8*'Modelo Tarifário'!$C$61*'Modelo Tarifário'!$E$44)*('Premissas Economias e Água'!N400))&gt;('Premissas Economias e Água'!N260*12*'Modelo Tarifário'!$D$29*'Modelo Tarifário'!$C$61*'Modelo Tarifário'!$E$44),(M8*'Modelo Tarifário'!$C$61*'Modelo Tarifário'!$E$44)*('Premissas Economias e Água'!N400),('Premissas Economias e Água'!N260*12*'Modelo Tarifário'!$D$29*'Modelo Tarifário'!$C$61*'Modelo Tarifário'!$E$44))</f>
        <v>17959.390352192087</v>
      </c>
      <c r="N115" s="1340">
        <f>IF(((N8*'Modelo Tarifário'!$C$61*'Modelo Tarifário'!$E$44)*('Premissas Economias e Água'!O400))&gt;('Premissas Economias e Água'!O260*12*'Modelo Tarifário'!$D$29*'Modelo Tarifário'!$C$61*'Modelo Tarifário'!$E$44),(N8*'Modelo Tarifário'!$C$61*'Modelo Tarifário'!$E$44)*('Premissas Economias e Água'!O400),('Premissas Economias e Água'!O260*12*'Modelo Tarifário'!$D$29*'Modelo Tarifário'!$C$61*'Modelo Tarifário'!$E$44))</f>
        <v>18084.999183524385</v>
      </c>
      <c r="O115" s="1340">
        <f>IF(((O8*'Modelo Tarifário'!$C$61*'Modelo Tarifário'!$E$44)*('Premissas Economias e Água'!P400))&gt;('Premissas Economias e Água'!P260*12*'Modelo Tarifário'!$D$29*'Modelo Tarifário'!$C$61*'Modelo Tarifário'!$E$44),(O8*'Modelo Tarifário'!$C$61*'Modelo Tarifário'!$E$44)*('Premissas Economias e Água'!P400),('Premissas Economias e Água'!P260*12*'Modelo Tarifário'!$D$29*'Modelo Tarifário'!$C$61*'Modelo Tarifário'!$E$44))</f>
        <v>18209.27175069357</v>
      </c>
      <c r="P115" s="1340">
        <f>IF(((P8*'Modelo Tarifário'!$C$61*'Modelo Tarifário'!$E$44)*('Premissas Economias e Água'!Q400))&gt;('Premissas Economias e Água'!Q260*12*'Modelo Tarifário'!$D$29*'Modelo Tarifário'!$C$61*'Modelo Tarifário'!$E$44),(P8*'Modelo Tarifário'!$C$61*'Modelo Tarifário'!$E$44)*('Premissas Economias e Água'!Q400),('Premissas Economias e Água'!Q260*12*'Modelo Tarifário'!$D$29*'Modelo Tarifário'!$C$61*'Modelo Tarifário'!$E$44))</f>
        <v>18297.465185458797</v>
      </c>
      <c r="Q115" s="1340">
        <f>IF(((Q8*'Modelo Tarifário'!$C$61*'Modelo Tarifário'!$E$44)*('Premissas Economias e Água'!R400))&gt;('Premissas Economias e Água'!R260*12*'Modelo Tarifário'!$D$29*'Modelo Tarifário'!$C$61*'Modelo Tarifário'!$E$44),(Q8*'Modelo Tarifário'!$C$61*'Modelo Tarifário'!$E$44)*('Premissas Economias e Água'!R400),('Premissas Economias e Água'!R260*12*'Modelo Tarifário'!$D$29*'Modelo Tarifário'!$C$61*'Modelo Tarifário'!$E$44))</f>
        <v>18385.658620224025</v>
      </c>
      <c r="R115" s="1340">
        <f>IF(((R8*'Modelo Tarifário'!$C$61*'Modelo Tarifário'!$E$44)*('Premissas Economias e Água'!S400))&gt;('Premissas Economias e Água'!S260*12*'Modelo Tarifário'!$D$29*'Modelo Tarifário'!$C$61*'Modelo Tarifário'!$E$44),(R8*'Modelo Tarifário'!$C$61*'Modelo Tarifário'!$E$44)*('Premissas Economias e Água'!S400),('Premissas Economias e Água'!S260*12*'Modelo Tarifário'!$D$29*'Modelo Tarifário'!$C$61*'Modelo Tarifário'!$E$44))</f>
        <v>18473.852054989256</v>
      </c>
      <c r="S115" s="1340">
        <f>IF(((S8*'Modelo Tarifário'!$C$61*'Modelo Tarifário'!$E$44)*('Premissas Economias e Água'!T400))&gt;('Premissas Economias e Água'!T260*12*'Modelo Tarifário'!$D$29*'Modelo Tarifário'!$C$61*'Modelo Tarifário'!$E$44),(S8*'Modelo Tarifário'!$C$61*'Modelo Tarifário'!$E$44)*('Premissas Economias e Água'!T400),('Premissas Economias e Água'!T260*12*'Modelo Tarifário'!$D$29*'Modelo Tarifário'!$C$61*'Modelo Tarifário'!$E$44))</f>
        <v>18562.045489754484</v>
      </c>
      <c r="T115" s="1340">
        <f>IF(((T8*'Modelo Tarifário'!$C$61*'Modelo Tarifário'!$E$44)*('Premissas Economias e Água'!U400))&gt;('Premissas Economias e Água'!U260*12*'Modelo Tarifário'!$D$29*'Modelo Tarifário'!$C$61*'Modelo Tarifário'!$E$44),(T8*'Modelo Tarifário'!$C$61*'Modelo Tarifário'!$E$44)*('Premissas Economias e Água'!U400),('Premissas Economias e Água'!U260*12*'Modelo Tarifário'!$D$29*'Modelo Tarifário'!$C$61*'Modelo Tarifário'!$E$44))</f>
        <v>18652.911452845932</v>
      </c>
      <c r="U115" s="1340">
        <f>IF(((U8*'Modelo Tarifário'!$C$61*'Modelo Tarifário'!$E$44)*('Premissas Economias e Água'!V400))&gt;('Premissas Economias e Água'!V260*12*'Modelo Tarifário'!$D$29*'Modelo Tarifário'!$C$61*'Modelo Tarifário'!$E$44),(U8*'Modelo Tarifário'!$C$61*'Modelo Tarifário'!$E$44)*('Premissas Economias e Água'!V400),('Premissas Economias e Água'!V260*12*'Modelo Tarifário'!$D$29*'Modelo Tarifário'!$C$61*'Modelo Tarifário'!$E$44))</f>
        <v>18717.052132675191</v>
      </c>
      <c r="V115" s="1340">
        <f>IF(((V8*'Modelo Tarifário'!$C$61*'Modelo Tarifário'!$E$44)*('Premissas Economias e Água'!W400))&gt;('Premissas Economias e Água'!W260*12*'Modelo Tarifário'!$D$29*'Modelo Tarifário'!$C$61*'Modelo Tarifário'!$E$44),(V8*'Modelo Tarifário'!$C$61*'Modelo Tarifário'!$E$44)*('Premissas Economias e Água'!W400),('Premissas Economias e Água'!W260*12*'Modelo Tarifário'!$D$29*'Modelo Tarifário'!$C$61*'Modelo Tarifário'!$E$44))</f>
        <v>18781.192812504447</v>
      </c>
      <c r="W115" s="1340">
        <f>IF(((W8*'Modelo Tarifário'!$C$61*'Modelo Tarifário'!$E$44)*('Premissas Economias e Água'!X400))&gt;('Premissas Economias e Água'!X260*12*'Modelo Tarifário'!$D$29*'Modelo Tarifário'!$C$61*'Modelo Tarifário'!$E$44),(W8*'Modelo Tarifário'!$C$61*'Modelo Tarifário'!$E$44)*('Premissas Economias e Água'!X400),('Premissas Economias e Água'!X260*12*'Modelo Tarifário'!$D$29*'Modelo Tarifário'!$C$61*'Modelo Tarifário'!$E$44))</f>
        <v>18845.333492333702</v>
      </c>
      <c r="X115" s="1340">
        <f>IF(((X8*'Modelo Tarifário'!$C$61*'Modelo Tarifário'!$E$44)*('Premissas Economias e Água'!Y400))&gt;('Premissas Economias e Água'!Y260*12*'Modelo Tarifário'!$D$29*'Modelo Tarifário'!$C$61*'Modelo Tarifário'!$E$44),(X8*'Modelo Tarifário'!$C$61*'Modelo Tarifário'!$E$44)*('Premissas Economias e Água'!Y400),('Premissas Economias e Água'!Y260*12*'Modelo Tarifário'!$D$29*'Modelo Tarifário'!$C$61*'Modelo Tarifário'!$E$44))</f>
        <v>18909.474172162962</v>
      </c>
      <c r="Y115" s="1340">
        <f>IF(((Y8*'Modelo Tarifário'!$C$61*'Modelo Tarifário'!$E$44)*('Premissas Economias e Água'!Z400))&gt;('Premissas Economias e Água'!Z260*12*'Modelo Tarifário'!$D$29*'Modelo Tarifário'!$C$61*'Modelo Tarifário'!$E$44),(Y8*'Modelo Tarifário'!$C$61*'Modelo Tarifário'!$E$44)*('Premissas Economias e Água'!Z400),('Premissas Economias e Água'!Z260*12*'Modelo Tarifário'!$D$29*'Modelo Tarifário'!$C$61*'Modelo Tarifário'!$E$44))</f>
        <v>18976.287380318437</v>
      </c>
      <c r="Z115" s="1340">
        <f>IF(((Z8*'Modelo Tarifário'!$C$61*'Modelo Tarifário'!$E$44)*('Premissas Economias e Água'!AA400))&gt;('Premissas Economias e Água'!AA260*12*'Modelo Tarifário'!$D$29*'Modelo Tarifário'!$C$61*'Modelo Tarifário'!$E$44),(Z8*'Modelo Tarifário'!$C$61*'Modelo Tarifário'!$E$44)*('Premissas Economias e Água'!AA400),('Premissas Economias e Água'!AA260*12*'Modelo Tarifário'!$D$29*'Modelo Tarifário'!$C$61*'Modelo Tarifário'!$E$44))</f>
        <v>19040.428060147697</v>
      </c>
      <c r="AA115" s="1340">
        <f>IF(((AA8*'Modelo Tarifário'!$C$61*'Modelo Tarifário'!$E$44)*('Premissas Economias e Água'!AB400))&gt;('Premissas Economias e Água'!AB260*12*'Modelo Tarifário'!$D$29*'Modelo Tarifário'!$C$61*'Modelo Tarifário'!$E$44),(AA8*'Modelo Tarifário'!$C$61*'Modelo Tarifário'!$E$44)*('Premissas Economias e Água'!AB400),('Premissas Economias e Água'!AB260*12*'Modelo Tarifário'!$D$29*'Modelo Tarifário'!$C$61*'Modelo Tarifário'!$E$44))</f>
        <v>19104.568739976956</v>
      </c>
      <c r="AB115" s="1340">
        <f>IF(((AB8*'Modelo Tarifário'!$C$61*'Modelo Tarifário'!$E$44)*('Premissas Economias e Água'!AC400))&gt;('Premissas Economias e Água'!AC260*12*'Modelo Tarifário'!$D$29*'Modelo Tarifário'!$C$61*'Modelo Tarifário'!$E$44),(AB8*'Modelo Tarifário'!$C$61*'Modelo Tarifário'!$E$44)*('Premissas Economias e Água'!AC400),('Premissas Economias e Água'!AC260*12*'Modelo Tarifário'!$D$29*'Modelo Tarifário'!$C$61*'Modelo Tarifário'!$E$44))</f>
        <v>19168.709419806215</v>
      </c>
      <c r="AC115" s="1340">
        <f>IF(((AC8*'Modelo Tarifário'!$C$61*'Modelo Tarifário'!$E$44)*('Premissas Economias e Água'!AD400))&gt;('Premissas Economias e Água'!AD260*12*'Modelo Tarifário'!$D$29*'Modelo Tarifário'!$C$61*'Modelo Tarifário'!$E$44),(AC8*'Modelo Tarifário'!$C$61*'Modelo Tarifário'!$E$44)*('Premissas Economias e Água'!AD400),('Premissas Economias e Água'!AD260*12*'Modelo Tarifário'!$D$29*'Modelo Tarifário'!$C$61*'Modelo Tarifário'!$E$44))</f>
        <v>19232.850099635471</v>
      </c>
      <c r="AD115" s="1340">
        <f>IF(((AD8*'Modelo Tarifário'!$C$61*'Modelo Tarifário'!$E$44)*('Premissas Economias e Água'!AE400))&gt;('Premissas Economias e Água'!AE260*12*'Modelo Tarifário'!$D$29*'Modelo Tarifário'!$C$61*'Modelo Tarifário'!$E$44),(AD8*'Modelo Tarifário'!$C$61*'Modelo Tarifário'!$E$44)*('Premissas Economias e Água'!AE400),('Premissas Economias e Água'!AE260*12*'Modelo Tarifário'!$D$29*'Modelo Tarifário'!$C$61*'Modelo Tarifário'!$E$44))</f>
        <v>19296.990779464726</v>
      </c>
      <c r="AE115" s="1340">
        <f>IF(((AE8*'Modelo Tarifário'!$C$61*'Modelo Tarifário'!$E$44)*('Premissas Economias e Água'!AF400))&gt;('Premissas Economias e Água'!AF260*12*'Modelo Tarifário'!$D$29*'Modelo Tarifário'!$C$61*'Modelo Tarifário'!$E$44),(AE8*'Modelo Tarifário'!$C$61*'Modelo Tarifário'!$E$44)*('Premissas Economias e Água'!AF400),('Premissas Economias e Água'!AF260*12*'Modelo Tarifário'!$D$29*'Modelo Tarifário'!$C$61*'Modelo Tarifário'!$E$44))</f>
        <v>19361.131459293985</v>
      </c>
      <c r="AF115" s="1340">
        <f>IF(((AF8*'Modelo Tarifário'!$C$61*'Modelo Tarifário'!$E$44)*('Premissas Economias e Água'!AG400))&gt;('Premissas Economias e Água'!AG260*12*'Modelo Tarifário'!$D$29*'Modelo Tarifário'!$C$61*'Modelo Tarifário'!$E$44),(AF8*'Modelo Tarifário'!$C$61*'Modelo Tarifário'!$E$44)*('Premissas Economias e Água'!AG400),('Premissas Economias e Água'!AG260*12*'Modelo Tarifário'!$D$29*'Modelo Tarifário'!$C$61*'Modelo Tarifário'!$E$44))</f>
        <v>19425.272139123244</v>
      </c>
      <c r="AG115" s="1340">
        <f>IF(((AG8*'Modelo Tarifário'!$C$61*'Modelo Tarifário'!$E$44)*('Premissas Economias e Água'!AH400))&gt;('Premissas Economias e Água'!AH260*12*'Modelo Tarifário'!$D$29*'Modelo Tarifário'!$C$61*'Modelo Tarifário'!$E$44),(AG8*'Modelo Tarifário'!$C$61*'Modelo Tarifário'!$E$44)*('Premissas Economias e Água'!AH400),('Premissas Economias e Água'!AH260*12*'Modelo Tarifário'!$D$29*'Modelo Tarifário'!$C$61*'Modelo Tarifário'!$E$44))</f>
        <v>19489.4128189525</v>
      </c>
      <c r="AH115" s="1340">
        <f>IF(((AH8*'Modelo Tarifário'!$C$61*'Modelo Tarifário'!$E$44)*('Premissas Economias e Água'!AI400))&gt;('Premissas Economias e Água'!AI260*12*'Modelo Tarifário'!$D$29*'Modelo Tarifário'!$C$61*'Modelo Tarifário'!$E$44),(AH8*'Modelo Tarifário'!$C$61*'Modelo Tarifário'!$E$44)*('Premissas Economias e Água'!AI400),('Premissas Economias e Água'!AI260*12*'Modelo Tarifário'!$D$29*'Modelo Tarifário'!$C$61*'Modelo Tarifário'!$E$44))</f>
        <v>19553.553498781755</v>
      </c>
    </row>
    <row r="116" spans="2:34" s="79" customFormat="1" ht="12" hidden="1" outlineLevel="1" x14ac:dyDescent="0.3">
      <c r="B116" s="1341"/>
      <c r="C116" s="1342" t="s">
        <v>14</v>
      </c>
      <c r="D116" s="1343"/>
      <c r="E116" s="1344">
        <f>IF(((E8*'Modelo Tarifário'!$C$61*'Modelo Tarifário'!$E$45)*('Premissas Economias e Água'!F401))&gt;('Premissas Economias e Água'!F261*12*'Modelo Tarifário'!$D$29*'Modelo Tarifário'!$C$61*'Modelo Tarifário'!$E$45),(E8*'Modelo Tarifário'!$C$61*'Modelo Tarifário'!$E$45)*('Premissas Economias e Água'!F401),('Premissas Economias e Água'!F261*12*'Modelo Tarifário'!$D$29*'Modelo Tarifário'!$C$61*'Modelo Tarifário'!$E$45))</f>
        <v>127062.84679213176</v>
      </c>
      <c r="F116" s="1344">
        <f>IF(((F8*'Modelo Tarifário'!$C$61*'Modelo Tarifário'!$E$45)*('Premissas Economias e Água'!G401))&gt;('Premissas Economias e Água'!G261*12*'Modelo Tarifário'!$D$29*'Modelo Tarifário'!$C$61*'Modelo Tarifário'!$E$45),(F8*'Modelo Tarifário'!$C$61*'Modelo Tarifário'!$E$45)*('Premissas Economias e Água'!G401),('Premissas Economias e Água'!G261*12*'Modelo Tarifário'!$D$29*'Modelo Tarifário'!$C$61*'Modelo Tarifário'!$E$45))</f>
        <v>128182.1211349559</v>
      </c>
      <c r="G116" s="1344">
        <f>IF(((G8*'Modelo Tarifário'!$C$61*'Modelo Tarifário'!$E$45)*('Premissas Economias e Água'!H401))&gt;('Premissas Economias e Água'!H261*12*'Modelo Tarifário'!$D$29*'Modelo Tarifário'!$C$61*'Modelo Tarifário'!$E$45),(G8*'Modelo Tarifário'!$C$61*'Modelo Tarifário'!$E$45)*('Premissas Economias e Água'!H401),('Premissas Economias e Água'!H261*12*'Modelo Tarifário'!$D$29*'Modelo Tarifário'!$C$61*'Modelo Tarifário'!$E$45))</f>
        <v>129301.39547778001</v>
      </c>
      <c r="H116" s="1344">
        <f>IF(((H8*'Modelo Tarifário'!$C$61*'Modelo Tarifário'!$E$45)*('Premissas Economias e Água'!I401))&gt;('Premissas Economias e Água'!I261*12*'Modelo Tarifário'!$D$29*'Modelo Tarifário'!$C$61*'Modelo Tarifário'!$E$45),(H8*'Modelo Tarifário'!$C$61*'Modelo Tarifário'!$E$45)*('Premissas Economias e Água'!I401),('Premissas Economias e Água'!I261*12*'Modelo Tarifário'!$D$29*'Modelo Tarifário'!$C$61*'Modelo Tarifário'!$E$45))</f>
        <v>130420.66982060412</v>
      </c>
      <c r="I116" s="1344">
        <f>IF(((I8*'Modelo Tarifário'!$C$61*'Modelo Tarifário'!$E$45)*('Premissas Economias e Água'!J401))&gt;('Premissas Economias e Água'!J261*12*'Modelo Tarifário'!$D$29*'Modelo Tarifário'!$C$61*'Modelo Tarifário'!$E$45),(I8*'Modelo Tarifário'!$C$61*'Modelo Tarifário'!$E$45)*('Premissas Economias e Água'!J401),('Premissas Economias e Água'!J261*12*'Modelo Tarifário'!$D$29*'Modelo Tarifário'!$C$61*'Modelo Tarifário'!$E$45))</f>
        <v>131539.94416342821</v>
      </c>
      <c r="J116" s="1344">
        <f>IF(((J8*'Modelo Tarifário'!$C$61*'Modelo Tarifário'!$E$45)*('Premissas Economias e Água'!K401))&gt;('Premissas Economias e Água'!K261*12*'Modelo Tarifário'!$D$29*'Modelo Tarifário'!$C$61*'Modelo Tarifário'!$E$45),(J8*'Modelo Tarifário'!$C$61*'Modelo Tarifário'!$E$45)*('Premissas Economias e Água'!K401),('Premissas Economias e Água'!K261*12*'Modelo Tarifário'!$D$29*'Modelo Tarifário'!$C$61*'Modelo Tarifário'!$E$45))</f>
        <v>132679.38561152844</v>
      </c>
      <c r="K116" s="1344">
        <f>IF(((K8*'Modelo Tarifário'!$C$61*'Modelo Tarifário'!$E$45)*('Premissas Economias e Água'!L401))&gt;('Premissas Economias e Água'!L261*12*'Modelo Tarifário'!$D$29*'Modelo Tarifário'!$C$61*'Modelo Tarifário'!$E$45),(K8*'Modelo Tarifário'!$C$61*'Modelo Tarifário'!$E$45)*('Premissas Economias e Água'!L401),('Premissas Economias e Água'!L261*12*'Modelo Tarifário'!$D$29*'Modelo Tarifário'!$C$61*'Modelo Tarifário'!$E$45))</f>
        <v>133627.2395595056</v>
      </c>
      <c r="L116" s="1344">
        <f>IF(((L8*'Modelo Tarifário'!$C$61*'Modelo Tarifário'!$E$45)*('Premissas Economias e Água'!M401))&gt;('Premissas Economias e Água'!M261*12*'Modelo Tarifário'!$D$29*'Modelo Tarifário'!$C$61*'Modelo Tarifário'!$E$45),(L8*'Modelo Tarifário'!$C$61*'Modelo Tarifário'!$E$45)*('Premissas Economias e Água'!M401),('Premissas Economias e Água'!M261*12*'Modelo Tarifário'!$D$29*'Modelo Tarifário'!$C$61*'Modelo Tarifário'!$E$45))</f>
        <v>134575.09350748279</v>
      </c>
      <c r="M116" s="1344">
        <f>IF(((M8*'Modelo Tarifário'!$C$61*'Modelo Tarifário'!$E$45)*('Premissas Economias e Água'!N401))&gt;('Premissas Economias e Água'!N261*12*'Modelo Tarifário'!$D$29*'Modelo Tarifário'!$C$61*'Modelo Tarifário'!$E$45),(M8*'Modelo Tarifário'!$C$61*'Modelo Tarifário'!$E$45)*('Premissas Economias e Água'!N401),('Premissas Economias e Água'!N261*12*'Modelo Tarifário'!$D$29*'Modelo Tarifário'!$C$61*'Modelo Tarifário'!$E$45))</f>
        <v>135522.94745545997</v>
      </c>
      <c r="N116" s="1344">
        <f>IF(((N8*'Modelo Tarifário'!$C$61*'Modelo Tarifário'!$E$45)*('Premissas Economias e Água'!O401))&gt;('Premissas Economias e Água'!O261*12*'Modelo Tarifário'!$D$29*'Modelo Tarifário'!$C$61*'Modelo Tarifário'!$E$45),(N8*'Modelo Tarifário'!$C$61*'Modelo Tarifário'!$E$45)*('Premissas Economias e Água'!O401),('Premissas Economias e Água'!O261*12*'Modelo Tarifário'!$D$29*'Modelo Tarifário'!$C$61*'Modelo Tarifário'!$E$45))</f>
        <v>136470.80140343713</v>
      </c>
      <c r="O116" s="1344">
        <f>IF(((O8*'Modelo Tarifário'!$C$61*'Modelo Tarifário'!$E$45)*('Premissas Economias e Água'!P401))&gt;('Premissas Economias e Água'!P261*12*'Modelo Tarifário'!$D$29*'Modelo Tarifário'!$C$61*'Modelo Tarifário'!$E$45),(O8*'Modelo Tarifário'!$C$61*'Modelo Tarifário'!$E$45)*('Premissas Economias e Água'!P401),('Premissas Economias e Água'!P261*12*'Modelo Tarifário'!$D$29*'Modelo Tarifário'!$C$61*'Modelo Tarifário'!$E$45))</f>
        <v>137408.57179877625</v>
      </c>
      <c r="P116" s="1344">
        <f>IF(((P8*'Modelo Tarifário'!$C$61*'Modelo Tarifário'!$E$45)*('Premissas Economias e Água'!Q401))&gt;('Premissas Economias e Água'!Q261*12*'Modelo Tarifário'!$D$29*'Modelo Tarifário'!$C$61*'Modelo Tarifário'!$E$45),(P8*'Modelo Tarifário'!$C$61*'Modelo Tarifário'!$E$45)*('Premissas Economias e Água'!Q401),('Premissas Economias e Água'!Q261*12*'Modelo Tarifário'!$D$29*'Modelo Tarifário'!$C$61*'Modelo Tarifário'!$E$45))</f>
        <v>138074.08627288789</v>
      </c>
      <c r="Q116" s="1344">
        <f>IF(((Q8*'Modelo Tarifário'!$C$61*'Modelo Tarifário'!$E$45)*('Premissas Economias e Água'!R401))&gt;('Premissas Economias e Água'!R261*12*'Modelo Tarifário'!$D$29*'Modelo Tarifário'!$C$61*'Modelo Tarifário'!$E$45),(Q8*'Modelo Tarifário'!$C$61*'Modelo Tarifário'!$E$45)*('Premissas Economias e Água'!R401),('Premissas Economias e Água'!R261*12*'Modelo Tarifário'!$D$29*'Modelo Tarifário'!$C$61*'Modelo Tarifário'!$E$45))</f>
        <v>138739.60074699952</v>
      </c>
      <c r="R116" s="1344">
        <f>IF(((R8*'Modelo Tarifário'!$C$61*'Modelo Tarifário'!$E$45)*('Premissas Economias e Água'!S401))&gt;('Premissas Economias e Água'!S261*12*'Modelo Tarifário'!$D$29*'Modelo Tarifário'!$C$61*'Modelo Tarifário'!$E$45),(R8*'Modelo Tarifário'!$C$61*'Modelo Tarifário'!$E$45)*('Premissas Economias e Água'!S401),('Premissas Economias e Água'!S261*12*'Modelo Tarifário'!$D$29*'Modelo Tarifário'!$C$61*'Modelo Tarifário'!$E$45))</f>
        <v>139405.11522111116</v>
      </c>
      <c r="S116" s="1344">
        <f>IF(((S8*'Modelo Tarifário'!$C$61*'Modelo Tarifário'!$E$45)*('Premissas Economias e Água'!T401))&gt;('Premissas Economias e Água'!T261*12*'Modelo Tarifário'!$D$29*'Modelo Tarifário'!$C$61*'Modelo Tarifário'!$E$45),(S8*'Modelo Tarifário'!$C$61*'Modelo Tarifário'!$E$45)*('Premissas Economias e Água'!T401),('Premissas Economias e Água'!T261*12*'Modelo Tarifário'!$D$29*'Modelo Tarifário'!$C$61*'Modelo Tarifário'!$E$45))</f>
        <v>140070.6296952228</v>
      </c>
      <c r="T116" s="1344">
        <f>IF(((T8*'Modelo Tarifário'!$C$61*'Modelo Tarifário'!$E$45)*('Premissas Economias e Água'!U401))&gt;('Premissas Economias e Água'!U261*12*'Modelo Tarifário'!$D$29*'Modelo Tarifário'!$C$61*'Modelo Tarifário'!$E$45),(T8*'Modelo Tarifário'!$C$61*'Modelo Tarifário'!$E$45)*('Premissas Economias e Água'!U401),('Premissas Economias e Água'!U261*12*'Modelo Tarifário'!$D$29*'Modelo Tarifário'!$C$61*'Modelo Tarifário'!$E$45))</f>
        <v>140756.31127461055</v>
      </c>
      <c r="U116" s="1344">
        <f>IF(((U8*'Modelo Tarifário'!$C$61*'Modelo Tarifário'!$E$45)*('Premissas Economias e Água'!V401))&gt;('Premissas Economias e Água'!V261*12*'Modelo Tarifário'!$D$29*'Modelo Tarifário'!$C$61*'Modelo Tarifário'!$E$45),(U8*'Modelo Tarifário'!$C$61*'Modelo Tarifário'!$E$45)*('Premissas Economias e Água'!V401),('Premissas Economias e Água'!V261*12*'Modelo Tarifário'!$D$29*'Modelo Tarifário'!$C$61*'Modelo Tarifário'!$E$45))</f>
        <v>141240.32180123718</v>
      </c>
      <c r="V116" s="1344">
        <f>IF(((V8*'Modelo Tarifário'!$C$61*'Modelo Tarifário'!$E$45)*('Premissas Economias e Água'!W401))&gt;('Premissas Economias e Água'!W261*12*'Modelo Tarifário'!$D$29*'Modelo Tarifário'!$C$61*'Modelo Tarifário'!$E$45),(V8*'Modelo Tarifário'!$C$61*'Modelo Tarifário'!$E$45)*('Premissas Economias e Água'!W401),('Premissas Economias e Água'!W261*12*'Modelo Tarifário'!$D$29*'Modelo Tarifário'!$C$61*'Modelo Tarifário'!$E$45))</f>
        <v>141724.33232786381</v>
      </c>
      <c r="W116" s="1344">
        <f>IF(((W8*'Modelo Tarifário'!$C$61*'Modelo Tarifário'!$E$45)*('Premissas Economias e Água'!X401))&gt;('Premissas Economias e Água'!X261*12*'Modelo Tarifário'!$D$29*'Modelo Tarifário'!$C$61*'Modelo Tarifário'!$E$45),(W8*'Modelo Tarifário'!$C$61*'Modelo Tarifário'!$E$45)*('Premissas Economias e Água'!X401),('Premissas Economias e Água'!X261*12*'Modelo Tarifário'!$D$29*'Modelo Tarifário'!$C$61*'Modelo Tarifário'!$E$45))</f>
        <v>142208.34285449047</v>
      </c>
      <c r="X116" s="1344">
        <f>IF(((X8*'Modelo Tarifário'!$C$61*'Modelo Tarifário'!$E$45)*('Premissas Economias e Água'!Y401))&gt;('Premissas Economias e Água'!Y261*12*'Modelo Tarifário'!$D$29*'Modelo Tarifário'!$C$61*'Modelo Tarifário'!$E$45),(X8*'Modelo Tarifário'!$C$61*'Modelo Tarifário'!$E$45)*('Premissas Economias e Água'!Y401),('Premissas Economias e Água'!Y261*12*'Modelo Tarifário'!$D$29*'Modelo Tarifário'!$C$61*'Modelo Tarifário'!$E$45))</f>
        <v>142692.35338111711</v>
      </c>
      <c r="Y116" s="1344">
        <f>IF(((Y8*'Modelo Tarifário'!$C$61*'Modelo Tarifário'!$E$45)*('Premissas Economias e Água'!Z401))&gt;('Premissas Economias e Água'!Z261*12*'Modelo Tarifário'!$D$29*'Modelo Tarifário'!$C$61*'Modelo Tarifário'!$E$45),(Y8*'Modelo Tarifário'!$C$61*'Modelo Tarifário'!$E$45)*('Premissas Economias e Água'!Z401),('Premissas Economias e Água'!Z261*12*'Modelo Tarifário'!$D$29*'Modelo Tarifário'!$C$61*'Modelo Tarifário'!$E$45))</f>
        <v>143196.53101301988</v>
      </c>
      <c r="Z116" s="1344">
        <f>IF(((Z8*'Modelo Tarifário'!$C$61*'Modelo Tarifário'!$E$45)*('Premissas Economias e Água'!AA401))&gt;('Premissas Economias e Água'!AA261*12*'Modelo Tarifário'!$D$29*'Modelo Tarifário'!$C$61*'Modelo Tarifário'!$E$45),(Z8*'Modelo Tarifário'!$C$61*'Modelo Tarifário'!$E$45)*('Premissas Economias e Água'!AA401),('Premissas Economias e Água'!AA261*12*'Modelo Tarifário'!$D$29*'Modelo Tarifário'!$C$61*'Modelo Tarifário'!$E$45))</f>
        <v>143680.54153964651</v>
      </c>
      <c r="AA116" s="1344">
        <f>IF(((AA8*'Modelo Tarifário'!$C$61*'Modelo Tarifário'!$E$45)*('Premissas Economias e Água'!AB401))&gt;('Premissas Economias e Água'!AB261*12*'Modelo Tarifário'!$D$29*'Modelo Tarifário'!$C$61*'Modelo Tarifário'!$E$45),(AA8*'Modelo Tarifário'!$C$61*'Modelo Tarifário'!$E$45)*('Premissas Economias e Água'!AB401),('Premissas Economias e Água'!AB261*12*'Modelo Tarifário'!$D$29*'Modelo Tarifário'!$C$61*'Modelo Tarifário'!$E$45))</f>
        <v>144164.55206627317</v>
      </c>
      <c r="AB116" s="1344">
        <f>IF(((AB8*'Modelo Tarifário'!$C$61*'Modelo Tarifário'!$E$45)*('Premissas Economias e Água'!AC401))&gt;('Premissas Economias e Água'!AC261*12*'Modelo Tarifário'!$D$29*'Modelo Tarifário'!$C$61*'Modelo Tarifário'!$E$45),(AB8*'Modelo Tarifário'!$C$61*'Modelo Tarifário'!$E$45)*('Premissas Economias e Água'!AC401),('Premissas Economias e Água'!AC261*12*'Modelo Tarifário'!$D$29*'Modelo Tarifário'!$C$61*'Modelo Tarifário'!$E$45))</f>
        <v>144648.56259289981</v>
      </c>
      <c r="AC116" s="1344">
        <f>IF(((AC8*'Modelo Tarifário'!$C$61*'Modelo Tarifário'!$E$45)*('Premissas Economias e Água'!AD401))&gt;('Premissas Economias e Água'!AD261*12*'Modelo Tarifário'!$D$29*'Modelo Tarifário'!$C$61*'Modelo Tarifário'!$E$45),(AC8*'Modelo Tarifário'!$C$61*'Modelo Tarifário'!$E$45)*('Premissas Economias e Água'!AD401),('Premissas Economias e Água'!AD261*12*'Modelo Tarifário'!$D$29*'Modelo Tarifário'!$C$61*'Modelo Tarifário'!$E$45))</f>
        <v>145132.57311952641</v>
      </c>
      <c r="AD116" s="1344">
        <f>IF(((AD8*'Modelo Tarifário'!$C$61*'Modelo Tarifário'!$E$45)*('Premissas Economias e Água'!AE401))&gt;('Premissas Economias e Água'!AE261*12*'Modelo Tarifário'!$D$29*'Modelo Tarifário'!$C$61*'Modelo Tarifário'!$E$45),(AD8*'Modelo Tarifário'!$C$61*'Modelo Tarifário'!$E$45)*('Premissas Economias e Água'!AE401),('Premissas Economias e Água'!AE261*12*'Modelo Tarifário'!$D$29*'Modelo Tarifário'!$C$61*'Modelo Tarifário'!$E$45))</f>
        <v>145616.5836461531</v>
      </c>
      <c r="AE116" s="1344">
        <f>IF(((AE8*'Modelo Tarifário'!$C$61*'Modelo Tarifário'!$E$45)*('Premissas Economias e Água'!AF401))&gt;('Premissas Economias e Água'!AF261*12*'Modelo Tarifário'!$D$29*'Modelo Tarifário'!$C$61*'Modelo Tarifário'!$E$45),(AE8*'Modelo Tarifário'!$C$61*'Modelo Tarifário'!$E$45)*('Premissas Economias e Água'!AF401),('Premissas Economias e Água'!AF261*12*'Modelo Tarifário'!$D$29*'Modelo Tarifário'!$C$61*'Modelo Tarifário'!$E$45))</f>
        <v>146100.5941727797</v>
      </c>
      <c r="AF116" s="1344">
        <f>IF(((AF8*'Modelo Tarifário'!$C$61*'Modelo Tarifário'!$E$45)*('Premissas Economias e Água'!AG401))&gt;('Premissas Economias e Água'!AG261*12*'Modelo Tarifário'!$D$29*'Modelo Tarifário'!$C$61*'Modelo Tarifário'!$E$45),(AF8*'Modelo Tarifário'!$C$61*'Modelo Tarifário'!$E$45)*('Premissas Economias e Água'!AG401),('Premissas Economias e Água'!AG261*12*'Modelo Tarifário'!$D$29*'Modelo Tarifário'!$C$61*'Modelo Tarifário'!$E$45))</f>
        <v>146584.60469940639</v>
      </c>
      <c r="AG116" s="1344">
        <f>IF(((AG8*'Modelo Tarifário'!$C$61*'Modelo Tarifário'!$E$45)*('Premissas Economias e Água'!AH401))&gt;('Premissas Economias e Água'!AH261*12*'Modelo Tarifário'!$D$29*'Modelo Tarifário'!$C$61*'Modelo Tarifário'!$E$45),(AG8*'Modelo Tarifário'!$C$61*'Modelo Tarifário'!$E$45)*('Premissas Economias e Água'!AH401),('Premissas Economias e Água'!AH261*12*'Modelo Tarifário'!$D$29*'Modelo Tarifário'!$C$61*'Modelo Tarifário'!$E$45))</f>
        <v>147068.61522603303</v>
      </c>
      <c r="AH116" s="1344">
        <f>IF(((AH8*'Modelo Tarifário'!$C$61*'Modelo Tarifário'!$E$45)*('Premissas Economias e Água'!AI401))&gt;('Premissas Economias e Água'!AI261*12*'Modelo Tarifário'!$D$29*'Modelo Tarifário'!$C$61*'Modelo Tarifário'!$E$45),(AH8*'Modelo Tarifário'!$C$61*'Modelo Tarifário'!$E$45)*('Premissas Economias e Água'!AI401),('Premissas Economias e Água'!AI261*12*'Modelo Tarifário'!$D$29*'Modelo Tarifário'!$C$61*'Modelo Tarifário'!$E$45))</f>
        <v>147552.62575265963</v>
      </c>
    </row>
    <row r="117" spans="2:34" s="79" customFormat="1" ht="12" collapsed="1" x14ac:dyDescent="0.3">
      <c r="B117" s="225"/>
      <c r="C117" s="173"/>
      <c r="D117" s="173"/>
      <c r="E117" s="498"/>
      <c r="F117" s="498"/>
      <c r="G117" s="498"/>
      <c r="H117" s="498"/>
      <c r="I117" s="498"/>
      <c r="J117" s="498"/>
      <c r="K117" s="498"/>
      <c r="L117" s="498"/>
      <c r="M117" s="498"/>
      <c r="N117" s="498"/>
      <c r="O117" s="498"/>
      <c r="P117" s="498"/>
      <c r="Q117" s="498"/>
      <c r="R117" s="498"/>
      <c r="S117" s="498"/>
      <c r="T117" s="498"/>
      <c r="U117" s="498"/>
      <c r="V117" s="498"/>
      <c r="W117" s="498"/>
      <c r="X117" s="498"/>
      <c r="Y117" s="498"/>
      <c r="Z117" s="498"/>
      <c r="AA117" s="498"/>
      <c r="AB117" s="498"/>
      <c r="AC117" s="498"/>
      <c r="AD117" s="498"/>
      <c r="AE117" s="498"/>
      <c r="AF117" s="498"/>
      <c r="AG117" s="498"/>
      <c r="AH117" s="498"/>
    </row>
    <row r="118" spans="2:34" s="79" customFormat="1" ht="12.5" thickBot="1" x14ac:dyDescent="0.35">
      <c r="B118" s="169"/>
      <c r="C118" s="169" t="s">
        <v>485</v>
      </c>
      <c r="D118" s="169"/>
      <c r="E118" s="499">
        <f>E9+E21+E33+E45+E57+E69+E81+E93+E105</f>
        <v>51715006.65991614</v>
      </c>
      <c r="F118" s="499">
        <f t="shared" ref="F118:AH118" si="37">F9+F21+F33+F45+F57+F69+F81+F93+F105</f>
        <v>51963422.328385524</v>
      </c>
      <c r="G118" s="499">
        <f t="shared" si="37"/>
        <v>52211837.996854901</v>
      </c>
      <c r="H118" s="499">
        <f t="shared" si="37"/>
        <v>52460253.665324286</v>
      </c>
      <c r="I118" s="499">
        <f t="shared" si="37"/>
        <v>52708669.333793662</v>
      </c>
      <c r="J118" s="499">
        <f t="shared" si="37"/>
        <v>52957039.343395494</v>
      </c>
      <c r="K118" s="499">
        <f t="shared" si="37"/>
        <v>53177177.205672622</v>
      </c>
      <c r="L118" s="499">
        <f t="shared" si="37"/>
        <v>53397315.06794972</v>
      </c>
      <c r="M118" s="499">
        <f t="shared" si="37"/>
        <v>53617452.930226848</v>
      </c>
      <c r="N118" s="499">
        <f t="shared" si="37"/>
        <v>53837590.792503953</v>
      </c>
      <c r="O118" s="499">
        <f t="shared" si="37"/>
        <v>54057679.117923476</v>
      </c>
      <c r="P118" s="499">
        <f t="shared" si="37"/>
        <v>54190009.111614235</v>
      </c>
      <c r="Q118" s="499">
        <f t="shared" si="37"/>
        <v>54322339.105304986</v>
      </c>
      <c r="R118" s="499">
        <f t="shared" si="37"/>
        <v>54454669.098995715</v>
      </c>
      <c r="S118" s="499">
        <f t="shared" si="37"/>
        <v>54586999.092686452</v>
      </c>
      <c r="T118" s="499">
        <f t="shared" si="37"/>
        <v>54720053.641424127</v>
      </c>
      <c r="U118" s="499">
        <f t="shared" si="37"/>
        <v>54778861.033400267</v>
      </c>
      <c r="V118" s="499">
        <f t="shared" si="37"/>
        <v>54837668.42537643</v>
      </c>
      <c r="W118" s="499">
        <f t="shared" si="37"/>
        <v>54896475.817352578</v>
      </c>
      <c r="X118" s="499">
        <f t="shared" si="37"/>
        <v>54955283.209328733</v>
      </c>
      <c r="Y118" s="499">
        <f t="shared" si="37"/>
        <v>55013923.193846487</v>
      </c>
      <c r="Z118" s="499">
        <f t="shared" si="37"/>
        <v>55072730.585822642</v>
      </c>
      <c r="AA118" s="499">
        <f t="shared" si="37"/>
        <v>55131537.977798805</v>
      </c>
      <c r="AB118" s="499">
        <f t="shared" si="37"/>
        <v>55190345.36977496</v>
      </c>
      <c r="AC118" s="499">
        <f t="shared" si="37"/>
        <v>55249152.761751115</v>
      </c>
      <c r="AD118" s="499">
        <f t="shared" si="37"/>
        <v>55307960.153727263</v>
      </c>
      <c r="AE118" s="499">
        <f t="shared" si="37"/>
        <v>55366767.545703411</v>
      </c>
      <c r="AF118" s="499">
        <f t="shared" si="37"/>
        <v>55425574.937679566</v>
      </c>
      <c r="AG118" s="499">
        <f t="shared" si="37"/>
        <v>55484382.329655729</v>
      </c>
      <c r="AH118" s="499">
        <f t="shared" si="37"/>
        <v>55543189.72163187</v>
      </c>
    </row>
    <row r="119" spans="2:34" s="79" customFormat="1" ht="12.5" thickTop="1" x14ac:dyDescent="0.3">
      <c r="B119" s="170"/>
      <c r="C119" s="168" t="s">
        <v>19</v>
      </c>
      <c r="D119" s="168"/>
      <c r="E119" s="500">
        <f>E118*'Premissas Gerais'!$E$51*(1+Sensibilidade!$G$10)</f>
        <v>8594781.9077279568</v>
      </c>
      <c r="F119" s="500">
        <f>F118*'Premissas Gerais'!$E$52*(1+Sensibilidade!$G$10)</f>
        <v>4941735.428743775</v>
      </c>
      <c r="G119" s="500">
        <f>G118*'Premissas Gerais'!$E$53*(1+Sensibilidade!$G$10)</f>
        <v>3930463.1872084667</v>
      </c>
      <c r="H119" s="500">
        <f>H118*'Premissas Gerais'!$E$54*(1+Sensibilidade!$G$10)</f>
        <v>3417288.2181796688</v>
      </c>
      <c r="I119" s="500">
        <f>I118*'Premissas Gerais'!$E$55*(1+Sensibilidade!$G$10)</f>
        <v>3162211.2051633047</v>
      </c>
      <c r="J119" s="500">
        <f>J118*'Premissas Gerais'!$E$56*(1+Sensibilidade!$G$10)</f>
        <v>2964653.4905509069</v>
      </c>
      <c r="K119" s="500">
        <f>K118*'Premissas Gerais'!$E$57*(1+Sensibilidade!$G$10)</f>
        <v>2833476.4203254096</v>
      </c>
      <c r="L119" s="500">
        <f>L118*'Premissas Gerais'!$E$58*(1+Sensibilidade!$G$10)</f>
        <v>2845206.1787435841</v>
      </c>
      <c r="M119" s="500">
        <f>M118*'Premissas Gerais'!$E$59*(1+Sensibilidade!$G$10)</f>
        <v>2856935.9371617604</v>
      </c>
      <c r="N119" s="500">
        <f>N118*'Premissas Gerais'!$E$60*(1+Sensibilidade!$G$10)</f>
        <v>2868665.6955799353</v>
      </c>
      <c r="O119" s="500">
        <f>O118*'Premissas Gerais'!$E$61*(1+Sensibilidade!$G$10)</f>
        <v>2880392.8144913656</v>
      </c>
      <c r="P119" s="500">
        <f>P118*'Premissas Gerais'!$E$62*(1+Sensibilidade!$G$10)</f>
        <v>2887443.8453381965</v>
      </c>
      <c r="Q119" s="500">
        <f>Q118*'Premissas Gerais'!$E$63*(1+Sensibilidade!$G$10)</f>
        <v>2894494.8761850265</v>
      </c>
      <c r="R119" s="500">
        <f>R118*'Premissas Gerais'!$E$64*(1+Sensibilidade!$G$10)</f>
        <v>2901545.9070318555</v>
      </c>
      <c r="S119" s="500">
        <f>S118*'Premissas Gerais'!$E$65*(1+Sensibilidade!$G$10)</f>
        <v>2908596.9378786851</v>
      </c>
      <c r="T119" s="500">
        <f>T118*'Premissas Gerais'!$E$66*(1+Sensibilidade!$G$10)</f>
        <v>2915686.5756946807</v>
      </c>
      <c r="U119" s="500">
        <f>U118*'Premissas Gerais'!$E$67*(1+Sensibilidade!$G$10)</f>
        <v>2918820.0507541173</v>
      </c>
      <c r="V119" s="500">
        <f>V118*'Premissas Gerais'!$E$68*(1+Sensibilidade!$G$10)</f>
        <v>2921953.5258135553</v>
      </c>
      <c r="W119" s="500">
        <f>W118*'Premissas Gerais'!$E$69*(1+Sensibilidade!$G$10)</f>
        <v>2925087.0008729929</v>
      </c>
      <c r="X119" s="500">
        <f>X118*'Premissas Gerais'!$E$70*(1+Sensibilidade!$G$10)</f>
        <v>2928220.4759324305</v>
      </c>
      <c r="Y119" s="500">
        <f>Y118*'Premissas Gerais'!$E$70*(1+Sensibilidade!$G$10)</f>
        <v>2931345.0309041371</v>
      </c>
      <c r="Z119" s="500">
        <f>Z118*'Premissas Gerais'!$E$70*(1+Sensibilidade!$G$10)</f>
        <v>2934478.5059635746</v>
      </c>
      <c r="AA119" s="500">
        <f>AA118*'Premissas Gerais'!$E$70*(1+Sensibilidade!$G$10)</f>
        <v>2937611.9810230127</v>
      </c>
      <c r="AB119" s="500">
        <f>AB118*'Premissas Gerais'!$E$70*(1+Sensibilidade!$G$10)</f>
        <v>2940745.4560824502</v>
      </c>
      <c r="AC119" s="500">
        <f>AC118*'Premissas Gerais'!$E$70*(1+Sensibilidade!$G$10)</f>
        <v>2943878.9311418878</v>
      </c>
      <c r="AD119" s="500">
        <f>AD118*'Premissas Gerais'!$E$70*(1+Sensibilidade!$G$10)</f>
        <v>2947012.4062013249</v>
      </c>
      <c r="AE119" s="500">
        <f>AE118*'Premissas Gerais'!$E$70*(1+Sensibilidade!$G$10)</f>
        <v>2950145.881260762</v>
      </c>
      <c r="AF119" s="500">
        <f>AF118*'Premissas Gerais'!$E$70*(1+Sensibilidade!$G$10)</f>
        <v>2953279.3563202</v>
      </c>
      <c r="AG119" s="500">
        <f>AG118*'Premissas Gerais'!$E$70*(1+Sensibilidade!$G$10)</f>
        <v>2956412.8313796381</v>
      </c>
      <c r="AH119" s="500">
        <f>AH118*'Premissas Gerais'!$E$70*(1+Sensibilidade!$G$10)</f>
        <v>2959546.3064390747</v>
      </c>
    </row>
    <row r="120" spans="2:34" s="79" customFormat="1" ht="12.5" thickBot="1" x14ac:dyDescent="0.35">
      <c r="B120" s="177"/>
      <c r="C120" s="177" t="s">
        <v>486</v>
      </c>
      <c r="D120" s="177"/>
      <c r="E120" s="501">
        <f>E118-E119</f>
        <v>43120224.752188183</v>
      </c>
      <c r="F120" s="501">
        <f t="shared" ref="F120:AH120" si="38">F118-F119</f>
        <v>47021686.899641752</v>
      </c>
      <c r="G120" s="501">
        <f t="shared" si="38"/>
        <v>48281374.809646435</v>
      </c>
      <c r="H120" s="501">
        <f t="shared" si="38"/>
        <v>49042965.44714462</v>
      </c>
      <c r="I120" s="501">
        <f t="shared" si="38"/>
        <v>49546458.128630355</v>
      </c>
      <c r="J120" s="501">
        <f t="shared" si="38"/>
        <v>49992385.852844588</v>
      </c>
      <c r="K120" s="501">
        <f t="shared" si="38"/>
        <v>50343700.785347208</v>
      </c>
      <c r="L120" s="501">
        <f t="shared" si="38"/>
        <v>50552108.889206134</v>
      </c>
      <c r="M120" s="501">
        <f t="shared" si="38"/>
        <v>50760516.993065089</v>
      </c>
      <c r="N120" s="501">
        <f t="shared" si="38"/>
        <v>50968925.096924014</v>
      </c>
      <c r="O120" s="501">
        <f t="shared" si="38"/>
        <v>51177286.303432107</v>
      </c>
      <c r="P120" s="501">
        <f t="shared" si="38"/>
        <v>51302565.266276039</v>
      </c>
      <c r="Q120" s="501">
        <f t="shared" si="38"/>
        <v>51427844.229119956</v>
      </c>
      <c r="R120" s="501">
        <f t="shared" si="38"/>
        <v>51553123.191963859</v>
      </c>
      <c r="S120" s="501">
        <f t="shared" si="38"/>
        <v>51678402.154807769</v>
      </c>
      <c r="T120" s="501">
        <f t="shared" si="38"/>
        <v>51804367.065729447</v>
      </c>
      <c r="U120" s="501">
        <f t="shared" si="38"/>
        <v>51860040.982646152</v>
      </c>
      <c r="V120" s="501">
        <f t="shared" si="38"/>
        <v>51915714.899562873</v>
      </c>
      <c r="W120" s="501">
        <f t="shared" si="38"/>
        <v>51971388.816479586</v>
      </c>
      <c r="X120" s="501">
        <f t="shared" si="38"/>
        <v>52027062.733396307</v>
      </c>
      <c r="Y120" s="501">
        <f t="shared" si="38"/>
        <v>52082578.16294235</v>
      </c>
      <c r="Z120" s="501">
        <f t="shared" si="38"/>
        <v>52138252.07985907</v>
      </c>
      <c r="AA120" s="501">
        <f t="shared" si="38"/>
        <v>52193925.996775791</v>
      </c>
      <c r="AB120" s="501">
        <f t="shared" si="38"/>
        <v>52249599.913692512</v>
      </c>
      <c r="AC120" s="501">
        <f t="shared" si="38"/>
        <v>52305273.830609225</v>
      </c>
      <c r="AD120" s="501">
        <f t="shared" si="38"/>
        <v>52360947.747525938</v>
      </c>
      <c r="AE120" s="501">
        <f t="shared" si="38"/>
        <v>52416621.664442651</v>
      </c>
      <c r="AF120" s="501">
        <f t="shared" si="38"/>
        <v>52472295.581359364</v>
      </c>
      <c r="AG120" s="501">
        <f t="shared" si="38"/>
        <v>52527969.498276092</v>
      </c>
      <c r="AH120" s="501">
        <f t="shared" si="38"/>
        <v>52583643.415192798</v>
      </c>
    </row>
    <row r="121" spans="2:34" s="79" customFormat="1" ht="9.75" customHeight="1" thickTop="1" x14ac:dyDescent="0.3"/>
    <row r="122" spans="2:34" s="79" customFormat="1" ht="12" x14ac:dyDescent="0.3">
      <c r="B122" s="180"/>
      <c r="C122" s="180" t="s">
        <v>37</v>
      </c>
      <c r="D122" s="180"/>
      <c r="E122" s="181"/>
      <c r="F122" s="181"/>
      <c r="G122" s="181"/>
      <c r="H122" s="181"/>
      <c r="I122" s="181"/>
      <c r="J122" s="181"/>
      <c r="K122" s="181"/>
      <c r="L122" s="181"/>
      <c r="M122" s="181"/>
      <c r="N122" s="181"/>
      <c r="O122" s="181"/>
      <c r="P122" s="181"/>
      <c r="Q122" s="181"/>
      <c r="R122" s="181"/>
      <c r="S122" s="181"/>
      <c r="T122" s="181"/>
      <c r="U122" s="181"/>
      <c r="V122" s="181"/>
      <c r="W122" s="181"/>
      <c r="X122" s="181"/>
      <c r="Y122" s="181"/>
      <c r="Z122" s="181"/>
      <c r="AA122" s="181"/>
      <c r="AB122" s="181"/>
      <c r="AC122" s="181"/>
      <c r="AD122" s="181"/>
      <c r="AE122" s="181"/>
      <c r="AF122" s="181"/>
      <c r="AG122" s="181"/>
      <c r="AH122" s="181"/>
    </row>
    <row r="123" spans="2:34" s="79" customFormat="1" ht="12" x14ac:dyDescent="0.3">
      <c r="B123" s="167"/>
      <c r="C123" s="168" t="s">
        <v>487</v>
      </c>
      <c r="D123" s="168"/>
      <c r="E123" s="495">
        <f>IF(E4&gt;'Premissas Gerais'!$E$7,0,'Premissas Geração de Resíduos'!D142)</f>
        <v>16643.099342549998</v>
      </c>
      <c r="F123" s="495">
        <f>IF(F4&gt;'Premissas Gerais'!$E$7,0,'Premissas Geração de Resíduos'!E142)</f>
        <v>16720.403955785001</v>
      </c>
      <c r="G123" s="495">
        <f>IF(G4&gt;'Premissas Gerais'!$E$7,0,'Premissas Geração de Resíduos'!F142)</f>
        <v>16797.708569019997</v>
      </c>
      <c r="H123" s="495">
        <f>IF(H4&gt;'Premissas Gerais'!$E$7,0,'Premissas Geração de Resíduos'!G142)</f>
        <v>16875.013182254996</v>
      </c>
      <c r="I123" s="495">
        <f>IF(I4&gt;'Premissas Gerais'!$E$7,0,'Premissas Geração de Resíduos'!H142)</f>
        <v>16952.317795489998</v>
      </c>
      <c r="J123" s="495">
        <f>IF(J4&gt;'Premissas Gerais'!$E$7,0,'Premissas Geração de Resíduos'!I142)</f>
        <v>17029.559960529998</v>
      </c>
      <c r="K123" s="495">
        <f>IF(K4&gt;'Premissas Gerais'!$E$7,0,'Premissas Geração de Resíduos'!J142)</f>
        <v>17096.731636964996</v>
      </c>
      <c r="L123" s="495">
        <f>IF(L4&gt;'Premissas Gerais'!$E$7,0,'Premissas Geração de Resíduos'!K142)</f>
        <v>17163.903313399998</v>
      </c>
      <c r="M123" s="495">
        <f>IF(M4&gt;'Premissas Gerais'!$E$7,0,'Premissas Geração de Resíduos'!L142)</f>
        <v>17231.074989834997</v>
      </c>
      <c r="N123" s="495">
        <f>IF(N4&gt;'Premissas Gerais'!$E$7,0,'Premissas Geração de Resíduos'!M142)</f>
        <v>17298.246666269999</v>
      </c>
      <c r="O123" s="495">
        <f>IF(O4&gt;'Premissas Gerais'!$E$7,0,'Premissas Geração de Resíduos'!N142)</f>
        <v>17365.294990969996</v>
      </c>
      <c r="P123" s="495">
        <f>IF(P4&gt;'Premissas Gerais'!$E$7,0,'Premissas Geração de Resíduos'!O142)</f>
        <v>17404.118717514997</v>
      </c>
      <c r="Q123" s="495">
        <f>IF(Q4&gt;'Premissas Gerais'!$E$7,0,'Premissas Geração de Resíduos'!P142)</f>
        <v>17442.942444059994</v>
      </c>
      <c r="R123" s="495">
        <f>IF(R4&gt;'Premissas Gerais'!$E$7,0,'Premissas Geração de Resíduos'!Q142)</f>
        <v>17481.766170604991</v>
      </c>
      <c r="S123" s="495">
        <f>IF(S4&gt;'Premissas Gerais'!$E$7,0,'Premissas Geração de Resíduos'!R142)</f>
        <v>17520.589897149999</v>
      </c>
      <c r="T123" s="495">
        <f>IF(T4&gt;'Premissas Gerais'!$E$7,0,'Premissas Geração de Resíduos'!S142)</f>
        <v>17559.598026079995</v>
      </c>
      <c r="U123" s="495">
        <f>IF(U4&gt;'Premissas Gerais'!$E$7,0,'Premissas Geração de Resíduos'!T142)</f>
        <v>17575.202792884997</v>
      </c>
      <c r="V123" s="495">
        <f>IF(V4&gt;'Premissas Gerais'!$E$7,0,'Premissas Geração de Resíduos'!U142)</f>
        <v>17590.807559689994</v>
      </c>
      <c r="W123" s="495">
        <f>IF(W4&gt;'Premissas Gerais'!$E$7,0,'Premissas Geração de Resíduos'!V142)</f>
        <v>17606.412326494999</v>
      </c>
      <c r="X123" s="495">
        <f>IF(X4&gt;'Premissas Gerais'!$E$7,0,'Premissas Geração de Resíduos'!W142)</f>
        <v>17622.017093299997</v>
      </c>
      <c r="Y123" s="495">
        <f>IF(Y4&gt;'Premissas Gerais'!$E$7,0,'Premissas Geração de Resíduos'!X142)</f>
        <v>17637.669817964994</v>
      </c>
      <c r="Z123" s="495">
        <f>IF(Z4&gt;'Premissas Gerais'!$E$7,0,'Premissas Geração de Resíduos'!Y142)</f>
        <v>17653.274584769999</v>
      </c>
      <c r="AA123" s="495">
        <f>IF(AA4&gt;'Premissas Gerais'!$E$7,0,'Premissas Geração de Resíduos'!Z142)</f>
        <v>17668.879351574997</v>
      </c>
      <c r="AB123" s="495">
        <f>IF(AB4&gt;'Premissas Gerais'!$E$7,0,'Premissas Geração de Resíduos'!AA142)</f>
        <v>17684.484118379998</v>
      </c>
      <c r="AC123" s="495">
        <f>IF(AC4&gt;'Premissas Gerais'!$E$7,0,'Premissas Geração de Resíduos'!AB142)</f>
        <v>17700.088885184996</v>
      </c>
      <c r="AD123" s="495">
        <f>IF(AD4&gt;'Premissas Gerais'!$E$7,0,'Premissas Geração de Resíduos'!AC142)</f>
        <v>17715.693651989997</v>
      </c>
      <c r="AE123" s="495">
        <f>IF(AE4&gt;'Premissas Gerais'!$E$7,0,'Premissas Geração de Resíduos'!AD142)</f>
        <v>17731.298418794999</v>
      </c>
      <c r="AF123" s="495">
        <f>IF(AF4&gt;'Premissas Gerais'!$E$7,0,'Premissas Geração de Resíduos'!AE142)</f>
        <v>17746.9031856</v>
      </c>
      <c r="AG123" s="495">
        <f>IF(AG4&gt;'Premissas Gerais'!$E$7,0,'Premissas Geração de Resíduos'!AF142)</f>
        <v>17762.507952404998</v>
      </c>
      <c r="AH123" s="495">
        <f>IF(AH4&gt;'Premissas Gerais'!$E$7,0,'Premissas Geração de Resíduos'!AG142)</f>
        <v>17778.112719209999</v>
      </c>
    </row>
    <row r="124" spans="2:34" s="79" customFormat="1" ht="12" x14ac:dyDescent="0.3">
      <c r="C124" s="1327" t="s">
        <v>200</v>
      </c>
      <c r="D124" s="275"/>
      <c r="E124" s="1328">
        <f t="shared" ref="E124:AH124" si="39">SUM(E125:E133)</f>
        <v>3722535.0329589979</v>
      </c>
      <c r="F124" s="1328">
        <f t="shared" si="39"/>
        <v>3739825.6304044463</v>
      </c>
      <c r="G124" s="1328">
        <f t="shared" si="39"/>
        <v>3757116.2278498942</v>
      </c>
      <c r="H124" s="1328">
        <f t="shared" si="39"/>
        <v>3774406.8252953421</v>
      </c>
      <c r="I124" s="1328">
        <f t="shared" si="39"/>
        <v>3791697.4227407905</v>
      </c>
      <c r="J124" s="1328">
        <f t="shared" si="39"/>
        <v>3808974.0524997604</v>
      </c>
      <c r="K124" s="1328">
        <f t="shared" si="39"/>
        <v>3823998.2324079219</v>
      </c>
      <c r="L124" s="1328">
        <f t="shared" si="39"/>
        <v>3839022.4123160834</v>
      </c>
      <c r="M124" s="1328">
        <f t="shared" si="39"/>
        <v>3854046.5922242445</v>
      </c>
      <c r="N124" s="1328">
        <f t="shared" si="39"/>
        <v>3869070.7721324065</v>
      </c>
      <c r="O124" s="1328">
        <f t="shared" si="39"/>
        <v>3884067.3621580903</v>
      </c>
      <c r="P124" s="1328">
        <f t="shared" si="39"/>
        <v>3892751.0020979359</v>
      </c>
      <c r="Q124" s="1328">
        <f t="shared" si="39"/>
        <v>3901434.6420377814</v>
      </c>
      <c r="R124" s="1328">
        <f t="shared" si="39"/>
        <v>3910118.281977626</v>
      </c>
      <c r="S124" s="1328">
        <f t="shared" si="39"/>
        <v>3918801.9219174716</v>
      </c>
      <c r="T124" s="1328">
        <f t="shared" si="39"/>
        <v>3927526.8068396491</v>
      </c>
      <c r="U124" s="1328">
        <f t="shared" si="39"/>
        <v>3931017.0997182275</v>
      </c>
      <c r="V124" s="1328">
        <f t="shared" si="39"/>
        <v>3934507.392596805</v>
      </c>
      <c r="W124" s="1328">
        <f t="shared" si="39"/>
        <v>3937997.6854753834</v>
      </c>
      <c r="X124" s="1328">
        <f t="shared" si="39"/>
        <v>3941487.9783539609</v>
      </c>
      <c r="Y124" s="1328">
        <f t="shared" si="39"/>
        <v>3944988.997889292</v>
      </c>
      <c r="Z124" s="1328">
        <f t="shared" si="39"/>
        <v>3948479.2907678699</v>
      </c>
      <c r="AA124" s="1328">
        <f t="shared" si="39"/>
        <v>3951969.5836464483</v>
      </c>
      <c r="AB124" s="1328">
        <f t="shared" si="39"/>
        <v>3955459.8765250253</v>
      </c>
      <c r="AC124" s="1328">
        <f t="shared" si="39"/>
        <v>3958950.1694036052</v>
      </c>
      <c r="AD124" s="1328">
        <f t="shared" si="39"/>
        <v>3962440.4622821826</v>
      </c>
      <c r="AE124" s="1328">
        <f t="shared" si="39"/>
        <v>3965930.7551607601</v>
      </c>
      <c r="AF124" s="1328">
        <f t="shared" si="39"/>
        <v>3969421.0480393381</v>
      </c>
      <c r="AG124" s="1328">
        <f t="shared" si="39"/>
        <v>3972911.340917916</v>
      </c>
      <c r="AH124" s="1328">
        <f t="shared" si="39"/>
        <v>3976401.633796494</v>
      </c>
    </row>
    <row r="125" spans="2:34" s="79" customFormat="1" ht="12" x14ac:dyDescent="0.3">
      <c r="C125" s="173" t="s">
        <v>1</v>
      </c>
      <c r="D125" s="1346"/>
      <c r="E125" s="502">
        <f>'Premissas Gerais'!$J$35*'Premissas Geração de Resíduos'!D132</f>
        <v>29600.340925676817</v>
      </c>
      <c r="F125" s="502">
        <f>'Premissas Gerais'!$J$35*'Premissas Geração de Resíduos'!E132</f>
        <v>29432.284485901968</v>
      </c>
      <c r="G125" s="502">
        <f>'Premissas Gerais'!$J$35*'Premissas Geração de Resíduos'!F132</f>
        <v>29264.228046127122</v>
      </c>
      <c r="H125" s="502">
        <f>'Premissas Gerais'!$J$35*'Premissas Geração de Resíduos'!G132</f>
        <v>29096.171606352273</v>
      </c>
      <c r="I125" s="502">
        <f>'Premissas Gerais'!$J$35*'Premissas Geração de Resíduos'!H132</f>
        <v>28928.115166577416</v>
      </c>
      <c r="J125" s="502">
        <f>'Premissas Gerais'!$J$35*'Premissas Geração de Resíduos'!I132</f>
        <v>28760.058726802574</v>
      </c>
      <c r="K125" s="502">
        <f>'Premissas Gerais'!$J$35*'Premissas Geração de Resíduos'!J132</f>
        <v>28547.18723642109</v>
      </c>
      <c r="L125" s="502">
        <f>'Premissas Gerais'!$J$35*'Premissas Geração de Resíduos'!K132</f>
        <v>28334.315746039621</v>
      </c>
      <c r="M125" s="502">
        <f>'Premissas Gerais'!$J$35*'Premissas Geração de Resíduos'!L132</f>
        <v>28121.444255658142</v>
      </c>
      <c r="N125" s="502">
        <f>'Premissas Gerais'!$J$35*'Premissas Geração de Resíduos'!M132</f>
        <v>27908.572765276665</v>
      </c>
      <c r="O125" s="502">
        <f>'Premissas Gerais'!$J$35*'Premissas Geração de Resíduos'!N132</f>
        <v>27718.108800198504</v>
      </c>
      <c r="P125" s="502">
        <f>'Premissas Gerais'!$J$35*'Premissas Geração de Resíduos'!O132</f>
        <v>27471.626021862055</v>
      </c>
      <c r="Q125" s="502">
        <f>'Premissas Gerais'!$J$35*'Premissas Geração de Resíduos'!P132</f>
        <v>27225.14324352561</v>
      </c>
      <c r="R125" s="502">
        <f>'Premissas Gerais'!$J$35*'Premissas Geração de Resíduos'!Q132</f>
        <v>26978.660465189165</v>
      </c>
      <c r="S125" s="502">
        <f>'Premissas Gerais'!$J$35*'Premissas Geração de Resíduos'!R132</f>
        <v>26732.177686852719</v>
      </c>
      <c r="T125" s="502">
        <f>'Premissas Gerais'!$J$35*'Premissas Geração de Resíduos'!S132</f>
        <v>26496.898671167932</v>
      </c>
      <c r="U125" s="502">
        <f>'Premissas Gerais'!$J$35*'Premissas Geração de Resíduos'!T132</f>
        <v>26239.212130179829</v>
      </c>
      <c r="V125" s="502">
        <f>'Premissas Gerais'!$J$35*'Premissas Geração de Resíduos'!U132</f>
        <v>25981.525589191726</v>
      </c>
      <c r="W125" s="502">
        <f>'Premissas Gerais'!$J$35*'Premissas Geração de Resíduos'!V132</f>
        <v>25723.839048203623</v>
      </c>
      <c r="X125" s="502">
        <f>'Premissas Gerais'!$J$35*'Premissas Geração de Resíduos'!W132</f>
        <v>25466.15250721552</v>
      </c>
      <c r="Y125" s="502">
        <f>'Premissas Gerais'!$J$35*'Premissas Geração de Resíduos'!X132</f>
        <v>25186.058440924109</v>
      </c>
      <c r="Z125" s="502">
        <f>'Premissas Gerais'!$J$35*'Premissas Geração de Resíduos'!Y132</f>
        <v>24928.371899936003</v>
      </c>
      <c r="AA125" s="502">
        <f>'Premissas Gerais'!$J$35*'Premissas Geração de Resíduos'!Z132</f>
        <v>24670.6853589479</v>
      </c>
      <c r="AB125" s="502">
        <f>'Premissas Gerais'!$J$35*'Premissas Geração de Resíduos'!AA132</f>
        <v>24412.9988179598</v>
      </c>
      <c r="AC125" s="502">
        <f>'Premissas Gerais'!$J$35*'Premissas Geração de Resíduos'!AB132</f>
        <v>24155.312276971694</v>
      </c>
      <c r="AD125" s="502">
        <f>'Premissas Gerais'!$J$35*'Premissas Geração de Resíduos'!AC132</f>
        <v>23897.625735983594</v>
      </c>
      <c r="AE125" s="502">
        <f>'Premissas Gerais'!$J$35*'Premissas Geração de Resíduos'!AD132</f>
        <v>23639.939194995492</v>
      </c>
      <c r="AF125" s="502">
        <f>'Premissas Gerais'!$J$35*'Premissas Geração de Resíduos'!AE132</f>
        <v>23382.252654007385</v>
      </c>
      <c r="AG125" s="502">
        <f>'Premissas Gerais'!$J$35*'Premissas Geração de Resíduos'!AF132</f>
        <v>23124.566113019286</v>
      </c>
      <c r="AH125" s="502">
        <f>'Premissas Gerais'!$J$35*'Premissas Geração de Resíduos'!AG132</f>
        <v>22866.879572031183</v>
      </c>
    </row>
    <row r="126" spans="2:34" s="79" customFormat="1" ht="12" x14ac:dyDescent="0.3">
      <c r="C126" s="173" t="s">
        <v>2</v>
      </c>
      <c r="D126" s="1346"/>
      <c r="E126" s="502">
        <f>'Premissas Gerais'!$J$35*'Premissas Geração de Resíduos'!D133</f>
        <v>346349.07143913925</v>
      </c>
      <c r="F126" s="502">
        <f>'Premissas Gerais'!$J$35*'Premissas Geração de Resíduos'!E133</f>
        <v>346544.01032850711</v>
      </c>
      <c r="G126" s="502">
        <f>'Premissas Gerais'!$J$35*'Premissas Geração de Resíduos'!F133</f>
        <v>346738.94921787491</v>
      </c>
      <c r="H126" s="502">
        <f>'Premissas Gerais'!$J$35*'Premissas Geração de Resíduos'!G133</f>
        <v>346933.8881072427</v>
      </c>
      <c r="I126" s="502">
        <f>'Premissas Gerais'!$J$35*'Premissas Geração de Resíduos'!H133</f>
        <v>347128.82699661056</v>
      </c>
      <c r="J126" s="502">
        <f>'Premissas Gerais'!$J$35*'Premissas Geração de Resíduos'!I133</f>
        <v>347346.69987296278</v>
      </c>
      <c r="K126" s="502">
        <f>'Premissas Gerais'!$J$35*'Premissas Geração de Resíduos'!J133</f>
        <v>346830.68516581267</v>
      </c>
      <c r="L126" s="502">
        <f>'Premissas Gerais'!$J$35*'Premissas Geração de Resíduos'!K133</f>
        <v>346314.67045866261</v>
      </c>
      <c r="M126" s="502">
        <f>'Premissas Gerais'!$J$35*'Premissas Geração de Resíduos'!L133</f>
        <v>345798.6557515125</v>
      </c>
      <c r="N126" s="502">
        <f>'Premissas Gerais'!$J$35*'Premissas Geração de Resíduos'!M133</f>
        <v>345282.64104436239</v>
      </c>
      <c r="O126" s="502">
        <f>'Premissas Gerais'!$J$35*'Premissas Geração de Resíduos'!N133</f>
        <v>344766.62633721234</v>
      </c>
      <c r="P126" s="502">
        <f>'Premissas Gerais'!$J$35*'Premissas Geração de Resíduos'!O133</f>
        <v>343768.99790338887</v>
      </c>
      <c r="Q126" s="502">
        <f>'Premissas Gerais'!$J$35*'Premissas Geração de Resíduos'!P133</f>
        <v>342771.36946956528</v>
      </c>
      <c r="R126" s="502">
        <f>'Premissas Gerais'!$J$35*'Premissas Geração de Resíduos'!Q133</f>
        <v>341773.74103574175</v>
      </c>
      <c r="S126" s="502">
        <f>'Premissas Gerais'!$J$35*'Premissas Geração de Resíduos'!R133</f>
        <v>340776.11260191834</v>
      </c>
      <c r="T126" s="502">
        <f>'Premissas Gerais'!$J$35*'Premissas Geração de Resíduos'!S133</f>
        <v>339755.55018111033</v>
      </c>
      <c r="U126" s="502">
        <f>'Premissas Gerais'!$J$35*'Premissas Geração de Resíduos'!T133</f>
        <v>338322.1759945823</v>
      </c>
      <c r="V126" s="502">
        <f>'Premissas Gerais'!$J$35*'Premissas Geração de Resíduos'!U133</f>
        <v>336888.80180805433</v>
      </c>
      <c r="W126" s="502">
        <f>'Premissas Gerais'!$J$35*'Premissas Geração de Resíduos'!V133</f>
        <v>335455.42762152629</v>
      </c>
      <c r="X126" s="502">
        <f>'Premissas Gerais'!$J$35*'Premissas Geração de Resíduos'!W133</f>
        <v>334022.05343499832</v>
      </c>
      <c r="Y126" s="502">
        <f>'Premissas Gerais'!$J$35*'Premissas Geração de Resíduos'!X133</f>
        <v>332600.1462419625</v>
      </c>
      <c r="Z126" s="502">
        <f>'Premissas Gerais'!$J$35*'Premissas Geração de Resíduos'!Y133</f>
        <v>331166.77205543441</v>
      </c>
      <c r="AA126" s="502">
        <f>'Premissas Gerais'!$J$35*'Premissas Geração de Resíduos'!Z133</f>
        <v>329733.39786890644</v>
      </c>
      <c r="AB126" s="502">
        <f>'Premissas Gerais'!$J$35*'Premissas Geração de Resíduos'!AA133</f>
        <v>328300.02368237841</v>
      </c>
      <c r="AC126" s="502">
        <f>'Premissas Gerais'!$J$35*'Premissas Geração de Resíduos'!AB133</f>
        <v>326866.64949585038</v>
      </c>
      <c r="AD126" s="502">
        <f>'Premissas Gerais'!$J$35*'Premissas Geração de Resíduos'!AC133</f>
        <v>325433.27530932234</v>
      </c>
      <c r="AE126" s="502">
        <f>'Premissas Gerais'!$J$35*'Premissas Geração de Resíduos'!AD133</f>
        <v>323999.90112279431</v>
      </c>
      <c r="AF126" s="502">
        <f>'Premissas Gerais'!$J$35*'Premissas Geração de Resíduos'!AE133</f>
        <v>322566.52693626634</v>
      </c>
      <c r="AG126" s="502">
        <f>'Premissas Gerais'!$J$35*'Premissas Geração de Resíduos'!AF133</f>
        <v>321133.15274973831</v>
      </c>
      <c r="AH126" s="502">
        <f>'Premissas Gerais'!$J$35*'Premissas Geração de Resíduos'!AG133</f>
        <v>319699.77856321028</v>
      </c>
    </row>
    <row r="127" spans="2:34" s="79" customFormat="1" ht="12" x14ac:dyDescent="0.3">
      <c r="C127" s="173" t="s">
        <v>3</v>
      </c>
      <c r="D127" s="1346"/>
      <c r="E127" s="502">
        <f>'Premissas Gerais'!$J$35*'Premissas Geração de Resíduos'!D134</f>
        <v>40848.918627940075</v>
      </c>
      <c r="F127" s="502">
        <f>'Premissas Gerais'!$J$35*'Premissas Geração de Resíduos'!E134</f>
        <v>40893.733678546698</v>
      </c>
      <c r="G127" s="502">
        <f>'Premissas Gerais'!$J$35*'Premissas Geração de Resíduos'!F134</f>
        <v>40938.548729153328</v>
      </c>
      <c r="H127" s="502">
        <f>'Premissas Gerais'!$J$35*'Premissas Geração de Resíduos'!G134</f>
        <v>40983.363779759959</v>
      </c>
      <c r="I127" s="502">
        <f>'Premissas Gerais'!$J$35*'Premissas Geração de Resíduos'!H134</f>
        <v>41028.178830366582</v>
      </c>
      <c r="J127" s="502">
        <f>'Premissas Gerais'!$J$35*'Premissas Geração de Resíduos'!I134</f>
        <v>41095.40140627652</v>
      </c>
      <c r="K127" s="502">
        <f>'Premissas Gerais'!$J$35*'Premissas Geração de Resíduos'!J134</f>
        <v>41084.197643624866</v>
      </c>
      <c r="L127" s="502">
        <f>'Premissas Gerais'!$J$35*'Premissas Geração de Resíduos'!K134</f>
        <v>41072.993880973205</v>
      </c>
      <c r="M127" s="502">
        <f>'Premissas Gerais'!$J$35*'Premissas Geração de Resíduos'!L134</f>
        <v>41061.790118321551</v>
      </c>
      <c r="N127" s="502">
        <f>'Premissas Gerais'!$J$35*'Premissas Geração de Resíduos'!M134</f>
        <v>41050.58635566989</v>
      </c>
      <c r="O127" s="502">
        <f>'Premissas Gerais'!$J$35*'Premissas Geração de Resíduos'!N134</f>
        <v>41016.97506771492</v>
      </c>
      <c r="P127" s="502">
        <f>'Premissas Gerais'!$J$35*'Premissas Geração de Resíduos'!O134</f>
        <v>40927.344966501674</v>
      </c>
      <c r="Q127" s="502">
        <f>'Premissas Gerais'!$J$35*'Premissas Geração de Resíduos'!P134</f>
        <v>40837.714865288413</v>
      </c>
      <c r="R127" s="502">
        <f>'Premissas Gerais'!$J$35*'Premissas Geração de Resíduos'!Q134</f>
        <v>40748.084764075174</v>
      </c>
      <c r="S127" s="502">
        <f>'Premissas Gerais'!$J$35*'Premissas Geração de Resíduos'!R134</f>
        <v>40658.454662861906</v>
      </c>
      <c r="T127" s="502">
        <f>'Premissas Gerais'!$J$35*'Premissas Geração de Resíduos'!S134</f>
        <v>40580.028324300321</v>
      </c>
      <c r="U127" s="502">
        <f>'Premissas Gerais'!$J$35*'Premissas Geração de Resíduos'!T134</f>
        <v>40445.583172480437</v>
      </c>
      <c r="V127" s="502">
        <f>'Premissas Gerais'!$J$35*'Premissas Geração de Resíduos'!U134</f>
        <v>40311.138020660554</v>
      </c>
      <c r="W127" s="502">
        <f>'Premissas Gerais'!$J$35*'Premissas Geração de Resíduos'!V134</f>
        <v>40176.692868840677</v>
      </c>
      <c r="X127" s="502">
        <f>'Premissas Gerais'!$J$35*'Premissas Geração de Resíduos'!W134</f>
        <v>40042.2477170208</v>
      </c>
      <c r="Y127" s="502">
        <f>'Premissas Gerais'!$J$35*'Premissas Geração de Resíduos'!X134</f>
        <v>39907.802565200916</v>
      </c>
      <c r="Z127" s="502">
        <f>'Premissas Gerais'!$J$35*'Premissas Geração de Resíduos'!Y134</f>
        <v>39773.35741338104</v>
      </c>
      <c r="AA127" s="502">
        <f>'Premissas Gerais'!$J$35*'Premissas Geração de Resíduos'!Z134</f>
        <v>39638.912261561156</v>
      </c>
      <c r="AB127" s="502">
        <f>'Premissas Gerais'!$J$35*'Premissas Geração de Resíduos'!AA134</f>
        <v>39504.467109741279</v>
      </c>
      <c r="AC127" s="502">
        <f>'Premissas Gerais'!$J$35*'Premissas Geração de Resíduos'!AB134</f>
        <v>39370.021957921403</v>
      </c>
      <c r="AD127" s="502">
        <f>'Premissas Gerais'!$J$35*'Premissas Geração de Resíduos'!AC134</f>
        <v>39235.576806101519</v>
      </c>
      <c r="AE127" s="502">
        <f>'Premissas Gerais'!$J$35*'Premissas Geração de Resíduos'!AD134</f>
        <v>39101.131654281642</v>
      </c>
      <c r="AF127" s="502">
        <f>'Premissas Gerais'!$J$35*'Premissas Geração de Resíduos'!AE134</f>
        <v>38966.686502461765</v>
      </c>
      <c r="AG127" s="502">
        <f>'Premissas Gerais'!$J$35*'Premissas Geração de Resíduos'!AF134</f>
        <v>38832.241350641889</v>
      </c>
      <c r="AH127" s="502">
        <f>'Premissas Gerais'!$J$35*'Premissas Geração de Resíduos'!AG134</f>
        <v>38697.796198822005</v>
      </c>
    </row>
    <row r="128" spans="2:34" s="79" customFormat="1" ht="12" x14ac:dyDescent="0.3">
      <c r="C128" s="173" t="s">
        <v>4</v>
      </c>
      <c r="D128" s="1346"/>
      <c r="E128" s="502">
        <f>'Premissas Gerais'!$J$35*'Premissas Geração de Resíduos'!D135</f>
        <v>97599.974276972018</v>
      </c>
      <c r="F128" s="502">
        <f>'Premissas Gerais'!$J$35*'Premissas Geração de Resíduos'!E135</f>
        <v>98503.777368060735</v>
      </c>
      <c r="G128" s="502">
        <f>'Premissas Gerais'!$J$35*'Premissas Geração de Resíduos'!F135</f>
        <v>99407.580459149438</v>
      </c>
      <c r="H128" s="502">
        <f>'Premissas Gerais'!$J$35*'Premissas Geração de Resíduos'!G135</f>
        <v>100311.38355023814</v>
      </c>
      <c r="I128" s="502">
        <f>'Premissas Gerais'!$J$35*'Premissas Geração de Resíduos'!H135</f>
        <v>101215.18664132684</v>
      </c>
      <c r="J128" s="502">
        <f>'Premissas Gerais'!$J$35*'Premissas Geração de Resíduos'!I135</f>
        <v>102108.23017180736</v>
      </c>
      <c r="K128" s="502">
        <f>'Premissas Gerais'!$J$35*'Premissas Geração de Resíduos'!J135</f>
        <v>102893.67809620588</v>
      </c>
      <c r="L128" s="502">
        <f>'Premissas Gerais'!$J$35*'Premissas Geração de Resíduos'!K135</f>
        <v>103679.12602060438</v>
      </c>
      <c r="M128" s="502">
        <f>'Premissas Gerais'!$J$35*'Premissas Geração de Resíduos'!L135</f>
        <v>104464.57394500289</v>
      </c>
      <c r="N128" s="502">
        <f>'Premissas Gerais'!$J$35*'Premissas Geração de Resíduos'!M135</f>
        <v>105250.02186940142</v>
      </c>
      <c r="O128" s="502">
        <f>'Premissas Gerais'!$J$35*'Premissas Geração de Resíduos'!N135</f>
        <v>106024.71023319174</v>
      </c>
      <c r="P128" s="502">
        <f>'Premissas Gerais'!$J$35*'Premissas Geração de Resíduos'!O135</f>
        <v>106648.76474846728</v>
      </c>
      <c r="Q128" s="502">
        <f>'Premissas Gerais'!$J$35*'Premissas Geração de Resíduos'!P135</f>
        <v>107272.8192637428</v>
      </c>
      <c r="R128" s="502">
        <f>'Premissas Gerais'!$J$35*'Premissas Geração de Resíduos'!Q135</f>
        <v>107896.87377901834</v>
      </c>
      <c r="S128" s="502">
        <f>'Premissas Gerais'!$J$35*'Premissas Geração de Resíduos'!R135</f>
        <v>108520.92829429389</v>
      </c>
      <c r="T128" s="502">
        <f>'Premissas Gerais'!$J$35*'Premissas Geração de Resíduos'!S135</f>
        <v>109166.5019307858</v>
      </c>
      <c r="U128" s="502">
        <f>'Premissas Gerais'!$J$35*'Premissas Geração de Resíduos'!T135</f>
        <v>109618.40347633016</v>
      </c>
      <c r="V128" s="502">
        <f>'Premissas Gerais'!$J$35*'Premissas Geração de Resíduos'!U135</f>
        <v>110070.3050218745</v>
      </c>
      <c r="W128" s="502">
        <f>'Premissas Gerais'!$J$35*'Premissas Geração de Resíduos'!V135</f>
        <v>110522.20656741886</v>
      </c>
      <c r="X128" s="502">
        <f>'Premissas Gerais'!$J$35*'Premissas Geração de Resíduos'!W135</f>
        <v>110974.10811296322</v>
      </c>
      <c r="Y128" s="502">
        <f>'Premissas Gerais'!$J$35*'Premissas Geração de Resíduos'!X135</f>
        <v>111404.49053729117</v>
      </c>
      <c r="Z128" s="502">
        <f>'Premissas Gerais'!$J$35*'Premissas Geração de Resíduos'!Y135</f>
        <v>111856.39208283555</v>
      </c>
      <c r="AA128" s="502">
        <f>'Premissas Gerais'!$J$35*'Premissas Geração de Resíduos'!Z135</f>
        <v>112308.29362837989</v>
      </c>
      <c r="AB128" s="502">
        <f>'Premissas Gerais'!$J$35*'Premissas Geração de Resíduos'!AA135</f>
        <v>112760.19517392424</v>
      </c>
      <c r="AC128" s="502">
        <f>'Premissas Gerais'!$J$35*'Premissas Geração de Resíduos'!AB135</f>
        <v>113212.09671946858</v>
      </c>
      <c r="AD128" s="502">
        <f>'Premissas Gerais'!$J$35*'Premissas Geração de Resíduos'!AC135</f>
        <v>113663.99826501294</v>
      </c>
      <c r="AE128" s="502">
        <f>'Premissas Gerais'!$J$35*'Premissas Geração de Resíduos'!AD135</f>
        <v>114115.8998105573</v>
      </c>
      <c r="AF128" s="502">
        <f>'Premissas Gerais'!$J$35*'Premissas Geração de Resíduos'!AE135</f>
        <v>114567.80135610166</v>
      </c>
      <c r="AG128" s="502">
        <f>'Premissas Gerais'!$J$35*'Premissas Geração de Resíduos'!AF135</f>
        <v>115019.702901646</v>
      </c>
      <c r="AH128" s="502">
        <f>'Premissas Gerais'!$J$35*'Premissas Geração de Resíduos'!AG135</f>
        <v>115471.60444719036</v>
      </c>
    </row>
    <row r="129" spans="2:34" s="79" customFormat="1" ht="12" x14ac:dyDescent="0.3">
      <c r="C129" s="173" t="s">
        <v>5</v>
      </c>
      <c r="D129" s="1346"/>
      <c r="E129" s="502">
        <f>'Premissas Gerais'!$J$35*'Premissas Geração de Resíduos'!D136</f>
        <v>227207.00905492998</v>
      </c>
      <c r="F129" s="502">
        <f>'Premissas Gerais'!$J$35*'Premissas Geração de Resíduos'!E136</f>
        <v>228181.70350176902</v>
      </c>
      <c r="G129" s="502">
        <f>'Premissas Gerais'!$J$35*'Premissas Geração de Resíduos'!F136</f>
        <v>229156.39794860809</v>
      </c>
      <c r="H129" s="502">
        <f>'Premissas Gerais'!$J$35*'Premissas Geração de Resíduos'!G136</f>
        <v>230131.09239544717</v>
      </c>
      <c r="I129" s="502">
        <f>'Premissas Gerais'!$J$35*'Premissas Geração de Resíduos'!H136</f>
        <v>231105.78684228621</v>
      </c>
      <c r="J129" s="502">
        <f>'Premissas Gerais'!$J$35*'Premissas Geração de Resíduos'!I136</f>
        <v>232069.01429563304</v>
      </c>
      <c r="K129" s="502">
        <f>'Premissas Gerais'!$J$35*'Premissas Geração de Resíduos'!J136</f>
        <v>232630.89697675203</v>
      </c>
      <c r="L129" s="502">
        <f>'Premissas Gerais'!$J$35*'Premissas Geração de Resíduos'!K136</f>
        <v>233192.779657871</v>
      </c>
      <c r="M129" s="502">
        <f>'Premissas Gerais'!$J$35*'Premissas Geração de Resíduos'!L136</f>
        <v>233754.66233898999</v>
      </c>
      <c r="N129" s="502">
        <f>'Premissas Gerais'!$J$35*'Premissas Geração de Resíduos'!M136</f>
        <v>234316.54502010901</v>
      </c>
      <c r="O129" s="502">
        <f>'Premissas Gerais'!$J$35*'Premissas Geração de Resíduos'!N136</f>
        <v>234901.36168821238</v>
      </c>
      <c r="P129" s="502">
        <f>'Premissas Gerais'!$J$35*'Premissas Geração de Resíduos'!O136</f>
        <v>235119.23456456469</v>
      </c>
      <c r="Q129" s="502">
        <f>'Premissas Gerais'!$J$35*'Premissas Geração de Resíduos'!P136</f>
        <v>235337.10744091697</v>
      </c>
      <c r="R129" s="502">
        <f>'Premissas Gerais'!$J$35*'Premissas Geração de Resíduos'!Q136</f>
        <v>235554.98031726919</v>
      </c>
      <c r="S129" s="502">
        <f>'Premissas Gerais'!$J$35*'Premissas Geração de Resíduos'!R136</f>
        <v>235772.85319362147</v>
      </c>
      <c r="T129" s="502">
        <f>'Premissas Gerais'!$J$35*'Premissas Geração de Resíduos'!S136</f>
        <v>236013.66005695821</v>
      </c>
      <c r="U129" s="502">
        <f>'Premissas Gerais'!$J$35*'Premissas Geração de Resíduos'!T136</f>
        <v>235876.05613505148</v>
      </c>
      <c r="V129" s="502">
        <f>'Premissas Gerais'!$J$35*'Premissas Geração de Resíduos'!U136</f>
        <v>235738.45221314474</v>
      </c>
      <c r="W129" s="502">
        <f>'Premissas Gerais'!$J$35*'Premissas Geração de Resíduos'!V136</f>
        <v>235600.84829123813</v>
      </c>
      <c r="X129" s="502">
        <f>'Premissas Gerais'!$J$35*'Premissas Geração de Resíduos'!W136</f>
        <v>235463.2443693314</v>
      </c>
      <c r="Y129" s="502">
        <f>'Premissas Gerais'!$J$35*'Premissas Geração de Resíduos'!X136</f>
        <v>235325.64044742472</v>
      </c>
      <c r="Z129" s="502">
        <f>'Premissas Gerais'!$J$35*'Premissas Geração de Resíduos'!Y136</f>
        <v>235188.03652551802</v>
      </c>
      <c r="AA129" s="502">
        <f>'Premissas Gerais'!$J$35*'Premissas Geração de Resíduos'!Z136</f>
        <v>235050.43260361135</v>
      </c>
      <c r="AB129" s="502">
        <f>'Premissas Gerais'!$J$35*'Premissas Geração de Resíduos'!AA136</f>
        <v>234912.82868170465</v>
      </c>
      <c r="AC129" s="502">
        <f>'Premissas Gerais'!$J$35*'Premissas Geração de Resíduos'!AB136</f>
        <v>234775.22475979794</v>
      </c>
      <c r="AD129" s="502">
        <f>'Premissas Gerais'!$J$35*'Premissas Geração de Resíduos'!AC136</f>
        <v>234637.62083789127</v>
      </c>
      <c r="AE129" s="502">
        <f>'Premissas Gerais'!$J$35*'Premissas Geração de Resíduos'!AD136</f>
        <v>234500.01691598454</v>
      </c>
      <c r="AF129" s="502">
        <f>'Premissas Gerais'!$J$35*'Premissas Geração de Resíduos'!AE136</f>
        <v>234362.41299407787</v>
      </c>
      <c r="AG129" s="502">
        <f>'Premissas Gerais'!$J$35*'Premissas Geração de Resíduos'!AF136</f>
        <v>234224.80907217119</v>
      </c>
      <c r="AH129" s="502">
        <f>'Premissas Gerais'!$J$35*'Premissas Geração de Resíduos'!AG136</f>
        <v>234087.20515026446</v>
      </c>
    </row>
    <row r="130" spans="2:34" s="79" customFormat="1" ht="12" x14ac:dyDescent="0.3">
      <c r="C130" s="173" t="s">
        <v>6</v>
      </c>
      <c r="D130" s="1346"/>
      <c r="E130" s="502">
        <f>'Premissas Gerais'!$J$35*'Premissas Geração de Resíduos'!D137</f>
        <v>2440077.5035800934</v>
      </c>
      <c r="F130" s="502">
        <f>'Premissas Gerais'!$J$35*'Premissas Geração de Resíduos'!E137</f>
        <v>2453193.3092499231</v>
      </c>
      <c r="G130" s="502">
        <f>'Premissas Gerais'!$J$35*'Premissas Geração de Resíduos'!F137</f>
        <v>2466309.1149197523</v>
      </c>
      <c r="H130" s="502">
        <f>'Premissas Gerais'!$J$35*'Premissas Geração de Resíduos'!G137</f>
        <v>2479424.9205895816</v>
      </c>
      <c r="I130" s="502">
        <f>'Premissas Gerais'!$J$35*'Premissas Geração de Resíduos'!H137</f>
        <v>2492540.7262594108</v>
      </c>
      <c r="J130" s="502">
        <f>'Premissas Gerais'!$J$35*'Premissas Geração de Resíduos'!I137</f>
        <v>2505642.3832715596</v>
      </c>
      <c r="K130" s="502">
        <f>'Premissas Gerais'!$J$35*'Premissas Geração de Resíduos'!J137</f>
        <v>2518786.4862567494</v>
      </c>
      <c r="L130" s="502">
        <f>'Premissas Gerais'!$J$35*'Premissas Geração de Resíduos'!K137</f>
        <v>2531930.5892419396</v>
      </c>
      <c r="M130" s="502">
        <f>'Premissas Gerais'!$J$35*'Premissas Geração de Resíduos'!L137</f>
        <v>2545074.6922271298</v>
      </c>
      <c r="N130" s="502">
        <f>'Premissas Gerais'!$J$35*'Premissas Geração de Resíduos'!M137</f>
        <v>2558218.7952123205</v>
      </c>
      <c r="O130" s="502">
        <f>'Premissas Gerais'!$J$35*'Premissas Geração de Resíduos'!N137</f>
        <v>2571334.6008821493</v>
      </c>
      <c r="P130" s="502">
        <f>'Premissas Gerais'!$J$35*'Premissas Geração de Resíduos'!O137</f>
        <v>2580177.5119324657</v>
      </c>
      <c r="Q130" s="502">
        <f>'Premissas Gerais'!$J$35*'Premissas Geração de Resíduos'!P137</f>
        <v>2589020.4229827821</v>
      </c>
      <c r="R130" s="502">
        <f>'Premissas Gerais'!$J$35*'Premissas Geração de Resíduos'!Q137</f>
        <v>2597863.3340330981</v>
      </c>
      <c r="S130" s="502">
        <f>'Premissas Gerais'!$J$35*'Premissas Geração de Resíduos'!R137</f>
        <v>2606706.2450834145</v>
      </c>
      <c r="T130" s="502">
        <f>'Premissas Gerais'!$J$35*'Premissas Geração de Resíduos'!S137</f>
        <v>2615535.0074760504</v>
      </c>
      <c r="U130" s="502">
        <f>'Premissas Gerais'!$J$35*'Premissas Geração de Resíduos'!T137</f>
        <v>2620869.0514216018</v>
      </c>
      <c r="V130" s="502">
        <f>'Premissas Gerais'!$J$35*'Premissas Geração de Resíduos'!U137</f>
        <v>2626203.0953671522</v>
      </c>
      <c r="W130" s="502">
        <f>'Premissas Gerais'!$J$35*'Premissas Geração de Resíduos'!V137</f>
        <v>2631537.1393127036</v>
      </c>
      <c r="X130" s="502">
        <f>'Premissas Gerais'!$J$35*'Premissas Geração de Resíduos'!W137</f>
        <v>2636871.1832582541</v>
      </c>
      <c r="Y130" s="502">
        <f>'Premissas Gerais'!$J$35*'Premissas Geração de Resíduos'!X137</f>
        <v>2642191.078546124</v>
      </c>
      <c r="Z130" s="502">
        <f>'Premissas Gerais'!$J$35*'Premissas Geração de Resíduos'!Y137</f>
        <v>2647525.1224916754</v>
      </c>
      <c r="AA130" s="502">
        <f>'Premissas Gerais'!$J$35*'Premissas Geração de Resíduos'!Z137</f>
        <v>2652859.1664372263</v>
      </c>
      <c r="AB130" s="502">
        <f>'Premissas Gerais'!$J$35*'Premissas Geração de Resíduos'!AA137</f>
        <v>2658193.2103827763</v>
      </c>
      <c r="AC130" s="502">
        <f>'Premissas Gerais'!$J$35*'Premissas Geração de Resíduos'!AB137</f>
        <v>2663527.2543283282</v>
      </c>
      <c r="AD130" s="502">
        <f>'Premissas Gerais'!$J$35*'Premissas Geração de Resíduos'!AC137</f>
        <v>2668861.2982738786</v>
      </c>
      <c r="AE130" s="502">
        <f>'Premissas Gerais'!$J$35*'Premissas Geração de Resíduos'!AD137</f>
        <v>2674195.3422194291</v>
      </c>
      <c r="AF130" s="502">
        <f>'Premissas Gerais'!$J$35*'Premissas Geração de Resíduos'!AE137</f>
        <v>2679529.3861649805</v>
      </c>
      <c r="AG130" s="502">
        <f>'Premissas Gerais'!$J$35*'Premissas Geração de Resíduos'!AF137</f>
        <v>2684863.4301105309</v>
      </c>
      <c r="AH130" s="502">
        <f>'Premissas Gerais'!$J$35*'Premissas Geração de Resíduos'!AG137</f>
        <v>2690197.4740560818</v>
      </c>
    </row>
    <row r="131" spans="2:34" s="79" customFormat="1" ht="12" x14ac:dyDescent="0.3">
      <c r="C131" s="173" t="s">
        <v>7</v>
      </c>
      <c r="D131" s="1346"/>
      <c r="E131" s="502">
        <f>'Premissas Gerais'!$J$35*'Premissas Geração de Resíduos'!D138</f>
        <v>219157.1796233886</v>
      </c>
      <c r="F131" s="502">
        <f>'Premissas Gerais'!$J$35*'Premissas Geração de Resíduos'!E138</f>
        <v>218572.36295528518</v>
      </c>
      <c r="G131" s="502">
        <f>'Premissas Gerais'!$J$35*'Premissas Geração de Resíduos'!F138</f>
        <v>217987.54628718176</v>
      </c>
      <c r="H131" s="502">
        <f>'Premissas Gerais'!$J$35*'Premissas Geração de Resíduos'!G138</f>
        <v>217402.72961907831</v>
      </c>
      <c r="I131" s="502">
        <f>'Premissas Gerais'!$J$35*'Premissas Geração de Resíduos'!H138</f>
        <v>216817.91295097486</v>
      </c>
      <c r="J131" s="502">
        <f>'Premissas Gerais'!$J$35*'Premissas Geração de Resíduos'!I138</f>
        <v>216210.16229588698</v>
      </c>
      <c r="K131" s="502">
        <f>'Premissas Gerais'!$J$35*'Premissas Geração de Resíduos'!J138</f>
        <v>215189.59987507906</v>
      </c>
      <c r="L131" s="502">
        <f>'Premissas Gerais'!$J$35*'Premissas Geração de Resíduos'!K138</f>
        <v>214169.03745427108</v>
      </c>
      <c r="M131" s="502">
        <f>'Premissas Gerais'!$J$35*'Premissas Geração de Resíduos'!L138</f>
        <v>213148.47503346315</v>
      </c>
      <c r="N131" s="502">
        <f>'Premissas Gerais'!$J$35*'Premissas Geração de Resíduos'!M138</f>
        <v>212127.91261265517</v>
      </c>
      <c r="O131" s="502">
        <f>'Premissas Gerais'!$J$35*'Premissas Geração de Resíduos'!N138</f>
        <v>211095.88319835503</v>
      </c>
      <c r="P131" s="502">
        <f>'Premissas Gerais'!$J$35*'Premissas Geração de Resíduos'!O138</f>
        <v>209696.90999230367</v>
      </c>
      <c r="Q131" s="502">
        <f>'Premissas Gerais'!$J$35*'Premissas Geração de Resíduos'!P138</f>
        <v>208297.93678625231</v>
      </c>
      <c r="R131" s="502">
        <f>'Premissas Gerais'!$J$35*'Premissas Geração de Resíduos'!Q138</f>
        <v>206898.96358020097</v>
      </c>
      <c r="S131" s="502">
        <f>'Premissas Gerais'!$J$35*'Premissas Geração de Resíduos'!R138</f>
        <v>205499.99037414961</v>
      </c>
      <c r="T131" s="502">
        <f>'Premissas Gerais'!$J$35*'Premissas Geração de Resíduos'!S138</f>
        <v>204078.08318111382</v>
      </c>
      <c r="U131" s="502">
        <f>'Premissas Gerais'!$J$35*'Premissas Geração de Resíduos'!T138</f>
        <v>202564.44004014021</v>
      </c>
      <c r="V131" s="502">
        <f>'Premissas Gerais'!$J$35*'Premissas Geração de Resíduos'!U138</f>
        <v>201050.79689916663</v>
      </c>
      <c r="W131" s="502">
        <f>'Premissas Gerais'!$J$35*'Premissas Geração de Resíduos'!V138</f>
        <v>199537.15375819305</v>
      </c>
      <c r="X131" s="502">
        <f>'Premissas Gerais'!$J$35*'Premissas Geração de Resíduos'!W138</f>
        <v>198023.51061721946</v>
      </c>
      <c r="Y131" s="502">
        <f>'Premissas Gerais'!$J$35*'Premissas Geração de Resíduos'!X138</f>
        <v>196532.80146323031</v>
      </c>
      <c r="Z131" s="502">
        <f>'Premissas Gerais'!$J$35*'Premissas Geração de Resíduos'!Y138</f>
        <v>195019.1583222567</v>
      </c>
      <c r="AA131" s="502">
        <f>'Premissas Gerais'!$J$35*'Premissas Geração de Resíduos'!Z138</f>
        <v>193505.51518128312</v>
      </c>
      <c r="AB131" s="502">
        <f>'Premissas Gerais'!$J$35*'Premissas Geração de Resíduos'!AA138</f>
        <v>191991.87204030954</v>
      </c>
      <c r="AC131" s="502">
        <f>'Premissas Gerais'!$J$35*'Premissas Geração de Resíduos'!AB138</f>
        <v>190478.22889933593</v>
      </c>
      <c r="AD131" s="502">
        <f>'Premissas Gerais'!$J$35*'Premissas Geração de Resíduos'!AC138</f>
        <v>188964.58575836231</v>
      </c>
      <c r="AE131" s="502">
        <f>'Premissas Gerais'!$J$35*'Premissas Geração de Resíduos'!AD138</f>
        <v>187450.94261738876</v>
      </c>
      <c r="AF131" s="502">
        <f>'Premissas Gerais'!$J$35*'Premissas Geração de Resíduos'!AE138</f>
        <v>185937.29947641515</v>
      </c>
      <c r="AG131" s="502">
        <f>'Premissas Gerais'!$J$35*'Premissas Geração de Resíduos'!AF138</f>
        <v>184423.65633544154</v>
      </c>
      <c r="AH131" s="502">
        <f>'Premissas Gerais'!$J$35*'Premissas Geração de Resíduos'!AG138</f>
        <v>182910.01319446796</v>
      </c>
    </row>
    <row r="132" spans="2:34" s="79" customFormat="1" ht="12" x14ac:dyDescent="0.3">
      <c r="C132" s="173" t="s">
        <v>8</v>
      </c>
      <c r="D132" s="1346"/>
      <c r="E132" s="502">
        <f>'Premissas Gerais'!$J$35*'Premissas Geração de Resíduos'!D139</f>
        <v>177199.45043534035</v>
      </c>
      <c r="F132" s="502">
        <f>'Premissas Gerais'!$J$35*'Premissas Geração de Resíduos'!E139</f>
        <v>178736.02756329838</v>
      </c>
      <c r="G132" s="502">
        <f>'Premissas Gerais'!$J$35*'Premissas Geração de Resíduos'!F139</f>
        <v>180272.60469125639</v>
      </c>
      <c r="H132" s="502">
        <f>'Premissas Gerais'!$J$35*'Premissas Geração de Resíduos'!G139</f>
        <v>181809.18181921446</v>
      </c>
      <c r="I132" s="502">
        <f>'Premissas Gerais'!$J$35*'Premissas Geração de Resíduos'!H139</f>
        <v>183345.75894717249</v>
      </c>
      <c r="J132" s="502">
        <f>'Premissas Gerais'!$J$35*'Premissas Geração de Resíduos'!I139</f>
        <v>184859.40208814607</v>
      </c>
      <c r="K132" s="502">
        <f>'Premissas Gerais'!$J$35*'Premissas Geração de Resíduos'!J139</f>
        <v>186074.90339832183</v>
      </c>
      <c r="L132" s="502">
        <f>'Premissas Gerais'!$J$35*'Premissas Geração de Resíduos'!K139</f>
        <v>187290.4047084976</v>
      </c>
      <c r="M132" s="502">
        <f>'Premissas Gerais'!$J$35*'Premissas Geração de Resíduos'!L139</f>
        <v>188505.90601867338</v>
      </c>
      <c r="N132" s="502">
        <f>'Premissas Gerais'!$J$35*'Premissas Geração de Resíduos'!M139</f>
        <v>189721.40732884916</v>
      </c>
      <c r="O132" s="502">
        <f>'Premissas Gerais'!$J$35*'Premissas Geração de Resíduos'!N139</f>
        <v>190948.37563251707</v>
      </c>
      <c r="P132" s="502">
        <f>'Premissas Gerais'!$J$35*'Premissas Geração de Resíduos'!O139</f>
        <v>191923.07007935617</v>
      </c>
      <c r="Q132" s="502">
        <f>'Premissas Gerais'!$J$35*'Premissas Geração de Resíduos'!P139</f>
        <v>192897.76452619521</v>
      </c>
      <c r="R132" s="502">
        <f>'Premissas Gerais'!$J$35*'Premissas Geração de Resíduos'!Q139</f>
        <v>193872.45897303429</v>
      </c>
      <c r="S132" s="502">
        <f>'Premissas Gerais'!$J$35*'Premissas Geração de Resíduos'!R139</f>
        <v>194847.15341987333</v>
      </c>
      <c r="T132" s="502">
        <f>'Premissas Gerais'!$J$35*'Premissas Geração de Resíduos'!S139</f>
        <v>195833.31486020461</v>
      </c>
      <c r="U132" s="502">
        <f>'Premissas Gerais'!$J$35*'Premissas Geração de Resíduos'!T139</f>
        <v>196463.99950227694</v>
      </c>
      <c r="V132" s="502">
        <f>'Premissas Gerais'!$J$35*'Premissas Geração de Resíduos'!U139</f>
        <v>197094.68414434927</v>
      </c>
      <c r="W132" s="502">
        <f>'Premissas Gerais'!$J$35*'Premissas Geração de Resíduos'!V139</f>
        <v>197725.3687864216</v>
      </c>
      <c r="X132" s="502">
        <f>'Premissas Gerais'!$J$35*'Premissas Geração de Resíduos'!W139</f>
        <v>198356.05342849393</v>
      </c>
      <c r="Y132" s="502">
        <f>'Premissas Gerais'!$J$35*'Premissas Geração de Resíduos'!X139</f>
        <v>198998.20506405851</v>
      </c>
      <c r="Z132" s="502">
        <f>'Premissas Gerais'!$J$35*'Premissas Geração de Resíduos'!Y139</f>
        <v>199628.88970613081</v>
      </c>
      <c r="AA132" s="502">
        <f>'Premissas Gerais'!$J$35*'Premissas Geração de Resíduos'!Z139</f>
        <v>200259.57434820317</v>
      </c>
      <c r="AB132" s="502">
        <f>'Premissas Gerais'!$J$35*'Premissas Geração de Resíduos'!AA139</f>
        <v>200890.2589902755</v>
      </c>
      <c r="AC132" s="502">
        <f>'Premissas Gerais'!$J$35*'Premissas Geração de Resíduos'!AB139</f>
        <v>201520.94363234783</v>
      </c>
      <c r="AD132" s="502">
        <f>'Premissas Gerais'!$J$35*'Premissas Geração de Resíduos'!AC139</f>
        <v>202151.62827442016</v>
      </c>
      <c r="AE132" s="502">
        <f>'Premissas Gerais'!$J$35*'Premissas Geração de Resíduos'!AD139</f>
        <v>202782.31291649249</v>
      </c>
      <c r="AF132" s="502">
        <f>'Premissas Gerais'!$J$35*'Premissas Geração de Resíduos'!AE139</f>
        <v>203412.99755856482</v>
      </c>
      <c r="AG132" s="502">
        <f>'Premissas Gerais'!$J$35*'Premissas Geração de Resíduos'!AF139</f>
        <v>204043.68220063715</v>
      </c>
      <c r="AH132" s="502">
        <f>'Premissas Gerais'!$J$35*'Premissas Geração de Resíduos'!AG139</f>
        <v>204674.36684270948</v>
      </c>
    </row>
    <row r="133" spans="2:34" s="79" customFormat="1" ht="12" x14ac:dyDescent="0.3">
      <c r="C133" s="173" t="s">
        <v>9</v>
      </c>
      <c r="D133" s="1346"/>
      <c r="E133" s="502">
        <f>'Premissas Gerais'!$J$35*'Premissas Geração de Resíduos'!D140</f>
        <v>144495.58499551695</v>
      </c>
      <c r="F133" s="502">
        <f>'Premissas Gerais'!$J$35*'Premissas Geração de Resíduos'!E140</f>
        <v>145768.42127315383</v>
      </c>
      <c r="G133" s="502">
        <f>'Premissas Gerais'!$J$35*'Premissas Geração de Resíduos'!F140</f>
        <v>147041.2575507907</v>
      </c>
      <c r="H133" s="502">
        <f>'Premissas Gerais'!$J$35*'Premissas Geração de Resíduos'!G140</f>
        <v>148314.09382842763</v>
      </c>
      <c r="I133" s="502">
        <f>'Premissas Gerais'!$J$35*'Premissas Geração de Resíduos'!H140</f>
        <v>149586.93010606448</v>
      </c>
      <c r="J133" s="502">
        <f>'Premissas Gerais'!$J$35*'Premissas Geração de Resíduos'!I140</f>
        <v>150882.70037068581</v>
      </c>
      <c r="K133" s="502">
        <f>'Premissas Gerais'!$J$35*'Premissas Geração de Resíduos'!J140</f>
        <v>151960.59775895489</v>
      </c>
      <c r="L133" s="502">
        <f>'Premissas Gerais'!$J$35*'Premissas Geração de Resíduos'!K140</f>
        <v>153038.49514722396</v>
      </c>
      <c r="M133" s="502">
        <f>'Premissas Gerais'!$J$35*'Premissas Geração de Resíduos'!L140</f>
        <v>154116.39253549304</v>
      </c>
      <c r="N133" s="502">
        <f>'Premissas Gerais'!$J$35*'Premissas Geração de Resíduos'!M140</f>
        <v>155194.28992376212</v>
      </c>
      <c r="O133" s="502">
        <f>'Premissas Gerais'!$J$35*'Premissas Geração de Resíduos'!N140</f>
        <v>156260.72031853898</v>
      </c>
      <c r="P133" s="502">
        <f>'Premissas Gerais'!$J$35*'Premissas Geração de Resíduos'!O140</f>
        <v>157017.54188902574</v>
      </c>
      <c r="Q133" s="502">
        <f>'Premissas Gerais'!$J$35*'Premissas Geração de Resíduos'!P140</f>
        <v>157774.36345951256</v>
      </c>
      <c r="R133" s="502">
        <f>'Premissas Gerais'!$J$35*'Premissas Geração de Resíduos'!Q140</f>
        <v>158531.18502999932</v>
      </c>
      <c r="S133" s="502">
        <f>'Premissas Gerais'!$J$35*'Premissas Geração de Resíduos'!R140</f>
        <v>159288.00660048614</v>
      </c>
      <c r="T133" s="502">
        <f>'Premissas Gerais'!$J$35*'Premissas Geração de Resíduos'!S140</f>
        <v>160067.76215795739</v>
      </c>
      <c r="U133" s="502">
        <f>'Premissas Gerais'!$J$35*'Premissas Geração de Resíduos'!T140</f>
        <v>160618.17784558417</v>
      </c>
      <c r="V133" s="502">
        <f>'Premissas Gerais'!$J$35*'Premissas Geração de Resíduos'!U140</f>
        <v>161168.59353321089</v>
      </c>
      <c r="W133" s="502">
        <f>'Premissas Gerais'!$J$35*'Premissas Geração de Resíduos'!V140</f>
        <v>161719.00922083764</v>
      </c>
      <c r="X133" s="502">
        <f>'Premissas Gerais'!$J$35*'Premissas Geração de Resíduos'!W140</f>
        <v>162269.42490846445</v>
      </c>
      <c r="Y133" s="502">
        <f>'Premissas Gerais'!$J$35*'Premissas Geração de Resíduos'!X140</f>
        <v>162842.77458307566</v>
      </c>
      <c r="Z133" s="502">
        <f>'Premissas Gerais'!$J$35*'Premissas Geração de Resíduos'!Y140</f>
        <v>163393.19027070241</v>
      </c>
      <c r="AA133" s="502">
        <f>'Premissas Gerais'!$J$35*'Premissas Geração de Resíduos'!Z140</f>
        <v>163943.60595832916</v>
      </c>
      <c r="AB133" s="502">
        <f>'Premissas Gerais'!$J$35*'Premissas Geração de Resíduos'!AA140</f>
        <v>164494.02164595595</v>
      </c>
      <c r="AC133" s="502">
        <f>'Premissas Gerais'!$J$35*'Premissas Geração de Resíduos'!AB140</f>
        <v>165044.4373335827</v>
      </c>
      <c r="AD133" s="502">
        <f>'Premissas Gerais'!$J$35*'Premissas Geração de Resíduos'!AC140</f>
        <v>165594.85302120942</v>
      </c>
      <c r="AE133" s="502">
        <f>'Premissas Gerais'!$J$35*'Premissas Geração de Resíduos'!AD140</f>
        <v>166145.2687088362</v>
      </c>
      <c r="AF133" s="502">
        <f>'Premissas Gerais'!$J$35*'Premissas Geração de Resíduos'!AE140</f>
        <v>166695.68439646295</v>
      </c>
      <c r="AG133" s="502">
        <f>'Premissas Gerais'!$J$35*'Premissas Geração de Resíduos'!AF140</f>
        <v>167246.10008408976</v>
      </c>
      <c r="AH133" s="502">
        <f>'Premissas Gerais'!$J$35*'Premissas Geração de Resíduos'!AG140</f>
        <v>167796.51577171648</v>
      </c>
    </row>
    <row r="134" spans="2:34" s="79" customFormat="1" ht="12" x14ac:dyDescent="0.3">
      <c r="C134" s="173"/>
      <c r="E134" s="502"/>
      <c r="F134" s="502"/>
      <c r="G134" s="502"/>
      <c r="H134" s="502"/>
      <c r="I134" s="502"/>
      <c r="J134" s="502"/>
      <c r="K134" s="502"/>
      <c r="L134" s="502"/>
      <c r="M134" s="502"/>
      <c r="N134" s="502"/>
      <c r="O134" s="502"/>
      <c r="P134" s="502"/>
      <c r="Q134" s="502"/>
      <c r="R134" s="502"/>
      <c r="S134" s="502"/>
      <c r="T134" s="502"/>
      <c r="U134" s="502"/>
      <c r="V134" s="502"/>
      <c r="W134" s="502"/>
      <c r="X134" s="502"/>
      <c r="Y134" s="502"/>
      <c r="Z134" s="502"/>
      <c r="AA134" s="502"/>
      <c r="AB134" s="502"/>
      <c r="AC134" s="502"/>
      <c r="AD134" s="502"/>
      <c r="AE134" s="502"/>
      <c r="AF134" s="502"/>
      <c r="AG134" s="502"/>
      <c r="AH134" s="502"/>
    </row>
    <row r="135" spans="2:34" s="79" customFormat="1" ht="12.5" thickBot="1" x14ac:dyDescent="0.35">
      <c r="B135" s="177"/>
      <c r="C135" s="177" t="s">
        <v>488</v>
      </c>
      <c r="D135" s="177"/>
      <c r="E135" s="501">
        <f t="shared" ref="E135:AH135" si="40">SUM(E125:E133)</f>
        <v>3722535.0329589979</v>
      </c>
      <c r="F135" s="501">
        <f t="shared" si="40"/>
        <v>3739825.6304044463</v>
      </c>
      <c r="G135" s="501">
        <f t="shared" si="40"/>
        <v>3757116.2278498942</v>
      </c>
      <c r="H135" s="501">
        <f t="shared" si="40"/>
        <v>3774406.8252953421</v>
      </c>
      <c r="I135" s="501">
        <f t="shared" si="40"/>
        <v>3791697.4227407905</v>
      </c>
      <c r="J135" s="501">
        <f t="shared" si="40"/>
        <v>3808974.0524997604</v>
      </c>
      <c r="K135" s="501">
        <f t="shared" si="40"/>
        <v>3823998.2324079219</v>
      </c>
      <c r="L135" s="501">
        <f t="shared" si="40"/>
        <v>3839022.4123160834</v>
      </c>
      <c r="M135" s="501">
        <f t="shared" si="40"/>
        <v>3854046.5922242445</v>
      </c>
      <c r="N135" s="501">
        <f t="shared" si="40"/>
        <v>3869070.7721324065</v>
      </c>
      <c r="O135" s="501">
        <f t="shared" si="40"/>
        <v>3884067.3621580903</v>
      </c>
      <c r="P135" s="501">
        <f t="shared" si="40"/>
        <v>3892751.0020979359</v>
      </c>
      <c r="Q135" s="501">
        <f t="shared" si="40"/>
        <v>3901434.6420377814</v>
      </c>
      <c r="R135" s="501">
        <f t="shared" si="40"/>
        <v>3910118.281977626</v>
      </c>
      <c r="S135" s="501">
        <f t="shared" si="40"/>
        <v>3918801.9219174716</v>
      </c>
      <c r="T135" s="501">
        <f t="shared" si="40"/>
        <v>3927526.8068396491</v>
      </c>
      <c r="U135" s="501">
        <f t="shared" si="40"/>
        <v>3931017.0997182275</v>
      </c>
      <c r="V135" s="501">
        <f t="shared" si="40"/>
        <v>3934507.392596805</v>
      </c>
      <c r="W135" s="501">
        <f t="shared" si="40"/>
        <v>3937997.6854753834</v>
      </c>
      <c r="X135" s="501">
        <f t="shared" si="40"/>
        <v>3941487.9783539609</v>
      </c>
      <c r="Y135" s="501">
        <f t="shared" si="40"/>
        <v>3944988.997889292</v>
      </c>
      <c r="Z135" s="501">
        <f t="shared" si="40"/>
        <v>3948479.2907678699</v>
      </c>
      <c r="AA135" s="501">
        <f t="shared" si="40"/>
        <v>3951969.5836464483</v>
      </c>
      <c r="AB135" s="501">
        <f t="shared" si="40"/>
        <v>3955459.8765250253</v>
      </c>
      <c r="AC135" s="501">
        <f t="shared" si="40"/>
        <v>3958950.1694036052</v>
      </c>
      <c r="AD135" s="501">
        <f t="shared" si="40"/>
        <v>3962440.4622821826</v>
      </c>
      <c r="AE135" s="501">
        <f t="shared" si="40"/>
        <v>3965930.7551607601</v>
      </c>
      <c r="AF135" s="501">
        <f t="shared" si="40"/>
        <v>3969421.0480393381</v>
      </c>
      <c r="AG135" s="501">
        <f t="shared" si="40"/>
        <v>3972911.340917916</v>
      </c>
      <c r="AH135" s="501">
        <f t="shared" si="40"/>
        <v>3976401.633796494</v>
      </c>
    </row>
    <row r="136" spans="2:34" s="79" customFormat="1" ht="12.5" thickTop="1" x14ac:dyDescent="0.3">
      <c r="E136" s="1326"/>
      <c r="F136" s="1326"/>
      <c r="G136" s="1326"/>
      <c r="H136" s="1326"/>
      <c r="I136" s="1326"/>
      <c r="J136" s="1326"/>
      <c r="K136" s="1326"/>
      <c r="L136" s="1326"/>
      <c r="M136" s="1326"/>
      <c r="N136" s="1326"/>
      <c r="O136" s="1326"/>
      <c r="P136" s="1326"/>
      <c r="Q136" s="1326"/>
      <c r="R136" s="1326"/>
      <c r="S136" s="1326"/>
      <c r="T136" s="1326"/>
      <c r="U136" s="1326"/>
      <c r="V136" s="1326"/>
      <c r="W136" s="1326"/>
      <c r="X136" s="1326"/>
      <c r="Y136" s="1326"/>
      <c r="Z136" s="1326"/>
      <c r="AA136" s="1326"/>
      <c r="AB136" s="1326"/>
      <c r="AC136" s="1326"/>
      <c r="AD136" s="1326"/>
      <c r="AE136" s="1326"/>
      <c r="AF136" s="1326"/>
      <c r="AG136" s="1326"/>
      <c r="AH136" s="1326"/>
    </row>
    <row r="137" spans="2:34" s="79" customFormat="1" ht="12" x14ac:dyDescent="0.3">
      <c r="B137" s="180"/>
      <c r="C137" s="180" t="s">
        <v>489</v>
      </c>
      <c r="D137" s="180"/>
      <c r="E137" s="181"/>
      <c r="F137" s="181"/>
      <c r="G137" s="181"/>
      <c r="H137" s="181"/>
      <c r="I137" s="181"/>
      <c r="J137" s="181"/>
      <c r="K137" s="181"/>
      <c r="L137" s="181"/>
      <c r="M137" s="181"/>
      <c r="N137" s="181"/>
      <c r="O137" s="181"/>
      <c r="P137" s="181"/>
      <c r="Q137" s="181"/>
      <c r="R137" s="181"/>
      <c r="S137" s="181"/>
      <c r="T137" s="181"/>
      <c r="U137" s="181"/>
      <c r="V137" s="181"/>
      <c r="W137" s="181"/>
      <c r="X137" s="181"/>
      <c r="Y137" s="181"/>
      <c r="Z137" s="181"/>
      <c r="AA137" s="181"/>
      <c r="AB137" s="181"/>
      <c r="AC137" s="181"/>
      <c r="AD137" s="181"/>
      <c r="AE137" s="181"/>
      <c r="AF137" s="181"/>
      <c r="AG137" s="181"/>
      <c r="AH137" s="181"/>
    </row>
    <row r="138" spans="2:34" s="79" customFormat="1" ht="12" x14ac:dyDescent="0.3"/>
    <row r="139" spans="2:34" s="79" customFormat="1" ht="12" x14ac:dyDescent="0.3">
      <c r="B139" s="1939"/>
      <c r="C139" s="1941" t="s">
        <v>490</v>
      </c>
      <c r="D139" s="288" t="s">
        <v>491</v>
      </c>
      <c r="E139" s="503">
        <v>0</v>
      </c>
      <c r="F139" s="503">
        <v>0</v>
      </c>
      <c r="G139" s="503">
        <v>0</v>
      </c>
      <c r="H139" s="503">
        <v>0</v>
      </c>
      <c r="I139" s="503">
        <v>0</v>
      </c>
      <c r="J139" s="503">
        <v>0</v>
      </c>
      <c r="K139" s="503">
        <v>0</v>
      </c>
      <c r="L139" s="503">
        <v>0</v>
      </c>
      <c r="M139" s="503">
        <v>0</v>
      </c>
      <c r="N139" s="503">
        <v>0</v>
      </c>
      <c r="O139" s="503">
        <v>0</v>
      </c>
      <c r="P139" s="503">
        <v>0</v>
      </c>
      <c r="Q139" s="503">
        <v>0</v>
      </c>
      <c r="R139" s="503">
        <v>0</v>
      </c>
      <c r="S139" s="503">
        <v>0</v>
      </c>
      <c r="T139" s="503">
        <v>0</v>
      </c>
      <c r="U139" s="503">
        <v>0</v>
      </c>
      <c r="V139" s="503">
        <v>0</v>
      </c>
      <c r="W139" s="503">
        <v>0</v>
      </c>
      <c r="X139" s="503">
        <v>0</v>
      </c>
      <c r="Y139" s="503">
        <v>0</v>
      </c>
      <c r="Z139" s="503">
        <v>0</v>
      </c>
      <c r="AA139" s="503">
        <v>0</v>
      </c>
      <c r="AB139" s="503">
        <v>0</v>
      </c>
      <c r="AC139" s="503">
        <v>0</v>
      </c>
      <c r="AD139" s="503">
        <v>0</v>
      </c>
      <c r="AE139" s="503">
        <v>0</v>
      </c>
      <c r="AF139" s="503">
        <v>0</v>
      </c>
      <c r="AG139" s="503">
        <v>0</v>
      </c>
      <c r="AH139" s="503">
        <v>0</v>
      </c>
    </row>
    <row r="140" spans="2:34" s="79" customFormat="1" ht="12" x14ac:dyDescent="0.3">
      <c r="B140" s="1940"/>
      <c r="C140" s="1942"/>
      <c r="D140" s="289">
        <f>'Premissas Gerais'!$K$40*(1+Sensibilidade!$G$13)</f>
        <v>0</v>
      </c>
      <c r="E140" s="497">
        <v>0</v>
      </c>
      <c r="F140" s="497">
        <f t="shared" ref="F140:AH140" si="41">F139*$D$140</f>
        <v>0</v>
      </c>
      <c r="G140" s="497">
        <f t="shared" si="41"/>
        <v>0</v>
      </c>
      <c r="H140" s="497">
        <f t="shared" si="41"/>
        <v>0</v>
      </c>
      <c r="I140" s="497">
        <f t="shared" si="41"/>
        <v>0</v>
      </c>
      <c r="J140" s="497">
        <f t="shared" si="41"/>
        <v>0</v>
      </c>
      <c r="K140" s="497">
        <f t="shared" si="41"/>
        <v>0</v>
      </c>
      <c r="L140" s="497">
        <f t="shared" si="41"/>
        <v>0</v>
      </c>
      <c r="M140" s="497">
        <f t="shared" si="41"/>
        <v>0</v>
      </c>
      <c r="N140" s="497">
        <f t="shared" si="41"/>
        <v>0</v>
      </c>
      <c r="O140" s="497">
        <f t="shared" si="41"/>
        <v>0</v>
      </c>
      <c r="P140" s="497">
        <f t="shared" si="41"/>
        <v>0</v>
      </c>
      <c r="Q140" s="497">
        <f t="shared" si="41"/>
        <v>0</v>
      </c>
      <c r="R140" s="497">
        <f t="shared" si="41"/>
        <v>0</v>
      </c>
      <c r="S140" s="497">
        <f t="shared" si="41"/>
        <v>0</v>
      </c>
      <c r="T140" s="497">
        <f t="shared" si="41"/>
        <v>0</v>
      </c>
      <c r="U140" s="497">
        <f t="shared" si="41"/>
        <v>0</v>
      </c>
      <c r="V140" s="497">
        <f t="shared" si="41"/>
        <v>0</v>
      </c>
      <c r="W140" s="497">
        <f t="shared" si="41"/>
        <v>0</v>
      </c>
      <c r="X140" s="497">
        <f t="shared" si="41"/>
        <v>0</v>
      </c>
      <c r="Y140" s="497">
        <f t="shared" si="41"/>
        <v>0</v>
      </c>
      <c r="Z140" s="497">
        <f t="shared" si="41"/>
        <v>0</v>
      </c>
      <c r="AA140" s="497">
        <f t="shared" si="41"/>
        <v>0</v>
      </c>
      <c r="AB140" s="497">
        <f t="shared" si="41"/>
        <v>0</v>
      </c>
      <c r="AC140" s="497">
        <f t="shared" si="41"/>
        <v>0</v>
      </c>
      <c r="AD140" s="497">
        <f t="shared" si="41"/>
        <v>0</v>
      </c>
      <c r="AE140" s="497">
        <f t="shared" si="41"/>
        <v>0</v>
      </c>
      <c r="AF140" s="497">
        <f t="shared" si="41"/>
        <v>0</v>
      </c>
      <c r="AG140" s="497">
        <f t="shared" si="41"/>
        <v>0</v>
      </c>
      <c r="AH140" s="497">
        <f t="shared" si="41"/>
        <v>0</v>
      </c>
    </row>
    <row r="141" spans="2:34" s="79" customFormat="1" ht="12.5" thickBot="1" x14ac:dyDescent="0.35">
      <c r="B141" s="177"/>
      <c r="C141" s="177" t="s">
        <v>492</v>
      </c>
      <c r="D141" s="177"/>
      <c r="E141" s="501">
        <f>E139*E140</f>
        <v>0</v>
      </c>
      <c r="F141" s="501">
        <f t="shared" ref="F141:AH141" si="42">F139*F140</f>
        <v>0</v>
      </c>
      <c r="G141" s="501">
        <f t="shared" si="42"/>
        <v>0</v>
      </c>
      <c r="H141" s="501">
        <f t="shared" si="42"/>
        <v>0</v>
      </c>
      <c r="I141" s="501">
        <f t="shared" si="42"/>
        <v>0</v>
      </c>
      <c r="J141" s="501">
        <f t="shared" si="42"/>
        <v>0</v>
      </c>
      <c r="K141" s="501">
        <f t="shared" si="42"/>
        <v>0</v>
      </c>
      <c r="L141" s="501">
        <f t="shared" si="42"/>
        <v>0</v>
      </c>
      <c r="M141" s="501">
        <f t="shared" si="42"/>
        <v>0</v>
      </c>
      <c r="N141" s="501">
        <f t="shared" si="42"/>
        <v>0</v>
      </c>
      <c r="O141" s="501">
        <f t="shared" si="42"/>
        <v>0</v>
      </c>
      <c r="P141" s="501">
        <f t="shared" si="42"/>
        <v>0</v>
      </c>
      <c r="Q141" s="501">
        <f t="shared" si="42"/>
        <v>0</v>
      </c>
      <c r="R141" s="501">
        <f t="shared" si="42"/>
        <v>0</v>
      </c>
      <c r="S141" s="501">
        <f t="shared" si="42"/>
        <v>0</v>
      </c>
      <c r="T141" s="501">
        <f t="shared" si="42"/>
        <v>0</v>
      </c>
      <c r="U141" s="501">
        <f t="shared" si="42"/>
        <v>0</v>
      </c>
      <c r="V141" s="501">
        <f t="shared" si="42"/>
        <v>0</v>
      </c>
      <c r="W141" s="501">
        <f t="shared" si="42"/>
        <v>0</v>
      </c>
      <c r="X141" s="501">
        <f t="shared" si="42"/>
        <v>0</v>
      </c>
      <c r="Y141" s="501">
        <f t="shared" si="42"/>
        <v>0</v>
      </c>
      <c r="Z141" s="501">
        <f t="shared" si="42"/>
        <v>0</v>
      </c>
      <c r="AA141" s="501">
        <f t="shared" si="42"/>
        <v>0</v>
      </c>
      <c r="AB141" s="501">
        <f t="shared" si="42"/>
        <v>0</v>
      </c>
      <c r="AC141" s="501">
        <f t="shared" si="42"/>
        <v>0</v>
      </c>
      <c r="AD141" s="501">
        <f t="shared" si="42"/>
        <v>0</v>
      </c>
      <c r="AE141" s="501">
        <f t="shared" si="42"/>
        <v>0</v>
      </c>
      <c r="AF141" s="501">
        <f t="shared" si="42"/>
        <v>0</v>
      </c>
      <c r="AG141" s="501">
        <f t="shared" si="42"/>
        <v>0</v>
      </c>
      <c r="AH141" s="501">
        <f t="shared" si="42"/>
        <v>0</v>
      </c>
    </row>
    <row r="142" spans="2:34" s="79" customFormat="1" ht="12.5" thickTop="1" x14ac:dyDescent="0.3"/>
    <row r="143" spans="2:34" s="79" customFormat="1" ht="12" x14ac:dyDescent="0.3">
      <c r="B143" s="180"/>
      <c r="C143" s="180" t="s">
        <v>493</v>
      </c>
      <c r="D143" s="180"/>
      <c r="E143" s="1797"/>
      <c r="F143" s="181"/>
      <c r="G143" s="181"/>
      <c r="H143" s="181"/>
      <c r="I143" s="181"/>
      <c r="J143" s="181"/>
      <c r="K143" s="181"/>
      <c r="L143" s="181"/>
      <c r="M143" s="181"/>
      <c r="N143" s="181"/>
      <c r="O143" s="181"/>
      <c r="P143" s="181"/>
      <c r="Q143" s="181"/>
      <c r="R143" s="181"/>
      <c r="S143" s="181"/>
      <c r="T143" s="181"/>
      <c r="U143" s="181"/>
      <c r="V143" s="181"/>
      <c r="W143" s="181"/>
      <c r="X143" s="181"/>
      <c r="Y143" s="181"/>
      <c r="Z143" s="181"/>
      <c r="AA143" s="181"/>
      <c r="AB143" s="181"/>
      <c r="AC143" s="181"/>
      <c r="AD143" s="181"/>
      <c r="AE143" s="181"/>
      <c r="AF143" s="181"/>
      <c r="AG143" s="181"/>
      <c r="AH143" s="181"/>
    </row>
    <row r="144" spans="2:34" s="79" customFormat="1" ht="12" x14ac:dyDescent="0.3">
      <c r="B144" s="167"/>
      <c r="C144" s="168" t="s">
        <v>494</v>
      </c>
      <c r="D144" s="168"/>
      <c r="E144" s="1798">
        <f>'Venda dos Caminhões'!F38</f>
        <v>0</v>
      </c>
      <c r="F144" s="1798">
        <f>'Venda dos Caminhões'!G38</f>
        <v>0</v>
      </c>
      <c r="G144" s="1798">
        <f>'Venda dos Caminhões'!H38</f>
        <v>0</v>
      </c>
      <c r="H144" s="1798">
        <f>'Venda dos Caminhões'!I38</f>
        <v>0</v>
      </c>
      <c r="I144" s="1798">
        <f>'Venda dos Caminhões'!J38</f>
        <v>0</v>
      </c>
      <c r="J144" s="1798">
        <f>'Venda dos Caminhões'!K38</f>
        <v>0</v>
      </c>
      <c r="K144" s="1798">
        <f>'Venda dos Caminhões'!L38</f>
        <v>0</v>
      </c>
      <c r="L144" s="1798">
        <f>'Venda dos Caminhões'!M38</f>
        <v>0</v>
      </c>
      <c r="M144" s="1798">
        <f>'Venda dos Caminhões'!N38</f>
        <v>7626241.8932539076</v>
      </c>
      <c r="N144" s="1798">
        <f>'Venda dos Caminhões'!O38</f>
        <v>6538645.6346512754</v>
      </c>
      <c r="O144" s="1798">
        <f>'Venda dos Caminhões'!P38</f>
        <v>0</v>
      </c>
      <c r="P144" s="1798">
        <f>'Venda dos Caminhões'!Q38</f>
        <v>0</v>
      </c>
      <c r="Q144" s="1798">
        <f>'Venda dos Caminhões'!R38</f>
        <v>0</v>
      </c>
      <c r="R144" s="1798">
        <f>'Venda dos Caminhões'!S38</f>
        <v>0</v>
      </c>
      <c r="S144" s="1798">
        <f>'Venda dos Caminhões'!T38</f>
        <v>0</v>
      </c>
      <c r="T144" s="1798">
        <f>'Venda dos Caminhões'!U38</f>
        <v>0</v>
      </c>
      <c r="U144" s="1798">
        <f>'Venda dos Caminhões'!V38</f>
        <v>7266058.9592765272</v>
      </c>
      <c r="V144" s="1798">
        <f>'Venda dos Caminhões'!W38</f>
        <v>0</v>
      </c>
      <c r="W144" s="1798">
        <f>'Venda dos Caminhões'!X38</f>
        <v>0</v>
      </c>
      <c r="X144" s="1798">
        <f>'Venda dos Caminhões'!Y38</f>
        <v>1421444.7031850598</v>
      </c>
      <c r="Y144" s="1798">
        <f>'Venda dos Caminhões'!Z38</f>
        <v>0</v>
      </c>
      <c r="Z144" s="1798">
        <f>'Venda dos Caminhões'!AA38</f>
        <v>0</v>
      </c>
      <c r="AA144" s="1798">
        <f>'Venda dos Caminhões'!AB38</f>
        <v>0</v>
      </c>
      <c r="AB144" s="1798">
        <f>'Venda dos Caminhões'!AC38</f>
        <v>0</v>
      </c>
      <c r="AC144" s="1798">
        <f>'Venda dos Caminhões'!AD38</f>
        <v>7266058.9592765272</v>
      </c>
      <c r="AD144" s="1798">
        <f>'Venda dos Caminhões'!AE38</f>
        <v>0</v>
      </c>
      <c r="AE144" s="1798">
        <f>'Venda dos Caminhões'!AF38</f>
        <v>0</v>
      </c>
      <c r="AF144" s="1798">
        <f>'Venda dos Caminhões'!AG38</f>
        <v>0</v>
      </c>
      <c r="AG144" s="1798">
        <f>'Venda dos Caminhões'!AH38</f>
        <v>0</v>
      </c>
      <c r="AH144" s="1798">
        <f>'Venda dos Caminhões'!AI38</f>
        <v>0</v>
      </c>
    </row>
    <row r="145" spans="2:34" s="79" customFormat="1" ht="12.5" thickBot="1" x14ac:dyDescent="0.35"/>
    <row r="146" spans="2:34" s="162" customFormat="1" ht="14" thickTop="1" thickBot="1" x14ac:dyDescent="0.35">
      <c r="B146" s="178"/>
      <c r="C146" s="179" t="s">
        <v>495</v>
      </c>
      <c r="D146" s="178"/>
      <c r="E146" s="1176">
        <f>E120+E135+E141+E144</f>
        <v>46842759.785147183</v>
      </c>
      <c r="F146" s="1176">
        <f t="shared" ref="F146:AH146" si="43">F120+F135+F141+F144</f>
        <v>50761512.530046195</v>
      </c>
      <c r="G146" s="1176">
        <f t="shared" si="43"/>
        <v>52038491.037496328</v>
      </c>
      <c r="H146" s="1176">
        <f t="shared" si="43"/>
        <v>52817372.272439964</v>
      </c>
      <c r="I146" s="1176">
        <f t="shared" si="43"/>
        <v>53338155.551371142</v>
      </c>
      <c r="J146" s="1176">
        <f t="shared" si="43"/>
        <v>53801359.905344352</v>
      </c>
      <c r="K146" s="1176">
        <f t="shared" si="43"/>
        <v>54167699.017755128</v>
      </c>
      <c r="L146" s="1176">
        <f t="shared" si="43"/>
        <v>54391131.301522218</v>
      </c>
      <c r="M146" s="1176">
        <f t="shared" si="43"/>
        <v>62240805.478543244</v>
      </c>
      <c r="N146" s="1176">
        <f t="shared" si="43"/>
        <v>61376641.503707692</v>
      </c>
      <c r="O146" s="1176">
        <f t="shared" si="43"/>
        <v>55061353.665590197</v>
      </c>
      <c r="P146" s="1176">
        <f t="shared" si="43"/>
        <v>55195316.268373974</v>
      </c>
      <c r="Q146" s="1176">
        <f t="shared" si="43"/>
        <v>55329278.871157736</v>
      </c>
      <c r="R146" s="1176">
        <f t="shared" si="43"/>
        <v>55463241.473941483</v>
      </c>
      <c r="S146" s="1176">
        <f t="shared" si="43"/>
        <v>55597204.076725237</v>
      </c>
      <c r="T146" s="1176">
        <f t="shared" si="43"/>
        <v>55731893.872569099</v>
      </c>
      <c r="U146" s="1176">
        <f t="shared" si="43"/>
        <v>63057117.041640908</v>
      </c>
      <c r="V146" s="1176">
        <f t="shared" si="43"/>
        <v>55850222.292159677</v>
      </c>
      <c r="W146" s="1176">
        <f t="shared" si="43"/>
        <v>55909386.501954973</v>
      </c>
      <c r="X146" s="1176">
        <f t="shared" si="43"/>
        <v>57389995.414935328</v>
      </c>
      <c r="Y146" s="1176">
        <f t="shared" si="43"/>
        <v>56027567.160831645</v>
      </c>
      <c r="Z146" s="1176">
        <f t="shared" si="43"/>
        <v>56086731.370626941</v>
      </c>
      <c r="AA146" s="1176">
        <f t="shared" si="43"/>
        <v>56145895.580422238</v>
      </c>
      <c r="AB146" s="1176">
        <f t="shared" si="43"/>
        <v>56205059.790217534</v>
      </c>
      <c r="AC146" s="1176">
        <f t="shared" si="43"/>
        <v>63530282.959289357</v>
      </c>
      <c r="AD146" s="1176">
        <f t="shared" si="43"/>
        <v>56323388.209808119</v>
      </c>
      <c r="AE146" s="1176">
        <f t="shared" si="43"/>
        <v>56382552.419603407</v>
      </c>
      <c r="AF146" s="1176">
        <f t="shared" si="43"/>
        <v>56441716.629398704</v>
      </c>
      <c r="AG146" s="1176">
        <f t="shared" si="43"/>
        <v>56500880.839194007</v>
      </c>
      <c r="AH146" s="1176">
        <f t="shared" si="43"/>
        <v>56560045.048989289</v>
      </c>
    </row>
    <row r="147" spans="2:34" ht="15" thickTop="1" x14ac:dyDescent="0.35"/>
    <row r="152" spans="2:34" x14ac:dyDescent="0.35">
      <c r="E152" s="96"/>
    </row>
    <row r="153" spans="2:34" x14ac:dyDescent="0.35">
      <c r="E153" s="96"/>
      <c r="F153" s="3"/>
    </row>
  </sheetData>
  <sheetProtection algorithmName="SHA-512" hashValue="QzvpTgEfiQs0itaf8IKNODtGecHdpxRzt4DlMjXAOYFpnBOfuiyb6yWtQoX7Xp7RI72NeXOmfKE4jo2FfyqMKQ==" saltValue="gHordIMh2bKyTy0gwf+U1A==" spinCount="100000" sheet="1" objects="1" scenarios="1"/>
  <mergeCells count="2">
    <mergeCell ref="B139:B140"/>
    <mergeCell ref="C139:C140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69749-5AA3-490D-AF6D-04D478FA9BFF}">
  <sheetPr codeName="Planilha32">
    <tabColor theme="4" tint="0.79998168889431442"/>
  </sheetPr>
  <dimension ref="A2:AH113"/>
  <sheetViews>
    <sheetView showGridLines="0" topLeftCell="A83" zoomScaleNormal="100" workbookViewId="0">
      <selection activeCell="D107" sqref="D107"/>
    </sheetView>
  </sheetViews>
  <sheetFormatPr defaultColWidth="8.81640625" defaultRowHeight="14.5" x14ac:dyDescent="0.35"/>
  <cols>
    <col min="1" max="1" width="5" customWidth="1"/>
    <col min="2" max="2" width="3.453125" customWidth="1"/>
    <col min="3" max="3" width="36.453125" customWidth="1"/>
    <col min="4" max="4" width="16.453125" bestFit="1" customWidth="1"/>
    <col min="5" max="6" width="15.453125" bestFit="1" customWidth="1"/>
    <col min="7" max="7" width="27.6328125" customWidth="1"/>
    <col min="8" max="8" width="15.08984375" bestFit="1" customWidth="1"/>
    <col min="9" max="9" width="14.81640625" customWidth="1"/>
    <col min="10" max="10" width="15" customWidth="1"/>
    <col min="11" max="11" width="15.453125" customWidth="1"/>
    <col min="12" max="12" width="16.453125" customWidth="1"/>
    <col min="13" max="34" width="12" bestFit="1" customWidth="1"/>
  </cols>
  <sheetData>
    <row r="2" spans="2:34" ht="21" x14ac:dyDescent="0.5">
      <c r="B2" s="639" t="s">
        <v>496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</row>
    <row r="3" spans="2:34" ht="7.5" customHeight="1" x14ac:dyDescent="0.35"/>
    <row r="4" spans="2:34" ht="21" x14ac:dyDescent="0.5">
      <c r="B4" s="638" t="s">
        <v>34</v>
      </c>
      <c r="C4" s="357"/>
    </row>
    <row r="5" spans="2:34" ht="8.25" customHeight="1" thickBot="1" x14ac:dyDescent="0.4"/>
    <row r="6" spans="2:34" ht="8.25" customHeight="1" thickTop="1" x14ac:dyDescent="0.35">
      <c r="B6" s="640"/>
      <c r="C6" s="662"/>
      <c r="D6" s="641"/>
      <c r="E6" s="647"/>
      <c r="F6" s="647"/>
      <c r="G6" s="647"/>
      <c r="H6" s="647"/>
      <c r="I6" s="647"/>
      <c r="J6" s="647"/>
      <c r="K6" s="647"/>
      <c r="L6" s="647"/>
      <c r="M6" s="648"/>
    </row>
    <row r="7" spans="2:34" ht="16" thickBot="1" x14ac:dyDescent="0.4">
      <c r="B7" s="664"/>
      <c r="C7" s="666" t="s">
        <v>497</v>
      </c>
      <c r="D7" s="665"/>
      <c r="E7" s="652"/>
      <c r="F7" s="652"/>
      <c r="G7" s="652"/>
      <c r="H7" s="652"/>
      <c r="I7" s="652"/>
      <c r="J7" s="652"/>
      <c r="K7" s="652"/>
      <c r="L7" s="652"/>
      <c r="M7" s="655"/>
    </row>
    <row r="8" spans="2:34" ht="15" thickBot="1" x14ac:dyDescent="0.4">
      <c r="B8" s="642"/>
      <c r="C8" s="643" t="s">
        <v>498</v>
      </c>
      <c r="D8" s="644"/>
      <c r="E8" s="624">
        <v>8.5000000000000006E-2</v>
      </c>
      <c r="F8" s="652" t="s">
        <v>499</v>
      </c>
      <c r="G8" s="652"/>
      <c r="H8" s="653"/>
      <c r="I8" s="652"/>
      <c r="J8" s="654"/>
      <c r="K8" s="652"/>
      <c r="L8" s="652"/>
      <c r="M8" s="655"/>
    </row>
    <row r="9" spans="2:34" ht="15" thickBot="1" x14ac:dyDescent="0.4">
      <c r="B9" s="642"/>
      <c r="C9" s="643" t="s">
        <v>500</v>
      </c>
      <c r="D9" s="644"/>
      <c r="E9" s="624">
        <v>8.5000000000000006E-2</v>
      </c>
      <c r="F9" s="652" t="s">
        <v>499</v>
      </c>
      <c r="G9" s="652"/>
      <c r="H9" s="652"/>
      <c r="I9" s="652"/>
      <c r="J9" s="652"/>
      <c r="K9" s="652"/>
      <c r="L9" s="652"/>
      <c r="M9" s="655"/>
    </row>
    <row r="10" spans="2:34" ht="5.25" customHeight="1" thickBot="1" x14ac:dyDescent="0.4">
      <c r="B10" s="642"/>
      <c r="C10" s="643"/>
      <c r="D10" s="644"/>
      <c r="E10" s="652"/>
      <c r="F10" s="652"/>
      <c r="G10" s="652"/>
      <c r="H10" s="652"/>
      <c r="I10" s="652"/>
      <c r="J10" s="652"/>
      <c r="K10" s="652"/>
      <c r="L10" s="652"/>
      <c r="M10" s="655"/>
    </row>
    <row r="11" spans="2:34" ht="15" thickBot="1" x14ac:dyDescent="0.4">
      <c r="B11" s="663"/>
      <c r="C11" s="459" t="s">
        <v>501</v>
      </c>
      <c r="D11" s="685"/>
      <c r="E11" s="686"/>
      <c r="F11" s="652"/>
      <c r="G11" s="652"/>
      <c r="H11" s="652"/>
      <c r="I11" s="652"/>
      <c r="J11" s="652"/>
      <c r="K11" s="652"/>
      <c r="L11" s="652"/>
      <c r="M11" s="655"/>
    </row>
    <row r="12" spans="2:34" ht="10.5" customHeight="1" thickBot="1" x14ac:dyDescent="0.4">
      <c r="B12" s="645"/>
      <c r="C12" s="659"/>
      <c r="D12" s="646"/>
      <c r="E12" s="649"/>
      <c r="F12" s="650"/>
      <c r="G12" s="650"/>
      <c r="H12" s="650"/>
      <c r="I12" s="650"/>
      <c r="J12" s="650"/>
      <c r="K12" s="650"/>
      <c r="L12" s="650"/>
      <c r="M12" s="651"/>
    </row>
    <row r="13" spans="2:34" ht="15" thickTop="1" x14ac:dyDescent="0.35">
      <c r="B13" s="667"/>
      <c r="C13" s="668"/>
      <c r="D13" s="669"/>
      <c r="E13" s="670"/>
      <c r="F13" s="647"/>
      <c r="G13" s="647"/>
      <c r="H13" s="647"/>
      <c r="I13" s="647"/>
      <c r="J13" s="647"/>
      <c r="K13" s="647"/>
      <c r="L13" s="647"/>
      <c r="M13" s="648"/>
    </row>
    <row r="14" spans="2:34" ht="16" thickBot="1" x14ac:dyDescent="0.4">
      <c r="B14" s="664"/>
      <c r="C14" s="666" t="s">
        <v>502</v>
      </c>
      <c r="D14" s="665"/>
      <c r="E14" s="652"/>
      <c r="F14" s="652"/>
      <c r="G14" s="665" t="s">
        <v>503</v>
      </c>
      <c r="H14" s="652"/>
      <c r="I14" s="652"/>
      <c r="J14" s="652"/>
      <c r="K14" s="652"/>
      <c r="L14" s="652"/>
      <c r="M14" s="655"/>
    </row>
    <row r="15" spans="2:34" ht="30.75" customHeight="1" thickBot="1" x14ac:dyDescent="0.4">
      <c r="B15" s="642"/>
      <c r="C15" s="1944" t="s">
        <v>504</v>
      </c>
      <c r="D15" s="1945"/>
      <c r="E15" s="658" t="s">
        <v>505</v>
      </c>
      <c r="F15" s="652"/>
      <c r="G15" s="1362" t="s">
        <v>506</v>
      </c>
      <c r="H15" s="1363"/>
      <c r="I15" s="1364"/>
      <c r="J15" s="1949" t="s">
        <v>507</v>
      </c>
      <c r="K15" s="1949"/>
      <c r="L15" s="1950"/>
      <c r="M15" s="655"/>
    </row>
    <row r="16" spans="2:34" ht="15" thickBot="1" x14ac:dyDescent="0.4">
      <c r="B16" s="642"/>
      <c r="C16" s="672" t="s">
        <v>508</v>
      </c>
      <c r="D16" s="676"/>
      <c r="E16" s="624">
        <f>0.49%+1.39%</f>
        <v>1.8799999999999997E-2</v>
      </c>
      <c r="F16" s="652"/>
      <c r="G16" s="1365"/>
      <c r="H16" s="1361"/>
      <c r="I16" s="1361"/>
      <c r="J16" s="1360" t="s">
        <v>509</v>
      </c>
      <c r="K16" s="1359" t="s">
        <v>510</v>
      </c>
      <c r="L16" s="1366" t="s">
        <v>511</v>
      </c>
      <c r="M16" s="655"/>
    </row>
    <row r="17" spans="2:13" ht="15" thickBot="1" x14ac:dyDescent="0.4">
      <c r="B17" s="642"/>
      <c r="C17" s="673" t="s">
        <v>512</v>
      </c>
      <c r="D17" s="677"/>
      <c r="E17" s="624">
        <v>9.9000000000000008E-3</v>
      </c>
      <c r="F17" s="652"/>
      <c r="G17" s="1370" t="s">
        <v>513</v>
      </c>
      <c r="H17" s="1371" t="s">
        <v>514</v>
      </c>
      <c r="I17" s="1368">
        <v>5.0799999999999998E-2</v>
      </c>
      <c r="J17" s="1372">
        <v>2.9700000000000001E-2</v>
      </c>
      <c r="K17" s="1372">
        <v>5.0799999999999998E-2</v>
      </c>
      <c r="L17" s="1372">
        <v>6.2700000000000006E-2</v>
      </c>
      <c r="M17" s="655"/>
    </row>
    <row r="18" spans="2:13" ht="15" thickBot="1" x14ac:dyDescent="0.4">
      <c r="B18" s="642"/>
      <c r="C18" s="673" t="s">
        <v>515</v>
      </c>
      <c r="D18" s="677"/>
      <c r="E18" s="624">
        <v>4.9299999999999997E-2</v>
      </c>
      <c r="F18" s="652"/>
      <c r="G18" s="1370" t="s">
        <v>516</v>
      </c>
      <c r="H18" s="1371" t="s">
        <v>517</v>
      </c>
      <c r="I18" s="1368">
        <v>1.3299999999999999E-2</v>
      </c>
      <c r="J18" s="1372">
        <f>0.3%+0.56%</f>
        <v>8.6E-3</v>
      </c>
      <c r="K18" s="1372">
        <f>0.48%+0.85%</f>
        <v>1.3299999999999999E-2</v>
      </c>
      <c r="L18" s="1372">
        <f>0.82%+0.89%</f>
        <v>1.7099999999999997E-2</v>
      </c>
      <c r="M18" s="655"/>
    </row>
    <row r="19" spans="2:13" ht="15" thickBot="1" x14ac:dyDescent="0.4">
      <c r="B19" s="642"/>
      <c r="C19" s="673" t="s">
        <v>518</v>
      </c>
      <c r="D19" s="677"/>
      <c r="E19" s="624">
        <v>8.0399999999999999E-2</v>
      </c>
      <c r="F19" s="652"/>
      <c r="G19" s="1370" t="s">
        <v>519</v>
      </c>
      <c r="H19" s="1371" t="s">
        <v>520</v>
      </c>
      <c r="I19" s="1368">
        <v>0.1085</v>
      </c>
      <c r="J19" s="1372">
        <v>7.7799999999999994E-2</v>
      </c>
      <c r="K19" s="1372">
        <v>0.1085</v>
      </c>
      <c r="L19" s="1372">
        <v>0.13550000000000001</v>
      </c>
      <c r="M19" s="655"/>
    </row>
    <row r="20" spans="2:13" ht="15" thickBot="1" x14ac:dyDescent="0.4">
      <c r="B20" s="642"/>
      <c r="C20" s="674" t="s">
        <v>521</v>
      </c>
      <c r="D20" s="678"/>
      <c r="E20" s="624">
        <v>7.2700000000000001E-2</v>
      </c>
      <c r="F20" s="652"/>
      <c r="G20" s="1370" t="s">
        <v>522</v>
      </c>
      <c r="H20" s="1371" t="s">
        <v>523</v>
      </c>
      <c r="I20" s="1373">
        <f>(1+K20)^(K21/252)-1</f>
        <v>1.292259999124834E-2</v>
      </c>
      <c r="J20" s="1372" t="s">
        <v>524</v>
      </c>
      <c r="K20" s="1367">
        <v>0.1225</v>
      </c>
      <c r="L20" s="1374"/>
      <c r="M20" s="655"/>
    </row>
    <row r="21" spans="2:13" ht="15" thickBot="1" x14ac:dyDescent="0.4">
      <c r="B21" s="642"/>
      <c r="C21" s="675" t="s">
        <v>525</v>
      </c>
      <c r="D21" s="679"/>
      <c r="E21" s="671">
        <f>((1+E18+E16)*(1+E17)*(1+E19))/(1-E20)-1</f>
        <v>0.25676652094899155</v>
      </c>
      <c r="F21" s="652"/>
      <c r="G21" s="1370" t="s">
        <v>526</v>
      </c>
      <c r="H21" s="1951" t="s">
        <v>527</v>
      </c>
      <c r="I21" s="1368">
        <v>0.03</v>
      </c>
      <c r="J21" s="1375" t="s">
        <v>528</v>
      </c>
      <c r="K21" s="1387">
        <v>28</v>
      </c>
      <c r="L21" s="1376"/>
      <c r="M21" s="655"/>
    </row>
    <row r="22" spans="2:13" ht="15" thickBot="1" x14ac:dyDescent="0.4">
      <c r="B22" s="642"/>
      <c r="C22" s="656" t="s">
        <v>529</v>
      </c>
      <c r="D22" s="106"/>
      <c r="E22" s="652"/>
      <c r="F22" s="652"/>
      <c r="G22" s="1370" t="s">
        <v>530</v>
      </c>
      <c r="H22" s="1951"/>
      <c r="I22" s="1368">
        <v>3.6499999999999998E-2</v>
      </c>
      <c r="J22" s="1376"/>
      <c r="K22" s="1377"/>
      <c r="L22" s="1376"/>
      <c r="M22" s="655"/>
    </row>
    <row r="23" spans="2:13" x14ac:dyDescent="0.35">
      <c r="B23" s="642"/>
      <c r="C23" s="657" t="s">
        <v>531</v>
      </c>
      <c r="D23" s="106"/>
      <c r="E23" s="652"/>
      <c r="F23" s="652"/>
      <c r="G23" s="1378" t="s">
        <v>532</v>
      </c>
      <c r="H23" s="1379"/>
      <c r="I23" s="1380"/>
      <c r="J23" s="1376"/>
      <c r="K23" s="1377"/>
      <c r="L23" s="1376"/>
      <c r="M23" s="655"/>
    </row>
    <row r="24" spans="2:13" ht="15" thickBot="1" x14ac:dyDescent="0.4">
      <c r="B24" s="642"/>
      <c r="C24" s="656" t="s">
        <v>533</v>
      </c>
      <c r="D24" s="106"/>
      <c r="E24" s="652"/>
      <c r="F24" s="652"/>
      <c r="G24" s="1381" t="s">
        <v>534</v>
      </c>
      <c r="H24" s="1382"/>
      <c r="I24" s="1383"/>
      <c r="J24" s="1376"/>
      <c r="K24" s="1377"/>
      <c r="L24" s="1376"/>
      <c r="M24" s="655"/>
    </row>
    <row r="25" spans="2:13" ht="15" thickBot="1" x14ac:dyDescent="0.4">
      <c r="B25" s="642"/>
      <c r="C25" s="656" t="s">
        <v>535</v>
      </c>
      <c r="D25" s="106"/>
      <c r="E25" s="652"/>
      <c r="F25" s="652"/>
      <c r="G25" s="1384" t="s">
        <v>536</v>
      </c>
      <c r="H25" s="1385"/>
      <c r="I25" s="1386">
        <f>ROUND((((1+I17+I18)*(1+I19)*(1+I20))/(1-(I21+I22))-1),4)</f>
        <v>0.27989999999999998</v>
      </c>
      <c r="J25" s="1372">
        <v>0.21429999999999999</v>
      </c>
      <c r="K25" s="1372">
        <v>0.2717</v>
      </c>
      <c r="L25" s="1372">
        <v>0.3362</v>
      </c>
      <c r="M25" s="655"/>
    </row>
    <row r="26" spans="2:13" ht="15" thickBot="1" x14ac:dyDescent="0.4">
      <c r="B26" s="642"/>
      <c r="C26" s="656" t="s">
        <v>537</v>
      </c>
      <c r="D26" s="106"/>
      <c r="E26" s="652"/>
      <c r="F26" s="652"/>
      <c r="G26" s="652"/>
      <c r="H26" s="652"/>
      <c r="I26" s="652"/>
      <c r="J26" s="652"/>
      <c r="K26" s="652"/>
      <c r="L26" s="652"/>
      <c r="M26" s="655"/>
    </row>
    <row r="27" spans="2:13" ht="15" thickBot="1" x14ac:dyDescent="0.4">
      <c r="B27" s="642"/>
      <c r="C27" s="656" t="s">
        <v>538</v>
      </c>
      <c r="D27" s="106"/>
      <c r="E27" s="652"/>
      <c r="F27" s="652"/>
      <c r="G27" s="675" t="s">
        <v>525</v>
      </c>
      <c r="H27" s="679"/>
      <c r="I27" s="723">
        <f>I25</f>
        <v>0.27989999999999998</v>
      </c>
      <c r="J27" s="652"/>
      <c r="K27" s="652"/>
      <c r="L27" s="652"/>
      <c r="M27" s="655"/>
    </row>
    <row r="28" spans="2:13" x14ac:dyDescent="0.35">
      <c r="B28" s="642"/>
      <c r="C28" s="656" t="s">
        <v>539</v>
      </c>
      <c r="D28" s="106"/>
      <c r="E28" s="652"/>
      <c r="F28" s="652"/>
      <c r="G28" s="652"/>
      <c r="H28" s="652"/>
      <c r="I28" s="652"/>
      <c r="J28" s="652"/>
      <c r="K28" s="652"/>
      <c r="L28" s="652"/>
      <c r="M28" s="655"/>
    </row>
    <row r="29" spans="2:13" ht="15" thickBot="1" x14ac:dyDescent="0.4">
      <c r="B29" s="642"/>
      <c r="C29" s="656" t="s">
        <v>540</v>
      </c>
      <c r="D29" s="106"/>
      <c r="E29" s="652"/>
      <c r="F29" s="652"/>
      <c r="G29" s="652"/>
      <c r="H29" s="652"/>
      <c r="I29" s="652"/>
      <c r="J29" s="652"/>
      <c r="K29" s="652"/>
      <c r="L29" s="652"/>
      <c r="M29" s="655"/>
    </row>
    <row r="30" spans="2:13" ht="46.5" customHeight="1" thickBot="1" x14ac:dyDescent="0.4">
      <c r="B30" s="642"/>
      <c r="C30" s="1946" t="s">
        <v>541</v>
      </c>
      <c r="D30" s="1947"/>
      <c r="E30" s="1948"/>
      <c r="F30" s="652"/>
      <c r="G30" s="1946" t="s">
        <v>542</v>
      </c>
      <c r="H30" s="1947"/>
      <c r="I30" s="1947"/>
      <c r="J30" s="1948"/>
      <c r="K30" s="652"/>
      <c r="L30" s="652"/>
      <c r="M30" s="655"/>
    </row>
    <row r="31" spans="2:13" ht="9.75" customHeight="1" thickBot="1" x14ac:dyDescent="0.4">
      <c r="B31" s="683"/>
      <c r="C31" s="684"/>
      <c r="D31" s="684"/>
      <c r="E31" s="684"/>
      <c r="F31" s="650"/>
      <c r="G31" s="650"/>
      <c r="H31" s="650"/>
      <c r="I31" s="650"/>
      <c r="J31" s="650"/>
      <c r="K31" s="650"/>
      <c r="L31" s="650"/>
      <c r="M31" s="651"/>
    </row>
    <row r="32" spans="2:13" ht="16" thickTop="1" x14ac:dyDescent="0.35">
      <c r="B32" s="687"/>
      <c r="C32" s="641"/>
      <c r="D32" s="641"/>
      <c r="E32" s="647"/>
      <c r="F32" s="647"/>
      <c r="G32" s="647"/>
      <c r="H32" s="647"/>
      <c r="I32" s="647"/>
      <c r="J32" s="647"/>
      <c r="K32" s="647"/>
      <c r="L32" s="647"/>
      <c r="M32" s="648"/>
    </row>
    <row r="33" spans="2:13" ht="16" thickBot="1" x14ac:dyDescent="0.4">
      <c r="B33" s="688"/>
      <c r="C33" s="666" t="s">
        <v>543</v>
      </c>
      <c r="D33" s="665"/>
      <c r="E33" s="652"/>
      <c r="F33" s="652"/>
      <c r="G33" s="682" t="s">
        <v>544</v>
      </c>
      <c r="H33" s="682" t="s">
        <v>545</v>
      </c>
      <c r="I33" s="652"/>
      <c r="J33" s="652"/>
      <c r="K33" s="652"/>
      <c r="L33" s="652"/>
      <c r="M33" s="655"/>
    </row>
    <row r="34" spans="2:13" ht="15" thickBot="1" x14ac:dyDescent="0.4">
      <c r="B34" s="642"/>
      <c r="C34" s="680" t="s">
        <v>546</v>
      </c>
      <c r="D34" s="703"/>
      <c r="E34" s="703"/>
      <c r="F34" s="681"/>
      <c r="G34" s="724">
        <v>1182.18</v>
      </c>
      <c r="H34" s="982">
        <f>G34*(1+$J$38)</f>
        <v>1786.0137821820001</v>
      </c>
      <c r="I34" s="652"/>
      <c r="J34" s="652" t="s">
        <v>547</v>
      </c>
      <c r="K34" s="652"/>
      <c r="L34" s="652"/>
      <c r="M34" s="655"/>
    </row>
    <row r="35" spans="2:13" ht="15" thickBot="1" x14ac:dyDescent="0.4">
      <c r="B35" s="642"/>
      <c r="C35" s="680" t="s">
        <v>548</v>
      </c>
      <c r="D35" s="703"/>
      <c r="E35" s="703"/>
      <c r="F35" s="681"/>
      <c r="G35" s="724">
        <v>810.85</v>
      </c>
      <c r="H35" s="982">
        <f t="shared" ref="H35:H40" si="0">G35*(1+$J$38)</f>
        <v>1225.0158819149999</v>
      </c>
      <c r="I35" s="652"/>
      <c r="J35" s="652" t="s">
        <v>549</v>
      </c>
      <c r="K35" s="652"/>
      <c r="L35" s="652"/>
      <c r="M35" s="655"/>
    </row>
    <row r="36" spans="2:13" ht="15" thickBot="1" x14ac:dyDescent="0.4">
      <c r="B36" s="642"/>
      <c r="C36" s="680" t="s">
        <v>550</v>
      </c>
      <c r="D36" s="703"/>
      <c r="E36" s="703"/>
      <c r="F36" s="681"/>
      <c r="G36" s="724">
        <v>2908.81</v>
      </c>
      <c r="H36" s="982">
        <f t="shared" si="0"/>
        <v>4394.5716809189998</v>
      </c>
      <c r="I36" s="652"/>
      <c r="J36" s="652"/>
      <c r="K36" s="652"/>
      <c r="L36" s="652"/>
      <c r="M36" s="655"/>
    </row>
    <row r="37" spans="2:13" ht="15" thickBot="1" x14ac:dyDescent="0.4">
      <c r="B37" s="642"/>
      <c r="C37" s="680" t="s">
        <v>551</v>
      </c>
      <c r="D37" s="703"/>
      <c r="E37" s="703"/>
      <c r="F37" s="681"/>
      <c r="G37" s="724">
        <v>2373.41</v>
      </c>
      <c r="H37" s="982">
        <f t="shared" si="0"/>
        <v>3585.7001224589999</v>
      </c>
      <c r="I37" s="652"/>
      <c r="J37" s="652" t="s">
        <v>552</v>
      </c>
      <c r="K37" s="652"/>
      <c r="L37" s="652"/>
      <c r="M37" s="655"/>
    </row>
    <row r="38" spans="2:13" ht="15" thickBot="1" x14ac:dyDescent="0.4">
      <c r="B38" s="642"/>
      <c r="C38" s="680" t="s">
        <v>553</v>
      </c>
      <c r="D38" s="703"/>
      <c r="E38" s="703"/>
      <c r="F38" s="681"/>
      <c r="G38" s="724">
        <v>4456.8100000000004</v>
      </c>
      <c r="H38" s="982">
        <f t="shared" si="0"/>
        <v>6733.2589661190004</v>
      </c>
      <c r="I38" s="652"/>
      <c r="J38" s="723">
        <v>0.51077989999999995</v>
      </c>
      <c r="K38" s="652"/>
      <c r="L38" s="652"/>
      <c r="M38" s="655"/>
    </row>
    <row r="39" spans="2:13" ht="15" thickBot="1" x14ac:dyDescent="0.4">
      <c r="B39" s="642"/>
      <c r="C39" s="680" t="s">
        <v>554</v>
      </c>
      <c r="D39" s="703"/>
      <c r="E39" s="703"/>
      <c r="F39" s="681"/>
      <c r="G39" s="724">
        <v>1667.91</v>
      </c>
      <c r="H39" s="982">
        <f t="shared" si="0"/>
        <v>2519.8449030090001</v>
      </c>
      <c r="I39" s="652"/>
      <c r="J39" s="652" t="s">
        <v>555</v>
      </c>
      <c r="K39" s="652"/>
      <c r="L39" s="652"/>
      <c r="M39" s="655"/>
    </row>
    <row r="40" spans="2:13" ht="15" thickBot="1" x14ac:dyDescent="0.4">
      <c r="B40" s="642"/>
      <c r="C40" s="680" t="s">
        <v>556</v>
      </c>
      <c r="D40" s="703"/>
      <c r="E40" s="703"/>
      <c r="F40" s="681"/>
      <c r="G40" s="724">
        <v>2772.99</v>
      </c>
      <c r="H40" s="982">
        <f t="shared" si="0"/>
        <v>4189.3775549009997</v>
      </c>
      <c r="I40" s="652"/>
      <c r="J40" s="652"/>
      <c r="K40" s="652"/>
      <c r="L40" s="652"/>
      <c r="M40" s="655"/>
    </row>
    <row r="41" spans="2:13" ht="15" thickBot="1" x14ac:dyDescent="0.4">
      <c r="B41" s="642"/>
      <c r="C41" s="700" t="s">
        <v>557</v>
      </c>
      <c r="D41" s="702"/>
      <c r="E41" s="702"/>
      <c r="F41" s="701"/>
      <c r="G41" s="983">
        <f>SUM(G34:G40)</f>
        <v>16172.960000000001</v>
      </c>
      <c r="H41" s="983">
        <f>SUM(H34:H40)</f>
        <v>24433.782891504001</v>
      </c>
      <c r="I41" s="652"/>
      <c r="J41" s="652"/>
      <c r="K41" s="652"/>
      <c r="L41" s="652"/>
      <c r="M41" s="655"/>
    </row>
    <row r="42" spans="2:13" ht="6" customHeight="1" thickBot="1" x14ac:dyDescent="0.4">
      <c r="B42" s="642"/>
      <c r="C42" s="665"/>
      <c r="D42" s="652"/>
      <c r="E42" s="652"/>
      <c r="F42" s="652"/>
      <c r="G42" s="689"/>
      <c r="H42" s="652"/>
      <c r="I42" s="652"/>
      <c r="J42" s="652"/>
      <c r="K42" s="652"/>
      <c r="L42" s="652"/>
      <c r="M42" s="655"/>
    </row>
    <row r="43" spans="2:13" ht="15" thickBot="1" x14ac:dyDescent="0.4">
      <c r="B43" s="642"/>
      <c r="C43" s="696" t="s">
        <v>558</v>
      </c>
      <c r="D43" s="697"/>
      <c r="E43" s="698"/>
      <c r="F43" s="698"/>
      <c r="G43" s="699"/>
      <c r="H43" s="652"/>
      <c r="I43" s="652"/>
      <c r="J43" s="652"/>
      <c r="K43" s="652"/>
      <c r="L43" s="652"/>
      <c r="M43" s="655"/>
    </row>
    <row r="44" spans="2:13" ht="15" thickBot="1" x14ac:dyDescent="0.4">
      <c r="B44" s="683"/>
      <c r="C44" s="690"/>
      <c r="D44" s="691"/>
      <c r="E44" s="650"/>
      <c r="F44" s="650"/>
      <c r="G44" s="650"/>
      <c r="H44" s="650"/>
      <c r="I44" s="650"/>
      <c r="J44" s="650"/>
      <c r="K44" s="650"/>
      <c r="L44" s="650"/>
      <c r="M44" s="651"/>
    </row>
    <row r="45" spans="2:13" ht="16" thickTop="1" x14ac:dyDescent="0.35">
      <c r="B45" s="704"/>
      <c r="C45" s="712"/>
      <c r="D45" s="705"/>
      <c r="E45" s="706"/>
      <c r="F45" s="706"/>
      <c r="G45" s="706"/>
      <c r="H45" s="706"/>
      <c r="I45" s="706"/>
      <c r="J45" s="706"/>
      <c r="K45" s="706"/>
      <c r="L45" s="706"/>
      <c r="M45" s="707"/>
    </row>
    <row r="46" spans="2:13" ht="15.5" x14ac:dyDescent="0.35">
      <c r="B46" s="715"/>
      <c r="C46" s="718" t="s">
        <v>559</v>
      </c>
      <c r="D46" s="716"/>
      <c r="E46" s="717"/>
      <c r="F46" s="717"/>
      <c r="G46" s="717"/>
      <c r="H46" s="717"/>
      <c r="I46" s="717"/>
      <c r="J46" s="717"/>
      <c r="K46" s="717"/>
      <c r="L46" s="717"/>
      <c r="M46" s="710"/>
    </row>
    <row r="47" spans="2:13" ht="15" customHeight="1" x14ac:dyDescent="0.35">
      <c r="B47" s="708"/>
      <c r="C47" s="1943" t="s">
        <v>560</v>
      </c>
      <c r="D47" s="1943"/>
      <c r="E47" s="1943"/>
      <c r="F47" s="1943"/>
      <c r="G47" s="1943"/>
      <c r="H47" s="1943"/>
      <c r="I47" s="1943"/>
      <c r="J47" s="1943"/>
      <c r="K47" s="1943"/>
      <c r="L47" s="717"/>
      <c r="M47" s="710"/>
    </row>
    <row r="48" spans="2:13" x14ac:dyDescent="0.35">
      <c r="B48" s="708"/>
      <c r="C48" s="1943"/>
      <c r="D48" s="1943"/>
      <c r="E48" s="1943"/>
      <c r="F48" s="1943"/>
      <c r="G48" s="1943"/>
      <c r="H48" s="1943"/>
      <c r="I48" s="1943"/>
      <c r="J48" s="1943"/>
      <c r="K48" s="1943"/>
      <c r="L48" s="717"/>
      <c r="M48" s="710"/>
    </row>
    <row r="49" spans="1:34" x14ac:dyDescent="0.35">
      <c r="B49" s="708"/>
      <c r="C49" s="1943"/>
      <c r="D49" s="1943"/>
      <c r="E49" s="1943"/>
      <c r="F49" s="1943"/>
      <c r="G49" s="1943"/>
      <c r="H49" s="1943"/>
      <c r="I49" s="1943"/>
      <c r="J49" s="1943"/>
      <c r="K49" s="1943"/>
      <c r="L49" s="717"/>
      <c r="M49" s="710"/>
    </row>
    <row r="50" spans="1:34" ht="15" thickBot="1" x14ac:dyDescent="0.4">
      <c r="B50" s="708"/>
      <c r="C50" s="1943"/>
      <c r="D50" s="1943"/>
      <c r="E50" s="1943"/>
      <c r="F50" s="1943"/>
      <c r="G50" s="1943"/>
      <c r="H50" s="1943"/>
      <c r="I50" s="1943"/>
      <c r="J50" s="1943"/>
      <c r="K50" s="1943"/>
      <c r="L50" s="717"/>
      <c r="M50" s="710"/>
    </row>
    <row r="51" spans="1:34" ht="15" thickBot="1" x14ac:dyDescent="0.4">
      <c r="B51" s="708"/>
      <c r="C51" s="709" t="s">
        <v>561</v>
      </c>
      <c r="D51" s="624">
        <v>0.25</v>
      </c>
      <c r="E51" s="709"/>
      <c r="F51" s="709"/>
      <c r="G51" s="709"/>
      <c r="H51" s="709"/>
      <c r="I51" s="709"/>
      <c r="J51" s="709"/>
      <c r="K51" s="709"/>
      <c r="L51" s="717"/>
      <c r="M51" s="710"/>
    </row>
    <row r="52" spans="1:34" ht="15" thickBot="1" x14ac:dyDescent="0.4">
      <c r="B52" s="708"/>
      <c r="C52" s="709"/>
      <c r="D52" s="709"/>
      <c r="E52" s="709"/>
      <c r="F52" s="709"/>
      <c r="G52" s="709"/>
      <c r="H52" s="709"/>
      <c r="I52" s="709"/>
      <c r="J52" s="709"/>
      <c r="K52" s="709"/>
      <c r="L52" s="717"/>
      <c r="M52" s="710"/>
    </row>
    <row r="53" spans="1:34" ht="15" thickBot="1" x14ac:dyDescent="0.4">
      <c r="B53" s="708"/>
      <c r="C53" s="696" t="s">
        <v>562</v>
      </c>
      <c r="D53" s="697"/>
      <c r="E53" s="698"/>
      <c r="F53" s="698"/>
      <c r="G53" s="699"/>
      <c r="H53" s="713"/>
      <c r="I53" s="714"/>
      <c r="J53" s="714"/>
      <c r="K53" s="709"/>
      <c r="L53" s="717"/>
      <c r="M53" s="710"/>
    </row>
    <row r="54" spans="1:34" ht="15" thickBot="1" x14ac:dyDescent="0.4">
      <c r="B54" s="711"/>
      <c r="C54" s="692"/>
      <c r="D54" s="693"/>
      <c r="E54" s="694"/>
      <c r="F54" s="694"/>
      <c r="G54" s="694"/>
      <c r="H54" s="694"/>
      <c r="I54" s="694"/>
      <c r="J54" s="694"/>
      <c r="K54" s="694"/>
      <c r="L54" s="694"/>
      <c r="M54" s="695"/>
    </row>
    <row r="55" spans="1:34" ht="15" thickTop="1" x14ac:dyDescent="0.35">
      <c r="B55" s="1098"/>
      <c r="C55" s="1099"/>
      <c r="D55" s="705"/>
      <c r="E55" s="706"/>
      <c r="F55" s="706"/>
      <c r="G55" s="706"/>
      <c r="H55" s="706"/>
      <c r="I55" s="706"/>
      <c r="J55" s="706"/>
      <c r="K55" s="706"/>
      <c r="L55" s="706"/>
      <c r="M55" s="707"/>
    </row>
    <row r="56" spans="1:34" ht="15.5" x14ac:dyDescent="0.35">
      <c r="B56" s="708"/>
      <c r="C56" s="718" t="s">
        <v>563</v>
      </c>
      <c r="D56" s="716"/>
      <c r="E56" s="717"/>
      <c r="F56" s="717"/>
      <c r="G56" s="717"/>
      <c r="H56" s="717"/>
      <c r="I56" s="717"/>
      <c r="J56" s="717"/>
      <c r="K56" s="717"/>
      <c r="L56" s="717"/>
      <c r="M56" s="710"/>
    </row>
    <row r="57" spans="1:34" x14ac:dyDescent="0.35">
      <c r="B57" s="708"/>
      <c r="C57" s="1943" t="s">
        <v>564</v>
      </c>
      <c r="D57" s="1943"/>
      <c r="E57" s="1943"/>
      <c r="F57" s="1943"/>
      <c r="G57" s="1943"/>
      <c r="H57" s="1943"/>
      <c r="I57" s="1943"/>
      <c r="J57" s="1943"/>
      <c r="K57" s="1943"/>
      <c r="L57" s="717"/>
      <c r="M57" s="710"/>
    </row>
    <row r="58" spans="1:34" x14ac:dyDescent="0.35">
      <c r="B58" s="708"/>
      <c r="C58" s="1943"/>
      <c r="D58" s="1943"/>
      <c r="E58" s="1943"/>
      <c r="F58" s="1943"/>
      <c r="G58" s="1943"/>
      <c r="H58" s="1943"/>
      <c r="I58" s="1943"/>
      <c r="J58" s="1943"/>
      <c r="K58" s="1943"/>
      <c r="L58" s="717"/>
      <c r="M58" s="710"/>
    </row>
    <row r="59" spans="1:34" x14ac:dyDescent="0.35">
      <c r="B59" s="708"/>
      <c r="C59" s="1943"/>
      <c r="D59" s="1943"/>
      <c r="E59" s="1943"/>
      <c r="F59" s="1943"/>
      <c r="G59" s="1943"/>
      <c r="H59" s="1943"/>
      <c r="I59" s="1943"/>
      <c r="J59" s="1943"/>
      <c r="K59" s="1943"/>
      <c r="L59" s="717"/>
      <c r="M59" s="710"/>
    </row>
    <row r="60" spans="1:34" ht="33" customHeight="1" x14ac:dyDescent="0.35">
      <c r="B60" s="708"/>
      <c r="C60" s="1943"/>
      <c r="D60" s="1943"/>
      <c r="E60" s="1943"/>
      <c r="F60" s="1943"/>
      <c r="G60" s="1943"/>
      <c r="H60" s="1943"/>
      <c r="I60" s="1943"/>
      <c r="J60" s="1943"/>
      <c r="K60" s="1943"/>
      <c r="L60" s="717"/>
      <c r="M60" s="710"/>
    </row>
    <row r="61" spans="1:34" ht="15" thickBot="1" x14ac:dyDescent="0.4">
      <c r="B61" s="711"/>
      <c r="C61" s="692"/>
      <c r="D61" s="693"/>
      <c r="E61" s="694"/>
      <c r="F61" s="694"/>
      <c r="G61" s="694"/>
      <c r="H61" s="694"/>
      <c r="I61" s="694"/>
      <c r="J61" s="694"/>
      <c r="K61" s="694"/>
      <c r="L61" s="694"/>
      <c r="M61" s="695"/>
    </row>
    <row r="62" spans="1:34" ht="15" thickTop="1" x14ac:dyDescent="0.35">
      <c r="B62" s="636"/>
      <c r="C62" s="637"/>
      <c r="D62" s="115"/>
      <c r="E62" s="334"/>
      <c r="F62" s="334"/>
      <c r="G62" s="334"/>
      <c r="H62" s="334"/>
      <c r="I62" s="334"/>
      <c r="J62" s="334"/>
      <c r="K62" s="334"/>
      <c r="L62" s="334"/>
    </row>
    <row r="63" spans="1:34" x14ac:dyDescent="0.35">
      <c r="B63" s="628" t="s">
        <v>96</v>
      </c>
      <c r="C63" s="629"/>
      <c r="D63" s="634" t="s">
        <v>565</v>
      </c>
      <c r="E63" s="190">
        <v>1</v>
      </c>
      <c r="F63" s="190">
        <f>E63+1</f>
        <v>2</v>
      </c>
      <c r="G63" s="190">
        <f t="shared" ref="G63:AH63" si="1">F63+1</f>
        <v>3</v>
      </c>
      <c r="H63" s="190">
        <f t="shared" si="1"/>
        <v>4</v>
      </c>
      <c r="I63" s="190">
        <f t="shared" si="1"/>
        <v>5</v>
      </c>
      <c r="J63" s="190">
        <f t="shared" si="1"/>
        <v>6</v>
      </c>
      <c r="K63" s="190">
        <f t="shared" si="1"/>
        <v>7</v>
      </c>
      <c r="L63" s="190">
        <f t="shared" si="1"/>
        <v>8</v>
      </c>
      <c r="M63" s="190">
        <f t="shared" si="1"/>
        <v>9</v>
      </c>
      <c r="N63" s="190">
        <f t="shared" si="1"/>
        <v>10</v>
      </c>
      <c r="O63" s="190">
        <f t="shared" si="1"/>
        <v>11</v>
      </c>
      <c r="P63" s="190">
        <f t="shared" si="1"/>
        <v>12</v>
      </c>
      <c r="Q63" s="190">
        <f t="shared" si="1"/>
        <v>13</v>
      </c>
      <c r="R63" s="190">
        <f t="shared" si="1"/>
        <v>14</v>
      </c>
      <c r="S63" s="190">
        <f t="shared" si="1"/>
        <v>15</v>
      </c>
      <c r="T63" s="190">
        <f t="shared" si="1"/>
        <v>16</v>
      </c>
      <c r="U63" s="190">
        <f t="shared" si="1"/>
        <v>17</v>
      </c>
      <c r="V63" s="190">
        <f t="shared" si="1"/>
        <v>18</v>
      </c>
      <c r="W63" s="190">
        <f t="shared" si="1"/>
        <v>19</v>
      </c>
      <c r="X63" s="190">
        <f t="shared" si="1"/>
        <v>20</v>
      </c>
      <c r="Y63" s="190">
        <f t="shared" si="1"/>
        <v>21</v>
      </c>
      <c r="Z63" s="190">
        <f t="shared" si="1"/>
        <v>22</v>
      </c>
      <c r="AA63" s="190">
        <f t="shared" si="1"/>
        <v>23</v>
      </c>
      <c r="AB63" s="190">
        <f t="shared" si="1"/>
        <v>24</v>
      </c>
      <c r="AC63" s="190">
        <f t="shared" si="1"/>
        <v>25</v>
      </c>
      <c r="AD63" s="190">
        <f t="shared" si="1"/>
        <v>26</v>
      </c>
      <c r="AE63" s="190">
        <f t="shared" si="1"/>
        <v>27</v>
      </c>
      <c r="AF63" s="190">
        <f t="shared" si="1"/>
        <v>28</v>
      </c>
      <c r="AG63" s="190">
        <f t="shared" si="1"/>
        <v>29</v>
      </c>
      <c r="AH63" s="190">
        <f t="shared" si="1"/>
        <v>30</v>
      </c>
    </row>
    <row r="64" spans="1:34" s="79" customFormat="1" ht="9.75" customHeight="1" x14ac:dyDescent="0.35">
      <c r="A64"/>
      <c r="B64" s="120"/>
      <c r="C64" s="120"/>
      <c r="D64" s="120"/>
      <c r="E64" s="660"/>
    </row>
    <row r="65" spans="1:34" s="79" customFormat="1" x14ac:dyDescent="0.35">
      <c r="A65"/>
      <c r="B65" s="630" t="s">
        <v>566</v>
      </c>
      <c r="C65" s="631"/>
      <c r="D65" s="631"/>
      <c r="E65" s="661"/>
      <c r="F65" s="661"/>
      <c r="G65" s="661"/>
      <c r="H65" s="661"/>
      <c r="I65" s="661"/>
      <c r="J65" s="661"/>
      <c r="K65" s="661"/>
      <c r="L65" s="661"/>
      <c r="M65" s="661"/>
      <c r="N65" s="661"/>
      <c r="O65" s="661"/>
      <c r="P65" s="661"/>
      <c r="Q65" s="661"/>
      <c r="R65" s="661"/>
      <c r="S65" s="661"/>
      <c r="T65" s="661"/>
      <c r="U65" s="661"/>
      <c r="V65" s="661"/>
      <c r="W65" s="661"/>
      <c r="X65" s="661"/>
      <c r="Y65" s="661"/>
      <c r="Z65" s="661"/>
      <c r="AA65" s="661"/>
      <c r="AB65" s="661"/>
      <c r="AC65" s="661"/>
      <c r="AD65" s="661"/>
      <c r="AE65" s="661"/>
      <c r="AF65" s="661"/>
      <c r="AG65" s="661"/>
      <c r="AH65" s="661"/>
    </row>
    <row r="66" spans="1:34" s="79" customFormat="1" ht="6.75" customHeight="1" x14ac:dyDescent="0.35">
      <c r="A66"/>
      <c r="B66" s="114"/>
      <c r="C66" s="129"/>
      <c r="D66" s="635"/>
      <c r="E66" s="116"/>
    </row>
    <row r="67" spans="1:34" s="79" customFormat="1" x14ac:dyDescent="0.35">
      <c r="A67"/>
      <c r="B67" s="122" t="s">
        <v>567</v>
      </c>
      <c r="C67" s="123"/>
      <c r="D67" s="965">
        <f>SUM(D68:D71)</f>
        <v>608108993.16953266</v>
      </c>
      <c r="E67" s="966">
        <f>SUM(E68:E71)</f>
        <v>111830398.37632233</v>
      </c>
      <c r="F67" s="966">
        <f t="shared" ref="F67:AH67" si="2">SUM(F68:F71)</f>
        <v>62917775.595835164</v>
      </c>
      <c r="G67" s="966">
        <f t="shared" si="2"/>
        <v>54564690.907205746</v>
      </c>
      <c r="H67" s="966">
        <f t="shared" si="2"/>
        <v>52308743.042805158</v>
      </c>
      <c r="I67" s="966">
        <f t="shared" si="2"/>
        <v>35308425.529105738</v>
      </c>
      <c r="J67" s="966">
        <f t="shared" si="2"/>
        <v>35066535.895873457</v>
      </c>
      <c r="K67" s="966">
        <f t="shared" si="2"/>
        <v>38965768.197999403</v>
      </c>
      <c r="L67" s="966">
        <f t="shared" si="2"/>
        <v>39242540.907482028</v>
      </c>
      <c r="M67" s="966">
        <f t="shared" si="2"/>
        <v>56033184.538910091</v>
      </c>
      <c r="N67" s="966">
        <f t="shared" si="2"/>
        <v>40362878.879242882</v>
      </c>
      <c r="O67" s="966">
        <f t="shared" si="2"/>
        <v>62925580.79049287</v>
      </c>
      <c r="P67" s="966">
        <f t="shared" si="2"/>
        <v>40607833.350155145</v>
      </c>
      <c r="Q67" s="966">
        <f t="shared" si="2"/>
        <v>40618695.233744025</v>
      </c>
      <c r="R67" s="966">
        <f t="shared" si="2"/>
        <v>40839874.727613337</v>
      </c>
      <c r="S67" s="966">
        <f t="shared" si="2"/>
        <v>44998324.130933478</v>
      </c>
      <c r="T67" s="966">
        <f t="shared" si="2"/>
        <v>40934252.900194556</v>
      </c>
      <c r="U67" s="966">
        <f t="shared" si="2"/>
        <v>58241049.275651373</v>
      </c>
      <c r="V67" s="966">
        <f t="shared" si="2"/>
        <v>43529983.646069095</v>
      </c>
      <c r="W67" s="966">
        <f t="shared" si="2"/>
        <v>40657197.293799654</v>
      </c>
      <c r="X67" s="966">
        <f t="shared" si="2"/>
        <v>42558606.773515187</v>
      </c>
      <c r="Y67" s="966">
        <f t="shared" si="2"/>
        <v>49349612.952558465</v>
      </c>
      <c r="Z67" s="966">
        <f t="shared" si="2"/>
        <v>40663070.119882405</v>
      </c>
      <c r="AA67" s="966">
        <f t="shared" si="2"/>
        <v>44757673.203852594</v>
      </c>
      <c r="AB67" s="966">
        <f t="shared" si="2"/>
        <v>43845399.806109793</v>
      </c>
      <c r="AC67" s="966">
        <f t="shared" si="2"/>
        <v>58521957.904805131</v>
      </c>
      <c r="AD67" s="966">
        <f t="shared" si="2"/>
        <v>40860428.134441853</v>
      </c>
      <c r="AE67" s="966">
        <f t="shared" si="2"/>
        <v>40672765.905927792</v>
      </c>
      <c r="AF67" s="966">
        <f t="shared" si="2"/>
        <v>40674693.102915838</v>
      </c>
      <c r="AG67" s="966">
        <f t="shared" si="2"/>
        <v>40684167.607972547</v>
      </c>
      <c r="AH67" s="966">
        <f t="shared" si="2"/>
        <v>43826112.500607423</v>
      </c>
    </row>
    <row r="68" spans="1:34" s="79" customFormat="1" x14ac:dyDescent="0.35">
      <c r="A68"/>
      <c r="B68" s="125"/>
      <c r="C68" s="182" t="s">
        <v>568</v>
      </c>
      <c r="D68" s="967">
        <f>NPV(E8,F68:AH68)+E68</f>
        <v>84597496.150215387</v>
      </c>
      <c r="E68" s="968">
        <f>'CAPEX E OPEX'!F88</f>
        <v>44794164.494999997</v>
      </c>
      <c r="F68" s="968">
        <f>'CAPEX E OPEX'!G88</f>
        <v>6904933.4850000003</v>
      </c>
      <c r="G68" s="968">
        <f>'CAPEX E OPEX'!H88</f>
        <v>4052790.21</v>
      </c>
      <c r="H68" s="968">
        <f>'CAPEX E OPEX'!I88</f>
        <v>2279292.8819999998</v>
      </c>
      <c r="I68" s="968">
        <f>'CAPEX E OPEX'!J88</f>
        <v>69509.200000000012</v>
      </c>
      <c r="J68" s="968">
        <f>'CAPEX E OPEX'!K88</f>
        <v>144335.12</v>
      </c>
      <c r="K68" s="968">
        <f>'CAPEX E OPEX'!L88</f>
        <v>3238943.16</v>
      </c>
      <c r="L68" s="968">
        <f>'CAPEX E OPEX'!M88</f>
        <v>80011.86</v>
      </c>
      <c r="M68" s="968">
        <f>'CAPEX E OPEX'!N88</f>
        <v>13938778.340000002</v>
      </c>
      <c r="N68" s="968">
        <f>'CAPEX E OPEX'!O88</f>
        <v>1353217.01</v>
      </c>
      <c r="O68" s="968">
        <f>'CAPEX E OPEX'!P88</f>
        <v>17697629.191999998</v>
      </c>
      <c r="P68" s="968">
        <f>'CAPEX E OPEX'!Q88</f>
        <v>0</v>
      </c>
      <c r="Q68" s="968">
        <f>'CAPEX E OPEX'!R88</f>
        <v>0</v>
      </c>
      <c r="R68" s="968">
        <f>'CAPEX E OPEX'!S88</f>
        <v>160773.79999999996</v>
      </c>
      <c r="S68" s="968">
        <f>'CAPEX E OPEX'!T88</f>
        <v>3308452.3600000003</v>
      </c>
      <c r="T68" s="968">
        <f>'CAPEX E OPEX'!U88</f>
        <v>224346.97999999998</v>
      </c>
      <c r="U68" s="968">
        <f>'CAPEX E OPEX'!V88</f>
        <v>13938778.340000002</v>
      </c>
      <c r="V68" s="968">
        <f>'CAPEX E OPEX'!W88</f>
        <v>2279292.8819999998</v>
      </c>
      <c r="W68" s="968">
        <f>'CAPEX E OPEX'!X88</f>
        <v>0</v>
      </c>
      <c r="X68" s="968">
        <f>'CAPEX E OPEX'!Y88</f>
        <v>1353217.01</v>
      </c>
      <c r="Y68" s="968">
        <f>'CAPEX E OPEX'!Z88</f>
        <v>6888816.9100000001</v>
      </c>
      <c r="Z68" s="968">
        <f>'CAPEX E OPEX'!AA88</f>
        <v>0</v>
      </c>
      <c r="AA68" s="968">
        <f>'CAPEX E OPEX'!AB88</f>
        <v>3238943.16</v>
      </c>
      <c r="AB68" s="968">
        <f>'CAPEX E OPEX'!AC88</f>
        <v>2520078.5419999999</v>
      </c>
      <c r="AC68" s="968">
        <f>'CAPEX E OPEX'!AD88</f>
        <v>14008287.540000001</v>
      </c>
      <c r="AD68" s="968">
        <f>'CAPEX E OPEX'!AE88</f>
        <v>144335.12</v>
      </c>
      <c r="AE68" s="968">
        <f>'CAPEX E OPEX'!AF88</f>
        <v>0</v>
      </c>
      <c r="AF68" s="968">
        <f>'CAPEX E OPEX'!AG88</f>
        <v>0</v>
      </c>
      <c r="AG68" s="968">
        <f>'CAPEX E OPEX'!AH88</f>
        <v>0</v>
      </c>
      <c r="AH68" s="968">
        <f>'CAPEX E OPEX'!AI88</f>
        <v>2348802.0819999999</v>
      </c>
    </row>
    <row r="69" spans="1:34" s="79" customFormat="1" x14ac:dyDescent="0.35">
      <c r="A69"/>
      <c r="B69" s="334"/>
      <c r="C69" s="183" t="s">
        <v>569</v>
      </c>
      <c r="D69" s="969">
        <f>NPV(E8,F69:AH69)+E69</f>
        <v>21721804.767486513</v>
      </c>
      <c r="E69" s="502">
        <f>E68*$E$21</f>
        <v>11501641.77619799</v>
      </c>
      <c r="F69" s="502">
        <f t="shared" ref="F69:AH69" si="3">F68*$E$21</f>
        <v>1772955.7483276457</v>
      </c>
      <c r="G69" s="502">
        <f t="shared" si="3"/>
        <v>1040620.8423578328</v>
      </c>
      <c r="H69" s="502">
        <f t="shared" si="3"/>
        <v>585246.10353494028</v>
      </c>
      <c r="I69" s="502">
        <f t="shared" si="3"/>
        <v>17847.635457947647</v>
      </c>
      <c r="J69" s="502">
        <f t="shared" si="3"/>
        <v>37060.426613155207</v>
      </c>
      <c r="K69" s="502">
        <f t="shared" si="3"/>
        <v>831652.16674473288</v>
      </c>
      <c r="L69" s="502">
        <f t="shared" si="3"/>
        <v>20544.36692685778</v>
      </c>
      <c r="M69" s="502">
        <f t="shared" si="3"/>
        <v>3579011.6206409601</v>
      </c>
      <c r="N69" s="502">
        <f t="shared" si="3"/>
        <v>347460.8237466967</v>
      </c>
      <c r="O69" s="502">
        <f t="shared" si="3"/>
        <v>4544158.676675152</v>
      </c>
      <c r="P69" s="502">
        <f t="shared" si="3"/>
        <v>0</v>
      </c>
      <c r="Q69" s="502">
        <f t="shared" si="3"/>
        <v>0</v>
      </c>
      <c r="R69" s="502">
        <f t="shared" si="3"/>
        <v>41281.329285748965</v>
      </c>
      <c r="S69" s="502">
        <f t="shared" si="3"/>
        <v>849499.80220268061</v>
      </c>
      <c r="T69" s="502">
        <f t="shared" si="3"/>
        <v>57604.793540012986</v>
      </c>
      <c r="U69" s="502">
        <f t="shared" si="3"/>
        <v>3579011.6206409601</v>
      </c>
      <c r="V69" s="502">
        <f t="shared" si="3"/>
        <v>585246.10353494028</v>
      </c>
      <c r="W69" s="502">
        <f t="shared" si="3"/>
        <v>0</v>
      </c>
      <c r="X69" s="502">
        <f t="shared" si="3"/>
        <v>347460.8237466967</v>
      </c>
      <c r="Y69" s="502">
        <f t="shared" si="3"/>
        <v>1768817.5514352822</v>
      </c>
      <c r="Z69" s="502">
        <f t="shared" si="3"/>
        <v>0</v>
      </c>
      <c r="AA69" s="502">
        <f t="shared" si="3"/>
        <v>831652.16674473288</v>
      </c>
      <c r="AB69" s="502">
        <f t="shared" si="3"/>
        <v>647071.79974754702</v>
      </c>
      <c r="AC69" s="502">
        <f t="shared" si="3"/>
        <v>3596859.2560989074</v>
      </c>
      <c r="AD69" s="502">
        <f t="shared" si="3"/>
        <v>37060.426613155207</v>
      </c>
      <c r="AE69" s="502">
        <f t="shared" si="3"/>
        <v>0</v>
      </c>
      <c r="AF69" s="502">
        <f t="shared" si="3"/>
        <v>0</v>
      </c>
      <c r="AG69" s="502">
        <f t="shared" si="3"/>
        <v>0</v>
      </c>
      <c r="AH69" s="502">
        <f t="shared" si="3"/>
        <v>603093.7389928879</v>
      </c>
    </row>
    <row r="70" spans="1:34" s="79" customFormat="1" x14ac:dyDescent="0.35">
      <c r="A70"/>
      <c r="B70" s="129"/>
      <c r="C70" s="183" t="s">
        <v>570</v>
      </c>
      <c r="D70" s="969">
        <f>NPV(E8,F70:AH70)+E70</f>
        <v>392053826.27692074</v>
      </c>
      <c r="E70" s="970">
        <f>'CAPEX E OPEX'!F256-'CAPEX E OPEX'!F215-'CAPEX E OPEX'!F235</f>
        <v>43389789.909465067</v>
      </c>
      <c r="F70" s="970">
        <f>'CAPEX E OPEX'!G256-'CAPEX E OPEX'!G215-'CAPEX E OPEX'!G235</f>
        <v>42378222.019304253</v>
      </c>
      <c r="G70" s="970">
        <f>'CAPEX E OPEX'!H256-'CAPEX E OPEX'!H215-'CAPEX E OPEX'!H235</f>
        <v>38652457.109811641</v>
      </c>
      <c r="H70" s="970">
        <f>'CAPEX E OPEX'!I256-'CAPEX E OPEX'!I215-'CAPEX E OPEX'!I235</f>
        <v>38631302.49024941</v>
      </c>
      <c r="I70" s="970">
        <f>'CAPEX E OPEX'!J256-'CAPEX E OPEX'!J215-'CAPEX E OPEX'!J235</f>
        <v>27518609.808303609</v>
      </c>
      <c r="J70" s="970">
        <f>'CAPEX E OPEX'!K256-'CAPEX E OPEX'!K215-'CAPEX E OPEX'!K235</f>
        <v>27256145.284209941</v>
      </c>
      <c r="K70" s="970">
        <f>'CAPEX E OPEX'!L256-'CAPEX E OPEX'!L215-'CAPEX E OPEX'!L235</f>
        <v>27263983.80440243</v>
      </c>
      <c r="L70" s="970">
        <f>'CAPEX E OPEX'!M256-'CAPEX E OPEX'!M215-'CAPEX E OPEX'!M235</f>
        <v>30582064.755492751</v>
      </c>
      <c r="M70" s="970">
        <f>'CAPEX E OPEX'!N256-'CAPEX E OPEX'!N215-'CAPEX E OPEX'!N235</f>
        <v>30092502.991068929</v>
      </c>
      <c r="N70" s="970">
        <f>'CAPEX E OPEX'!O256-'CAPEX E OPEX'!O215-'CAPEX E OPEX'!O235</f>
        <v>30207204.504645817</v>
      </c>
      <c r="O70" s="970">
        <f>'CAPEX E OPEX'!P256-'CAPEX E OPEX'!P215-'CAPEX E OPEX'!P235</f>
        <v>31786696.555838518</v>
      </c>
      <c r="P70" s="970">
        <f>'CAPEX E OPEX'!Q256-'CAPEX E OPEX'!Q215-'CAPEX E OPEX'!Q235</f>
        <v>31727348.503910579</v>
      </c>
      <c r="Q70" s="970">
        <f>'CAPEX E OPEX'!R256-'CAPEX E OPEX'!R215-'CAPEX E OPEX'!R235</f>
        <v>31735835.013472944</v>
      </c>
      <c r="R70" s="970">
        <f>'CAPEX E OPEX'!S256-'CAPEX E OPEX'!S215-'CAPEX E OPEX'!S235</f>
        <v>31750777.090653636</v>
      </c>
      <c r="S70" s="970">
        <f>'CAPEX E OPEX'!T256-'CAPEX E OPEX'!T215-'CAPEX E OPEX'!T235</f>
        <v>31909033.493812643</v>
      </c>
      <c r="T70" s="970">
        <f>'CAPEX E OPEX'!U256-'CAPEX E OPEX'!U215-'CAPEX E OPEX'!U235</f>
        <v>31762091.668610476</v>
      </c>
      <c r="U70" s="970">
        <f>'CAPEX E OPEX'!V256-'CAPEX E OPEX'!V215-'CAPEX E OPEX'!V235</f>
        <v>31817532.084545985</v>
      </c>
      <c r="V70" s="970">
        <f>'CAPEX E OPEX'!W256-'CAPEX E OPEX'!W215-'CAPEX E OPEX'!W235</f>
        <v>31772360.856734246</v>
      </c>
      <c r="W70" s="970">
        <f>'CAPEX E OPEX'!X256-'CAPEX E OPEX'!X215-'CAPEX E OPEX'!X235</f>
        <v>31765917.098054267</v>
      </c>
      <c r="X70" s="970">
        <f>'CAPEX E OPEX'!Y256-'CAPEX E OPEX'!Y215-'CAPEX E OPEX'!Y235</f>
        <v>31922750.949112035</v>
      </c>
      <c r="Y70" s="970">
        <f>'CAPEX E OPEX'!Z256-'CAPEX E OPEX'!Z215-'CAPEX E OPEX'!Z235</f>
        <v>31793092.031504951</v>
      </c>
      <c r="Z70" s="970">
        <f>'CAPEX E OPEX'!AA256-'CAPEX E OPEX'!AA215-'CAPEX E OPEX'!AA235</f>
        <v>31770505.601908281</v>
      </c>
      <c r="AA70" s="970">
        <f>'CAPEX E OPEX'!AB256-'CAPEX E OPEX'!AB215-'CAPEX E OPEX'!AB235</f>
        <v>31789263.127672367</v>
      </c>
      <c r="AB70" s="970">
        <f>'CAPEX E OPEX'!AC256-'CAPEX E OPEX'!AC215-'CAPEX E OPEX'!AC235</f>
        <v>31782365.391329207</v>
      </c>
      <c r="AC70" s="970">
        <f>'CAPEX E OPEX'!AD256-'CAPEX E OPEX'!AD215-'CAPEX E OPEX'!AD235</f>
        <v>31968756.237757809</v>
      </c>
      <c r="AD70" s="970">
        <f>'CAPEX E OPEX'!AE256-'CAPEX E OPEX'!AE215-'CAPEX E OPEX'!AE235</f>
        <v>31782977.254339166</v>
      </c>
      <c r="AE70" s="970">
        <f>'CAPEX E OPEX'!AF256-'CAPEX E OPEX'!AF215-'CAPEX E OPEX'!AF235</f>
        <v>31778081.026586287</v>
      </c>
      <c r="AF70" s="970">
        <f>'CAPEX E OPEX'!AG256-'CAPEX E OPEX'!AG215-'CAPEX E OPEX'!AG235</f>
        <v>31779586.766869158</v>
      </c>
      <c r="AG70" s="970">
        <f>'CAPEX E OPEX'!AH256-'CAPEX E OPEX'!AH215-'CAPEX E OPEX'!AH235</f>
        <v>31786989.30226779</v>
      </c>
      <c r="AH70" s="970">
        <f>'CAPEX E OPEX'!AI256-'CAPEX E OPEX'!AI215-'CAPEX E OPEX'!AI235</f>
        <v>31935476.740069173</v>
      </c>
    </row>
    <row r="71" spans="1:34" s="79" customFormat="1" x14ac:dyDescent="0.35">
      <c r="A71"/>
      <c r="B71" s="129"/>
      <c r="C71" s="183" t="s">
        <v>571</v>
      </c>
      <c r="D71" s="969">
        <f>NPV($E$8,F71:AH71)+E71</f>
        <v>109735865.97491005</v>
      </c>
      <c r="E71" s="970">
        <f t="shared" ref="E71:AH71" si="4">E70*$I$27</f>
        <v>12144802.195659272</v>
      </c>
      <c r="F71" s="970">
        <f t="shared" si="4"/>
        <v>11861664.34320326</v>
      </c>
      <c r="G71" s="970">
        <f t="shared" si="4"/>
        <v>10818822.745036278</v>
      </c>
      <c r="H71" s="970">
        <f t="shared" si="4"/>
        <v>10812901.567020809</v>
      </c>
      <c r="I71" s="970">
        <f t="shared" si="4"/>
        <v>7702458.8853441793</v>
      </c>
      <c r="J71" s="970">
        <f t="shared" si="4"/>
        <v>7628995.0650503617</v>
      </c>
      <c r="K71" s="970">
        <f t="shared" si="4"/>
        <v>7631189.0668522399</v>
      </c>
      <c r="L71" s="970">
        <f t="shared" si="4"/>
        <v>8559919.9250624198</v>
      </c>
      <c r="M71" s="970">
        <f t="shared" si="4"/>
        <v>8422891.5872001927</v>
      </c>
      <c r="N71" s="970">
        <f t="shared" si="4"/>
        <v>8454996.5408503637</v>
      </c>
      <c r="O71" s="970">
        <f t="shared" si="4"/>
        <v>8897096.3659792002</v>
      </c>
      <c r="P71" s="970">
        <f t="shared" si="4"/>
        <v>8880484.8462445699</v>
      </c>
      <c r="Q71" s="970">
        <f t="shared" si="4"/>
        <v>8882860.220271077</v>
      </c>
      <c r="R71" s="970">
        <f t="shared" si="4"/>
        <v>8887042.5076739527</v>
      </c>
      <c r="S71" s="970">
        <f t="shared" si="4"/>
        <v>8931338.4749181587</v>
      </c>
      <c r="T71" s="970">
        <f t="shared" si="4"/>
        <v>8890209.4580440708</v>
      </c>
      <c r="U71" s="970">
        <f t="shared" si="4"/>
        <v>8905727.2304644212</v>
      </c>
      <c r="V71" s="970">
        <f t="shared" si="4"/>
        <v>8893083.8037999142</v>
      </c>
      <c r="W71" s="970">
        <f t="shared" si="4"/>
        <v>8891280.195745388</v>
      </c>
      <c r="X71" s="970">
        <f t="shared" si="4"/>
        <v>8935177.9906564578</v>
      </c>
      <c r="Y71" s="970">
        <f t="shared" si="4"/>
        <v>8898886.459618235</v>
      </c>
      <c r="Z71" s="970">
        <f t="shared" si="4"/>
        <v>8892564.5179741271</v>
      </c>
      <c r="AA71" s="970">
        <f t="shared" si="4"/>
        <v>8897814.7494354956</v>
      </c>
      <c r="AB71" s="970">
        <f t="shared" si="4"/>
        <v>8895884.0730330441</v>
      </c>
      <c r="AC71" s="970">
        <f t="shared" si="4"/>
        <v>8948054.8709484097</v>
      </c>
      <c r="AD71" s="970">
        <f t="shared" si="4"/>
        <v>8896055.3334895317</v>
      </c>
      <c r="AE71" s="970">
        <f t="shared" si="4"/>
        <v>8894684.8793415017</v>
      </c>
      <c r="AF71" s="970">
        <f t="shared" si="4"/>
        <v>8895106.3360466771</v>
      </c>
      <c r="AG71" s="970">
        <f t="shared" si="4"/>
        <v>8897178.3057047538</v>
      </c>
      <c r="AH71" s="970">
        <f t="shared" si="4"/>
        <v>8938739.9395453613</v>
      </c>
    </row>
    <row r="72" spans="1:34" s="79" customFormat="1" x14ac:dyDescent="0.35">
      <c r="A72"/>
      <c r="B72" s="122" t="s">
        <v>572</v>
      </c>
      <c r="C72" s="123"/>
      <c r="D72" s="965">
        <f>SUM(D73:D75)</f>
        <v>23518410.475928631</v>
      </c>
      <c r="E72" s="966">
        <f>SUM(E73:E75)</f>
        <v>11617278.137674231</v>
      </c>
      <c r="F72" s="966">
        <f>SUM(F73:F75)</f>
        <v>1982380.539578442</v>
      </c>
      <c r="G72" s="966">
        <f t="shared" ref="G72:AH72" si="5">SUM(G73:G75)</f>
        <v>1253791.8945700629</v>
      </c>
      <c r="H72" s="966">
        <f t="shared" si="5"/>
        <v>798613.42649959226</v>
      </c>
      <c r="I72" s="966">
        <f t="shared" si="5"/>
        <v>257243.57995503442</v>
      </c>
      <c r="J72" s="966">
        <f t="shared" si="5"/>
        <v>246128.13110787701</v>
      </c>
      <c r="K72" s="966">
        <f t="shared" si="5"/>
        <v>1024934.6679082875</v>
      </c>
      <c r="L72" s="966">
        <f t="shared" si="5"/>
        <v>218445.46581447942</v>
      </c>
      <c r="M72" s="966">
        <f t="shared" si="5"/>
        <v>3725919.1347464533</v>
      </c>
      <c r="N72" s="966">
        <f t="shared" si="5"/>
        <v>554165.9705307117</v>
      </c>
      <c r="O72" s="966">
        <f t="shared" si="5"/>
        <v>4608401.3963416228</v>
      </c>
      <c r="P72" s="966">
        <f t="shared" si="5"/>
        <v>119155.30884561996</v>
      </c>
      <c r="Q72" s="966">
        <f t="shared" si="5"/>
        <v>116251.17083993436</v>
      </c>
      <c r="R72" s="966">
        <f t="shared" si="5"/>
        <v>154096.1404525672</v>
      </c>
      <c r="S72" s="966">
        <f t="shared" si="5"/>
        <v>973548.19893502258</v>
      </c>
      <c r="T72" s="966">
        <f t="shared" si="5"/>
        <v>164368.41216278833</v>
      </c>
      <c r="U72" s="966">
        <f t="shared" si="5"/>
        <v>3638044.3829003754</v>
      </c>
      <c r="V72" s="966">
        <f t="shared" si="5"/>
        <v>679429.32539071911</v>
      </c>
      <c r="W72" s="966">
        <f t="shared" si="5"/>
        <v>98689.971012820577</v>
      </c>
      <c r="X72" s="966">
        <f t="shared" si="5"/>
        <v>463222.54226418317</v>
      </c>
      <c r="Y72" s="966">
        <f t="shared" si="5"/>
        <v>1839118.4954632951</v>
      </c>
      <c r="Z72" s="966">
        <f t="shared" si="5"/>
        <v>89855.463168708258</v>
      </c>
      <c r="AA72" s="966">
        <f t="shared" si="5"/>
        <v>907976.49373487872</v>
      </c>
      <c r="AB72" s="966">
        <f t="shared" si="5"/>
        <v>722790.13769380643</v>
      </c>
      <c r="AC72" s="966">
        <f t="shared" si="5"/>
        <v>3656527.6113159959</v>
      </c>
      <c r="AD72" s="966">
        <f t="shared" si="5"/>
        <v>114621.48480793372</v>
      </c>
      <c r="AE72" s="966">
        <f t="shared" si="5"/>
        <v>75069.011857133257</v>
      </c>
      <c r="AF72" s="966">
        <f t="shared" si="5"/>
        <v>72102.37694209005</v>
      </c>
      <c r="AG72" s="966">
        <f t="shared" si="5"/>
        <v>69132.627142804093</v>
      </c>
      <c r="AH72" s="966">
        <f t="shared" si="5"/>
        <v>686014.87313777942</v>
      </c>
    </row>
    <row r="73" spans="1:34" s="79" customFormat="1" x14ac:dyDescent="0.35">
      <c r="A73"/>
      <c r="B73" s="129"/>
      <c r="C73" s="183" t="s">
        <v>573</v>
      </c>
      <c r="D73" s="969">
        <f>NPV($E$8,F73:AH73)+E73</f>
        <v>357421.99776484235</v>
      </c>
      <c r="E73" s="502">
        <f>$H$41*2</f>
        <v>48867.565783008002</v>
      </c>
      <c r="F73" s="502">
        <f t="shared" ref="F73:AG73" si="6">$H$41</f>
        <v>24433.782891504001</v>
      </c>
      <c r="G73" s="502">
        <f t="shared" si="6"/>
        <v>24433.782891504001</v>
      </c>
      <c r="H73" s="502">
        <f t="shared" si="6"/>
        <v>24433.782891504001</v>
      </c>
      <c r="I73" s="502">
        <f>$H$41*2</f>
        <v>48867.565783008002</v>
      </c>
      <c r="J73" s="502">
        <f t="shared" si="6"/>
        <v>24433.782891504001</v>
      </c>
      <c r="K73" s="502">
        <f t="shared" si="6"/>
        <v>24433.782891504001</v>
      </c>
      <c r="L73" s="502">
        <f t="shared" si="6"/>
        <v>24433.782891504001</v>
      </c>
      <c r="M73" s="502">
        <f t="shared" si="6"/>
        <v>24433.782891504001</v>
      </c>
      <c r="N73" s="502">
        <f>$H$41*2</f>
        <v>48867.565783008002</v>
      </c>
      <c r="O73" s="502">
        <f t="shared" si="6"/>
        <v>24433.782891504001</v>
      </c>
      <c r="P73" s="502">
        <f t="shared" si="6"/>
        <v>24433.782891504001</v>
      </c>
      <c r="Q73" s="502">
        <f t="shared" si="6"/>
        <v>24433.782891504001</v>
      </c>
      <c r="R73" s="502">
        <f t="shared" si="6"/>
        <v>24433.782891504001</v>
      </c>
      <c r="S73" s="502">
        <f>$H$41*2</f>
        <v>48867.565783008002</v>
      </c>
      <c r="T73" s="502">
        <f t="shared" si="6"/>
        <v>24433.782891504001</v>
      </c>
      <c r="U73" s="502">
        <f t="shared" si="6"/>
        <v>24433.782891504001</v>
      </c>
      <c r="V73" s="502">
        <f t="shared" si="6"/>
        <v>24433.782891504001</v>
      </c>
      <c r="W73" s="502">
        <f t="shared" si="6"/>
        <v>24433.782891504001</v>
      </c>
      <c r="X73" s="502">
        <f>$H$41*2</f>
        <v>48867.565783008002</v>
      </c>
      <c r="Y73" s="502">
        <f t="shared" si="6"/>
        <v>24433.782891504001</v>
      </c>
      <c r="Z73" s="502">
        <f t="shared" si="6"/>
        <v>24433.782891504001</v>
      </c>
      <c r="AA73" s="502">
        <f t="shared" si="6"/>
        <v>24433.782891504001</v>
      </c>
      <c r="AB73" s="502">
        <f t="shared" si="6"/>
        <v>24433.782891504001</v>
      </c>
      <c r="AC73" s="502">
        <f>$H$41*2</f>
        <v>48867.565783008002</v>
      </c>
      <c r="AD73" s="502">
        <f t="shared" si="6"/>
        <v>24433.782891504001</v>
      </c>
      <c r="AE73" s="502">
        <f t="shared" si="6"/>
        <v>24433.782891504001</v>
      </c>
      <c r="AF73" s="502">
        <f t="shared" si="6"/>
        <v>24433.782891504001</v>
      </c>
      <c r="AG73" s="502">
        <f t="shared" si="6"/>
        <v>24433.782891504001</v>
      </c>
      <c r="AH73" s="502">
        <f>$H$41*2</f>
        <v>48867.565783008002</v>
      </c>
    </row>
    <row r="74" spans="1:34" s="79" customFormat="1" x14ac:dyDescent="0.35">
      <c r="A74"/>
      <c r="B74" s="129"/>
      <c r="C74" s="183" t="s">
        <v>574</v>
      </c>
      <c r="D74" s="969">
        <f>NPV($E$8,F74:AH74)+E74</f>
        <v>21149374.037553847</v>
      </c>
      <c r="E74" s="502">
        <f>$D$51*E68</f>
        <v>11198541.123749999</v>
      </c>
      <c r="F74" s="502">
        <f t="shared" ref="F74:AH74" si="7">$D$51*F68</f>
        <v>1726233.3712500001</v>
      </c>
      <c r="G74" s="502">
        <f t="shared" si="7"/>
        <v>1013197.5525</v>
      </c>
      <c r="H74" s="502">
        <f t="shared" si="7"/>
        <v>569823.22049999994</v>
      </c>
      <c r="I74" s="502">
        <f t="shared" si="7"/>
        <v>17377.300000000003</v>
      </c>
      <c r="J74" s="502">
        <f t="shared" si="7"/>
        <v>36083.78</v>
      </c>
      <c r="K74" s="502">
        <f t="shared" si="7"/>
        <v>809735.79</v>
      </c>
      <c r="L74" s="502">
        <f t="shared" si="7"/>
        <v>20002.965</v>
      </c>
      <c r="M74" s="502">
        <f t="shared" si="7"/>
        <v>3484694.5850000004</v>
      </c>
      <c r="N74" s="502">
        <f t="shared" si="7"/>
        <v>338304.2525</v>
      </c>
      <c r="O74" s="502">
        <f t="shared" si="7"/>
        <v>4424407.2979999995</v>
      </c>
      <c r="P74" s="502">
        <f t="shared" si="7"/>
        <v>0</v>
      </c>
      <c r="Q74" s="502">
        <f t="shared" si="7"/>
        <v>0</v>
      </c>
      <c r="R74" s="502">
        <f t="shared" si="7"/>
        <v>40193.44999999999</v>
      </c>
      <c r="S74" s="502">
        <f t="shared" si="7"/>
        <v>827113.09000000008</v>
      </c>
      <c r="T74" s="502">
        <f t="shared" si="7"/>
        <v>56086.744999999995</v>
      </c>
      <c r="U74" s="502">
        <f t="shared" si="7"/>
        <v>3484694.5850000004</v>
      </c>
      <c r="V74" s="502">
        <f t="shared" si="7"/>
        <v>569823.22049999994</v>
      </c>
      <c r="W74" s="502">
        <f t="shared" si="7"/>
        <v>0</v>
      </c>
      <c r="X74" s="502">
        <f t="shared" si="7"/>
        <v>338304.2525</v>
      </c>
      <c r="Y74" s="502">
        <f t="shared" si="7"/>
        <v>1722204.2275</v>
      </c>
      <c r="Z74" s="502">
        <f t="shared" si="7"/>
        <v>0</v>
      </c>
      <c r="AA74" s="502">
        <f t="shared" si="7"/>
        <v>809735.79</v>
      </c>
      <c r="AB74" s="502">
        <f t="shared" si="7"/>
        <v>630019.63549999997</v>
      </c>
      <c r="AC74" s="502">
        <f t="shared" si="7"/>
        <v>3502071.8850000002</v>
      </c>
      <c r="AD74" s="502">
        <f t="shared" si="7"/>
        <v>36083.78</v>
      </c>
      <c r="AE74" s="502">
        <f t="shared" si="7"/>
        <v>0</v>
      </c>
      <c r="AF74" s="502">
        <f t="shared" si="7"/>
        <v>0</v>
      </c>
      <c r="AG74" s="502">
        <f t="shared" si="7"/>
        <v>0</v>
      </c>
      <c r="AH74" s="502">
        <f t="shared" si="7"/>
        <v>587200.52049999998</v>
      </c>
    </row>
    <row r="75" spans="1:34" s="79" customFormat="1" x14ac:dyDescent="0.35">
      <c r="A75"/>
      <c r="B75" s="127"/>
      <c r="C75" s="188" t="s">
        <v>575</v>
      </c>
      <c r="D75" s="971">
        <f>NPV($E$8,F75:AH75)+E75</f>
        <v>2011614.4406099422</v>
      </c>
      <c r="E75" s="972">
        <f>Seguros!G11</f>
        <v>369869.44814122538</v>
      </c>
      <c r="F75" s="972">
        <f>Seguros!H11</f>
        <v>231713.38543693788</v>
      </c>
      <c r="G75" s="972">
        <f>Seguros!I11</f>
        <v>216160.55917855888</v>
      </c>
      <c r="H75" s="972">
        <f>Seguros!J11</f>
        <v>204356.42310808835</v>
      </c>
      <c r="I75" s="972">
        <f>Seguros!K11</f>
        <v>190998.7141720264</v>
      </c>
      <c r="J75" s="972">
        <f>Seguros!L11</f>
        <v>185610.56821637301</v>
      </c>
      <c r="K75" s="972">
        <f>Seguros!M11</f>
        <v>190765.09501678345</v>
      </c>
      <c r="L75" s="972">
        <f>Seguros!N11</f>
        <v>174008.71792297543</v>
      </c>
      <c r="M75" s="972">
        <f>Seguros!O11</f>
        <v>216790.76685494883</v>
      </c>
      <c r="N75" s="972">
        <f>Seguros!P11</f>
        <v>166994.15224770369</v>
      </c>
      <c r="O75" s="972">
        <f>Seguros!Q11</f>
        <v>159560.31545012005</v>
      </c>
      <c r="P75" s="972">
        <f>Seguros!R11</f>
        <v>94721.525954115961</v>
      </c>
      <c r="Q75" s="972">
        <f>Seguros!S11</f>
        <v>91817.387948430362</v>
      </c>
      <c r="R75" s="972">
        <f>Seguros!T11</f>
        <v>89468.907561063214</v>
      </c>
      <c r="S75" s="972">
        <f>Seguros!U11</f>
        <v>97567.54315201455</v>
      </c>
      <c r="T75" s="972">
        <f>Seguros!V11</f>
        <v>83847.884271284347</v>
      </c>
      <c r="U75" s="972">
        <f>Seguros!W11</f>
        <v>128916.01500887118</v>
      </c>
      <c r="V75" s="972">
        <f>Seguros!X11</f>
        <v>85172.32199921523</v>
      </c>
      <c r="W75" s="972">
        <f>Seguros!Y11</f>
        <v>74256.188121316576</v>
      </c>
      <c r="X75" s="972">
        <f>Seguros!Z11</f>
        <v>76050.723981175179</v>
      </c>
      <c r="Y75" s="972">
        <f>Seguros!AA11</f>
        <v>92480.485071791045</v>
      </c>
      <c r="Z75" s="972">
        <f>Seguros!AB11</f>
        <v>65421.680277204257</v>
      </c>
      <c r="AA75" s="972">
        <f>Seguros!AC11</f>
        <v>73806.920843374726</v>
      </c>
      <c r="AB75" s="972">
        <f>Seguros!AD11</f>
        <v>68336.719302302459</v>
      </c>
      <c r="AC75" s="972">
        <f>Seguros!AE11</f>
        <v>105588.16053298747</v>
      </c>
      <c r="AD75" s="972">
        <f>Seguros!AF11</f>
        <v>54103.921916429725</v>
      </c>
      <c r="AE75" s="972">
        <f>Seguros!AG11</f>
        <v>50635.228965629256</v>
      </c>
      <c r="AF75" s="972">
        <f>Seguros!AH11</f>
        <v>47668.594050586049</v>
      </c>
      <c r="AG75" s="972">
        <f>Seguros!AI11</f>
        <v>44698.844251300099</v>
      </c>
      <c r="AH75" s="972">
        <f>Seguros!AJ11</f>
        <v>49946.786854771417</v>
      </c>
    </row>
    <row r="76" spans="1:34" s="79" customFormat="1" ht="6" customHeight="1" x14ac:dyDescent="0.35">
      <c r="A76"/>
      <c r="B76" s="129"/>
      <c r="C76" s="129"/>
      <c r="D76" s="973"/>
      <c r="E76" s="974"/>
      <c r="F76" s="974"/>
      <c r="G76" s="974"/>
      <c r="H76" s="974"/>
      <c r="I76" s="974"/>
      <c r="J76" s="974"/>
      <c r="K76" s="974"/>
      <c r="L76" s="974"/>
      <c r="M76" s="974"/>
      <c r="N76" s="974"/>
      <c r="O76" s="974"/>
      <c r="P76" s="974"/>
      <c r="Q76" s="974"/>
      <c r="R76" s="974"/>
      <c r="S76" s="974"/>
      <c r="T76" s="974"/>
      <c r="U76" s="974"/>
      <c r="V76" s="974"/>
      <c r="W76" s="974"/>
      <c r="X76" s="974"/>
      <c r="Y76" s="974"/>
      <c r="Z76" s="974"/>
      <c r="AA76" s="974"/>
      <c r="AB76" s="974"/>
      <c r="AC76" s="974"/>
      <c r="AD76" s="974"/>
      <c r="AE76" s="974"/>
      <c r="AF76" s="974"/>
      <c r="AG76" s="974"/>
      <c r="AH76" s="974"/>
    </row>
    <row r="77" spans="1:34" s="79" customFormat="1" x14ac:dyDescent="0.35">
      <c r="A77"/>
      <c r="B77" s="131" t="s">
        <v>576</v>
      </c>
      <c r="C77" s="132"/>
      <c r="D77" s="975">
        <f>D67+D72</f>
        <v>631627403.64546132</v>
      </c>
      <c r="E77" s="976">
        <f>E67+E72</f>
        <v>123447676.51399656</v>
      </c>
      <c r="F77" s="976">
        <f>F67+F72</f>
        <v>64900156.135413609</v>
      </c>
      <c r="G77" s="976">
        <f t="shared" ref="G77:AH77" si="8">G67+G72</f>
        <v>55818482.801775806</v>
      </c>
      <c r="H77" s="976">
        <f t="shared" si="8"/>
        <v>53107356.469304748</v>
      </c>
      <c r="I77" s="976">
        <f t="shared" si="8"/>
        <v>35565669.109060772</v>
      </c>
      <c r="J77" s="976">
        <f t="shared" si="8"/>
        <v>35312664.026981331</v>
      </c>
      <c r="K77" s="976">
        <f t="shared" si="8"/>
        <v>39990702.865907691</v>
      </c>
      <c r="L77" s="976">
        <f t="shared" si="8"/>
        <v>39460986.373296507</v>
      </c>
      <c r="M77" s="976">
        <f t="shared" si="8"/>
        <v>59759103.673656546</v>
      </c>
      <c r="N77" s="976">
        <f t="shared" si="8"/>
        <v>40917044.849773593</v>
      </c>
      <c r="O77" s="976">
        <f t="shared" si="8"/>
        <v>67533982.186834499</v>
      </c>
      <c r="P77" s="976">
        <f t="shared" si="8"/>
        <v>40726988.659000762</v>
      </c>
      <c r="Q77" s="976">
        <f t="shared" si="8"/>
        <v>40734946.404583961</v>
      </c>
      <c r="R77" s="976">
        <f t="shared" si="8"/>
        <v>40993970.868065901</v>
      </c>
      <c r="S77" s="976">
        <f t="shared" si="8"/>
        <v>45971872.329868503</v>
      </c>
      <c r="T77" s="976">
        <f t="shared" si="8"/>
        <v>41098621.312357344</v>
      </c>
      <c r="U77" s="976">
        <f t="shared" si="8"/>
        <v>61879093.658551745</v>
      </c>
      <c r="V77" s="976">
        <f t="shared" si="8"/>
        <v>44209412.971459813</v>
      </c>
      <c r="W77" s="976">
        <f t="shared" si="8"/>
        <v>40755887.264812477</v>
      </c>
      <c r="X77" s="976">
        <f t="shared" si="8"/>
        <v>43021829.315779373</v>
      </c>
      <c r="Y77" s="976">
        <f t="shared" si="8"/>
        <v>51188731.448021762</v>
      </c>
      <c r="Z77" s="976">
        <f t="shared" si="8"/>
        <v>40752925.583051115</v>
      </c>
      <c r="AA77" s="976">
        <f t="shared" si="8"/>
        <v>45665649.697587475</v>
      </c>
      <c r="AB77" s="976">
        <f t="shared" si="8"/>
        <v>44568189.943803601</v>
      </c>
      <c r="AC77" s="976">
        <f t="shared" si="8"/>
        <v>62178485.516121127</v>
      </c>
      <c r="AD77" s="976">
        <f t="shared" si="8"/>
        <v>40975049.619249783</v>
      </c>
      <c r="AE77" s="976">
        <f t="shared" si="8"/>
        <v>40747834.917784922</v>
      </c>
      <c r="AF77" s="976">
        <f t="shared" si="8"/>
        <v>40746795.479857929</v>
      </c>
      <c r="AG77" s="976">
        <f t="shared" si="8"/>
        <v>40753300.235115349</v>
      </c>
      <c r="AH77" s="976">
        <f t="shared" si="8"/>
        <v>44512127.373745203</v>
      </c>
    </row>
    <row r="78" spans="1:34" s="79" customFormat="1" ht="5.25" customHeight="1" x14ac:dyDescent="0.35">
      <c r="A78"/>
      <c r="B78" s="129"/>
      <c r="C78" s="129"/>
      <c r="D78" s="136"/>
      <c r="E78" s="116"/>
      <c r="F78" s="116"/>
      <c r="G78" s="116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</row>
    <row r="79" spans="1:34" s="79" customFormat="1" x14ac:dyDescent="0.35">
      <c r="A79"/>
      <c r="B79" s="630" t="s">
        <v>577</v>
      </c>
      <c r="C79" s="631"/>
      <c r="D79" s="631"/>
      <c r="E79" s="661"/>
      <c r="F79" s="661"/>
      <c r="G79" s="661"/>
      <c r="H79" s="661"/>
      <c r="I79" s="661"/>
      <c r="J79" s="661"/>
      <c r="K79" s="661"/>
      <c r="L79" s="661"/>
      <c r="M79" s="661"/>
      <c r="N79" s="661"/>
      <c r="O79" s="661"/>
      <c r="P79" s="661"/>
      <c r="Q79" s="661"/>
      <c r="R79" s="661"/>
      <c r="S79" s="661"/>
      <c r="T79" s="661"/>
      <c r="U79" s="661"/>
      <c r="V79" s="661"/>
      <c r="W79" s="661"/>
      <c r="X79" s="661"/>
      <c r="Y79" s="661"/>
      <c r="Z79" s="661"/>
      <c r="AA79" s="661"/>
      <c r="AB79" s="661"/>
      <c r="AC79" s="661"/>
      <c r="AD79" s="661"/>
      <c r="AE79" s="661"/>
      <c r="AF79" s="661"/>
      <c r="AG79" s="661"/>
      <c r="AH79" s="661"/>
    </row>
    <row r="80" spans="1:34" s="79" customFormat="1" ht="6" customHeight="1" x14ac:dyDescent="0.35">
      <c r="A80"/>
      <c r="B80" s="114"/>
      <c r="C80" s="129"/>
      <c r="D80" s="635"/>
      <c r="E80" s="116"/>
      <c r="F80" s="116"/>
      <c r="G80" s="116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</row>
    <row r="81" spans="1:34" s="79" customFormat="1" x14ac:dyDescent="0.35">
      <c r="A81"/>
      <c r="B81" s="122" t="s">
        <v>578</v>
      </c>
      <c r="C81" s="123"/>
      <c r="D81" s="965">
        <f t="shared" ref="D81:AH81" si="9">SUM(D82:D83)</f>
        <v>636818469.04539275</v>
      </c>
      <c r="E81" s="966">
        <f t="shared" si="9"/>
        <v>46939359.785147183</v>
      </c>
      <c r="F81" s="966">
        <f t="shared" si="9"/>
        <v>50858112.530046195</v>
      </c>
      <c r="G81" s="966">
        <f t="shared" si="9"/>
        <v>52135091.037496328</v>
      </c>
      <c r="H81" s="966">
        <f t="shared" si="9"/>
        <v>52913972.272439964</v>
      </c>
      <c r="I81" s="966">
        <f t="shared" si="9"/>
        <v>53434755.551371142</v>
      </c>
      <c r="J81" s="966">
        <f t="shared" si="9"/>
        <v>53897959.905344352</v>
      </c>
      <c r="K81" s="966">
        <f t="shared" si="9"/>
        <v>54264299.017755128</v>
      </c>
      <c r="L81" s="966">
        <f t="shared" si="9"/>
        <v>54487731.301522218</v>
      </c>
      <c r="M81" s="966">
        <f t="shared" si="9"/>
        <v>62337405.478543244</v>
      </c>
      <c r="N81" s="966">
        <f t="shared" si="9"/>
        <v>61473241.503707692</v>
      </c>
      <c r="O81" s="966">
        <f t="shared" si="9"/>
        <v>55157953.665590197</v>
      </c>
      <c r="P81" s="966">
        <f t="shared" si="9"/>
        <v>55291916.268373974</v>
      </c>
      <c r="Q81" s="966">
        <f t="shared" si="9"/>
        <v>55425878.871157736</v>
      </c>
      <c r="R81" s="966">
        <f t="shared" si="9"/>
        <v>55559841.473941483</v>
      </c>
      <c r="S81" s="966">
        <f t="shared" si="9"/>
        <v>55693804.076725237</v>
      </c>
      <c r="T81" s="966">
        <f t="shared" si="9"/>
        <v>55828493.872569099</v>
      </c>
      <c r="U81" s="966">
        <f t="shared" si="9"/>
        <v>63153717.041640908</v>
      </c>
      <c r="V81" s="966">
        <f t="shared" si="9"/>
        <v>55946822.292159677</v>
      </c>
      <c r="W81" s="966">
        <f t="shared" si="9"/>
        <v>56005986.501954973</v>
      </c>
      <c r="X81" s="966">
        <f t="shared" si="9"/>
        <v>57486595.414935328</v>
      </c>
      <c r="Y81" s="966">
        <f t="shared" si="9"/>
        <v>56124167.160831645</v>
      </c>
      <c r="Z81" s="966">
        <f t="shared" si="9"/>
        <v>56183331.370626941</v>
      </c>
      <c r="AA81" s="966">
        <f t="shared" si="9"/>
        <v>56242495.580422238</v>
      </c>
      <c r="AB81" s="966">
        <f t="shared" si="9"/>
        <v>56301659.790217534</v>
      </c>
      <c r="AC81" s="966">
        <f t="shared" si="9"/>
        <v>63626882.959289357</v>
      </c>
      <c r="AD81" s="966">
        <f t="shared" si="9"/>
        <v>56419988.209808119</v>
      </c>
      <c r="AE81" s="966">
        <f t="shared" si="9"/>
        <v>56479152.419603407</v>
      </c>
      <c r="AF81" s="966">
        <f t="shared" si="9"/>
        <v>56538316.629398704</v>
      </c>
      <c r="AG81" s="966">
        <f t="shared" si="9"/>
        <v>56597480.839194007</v>
      </c>
      <c r="AH81" s="966">
        <f t="shared" si="9"/>
        <v>56656645.048989289</v>
      </c>
    </row>
    <row r="82" spans="1:34" s="79" customFormat="1" x14ac:dyDescent="0.35">
      <c r="A82"/>
      <c r="B82" s="125"/>
      <c r="C82" s="182" t="s">
        <v>579</v>
      </c>
      <c r="D82" s="967">
        <f>NPV(E9,F82:AH82)+E82</f>
        <v>635692081.59803534</v>
      </c>
      <c r="E82" s="968">
        <f>Receitas!E146</f>
        <v>46842759.785147183</v>
      </c>
      <c r="F82" s="968">
        <f>Receitas!F146</f>
        <v>50761512.530046195</v>
      </c>
      <c r="G82" s="968">
        <f>Receitas!G146</f>
        <v>52038491.037496328</v>
      </c>
      <c r="H82" s="968">
        <f>Receitas!H146</f>
        <v>52817372.272439964</v>
      </c>
      <c r="I82" s="968">
        <f>Receitas!I146</f>
        <v>53338155.551371142</v>
      </c>
      <c r="J82" s="968">
        <f>Receitas!J146</f>
        <v>53801359.905344352</v>
      </c>
      <c r="K82" s="968">
        <f>Receitas!K146</f>
        <v>54167699.017755128</v>
      </c>
      <c r="L82" s="968">
        <f>Receitas!L146</f>
        <v>54391131.301522218</v>
      </c>
      <c r="M82" s="968">
        <f>Receitas!M146</f>
        <v>62240805.478543244</v>
      </c>
      <c r="N82" s="968">
        <f>Receitas!N146</f>
        <v>61376641.503707692</v>
      </c>
      <c r="O82" s="968">
        <f>Receitas!O146</f>
        <v>55061353.665590197</v>
      </c>
      <c r="P82" s="968">
        <f>Receitas!P146</f>
        <v>55195316.268373974</v>
      </c>
      <c r="Q82" s="968">
        <f>Receitas!Q146</f>
        <v>55329278.871157736</v>
      </c>
      <c r="R82" s="968">
        <f>Receitas!R146</f>
        <v>55463241.473941483</v>
      </c>
      <c r="S82" s="968">
        <f>Receitas!S146</f>
        <v>55597204.076725237</v>
      </c>
      <c r="T82" s="968">
        <f>Receitas!T146</f>
        <v>55731893.872569099</v>
      </c>
      <c r="U82" s="968">
        <f>Receitas!U146</f>
        <v>63057117.041640908</v>
      </c>
      <c r="V82" s="968">
        <f>Receitas!V146</f>
        <v>55850222.292159677</v>
      </c>
      <c r="W82" s="968">
        <f>Receitas!W146</f>
        <v>55909386.501954973</v>
      </c>
      <c r="X82" s="968">
        <f>Receitas!X146</f>
        <v>57389995.414935328</v>
      </c>
      <c r="Y82" s="968">
        <f>Receitas!Y146</f>
        <v>56027567.160831645</v>
      </c>
      <c r="Z82" s="968">
        <f>Receitas!Z146</f>
        <v>56086731.370626941</v>
      </c>
      <c r="AA82" s="968">
        <f>Receitas!AA146</f>
        <v>56145895.580422238</v>
      </c>
      <c r="AB82" s="968">
        <f>Receitas!AB146</f>
        <v>56205059.790217534</v>
      </c>
      <c r="AC82" s="968">
        <f>Receitas!AC146</f>
        <v>63530282.959289357</v>
      </c>
      <c r="AD82" s="968">
        <f>Receitas!AD146</f>
        <v>56323388.209808119</v>
      </c>
      <c r="AE82" s="968">
        <f>Receitas!AE146</f>
        <v>56382552.419603407</v>
      </c>
      <c r="AF82" s="968">
        <f>Receitas!AF146</f>
        <v>56441716.629398704</v>
      </c>
      <c r="AG82" s="968">
        <f>Receitas!AG146</f>
        <v>56500880.839194007</v>
      </c>
      <c r="AH82" s="968">
        <f>Receitas!AH146</f>
        <v>56560045.048989289</v>
      </c>
    </row>
    <row r="83" spans="1:34" s="79" customFormat="1" x14ac:dyDescent="0.35">
      <c r="A83"/>
      <c r="B83" s="129"/>
      <c r="C83" s="183" t="s">
        <v>580</v>
      </c>
      <c r="D83" s="969">
        <f>NPV($E$9,F83:AH83)+E83</f>
        <v>1126387.4473574404</v>
      </c>
      <c r="E83" s="970">
        <f>'CAPEX E OPEX'!F215</f>
        <v>96600</v>
      </c>
      <c r="F83" s="970">
        <f>'CAPEX E OPEX'!G215</f>
        <v>96600</v>
      </c>
      <c r="G83" s="970">
        <f>'CAPEX E OPEX'!H215</f>
        <v>96600</v>
      </c>
      <c r="H83" s="970">
        <f>'CAPEX E OPEX'!I215</f>
        <v>96600</v>
      </c>
      <c r="I83" s="970">
        <f>'CAPEX E OPEX'!J215</f>
        <v>96600</v>
      </c>
      <c r="J83" s="970">
        <f>'CAPEX E OPEX'!K215</f>
        <v>96600</v>
      </c>
      <c r="K83" s="970">
        <f>'CAPEX E OPEX'!L215</f>
        <v>96600</v>
      </c>
      <c r="L83" s="970">
        <f>'CAPEX E OPEX'!M215</f>
        <v>96600</v>
      </c>
      <c r="M83" s="970">
        <f>'CAPEX E OPEX'!N215</f>
        <v>96600</v>
      </c>
      <c r="N83" s="970">
        <f>'CAPEX E OPEX'!O215</f>
        <v>96600</v>
      </c>
      <c r="O83" s="970">
        <f>'CAPEX E OPEX'!P215</f>
        <v>96600</v>
      </c>
      <c r="P83" s="970">
        <f>'CAPEX E OPEX'!Q215</f>
        <v>96600</v>
      </c>
      <c r="Q83" s="970">
        <f>'CAPEX E OPEX'!R215</f>
        <v>96600</v>
      </c>
      <c r="R83" s="970">
        <f>'CAPEX E OPEX'!S215</f>
        <v>96600</v>
      </c>
      <c r="S83" s="970">
        <f>'CAPEX E OPEX'!T215</f>
        <v>96600</v>
      </c>
      <c r="T83" s="970">
        <f>'CAPEX E OPEX'!U215</f>
        <v>96600</v>
      </c>
      <c r="U83" s="970">
        <f>'CAPEX E OPEX'!V215</f>
        <v>96600</v>
      </c>
      <c r="V83" s="970">
        <f>'CAPEX E OPEX'!W215</f>
        <v>96600</v>
      </c>
      <c r="W83" s="970">
        <f>'CAPEX E OPEX'!X215</f>
        <v>96600</v>
      </c>
      <c r="X83" s="970">
        <f>'CAPEX E OPEX'!Y215</f>
        <v>96600</v>
      </c>
      <c r="Y83" s="970">
        <f>'CAPEX E OPEX'!Z215</f>
        <v>96600</v>
      </c>
      <c r="Z83" s="970">
        <f>'CAPEX E OPEX'!AA215</f>
        <v>96600</v>
      </c>
      <c r="AA83" s="970">
        <f>'CAPEX E OPEX'!AB215</f>
        <v>96600</v>
      </c>
      <c r="AB83" s="970">
        <f>'CAPEX E OPEX'!AC215</f>
        <v>96600</v>
      </c>
      <c r="AC83" s="970">
        <f>'CAPEX E OPEX'!AD215</f>
        <v>96600</v>
      </c>
      <c r="AD83" s="970">
        <f>'CAPEX E OPEX'!AE215</f>
        <v>96600</v>
      </c>
      <c r="AE83" s="970">
        <f>'CAPEX E OPEX'!AF215</f>
        <v>96600</v>
      </c>
      <c r="AF83" s="970">
        <f>'CAPEX E OPEX'!AG215</f>
        <v>96600</v>
      </c>
      <c r="AG83" s="970">
        <f>'CAPEX E OPEX'!AH215</f>
        <v>96600</v>
      </c>
      <c r="AH83" s="970">
        <f>'CAPEX E OPEX'!AI215</f>
        <v>96600</v>
      </c>
    </row>
    <row r="84" spans="1:34" s="79" customFormat="1" ht="6" customHeight="1" x14ac:dyDescent="0.35">
      <c r="A84"/>
      <c r="B84" s="129"/>
      <c r="C84" s="129"/>
      <c r="D84" s="977"/>
      <c r="E84" s="974"/>
      <c r="F84" s="974"/>
      <c r="G84" s="974"/>
      <c r="H84" s="974"/>
      <c r="I84" s="974"/>
      <c r="J84" s="974"/>
      <c r="K84" s="974"/>
      <c r="L84" s="974"/>
      <c r="M84" s="974"/>
      <c r="N84" s="974"/>
      <c r="O84" s="974"/>
      <c r="P84" s="974"/>
      <c r="Q84" s="974"/>
      <c r="R84" s="974"/>
      <c r="S84" s="974"/>
      <c r="T84" s="974"/>
      <c r="U84" s="974"/>
      <c r="V84" s="974"/>
      <c r="W84" s="974"/>
      <c r="X84" s="974"/>
      <c r="Y84" s="974"/>
      <c r="Z84" s="974"/>
      <c r="AA84" s="974"/>
      <c r="AB84" s="974"/>
      <c r="AC84" s="974"/>
      <c r="AD84" s="974"/>
      <c r="AE84" s="974"/>
      <c r="AF84" s="974"/>
      <c r="AG84" s="974"/>
      <c r="AH84" s="974"/>
    </row>
    <row r="85" spans="1:34" s="79" customFormat="1" x14ac:dyDescent="0.35">
      <c r="A85"/>
      <c r="B85" s="122" t="s">
        <v>581</v>
      </c>
      <c r="C85" s="123"/>
      <c r="D85" s="965">
        <f>D86</f>
        <v>-41540042.465585604</v>
      </c>
      <c r="E85" s="966">
        <f>E86</f>
        <v>-1333163.0851536803</v>
      </c>
      <c r="F85" s="966">
        <f t="shared" ref="F85:AH85" si="10">F86</f>
        <v>-1338851.7024263809</v>
      </c>
      <c r="G85" s="966">
        <f t="shared" si="10"/>
        <v>-1344540.3196990814</v>
      </c>
      <c r="H85" s="966">
        <f t="shared" si="10"/>
        <v>-1350228.9369717818</v>
      </c>
      <c r="I85" s="966">
        <f t="shared" si="10"/>
        <v>-1355917.5542444817</v>
      </c>
      <c r="J85" s="966">
        <f t="shared" si="10"/>
        <v>-1361617.0927755821</v>
      </c>
      <c r="K85" s="966">
        <f t="shared" si="10"/>
        <v>-1366259.749305146</v>
      </c>
      <c r="L85" s="966">
        <f t="shared" si="10"/>
        <v>-1370902.40583471</v>
      </c>
      <c r="M85" s="966">
        <f t="shared" si="10"/>
        <v>-1375545.0623642742</v>
      </c>
      <c r="N85" s="966">
        <f t="shared" si="10"/>
        <v>-1380187.7188938386</v>
      </c>
      <c r="O85" s="966">
        <f t="shared" si="10"/>
        <v>-1384829.3659672332</v>
      </c>
      <c r="P85" s="966">
        <f t="shared" si="10"/>
        <v>-1387256.6941726154</v>
      </c>
      <c r="Q85" s="966">
        <f t="shared" si="10"/>
        <v>-1389684.0223779979</v>
      </c>
      <c r="R85" s="966">
        <f t="shared" si="10"/>
        <v>-1392111.3505833806</v>
      </c>
      <c r="S85" s="966">
        <f t="shared" si="10"/>
        <v>-1394538.6787887628</v>
      </c>
      <c r="T85" s="966">
        <f t="shared" si="10"/>
        <v>-1396977.2295809265</v>
      </c>
      <c r="U85" s="966">
        <f t="shared" si="10"/>
        <v>-1397545.940122149</v>
      </c>
      <c r="V85" s="966">
        <f t="shared" si="10"/>
        <v>-1398114.6506633717</v>
      </c>
      <c r="W85" s="966">
        <f t="shared" si="10"/>
        <v>-1398683.3612045941</v>
      </c>
      <c r="X85" s="966">
        <f t="shared" si="10"/>
        <v>-1399252.0717458171</v>
      </c>
      <c r="Y85" s="966">
        <f t="shared" si="10"/>
        <v>-1399824.3498354787</v>
      </c>
      <c r="Z85" s="966">
        <f t="shared" si="10"/>
        <v>-1400393.0603767009</v>
      </c>
      <c r="AA85" s="966">
        <f t="shared" si="10"/>
        <v>-1400961.7709179237</v>
      </c>
      <c r="AB85" s="966">
        <f t="shared" si="10"/>
        <v>-1401530.4814591459</v>
      </c>
      <c r="AC85" s="966">
        <f t="shared" si="10"/>
        <v>-1402099.1920003691</v>
      </c>
      <c r="AD85" s="966">
        <f t="shared" si="10"/>
        <v>-1402667.9025415913</v>
      </c>
      <c r="AE85" s="966">
        <f t="shared" si="10"/>
        <v>-1403236.613082814</v>
      </c>
      <c r="AF85" s="966">
        <f t="shared" si="10"/>
        <v>-1403805.3236240363</v>
      </c>
      <c r="AG85" s="966">
        <f t="shared" si="10"/>
        <v>-1404374.034165259</v>
      </c>
      <c r="AH85" s="966">
        <f t="shared" si="10"/>
        <v>-1404942.7447064815</v>
      </c>
    </row>
    <row r="86" spans="1:34" s="79" customFormat="1" x14ac:dyDescent="0.35">
      <c r="A86"/>
      <c r="B86" s="115"/>
      <c r="C86" s="334" t="s">
        <v>582</v>
      </c>
      <c r="D86" s="1863">
        <f>SUM(E86:AH86)</f>
        <v>-41540042.465585604</v>
      </c>
      <c r="E86" s="1328">
        <f>'Fluxo de Caixa'!E16</f>
        <v>-1333163.0851536803</v>
      </c>
      <c r="F86" s="1328">
        <f>'Fluxo de Caixa'!F16</f>
        <v>-1338851.7024263809</v>
      </c>
      <c r="G86" s="1328">
        <f>'Fluxo de Caixa'!G16</f>
        <v>-1344540.3196990814</v>
      </c>
      <c r="H86" s="1328">
        <f>'Fluxo de Caixa'!H16</f>
        <v>-1350228.9369717818</v>
      </c>
      <c r="I86" s="1328">
        <f>'Fluxo de Caixa'!I16</f>
        <v>-1355917.5542444817</v>
      </c>
      <c r="J86" s="1328">
        <f>'Fluxo de Caixa'!J16</f>
        <v>-1361617.0927755821</v>
      </c>
      <c r="K86" s="1328">
        <f>'Fluxo de Caixa'!K16</f>
        <v>-1366259.749305146</v>
      </c>
      <c r="L86" s="1328">
        <f>'Fluxo de Caixa'!L16</f>
        <v>-1370902.40583471</v>
      </c>
      <c r="M86" s="1328">
        <f>'Fluxo de Caixa'!M16</f>
        <v>-1375545.0623642742</v>
      </c>
      <c r="N86" s="1328">
        <f>'Fluxo de Caixa'!N16</f>
        <v>-1380187.7188938386</v>
      </c>
      <c r="O86" s="1328">
        <f>'Fluxo de Caixa'!O16</f>
        <v>-1384829.3659672332</v>
      </c>
      <c r="P86" s="1328">
        <f>'Fluxo de Caixa'!P16</f>
        <v>-1387256.6941726154</v>
      </c>
      <c r="Q86" s="1328">
        <f>'Fluxo de Caixa'!Q16</f>
        <v>-1389684.0223779979</v>
      </c>
      <c r="R86" s="1328">
        <f>'Fluxo de Caixa'!R16</f>
        <v>-1392111.3505833806</v>
      </c>
      <c r="S86" s="1328">
        <f>'Fluxo de Caixa'!S16</f>
        <v>-1394538.6787887628</v>
      </c>
      <c r="T86" s="1328">
        <f>'Fluxo de Caixa'!T16</f>
        <v>-1396977.2295809265</v>
      </c>
      <c r="U86" s="1328">
        <f>'Fluxo de Caixa'!U16</f>
        <v>-1397545.940122149</v>
      </c>
      <c r="V86" s="1328">
        <f>'Fluxo de Caixa'!V16</f>
        <v>-1398114.6506633717</v>
      </c>
      <c r="W86" s="1328">
        <f>'Fluxo de Caixa'!W16</f>
        <v>-1398683.3612045941</v>
      </c>
      <c r="X86" s="1328">
        <f>'Fluxo de Caixa'!X16</f>
        <v>-1399252.0717458171</v>
      </c>
      <c r="Y86" s="1328">
        <f>'Fluxo de Caixa'!Y16</f>
        <v>-1399824.3498354787</v>
      </c>
      <c r="Z86" s="1328">
        <f>'Fluxo de Caixa'!Z16</f>
        <v>-1400393.0603767009</v>
      </c>
      <c r="AA86" s="1328">
        <f>'Fluxo de Caixa'!AA16</f>
        <v>-1400961.7709179237</v>
      </c>
      <c r="AB86" s="1328">
        <f>'Fluxo de Caixa'!AB16</f>
        <v>-1401530.4814591459</v>
      </c>
      <c r="AC86" s="1328">
        <f>'Fluxo de Caixa'!AC16</f>
        <v>-1402099.1920003691</v>
      </c>
      <c r="AD86" s="1328">
        <f>'Fluxo de Caixa'!AD16</f>
        <v>-1402667.9025415913</v>
      </c>
      <c r="AE86" s="1328">
        <f>'Fluxo de Caixa'!AE16</f>
        <v>-1403236.613082814</v>
      </c>
      <c r="AF86" s="1328">
        <f>'Fluxo de Caixa'!AF16</f>
        <v>-1403805.3236240363</v>
      </c>
      <c r="AG86" s="1328">
        <f>'Fluxo de Caixa'!AG16</f>
        <v>-1404374.034165259</v>
      </c>
      <c r="AH86" s="1328">
        <f>'Fluxo de Caixa'!AH16</f>
        <v>-1404942.7447064815</v>
      </c>
    </row>
    <row r="87" spans="1:34" s="79" customFormat="1" x14ac:dyDescent="0.35">
      <c r="A87"/>
      <c r="B87" s="129"/>
      <c r="C87" s="129"/>
      <c r="D87" s="977"/>
      <c r="E87" s="974"/>
      <c r="F87" s="974"/>
      <c r="G87" s="974"/>
      <c r="H87" s="974"/>
      <c r="I87" s="974"/>
      <c r="J87" s="974"/>
      <c r="K87" s="974"/>
      <c r="L87" s="974"/>
      <c r="M87" s="974"/>
      <c r="N87" s="974"/>
      <c r="O87" s="974"/>
      <c r="P87" s="974"/>
      <c r="Q87" s="974"/>
      <c r="R87" s="974"/>
      <c r="S87" s="974"/>
      <c r="T87" s="974"/>
      <c r="U87" s="974"/>
      <c r="V87" s="974"/>
      <c r="W87" s="974"/>
      <c r="X87" s="974"/>
      <c r="Y87" s="974"/>
      <c r="Z87" s="974"/>
      <c r="AA87" s="974"/>
      <c r="AB87" s="974"/>
      <c r="AC87" s="974"/>
      <c r="AD87" s="974"/>
      <c r="AE87" s="974"/>
      <c r="AF87" s="974"/>
      <c r="AG87" s="974"/>
      <c r="AH87" s="974"/>
    </row>
    <row r="88" spans="1:34" s="79" customFormat="1" x14ac:dyDescent="0.35">
      <c r="A88"/>
      <c r="B88" s="131" t="s">
        <v>583</v>
      </c>
      <c r="C88" s="132"/>
      <c r="D88" s="975">
        <f>D81+D85</f>
        <v>595278426.57980716</v>
      </c>
      <c r="E88" s="976">
        <f>E81+E85</f>
        <v>45606196.699993506</v>
      </c>
      <c r="F88" s="976">
        <f t="shared" ref="F88:AH88" si="11">F81+F85</f>
        <v>49519260.827619813</v>
      </c>
      <c r="G88" s="976">
        <f t="shared" si="11"/>
        <v>50790550.71779725</v>
      </c>
      <c r="H88" s="976">
        <f t="shared" si="11"/>
        <v>51563743.33546818</v>
      </c>
      <c r="I88" s="976">
        <f t="shared" si="11"/>
        <v>52078837.997126661</v>
      </c>
      <c r="J88" s="976">
        <f t="shared" si="11"/>
        <v>52536342.812568769</v>
      </c>
      <c r="K88" s="976">
        <f t="shared" si="11"/>
        <v>52898039.268449984</v>
      </c>
      <c r="L88" s="976">
        <f t="shared" si="11"/>
        <v>53116828.895687506</v>
      </c>
      <c r="M88" s="976">
        <f t="shared" si="11"/>
        <v>60961860.416178972</v>
      </c>
      <c r="N88" s="976">
        <f t="shared" si="11"/>
        <v>60093053.784813851</v>
      </c>
      <c r="O88" s="976">
        <f t="shared" si="11"/>
        <v>53773124.29962296</v>
      </c>
      <c r="P88" s="976">
        <f t="shared" si="11"/>
        <v>53904659.57420136</v>
      </c>
      <c r="Q88" s="976">
        <f t="shared" si="11"/>
        <v>54036194.848779738</v>
      </c>
      <c r="R88" s="976">
        <f t="shared" si="11"/>
        <v>54167730.123358101</v>
      </c>
      <c r="S88" s="976">
        <f t="shared" si="11"/>
        <v>54299265.397936471</v>
      </c>
      <c r="T88" s="976">
        <f t="shared" si="11"/>
        <v>54431516.642988175</v>
      </c>
      <c r="U88" s="976">
        <f t="shared" si="11"/>
        <v>61756171.101518758</v>
      </c>
      <c r="V88" s="976">
        <f t="shared" si="11"/>
        <v>54548707.641496308</v>
      </c>
      <c r="W88" s="976">
        <f t="shared" si="11"/>
        <v>54607303.140750378</v>
      </c>
      <c r="X88" s="976">
        <f t="shared" si="11"/>
        <v>56087343.343189508</v>
      </c>
      <c r="Y88" s="976">
        <f t="shared" si="11"/>
        <v>54724342.810996167</v>
      </c>
      <c r="Z88" s="976">
        <f t="shared" si="11"/>
        <v>54782938.310250238</v>
      </c>
      <c r="AA88" s="976">
        <f t="shared" si="11"/>
        <v>54841533.809504315</v>
      </c>
      <c r="AB88" s="976">
        <f t="shared" si="11"/>
        <v>54900129.308758385</v>
      </c>
      <c r="AC88" s="976">
        <f t="shared" si="11"/>
        <v>62224783.76728899</v>
      </c>
      <c r="AD88" s="976">
        <f t="shared" si="11"/>
        <v>55017320.307266526</v>
      </c>
      <c r="AE88" s="976">
        <f t="shared" si="11"/>
        <v>55075915.806520596</v>
      </c>
      <c r="AF88" s="976">
        <f t="shared" si="11"/>
        <v>55134511.305774666</v>
      </c>
      <c r="AG88" s="976">
        <f t="shared" si="11"/>
        <v>55193106.805028751</v>
      </c>
      <c r="AH88" s="976">
        <f t="shared" si="11"/>
        <v>55251702.304282807</v>
      </c>
    </row>
    <row r="89" spans="1:34" s="79" customFormat="1" x14ac:dyDescent="0.35">
      <c r="A89"/>
      <c r="B89" s="115"/>
      <c r="C89" s="115"/>
      <c r="D89" s="978"/>
      <c r="E89" s="979"/>
      <c r="F89" s="979"/>
      <c r="G89" s="979"/>
      <c r="H89" s="979"/>
      <c r="I89" s="979"/>
      <c r="J89" s="979"/>
      <c r="K89" s="979"/>
      <c r="L89" s="979"/>
      <c r="M89" s="979"/>
      <c r="N89" s="979"/>
      <c r="O89" s="979"/>
      <c r="P89" s="979"/>
      <c r="Q89" s="979"/>
      <c r="R89" s="979"/>
      <c r="S89" s="979"/>
      <c r="T89" s="979"/>
      <c r="U89" s="979"/>
      <c r="V89" s="979"/>
      <c r="W89" s="979"/>
      <c r="X89" s="979"/>
      <c r="Y89" s="979"/>
      <c r="Z89" s="979"/>
      <c r="AA89" s="979"/>
      <c r="AB89" s="979"/>
      <c r="AC89" s="979"/>
      <c r="AD89" s="979"/>
      <c r="AE89" s="979"/>
      <c r="AF89" s="979"/>
      <c r="AG89" s="979"/>
      <c r="AH89" s="979"/>
    </row>
    <row r="90" spans="1:34" s="79" customFormat="1" x14ac:dyDescent="0.35">
      <c r="A90"/>
      <c r="B90" s="632" t="s">
        <v>584</v>
      </c>
      <c r="C90" s="633"/>
      <c r="D90" s="980">
        <f>D77-D88</f>
        <v>36348977.065654159</v>
      </c>
      <c r="E90" s="981"/>
      <c r="F90" s="981"/>
      <c r="G90" s="981"/>
      <c r="H90" s="981"/>
      <c r="I90" s="981"/>
      <c r="J90" s="981"/>
      <c r="K90" s="981"/>
      <c r="L90" s="981"/>
      <c r="M90" s="981"/>
      <c r="N90" s="981"/>
      <c r="O90" s="981"/>
      <c r="P90" s="981"/>
      <c r="Q90" s="981"/>
      <c r="R90" s="981"/>
      <c r="S90" s="981"/>
      <c r="T90" s="981"/>
      <c r="U90" s="981"/>
      <c r="V90" s="981"/>
      <c r="W90" s="981"/>
      <c r="X90" s="981"/>
      <c r="Y90" s="981"/>
      <c r="Z90" s="981"/>
      <c r="AA90" s="981"/>
      <c r="AB90" s="981"/>
      <c r="AC90" s="981"/>
      <c r="AD90" s="981"/>
      <c r="AE90" s="981"/>
      <c r="AF90" s="981"/>
      <c r="AG90" s="981"/>
      <c r="AH90" s="981"/>
    </row>
    <row r="95" spans="1:34" s="598" customFormat="1" x14ac:dyDescent="0.35"/>
    <row r="96" spans="1:34" s="598" customFormat="1" x14ac:dyDescent="0.35">
      <c r="A96" s="598" t="s">
        <v>585</v>
      </c>
      <c r="D96" s="1320">
        <f>D72</f>
        <v>23518410.475928631</v>
      </c>
      <c r="E96" s="1320">
        <f>D81</f>
        <v>636818469.04539275</v>
      </c>
    </row>
    <row r="97" spans="3:9" s="598" customFormat="1" x14ac:dyDescent="0.35">
      <c r="D97" s="1320">
        <f>D67</f>
        <v>608108993.16953266</v>
      </c>
      <c r="E97" s="1320">
        <f>D90</f>
        <v>36348977.065654159</v>
      </c>
    </row>
    <row r="98" spans="3:9" s="598" customFormat="1" x14ac:dyDescent="0.35"/>
    <row r="99" spans="3:9" s="598" customFormat="1" x14ac:dyDescent="0.35">
      <c r="C99" s="598" t="s">
        <v>586</v>
      </c>
      <c r="D99" s="598" t="s">
        <v>587</v>
      </c>
    </row>
    <row r="100" spans="3:9" s="598" customFormat="1" x14ac:dyDescent="0.35"/>
    <row r="101" spans="3:9" s="598" customFormat="1" x14ac:dyDescent="0.35"/>
    <row r="102" spans="3:9" s="598" customFormat="1" x14ac:dyDescent="0.35">
      <c r="E102" s="1321"/>
    </row>
    <row r="103" spans="3:9" s="598" customFormat="1" x14ac:dyDescent="0.35"/>
    <row r="104" spans="3:9" s="598" customFormat="1" x14ac:dyDescent="0.35"/>
    <row r="105" spans="3:9" s="598" customFormat="1" x14ac:dyDescent="0.35"/>
    <row r="108" spans="3:9" x14ac:dyDescent="0.35">
      <c r="I108" t="s">
        <v>588</v>
      </c>
    </row>
    <row r="112" spans="3:9" x14ac:dyDescent="0.35">
      <c r="D112" s="96"/>
      <c r="E112" s="96"/>
    </row>
    <row r="113" spans="4:5" x14ac:dyDescent="0.35">
      <c r="D113" s="96"/>
      <c r="E113" s="96"/>
    </row>
  </sheetData>
  <sheetProtection algorithmName="SHA-512" hashValue="82bIcVqznD0Co2jCPABW45ER6mFwmQ12nwrM6/FR0u/oUv5sFraq+NgYULnEwx0cuHosn00DRmhK9PtTDqFXAw==" saltValue="69HPgiNpp9QznywO17wPQg==" spinCount="100000" sheet="1" objects="1" scenarios="1"/>
  <protectedRanges>
    <protectedRange sqref="E8:E9 E16:E20 I17:I19 K20:K21 I22 I27 G34:G40 J38 D51" name="Intervalo1"/>
  </protectedRanges>
  <mergeCells count="7">
    <mergeCell ref="C57:K60"/>
    <mergeCell ref="C47:K50"/>
    <mergeCell ref="C15:D15"/>
    <mergeCell ref="C30:E30"/>
    <mergeCell ref="G30:J30"/>
    <mergeCell ref="J15:L15"/>
    <mergeCell ref="H21:H22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&amp;C_x000D_&amp;1#&amp;"Aptos"&amp;10&amp;K000000 INFORMAÇÃO CONTROLADA</oddFooter>
  </headerFooter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4A438-68D4-4F61-A87B-2D393922C15D}">
  <sheetPr codeName="Planilha27"/>
  <dimension ref="C2:AJ26"/>
  <sheetViews>
    <sheetView showGridLines="0" zoomScaleNormal="100" workbookViewId="0">
      <selection activeCell="A16" sqref="A16"/>
    </sheetView>
  </sheetViews>
  <sheetFormatPr defaultColWidth="8.81640625" defaultRowHeight="14.5" x14ac:dyDescent="0.35"/>
  <cols>
    <col min="1" max="2" width="2.08984375" customWidth="1"/>
    <col min="5" max="5" width="28.08984375" customWidth="1"/>
    <col min="6" max="14" width="14.36328125" bestFit="1" customWidth="1"/>
    <col min="15" max="34" width="12.81640625" bestFit="1" customWidth="1"/>
    <col min="35" max="36" width="12" bestFit="1" customWidth="1"/>
  </cols>
  <sheetData>
    <row r="2" spans="3:36" ht="21" x14ac:dyDescent="0.5">
      <c r="C2" s="98" t="s">
        <v>155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</row>
    <row r="4" spans="3:36" x14ac:dyDescent="0.35">
      <c r="C4" s="101" t="s">
        <v>96</v>
      </c>
      <c r="D4" s="101"/>
      <c r="E4" s="101"/>
      <c r="F4" s="101" t="s">
        <v>200</v>
      </c>
      <c r="G4" s="101">
        <v>1</v>
      </c>
      <c r="H4" s="101">
        <f>G4+1</f>
        <v>2</v>
      </c>
      <c r="I4" s="101">
        <f t="shared" ref="I4:AJ4" si="0">H4+1</f>
        <v>3</v>
      </c>
      <c r="J4" s="101">
        <f t="shared" si="0"/>
        <v>4</v>
      </c>
      <c r="K4" s="101">
        <f t="shared" si="0"/>
        <v>5</v>
      </c>
      <c r="L4" s="101">
        <f t="shared" si="0"/>
        <v>6</v>
      </c>
      <c r="M4" s="101">
        <f t="shared" si="0"/>
        <v>7</v>
      </c>
      <c r="N4" s="101">
        <f t="shared" si="0"/>
        <v>8</v>
      </c>
      <c r="O4" s="101">
        <f t="shared" si="0"/>
        <v>9</v>
      </c>
      <c r="P4" s="101">
        <f t="shared" si="0"/>
        <v>10</v>
      </c>
      <c r="Q4" s="101">
        <f t="shared" si="0"/>
        <v>11</v>
      </c>
      <c r="R4" s="101">
        <f t="shared" si="0"/>
        <v>12</v>
      </c>
      <c r="S4" s="101">
        <f t="shared" si="0"/>
        <v>13</v>
      </c>
      <c r="T4" s="101">
        <f t="shared" si="0"/>
        <v>14</v>
      </c>
      <c r="U4" s="101">
        <f t="shared" si="0"/>
        <v>15</v>
      </c>
      <c r="V4" s="101">
        <f t="shared" si="0"/>
        <v>16</v>
      </c>
      <c r="W4" s="101">
        <f t="shared" si="0"/>
        <v>17</v>
      </c>
      <c r="X4" s="101">
        <f t="shared" si="0"/>
        <v>18</v>
      </c>
      <c r="Y4" s="101">
        <f t="shared" si="0"/>
        <v>19</v>
      </c>
      <c r="Z4" s="101">
        <f t="shared" si="0"/>
        <v>20</v>
      </c>
      <c r="AA4" s="101">
        <f t="shared" si="0"/>
        <v>21</v>
      </c>
      <c r="AB4" s="101">
        <f t="shared" si="0"/>
        <v>22</v>
      </c>
      <c r="AC4" s="101">
        <f t="shared" si="0"/>
        <v>23</v>
      </c>
      <c r="AD4" s="101">
        <f t="shared" si="0"/>
        <v>24</v>
      </c>
      <c r="AE4" s="101">
        <f t="shared" si="0"/>
        <v>25</v>
      </c>
      <c r="AF4" s="101">
        <f t="shared" si="0"/>
        <v>26</v>
      </c>
      <c r="AG4" s="101">
        <f t="shared" si="0"/>
        <v>27</v>
      </c>
      <c r="AH4" s="101">
        <f t="shared" si="0"/>
        <v>28</v>
      </c>
      <c r="AI4" s="101">
        <f t="shared" si="0"/>
        <v>29</v>
      </c>
      <c r="AJ4" s="101">
        <f t="shared" si="0"/>
        <v>30</v>
      </c>
    </row>
    <row r="5" spans="3:36" ht="9.75" customHeight="1" x14ac:dyDescent="0.35">
      <c r="C5" s="173"/>
      <c r="D5" s="193"/>
      <c r="E5" s="173"/>
      <c r="F5" s="173"/>
      <c r="G5" s="173"/>
    </row>
    <row r="6" spans="3:36" x14ac:dyDescent="0.35">
      <c r="C6" s="194"/>
      <c r="D6" s="606" t="s">
        <v>159</v>
      </c>
      <c r="E6" s="606"/>
      <c r="F6" s="984">
        <f>SUM(G6:AJ6)</f>
        <v>2111446.9319296042</v>
      </c>
      <c r="G6" s="610">
        <f>G16*'Premissas Gerais'!$H$130*'Premissas Gerais'!$I$130</f>
        <v>174339.87240872538</v>
      </c>
      <c r="H6" s="610">
        <f>H16*'Premissas Gerais'!$H$130*'Premissas Gerais'!$I$130</f>
        <v>168796.11823943787</v>
      </c>
      <c r="I6" s="610">
        <f>I16*'Premissas Gerais'!$H$130*'Premissas Gerais'!$I$130</f>
        <v>163225.79344355888</v>
      </c>
      <c r="J6" s="610">
        <f>J16*'Premissas Gerais'!$H$130*'Premissas Gerais'!$I$130</f>
        <v>157628.89802108836</v>
      </c>
      <c r="K6" s="610">
        <f>K16*'Premissas Gerais'!$H$130*'Premissas Gerais'!$I$130</f>
        <v>152005.43197202642</v>
      </c>
      <c r="L6" s="610">
        <f>L16*'Premissas Gerais'!$H$130*'Premissas Gerais'!$I$130</f>
        <v>146355.395296373</v>
      </c>
      <c r="M6" s="610">
        <f>M16*'Premissas Gerais'!$H$130*'Premissas Gerais'!$I$130</f>
        <v>140678.79395678345</v>
      </c>
      <c r="N6" s="610">
        <f>N16*'Premissas Gerais'!$H$130*'Premissas Gerais'!$I$130</f>
        <v>134978.67641297542</v>
      </c>
      <c r="O6" s="610">
        <f>O16*'Premissas Gerais'!$H$130*'Premissas Gerais'!$I$130</f>
        <v>129255.04266494882</v>
      </c>
      <c r="P6" s="610">
        <f>P16*'Premissas Gerais'!$H$130*'Premissas Gerais'!$I$130</f>
        <v>123507.89271270369</v>
      </c>
      <c r="Q6" s="610">
        <f>Q16*'Premissas Gerais'!$H$131*'Premissas Gerais'!$I$131</f>
        <v>58868.613278120043</v>
      </c>
      <c r="R6" s="610">
        <f>R16*'Premissas Gerais'!$H$131*'Premissas Gerais'!$I$131</f>
        <v>55971.525954115968</v>
      </c>
      <c r="S6" s="610">
        <f>S16*'Premissas Gerais'!$H$131*'Premissas Gerais'!$I$131</f>
        <v>53067.387948430362</v>
      </c>
      <c r="T6" s="610">
        <f>T16*'Premissas Gerais'!$H$131*'Premissas Gerais'!$I$131</f>
        <v>50156.199261063215</v>
      </c>
      <c r="U6" s="610">
        <f>U16*'Premissas Gerais'!$H$131*'Premissas Gerais'!$I$131</f>
        <v>47237.959892014544</v>
      </c>
      <c r="V6" s="610">
        <f>V16*'Premissas Gerais'!$H$131*'Premissas Gerais'!$I$131</f>
        <v>44312.669841284347</v>
      </c>
      <c r="W6" s="610">
        <f>W16*'Premissas Gerais'!$H$131*'Premissas Gerais'!$I$131</f>
        <v>41380.290818871166</v>
      </c>
      <c r="X6" s="610">
        <f>X16*'Premissas Gerais'!$H$131*'Premissas Gerais'!$I$131</f>
        <v>38444.796912215235</v>
      </c>
      <c r="Y6" s="610">
        <f>Y16*'Premissas Gerais'!$H$131*'Premissas Gerais'!$I$131</f>
        <v>35506.188121316576</v>
      </c>
      <c r="Z6" s="610">
        <f>Z16*'Premissas Gerais'!$H$131*'Premissas Gerais'!$I$131</f>
        <v>32564.464446175178</v>
      </c>
      <c r="AA6" s="610">
        <f>AA16*'Premissas Gerais'!$H$131*'Premissas Gerais'!$I$131</f>
        <v>29619.62588679104</v>
      </c>
      <c r="AB6" s="610">
        <f>AB16*'Premissas Gerais'!$H$131*'Premissas Gerais'!$I$131</f>
        <v>26671.680277204254</v>
      </c>
      <c r="AC6" s="610">
        <f>AC16*'Premissas Gerais'!$H$131*'Premissas Gerais'!$I$131</f>
        <v>23720.619783374728</v>
      </c>
      <c r="AD6" s="610">
        <f>AD16*'Premissas Gerais'!$H$131*'Premissas Gerais'!$I$131</f>
        <v>20766.444405302467</v>
      </c>
      <c r="AE6" s="610">
        <f>AE16*'Premissas Gerais'!$H$131*'Premissas Gerais'!$I$131</f>
        <v>17809.154142987463</v>
      </c>
      <c r="AF6" s="610">
        <f>AF16*'Premissas Gerais'!$H$131*'Premissas Gerais'!$I$131</f>
        <v>14848.748996429727</v>
      </c>
      <c r="AG6" s="610">
        <f>AG16*'Premissas Gerais'!$H$131*'Premissas Gerais'!$I$131</f>
        <v>11885.228965629258</v>
      </c>
      <c r="AH6" s="610">
        <f>AH16*'Premissas Gerais'!$H$131*'Premissas Gerais'!$I$131</f>
        <v>8918.5940505860472</v>
      </c>
      <c r="AI6" s="610">
        <f>AI16*'Premissas Gerais'!$H$131*'Premissas Gerais'!$I$131</f>
        <v>5948.8442513001</v>
      </c>
      <c r="AJ6" s="610">
        <f>AJ16*'Premissas Gerais'!$H$131*'Premissas Gerais'!$I$131</f>
        <v>2975.9795677714183</v>
      </c>
    </row>
    <row r="7" spans="3:36" x14ac:dyDescent="0.35">
      <c r="C7" s="199"/>
      <c r="D7" s="611" t="s">
        <v>163</v>
      </c>
      <c r="E7" s="611"/>
      <c r="F7" s="985">
        <f>SUM(G7:AJ7)</f>
        <v>507387.05388000008</v>
      </c>
      <c r="G7" s="612">
        <f>G13*'Premissas Gerais'!$I$132</f>
        <v>156779.5757325</v>
      </c>
      <c r="H7" s="612">
        <f>H13*'Premissas Gerais'!$I$132</f>
        <v>24167.267197500001</v>
      </c>
      <c r="I7" s="612">
        <f>I13*'Premissas Gerais'!$I$132</f>
        <v>14184.765735000001</v>
      </c>
      <c r="J7" s="612">
        <f>J13*'Premissas Gerais'!$I$132</f>
        <v>7977.5250869999991</v>
      </c>
      <c r="K7" s="612">
        <f>K13*'Premissas Gerais'!$I$132</f>
        <v>243.28220000000005</v>
      </c>
      <c r="L7" s="612">
        <f>L13*'Premissas Gerais'!$I$132</f>
        <v>505.17291999999998</v>
      </c>
      <c r="M7" s="612">
        <f>M13*'Premissas Gerais'!$I$132</f>
        <v>11336.301060000002</v>
      </c>
      <c r="N7" s="612">
        <f>N13*'Premissas Gerais'!$I$132</f>
        <v>280.04151000000002</v>
      </c>
      <c r="O7" s="612">
        <f>O13*'Premissas Gerais'!$I$132</f>
        <v>48785.724190000008</v>
      </c>
      <c r="P7" s="612">
        <f>P13*'Premissas Gerais'!$I$132</f>
        <v>4736.2595350000001</v>
      </c>
      <c r="Q7" s="612">
        <f>Q13*'Premissas Gerais'!$I$132</f>
        <v>61941.702171999998</v>
      </c>
      <c r="R7" s="612">
        <f>R13*'Premissas Gerais'!$I$132</f>
        <v>0</v>
      </c>
      <c r="S7" s="612">
        <f>S13*'Premissas Gerais'!$I$132</f>
        <v>0</v>
      </c>
      <c r="T7" s="612">
        <f>T13*'Premissas Gerais'!$I$132</f>
        <v>562.70829999999989</v>
      </c>
      <c r="U7" s="612">
        <f>U13*'Premissas Gerais'!$I$132</f>
        <v>11579.583260000001</v>
      </c>
      <c r="V7" s="612">
        <f>V13*'Premissas Gerais'!$I$132</f>
        <v>785.21442999999999</v>
      </c>
      <c r="W7" s="612">
        <f>W13*'Premissas Gerais'!$I$132</f>
        <v>48785.724190000008</v>
      </c>
      <c r="X7" s="612">
        <f>X13*'Premissas Gerais'!$I$132</f>
        <v>7977.5250869999991</v>
      </c>
      <c r="Y7" s="612">
        <f>Y13*'Premissas Gerais'!$I$132</f>
        <v>0</v>
      </c>
      <c r="Z7" s="612">
        <f>Z13*'Premissas Gerais'!$I$132</f>
        <v>4736.2595350000001</v>
      </c>
      <c r="AA7" s="612">
        <f>AA13*'Premissas Gerais'!$I$132</f>
        <v>24110.859185000001</v>
      </c>
      <c r="AB7" s="612">
        <f>AB13*'Premissas Gerais'!$I$132</f>
        <v>0</v>
      </c>
      <c r="AC7" s="612">
        <f>AC13*'Premissas Gerais'!$I$132</f>
        <v>11336.301060000002</v>
      </c>
      <c r="AD7" s="612">
        <f>AD13*'Premissas Gerais'!$I$132</f>
        <v>8820.2748969999993</v>
      </c>
      <c r="AE7" s="612">
        <f>AE13*'Premissas Gerais'!$I$132</f>
        <v>49029.006390000002</v>
      </c>
      <c r="AF7" s="612">
        <f>AF13*'Premissas Gerais'!$I$132</f>
        <v>505.17291999999998</v>
      </c>
      <c r="AG7" s="612">
        <f>AG13*'Premissas Gerais'!$I$132</f>
        <v>0</v>
      </c>
      <c r="AH7" s="612">
        <f>AH13*'Premissas Gerais'!$I$132</f>
        <v>0</v>
      </c>
      <c r="AI7" s="612">
        <f>AI13*'Premissas Gerais'!$I$132</f>
        <v>0</v>
      </c>
      <c r="AJ7" s="612">
        <f>AJ13*'Premissas Gerais'!$I$132</f>
        <v>8220.8072869999996</v>
      </c>
    </row>
    <row r="8" spans="3:36" x14ac:dyDescent="0.35">
      <c r="C8" s="199"/>
      <c r="D8" s="611" t="s">
        <v>589</v>
      </c>
      <c r="E8" s="611"/>
      <c r="F8" s="985">
        <f>SUM(G8:AJ8)</f>
        <v>825000</v>
      </c>
      <c r="G8" s="612">
        <f>IF(G4&gt;'Premissas Gerais'!$E$7,0,'Premissas Gerais'!$H$133*'Premissas Gerais'!$I$133)</f>
        <v>27500</v>
      </c>
      <c r="H8" s="612">
        <f>IF(H4&gt;'Premissas Gerais'!$E$7,0,'Premissas Gerais'!$H$133*'Premissas Gerais'!$I$133)</f>
        <v>27500</v>
      </c>
      <c r="I8" s="612">
        <f>IF(I4&gt;'Premissas Gerais'!$E$7,0,'Premissas Gerais'!$H$133*'Premissas Gerais'!$I$133)</f>
        <v>27500</v>
      </c>
      <c r="J8" s="612">
        <f>IF(J4&gt;'Premissas Gerais'!$E$7,0,'Premissas Gerais'!$H$133*'Premissas Gerais'!$I$133)</f>
        <v>27500</v>
      </c>
      <c r="K8" s="612">
        <f>IF(K4&gt;'Premissas Gerais'!$E$7,0,'Premissas Gerais'!$H$133*'Premissas Gerais'!$I$133)</f>
        <v>27500</v>
      </c>
      <c r="L8" s="612">
        <f>IF(L4&gt;'Premissas Gerais'!$E$7,0,'Premissas Gerais'!$H$133*'Premissas Gerais'!$I$133)</f>
        <v>27500</v>
      </c>
      <c r="M8" s="612">
        <f>IF(M4&gt;'Premissas Gerais'!$E$7,0,'Premissas Gerais'!$H$133*'Premissas Gerais'!$I$133)</f>
        <v>27500</v>
      </c>
      <c r="N8" s="612">
        <f>IF(N4&gt;'Premissas Gerais'!$E$7,0,'Premissas Gerais'!$H$133*'Premissas Gerais'!$I$133)</f>
        <v>27500</v>
      </c>
      <c r="O8" s="612">
        <f>IF(O4&gt;'Premissas Gerais'!$E$7,0,'Premissas Gerais'!$H$133*'Premissas Gerais'!$I$133)</f>
        <v>27500</v>
      </c>
      <c r="P8" s="612">
        <f>IF(P4&gt;'Premissas Gerais'!$E$7,0,'Premissas Gerais'!$H$133*'Premissas Gerais'!$I$133)</f>
        <v>27500</v>
      </c>
      <c r="Q8" s="612">
        <f>IF(Q4&gt;'Premissas Gerais'!$E$7,0,'Premissas Gerais'!$H$133*'Premissas Gerais'!$I$133)</f>
        <v>27500</v>
      </c>
      <c r="R8" s="612">
        <f>IF(R4&gt;'Premissas Gerais'!$E$7,0,'Premissas Gerais'!$H$133*'Premissas Gerais'!$I$133)</f>
        <v>27500</v>
      </c>
      <c r="S8" s="612">
        <f>IF(S4&gt;'Premissas Gerais'!$E$7,0,'Premissas Gerais'!$H$133*'Premissas Gerais'!$I$133)</f>
        <v>27500</v>
      </c>
      <c r="T8" s="612">
        <f>IF(T4&gt;'Premissas Gerais'!$E$7,0,'Premissas Gerais'!$H$133*'Premissas Gerais'!$I$133)</f>
        <v>27500</v>
      </c>
      <c r="U8" s="612">
        <f>IF(U4&gt;'Premissas Gerais'!$E$7,0,'Premissas Gerais'!$H$133*'Premissas Gerais'!$I$133)</f>
        <v>27500</v>
      </c>
      <c r="V8" s="612">
        <f>IF(V4&gt;'Premissas Gerais'!$E$7,0,'Premissas Gerais'!$H$133*'Premissas Gerais'!$I$133)</f>
        <v>27500</v>
      </c>
      <c r="W8" s="612">
        <f>IF(W4&gt;'Premissas Gerais'!$E$7,0,'Premissas Gerais'!$H$133*'Premissas Gerais'!$I$133)</f>
        <v>27500</v>
      </c>
      <c r="X8" s="612">
        <f>IF(X4&gt;'Premissas Gerais'!$E$7,0,'Premissas Gerais'!$H$133*'Premissas Gerais'!$I$133)</f>
        <v>27500</v>
      </c>
      <c r="Y8" s="612">
        <f>IF(Y4&gt;'Premissas Gerais'!$E$7,0,'Premissas Gerais'!$H$133*'Premissas Gerais'!$I$133)</f>
        <v>27500</v>
      </c>
      <c r="Z8" s="612">
        <f>IF(Z4&gt;'Premissas Gerais'!$E$7,0,'Premissas Gerais'!$H$133*'Premissas Gerais'!$I$133)</f>
        <v>27500</v>
      </c>
      <c r="AA8" s="612">
        <f>IF(AA4&gt;'Premissas Gerais'!$E$7,0,'Premissas Gerais'!$H$133*'Premissas Gerais'!$I$133)</f>
        <v>27500</v>
      </c>
      <c r="AB8" s="612">
        <f>IF(AB4&gt;'Premissas Gerais'!$E$7,0,'Premissas Gerais'!$H$133*'Premissas Gerais'!$I$133)</f>
        <v>27500</v>
      </c>
      <c r="AC8" s="612">
        <f>IF(AC4&gt;'Premissas Gerais'!$E$7,0,'Premissas Gerais'!$H$133*'Premissas Gerais'!$I$133)</f>
        <v>27500</v>
      </c>
      <c r="AD8" s="612">
        <f>IF(AD4&gt;'Premissas Gerais'!$E$7,0,'Premissas Gerais'!$H$133*'Premissas Gerais'!$I$133)</f>
        <v>27500</v>
      </c>
      <c r="AE8" s="612">
        <f>IF(AE4&gt;'Premissas Gerais'!$E$7,0,'Premissas Gerais'!$H$133*'Premissas Gerais'!$I$133)</f>
        <v>27500</v>
      </c>
      <c r="AF8" s="612">
        <f>IF(AF4&gt;'Premissas Gerais'!$E$7,0,'Premissas Gerais'!$H$133*'Premissas Gerais'!$I$133)</f>
        <v>27500</v>
      </c>
      <c r="AG8" s="612">
        <f>IF(AG4&gt;'Premissas Gerais'!$E$7,0,'Premissas Gerais'!$H$133*'Premissas Gerais'!$I$133)</f>
        <v>27500</v>
      </c>
      <c r="AH8" s="612">
        <f>IF(AH4&gt;'Premissas Gerais'!$E$7,0,'Premissas Gerais'!$H$133*'Premissas Gerais'!$I$133)</f>
        <v>27500</v>
      </c>
      <c r="AI8" s="612">
        <f>IF(AI4&gt;'Premissas Gerais'!$E$7,0,'Premissas Gerais'!$H$133*'Premissas Gerais'!$I$133)</f>
        <v>27500</v>
      </c>
      <c r="AJ8" s="612">
        <f>IF(AJ4&gt;'Premissas Gerais'!$E$7,0,'Premissas Gerais'!$H$133*'Premissas Gerais'!$I$133)</f>
        <v>27500</v>
      </c>
    </row>
    <row r="9" spans="3:36" x14ac:dyDescent="0.35">
      <c r="C9" s="613"/>
      <c r="D9" s="611" t="s">
        <v>590</v>
      </c>
      <c r="E9" s="611"/>
      <c r="F9" s="985">
        <f>SUM(G9:AJ9)</f>
        <v>337500</v>
      </c>
      <c r="G9" s="612">
        <f>IF(G4&gt;'Premissas Gerais'!$E$7,0,'Premissas Gerais'!$H$134*'Premissas Gerais'!$I$134)</f>
        <v>11250</v>
      </c>
      <c r="H9" s="612">
        <f>IF(H4&gt;'Premissas Gerais'!$E$7,0,'Premissas Gerais'!$H$134*'Premissas Gerais'!$I$134)</f>
        <v>11250</v>
      </c>
      <c r="I9" s="612">
        <f>IF(I4&gt;'Premissas Gerais'!$E$7,0,'Premissas Gerais'!$H$134*'Premissas Gerais'!$I$134)</f>
        <v>11250</v>
      </c>
      <c r="J9" s="612">
        <f>IF(J4&gt;'Premissas Gerais'!$E$7,0,'Premissas Gerais'!$H$134*'Premissas Gerais'!$I$134)</f>
        <v>11250</v>
      </c>
      <c r="K9" s="612">
        <f>IF(K4&gt;'Premissas Gerais'!$E$7,0,'Premissas Gerais'!$H$134*'Premissas Gerais'!$I$134)</f>
        <v>11250</v>
      </c>
      <c r="L9" s="612">
        <f>IF(L4&gt;'Premissas Gerais'!$E$7,0,'Premissas Gerais'!$H$134*'Premissas Gerais'!$I$134)</f>
        <v>11250</v>
      </c>
      <c r="M9" s="612">
        <f>IF(M4&gt;'Premissas Gerais'!$E$7,0,'Premissas Gerais'!$H$134*'Premissas Gerais'!$I$134)</f>
        <v>11250</v>
      </c>
      <c r="N9" s="612">
        <f>IF(N4&gt;'Premissas Gerais'!$E$7,0,'Premissas Gerais'!$H$134*'Premissas Gerais'!$I$134)</f>
        <v>11250</v>
      </c>
      <c r="O9" s="612">
        <f>IF(O4&gt;'Premissas Gerais'!$E$7,0,'Premissas Gerais'!$H$134*'Premissas Gerais'!$I$134)</f>
        <v>11250</v>
      </c>
      <c r="P9" s="612">
        <f>IF(P4&gt;'Premissas Gerais'!$E$7,0,'Premissas Gerais'!$H$134*'Premissas Gerais'!$I$134)</f>
        <v>11250</v>
      </c>
      <c r="Q9" s="612">
        <f>IF(Q4&gt;'Premissas Gerais'!$E$7,0,'Premissas Gerais'!$H$134*'Premissas Gerais'!$I$134)</f>
        <v>11250</v>
      </c>
      <c r="R9" s="612">
        <f>IF(R4&gt;'Premissas Gerais'!$E$7,0,'Premissas Gerais'!$H$134*'Premissas Gerais'!$I$134)</f>
        <v>11250</v>
      </c>
      <c r="S9" s="612">
        <f>IF(S4&gt;'Premissas Gerais'!$E$7,0,'Premissas Gerais'!$H$134*'Premissas Gerais'!$I$134)</f>
        <v>11250</v>
      </c>
      <c r="T9" s="612">
        <f>IF(T4&gt;'Premissas Gerais'!$E$7,0,'Premissas Gerais'!$H$134*'Premissas Gerais'!$I$134)</f>
        <v>11250</v>
      </c>
      <c r="U9" s="612">
        <f>IF(U4&gt;'Premissas Gerais'!$E$7,0,'Premissas Gerais'!$H$134*'Premissas Gerais'!$I$134)</f>
        <v>11250</v>
      </c>
      <c r="V9" s="612">
        <f>IF(V4&gt;'Premissas Gerais'!$E$7,0,'Premissas Gerais'!$H$134*'Premissas Gerais'!$I$134)</f>
        <v>11250</v>
      </c>
      <c r="W9" s="612">
        <f>IF(W4&gt;'Premissas Gerais'!$E$7,0,'Premissas Gerais'!$H$134*'Premissas Gerais'!$I$134)</f>
        <v>11250</v>
      </c>
      <c r="X9" s="612">
        <f>IF(X4&gt;'Premissas Gerais'!$E$7,0,'Premissas Gerais'!$H$134*'Premissas Gerais'!$I$134)</f>
        <v>11250</v>
      </c>
      <c r="Y9" s="612">
        <f>IF(Y4&gt;'Premissas Gerais'!$E$7,0,'Premissas Gerais'!$H$134*'Premissas Gerais'!$I$134)</f>
        <v>11250</v>
      </c>
      <c r="Z9" s="612">
        <f>IF(Z4&gt;'Premissas Gerais'!$E$7,0,'Premissas Gerais'!$H$134*'Premissas Gerais'!$I$134)</f>
        <v>11250</v>
      </c>
      <c r="AA9" s="612">
        <f>IF(AA4&gt;'Premissas Gerais'!$E$7,0,'Premissas Gerais'!$H$134*'Premissas Gerais'!$I$134)</f>
        <v>11250</v>
      </c>
      <c r="AB9" s="612">
        <f>IF(AB4&gt;'Premissas Gerais'!$E$7,0,'Premissas Gerais'!$H$134*'Premissas Gerais'!$I$134)</f>
        <v>11250</v>
      </c>
      <c r="AC9" s="612">
        <f>IF(AC4&gt;'Premissas Gerais'!$E$7,0,'Premissas Gerais'!$H$134*'Premissas Gerais'!$I$134)</f>
        <v>11250</v>
      </c>
      <c r="AD9" s="612">
        <f>IF(AD4&gt;'Premissas Gerais'!$E$7,0,'Premissas Gerais'!$H$134*'Premissas Gerais'!$I$134)</f>
        <v>11250</v>
      </c>
      <c r="AE9" s="612">
        <f>IF(AE4&gt;'Premissas Gerais'!$E$7,0,'Premissas Gerais'!$H$134*'Premissas Gerais'!$I$134)</f>
        <v>11250</v>
      </c>
      <c r="AF9" s="612">
        <f>IF(AF4&gt;'Premissas Gerais'!$E$7,0,'Premissas Gerais'!$H$134*'Premissas Gerais'!$I$134)</f>
        <v>11250</v>
      </c>
      <c r="AG9" s="612">
        <f>IF(AG4&gt;'Premissas Gerais'!$E$7,0,'Premissas Gerais'!$H$134*'Premissas Gerais'!$I$134)</f>
        <v>11250</v>
      </c>
      <c r="AH9" s="612">
        <f>IF(AH4&gt;'Premissas Gerais'!$E$7,0,'Premissas Gerais'!$H$134*'Premissas Gerais'!$I$134)</f>
        <v>11250</v>
      </c>
      <c r="AI9" s="612">
        <f>IF(AI4&gt;'Premissas Gerais'!$E$7,0,'Premissas Gerais'!$H$134*'Premissas Gerais'!$I$134)</f>
        <v>11250</v>
      </c>
      <c r="AJ9" s="612">
        <f>IF(AJ4&gt;'Premissas Gerais'!$E$7,0,'Premissas Gerais'!$H$134*'Premissas Gerais'!$I$134)</f>
        <v>11250</v>
      </c>
    </row>
    <row r="10" spans="3:36" ht="10.5" customHeight="1" x14ac:dyDescent="0.35">
      <c r="C10" s="196"/>
      <c r="D10" s="608"/>
      <c r="E10" s="608"/>
      <c r="F10" s="609"/>
      <c r="G10" s="608"/>
      <c r="H10" s="608"/>
      <c r="I10" s="608"/>
      <c r="J10" s="608"/>
      <c r="K10" s="608"/>
      <c r="L10" s="608"/>
      <c r="M10" s="608"/>
      <c r="N10" s="608"/>
      <c r="O10" s="608"/>
      <c r="P10" s="608"/>
      <c r="Q10" s="608"/>
      <c r="R10" s="608"/>
      <c r="S10" s="608"/>
      <c r="T10" s="608"/>
      <c r="U10" s="608"/>
      <c r="V10" s="608"/>
      <c r="W10" s="608"/>
      <c r="X10" s="608"/>
      <c r="Y10" s="608"/>
      <c r="Z10" s="608"/>
      <c r="AA10" s="608"/>
      <c r="AB10" s="608"/>
      <c r="AC10" s="608"/>
      <c r="AD10" s="608"/>
      <c r="AE10" s="608"/>
      <c r="AF10" s="608"/>
      <c r="AG10" s="608"/>
      <c r="AH10" s="608"/>
      <c r="AI10" s="608"/>
      <c r="AJ10" s="608"/>
    </row>
    <row r="11" spans="3:36" ht="15" thickBot="1" x14ac:dyDescent="0.4">
      <c r="C11" s="177" t="s">
        <v>200</v>
      </c>
      <c r="D11" s="177"/>
      <c r="E11" s="177"/>
      <c r="F11" s="501">
        <f>SUM(G11:AJ11)</f>
        <v>3781333.9858096046</v>
      </c>
      <c r="G11" s="514">
        <f>SUM(G6:G9)</f>
        <v>369869.44814122538</v>
      </c>
      <c r="H11" s="514">
        <f t="shared" ref="H11:AJ11" si="1">SUM(H6:H9)</f>
        <v>231713.38543693788</v>
      </c>
      <c r="I11" s="514">
        <f t="shared" si="1"/>
        <v>216160.55917855888</v>
      </c>
      <c r="J11" s="514">
        <f t="shared" si="1"/>
        <v>204356.42310808835</v>
      </c>
      <c r="K11" s="514">
        <f t="shared" si="1"/>
        <v>190998.7141720264</v>
      </c>
      <c r="L11" s="514">
        <f t="shared" si="1"/>
        <v>185610.56821637301</v>
      </c>
      <c r="M11" s="514">
        <f t="shared" si="1"/>
        <v>190765.09501678345</v>
      </c>
      <c r="N11" s="514">
        <f t="shared" si="1"/>
        <v>174008.71792297543</v>
      </c>
      <c r="O11" s="514">
        <f t="shared" si="1"/>
        <v>216790.76685494883</v>
      </c>
      <c r="P11" s="514">
        <f t="shared" si="1"/>
        <v>166994.15224770369</v>
      </c>
      <c r="Q11" s="514">
        <f t="shared" si="1"/>
        <v>159560.31545012005</v>
      </c>
      <c r="R11" s="514">
        <f t="shared" si="1"/>
        <v>94721.525954115961</v>
      </c>
      <c r="S11" s="514">
        <f t="shared" si="1"/>
        <v>91817.387948430362</v>
      </c>
      <c r="T11" s="514">
        <f t="shared" si="1"/>
        <v>89468.907561063214</v>
      </c>
      <c r="U11" s="514">
        <f t="shared" si="1"/>
        <v>97567.54315201455</v>
      </c>
      <c r="V11" s="514">
        <f t="shared" si="1"/>
        <v>83847.884271284347</v>
      </c>
      <c r="W11" s="514">
        <f t="shared" si="1"/>
        <v>128916.01500887118</v>
      </c>
      <c r="X11" s="514">
        <f t="shared" si="1"/>
        <v>85172.32199921523</v>
      </c>
      <c r="Y11" s="514">
        <f t="shared" si="1"/>
        <v>74256.188121316576</v>
      </c>
      <c r="Z11" s="514">
        <f t="shared" si="1"/>
        <v>76050.723981175179</v>
      </c>
      <c r="AA11" s="514">
        <f t="shared" si="1"/>
        <v>92480.485071791045</v>
      </c>
      <c r="AB11" s="514">
        <f t="shared" si="1"/>
        <v>65421.680277204257</v>
      </c>
      <c r="AC11" s="514">
        <f t="shared" si="1"/>
        <v>73806.920843374726</v>
      </c>
      <c r="AD11" s="514">
        <f t="shared" si="1"/>
        <v>68336.719302302459</v>
      </c>
      <c r="AE11" s="514">
        <f t="shared" si="1"/>
        <v>105588.16053298747</v>
      </c>
      <c r="AF11" s="514">
        <f t="shared" si="1"/>
        <v>54103.921916429725</v>
      </c>
      <c r="AG11" s="514">
        <f t="shared" si="1"/>
        <v>50635.228965629256</v>
      </c>
      <c r="AH11" s="514">
        <f t="shared" si="1"/>
        <v>47668.594050586049</v>
      </c>
      <c r="AI11" s="514">
        <f t="shared" si="1"/>
        <v>44698.844251300099</v>
      </c>
      <c r="AJ11" s="514">
        <f t="shared" si="1"/>
        <v>49946.786854771417</v>
      </c>
    </row>
    <row r="12" spans="3:36" ht="5.25" customHeight="1" thickTop="1" x14ac:dyDescent="0.35">
      <c r="C12" s="79"/>
      <c r="D12" s="79"/>
      <c r="E12" s="201"/>
      <c r="F12" s="201"/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</row>
    <row r="13" spans="3:36" s="77" customFormat="1" x14ac:dyDescent="0.35">
      <c r="C13" s="722" t="s">
        <v>591</v>
      </c>
      <c r="D13" s="103"/>
      <c r="E13" s="103"/>
      <c r="F13" s="103"/>
      <c r="G13" s="986">
        <f>G14</f>
        <v>44794164.494999997</v>
      </c>
      <c r="H13" s="986">
        <f t="shared" ref="H13:AJ13" si="2">H14</f>
        <v>6904933.4850000003</v>
      </c>
      <c r="I13" s="986">
        <f t="shared" si="2"/>
        <v>4052790.21</v>
      </c>
      <c r="J13" s="986">
        <f t="shared" si="2"/>
        <v>2279292.8819999998</v>
      </c>
      <c r="K13" s="986">
        <f t="shared" si="2"/>
        <v>69509.200000000012</v>
      </c>
      <c r="L13" s="986">
        <f t="shared" si="2"/>
        <v>144335.12</v>
      </c>
      <c r="M13" s="986">
        <f t="shared" si="2"/>
        <v>3238943.16</v>
      </c>
      <c r="N13" s="986">
        <f t="shared" si="2"/>
        <v>80011.86</v>
      </c>
      <c r="O13" s="986">
        <f t="shared" si="2"/>
        <v>13938778.340000002</v>
      </c>
      <c r="P13" s="986">
        <f t="shared" si="2"/>
        <v>1353217.01</v>
      </c>
      <c r="Q13" s="986">
        <f t="shared" si="2"/>
        <v>17697629.191999998</v>
      </c>
      <c r="R13" s="986">
        <f t="shared" si="2"/>
        <v>0</v>
      </c>
      <c r="S13" s="986">
        <f t="shared" si="2"/>
        <v>0</v>
      </c>
      <c r="T13" s="986">
        <f t="shared" si="2"/>
        <v>160773.79999999996</v>
      </c>
      <c r="U13" s="986">
        <f t="shared" si="2"/>
        <v>3308452.3600000003</v>
      </c>
      <c r="V13" s="986">
        <f t="shared" si="2"/>
        <v>224346.97999999998</v>
      </c>
      <c r="W13" s="986">
        <f t="shared" si="2"/>
        <v>13938778.340000002</v>
      </c>
      <c r="X13" s="986">
        <f t="shared" si="2"/>
        <v>2279292.8819999998</v>
      </c>
      <c r="Y13" s="986">
        <f t="shared" si="2"/>
        <v>0</v>
      </c>
      <c r="Z13" s="986">
        <f t="shared" si="2"/>
        <v>1353217.01</v>
      </c>
      <c r="AA13" s="986">
        <f t="shared" si="2"/>
        <v>6888816.9100000001</v>
      </c>
      <c r="AB13" s="986">
        <f t="shared" si="2"/>
        <v>0</v>
      </c>
      <c r="AC13" s="986">
        <f t="shared" si="2"/>
        <v>3238943.16</v>
      </c>
      <c r="AD13" s="986">
        <f t="shared" si="2"/>
        <v>2520078.5419999999</v>
      </c>
      <c r="AE13" s="986">
        <f t="shared" si="2"/>
        <v>14008287.540000001</v>
      </c>
      <c r="AF13" s="986">
        <f t="shared" si="2"/>
        <v>144335.12</v>
      </c>
      <c r="AG13" s="986">
        <f t="shared" si="2"/>
        <v>0</v>
      </c>
      <c r="AH13" s="986">
        <f t="shared" si="2"/>
        <v>0</v>
      </c>
      <c r="AI13" s="986">
        <f t="shared" si="2"/>
        <v>0</v>
      </c>
      <c r="AJ13" s="986">
        <f t="shared" si="2"/>
        <v>2348802.0819999999</v>
      </c>
    </row>
    <row r="14" spans="3:36" s="79" customFormat="1" ht="12" x14ac:dyDescent="0.3">
      <c r="C14" s="79" t="s">
        <v>592</v>
      </c>
      <c r="G14" s="502">
        <f>'CAPEX E OPEX'!F88</f>
        <v>44794164.494999997</v>
      </c>
      <c r="H14" s="502">
        <f>'CAPEX E OPEX'!G88</f>
        <v>6904933.4850000003</v>
      </c>
      <c r="I14" s="502">
        <f>'CAPEX E OPEX'!H88</f>
        <v>4052790.21</v>
      </c>
      <c r="J14" s="502">
        <f>'CAPEX E OPEX'!I88</f>
        <v>2279292.8819999998</v>
      </c>
      <c r="K14" s="502">
        <f>'CAPEX E OPEX'!J88</f>
        <v>69509.200000000012</v>
      </c>
      <c r="L14" s="502">
        <f>'CAPEX E OPEX'!K88</f>
        <v>144335.12</v>
      </c>
      <c r="M14" s="502">
        <f>'CAPEX E OPEX'!L88</f>
        <v>3238943.16</v>
      </c>
      <c r="N14" s="502">
        <f>'CAPEX E OPEX'!M88</f>
        <v>80011.86</v>
      </c>
      <c r="O14" s="502">
        <f>'CAPEX E OPEX'!N88</f>
        <v>13938778.340000002</v>
      </c>
      <c r="P14" s="502">
        <f>'CAPEX E OPEX'!O88</f>
        <v>1353217.01</v>
      </c>
      <c r="Q14" s="502">
        <f>'CAPEX E OPEX'!P88</f>
        <v>17697629.191999998</v>
      </c>
      <c r="R14" s="502">
        <f>'CAPEX E OPEX'!Q88</f>
        <v>0</v>
      </c>
      <c r="S14" s="502">
        <f>'CAPEX E OPEX'!R88</f>
        <v>0</v>
      </c>
      <c r="T14" s="502">
        <f>'CAPEX E OPEX'!S88</f>
        <v>160773.79999999996</v>
      </c>
      <c r="U14" s="502">
        <f>'CAPEX E OPEX'!T88</f>
        <v>3308452.3600000003</v>
      </c>
      <c r="V14" s="502">
        <f>'CAPEX E OPEX'!U88</f>
        <v>224346.97999999998</v>
      </c>
      <c r="W14" s="502">
        <f>'CAPEX E OPEX'!V88</f>
        <v>13938778.340000002</v>
      </c>
      <c r="X14" s="502">
        <f>'CAPEX E OPEX'!W88</f>
        <v>2279292.8819999998</v>
      </c>
      <c r="Y14" s="502">
        <f>'CAPEX E OPEX'!X88</f>
        <v>0</v>
      </c>
      <c r="Z14" s="502">
        <f>'CAPEX E OPEX'!Y88</f>
        <v>1353217.01</v>
      </c>
      <c r="AA14" s="502">
        <f>'CAPEX E OPEX'!Z88</f>
        <v>6888816.9100000001</v>
      </c>
      <c r="AB14" s="502">
        <f>'CAPEX E OPEX'!AA88</f>
        <v>0</v>
      </c>
      <c r="AC14" s="502">
        <f>'CAPEX E OPEX'!AB88</f>
        <v>3238943.16</v>
      </c>
      <c r="AD14" s="502">
        <f>'CAPEX E OPEX'!AC88</f>
        <v>2520078.5419999999</v>
      </c>
      <c r="AE14" s="502">
        <f>'CAPEX E OPEX'!AD88</f>
        <v>14008287.540000001</v>
      </c>
      <c r="AF14" s="502">
        <f>'CAPEX E OPEX'!AE88</f>
        <v>144335.12</v>
      </c>
      <c r="AG14" s="502">
        <f>'CAPEX E OPEX'!AF88</f>
        <v>0</v>
      </c>
      <c r="AH14" s="502">
        <f>'CAPEX E OPEX'!AG88</f>
        <v>0</v>
      </c>
      <c r="AI14" s="502">
        <f>'CAPEX E OPEX'!AH88</f>
        <v>0</v>
      </c>
      <c r="AJ14" s="502">
        <f>'CAPEX E OPEX'!AI88</f>
        <v>2348802.0819999999</v>
      </c>
    </row>
    <row r="15" spans="3:36" s="79" customFormat="1" ht="12" x14ac:dyDescent="0.3">
      <c r="C15" s="79" t="s">
        <v>593</v>
      </c>
      <c r="G15" s="502">
        <f>G14</f>
        <v>44794164.494999997</v>
      </c>
      <c r="H15" s="502">
        <f>G15+H14</f>
        <v>51699097.979999997</v>
      </c>
      <c r="I15" s="502">
        <f t="shared" ref="I15:AJ15" si="3">H15+I14</f>
        <v>55751888.189999998</v>
      </c>
      <c r="J15" s="502">
        <f t="shared" si="3"/>
        <v>58031181.071999997</v>
      </c>
      <c r="K15" s="502">
        <f t="shared" si="3"/>
        <v>58100690.272</v>
      </c>
      <c r="L15" s="502">
        <f t="shared" si="3"/>
        <v>58245025.391999997</v>
      </c>
      <c r="M15" s="502">
        <f t="shared" si="3"/>
        <v>61483968.552000001</v>
      </c>
      <c r="N15" s="502">
        <f t="shared" si="3"/>
        <v>61563980.412</v>
      </c>
      <c r="O15" s="502">
        <f t="shared" si="3"/>
        <v>75502758.752000004</v>
      </c>
      <c r="P15" s="502">
        <f t="shared" si="3"/>
        <v>76855975.762000009</v>
      </c>
      <c r="Q15" s="502">
        <f t="shared" si="3"/>
        <v>94553604.954000011</v>
      </c>
      <c r="R15" s="502">
        <f t="shared" si="3"/>
        <v>94553604.954000011</v>
      </c>
      <c r="S15" s="502">
        <f t="shared" si="3"/>
        <v>94553604.954000011</v>
      </c>
      <c r="T15" s="502">
        <f t="shared" si="3"/>
        <v>94714378.754000008</v>
      </c>
      <c r="U15" s="502">
        <f t="shared" si="3"/>
        <v>98022831.114000008</v>
      </c>
      <c r="V15" s="502">
        <f t="shared" si="3"/>
        <v>98247178.094000012</v>
      </c>
      <c r="W15" s="502">
        <f t="shared" si="3"/>
        <v>112185956.43400002</v>
      </c>
      <c r="X15" s="502">
        <f t="shared" si="3"/>
        <v>114465249.31600001</v>
      </c>
      <c r="Y15" s="502">
        <f t="shared" si="3"/>
        <v>114465249.31600001</v>
      </c>
      <c r="Z15" s="502">
        <f t="shared" si="3"/>
        <v>115818466.32600002</v>
      </c>
      <c r="AA15" s="502">
        <f t="shared" si="3"/>
        <v>122707283.23600002</v>
      </c>
      <c r="AB15" s="502">
        <f t="shared" si="3"/>
        <v>122707283.23600002</v>
      </c>
      <c r="AC15" s="502">
        <f t="shared" si="3"/>
        <v>125946226.39600001</v>
      </c>
      <c r="AD15" s="502">
        <f t="shared" si="3"/>
        <v>128466304.93800001</v>
      </c>
      <c r="AE15" s="502">
        <f t="shared" si="3"/>
        <v>142474592.47800002</v>
      </c>
      <c r="AF15" s="502">
        <f t="shared" si="3"/>
        <v>142618927.59800002</v>
      </c>
      <c r="AG15" s="502">
        <f t="shared" si="3"/>
        <v>142618927.59800002</v>
      </c>
      <c r="AH15" s="502">
        <f t="shared" si="3"/>
        <v>142618927.59800002</v>
      </c>
      <c r="AI15" s="502">
        <f t="shared" si="3"/>
        <v>142618927.59800002</v>
      </c>
      <c r="AJ15" s="502">
        <f t="shared" si="3"/>
        <v>144967729.68000001</v>
      </c>
    </row>
    <row r="16" spans="3:36" x14ac:dyDescent="0.35">
      <c r="C16" s="722" t="s">
        <v>594</v>
      </c>
      <c r="D16" s="103"/>
      <c r="E16" s="103"/>
      <c r="F16" s="103"/>
      <c r="G16" s="986">
        <f>SUM(Receitas!E118:$AH$118)+SUM(Receitas!E135:AH135)</f>
        <v>1743398724.0872536</v>
      </c>
      <c r="H16" s="986">
        <f>SUM(Receitas!F118:$AH$118)+SUM(Receitas!F135:AI135)</f>
        <v>1687961182.3943787</v>
      </c>
      <c r="I16" s="986">
        <f>SUM(Receitas!G118:$AH$118)+SUM(Receitas!G135:AJ135)</f>
        <v>1632257934.4355886</v>
      </c>
      <c r="J16" s="986">
        <f>SUM(Receitas!H118:$AH$118)+SUM(Receitas!H135:AK135)</f>
        <v>1576288980.2108836</v>
      </c>
      <c r="K16" s="986">
        <f>SUM(Receitas!I118:$AH$118)+SUM(Receitas!I135:AL135)</f>
        <v>1520054319.720264</v>
      </c>
      <c r="L16" s="986">
        <f>SUM(Receitas!J118:$AH$118)+SUM(Receitas!J135:AM135)</f>
        <v>1463553952.9637296</v>
      </c>
      <c r="M16" s="986">
        <f>SUM(Receitas!K118:$AH$118)+SUM(Receitas!K135:AN135)</f>
        <v>1406787939.5678344</v>
      </c>
      <c r="N16" s="986">
        <f>SUM(Receitas!L118:$AH$118)+SUM(Receitas!L135:AO135)</f>
        <v>1349786764.1297538</v>
      </c>
      <c r="O16" s="986">
        <f>SUM(Receitas!M118:$AH$118)+SUM(Receitas!M135:AP135)</f>
        <v>1292550426.6494882</v>
      </c>
      <c r="P16" s="986">
        <f>SUM(Receitas!N118:$AH$118)+SUM(Receitas!N135:AQ135)</f>
        <v>1235078927.1270368</v>
      </c>
      <c r="Q16" s="986">
        <f>SUM(Receitas!O118:$AH$118)+SUM(Receitas!O135:AR135)</f>
        <v>1177372265.5624008</v>
      </c>
      <c r="R16" s="986">
        <f>SUM(Receitas!P118:$AH$118)+SUM(Receitas!P135:AS135)</f>
        <v>1119430519.0823193</v>
      </c>
      <c r="S16" s="986">
        <f>SUM(Receitas!Q118:$AH$118)+SUM(Receitas!Q135:AT135)</f>
        <v>1061347758.9686071</v>
      </c>
      <c r="T16" s="986">
        <f>SUM(Receitas!R118:$AH$118)+SUM(Receitas!R135:AU135)</f>
        <v>1003123985.2212641</v>
      </c>
      <c r="U16" s="986">
        <f>SUM(Receitas!S118:$AH$118)+SUM(Receitas!S135:AV135)</f>
        <v>944759197.84029078</v>
      </c>
      <c r="V16" s="986">
        <f>SUM(Receitas!T118:$AH$118)+SUM(Receitas!T135:AW135)</f>
        <v>886253396.82568693</v>
      </c>
      <c r="W16" s="986">
        <f>SUM(Receitas!U118:$AH$118)+SUM(Receitas!U135:AX135)</f>
        <v>827605816.37742317</v>
      </c>
      <c r="X16" s="986">
        <f>SUM(Receitas!V118:$AH$118)+SUM(Receitas!V135:AY135)</f>
        <v>768895938.24430466</v>
      </c>
      <c r="Y16" s="986">
        <f>SUM(Receitas!W118:$AH$118)+SUM(Receitas!W135:AZ135)</f>
        <v>710123762.4263314</v>
      </c>
      <c r="Z16" s="986">
        <f>SUM(Receitas!X118:$AH$118)+SUM(Receitas!X135:BA135)</f>
        <v>651289288.92350352</v>
      </c>
      <c r="AA16" s="986">
        <f>SUM(Receitas!Y118:$AH$118)+SUM(Receitas!Y135:BB135)</f>
        <v>592392517.73582077</v>
      </c>
      <c r="AB16" s="986">
        <f>SUM(Receitas!Z118:$AH$118)+SUM(Receitas!Z135:BC135)</f>
        <v>533433605.54408503</v>
      </c>
      <c r="AC16" s="986">
        <f>SUM(Receitas!AA118:$AH$118)+SUM(Receitas!AA135:BD135)</f>
        <v>474412395.66749448</v>
      </c>
      <c r="AD16" s="986">
        <f>SUM(Receitas!AB118:$AH$118)+SUM(Receitas!AB135:BE135)</f>
        <v>415328888.10604924</v>
      </c>
      <c r="AE16" s="986">
        <f>SUM(Receitas!AC118:$AH$118)+SUM(Receitas!AC135:BF135)</f>
        <v>356183082.85974926</v>
      </c>
      <c r="AF16" s="986">
        <f>SUM(Receitas!AD118:$AH$118)+SUM(Receitas!AD135:BG135)</f>
        <v>296974979.92859453</v>
      </c>
      <c r="AG16" s="986">
        <f>SUM(Receitas!AE118:$AH$118)+SUM(Receitas!AE135:BH135)</f>
        <v>237704579.31258512</v>
      </c>
      <c r="AH16" s="986">
        <f>SUM(Receitas!AF118:$AH$118)+SUM(Receitas!AF135:BI135)</f>
        <v>178371881.01172093</v>
      </c>
      <c r="AI16" s="986">
        <f>SUM(Receitas!AG118:$AH$118)+SUM(Receitas!AG135:BJ135)</f>
        <v>118976885.026002</v>
      </c>
      <c r="AJ16" s="986">
        <f>SUM(Receitas!AH118:$AH$118)+SUM(Receitas!AH135:BK135)</f>
        <v>59519591.35542836</v>
      </c>
    </row>
    <row r="18" spans="6:36" x14ac:dyDescent="0.35"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  <c r="AD18" s="97"/>
      <c r="AE18" s="97"/>
      <c r="AF18" s="97"/>
      <c r="AG18" s="97"/>
      <c r="AH18" s="97"/>
      <c r="AI18" s="97"/>
      <c r="AJ18" s="97"/>
    </row>
    <row r="19" spans="6:36" x14ac:dyDescent="0.35">
      <c r="H19" s="13"/>
    </row>
    <row r="26" spans="6:36" x14ac:dyDescent="0.35">
      <c r="F26" s="13"/>
    </row>
  </sheetData>
  <sheetProtection algorithmName="SHA-512" hashValue="vK+ZjFh+tcmOSHGD8kzsmB8w3uPcWPngmqWkqeBOYttbl1WBJzzJysgVMoTKgi4Rgre/2gRGj27ysZixBOjz0g==" saltValue="DZH3+1wcCIMZ7kfcV/6TFA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5F7D6-30FF-441E-912E-AD913E927E1B}">
  <sheetPr codeName="Planilha18"/>
  <dimension ref="C2:AJ24"/>
  <sheetViews>
    <sheetView showGridLines="0" zoomScaleNormal="100" workbookViewId="0"/>
  </sheetViews>
  <sheetFormatPr defaultColWidth="8.81640625" defaultRowHeight="14.5" x14ac:dyDescent="0.35"/>
  <cols>
    <col min="1" max="2" width="2.08984375" customWidth="1"/>
    <col min="7" max="7" width="16.81640625" bestFit="1" customWidth="1"/>
    <col min="8" max="8" width="15" customWidth="1"/>
    <col min="9" max="35" width="12.453125" bestFit="1" customWidth="1"/>
    <col min="36" max="36" width="13.81640625" bestFit="1" customWidth="1"/>
  </cols>
  <sheetData>
    <row r="2" spans="3:36" ht="21" x14ac:dyDescent="0.5">
      <c r="C2" s="98" t="s">
        <v>595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</row>
    <row r="4" spans="3:36" x14ac:dyDescent="0.35">
      <c r="C4" s="101" t="s">
        <v>96</v>
      </c>
      <c r="D4" s="101"/>
      <c r="E4" s="101"/>
      <c r="F4" s="101"/>
      <c r="G4" s="101">
        <v>1</v>
      </c>
      <c r="H4" s="101">
        <f>G4+1</f>
        <v>2</v>
      </c>
      <c r="I4" s="101">
        <f t="shared" ref="I4:AJ4" si="0">H4+1</f>
        <v>3</v>
      </c>
      <c r="J4" s="101">
        <f t="shared" si="0"/>
        <v>4</v>
      </c>
      <c r="K4" s="101">
        <f t="shared" si="0"/>
        <v>5</v>
      </c>
      <c r="L4" s="101">
        <f t="shared" si="0"/>
        <v>6</v>
      </c>
      <c r="M4" s="101">
        <f t="shared" si="0"/>
        <v>7</v>
      </c>
      <c r="N4" s="101">
        <f t="shared" si="0"/>
        <v>8</v>
      </c>
      <c r="O4" s="101">
        <f t="shared" si="0"/>
        <v>9</v>
      </c>
      <c r="P4" s="101">
        <f t="shared" si="0"/>
        <v>10</v>
      </c>
      <c r="Q4" s="101">
        <f t="shared" si="0"/>
        <v>11</v>
      </c>
      <c r="R4" s="101">
        <f t="shared" si="0"/>
        <v>12</v>
      </c>
      <c r="S4" s="101">
        <f t="shared" si="0"/>
        <v>13</v>
      </c>
      <c r="T4" s="101">
        <f t="shared" si="0"/>
        <v>14</v>
      </c>
      <c r="U4" s="101">
        <f t="shared" si="0"/>
        <v>15</v>
      </c>
      <c r="V4" s="101">
        <f t="shared" si="0"/>
        <v>16</v>
      </c>
      <c r="W4" s="101">
        <f t="shared" si="0"/>
        <v>17</v>
      </c>
      <c r="X4" s="101">
        <f t="shared" si="0"/>
        <v>18</v>
      </c>
      <c r="Y4" s="101">
        <f t="shared" si="0"/>
        <v>19</v>
      </c>
      <c r="Z4" s="101">
        <f t="shared" si="0"/>
        <v>20</v>
      </c>
      <c r="AA4" s="101">
        <f t="shared" si="0"/>
        <v>21</v>
      </c>
      <c r="AB4" s="101">
        <f t="shared" si="0"/>
        <v>22</v>
      </c>
      <c r="AC4" s="101">
        <f t="shared" si="0"/>
        <v>23</v>
      </c>
      <c r="AD4" s="101">
        <f t="shared" si="0"/>
        <v>24</v>
      </c>
      <c r="AE4" s="101">
        <f t="shared" si="0"/>
        <v>25</v>
      </c>
      <c r="AF4" s="101">
        <f t="shared" si="0"/>
        <v>26</v>
      </c>
      <c r="AG4" s="101">
        <f t="shared" si="0"/>
        <v>27</v>
      </c>
      <c r="AH4" s="101">
        <f t="shared" si="0"/>
        <v>28</v>
      </c>
      <c r="AI4" s="101">
        <f t="shared" si="0"/>
        <v>29</v>
      </c>
      <c r="AJ4" s="101">
        <f t="shared" si="0"/>
        <v>30</v>
      </c>
    </row>
    <row r="5" spans="3:36" ht="9.75" customHeight="1" x14ac:dyDescent="0.35">
      <c r="C5" s="173"/>
      <c r="D5" s="193"/>
      <c r="E5" s="173"/>
      <c r="F5" s="173"/>
      <c r="G5" s="173"/>
    </row>
    <row r="6" spans="3:36" x14ac:dyDescent="0.35">
      <c r="C6" s="145" t="s">
        <v>596</v>
      </c>
      <c r="D6" s="146"/>
      <c r="E6" s="146"/>
      <c r="F6" s="146"/>
      <c r="G6" s="504">
        <f t="shared" ref="G6:AI6" si="1">SUM(G7:G7)</f>
        <v>5316192.0927355299</v>
      </c>
      <c r="H6" s="504">
        <f t="shared" si="1"/>
        <v>5797194.2752982983</v>
      </c>
      <c r="I6" s="504">
        <f t="shared" si="1"/>
        <v>5952498.264202985</v>
      </c>
      <c r="J6" s="504">
        <f t="shared" si="1"/>
        <v>6046393.0003328985</v>
      </c>
      <c r="K6" s="504">
        <f t="shared" si="1"/>
        <v>6108467.4405160714</v>
      </c>
      <c r="L6" s="504">
        <f t="shared" si="1"/>
        <v>6163444.8311726199</v>
      </c>
      <c r="M6" s="504">
        <f t="shared" si="1"/>
        <v>6206757.6310702031</v>
      </c>
      <c r="N6" s="504">
        <f t="shared" si="1"/>
        <v>6232451.7808610303</v>
      </c>
      <c r="O6" s="504">
        <f t="shared" si="1"/>
        <v>6258145.9306518603</v>
      </c>
      <c r="P6" s="504">
        <f t="shared" si="1"/>
        <v>6283840.0804426866</v>
      </c>
      <c r="Q6" s="504">
        <f t="shared" si="1"/>
        <v>6309528.4483683417</v>
      </c>
      <c r="R6" s="504">
        <f t="shared" si="1"/>
        <v>6324973.7999518402</v>
      </c>
      <c r="S6" s="504">
        <f t="shared" si="1"/>
        <v>6340419.1515353369</v>
      </c>
      <c r="T6" s="504">
        <f t="shared" si="1"/>
        <v>6355864.5031188326</v>
      </c>
      <c r="U6" s="504">
        <f t="shared" si="1"/>
        <v>6371309.8547023274</v>
      </c>
      <c r="V6" s="504">
        <f t="shared" si="1"/>
        <v>6386839.775226918</v>
      </c>
      <c r="W6" s="504">
        <f t="shared" si="1"/>
        <v>6393703.6827919912</v>
      </c>
      <c r="X6" s="504">
        <f t="shared" si="1"/>
        <v>6400567.5903570661</v>
      </c>
      <c r="Y6" s="504">
        <f t="shared" si="1"/>
        <v>6407431.4979221411</v>
      </c>
      <c r="Z6" s="504">
        <f t="shared" si="1"/>
        <v>6414295.4054872151</v>
      </c>
      <c r="AA6" s="504">
        <f t="shared" si="1"/>
        <v>6421139.77351344</v>
      </c>
      <c r="AB6" s="504">
        <f t="shared" si="1"/>
        <v>6428003.681078515</v>
      </c>
      <c r="AC6" s="504">
        <f t="shared" si="1"/>
        <v>6434867.5886435909</v>
      </c>
      <c r="AD6" s="504">
        <f t="shared" si="1"/>
        <v>6441731.4962086659</v>
      </c>
      <c r="AE6" s="504">
        <f t="shared" si="1"/>
        <v>6448595.4037737399</v>
      </c>
      <c r="AF6" s="504">
        <f t="shared" si="1"/>
        <v>6455459.311338814</v>
      </c>
      <c r="AG6" s="504">
        <f t="shared" si="1"/>
        <v>6462323.2189038889</v>
      </c>
      <c r="AH6" s="504">
        <f t="shared" si="1"/>
        <v>6469187.1264689621</v>
      </c>
      <c r="AI6" s="504">
        <f t="shared" si="1"/>
        <v>6476051.0340340389</v>
      </c>
      <c r="AJ6" s="504">
        <f>SUM(AJ7:AJ7)</f>
        <v>6482914.941599112</v>
      </c>
    </row>
    <row r="7" spans="3:36" x14ac:dyDescent="0.35">
      <c r="C7" s="605"/>
      <c r="D7" s="606" t="s">
        <v>151</v>
      </c>
      <c r="E7" s="606"/>
      <c r="F7" s="606"/>
      <c r="G7" s="607">
        <f>IF(G4&gt;'Premissas Gerais'!$E$7,0,Receitas!E120/365*'Premissas Gerais'!$E$122)</f>
        <v>5316192.0927355299</v>
      </c>
      <c r="H7" s="607">
        <f>IF(H4&gt;'Premissas Gerais'!$E$7,0,Receitas!F120/365*'Premissas Gerais'!$E$122)</f>
        <v>5797194.2752982983</v>
      </c>
      <c r="I7" s="607">
        <f>IF(I4&gt;'Premissas Gerais'!$E$7,0,Receitas!G120/365*'Premissas Gerais'!$E$122)</f>
        <v>5952498.264202985</v>
      </c>
      <c r="J7" s="607">
        <f>IF(J4&gt;'Premissas Gerais'!$E$7,0,Receitas!H120/365*'Premissas Gerais'!$E$122)</f>
        <v>6046393.0003328985</v>
      </c>
      <c r="K7" s="607">
        <f>IF(K4&gt;'Premissas Gerais'!$E$7,0,Receitas!I120/365*'Premissas Gerais'!$E$122)</f>
        <v>6108467.4405160714</v>
      </c>
      <c r="L7" s="607">
        <f>IF(L4&gt;'Premissas Gerais'!$E$7,0,Receitas!J120/365*'Premissas Gerais'!$E$122)</f>
        <v>6163444.8311726199</v>
      </c>
      <c r="M7" s="607">
        <f>IF(M4&gt;'Premissas Gerais'!$E$7,0,Receitas!K120/365*'Premissas Gerais'!$E$122)</f>
        <v>6206757.6310702031</v>
      </c>
      <c r="N7" s="607">
        <f>IF(N4&gt;'Premissas Gerais'!$E$7,0,Receitas!L120/365*'Premissas Gerais'!$E$122)</f>
        <v>6232451.7808610303</v>
      </c>
      <c r="O7" s="607">
        <f>IF(O4&gt;'Premissas Gerais'!$E$7,0,Receitas!M120/365*'Premissas Gerais'!$E$122)</f>
        <v>6258145.9306518603</v>
      </c>
      <c r="P7" s="607">
        <f>IF(P4&gt;'Premissas Gerais'!$E$7,0,Receitas!N120/365*'Premissas Gerais'!$E$122)</f>
        <v>6283840.0804426866</v>
      </c>
      <c r="Q7" s="607">
        <f>IF(Q4&gt;'Premissas Gerais'!$E$7,0,Receitas!O120/365*'Premissas Gerais'!$E$122)</f>
        <v>6309528.4483683417</v>
      </c>
      <c r="R7" s="607">
        <f>IF(R4&gt;'Premissas Gerais'!$E$7,0,Receitas!P120/365*'Premissas Gerais'!$E$122)</f>
        <v>6324973.7999518402</v>
      </c>
      <c r="S7" s="607">
        <f>IF(S4&gt;'Premissas Gerais'!$E$7,0,Receitas!Q120/365*'Premissas Gerais'!$E$122)</f>
        <v>6340419.1515353369</v>
      </c>
      <c r="T7" s="607">
        <f>IF(T4&gt;'Premissas Gerais'!$E$7,0,Receitas!R120/365*'Premissas Gerais'!$E$122)</f>
        <v>6355864.5031188326</v>
      </c>
      <c r="U7" s="607">
        <f>IF(U4&gt;'Premissas Gerais'!$E$7,0,Receitas!S120/365*'Premissas Gerais'!$E$122)</f>
        <v>6371309.8547023274</v>
      </c>
      <c r="V7" s="607">
        <f>IF(V4&gt;'Premissas Gerais'!$E$7,0,Receitas!T120/365*'Premissas Gerais'!$E$122)</f>
        <v>6386839.775226918</v>
      </c>
      <c r="W7" s="607">
        <f>IF(W4&gt;'Premissas Gerais'!$E$7,0,Receitas!U120/365*'Premissas Gerais'!$E$122)</f>
        <v>6393703.6827919912</v>
      </c>
      <c r="X7" s="607">
        <f>IF(X4&gt;'Premissas Gerais'!$E$7,0,Receitas!V120/365*'Premissas Gerais'!$E$122)</f>
        <v>6400567.5903570661</v>
      </c>
      <c r="Y7" s="607">
        <f>IF(Y4&gt;'Premissas Gerais'!$E$7,0,Receitas!W120/365*'Premissas Gerais'!$E$122)</f>
        <v>6407431.4979221411</v>
      </c>
      <c r="Z7" s="607">
        <f>IF(Z4&gt;'Premissas Gerais'!$E$7,0,Receitas!X120/365*'Premissas Gerais'!$E$122)</f>
        <v>6414295.4054872151</v>
      </c>
      <c r="AA7" s="607">
        <f>IF(AA4&gt;'Premissas Gerais'!$E$7,0,Receitas!Y120/365*'Premissas Gerais'!$E$122)</f>
        <v>6421139.77351344</v>
      </c>
      <c r="AB7" s="607">
        <f>IF(AB4&gt;'Premissas Gerais'!$E$7,0,Receitas!Z120/365*'Premissas Gerais'!$E$122)</f>
        <v>6428003.681078515</v>
      </c>
      <c r="AC7" s="607">
        <f>IF(AC4&gt;'Premissas Gerais'!$E$7,0,Receitas!AA120/365*'Premissas Gerais'!$E$122)</f>
        <v>6434867.5886435909</v>
      </c>
      <c r="AD7" s="607">
        <f>IF(AD4&gt;'Premissas Gerais'!$E$7,0,Receitas!AB120/365*'Premissas Gerais'!$E$122)</f>
        <v>6441731.4962086659</v>
      </c>
      <c r="AE7" s="607">
        <f>IF(AE4&gt;'Premissas Gerais'!$E$7,0,Receitas!AC120/365*'Premissas Gerais'!$E$122)</f>
        <v>6448595.4037737399</v>
      </c>
      <c r="AF7" s="607">
        <f>IF(AF4&gt;'Premissas Gerais'!$E$7,0,Receitas!AD120/365*'Premissas Gerais'!$E$122)</f>
        <v>6455459.311338814</v>
      </c>
      <c r="AG7" s="607">
        <f>IF(AG4&gt;'Premissas Gerais'!$E$7,0,Receitas!AE120/365*'Premissas Gerais'!$E$122)</f>
        <v>6462323.2189038889</v>
      </c>
      <c r="AH7" s="607">
        <f>IF(AH4&gt;'Premissas Gerais'!$E$7,0,Receitas!AF120/365*'Premissas Gerais'!$E$122)</f>
        <v>6469187.1264689621</v>
      </c>
      <c r="AI7" s="607">
        <f>IF(AI4&gt;'Premissas Gerais'!$E$7,0,Receitas!AG120/365*'Premissas Gerais'!$E$122)</f>
        <v>6476051.0340340389</v>
      </c>
      <c r="AJ7" s="607">
        <f>IF(AJ4&gt;'Premissas Gerais'!$E$7,0,Receitas!AH120/365*'Premissas Gerais'!$E$122)</f>
        <v>6482914.941599112</v>
      </c>
    </row>
    <row r="8" spans="3:36" ht="9.75" customHeight="1" x14ac:dyDescent="0.35">
      <c r="C8" s="196"/>
      <c r="D8" s="608"/>
      <c r="E8" s="608"/>
      <c r="F8" s="608"/>
      <c r="G8" s="609"/>
      <c r="H8" s="609"/>
      <c r="I8" s="609"/>
      <c r="J8" s="609"/>
      <c r="K8" s="609"/>
      <c r="L8" s="609"/>
      <c r="M8" s="609"/>
      <c r="N8" s="609"/>
      <c r="O8" s="609"/>
      <c r="P8" s="609"/>
      <c r="Q8" s="609"/>
      <c r="R8" s="609"/>
      <c r="S8" s="609"/>
      <c r="T8" s="609"/>
      <c r="U8" s="609"/>
      <c r="V8" s="609"/>
      <c r="W8" s="609"/>
      <c r="X8" s="609"/>
      <c r="Y8" s="609"/>
      <c r="Z8" s="609"/>
      <c r="AA8" s="609"/>
      <c r="AB8" s="609"/>
      <c r="AC8" s="609"/>
      <c r="AD8" s="609"/>
      <c r="AE8" s="609"/>
      <c r="AF8" s="609"/>
      <c r="AG8" s="609"/>
      <c r="AH8" s="609"/>
      <c r="AI8" s="609"/>
      <c r="AJ8" s="609"/>
    </row>
    <row r="9" spans="3:36" x14ac:dyDescent="0.35">
      <c r="C9" s="145" t="s">
        <v>597</v>
      </c>
      <c r="D9" s="146"/>
      <c r="E9" s="146"/>
      <c r="F9" s="146"/>
      <c r="G9" s="504">
        <f>SUM(G10:G12)</f>
        <v>2807149.5287898178</v>
      </c>
      <c r="H9" s="504">
        <f t="shared" ref="H9:AI9" si="2">SUM(H10:H12)</f>
        <v>2784878.3503147871</v>
      </c>
      <c r="I9" s="504">
        <f t="shared" si="2"/>
        <v>2668936.9456162173</v>
      </c>
      <c r="J9" s="504">
        <f t="shared" si="2"/>
        <v>2687875.5507065896</v>
      </c>
      <c r="K9" s="504">
        <f t="shared" si="2"/>
        <v>2294318.3338294476</v>
      </c>
      <c r="L9" s="504">
        <f t="shared" si="2"/>
        <v>2286688.4782322678</v>
      </c>
      <c r="M9" s="504">
        <f t="shared" si="2"/>
        <v>2291852.122959828</v>
      </c>
      <c r="N9" s="504">
        <f t="shared" si="2"/>
        <v>2467214.1619624849</v>
      </c>
      <c r="O9" s="504">
        <f t="shared" si="2"/>
        <v>2535916.6568416608</v>
      </c>
      <c r="P9" s="504">
        <f t="shared" si="2"/>
        <v>2531934.5902852654</v>
      </c>
      <c r="Q9" s="504">
        <f t="shared" si="2"/>
        <v>2538920.9962336519</v>
      </c>
      <c r="R9" s="504">
        <f t="shared" si="2"/>
        <v>2537638.3274527513</v>
      </c>
      <c r="S9" s="504">
        <f t="shared" si="2"/>
        <v>2539878.3927953593</v>
      </c>
      <c r="T9" s="504">
        <f t="shared" si="2"/>
        <v>2542453.7038863888</v>
      </c>
      <c r="U9" s="504">
        <f t="shared" si="2"/>
        <v>2552471.5082348362</v>
      </c>
      <c r="V9" s="504">
        <f t="shared" si="2"/>
        <v>2546649.5914852587</v>
      </c>
      <c r="W9" s="504">
        <f t="shared" si="2"/>
        <v>2637056.6522015352</v>
      </c>
      <c r="X9" s="504">
        <f t="shared" si="2"/>
        <v>2548689.5031075217</v>
      </c>
      <c r="Y9" s="504">
        <f t="shared" si="2"/>
        <v>2549108.1804935895</v>
      </c>
      <c r="Z9" s="504">
        <f t="shared" si="2"/>
        <v>2574981.624267465</v>
      </c>
      <c r="AA9" s="504">
        <f t="shared" si="2"/>
        <v>2552024.5573363528</v>
      </c>
      <c r="AB9" s="504">
        <f t="shared" si="2"/>
        <v>2551604.9255119907</v>
      </c>
      <c r="AC9" s="504">
        <f t="shared" si="2"/>
        <v>2553332.3373059612</v>
      </c>
      <c r="AD9" s="504">
        <f t="shared" si="2"/>
        <v>2553727.4390608128</v>
      </c>
      <c r="AE9" s="504">
        <f t="shared" si="2"/>
        <v>2650934.9203864587</v>
      </c>
      <c r="AF9" s="504">
        <f t="shared" si="2"/>
        <v>2540537.7629190194</v>
      </c>
      <c r="AG9" s="504">
        <f t="shared" si="2"/>
        <v>2548566.7095342195</v>
      </c>
      <c r="AH9" s="504">
        <f t="shared" si="2"/>
        <v>2556540.7254650723</v>
      </c>
      <c r="AI9" s="504">
        <f t="shared" si="2"/>
        <v>2557734.1139806965</v>
      </c>
      <c r="AJ9" s="504">
        <f>SUM(AJ10:AJ12)</f>
        <v>2509920.4491520943</v>
      </c>
    </row>
    <row r="10" spans="3:36" x14ac:dyDescent="0.35">
      <c r="C10" s="194"/>
      <c r="D10" s="606" t="s">
        <v>152</v>
      </c>
      <c r="E10" s="606"/>
      <c r="F10" s="606"/>
      <c r="G10" s="610">
        <f>IF(G4&gt;'Premissas Gerais'!$E$7,0,'CAPEX E OPEX'!F256*'Capital de Giro'!$G$18/365*'Premissas Gerais'!$E$123)</f>
        <v>989855.36643451336</v>
      </c>
      <c r="H10" s="607">
        <f>IF(H4&gt;'Premissas Gerais'!$E$7,0,'CAPEX E OPEX'!G256*'Capital de Giro'!$G$18/365*'Premissas Gerais'!$E$123)</f>
        <v>967933.94629067904</v>
      </c>
      <c r="I10" s="610">
        <f>IF(I4&gt;'Premissas Gerais'!$E$7,0,'CAPEX E OPEX'!H256*'Capital de Giro'!$G$18/365*'Premissas Gerais'!$E$123)</f>
        <v>887193.88056443469</v>
      </c>
      <c r="J10" s="610">
        <f>IF(J4&gt;'Premissas Gerais'!$E$7,0,'CAPEX E OPEX'!I256*'Capital de Giro'!$G$18/365*'Premissas Gerais'!$E$123)</f>
        <v>886735.44440022146</v>
      </c>
      <c r="K10" s="610">
        <f>IF(K4&gt;'Premissas Gerais'!$E$7,0,'CAPEX E OPEX'!J256*'Capital de Giro'!$G$18/365*'Premissas Gerais'!$E$123)</f>
        <v>645915.22108182427</v>
      </c>
      <c r="L10" s="610">
        <f>IF(L4&gt;'Premissas Gerais'!$E$7,0,'CAPEX E OPEX'!K256*'Capital de Giro'!$G$18/365*'Premissas Gerais'!$E$123)</f>
        <v>640227.42181350791</v>
      </c>
      <c r="M10" s="610">
        <f>IF(M4&gt;'Premissas Gerais'!$E$7,0,'CAPEX E OPEX'!L256*'Capital de Giro'!$G$18/365*'Premissas Gerais'!$E$123)</f>
        <v>640397.28831096878</v>
      </c>
      <c r="N10" s="610">
        <f>IF(N4&gt;'Premissas Gerais'!$E$7,0,'CAPEX E OPEX'!M256*'Capital de Giro'!$G$18/365*'Premissas Gerais'!$E$123)</f>
        <v>712302.54282487102</v>
      </c>
      <c r="O10" s="610">
        <f>IF(O4&gt;'Premissas Gerais'!$E$7,0,'CAPEX E OPEX'!N256*'Capital de Giro'!$G$18/365*'Premissas Gerais'!$E$123)</f>
        <v>701693.37933848822</v>
      </c>
      <c r="P10" s="610">
        <f>IF(P4&gt;'Premissas Gerais'!$E$7,0,'CAPEX E OPEX'!O256*'Capital de Giro'!$G$18/365*'Premissas Gerais'!$E$123)</f>
        <v>704179.04549565818</v>
      </c>
      <c r="Q10" s="610">
        <f>IF(Q4&gt;'Premissas Gerais'!$E$7,0,'CAPEX E OPEX'!P256*'Capital de Giro'!$G$18/365*'Premissas Gerais'!$E$123)</f>
        <v>738407.79989249608</v>
      </c>
      <c r="R10" s="610">
        <f>IF(R4&gt;'Premissas Gerais'!$E$7,0,'CAPEX E OPEX'!Q256*'Capital de Giro'!$G$18/365*'Premissas Gerais'!$E$123)</f>
        <v>737121.68395931472</v>
      </c>
      <c r="S10" s="610">
        <f>IF(S4&gt;'Premissas Gerais'!$E$7,0,'CAPEX E OPEX'!R256*'Capital de Giro'!$G$18/365*'Premissas Gerais'!$E$123)</f>
        <v>737305.59286298871</v>
      </c>
      <c r="T10" s="610">
        <f>IF(T4&gt;'Premissas Gerais'!$E$7,0,'CAPEX E OPEX'!S256*'Capital de Giro'!$G$18/365*'Premissas Gerais'!$E$123)</f>
        <v>737629.39866474015</v>
      </c>
      <c r="U10" s="610">
        <f>IF(U4&gt;'Premissas Gerais'!$E$7,0,'CAPEX E OPEX'!T256*'Capital de Giro'!$G$18/365*'Premissas Gerais'!$E$123)</f>
        <v>741058.9313118757</v>
      </c>
      <c r="V10" s="610">
        <f>IF(V4&gt;'Premissas Gerais'!$E$7,0,'CAPEX E OPEX'!U256*'Capital de Giro'!$G$18/365*'Premissas Gerais'!$E$123)</f>
        <v>737874.59389044321</v>
      </c>
      <c r="W10" s="610">
        <f>IF(W4&gt;'Premissas Gerais'!$E$7,0,'CAPEX E OPEX'!V256*'Capital de Giro'!$G$18/365*'Premissas Gerais'!$E$123)</f>
        <v>739076.02847777284</v>
      </c>
      <c r="X10" s="610">
        <f>IF(X4&gt;'Premissas Gerais'!$E$7,0,'CAPEX E OPEX'!W256*'Capital de Giro'!$G$18/365*'Premissas Gerais'!$E$123)</f>
        <v>738097.13474962523</v>
      </c>
      <c r="Y10" s="610">
        <f>IF(Y4&gt;'Premissas Gerais'!$E$7,0,'CAPEX E OPEX'!X256*'Capital de Giro'!$G$18/365*'Premissas Gerais'!$E$123)</f>
        <v>737957.49375992664</v>
      </c>
      <c r="Z10" s="610">
        <f>IF(Z4&gt;'Premissas Gerais'!$E$7,0,'CAPEX E OPEX'!Y256*'Capital de Giro'!$G$18/365*'Premissas Gerais'!$E$123)</f>
        <v>741356.19865680346</v>
      </c>
      <c r="AA10" s="610">
        <f>IF(AA4&gt;'Premissas Gerais'!$E$7,0,'CAPEX E OPEX'!Z256*'Capital de Giro'!$G$18/365*'Premissas Gerais'!$E$123)</f>
        <v>738546.3945537809</v>
      </c>
      <c r="AB10" s="610">
        <f>IF(AB4&gt;'Premissas Gerais'!$E$7,0,'CAPEX E OPEX'!AA256*'Capital de Giro'!$G$18/365*'Premissas Gerais'!$E$123)</f>
        <v>738056.93001308758</v>
      </c>
      <c r="AC10" s="610">
        <f>IF(AC4&gt;'Premissas Gerais'!$E$7,0,'CAPEX E OPEX'!AB256*'Capital de Giro'!$G$18/365*'Premissas Gerais'!$E$123)</f>
        <v>738463.4193917372</v>
      </c>
      <c r="AD10" s="610">
        <f>IF(AD4&gt;'Premissas Gerais'!$E$7,0,'CAPEX E OPEX'!AC256*'Capital de Giro'!$G$18/365*'Premissas Gerais'!$E$123)</f>
        <v>738313.94037219672</v>
      </c>
      <c r="AE10" s="610">
        <f>IF(AE4&gt;'Premissas Gerais'!$E$7,0,'CAPEX E OPEX'!AD256*'Capital de Giro'!$G$18/365*'Premissas Gerais'!$E$123)</f>
        <v>742353.1670966401</v>
      </c>
      <c r="AF10" s="610">
        <f>IF(AF4&gt;'Premissas Gerais'!$E$7,0,'CAPEX E OPEX'!AE256*'Capital de Giro'!$G$18/365*'Premissas Gerais'!$E$123)</f>
        <v>738327.19989362103</v>
      </c>
      <c r="AG10" s="610">
        <f>IF(AG4&gt;'Premissas Gerais'!$E$7,0,'CAPEX E OPEX'!AF256*'Capital de Giro'!$G$18/365*'Premissas Gerais'!$E$123)</f>
        <v>738221.09503725427</v>
      </c>
      <c r="AH10" s="610">
        <f>IF(AH4&gt;'Premissas Gerais'!$E$7,0,'CAPEX E OPEX'!AG256*'Capital de Giro'!$G$18/365*'Premissas Gerais'!$E$123)</f>
        <v>738253.72553659033</v>
      </c>
      <c r="AI10" s="610">
        <f>IF(AI4&gt;'Premissas Gerais'!$E$7,0,'CAPEX E OPEX'!AH256*'Capital de Giro'!$G$18/365*'Premissas Gerais'!$E$123)</f>
        <v>738414.14392292046</v>
      </c>
      <c r="AJ10" s="610">
        <f>IF(AJ4&gt;'Premissas Gerais'!$E$7,0,'CAPEX E OPEX'!AI256*'Capital de Giro'!$G$18/365*'Premissas Gerais'!$E$123)</f>
        <v>741631.97590610874</v>
      </c>
    </row>
    <row r="11" spans="3:36" x14ac:dyDescent="0.35">
      <c r="C11" s="199"/>
      <c r="D11" s="611" t="s">
        <v>598</v>
      </c>
      <c r="E11" s="611"/>
      <c r="F11" s="611"/>
      <c r="G11" s="612">
        <f>IF(G4&gt;'Premissas Gerais'!$E$7,0,('CAPEX E OPEX'!F256)*(1-'Capital de Giro'!$G$18)/365*'Premissas Gerais'!$E$124)</f>
        <v>1382211.5464867873</v>
      </c>
      <c r="H11" s="612">
        <f>IF(H4&gt;'Premissas Gerais'!$E$7,0,('CAPEX E OPEX'!G256)*(1-'Capital de Giro'!$G$18)/365*'Premissas Gerais'!$E$124)</f>
        <v>1351600.9734014107</v>
      </c>
      <c r="I11" s="612">
        <f>IF(I4&gt;'Premissas Gerais'!$E$7,0,('CAPEX E OPEX'!H256)*(1-'Capital de Giro'!$G$18)/365*'Premissas Gerais'!$E$124)</f>
        <v>1238857.3798470281</v>
      </c>
      <c r="J11" s="612">
        <f>IF(J4&gt;'Premissas Gerais'!$E$7,0,('CAPEX E OPEX'!I256)*(1-'Capital de Giro'!$G$18)/365*'Premissas Gerais'!$E$124)</f>
        <v>1238217.2300019197</v>
      </c>
      <c r="K11" s="612">
        <f>IF(K4&gt;'Premissas Gerais'!$E$7,0,('CAPEX E OPEX'!J256)*(1-'Capital de Giro'!$G$18)/365*'Premissas Gerais'!$E$124)</f>
        <v>901941.34103320877</v>
      </c>
      <c r="L11" s="612">
        <f>IF(L4&gt;'Premissas Gerais'!$E$7,0,('CAPEX E OPEX'!K256)*(1-'Capital de Giro'!$G$18)/365*'Premissas Gerais'!$E$124)</f>
        <v>893999.02734844899</v>
      </c>
      <c r="M11" s="612">
        <f>IF(M4&gt;'Premissas Gerais'!$E$7,0,('CAPEX E OPEX'!L256)*(1-'Capital de Giro'!$G$18)/365*'Premissas Gerais'!$E$124)</f>
        <v>894236.22506653331</v>
      </c>
      <c r="N11" s="612">
        <f>IF(N4&gt;'Premissas Gerais'!$E$7,0,('CAPEX E OPEX'!M256)*(1-'Capital de Giro'!$G$18)/365*'Premissas Gerais'!$E$124)</f>
        <v>994643.08895028033</v>
      </c>
      <c r="O11" s="612">
        <f>IF(O4&gt;'Premissas Gerais'!$E$7,0,('CAPEX E OPEX'!N256)*(1-'Capital de Giro'!$G$18)/365*'Premissas Gerais'!$E$124)</f>
        <v>979828.69407331455</v>
      </c>
      <c r="P11" s="612">
        <f>IF(P4&gt;'Premissas Gerais'!$E$7,0,('CAPEX E OPEX'!O256)*(1-'Capital de Giro'!$G$18)/365*'Premissas Gerais'!$E$124)</f>
        <v>983299.6218266564</v>
      </c>
      <c r="Q11" s="612">
        <f>IF(Q4&gt;'Premissas Gerais'!$E$7,0,('CAPEX E OPEX'!P256)*(1-'Capital de Giro'!$G$18)/365*'Premissas Gerais'!$E$124)</f>
        <v>1031095.8768690336</v>
      </c>
      <c r="R11" s="612">
        <f>IF(R4&gt;'Premissas Gerais'!$E$7,0,('CAPEX E OPEX'!Q256)*(1-'Capital de Giro'!$G$18)/365*'Premissas Gerais'!$E$124)</f>
        <v>1029299.9737974897</v>
      </c>
      <c r="S11" s="612">
        <f>IF(S4&gt;'Premissas Gerais'!$E$7,0,('CAPEX E OPEX'!R256)*(1-'Capital de Giro'!$G$18)/365*'Premissas Gerais'!$E$124)</f>
        <v>1029556.7800125994</v>
      </c>
      <c r="T11" s="612">
        <f>IF(T4&gt;'Premissas Gerais'!$E$7,0,('CAPEX E OPEX'!S256)*(1-'Capital de Giro'!$G$18)/365*'Premissas Gerais'!$E$124)</f>
        <v>1030008.9350780532</v>
      </c>
      <c r="U11" s="612">
        <f>IF(U4&gt;'Premissas Gerais'!$E$7,0,('CAPEX E OPEX'!T256)*(1-'Capital de Giro'!$G$18)/365*'Premissas Gerais'!$E$124)</f>
        <v>1034797.8565555406</v>
      </c>
      <c r="V11" s="612">
        <f>IF(V4&gt;'Premissas Gerais'!$E$7,0,('CAPEX E OPEX'!U256)*(1-'Capital de Giro'!$G$18)/365*'Premissas Gerais'!$E$124)</f>
        <v>1030351.3201209622</v>
      </c>
      <c r="W11" s="612">
        <f>IF(W4&gt;'Premissas Gerais'!$E$7,0,('CAPEX E OPEX'!V256)*(1-'Capital de Giro'!$G$18)/365*'Premissas Gerais'!$E$124)</f>
        <v>1032028.976084921</v>
      </c>
      <c r="X11" s="612">
        <f>IF(X4&gt;'Premissas Gerais'!$E$7,0,('CAPEX E OPEX'!W256)*(1-'Capital de Giro'!$G$18)/365*'Premissas Gerais'!$E$124)</f>
        <v>1030662.0711211152</v>
      </c>
      <c r="Y11" s="612">
        <f>IF(Y4&gt;'Premissas Gerais'!$E$7,0,('CAPEX E OPEX'!X256)*(1-'Capital de Giro'!$G$18)/365*'Premissas Gerais'!$E$124)</f>
        <v>1030467.0796154176</v>
      </c>
      <c r="Z11" s="612">
        <f>IF(Z4&gt;'Premissas Gerais'!$E$7,0,('CAPEX E OPEX'!Y256)*(1-'Capital de Giro'!$G$18)/365*'Premissas Gerais'!$E$124)</f>
        <v>1035212.9539227777</v>
      </c>
      <c r="AA11" s="612">
        <f>IF(AA4&gt;'Premissas Gerais'!$E$7,0,('CAPEX E OPEX'!Z256)*(1-'Capital de Giro'!$G$18)/365*'Premissas Gerais'!$E$124)</f>
        <v>1031289.4073055048</v>
      </c>
      <c r="AB11" s="612">
        <f>IF(AB4&gt;'Premissas Gerais'!$E$7,0,('CAPEX E OPEX'!AA256)*(1-'Capital de Giro'!$G$18)/365*'Premissas Gerais'!$E$124)</f>
        <v>1030605.9301403719</v>
      </c>
      <c r="AC11" s="612">
        <f>IF(AC4&gt;'Premissas Gerais'!$E$7,0,('CAPEX E OPEX'!AB256)*(1-'Capital de Giro'!$G$18)/365*'Premissas Gerais'!$E$124)</f>
        <v>1031173.5426742287</v>
      </c>
      <c r="AD11" s="612">
        <f>IF(AD4&gt;'Premissas Gerais'!$E$7,0,('CAPEX E OPEX'!AC256)*(1-'Capital de Giro'!$G$18)/365*'Premissas Gerais'!$E$124)</f>
        <v>1030964.8135671567</v>
      </c>
      <c r="AE11" s="612">
        <f>IF(AE4&gt;'Premissas Gerais'!$E$7,0,('CAPEX E OPEX'!AD256)*(1-'Capital de Giro'!$G$18)/365*'Premissas Gerais'!$E$124)</f>
        <v>1036605.0980033709</v>
      </c>
      <c r="AF11" s="612">
        <f>IF(AF4&gt;'Premissas Gerais'!$E$7,0,('CAPEX E OPEX'!AE256)*(1-'Capital de Giro'!$G$18)/365*'Premissas Gerais'!$E$124)</f>
        <v>1030983.3288616484</v>
      </c>
      <c r="AG11" s="612">
        <f>IF(AG4&gt;'Premissas Gerais'!$E$7,0,('CAPEX E OPEX'!AF256)*(1-'Capital de Giro'!$G$18)/365*'Premissas Gerais'!$E$124)</f>
        <v>1030835.1664506723</v>
      </c>
      <c r="AH11" s="612">
        <f>IF(AH4&gt;'Premissas Gerais'!$E$7,0,('CAPEX E OPEX'!AG256)*(1-'Capital de Giro'!$G$18)/365*'Premissas Gerais'!$E$124)</f>
        <v>1030880.7309386566</v>
      </c>
      <c r="AI11" s="612">
        <f>IF(AI4&gt;'Premissas Gerais'!$E$7,0,('CAPEX E OPEX'!AH256)*(1-'Capital de Giro'!$G$18)/365*'Premissas Gerais'!$E$124)</f>
        <v>1031104.7355289969</v>
      </c>
      <c r="AJ11" s="612">
        <f>IF(AJ4&gt;'Premissas Gerais'!$E$7,0,('CAPEX E OPEX'!AI256)*(1-'Capital de Giro'!$G$18)/365*'Premissas Gerais'!$E$124)</f>
        <v>1035598.0430086924</v>
      </c>
    </row>
    <row r="12" spans="3:36" x14ac:dyDescent="0.35">
      <c r="C12" s="196"/>
      <c r="D12" s="613" t="s">
        <v>599</v>
      </c>
      <c r="E12" s="613"/>
      <c r="F12" s="613"/>
      <c r="G12" s="614">
        <f>IF('Tributos-LP'!G39="LP",'Tributos-LP'!G36/365*'Premissas Gerais'!$E$125,'Tributos-LR'!G68/365*'Premissas Gerais'!$E$125)</f>
        <v>435082.6158685172</v>
      </c>
      <c r="H12" s="614">
        <f>IF('Tributos-LP'!H39="LP",'Tributos-LP'!H36/365*'Premissas Gerais'!$E$125,'Tributos-LR'!H68/365*'Premissas Gerais'!$E$125)</f>
        <v>465343.43062269734</v>
      </c>
      <c r="I12" s="614">
        <f>IF('Tributos-LP'!I39="LP",'Tributos-LP'!I36/365*'Premissas Gerais'!$E$125,'Tributos-LR'!I68/365*'Premissas Gerais'!$E$125)</f>
        <v>542885.6852047547</v>
      </c>
      <c r="J12" s="614">
        <f>IF('Tributos-LP'!J39="LP",'Tributos-LP'!J36/365*'Premissas Gerais'!$E$125,'Tributos-LR'!J68/365*'Premissas Gerais'!$E$125)</f>
        <v>562922.87630444847</v>
      </c>
      <c r="K12" s="614">
        <f>IF('Tributos-LP'!K39="LP",'Tributos-LP'!K36/365*'Premissas Gerais'!$E$125,'Tributos-LR'!K68/365*'Premissas Gerais'!$E$125)</f>
        <v>746461.77171441447</v>
      </c>
      <c r="L12" s="614">
        <f>IF('Tributos-LP'!L39="LP",'Tributos-LP'!L36/365*'Premissas Gerais'!$E$125,'Tributos-LR'!L68/365*'Premissas Gerais'!$E$125)</f>
        <v>752462.02907031088</v>
      </c>
      <c r="M12" s="614">
        <f>IF('Tributos-LP'!M39="LP",'Tributos-LP'!M36/365*'Premissas Gerais'!$E$125,'Tributos-LR'!M68/365*'Premissas Gerais'!$E$125)</f>
        <v>757218.60958232591</v>
      </c>
      <c r="N12" s="614">
        <f>IF('Tributos-LP'!N39="LP",'Tributos-LP'!N36/365*'Premissas Gerais'!$E$125,'Tributos-LR'!N68/365*'Premissas Gerais'!$E$125)</f>
        <v>760268.53018733324</v>
      </c>
      <c r="O12" s="614">
        <f>IF('Tributos-LP'!O39="LP",'Tributos-LP'!O36/365*'Premissas Gerais'!$E$125,'Tributos-LR'!O68/365*'Premissas Gerais'!$E$125)</f>
        <v>854394.58342985809</v>
      </c>
      <c r="P12" s="614">
        <f>IF('Tributos-LP'!P39="LP",'Tributos-LP'!P36/365*'Premissas Gerais'!$E$125,'Tributos-LR'!P68/365*'Premissas Gerais'!$E$125)</f>
        <v>844455.92296295066</v>
      </c>
      <c r="Q12" s="614">
        <f>IF('Tributos-LP'!Q39="LP",'Tributos-LP'!Q36/365*'Premissas Gerais'!$E$125,'Tributos-LR'!Q68/365*'Premissas Gerais'!$E$125)</f>
        <v>769417.31947212236</v>
      </c>
      <c r="R12" s="614">
        <f>IF('Tributos-LP'!R39="LP",'Tributos-LP'!R36/365*'Premissas Gerais'!$E$125,'Tributos-LR'!R68/365*'Premissas Gerais'!$E$125)</f>
        <v>771216.66969594685</v>
      </c>
      <c r="S12" s="614">
        <f>IF('Tributos-LP'!S39="LP",'Tributos-LP'!S36/365*'Premissas Gerais'!$E$125,'Tributos-LR'!S68/365*'Premissas Gerais'!$E$125)</f>
        <v>773016.01991977135</v>
      </c>
      <c r="T12" s="614">
        <f>IF('Tributos-LP'!T39="LP",'Tributos-LP'!T36/365*'Premissas Gerais'!$E$125,'Tributos-LR'!T68/365*'Premissas Gerais'!$E$125)</f>
        <v>774815.37014359538</v>
      </c>
      <c r="U12" s="614">
        <f>IF('Tributos-LP'!U39="LP",'Tributos-LP'!U36/365*'Premissas Gerais'!$E$125,'Tributos-LR'!U68/365*'Premissas Gerais'!$E$125)</f>
        <v>776614.72036741977</v>
      </c>
      <c r="V12" s="614">
        <f>IF('Tributos-LP'!V39="LP",'Tributos-LP'!V36/365*'Premissas Gerais'!$E$125,'Tributos-LR'!V68/365*'Premissas Gerais'!$E$125)</f>
        <v>778423.67747385346</v>
      </c>
      <c r="W12" s="614">
        <f>IF('Tributos-LP'!W39="LP",'Tributos-LP'!W36/365*'Premissas Gerais'!$E$125,'Tributos-LR'!W68/365*'Premissas Gerais'!$E$125)</f>
        <v>865951.64763884153</v>
      </c>
      <c r="X12" s="614">
        <f>IF('Tributos-LP'!X39="LP",'Tributos-LP'!X36/365*'Premissas Gerais'!$E$125,'Tributos-LR'!X68/365*'Premissas Gerais'!$E$125)</f>
        <v>779930.29723678133</v>
      </c>
      <c r="Y12" s="614">
        <f>IF('Tributos-LP'!Y39="LP",'Tributos-LP'!Y36/365*'Premissas Gerais'!$E$125,'Tributos-LR'!Y68/365*'Premissas Gerais'!$E$125)</f>
        <v>780683.60711824533</v>
      </c>
      <c r="Z12" s="614">
        <f>IF('Tributos-LP'!Z39="LP",'Tributos-LP'!Z36/365*'Premissas Gerais'!$E$125,'Tributos-LR'!Z68/365*'Premissas Gerais'!$E$125)</f>
        <v>798412.47168788384</v>
      </c>
      <c r="AA12" s="614">
        <f>IF('Tributos-LP'!AA39="LP",'Tributos-LP'!AA36/365*'Premissas Gerais'!$E$125,'Tributos-LR'!AA68/365*'Premissas Gerais'!$E$125)</f>
        <v>782188.75547706708</v>
      </c>
      <c r="AB12" s="614">
        <f>IF('Tributos-LP'!AB39="LP",'Tributos-LP'!AB36/365*'Premissas Gerais'!$E$125,'Tributos-LR'!AB68/365*'Premissas Gerais'!$E$125)</f>
        <v>782942.06535853108</v>
      </c>
      <c r="AC12" s="614">
        <f>IF('Tributos-LP'!AC39="LP",'Tributos-LP'!AC36/365*'Premissas Gerais'!$E$125,'Tributos-LR'!AC68/365*'Premissas Gerais'!$E$125)</f>
        <v>783695.37523999508</v>
      </c>
      <c r="AD12" s="614">
        <f>IF('Tributos-LP'!AD39="LP",'Tributos-LP'!AD36/365*'Premissas Gerais'!$E$125,'Tributos-LR'!AD68/365*'Premissas Gerais'!$E$125)</f>
        <v>784448.68512145919</v>
      </c>
      <c r="AE12" s="614">
        <f>IF('Tributos-LP'!AE39="LP",'Tributos-LP'!AE36/365*'Premissas Gerais'!$E$125,'Tributos-LR'!AE68/365*'Premissas Gerais'!$E$125)</f>
        <v>871976.65528644749</v>
      </c>
      <c r="AF12" s="614">
        <f>IF('Tributos-LP'!AF39="LP",'Tributos-LP'!AF36/365*'Premissas Gerais'!$E$125,'Tributos-LR'!AF68/365*'Premissas Gerais'!$E$125)</f>
        <v>771227.23416375008</v>
      </c>
      <c r="AG12" s="614">
        <f>IF('Tributos-LP'!AG39="LP",'Tributos-LP'!AG36/365*'Premissas Gerais'!$E$125,'Tributos-LR'!AG68/365*'Premissas Gerais'!$E$125)</f>
        <v>779510.44804629288</v>
      </c>
      <c r="AH12" s="614">
        <f>IF('Tributos-LP'!AH39="LP",'Tributos-LP'!AH36/365*'Premissas Gerais'!$E$125,'Tributos-LR'!AH68/365*'Premissas Gerais'!$E$125)</f>
        <v>787406.26898982539</v>
      </c>
      <c r="AI12" s="614">
        <f>IF('Tributos-LP'!AI39="LP",'Tributos-LP'!AI36/365*'Premissas Gerais'!$E$125,'Tributos-LR'!AI68/365*'Premissas Gerais'!$E$125)</f>
        <v>788215.23452877929</v>
      </c>
      <c r="AJ12" s="614">
        <f>IF('Tributos-LP'!AJ39="LP",'Tributos-LP'!AJ36/365*'Premissas Gerais'!$E$125,'Tributos-LR'!AJ68/365*'Premissas Gerais'!$E$125)</f>
        <v>732690.43023729324</v>
      </c>
    </row>
    <row r="13" spans="3:36" ht="10.5" customHeight="1" x14ac:dyDescent="0.35">
      <c r="C13" s="196"/>
      <c r="D13" s="608"/>
      <c r="E13" s="608"/>
      <c r="F13" s="608"/>
      <c r="G13" s="608"/>
      <c r="H13" s="608"/>
      <c r="I13" s="608"/>
      <c r="J13" s="608"/>
      <c r="K13" s="608"/>
      <c r="L13" s="608"/>
      <c r="M13" s="608"/>
      <c r="N13" s="608"/>
      <c r="O13" s="608"/>
      <c r="P13" s="608"/>
      <c r="Q13" s="608"/>
      <c r="R13" s="608"/>
      <c r="S13" s="608"/>
      <c r="T13" s="608"/>
      <c r="U13" s="608"/>
      <c r="V13" s="608"/>
      <c r="W13" s="608"/>
      <c r="X13" s="608"/>
      <c r="Y13" s="608"/>
      <c r="Z13" s="608"/>
      <c r="AA13" s="608"/>
      <c r="AB13" s="608"/>
      <c r="AC13" s="608"/>
      <c r="AD13" s="608"/>
      <c r="AE13" s="608"/>
      <c r="AF13" s="608"/>
      <c r="AG13" s="608"/>
      <c r="AH13" s="608"/>
      <c r="AI13" s="608"/>
      <c r="AJ13" s="608"/>
    </row>
    <row r="14" spans="3:36" ht="15" thickBot="1" x14ac:dyDescent="0.4">
      <c r="C14" s="177" t="s">
        <v>600</v>
      </c>
      <c r="D14" s="177"/>
      <c r="E14" s="177"/>
      <c r="F14" s="615"/>
      <c r="G14" s="514">
        <f>G6-G9</f>
        <v>2509042.5639457121</v>
      </c>
      <c r="H14" s="514">
        <f t="shared" ref="H14:AH14" si="3">H6-H9</f>
        <v>3012315.9249835112</v>
      </c>
      <c r="I14" s="514">
        <f t="shared" si="3"/>
        <v>3283561.3185867677</v>
      </c>
      <c r="J14" s="514">
        <f t="shared" si="3"/>
        <v>3358517.4496263089</v>
      </c>
      <c r="K14" s="514">
        <f t="shared" si="3"/>
        <v>3814149.1066866238</v>
      </c>
      <c r="L14" s="514">
        <f t="shared" si="3"/>
        <v>3876756.3529403522</v>
      </c>
      <c r="M14" s="514">
        <f t="shared" si="3"/>
        <v>3914905.5081103751</v>
      </c>
      <c r="N14" s="514">
        <f t="shared" si="3"/>
        <v>3765237.6188985454</v>
      </c>
      <c r="O14" s="514">
        <f t="shared" si="3"/>
        <v>3722229.2738101995</v>
      </c>
      <c r="P14" s="514">
        <f t="shared" si="3"/>
        <v>3751905.4901574212</v>
      </c>
      <c r="Q14" s="514">
        <f t="shared" si="3"/>
        <v>3770607.4521346898</v>
      </c>
      <c r="R14" s="514">
        <f t="shared" si="3"/>
        <v>3787335.4724990888</v>
      </c>
      <c r="S14" s="514">
        <f t="shared" si="3"/>
        <v>3800540.7587399776</v>
      </c>
      <c r="T14" s="514">
        <f t="shared" si="3"/>
        <v>3813410.7992324438</v>
      </c>
      <c r="U14" s="514">
        <f t="shared" si="3"/>
        <v>3818838.3464674912</v>
      </c>
      <c r="V14" s="514">
        <f t="shared" si="3"/>
        <v>3840190.1837416594</v>
      </c>
      <c r="W14" s="514">
        <f t="shared" si="3"/>
        <v>3756647.030590456</v>
      </c>
      <c r="X14" s="514">
        <f t="shared" si="3"/>
        <v>3851878.0872495444</v>
      </c>
      <c r="Y14" s="514">
        <f t="shared" si="3"/>
        <v>3858323.3174285516</v>
      </c>
      <c r="Z14" s="514">
        <f t="shared" si="3"/>
        <v>3839313.7812197502</v>
      </c>
      <c r="AA14" s="514">
        <f t="shared" si="3"/>
        <v>3869115.2161770873</v>
      </c>
      <c r="AB14" s="514">
        <f t="shared" si="3"/>
        <v>3876398.7555665243</v>
      </c>
      <c r="AC14" s="514">
        <f t="shared" si="3"/>
        <v>3881535.2513376297</v>
      </c>
      <c r="AD14" s="514">
        <f t="shared" si="3"/>
        <v>3888004.0571478531</v>
      </c>
      <c r="AE14" s="514">
        <f t="shared" si="3"/>
        <v>3797660.4833872812</v>
      </c>
      <c r="AF14" s="514">
        <f t="shared" si="3"/>
        <v>3914921.5484197945</v>
      </c>
      <c r="AG14" s="514">
        <f t="shared" si="3"/>
        <v>3913756.5093696695</v>
      </c>
      <c r="AH14" s="514">
        <f t="shared" si="3"/>
        <v>3912646.4010038897</v>
      </c>
      <c r="AI14" s="514">
        <f>AI6-AI9</f>
        <v>3918316.9200533424</v>
      </c>
      <c r="AJ14" s="514">
        <f>AJ6-AJ9</f>
        <v>3972994.4924470177</v>
      </c>
    </row>
    <row r="15" spans="3:36" ht="5.25" customHeight="1" thickTop="1" x14ac:dyDescent="0.35">
      <c r="C15" s="79"/>
      <c r="D15" s="79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</row>
    <row r="16" spans="3:36" ht="15" thickBot="1" x14ac:dyDescent="0.4">
      <c r="C16" s="616" t="s">
        <v>601</v>
      </c>
      <c r="D16" s="617"/>
      <c r="E16" s="617"/>
      <c r="F16" s="617"/>
      <c r="G16" s="618">
        <f>G14</f>
        <v>2509042.5639457121</v>
      </c>
      <c r="H16" s="618">
        <f>IF(H4&gt;'Premissas Gerais'!$E$7,0,IF(H4='Premissas Gerais'!$E$7,-'Capital de Giro'!H14+H14-'Capital de Giro'!G14,'Capital de Giro'!H14-'Capital de Giro'!G14))</f>
        <v>503273.36103779916</v>
      </c>
      <c r="I16" s="618">
        <f>IF(I4&gt;'Premissas Gerais'!$E$7,0,IF(I4='Premissas Gerais'!$E$7,-'Capital de Giro'!I14+I14-'Capital de Giro'!H14,'Capital de Giro'!I14-'Capital de Giro'!H14))</f>
        <v>271245.39360325644</v>
      </c>
      <c r="J16" s="618">
        <f>IF(J4&gt;'Premissas Gerais'!$E$7,0,IF(J4='Premissas Gerais'!$E$7,-'Capital de Giro'!J14+J14-'Capital de Giro'!I14,'Capital de Giro'!J14-'Capital de Giro'!I14))</f>
        <v>74956.131039541215</v>
      </c>
      <c r="K16" s="618">
        <f>IF(K4&gt;'Premissas Gerais'!$E$7,0,IF(K4='Premissas Gerais'!$E$7,-'Capital de Giro'!K14+K14-'Capital de Giro'!J14,'Capital de Giro'!K14-'Capital de Giro'!J14))</f>
        <v>455631.6570603149</v>
      </c>
      <c r="L16" s="618">
        <f>IF(L4&gt;'Premissas Gerais'!$E$7,0,IF(L4='Premissas Gerais'!$E$7,-'Capital de Giro'!L14+L14-'Capital de Giro'!K14,'Capital de Giro'!L14-'Capital de Giro'!K14))</f>
        <v>62607.246253728401</v>
      </c>
      <c r="M16" s="618">
        <f>IF(M4&gt;'Premissas Gerais'!$E$7,0,IF(M4='Premissas Gerais'!$E$7,-'Capital de Giro'!M14+M14-'Capital de Giro'!L14,'Capital de Giro'!M14-'Capital de Giro'!L14))</f>
        <v>38149.155170022976</v>
      </c>
      <c r="N16" s="618">
        <f>IF(N4&gt;'Premissas Gerais'!$E$7,0,IF(N4='Premissas Gerais'!$E$7,-'Capital de Giro'!N14+N14-'Capital de Giro'!M14,'Capital de Giro'!N14-'Capital de Giro'!M14))</f>
        <v>-149667.88921182975</v>
      </c>
      <c r="O16" s="618">
        <f>IF(O4&gt;'Premissas Gerais'!$E$7,0,IF(O4='Premissas Gerais'!$E$7,-'Capital de Giro'!O14+O14-'Capital de Giro'!N14,'Capital de Giro'!O14-'Capital de Giro'!N14))</f>
        <v>-43008.34508834593</v>
      </c>
      <c r="P16" s="618">
        <f>IF(P4&gt;'Premissas Gerais'!$E$7,0,IF(P4='Premissas Gerais'!$E$7,-'Capital de Giro'!P14+P14-'Capital de Giro'!O14,'Capital de Giro'!P14-'Capital de Giro'!O14))</f>
        <v>29676.216347221751</v>
      </c>
      <c r="Q16" s="618">
        <f>IF(Q4&gt;'Premissas Gerais'!$E$7,0,IF(Q4='Premissas Gerais'!$E$7,-'Capital de Giro'!Q14+Q14-'Capital de Giro'!P14,'Capital de Giro'!Q14-'Capital de Giro'!P14))</f>
        <v>18701.961977268569</v>
      </c>
      <c r="R16" s="618">
        <f>IF(R4&gt;'Premissas Gerais'!$E$7,0,IF(R4='Premissas Gerais'!$E$7,-'Capital de Giro'!R14+R14-'Capital de Giro'!Q14,'Capital de Giro'!R14-'Capital de Giro'!Q14))</f>
        <v>16728.020364399068</v>
      </c>
      <c r="S16" s="618">
        <f>IF(S4&gt;'Premissas Gerais'!$E$7,0,IF(S4='Premissas Gerais'!$E$7,-'Capital de Giro'!S14+S14-'Capital de Giro'!R14,'Capital de Giro'!S14-'Capital de Giro'!R14))</f>
        <v>13205.286240888759</v>
      </c>
      <c r="T16" s="618">
        <f>IF(T4&gt;'Premissas Gerais'!$E$7,0,IF(T4='Premissas Gerais'!$E$7,-'Capital de Giro'!T14+T14-'Capital de Giro'!S14,'Capital de Giro'!T14-'Capital de Giro'!S14))</f>
        <v>12870.040492466185</v>
      </c>
      <c r="U16" s="618">
        <f>IF(U4&gt;'Premissas Gerais'!$E$7,0,IF(U4='Premissas Gerais'!$E$7,-'Capital de Giro'!U14+U14-'Capital de Giro'!T14,'Capital de Giro'!U14-'Capital de Giro'!T14))</f>
        <v>5427.5472350474447</v>
      </c>
      <c r="V16" s="618">
        <f>IF(V4&gt;'Premissas Gerais'!$E$7,0,IF(V4='Premissas Gerais'!$E$7,-'Capital de Giro'!V14+V14-'Capital de Giro'!U14,'Capital de Giro'!V14-'Capital de Giro'!U14))</f>
        <v>21351.837274168152</v>
      </c>
      <c r="W16" s="618">
        <f>IF(W4&gt;'Premissas Gerais'!$E$7,0,IF(W4='Premissas Gerais'!$E$7,-'Capital de Giro'!W14+W14-'Capital de Giro'!V14,'Capital de Giro'!W14-'Capital de Giro'!V14))</f>
        <v>-83543.153151203413</v>
      </c>
      <c r="X16" s="618">
        <f>IF(X4&gt;'Premissas Gerais'!$E$7,0,IF(X4='Premissas Gerais'!$E$7,-'Capital de Giro'!X14+X14-'Capital de Giro'!W14,'Capital de Giro'!X14-'Capital de Giro'!W14))</f>
        <v>95231.05665908847</v>
      </c>
      <c r="Y16" s="618">
        <f>IF(Y4&gt;'Premissas Gerais'!$E$7,0,IF(Y4='Premissas Gerais'!$E$7,-'Capital de Giro'!Y14+Y14-'Capital de Giro'!X14,'Capital de Giro'!Y14-'Capital de Giro'!X14))</f>
        <v>6445.2301790071651</v>
      </c>
      <c r="Z16" s="618">
        <f>IF(Z4&gt;'Premissas Gerais'!$E$7,0,IF(Z4='Premissas Gerais'!$E$7,-'Capital de Giro'!Z14+Z14-'Capital de Giro'!Y14,'Capital de Giro'!Z14-'Capital de Giro'!Y14))</f>
        <v>-19009.536208801437</v>
      </c>
      <c r="AA16" s="618">
        <f>IF(AA4&gt;'Premissas Gerais'!$E$7,0,IF(AA4='Premissas Gerais'!$E$7,-'Capital de Giro'!AA14+AA14-'Capital de Giro'!Z14,'Capital de Giro'!AA14-'Capital de Giro'!Z14))</f>
        <v>29801.4349573371</v>
      </c>
      <c r="AB16" s="618">
        <f>IF(AB4&gt;'Premissas Gerais'!$E$7,0,IF(AB4='Premissas Gerais'!$E$7,-'Capital de Giro'!AB14+AB14-'Capital de Giro'!AA14,'Capital de Giro'!AB14-'Capital de Giro'!AA14))</f>
        <v>7283.5393894370645</v>
      </c>
      <c r="AC16" s="618">
        <f>IF(AC4&gt;'Premissas Gerais'!$E$7,0,IF(AC4='Premissas Gerais'!$E$7,-'Capital de Giro'!AC14+AC14-'Capital de Giro'!AB14,'Capital de Giro'!AC14-'Capital de Giro'!AB14))</f>
        <v>5136.4957711054012</v>
      </c>
      <c r="AD16" s="618">
        <f>IF(AD4&gt;'Premissas Gerais'!$E$7,0,IF(AD4='Premissas Gerais'!$E$7,-'Capital de Giro'!AD14+AD14-'Capital de Giro'!AC14,'Capital de Giro'!AD14-'Capital de Giro'!AC14))</f>
        <v>6468.8058102233335</v>
      </c>
      <c r="AE16" s="618">
        <f>IF(AE4&gt;'Premissas Gerais'!$E$7,0,IF(AE4='Premissas Gerais'!$E$7,-'Capital de Giro'!AE14+AE14-'Capital de Giro'!AD14,'Capital de Giro'!AE14-'Capital de Giro'!AD14))</f>
        <v>-90343.57376057189</v>
      </c>
      <c r="AF16" s="618">
        <f>IF(AF4&gt;'Premissas Gerais'!$E$7,0,IF(AF4='Premissas Gerais'!$E$7,-'Capital de Giro'!AF14+AF14-'Capital de Giro'!AE14,'Capital de Giro'!AF14-'Capital de Giro'!AE14))</f>
        <v>117261.06503251335</v>
      </c>
      <c r="AG16" s="618">
        <f>IF(AG4&gt;'Premissas Gerais'!$E$7,0,IF(AG4='Premissas Gerais'!$E$7,-'Capital de Giro'!AG14+AG14-'Capital de Giro'!AF14,'Capital de Giro'!AG14-'Capital de Giro'!AF14))</f>
        <v>-1165.0390501250513</v>
      </c>
      <c r="AH16" s="618">
        <f>IF(AH4&gt;'Premissas Gerais'!$E$7,0,IF(AH4='Premissas Gerais'!$E$7,-'Capital de Giro'!AH14+AH14-'Capital de Giro'!AG14,'Capital de Giro'!AH14-'Capital de Giro'!AG14))</f>
        <v>-1110.1083657797426</v>
      </c>
      <c r="AI16" s="618">
        <f>IF(AI4&gt;'Premissas Gerais'!$E$7,0,IF(AI4='Premissas Gerais'!$E$7,-'Capital de Giro'!AI14+AI14-'Capital de Giro'!AH14,'Capital de Giro'!AI14-'Capital de Giro'!AH14))</f>
        <v>5670.5190494526178</v>
      </c>
      <c r="AJ16" s="618">
        <f>IF(AJ4&gt;'Premissas Gerais'!$E$7,0,IF(AJ4='Premissas Gerais'!$E$7,-'Capital de Giro'!AJ14+AJ14-'Capital de Giro'!AI14,'Capital de Giro'!AJ14-'Capital de Giro'!AI14))</f>
        <v>-3918316.9200533424</v>
      </c>
    </row>
    <row r="17" spans="3:8" ht="15" thickTop="1" x14ac:dyDescent="0.35"/>
    <row r="18" spans="3:8" x14ac:dyDescent="0.35">
      <c r="C18" s="208" t="s">
        <v>602</v>
      </c>
      <c r="G18" s="1177">
        <f>G19</f>
        <v>0.26366061471918023</v>
      </c>
      <c r="H18" s="209"/>
    </row>
    <row r="19" spans="3:8" x14ac:dyDescent="0.35">
      <c r="C19" s="208" t="s">
        <v>603</v>
      </c>
      <c r="G19" s="1178">
        <f>(OPEX_SPE!E48+((('OPEX _Coleta'!G8/'OPEX _Coleta'!G26)*('OPEX _Coleta'!F72+'OPEX _Coleta'!I72)+(('OPEX _Coleta'!G35/'OPEX _Coleta'!G53)*'OPEX _Coleta'!L72))*313*30)+('OPEX _Transbordo'!D8*'OPEX _Transbordo'!D12*12*30)+(SUM(OPEX_Socioambiental!F40:AN41)))/'CAPEX E OPEX'!E256</f>
        <v>0.26366061471918023</v>
      </c>
    </row>
    <row r="20" spans="3:8" x14ac:dyDescent="0.35">
      <c r="C20" s="79"/>
      <c r="G20" s="97"/>
    </row>
    <row r="21" spans="3:8" x14ac:dyDescent="0.35">
      <c r="G21" s="221"/>
    </row>
    <row r="22" spans="3:8" x14ac:dyDescent="0.35">
      <c r="G22" s="96"/>
    </row>
    <row r="23" spans="3:8" x14ac:dyDescent="0.35">
      <c r="G23" s="97"/>
    </row>
    <row r="24" spans="3:8" x14ac:dyDescent="0.35">
      <c r="G24" s="97"/>
    </row>
  </sheetData>
  <sheetProtection algorithmName="SHA-512" hashValue="rO22hxhrBxbuSdnLsfTR8UzrAdn2fTxIcct4q6/Vqgn3srStHCKQ5REORgQUN7VUPzI0VCxhgzrZw2s1CrAJvQ==" saltValue="iFvI7KMFj9Yf5Pg64imJEQ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5CC07-0892-47D4-B6FA-77D7AC8A46D1}">
  <sheetPr codeName="Planilha28"/>
  <dimension ref="B2:AI24"/>
  <sheetViews>
    <sheetView showGridLines="0" zoomScale="85" zoomScaleNormal="85" workbookViewId="0">
      <selection activeCell="AR13" sqref="AR13"/>
    </sheetView>
  </sheetViews>
  <sheetFormatPr defaultColWidth="8.81640625" defaultRowHeight="14.5" x14ac:dyDescent="0.35"/>
  <cols>
    <col min="1" max="1" width="5" customWidth="1"/>
    <col min="2" max="2" width="4" customWidth="1"/>
    <col min="4" max="4" width="23.81640625" customWidth="1"/>
    <col min="5" max="6" width="15.36328125" bestFit="1" customWidth="1"/>
    <col min="7" max="7" width="14.36328125" bestFit="1" customWidth="1"/>
    <col min="8" max="34" width="15.36328125" bestFit="1" customWidth="1"/>
    <col min="35" max="35" width="25.36328125" bestFit="1" customWidth="1"/>
  </cols>
  <sheetData>
    <row r="2" spans="2:35" ht="21" x14ac:dyDescent="0.5">
      <c r="C2" s="338" t="s">
        <v>604</v>
      </c>
      <c r="D2" s="339"/>
      <c r="E2" s="339"/>
      <c r="F2" s="339"/>
      <c r="G2" s="339"/>
      <c r="H2" s="339"/>
      <c r="I2" s="339"/>
      <c r="J2" s="339"/>
      <c r="K2" s="339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  <c r="Y2" s="340"/>
      <c r="Z2" s="340"/>
      <c r="AA2" s="340"/>
      <c r="AB2" s="340"/>
      <c r="AC2" s="340"/>
      <c r="AD2" s="340"/>
      <c r="AE2" s="340"/>
      <c r="AF2" s="340"/>
      <c r="AG2" s="340"/>
      <c r="AH2" s="340"/>
      <c r="AI2" s="340"/>
    </row>
    <row r="3" spans="2:35" ht="9.75" customHeight="1" x14ac:dyDescent="0.35"/>
    <row r="4" spans="2:35" x14ac:dyDescent="0.35">
      <c r="C4" s="337" t="s">
        <v>605</v>
      </c>
    </row>
    <row r="5" spans="2:35" ht="49.5" customHeight="1" x14ac:dyDescent="0.35">
      <c r="C5" s="1952" t="s">
        <v>606</v>
      </c>
      <c r="D5" s="1952"/>
      <c r="E5" s="1952"/>
      <c r="F5" s="1952"/>
      <c r="G5" s="1952"/>
      <c r="H5" s="1952"/>
      <c r="I5" s="1952"/>
      <c r="J5" s="1952"/>
      <c r="K5" s="1952"/>
      <c r="L5" s="1952"/>
      <c r="M5" s="1952"/>
    </row>
    <row r="6" spans="2:35" x14ac:dyDescent="0.35">
      <c r="C6" t="s">
        <v>607</v>
      </c>
    </row>
    <row r="7" spans="2:35" x14ac:dyDescent="0.35">
      <c r="C7" t="s">
        <v>608</v>
      </c>
    </row>
    <row r="8" spans="2:35" x14ac:dyDescent="0.35">
      <c r="G8" s="97"/>
    </row>
    <row r="9" spans="2:35" x14ac:dyDescent="0.35">
      <c r="G9" s="97"/>
    </row>
    <row r="10" spans="2:35" x14ac:dyDescent="0.35">
      <c r="B10" s="597"/>
      <c r="C10" s="597"/>
      <c r="D10" s="597"/>
      <c r="E10" s="190"/>
      <c r="F10" s="190">
        <v>1</v>
      </c>
      <c r="G10" s="190">
        <f>F10+1</f>
        <v>2</v>
      </c>
      <c r="H10" s="190">
        <f t="shared" ref="H10" si="0">G10+1</f>
        <v>3</v>
      </c>
      <c r="I10" s="190">
        <f t="shared" ref="I10" si="1">H10+1</f>
        <v>4</v>
      </c>
      <c r="J10" s="190">
        <f t="shared" ref="J10" si="2">I10+1</f>
        <v>5</v>
      </c>
      <c r="K10" s="190">
        <f t="shared" ref="K10" si="3">J10+1</f>
        <v>6</v>
      </c>
      <c r="L10" s="190">
        <f t="shared" ref="L10" si="4">K10+1</f>
        <v>7</v>
      </c>
      <c r="M10" s="190">
        <f t="shared" ref="M10" si="5">L10+1</f>
        <v>8</v>
      </c>
      <c r="N10" s="190">
        <f t="shared" ref="N10" si="6">M10+1</f>
        <v>9</v>
      </c>
      <c r="O10" s="190">
        <f t="shared" ref="O10" si="7">N10+1</f>
        <v>10</v>
      </c>
      <c r="P10" s="190">
        <f t="shared" ref="P10" si="8">O10+1</f>
        <v>11</v>
      </c>
      <c r="Q10" s="190">
        <f t="shared" ref="Q10" si="9">P10+1</f>
        <v>12</v>
      </c>
      <c r="R10" s="190">
        <f t="shared" ref="R10" si="10">Q10+1</f>
        <v>13</v>
      </c>
      <c r="S10" s="190">
        <f t="shared" ref="S10" si="11">R10+1</f>
        <v>14</v>
      </c>
      <c r="T10" s="190">
        <f t="shared" ref="T10" si="12">S10+1</f>
        <v>15</v>
      </c>
      <c r="U10" s="190">
        <f t="shared" ref="U10" si="13">T10+1</f>
        <v>16</v>
      </c>
      <c r="V10" s="190">
        <f t="shared" ref="V10" si="14">U10+1</f>
        <v>17</v>
      </c>
      <c r="W10" s="190">
        <f t="shared" ref="W10" si="15">V10+1</f>
        <v>18</v>
      </c>
      <c r="X10" s="190">
        <f t="shared" ref="X10" si="16">W10+1</f>
        <v>19</v>
      </c>
      <c r="Y10" s="190">
        <f t="shared" ref="Y10" si="17">X10+1</f>
        <v>20</v>
      </c>
      <c r="Z10" s="190">
        <f t="shared" ref="Z10" si="18">Y10+1</f>
        <v>21</v>
      </c>
      <c r="AA10" s="190">
        <f t="shared" ref="AA10" si="19">Z10+1</f>
        <v>22</v>
      </c>
      <c r="AB10" s="190">
        <f t="shared" ref="AB10" si="20">AA10+1</f>
        <v>23</v>
      </c>
      <c r="AC10" s="190">
        <f t="shared" ref="AC10" si="21">AB10+1</f>
        <v>24</v>
      </c>
      <c r="AD10" s="190">
        <f t="shared" ref="AD10" si="22">AC10+1</f>
        <v>25</v>
      </c>
      <c r="AE10" s="190">
        <f t="shared" ref="AE10" si="23">AD10+1</f>
        <v>26</v>
      </c>
      <c r="AF10" s="190">
        <f t="shared" ref="AF10" si="24">AE10+1</f>
        <v>27</v>
      </c>
      <c r="AG10" s="190">
        <f t="shared" ref="AG10" si="25">AF10+1</f>
        <v>28</v>
      </c>
      <c r="AH10" s="190">
        <f t="shared" ref="AH10" si="26">AG10+1</f>
        <v>29</v>
      </c>
      <c r="AI10" s="190">
        <f t="shared" ref="AI10" si="27">AH10+1</f>
        <v>30</v>
      </c>
    </row>
    <row r="11" spans="2:35" x14ac:dyDescent="0.35">
      <c r="B11" t="s">
        <v>609</v>
      </c>
      <c r="E11" s="490">
        <f>SUM(F11:AI11)</f>
        <v>144967729.68000001</v>
      </c>
      <c r="F11" s="477">
        <f>'CAPEX E OPEX'!F88</f>
        <v>44794164.494999997</v>
      </c>
      <c r="G11" s="477">
        <f>'CAPEX E OPEX'!G88</f>
        <v>6904933.4850000003</v>
      </c>
      <c r="H11" s="477">
        <f>'CAPEX E OPEX'!H88</f>
        <v>4052790.21</v>
      </c>
      <c r="I11" s="477">
        <f>'CAPEX E OPEX'!I88</f>
        <v>2279292.8819999998</v>
      </c>
      <c r="J11" s="477">
        <f>'CAPEX E OPEX'!J88</f>
        <v>69509.200000000012</v>
      </c>
      <c r="K11" s="477">
        <f>'CAPEX E OPEX'!K88</f>
        <v>144335.12</v>
      </c>
      <c r="L11" s="477">
        <f>'CAPEX E OPEX'!L88</f>
        <v>3238943.16</v>
      </c>
      <c r="M11" s="477">
        <f>'CAPEX E OPEX'!M88</f>
        <v>80011.86</v>
      </c>
      <c r="N11" s="477">
        <f>'CAPEX E OPEX'!N88</f>
        <v>13938778.340000002</v>
      </c>
      <c r="O11" s="477">
        <f>'CAPEX E OPEX'!O88</f>
        <v>1353217.01</v>
      </c>
      <c r="P11" s="477">
        <f>'CAPEX E OPEX'!P88</f>
        <v>17697629.191999998</v>
      </c>
      <c r="Q11" s="477">
        <f>'CAPEX E OPEX'!Q88</f>
        <v>0</v>
      </c>
      <c r="R11" s="477">
        <f>'CAPEX E OPEX'!R88</f>
        <v>0</v>
      </c>
      <c r="S11" s="477">
        <f>'CAPEX E OPEX'!S88</f>
        <v>160773.79999999996</v>
      </c>
      <c r="T11" s="477">
        <f>'CAPEX E OPEX'!T88</f>
        <v>3308452.3600000003</v>
      </c>
      <c r="U11" s="477">
        <f>'CAPEX E OPEX'!U88</f>
        <v>224346.97999999998</v>
      </c>
      <c r="V11" s="477">
        <f>'CAPEX E OPEX'!V88</f>
        <v>13938778.340000002</v>
      </c>
      <c r="W11" s="477">
        <f>'CAPEX E OPEX'!W88</f>
        <v>2279292.8819999998</v>
      </c>
      <c r="X11" s="477">
        <f>'CAPEX E OPEX'!X88</f>
        <v>0</v>
      </c>
      <c r="Y11" s="477">
        <f>'CAPEX E OPEX'!Y88</f>
        <v>1353217.01</v>
      </c>
      <c r="Z11" s="477">
        <f>'CAPEX E OPEX'!Z88</f>
        <v>6888816.9100000001</v>
      </c>
      <c r="AA11" s="477">
        <f>'CAPEX E OPEX'!AA88</f>
        <v>0</v>
      </c>
      <c r="AB11" s="477">
        <f>'CAPEX E OPEX'!AB88</f>
        <v>3238943.16</v>
      </c>
      <c r="AC11" s="477">
        <f>'CAPEX E OPEX'!AC88</f>
        <v>2520078.5419999999</v>
      </c>
      <c r="AD11" s="477">
        <f>'CAPEX E OPEX'!AD88</f>
        <v>14008287.540000001</v>
      </c>
      <c r="AE11" s="477">
        <f>'CAPEX E OPEX'!AE88</f>
        <v>144335.12</v>
      </c>
      <c r="AF11" s="477">
        <f>'CAPEX E OPEX'!AF88</f>
        <v>0</v>
      </c>
      <c r="AG11" s="477">
        <f>'CAPEX E OPEX'!AG88</f>
        <v>0</v>
      </c>
      <c r="AH11" s="477">
        <f>'CAPEX E OPEX'!AH88</f>
        <v>0</v>
      </c>
      <c r="AI11" s="477">
        <f>'CAPEX E OPEX'!AI88</f>
        <v>2348802.0819999999</v>
      </c>
    </row>
    <row r="12" spans="2:35" x14ac:dyDescent="0.35">
      <c r="B12" t="s">
        <v>610</v>
      </c>
      <c r="E12" s="490">
        <f>SUM(F12:AI12)</f>
        <v>144967729.68000004</v>
      </c>
      <c r="F12" s="477">
        <f>F11/(PAINEL!$D$33+1-F10)</f>
        <v>1493138.8165</v>
      </c>
      <c r="G12" s="477">
        <f>IF(G10&gt;'Premissas Gerais'!$E$7,0,(G11/(PAINEL!$D$33+1-G10))+F12)</f>
        <v>1731239.9711551724</v>
      </c>
      <c r="H12" s="477">
        <f>IF(H10&gt;'Premissas Gerais'!$E$7,0,(H11/(PAINEL!$D$33+1-H10))+G12)</f>
        <v>1875982.4786551725</v>
      </c>
      <c r="I12" s="477">
        <f>IF(I10&gt;'Premissas Gerais'!$E$7,0,(I11/(PAINEL!$D$33+1-I10))+H12)</f>
        <v>1960400.7335440614</v>
      </c>
      <c r="J12" s="477">
        <f>IF(J10&gt;'Premissas Gerais'!$E$7,0,(J11/(PAINEL!$D$33+1-J10))+I12)</f>
        <v>1963074.1643132921</v>
      </c>
      <c r="K12" s="477">
        <f>IF(K10&gt;'Premissas Gerais'!$E$7,0,(K11/(PAINEL!$D$33+1-K10))+J12)</f>
        <v>1968847.569113292</v>
      </c>
      <c r="L12" s="477">
        <f>IF(L10&gt;'Premissas Gerais'!$E$7,0,(L11/(PAINEL!$D$33+1-L10))+K12)</f>
        <v>2103803.5341132921</v>
      </c>
      <c r="M12" s="477">
        <f>IF(M10&gt;'Premissas Gerais'!$E$7,0,(M11/(PAINEL!$D$33+1-M10))+L12)</f>
        <v>2107282.3106350312</v>
      </c>
      <c r="N12" s="477">
        <f>IF(N10&gt;'Premissas Gerais'!$E$7,0,(N11/(PAINEL!$D$33+1-N10))+M12)</f>
        <v>2740863.1442713952</v>
      </c>
      <c r="O12" s="477">
        <f>IF(O10&gt;'Premissas Gerais'!$E$7,0,(O11/(PAINEL!$D$33+1-O10))+N12)</f>
        <v>2805302.0495094904</v>
      </c>
      <c r="P12" s="477">
        <f>IF(P10&gt;'Premissas Gerais'!$E$7,0,(P11/(PAINEL!$D$33+1-P10))+O12)</f>
        <v>3690183.5091094906</v>
      </c>
      <c r="Q12" s="477">
        <f>IF(Q10&gt;'Premissas Gerais'!$E$7,0,(Q11/(PAINEL!$D$33+1-Q10))+P12)</f>
        <v>3690183.5091094906</v>
      </c>
      <c r="R12" s="477">
        <f>IF(R10&gt;'Premissas Gerais'!$E$7,0,(R11/(PAINEL!$D$33+1-R10))+Q12)</f>
        <v>3690183.5091094906</v>
      </c>
      <c r="S12" s="477">
        <f>IF(S10&gt;'Premissas Gerais'!$E$7,0,(S11/(PAINEL!$D$33+1-S10))+R12)</f>
        <v>3699640.7914624317</v>
      </c>
      <c r="T12" s="477">
        <f>IF(T10&gt;'Premissas Gerais'!$E$7,0,(T11/(PAINEL!$D$33+1-T10))+S12)</f>
        <v>3906419.0639624316</v>
      </c>
      <c r="U12" s="477">
        <f>IF(U10&gt;'Premissas Gerais'!$E$7,0,(U11/(PAINEL!$D$33+1-U10))+T12)</f>
        <v>3921375.5292957649</v>
      </c>
      <c r="V12" s="477">
        <f>IF(V10&gt;'Premissas Gerais'!$E$7,0,(V11/(PAINEL!$D$33+1-V10))+U12)</f>
        <v>4917002.553581479</v>
      </c>
      <c r="W12" s="477">
        <f>IF(W10&gt;'Premissas Gerais'!$E$7,0,(W11/(PAINEL!$D$33+1-W10))+V12)</f>
        <v>5092332.7752737869</v>
      </c>
      <c r="X12" s="477">
        <f>IF(X10&gt;'Premissas Gerais'!$E$7,0,(X11/(PAINEL!$D$33+1-X10))+W12)</f>
        <v>5092332.7752737869</v>
      </c>
      <c r="Y12" s="477">
        <f>IF(Y10&gt;'Premissas Gerais'!$E$7,0,(Y11/(PAINEL!$D$33+1-Y10))+X12)</f>
        <v>5215352.5034556054</v>
      </c>
      <c r="Z12" s="477">
        <f>IF(Z10&gt;'Premissas Gerais'!$E$7,0,(Z11/(PAINEL!$D$33+1-Z10))+Y12)</f>
        <v>5904234.194455605</v>
      </c>
      <c r="AA12" s="477">
        <f>IF(AA10&gt;'Premissas Gerais'!$E$7,0,(AA11/(PAINEL!$D$33+1-AA10))+Z12)</f>
        <v>5904234.194455605</v>
      </c>
      <c r="AB12" s="477">
        <f>IF(AB10&gt;'Premissas Gerais'!$E$7,0,(AB11/(PAINEL!$D$33+1-AB10))+AA12)</f>
        <v>6309102.0894556046</v>
      </c>
      <c r="AC12" s="477">
        <f>IF(AC10&gt;'Premissas Gerais'!$E$7,0,(AC11/(PAINEL!$D$33+1-AC10))+AB12)</f>
        <v>6669113.3097413192</v>
      </c>
      <c r="AD12" s="477">
        <f>IF(AD10&gt;'Premissas Gerais'!$E$7,0,(AD11/(PAINEL!$D$33+1-AD10))+AC12)</f>
        <v>9003827.8997413199</v>
      </c>
      <c r="AE12" s="477">
        <f>IF(AE10&gt;'Premissas Gerais'!$E$7,0,(AE11/(PAINEL!$D$33+1-AE10))+AD12)</f>
        <v>9032694.9237413201</v>
      </c>
      <c r="AF12" s="477">
        <f>IF(AF10&gt;'Premissas Gerais'!$E$7,0,(AF11/(PAINEL!$D$33+1-AF10))+AE12)</f>
        <v>9032694.9237413201</v>
      </c>
      <c r="AG12" s="477">
        <f>IF(AG10&gt;'Premissas Gerais'!$E$7,0,(AG11/(PAINEL!$D$33+1-AG10))+AF12)</f>
        <v>9032694.9237413201</v>
      </c>
      <c r="AH12" s="477">
        <f>IF(AH10&gt;'Premissas Gerais'!$E$7,0,(AH11/(PAINEL!$D$33+1-AH10))+AG12)</f>
        <v>9032694.9237413201</v>
      </c>
      <c r="AI12" s="477">
        <f>IF(AI10&gt;'Premissas Gerais'!$E$7,0,(AI11/(PAINEL!$D$33+1-AI10))+AH12)</f>
        <v>11381497.005741321</v>
      </c>
    </row>
    <row r="13" spans="2:35" s="598" customFormat="1" x14ac:dyDescent="0.35">
      <c r="B13" s="597"/>
      <c r="C13" s="597"/>
      <c r="D13" s="597"/>
      <c r="E13" s="190"/>
      <c r="F13" s="190">
        <v>1</v>
      </c>
      <c r="G13" s="190">
        <f>F13+1</f>
        <v>2</v>
      </c>
      <c r="H13" s="190">
        <f t="shared" ref="H13:AI13" si="28">G13+1</f>
        <v>3</v>
      </c>
      <c r="I13" s="190">
        <f t="shared" si="28"/>
        <v>4</v>
      </c>
      <c r="J13" s="190">
        <f t="shared" si="28"/>
        <v>5</v>
      </c>
      <c r="K13" s="190">
        <f t="shared" si="28"/>
        <v>6</v>
      </c>
      <c r="L13" s="190">
        <f t="shared" si="28"/>
        <v>7</v>
      </c>
      <c r="M13" s="190">
        <f t="shared" si="28"/>
        <v>8</v>
      </c>
      <c r="N13" s="190">
        <f t="shared" si="28"/>
        <v>9</v>
      </c>
      <c r="O13" s="190">
        <f t="shared" si="28"/>
        <v>10</v>
      </c>
      <c r="P13" s="190">
        <f t="shared" si="28"/>
        <v>11</v>
      </c>
      <c r="Q13" s="190">
        <f t="shared" si="28"/>
        <v>12</v>
      </c>
      <c r="R13" s="190">
        <f t="shared" si="28"/>
        <v>13</v>
      </c>
      <c r="S13" s="190">
        <f t="shared" si="28"/>
        <v>14</v>
      </c>
      <c r="T13" s="190">
        <f t="shared" si="28"/>
        <v>15</v>
      </c>
      <c r="U13" s="190">
        <f t="shared" si="28"/>
        <v>16</v>
      </c>
      <c r="V13" s="190">
        <f t="shared" si="28"/>
        <v>17</v>
      </c>
      <c r="W13" s="190">
        <f t="shared" si="28"/>
        <v>18</v>
      </c>
      <c r="X13" s="190">
        <f t="shared" si="28"/>
        <v>19</v>
      </c>
      <c r="Y13" s="190">
        <f t="shared" si="28"/>
        <v>20</v>
      </c>
      <c r="Z13" s="190">
        <f t="shared" si="28"/>
        <v>21</v>
      </c>
      <c r="AA13" s="190">
        <f t="shared" si="28"/>
        <v>22</v>
      </c>
      <c r="AB13" s="190">
        <f t="shared" si="28"/>
        <v>23</v>
      </c>
      <c r="AC13" s="190">
        <f t="shared" si="28"/>
        <v>24</v>
      </c>
      <c r="AD13" s="190">
        <f t="shared" si="28"/>
        <v>25</v>
      </c>
      <c r="AE13" s="190">
        <f t="shared" si="28"/>
        <v>26</v>
      </c>
      <c r="AF13" s="190">
        <f t="shared" si="28"/>
        <v>27</v>
      </c>
      <c r="AG13" s="190">
        <f t="shared" si="28"/>
        <v>28</v>
      </c>
      <c r="AH13" s="190">
        <f t="shared" si="28"/>
        <v>29</v>
      </c>
      <c r="AI13" s="190">
        <f t="shared" si="28"/>
        <v>30</v>
      </c>
    </row>
    <row r="14" spans="2:35" x14ac:dyDescent="0.35">
      <c r="B14" s="248" t="s">
        <v>611</v>
      </c>
      <c r="C14" s="48"/>
      <c r="D14" s="48"/>
      <c r="E14" s="172"/>
      <c r="F14" s="594">
        <f>'Premissas Gerais'!E142</f>
        <v>3.7999999999999999E-2</v>
      </c>
      <c r="G14" s="594">
        <f>'Premissas Gerais'!F142</f>
        <v>3.5000000000000003E-2</v>
      </c>
      <c r="H14" s="594">
        <f>'Premissas Gerais'!G142</f>
        <v>3.5000000000000003E-2</v>
      </c>
      <c r="I14" s="594">
        <f>H14</f>
        <v>3.5000000000000003E-2</v>
      </c>
      <c r="J14" s="594">
        <f t="shared" ref="J14:AI14" si="29">I14</f>
        <v>3.5000000000000003E-2</v>
      </c>
      <c r="K14" s="594">
        <f t="shared" si="29"/>
        <v>3.5000000000000003E-2</v>
      </c>
      <c r="L14" s="594">
        <f t="shared" si="29"/>
        <v>3.5000000000000003E-2</v>
      </c>
      <c r="M14" s="594">
        <f t="shared" si="29"/>
        <v>3.5000000000000003E-2</v>
      </c>
      <c r="N14" s="594">
        <f t="shared" si="29"/>
        <v>3.5000000000000003E-2</v>
      </c>
      <c r="O14" s="594">
        <f t="shared" si="29"/>
        <v>3.5000000000000003E-2</v>
      </c>
      <c r="P14" s="594">
        <f t="shared" si="29"/>
        <v>3.5000000000000003E-2</v>
      </c>
      <c r="Q14" s="594">
        <f t="shared" si="29"/>
        <v>3.5000000000000003E-2</v>
      </c>
      <c r="R14" s="594">
        <f t="shared" si="29"/>
        <v>3.5000000000000003E-2</v>
      </c>
      <c r="S14" s="594">
        <f t="shared" si="29"/>
        <v>3.5000000000000003E-2</v>
      </c>
      <c r="T14" s="594">
        <f t="shared" si="29"/>
        <v>3.5000000000000003E-2</v>
      </c>
      <c r="U14" s="594">
        <f t="shared" si="29"/>
        <v>3.5000000000000003E-2</v>
      </c>
      <c r="V14" s="594">
        <f t="shared" si="29"/>
        <v>3.5000000000000003E-2</v>
      </c>
      <c r="W14" s="594">
        <f t="shared" si="29"/>
        <v>3.5000000000000003E-2</v>
      </c>
      <c r="X14" s="594">
        <f t="shared" si="29"/>
        <v>3.5000000000000003E-2</v>
      </c>
      <c r="Y14" s="594">
        <f t="shared" si="29"/>
        <v>3.5000000000000003E-2</v>
      </c>
      <c r="Z14" s="594">
        <f t="shared" si="29"/>
        <v>3.5000000000000003E-2</v>
      </c>
      <c r="AA14" s="594">
        <f t="shared" si="29"/>
        <v>3.5000000000000003E-2</v>
      </c>
      <c r="AB14" s="594">
        <f t="shared" si="29"/>
        <v>3.5000000000000003E-2</v>
      </c>
      <c r="AC14" s="594">
        <f t="shared" si="29"/>
        <v>3.5000000000000003E-2</v>
      </c>
      <c r="AD14" s="594">
        <f t="shared" si="29"/>
        <v>3.5000000000000003E-2</v>
      </c>
      <c r="AE14" s="594">
        <f t="shared" si="29"/>
        <v>3.5000000000000003E-2</v>
      </c>
      <c r="AF14" s="594">
        <f t="shared" si="29"/>
        <v>3.5000000000000003E-2</v>
      </c>
      <c r="AG14" s="594">
        <f t="shared" si="29"/>
        <v>3.5000000000000003E-2</v>
      </c>
      <c r="AH14" s="594">
        <f t="shared" si="29"/>
        <v>3.5000000000000003E-2</v>
      </c>
      <c r="AI14" s="594">
        <f t="shared" si="29"/>
        <v>3.5000000000000003E-2</v>
      </c>
    </row>
    <row r="15" spans="2:35" x14ac:dyDescent="0.35">
      <c r="B15" s="249" t="s">
        <v>612</v>
      </c>
      <c r="C15" s="30"/>
      <c r="D15" s="30"/>
      <c r="E15" s="593"/>
      <c r="F15" s="595">
        <f>(1+E15)*(1+F14)-1</f>
        <v>3.8000000000000034E-2</v>
      </c>
      <c r="G15" s="595">
        <f t="shared" ref="G15:AI15" si="30">(1+F15)*(1+G14)-1</f>
        <v>7.4330000000000007E-2</v>
      </c>
      <c r="H15" s="595">
        <f t="shared" si="30"/>
        <v>0.11193154999999999</v>
      </c>
      <c r="I15" s="595">
        <f t="shared" si="30"/>
        <v>0.15084915424999989</v>
      </c>
      <c r="J15" s="595">
        <f t="shared" si="30"/>
        <v>0.19112887464874984</v>
      </c>
      <c r="K15" s="595">
        <f t="shared" si="30"/>
        <v>0.23281838526145604</v>
      </c>
      <c r="L15" s="595">
        <f t="shared" si="30"/>
        <v>0.27596702874560686</v>
      </c>
      <c r="M15" s="595">
        <f t="shared" si="30"/>
        <v>0.32062587475170301</v>
      </c>
      <c r="N15" s="595">
        <f t="shared" si="30"/>
        <v>0.36684778036801258</v>
      </c>
      <c r="O15" s="595">
        <f t="shared" si="30"/>
        <v>0.4146874526808928</v>
      </c>
      <c r="P15" s="595">
        <f t="shared" si="30"/>
        <v>0.46420151352472394</v>
      </c>
      <c r="Q15" s="595">
        <f t="shared" si="30"/>
        <v>0.51544856649808923</v>
      </c>
      <c r="R15" s="595">
        <f t="shared" si="30"/>
        <v>0.56848926632552232</v>
      </c>
      <c r="S15" s="595">
        <f t="shared" si="30"/>
        <v>0.62338639064691548</v>
      </c>
      <c r="T15" s="595">
        <f t="shared" si="30"/>
        <v>0.68020491431955743</v>
      </c>
      <c r="U15" s="595">
        <f t="shared" si="30"/>
        <v>0.73901208632074189</v>
      </c>
      <c r="V15" s="595">
        <f t="shared" si="30"/>
        <v>0.79987750934196766</v>
      </c>
      <c r="W15" s="595">
        <f t="shared" si="30"/>
        <v>0.86287322216893636</v>
      </c>
      <c r="X15" s="595">
        <f t="shared" si="30"/>
        <v>0.92807378494484905</v>
      </c>
      <c r="Y15" s="595">
        <f t="shared" si="30"/>
        <v>0.99555636741791864</v>
      </c>
      <c r="Z15" s="595">
        <f t="shared" si="30"/>
        <v>1.0654008402775457</v>
      </c>
      <c r="AA15" s="595">
        <f t="shared" si="30"/>
        <v>1.1376898696872595</v>
      </c>
      <c r="AB15" s="595">
        <f t="shared" si="30"/>
        <v>1.2125090151263134</v>
      </c>
      <c r="AC15" s="595">
        <f t="shared" si="30"/>
        <v>1.289946830655734</v>
      </c>
      <c r="AD15" s="595">
        <f t="shared" si="30"/>
        <v>1.3700949697286844</v>
      </c>
      <c r="AE15" s="595">
        <f t="shared" si="30"/>
        <v>1.453048293669188</v>
      </c>
      <c r="AF15" s="595">
        <f t="shared" si="30"/>
        <v>1.5389049839476092</v>
      </c>
      <c r="AG15" s="595">
        <f t="shared" si="30"/>
        <v>1.6277666583857755</v>
      </c>
      <c r="AH15" s="595">
        <f t="shared" si="30"/>
        <v>1.7197384914292773</v>
      </c>
      <c r="AI15" s="595">
        <f t="shared" si="30"/>
        <v>1.8149293386293017</v>
      </c>
    </row>
    <row r="16" spans="2:35" x14ac:dyDescent="0.35">
      <c r="B16" t="s">
        <v>613</v>
      </c>
      <c r="E16" s="490">
        <f>SUM(F16:AI16)</f>
        <v>217999230.09897077</v>
      </c>
      <c r="F16" s="477">
        <f>F11*(1+F15)</f>
        <v>46496342.745810002</v>
      </c>
      <c r="G16" s="477">
        <f t="shared" ref="G16:AH16" si="31">G11*(1+G15)</f>
        <v>7418177.1909400504</v>
      </c>
      <c r="H16" s="477">
        <f t="shared" si="31"/>
        <v>4506425.3000301253</v>
      </c>
      <c r="I16" s="477">
        <f t="shared" si="31"/>
        <v>2623122.2855377444</v>
      </c>
      <c r="J16" s="477">
        <f t="shared" si="31"/>
        <v>82794.415173734902</v>
      </c>
      <c r="K16" s="477">
        <f t="shared" si="31"/>
        <v>177938.98957491849</v>
      </c>
      <c r="L16" s="477">
        <f t="shared" si="31"/>
        <v>4132784.6801411067</v>
      </c>
      <c r="M16" s="477">
        <f t="shared" si="31"/>
        <v>105665.73260301079</v>
      </c>
      <c r="N16" s="477">
        <f t="shared" si="31"/>
        <v>19052188.235070731</v>
      </c>
      <c r="O16" s="477">
        <f t="shared" si="31"/>
        <v>1914379.1248013542</v>
      </c>
      <c r="P16" s="477">
        <f t="shared" si="31"/>
        <v>25912895.448725734</v>
      </c>
      <c r="Q16" s="477">
        <f t="shared" si="31"/>
        <v>0</v>
      </c>
      <c r="R16" s="477">
        <f t="shared" si="31"/>
        <v>0</v>
      </c>
      <c r="S16" s="477">
        <f t="shared" si="31"/>
        <v>260997.99889258901</v>
      </c>
      <c r="T16" s="477">
        <f t="shared" si="31"/>
        <v>5558877.9140641382</v>
      </c>
      <c r="U16" s="477">
        <f t="shared" si="31"/>
        <v>390142.10974955774</v>
      </c>
      <c r="V16" s="477">
        <f t="shared" si="31"/>
        <v>25088093.641868971</v>
      </c>
      <c r="W16" s="477">
        <f t="shared" si="31"/>
        <v>4246033.6753580607</v>
      </c>
      <c r="X16" s="477">
        <f t="shared" si="31"/>
        <v>0</v>
      </c>
      <c r="Y16" s="477">
        <f t="shared" si="31"/>
        <v>2700420.8208037373</v>
      </c>
      <c r="Z16" s="477">
        <f t="shared" si="31"/>
        <v>14228168.234432166</v>
      </c>
      <c r="AA16" s="477">
        <f t="shared" si="31"/>
        <v>0</v>
      </c>
      <c r="AB16" s="477">
        <f t="shared" si="31"/>
        <v>7166190.9409817094</v>
      </c>
      <c r="AC16" s="477">
        <f t="shared" si="31"/>
        <v>5770845.870256423</v>
      </c>
      <c r="AD16" s="477">
        <f t="shared" si="31"/>
        <v>33200971.833067007</v>
      </c>
      <c r="AE16" s="477">
        <f t="shared" si="31"/>
        <v>354061.01983253745</v>
      </c>
      <c r="AF16" s="477">
        <f t="shared" si="31"/>
        <v>0</v>
      </c>
      <c r="AG16" s="477">
        <f t="shared" si="31"/>
        <v>0</v>
      </c>
      <c r="AH16" s="477">
        <f t="shared" si="31"/>
        <v>0</v>
      </c>
      <c r="AI16" s="477">
        <f>AI11*(1+AI15)</f>
        <v>6611711.8912553871</v>
      </c>
    </row>
    <row r="17" spans="2:35" x14ac:dyDescent="0.35">
      <c r="B17" t="s">
        <v>614</v>
      </c>
      <c r="E17" s="490">
        <f>SUM(F17:AI17)</f>
        <v>217999230.09897077</v>
      </c>
      <c r="F17" s="477">
        <f>F16/(PAINEL!$D$33+1-F10)</f>
        <v>1549878.0915270001</v>
      </c>
      <c r="G17" s="477">
        <f>IF(G10&gt;'Premissas Gerais'!$E$7,0,(G16/(PAINEL!$D$33+1-G10))+F17)</f>
        <v>1805677.3050076915</v>
      </c>
      <c r="H17" s="477">
        <f>IF(H10&gt;'Premissas Gerais'!$E$7,0,(H16/(PAINEL!$D$33+1-H10))+G17)</f>
        <v>1966621.0657230532</v>
      </c>
      <c r="I17" s="477">
        <f>IF(I10&gt;'Premissas Gerais'!$E$7,0,(I16/(PAINEL!$D$33+1-I10))+H17)</f>
        <v>2063773.7429651918</v>
      </c>
      <c r="J17" s="477">
        <f>IF(J10&gt;'Premissas Gerais'!$E$7,0,(J16/(PAINEL!$D$33+1-J10))+I17)</f>
        <v>2066958.1435487971</v>
      </c>
      <c r="K17" s="477">
        <f>IF(K10&gt;'Premissas Gerais'!$E$7,0,(K16/(PAINEL!$D$33+1-K10))+J17)</f>
        <v>2074075.7031317938</v>
      </c>
      <c r="L17" s="477">
        <f>IF(L10&gt;'Premissas Gerais'!$E$7,0,(L16/(PAINEL!$D$33+1-L10))+K17)</f>
        <v>2246275.0648043398</v>
      </c>
      <c r="M17" s="477">
        <f>IF(M10&gt;'Premissas Gerais'!$E$7,0,(M16/(PAINEL!$D$33+1-M10))+L17)</f>
        <v>2250869.2270914274</v>
      </c>
      <c r="N17" s="477">
        <f>IF(N10&gt;'Premissas Gerais'!$E$7,0,(N16/(PAINEL!$D$33+1-N10))+M17)</f>
        <v>3116877.783231006</v>
      </c>
      <c r="O17" s="477">
        <f>IF(O10&gt;'Premissas Gerais'!$E$7,0,(O16/(PAINEL!$D$33+1-O10))+N17)</f>
        <v>3208038.6939358325</v>
      </c>
      <c r="P17" s="477">
        <f>IF(P10&gt;'Premissas Gerais'!$E$7,0,(P16/(PAINEL!$D$33+1-P10))+O17)</f>
        <v>4503683.4663721193</v>
      </c>
      <c r="Q17" s="477">
        <f>IF(Q10&gt;'Premissas Gerais'!$E$7,0,(Q16/(PAINEL!$D$33+1-Q10))+P17)</f>
        <v>4503683.4663721193</v>
      </c>
      <c r="R17" s="477">
        <f>IF(R10&gt;'Premissas Gerais'!$E$7,0,(R16/(PAINEL!$D$33+1-R10))+Q17)</f>
        <v>4503683.4663721193</v>
      </c>
      <c r="S17" s="477">
        <f>IF(S10&gt;'Premissas Gerais'!$E$7,0,(S16/(PAINEL!$D$33+1-S10))+R17)</f>
        <v>4519036.289836389</v>
      </c>
      <c r="T17" s="477">
        <f>IF(T10&gt;'Premissas Gerais'!$E$7,0,(T16/(PAINEL!$D$33+1-T10))+S17)</f>
        <v>4866466.1594653977</v>
      </c>
      <c r="U17" s="477">
        <f>IF(U10&gt;'Premissas Gerais'!$E$7,0,(U16/(PAINEL!$D$33+1-U10))+T17)</f>
        <v>4892475.6334487014</v>
      </c>
      <c r="V17" s="477">
        <f>IF(V10&gt;'Premissas Gerais'!$E$7,0,(V16/(PAINEL!$D$33+1-V10))+U17)</f>
        <v>6684482.3221536279</v>
      </c>
      <c r="W17" s="477">
        <f>IF(W10&gt;'Premissas Gerais'!$E$7,0,(W16/(PAINEL!$D$33+1-W10))+V17)</f>
        <v>7011100.2971811714</v>
      </c>
      <c r="X17" s="477">
        <f>IF(X10&gt;'Premissas Gerais'!$E$7,0,(X16/(PAINEL!$D$33+1-X10))+W17)</f>
        <v>7011100.2971811714</v>
      </c>
      <c r="Y17" s="477">
        <f>IF(Y10&gt;'Premissas Gerais'!$E$7,0,(Y16/(PAINEL!$D$33+1-Y10))+X17)</f>
        <v>7256593.09907242</v>
      </c>
      <c r="Z17" s="477">
        <f>IF(Z10&gt;'Premissas Gerais'!$E$7,0,(Z16/(PAINEL!$D$33+1-Z10))+Y17)</f>
        <v>8679409.9225156363</v>
      </c>
      <c r="AA17" s="477">
        <f>IF(AA10&gt;'Premissas Gerais'!$E$7,0,(AA16/(PAINEL!$D$33+1-AA10))+Z17)</f>
        <v>8679409.9225156363</v>
      </c>
      <c r="AB17" s="477">
        <f>IF(AB10&gt;'Premissas Gerais'!$E$7,0,(AB16/(PAINEL!$D$33+1-AB10))+AA17)</f>
        <v>9575183.7901383508</v>
      </c>
      <c r="AC17" s="477">
        <f>IF(AC10&gt;'Premissas Gerais'!$E$7,0,(AC16/(PAINEL!$D$33+1-AC10))+AB17)</f>
        <v>10399590.343032125</v>
      </c>
      <c r="AD17" s="477">
        <f>IF(AD10&gt;'Premissas Gerais'!$E$7,0,(AD16/(PAINEL!$D$33+1-AD10))+AC17)</f>
        <v>15933085.648543295</v>
      </c>
      <c r="AE17" s="477">
        <f>IF(AE10&gt;'Premissas Gerais'!$E$7,0,(AE16/(PAINEL!$D$33+1-AE10))+AD17)</f>
        <v>16003897.852509802</v>
      </c>
      <c r="AF17" s="477">
        <f>IF(AF10&gt;'Premissas Gerais'!$E$7,0,(AF16/(PAINEL!$D$33+1-AF10))+AE17)</f>
        <v>16003897.852509802</v>
      </c>
      <c r="AG17" s="477">
        <f>IF(AG10&gt;'Premissas Gerais'!$E$7,0,(AG16/(PAINEL!$D$33+1-AG10))+AF17)</f>
        <v>16003897.852509802</v>
      </c>
      <c r="AH17" s="477">
        <f>IF(AH10&gt;'Premissas Gerais'!$E$7,0,(AH16/(PAINEL!$D$33+1-AH10))+AG17)</f>
        <v>16003897.852509802</v>
      </c>
      <c r="AI17" s="477">
        <f>IF(AI10&gt;'Premissas Gerais'!$E$7,0,(AI16/(PAINEL!$D$33+1-AI10))+AH17)</f>
        <v>22615609.74376519</v>
      </c>
    </row>
    <row r="18" spans="2:35" x14ac:dyDescent="0.35">
      <c r="B18" t="s">
        <v>615</v>
      </c>
      <c r="E18" s="476"/>
      <c r="F18" s="477">
        <f>F16-F17</f>
        <v>44946464.654283002</v>
      </c>
      <c r="G18" s="477">
        <f>G16-G17+F18</f>
        <v>50558964.540215358</v>
      </c>
      <c r="H18" s="477">
        <f t="shared" ref="H18:AI18" si="32">H16-H17+G18</f>
        <v>53098768.774522431</v>
      </c>
      <c r="I18" s="477">
        <f t="shared" si="32"/>
        <v>53658117.317094982</v>
      </c>
      <c r="J18" s="477">
        <f t="shared" si="32"/>
        <v>51673953.588719919</v>
      </c>
      <c r="K18" s="477">
        <f t="shared" si="32"/>
        <v>49777816.875163041</v>
      </c>
      <c r="L18" s="477">
        <f t="shared" si="32"/>
        <v>51664326.490499809</v>
      </c>
      <c r="M18" s="477">
        <f t="shared" si="32"/>
        <v>49519122.996011391</v>
      </c>
      <c r="N18" s="477">
        <f t="shared" si="32"/>
        <v>65454433.447851121</v>
      </c>
      <c r="O18" s="477">
        <f t="shared" si="32"/>
        <v>64160773.87871664</v>
      </c>
      <c r="P18" s="477">
        <f t="shared" si="32"/>
        <v>85569985.861070246</v>
      </c>
      <c r="Q18" s="477">
        <f t="shared" si="32"/>
        <v>81066302.394698128</v>
      </c>
      <c r="R18" s="477">
        <f t="shared" si="32"/>
        <v>76562618.928326011</v>
      </c>
      <c r="S18" s="477">
        <f t="shared" si="32"/>
        <v>72304580.637382209</v>
      </c>
      <c r="T18" s="477">
        <f t="shared" si="32"/>
        <v>72996992.391980946</v>
      </c>
      <c r="U18" s="477">
        <f t="shared" si="32"/>
        <v>68494658.868281797</v>
      </c>
      <c r="V18" s="477">
        <f t="shared" si="32"/>
        <v>86898270.187997133</v>
      </c>
      <c r="W18" s="477">
        <f t="shared" si="32"/>
        <v>84133203.566174015</v>
      </c>
      <c r="X18" s="477">
        <f t="shared" si="32"/>
        <v>77122103.268992841</v>
      </c>
      <c r="Y18" s="477">
        <f t="shared" si="32"/>
        <v>72565930.990724161</v>
      </c>
      <c r="Z18" s="477">
        <f t="shared" si="32"/>
        <v>78114689.302640691</v>
      </c>
      <c r="AA18" s="477">
        <f t="shared" si="32"/>
        <v>69435279.380125061</v>
      </c>
      <c r="AB18" s="477">
        <f t="shared" si="32"/>
        <v>67026286.53096842</v>
      </c>
      <c r="AC18" s="477">
        <f t="shared" si="32"/>
        <v>62397542.058192715</v>
      </c>
      <c r="AD18" s="477">
        <f t="shared" si="32"/>
        <v>79665428.242716432</v>
      </c>
      <c r="AE18" s="477">
        <f t="shared" si="32"/>
        <v>64015591.410039164</v>
      </c>
      <c r="AF18" s="477">
        <f t="shared" si="32"/>
        <v>48011693.55752936</v>
      </c>
      <c r="AG18" s="477">
        <f t="shared" si="32"/>
        <v>32007795.705019556</v>
      </c>
      <c r="AH18" s="477">
        <f t="shared" si="32"/>
        <v>16003897.852509754</v>
      </c>
      <c r="AI18" s="477">
        <f t="shared" si="32"/>
        <v>-5.029141902923584E-8</v>
      </c>
    </row>
    <row r="19" spans="2:35" x14ac:dyDescent="0.35">
      <c r="B19" s="747" t="s">
        <v>616</v>
      </c>
      <c r="C19" s="747"/>
      <c r="D19" s="747"/>
      <c r="E19" s="596">
        <f>SUM(F19:AI19)</f>
        <v>107019524.12789999</v>
      </c>
      <c r="F19" s="596">
        <f>F17/(1+F15)</f>
        <v>1493138.8165</v>
      </c>
      <c r="G19" s="596">
        <f>G17/(1+G15)</f>
        <v>1680747.3541720808</v>
      </c>
      <c r="H19" s="596">
        <f t="shared" ref="H19:AI19" si="33">H17/(1+H15)</f>
        <v>1768652.9946227835</v>
      </c>
      <c r="I19" s="596">
        <f t="shared" si="33"/>
        <v>1793261.7279543802</v>
      </c>
      <c r="J19" s="596">
        <f t="shared" si="33"/>
        <v>1735293.4577782939</v>
      </c>
      <c r="K19" s="596">
        <f t="shared" si="33"/>
        <v>1682385.441300767</v>
      </c>
      <c r="L19" s="596">
        <f t="shared" si="33"/>
        <v>1760449.1450007411</v>
      </c>
      <c r="M19" s="596">
        <f t="shared" si="33"/>
        <v>1704395.8248316343</v>
      </c>
      <c r="N19" s="596">
        <f t="shared" si="33"/>
        <v>2280340.0846814211</v>
      </c>
      <c r="O19" s="596">
        <f t="shared" si="33"/>
        <v>2267666.0401959904</v>
      </c>
      <c r="P19" s="596">
        <f t="shared" si="33"/>
        <v>3075863.1409487831</v>
      </c>
      <c r="Q19" s="596">
        <f t="shared" si="33"/>
        <v>2971848.445361143</v>
      </c>
      <c r="R19" s="596">
        <f t="shared" si="33"/>
        <v>2871351.1549383025</v>
      </c>
      <c r="S19" s="596">
        <f t="shared" si="33"/>
        <v>2783709.6059648278</v>
      </c>
      <c r="T19" s="596">
        <f t="shared" si="33"/>
        <v>2896352.7710167421</v>
      </c>
      <c r="U19" s="596">
        <f t="shared" si="33"/>
        <v>2813364.9397456446</v>
      </c>
      <c r="V19" s="596">
        <f t="shared" si="33"/>
        <v>3713854.0192090427</v>
      </c>
      <c r="W19" s="596">
        <f t="shared" si="33"/>
        <v>3763594.9745512865</v>
      </c>
      <c r="X19" s="596">
        <f t="shared" si="33"/>
        <v>3636323.6469094558</v>
      </c>
      <c r="Y19" s="596">
        <f t="shared" si="33"/>
        <v>3636375.9087706646</v>
      </c>
      <c r="Z19" s="596">
        <f t="shared" si="33"/>
        <v>4202288.3661407391</v>
      </c>
      <c r="AA19" s="596">
        <f t="shared" si="33"/>
        <v>4060181.9962712456</v>
      </c>
      <c r="AB19" s="596">
        <f t="shared" si="33"/>
        <v>4327749.0508176293</v>
      </c>
      <c r="AC19" s="596">
        <f t="shared" si="33"/>
        <v>4541411.269384874</v>
      </c>
      <c r="AD19" s="596">
        <f t="shared" si="33"/>
        <v>6722551.5652510868</v>
      </c>
      <c r="AE19" s="596">
        <f t="shared" si="33"/>
        <v>6524085.9276242396</v>
      </c>
      <c r="AF19" s="596">
        <f t="shared" si="33"/>
        <v>6303464.6643712465</v>
      </c>
      <c r="AG19" s="596">
        <f t="shared" si="33"/>
        <v>6090304.023547098</v>
      </c>
      <c r="AH19" s="596">
        <f t="shared" si="33"/>
        <v>5884351.7135720765</v>
      </c>
      <c r="AI19" s="596">
        <f t="shared" si="33"/>
        <v>8034166.0564657757</v>
      </c>
    </row>
    <row r="20" spans="2:35" x14ac:dyDescent="0.35">
      <c r="B20" t="s">
        <v>617</v>
      </c>
      <c r="E20" s="476"/>
      <c r="F20" s="477">
        <f>F12-F19</f>
        <v>0</v>
      </c>
      <c r="G20" s="477">
        <f>G12-G19</f>
        <v>50492.616983091692</v>
      </c>
      <c r="H20" s="477">
        <f t="shared" ref="H20:AI20" si="34">H12-H19</f>
        <v>107329.48403238901</v>
      </c>
      <c r="I20" s="477">
        <f t="shared" si="34"/>
        <v>167139.00558968121</v>
      </c>
      <c r="J20" s="477">
        <f t="shared" si="34"/>
        <v>227780.70653499826</v>
      </c>
      <c r="K20" s="477">
        <f t="shared" si="34"/>
        <v>286462.12781252502</v>
      </c>
      <c r="L20" s="477">
        <f t="shared" si="34"/>
        <v>343354.389112551</v>
      </c>
      <c r="M20" s="477">
        <f t="shared" si="34"/>
        <v>402886.48580339691</v>
      </c>
      <c r="N20" s="477">
        <f t="shared" si="34"/>
        <v>460523.05958997412</v>
      </c>
      <c r="O20" s="477">
        <f t="shared" si="34"/>
        <v>537636.00931350002</v>
      </c>
      <c r="P20" s="477">
        <f t="shared" si="34"/>
        <v>614320.36816070741</v>
      </c>
      <c r="Q20" s="477">
        <f t="shared" si="34"/>
        <v>718335.06374834757</v>
      </c>
      <c r="R20" s="477">
        <f t="shared" si="34"/>
        <v>818832.35417118808</v>
      </c>
      <c r="S20" s="477">
        <f t="shared" si="34"/>
        <v>915931.18549760384</v>
      </c>
      <c r="T20" s="477">
        <f t="shared" si="34"/>
        <v>1010066.2929456895</v>
      </c>
      <c r="U20" s="477">
        <f t="shared" si="34"/>
        <v>1108010.5895501203</v>
      </c>
      <c r="V20" s="477">
        <f t="shared" si="34"/>
        <v>1203148.5343724363</v>
      </c>
      <c r="W20" s="477">
        <f t="shared" si="34"/>
        <v>1328737.8007225003</v>
      </c>
      <c r="X20" s="477">
        <f t="shared" si="34"/>
        <v>1456009.1283643311</v>
      </c>
      <c r="Y20" s="477">
        <f t="shared" si="34"/>
        <v>1578976.5946849408</v>
      </c>
      <c r="Z20" s="477">
        <f t="shared" si="34"/>
        <v>1701945.8283148659</v>
      </c>
      <c r="AA20" s="477">
        <f t="shared" si="34"/>
        <v>1844052.1981843594</v>
      </c>
      <c r="AB20" s="477">
        <f t="shared" si="34"/>
        <v>1981353.0386379752</v>
      </c>
      <c r="AC20" s="477">
        <f t="shared" si="34"/>
        <v>2127702.0403564451</v>
      </c>
      <c r="AD20" s="477">
        <f t="shared" si="34"/>
        <v>2281276.3344902331</v>
      </c>
      <c r="AE20" s="477">
        <f t="shared" si="34"/>
        <v>2508608.9961170806</v>
      </c>
      <c r="AF20" s="477">
        <f t="shared" si="34"/>
        <v>2729230.2593700737</v>
      </c>
      <c r="AG20" s="477">
        <f t="shared" si="34"/>
        <v>2942390.9001942221</v>
      </c>
      <c r="AH20" s="477">
        <f t="shared" si="34"/>
        <v>3148343.2101692436</v>
      </c>
      <c r="AI20" s="477">
        <f t="shared" si="34"/>
        <v>3347330.9492755448</v>
      </c>
    </row>
    <row r="21" spans="2:35" x14ac:dyDescent="0.35">
      <c r="B21" s="241" t="s">
        <v>618</v>
      </c>
      <c r="C21" s="241"/>
      <c r="D21" s="241"/>
      <c r="E21" s="745">
        <f>SUM(F21:AI21)</f>
        <v>107019524.12790002</v>
      </c>
      <c r="F21" s="746">
        <f>F11-F20</f>
        <v>44794164.494999997</v>
      </c>
      <c r="G21" s="746">
        <f>G11-G20</f>
        <v>6854440.8680169089</v>
      </c>
      <c r="H21" s="746">
        <f>H11-H20</f>
        <v>3945460.7259676112</v>
      </c>
      <c r="I21" s="746">
        <f>I11-I20</f>
        <v>2112153.8764103185</v>
      </c>
      <c r="J21" s="746">
        <f>J11-J20</f>
        <v>-158271.50653499825</v>
      </c>
      <c r="K21" s="746">
        <f t="shared" ref="K21:AI21" si="35">K11-K20</f>
        <v>-142127.00781252503</v>
      </c>
      <c r="L21" s="746">
        <f t="shared" si="35"/>
        <v>2895588.7708874494</v>
      </c>
      <c r="M21" s="746">
        <f t="shared" si="35"/>
        <v>-322874.62580339692</v>
      </c>
      <c r="N21" s="746">
        <f t="shared" si="35"/>
        <v>13478255.280410027</v>
      </c>
      <c r="O21" s="746">
        <f t="shared" si="35"/>
        <v>815581.00068649999</v>
      </c>
      <c r="P21" s="746">
        <f t="shared" si="35"/>
        <v>17083308.823839292</v>
      </c>
      <c r="Q21" s="746">
        <f t="shared" si="35"/>
        <v>-718335.06374834757</v>
      </c>
      <c r="R21" s="746">
        <f t="shared" si="35"/>
        <v>-818832.35417118808</v>
      </c>
      <c r="S21" s="746">
        <f t="shared" si="35"/>
        <v>-755157.38549760391</v>
      </c>
      <c r="T21" s="746">
        <f t="shared" si="35"/>
        <v>2298386.0670543108</v>
      </c>
      <c r="U21" s="746">
        <f t="shared" si="35"/>
        <v>-883663.60955012031</v>
      </c>
      <c r="V21" s="746">
        <f t="shared" si="35"/>
        <v>12735629.805627566</v>
      </c>
      <c r="W21" s="746">
        <f t="shared" si="35"/>
        <v>950555.08127749944</v>
      </c>
      <c r="X21" s="746">
        <f t="shared" si="35"/>
        <v>-1456009.1283643311</v>
      </c>
      <c r="Y21" s="746">
        <f t="shared" si="35"/>
        <v>-225759.58468494075</v>
      </c>
      <c r="Z21" s="746">
        <f t="shared" si="35"/>
        <v>5186871.0816851342</v>
      </c>
      <c r="AA21" s="746">
        <f t="shared" si="35"/>
        <v>-1844052.1981843594</v>
      </c>
      <c r="AB21" s="746">
        <f t="shared" si="35"/>
        <v>1257590.1213620249</v>
      </c>
      <c r="AC21" s="746">
        <f t="shared" si="35"/>
        <v>392376.50164355477</v>
      </c>
      <c r="AD21" s="746">
        <f t="shared" si="35"/>
        <v>11727011.205509767</v>
      </c>
      <c r="AE21" s="746">
        <f t="shared" si="35"/>
        <v>-2364273.8761170805</v>
      </c>
      <c r="AF21" s="746">
        <f t="shared" si="35"/>
        <v>-2729230.2593700737</v>
      </c>
      <c r="AG21" s="746">
        <f t="shared" si="35"/>
        <v>-2942390.9001942221</v>
      </c>
      <c r="AH21" s="746">
        <f t="shared" si="35"/>
        <v>-3148343.2101692436</v>
      </c>
      <c r="AI21" s="746">
        <f t="shared" si="35"/>
        <v>-998528.86727554491</v>
      </c>
    </row>
    <row r="22" spans="2:35" x14ac:dyDescent="0.35">
      <c r="B22" s="241" t="s">
        <v>619</v>
      </c>
      <c r="C22" s="241"/>
      <c r="D22" s="241"/>
      <c r="E22" s="745"/>
      <c r="F22" s="746">
        <f>F21-F19</f>
        <v>43301025.678499997</v>
      </c>
      <c r="G22" s="746">
        <f>IF(G13&gt;'Premissas Gerais'!$E$7,0,F22+G21-G19+G20)</f>
        <v>48525211.809327915</v>
      </c>
      <c r="H22" s="746">
        <f>IF(H13&gt;'Premissas Gerais'!$E$7,0,G22+H21-H19+H20)</f>
        <v>50809349.024705134</v>
      </c>
      <c r="I22" s="746">
        <f>IF(I13&gt;'Premissas Gerais'!$E$7,0,H22+I21-I19+I20)</f>
        <v>51295380.178750753</v>
      </c>
      <c r="J22" s="746">
        <f>IF(J13&gt;'Premissas Gerais'!$E$7,0,I22+J21-J19+J20)</f>
        <v>49629595.920972452</v>
      </c>
      <c r="K22" s="746">
        <f>IF(K13&gt;'Premissas Gerais'!$E$7,0,J22+K21-K19+K20)</f>
        <v>48091545.599671692</v>
      </c>
      <c r="L22" s="746">
        <f>IF(L13&gt;'Premissas Gerais'!$E$7,0,K22+L21-L19+L20)</f>
        <v>49570039.614670955</v>
      </c>
      <c r="M22" s="746">
        <f>IF(M13&gt;'Premissas Gerais'!$E$7,0,L22+M21-M19+M20)</f>
        <v>47945655.649839319</v>
      </c>
      <c r="N22" s="746">
        <f>IF(N13&gt;'Premissas Gerais'!$E$7,0,M22+N21-N19+N20)</f>
        <v>59604093.905157901</v>
      </c>
      <c r="O22" s="746">
        <f>IF(O13&gt;'Premissas Gerais'!$E$7,0,N22+O21-O19+O20)</f>
        <v>58689644.874961905</v>
      </c>
      <c r="P22" s="746">
        <f>IF(P13&gt;'Premissas Gerais'!$E$7,0,O22+P21-P19+P20)</f>
        <v>73311410.926013112</v>
      </c>
      <c r="Q22" s="746">
        <f>IF(Q13&gt;'Premissas Gerais'!$E$7,0,P22+Q21-Q19+Q20)</f>
        <v>70339562.480651975</v>
      </c>
      <c r="R22" s="746">
        <f>IF(R13&gt;'Premissas Gerais'!$E$7,0,Q22+R21-R19+R20)</f>
        <v>67468211.325713679</v>
      </c>
      <c r="S22" s="746">
        <f>IF(S13&gt;'Premissas Gerais'!$E$7,0,R22+S21-S19+S20)</f>
        <v>64845275.519748852</v>
      </c>
      <c r="T22" s="746">
        <f>IF(T13&gt;'Premissas Gerais'!$E$7,0,S22+T21-T19+T20)</f>
        <v>65257375.108732119</v>
      </c>
      <c r="U22" s="746">
        <f>IF(U13&gt;'Premissas Gerais'!$E$7,0,T22+U21-U19+U20)</f>
        <v>62668357.148986481</v>
      </c>
      <c r="V22" s="746">
        <f>IF(V13&gt;'Premissas Gerais'!$E$7,0,U22+V21-V19+V20)</f>
        <v>72893281.469777435</v>
      </c>
      <c r="W22" s="746">
        <f>IF(W13&gt;'Premissas Gerais'!$E$7,0,V22+W21-W19+W20)</f>
        <v>71408979.377226144</v>
      </c>
      <c r="X22" s="746">
        <f>IF(X13&gt;'Premissas Gerais'!$E$7,0,W22+X21-X19+X20)</f>
        <v>67772655.730316699</v>
      </c>
      <c r="Y22" s="746">
        <f>IF(Y13&gt;'Premissas Gerais'!$E$7,0,X22+Y21-Y19+Y20)</f>
        <v>65489496.831546038</v>
      </c>
      <c r="Z22" s="746">
        <f>IF(Z13&gt;'Premissas Gerais'!$E$7,0,Y22+Z21-Z19+Z20)</f>
        <v>68176025.375405312</v>
      </c>
      <c r="AA22" s="746">
        <f>IF(AA13&gt;'Premissas Gerais'!$E$7,0,Z22+AA21-AA19+AA20)</f>
        <v>64115843.379134066</v>
      </c>
      <c r="AB22" s="746">
        <f>IF(AB13&gt;'Premissas Gerais'!$E$7,0,AA22+AB21-AB19+AB20)</f>
        <v>63027037.488316432</v>
      </c>
      <c r="AC22" s="746">
        <f>IF(AC13&gt;'Premissas Gerais'!$E$7,0,AB22+AC21-AC19+AC20)</f>
        <v>61005704.760931551</v>
      </c>
      <c r="AD22" s="746">
        <f>IF(AD13&gt;'Premissas Gerais'!$E$7,0,AC22+AD21-AD19+AD20)</f>
        <v>68291440.735680461</v>
      </c>
      <c r="AE22" s="746">
        <f>IF(AE13&gt;'Premissas Gerais'!$E$7,0,AD22+AE21-AE19+AE20)</f>
        <v>61911689.928056218</v>
      </c>
      <c r="AF22" s="746">
        <f>IF(AF13&gt;'Premissas Gerais'!$E$7,0,AE22+AF21-AF19+AF20)</f>
        <v>55608225.263684973</v>
      </c>
      <c r="AG22" s="746">
        <f>IF(AG13&gt;'Premissas Gerais'!$E$7,0,AF22+AG21-AG19+AG20)</f>
        <v>49517921.240137875</v>
      </c>
      <c r="AH22" s="746">
        <f>IF(AH13&gt;'Premissas Gerais'!$E$7,0,AG22+AH21-AH19+AH20)</f>
        <v>43633569.526565798</v>
      </c>
      <c r="AI22" s="746">
        <f>IF(AI13&gt;'Premissas Gerais'!$E$7,0,AH22+AI21-AI19+AI20)</f>
        <v>37948205.552100025</v>
      </c>
    </row>
    <row r="23" spans="2:35" x14ac:dyDescent="0.35">
      <c r="L23" s="97"/>
    </row>
    <row r="24" spans="2:35" x14ac:dyDescent="0.35">
      <c r="G24" s="97"/>
      <c r="L24" s="97"/>
    </row>
  </sheetData>
  <sheetProtection algorithmName="SHA-512" hashValue="yDUPh/zDTBSw/to/QrNeUZB+Wb2SXQRb+JLwtqAyndtIs6Xljr39Ftc69S9yd2YEW2toYo5VoDs9ECpCN5qTqg==" saltValue="ijrQmE9+SJgSwSF7sdbD8g==" spinCount="100000" sheet="1" objects="1" scenarios="1"/>
  <mergeCells count="1">
    <mergeCell ref="C5:M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&amp;C_x000D_&amp;1#&amp;"Aptos"&amp;10&amp;K000000 INFORMAÇÃO CONTROLADA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2A41-5D4B-4014-968B-39B4E42A83A7}">
  <sheetPr codeName="Planilha19"/>
  <dimension ref="B1:L45"/>
  <sheetViews>
    <sheetView showGridLines="0" topLeftCell="A31" zoomScaleNormal="100" workbookViewId="0">
      <selection activeCell="K11" sqref="K11"/>
    </sheetView>
  </sheetViews>
  <sheetFormatPr defaultColWidth="8.81640625" defaultRowHeight="14.5" x14ac:dyDescent="0.35"/>
  <cols>
    <col min="1" max="1" width="1.6328125" customWidth="1"/>
    <col min="2" max="2" width="3.6328125" customWidth="1"/>
    <col min="4" max="4" width="49" customWidth="1"/>
    <col min="5" max="5" width="10.08984375" bestFit="1" customWidth="1"/>
    <col min="6" max="6" width="3.36328125" customWidth="1"/>
    <col min="7" max="7" width="1.36328125" customWidth="1"/>
    <col min="8" max="8" width="82.81640625" style="4" customWidth="1"/>
    <col min="9" max="9" width="19" customWidth="1"/>
    <col min="10" max="10" width="15.36328125" customWidth="1"/>
  </cols>
  <sheetData>
    <row r="1" spans="2:8" ht="15" thickBot="1" x14ac:dyDescent="0.4"/>
    <row r="2" spans="2:8" x14ac:dyDescent="0.35">
      <c r="B2" s="1953" t="s">
        <v>620</v>
      </c>
      <c r="C2" s="1954"/>
      <c r="D2" s="1954"/>
      <c r="E2" s="1954"/>
      <c r="F2" s="1955"/>
      <c r="H2" s="72"/>
    </row>
    <row r="3" spans="2:8" ht="21.5" thickBot="1" x14ac:dyDescent="0.55000000000000004">
      <c r="B3" s="1956"/>
      <c r="C3" s="1957"/>
      <c r="D3" s="1957"/>
      <c r="E3" s="1957"/>
      <c r="F3" s="1958"/>
      <c r="H3" s="73"/>
    </row>
    <row r="4" spans="2:8" ht="15" thickBot="1" x14ac:dyDescent="0.4"/>
    <row r="5" spans="2:8" x14ac:dyDescent="0.35">
      <c r="B5" s="5"/>
      <c r="C5" s="6"/>
      <c r="D5" s="6"/>
      <c r="E5" s="7"/>
      <c r="F5" s="8"/>
      <c r="H5" s="71" t="s">
        <v>621</v>
      </c>
    </row>
    <row r="6" spans="2:8" ht="17.5" x14ac:dyDescent="0.45">
      <c r="B6" s="9"/>
      <c r="C6" s="10" t="s">
        <v>622</v>
      </c>
      <c r="D6" s="11"/>
      <c r="E6" s="393">
        <f>E10+E11*(E14)+E13</f>
        <v>0.15932039557090838</v>
      </c>
      <c r="F6" s="12"/>
      <c r="G6" s="13"/>
      <c r="H6" s="14"/>
    </row>
    <row r="7" spans="2:8" ht="16.5" x14ac:dyDescent="0.45">
      <c r="B7" s="9"/>
      <c r="C7" s="1959" t="s">
        <v>623</v>
      </c>
      <c r="D7" s="1960"/>
      <c r="E7" s="15"/>
      <c r="F7" s="16"/>
      <c r="H7" s="17"/>
    </row>
    <row r="8" spans="2:8" x14ac:dyDescent="0.35">
      <c r="B8" s="9"/>
      <c r="E8" s="18"/>
      <c r="F8" s="16"/>
      <c r="H8" s="17"/>
    </row>
    <row r="9" spans="2:8" x14ac:dyDescent="0.35">
      <c r="B9" s="9"/>
      <c r="C9" s="19" t="s">
        <v>339</v>
      </c>
      <c r="E9" s="18"/>
      <c r="F9" s="16"/>
      <c r="H9" s="17"/>
    </row>
    <row r="10" spans="2:8" ht="29" x14ac:dyDescent="0.35">
      <c r="B10" s="9"/>
      <c r="C10" s="20" t="s">
        <v>624</v>
      </c>
      <c r="D10" s="21" t="s">
        <v>625</v>
      </c>
      <c r="E10" s="403">
        <v>2.711059576169534E-2</v>
      </c>
      <c r="F10" s="22"/>
      <c r="H10" s="23" t="s">
        <v>626</v>
      </c>
    </row>
    <row r="11" spans="2:8" ht="43.5" x14ac:dyDescent="0.35">
      <c r="B11" s="9"/>
      <c r="C11" s="24" t="s">
        <v>627</v>
      </c>
      <c r="D11" s="25" t="s">
        <v>628</v>
      </c>
      <c r="E11" s="394">
        <f>E17</f>
        <v>1.0132022036686055</v>
      </c>
      <c r="F11" s="26"/>
      <c r="H11" s="23" t="s">
        <v>629</v>
      </c>
    </row>
    <row r="12" spans="2:8" ht="16.5" x14ac:dyDescent="0.35">
      <c r="B12" s="9"/>
      <c r="C12" s="24" t="s">
        <v>630</v>
      </c>
      <c r="D12" s="25" t="s">
        <v>631</v>
      </c>
      <c r="E12" s="404">
        <v>0.1300120176536721</v>
      </c>
      <c r="F12" s="27"/>
      <c r="H12" s="23" t="s">
        <v>632</v>
      </c>
    </row>
    <row r="13" spans="2:8" ht="16.5" x14ac:dyDescent="0.45">
      <c r="B13" s="9"/>
      <c r="C13" s="28" t="s">
        <v>633</v>
      </c>
      <c r="D13" s="25" t="s">
        <v>634</v>
      </c>
      <c r="E13" s="404">
        <v>2.7949852387629304E-2</v>
      </c>
      <c r="F13" s="27"/>
      <c r="H13" s="1596" t="s">
        <v>635</v>
      </c>
    </row>
    <row r="14" spans="2:8" ht="16.5" x14ac:dyDescent="0.35">
      <c r="B14" s="9"/>
      <c r="C14" s="29" t="s">
        <v>636</v>
      </c>
      <c r="D14" s="30" t="s">
        <v>637</v>
      </c>
      <c r="E14" s="395">
        <f>E12-E10</f>
        <v>0.10290142189197676</v>
      </c>
      <c r="F14" s="31"/>
      <c r="G14" s="2"/>
      <c r="H14" s="14"/>
    </row>
    <row r="15" spans="2:8" x14ac:dyDescent="0.35">
      <c r="B15" s="9"/>
      <c r="C15" s="18"/>
      <c r="E15" s="32"/>
      <c r="F15" s="31"/>
      <c r="H15" s="33"/>
    </row>
    <row r="16" spans="2:8" ht="43.5" x14ac:dyDescent="0.35">
      <c r="B16" s="9"/>
      <c r="C16" s="20" t="s">
        <v>638</v>
      </c>
      <c r="D16" s="21" t="s">
        <v>639</v>
      </c>
      <c r="E16" s="405">
        <v>0.82</v>
      </c>
      <c r="F16" s="34"/>
      <c r="H16" s="23" t="s">
        <v>640</v>
      </c>
    </row>
    <row r="17" spans="2:8" ht="16.5" x14ac:dyDescent="0.35">
      <c r="B17" s="9"/>
      <c r="C17" s="24" t="s">
        <v>627</v>
      </c>
      <c r="D17" s="35" t="s">
        <v>641</v>
      </c>
      <c r="E17" s="396">
        <f>E16*(1+(1-E36)*(E43/E42))</f>
        <v>1.0132022036686055</v>
      </c>
      <c r="F17" s="34"/>
      <c r="H17" s="17"/>
    </row>
    <row r="18" spans="2:8" x14ac:dyDescent="0.35">
      <c r="B18" s="9"/>
      <c r="C18" s="29"/>
      <c r="D18" s="36" t="s">
        <v>642</v>
      </c>
      <c r="E18" s="37"/>
      <c r="F18" s="31"/>
      <c r="H18" s="17"/>
    </row>
    <row r="19" spans="2:8" ht="15" thickBot="1" x14ac:dyDescent="0.4">
      <c r="B19" s="38"/>
      <c r="C19" s="39"/>
      <c r="D19" s="40"/>
      <c r="E19" s="41"/>
      <c r="F19" s="42"/>
      <c r="H19" s="17"/>
    </row>
    <row r="20" spans="2:8" x14ac:dyDescent="0.35">
      <c r="B20" s="5"/>
      <c r="C20" s="7"/>
      <c r="D20" s="6"/>
      <c r="E20" s="43"/>
      <c r="F20" s="44"/>
      <c r="H20" s="17"/>
    </row>
    <row r="21" spans="2:8" ht="17.5" x14ac:dyDescent="0.45">
      <c r="B21" s="9"/>
      <c r="C21" s="45" t="s">
        <v>643</v>
      </c>
      <c r="D21" s="46"/>
      <c r="E21" s="397">
        <f>(1+E6)/(1+E23)-1</f>
        <v>0.13609527855931369</v>
      </c>
      <c r="F21" s="31"/>
      <c r="H21" s="17"/>
    </row>
    <row r="22" spans="2:8" ht="16.5" x14ac:dyDescent="0.45">
      <c r="B22" s="9"/>
      <c r="C22" s="47" t="s">
        <v>644</v>
      </c>
      <c r="D22" s="48" t="s">
        <v>645</v>
      </c>
      <c r="E22" s="49"/>
      <c r="F22" s="31"/>
      <c r="H22" s="17"/>
    </row>
    <row r="23" spans="2:8" ht="16.5" x14ac:dyDescent="0.45">
      <c r="B23" s="9"/>
      <c r="C23" s="50"/>
      <c r="D23" s="51" t="s">
        <v>646</v>
      </c>
      <c r="E23" s="398">
        <f>((1+E27)/(1+E28)-1)</f>
        <v>2.044293066779268E-2</v>
      </c>
      <c r="F23" s="31"/>
      <c r="H23" s="17"/>
    </row>
    <row r="24" spans="2:8" x14ac:dyDescent="0.35">
      <c r="B24" s="9"/>
      <c r="C24" s="52"/>
      <c r="D24" s="53"/>
      <c r="E24" s="54"/>
      <c r="F24" s="31"/>
      <c r="H24" s="17"/>
    </row>
    <row r="25" spans="2:8" x14ac:dyDescent="0.35">
      <c r="B25" s="9"/>
      <c r="C25" s="18"/>
      <c r="E25" s="32"/>
      <c r="F25" s="31"/>
      <c r="H25" s="17"/>
    </row>
    <row r="26" spans="2:8" x14ac:dyDescent="0.35">
      <c r="B26" s="9"/>
      <c r="C26" s="55" t="s">
        <v>339</v>
      </c>
      <c r="E26" s="32"/>
      <c r="F26" s="31"/>
      <c r="H26" s="17"/>
    </row>
    <row r="27" spans="2:8" ht="29" x14ac:dyDescent="0.35">
      <c r="B27" s="9"/>
      <c r="C27" s="56"/>
      <c r="D27" s="57" t="s">
        <v>647</v>
      </c>
      <c r="E27" s="74">
        <f>E10</f>
        <v>2.711059576169534E-2</v>
      </c>
      <c r="F27" s="31"/>
      <c r="H27" s="23" t="s">
        <v>648</v>
      </c>
    </row>
    <row r="28" spans="2:8" ht="29" x14ac:dyDescent="0.35">
      <c r="B28" s="9"/>
      <c r="C28" s="52"/>
      <c r="D28" s="58" t="s">
        <v>649</v>
      </c>
      <c r="E28" s="406">
        <v>6.534089162182931E-3</v>
      </c>
      <c r="F28" s="31"/>
      <c r="G28" s="19"/>
      <c r="H28" s="23" t="s">
        <v>650</v>
      </c>
    </row>
    <row r="29" spans="2:8" ht="15" thickBot="1" x14ac:dyDescent="0.4">
      <c r="B29" s="38"/>
      <c r="C29" s="39"/>
      <c r="D29" s="59"/>
      <c r="E29" s="41"/>
      <c r="F29" s="42"/>
      <c r="H29" s="17"/>
    </row>
    <row r="30" spans="2:8" ht="15.5" x14ac:dyDescent="0.35">
      <c r="B30" s="5"/>
      <c r="C30" s="60"/>
      <c r="D30" s="6"/>
      <c r="E30" s="7"/>
      <c r="F30" s="8"/>
      <c r="H30" s="17"/>
    </row>
    <row r="31" spans="2:8" ht="15.5" x14ac:dyDescent="0.35">
      <c r="B31" s="9"/>
      <c r="C31" s="45" t="s">
        <v>651</v>
      </c>
      <c r="D31" s="46"/>
      <c r="E31" s="399">
        <f>(E35+E13)*(1-E36)</f>
        <v>6.2996902575835331E-2</v>
      </c>
      <c r="F31" s="16"/>
      <c r="H31" s="17"/>
    </row>
    <row r="32" spans="2:8" ht="16.5" x14ac:dyDescent="0.45">
      <c r="B32" s="9"/>
      <c r="C32" s="47" t="s">
        <v>652</v>
      </c>
      <c r="D32" s="48" t="s">
        <v>651</v>
      </c>
      <c r="E32" s="61"/>
      <c r="F32" s="62"/>
      <c r="G32" s="19"/>
      <c r="H32" s="17"/>
    </row>
    <row r="33" spans="2:12" ht="16.5" x14ac:dyDescent="0.45">
      <c r="B33" s="9"/>
      <c r="C33" s="63"/>
      <c r="D33" s="53" t="s">
        <v>653</v>
      </c>
      <c r="E33" s="64"/>
      <c r="F33" s="62"/>
      <c r="G33" s="19"/>
      <c r="H33" s="17"/>
    </row>
    <row r="34" spans="2:12" x14ac:dyDescent="0.35">
      <c r="B34" s="9"/>
      <c r="C34" s="19" t="s">
        <v>339</v>
      </c>
      <c r="E34" s="18"/>
      <c r="F34" s="62"/>
      <c r="G34" s="19"/>
      <c r="H34" s="17"/>
    </row>
    <row r="35" spans="2:12" ht="29" x14ac:dyDescent="0.35">
      <c r="B35" s="9"/>
      <c r="C35" s="56" t="s">
        <v>654</v>
      </c>
      <c r="D35" s="57" t="s">
        <v>655</v>
      </c>
      <c r="E35" s="407">
        <v>6.7500000000000004E-2</v>
      </c>
      <c r="F35" s="62"/>
      <c r="G35" s="19"/>
      <c r="H35" s="23" t="s">
        <v>656</v>
      </c>
    </row>
    <row r="36" spans="2:12" x14ac:dyDescent="0.35">
      <c r="B36" s="9"/>
      <c r="C36" s="63" t="s">
        <v>527</v>
      </c>
      <c r="D36" s="53" t="s">
        <v>657</v>
      </c>
      <c r="E36" s="408">
        <v>0.34</v>
      </c>
      <c r="F36" s="62"/>
      <c r="H36" s="17"/>
    </row>
    <row r="37" spans="2:12" ht="15" thickBot="1" x14ac:dyDescent="0.4">
      <c r="B37" s="9"/>
      <c r="C37" s="65"/>
      <c r="E37" s="66"/>
      <c r="F37" s="62"/>
      <c r="G37" s="19"/>
      <c r="H37" s="17"/>
    </row>
    <row r="38" spans="2:12" x14ac:dyDescent="0.35">
      <c r="B38" s="5"/>
      <c r="C38" s="6"/>
      <c r="D38" s="6"/>
      <c r="E38" s="7"/>
      <c r="F38" s="8"/>
      <c r="G38" s="19"/>
      <c r="H38" s="17"/>
    </row>
    <row r="39" spans="2:12" ht="15.5" x14ac:dyDescent="0.35">
      <c r="B39" s="9"/>
      <c r="C39" s="402" t="s">
        <v>658</v>
      </c>
      <c r="D39" s="400"/>
      <c r="E39" s="401">
        <f>(E42*E21)+(E43*E31)</f>
        <v>0.11686498859823251</v>
      </c>
      <c r="F39" s="67"/>
      <c r="G39" s="1"/>
      <c r="H39" s="17"/>
      <c r="J39" s="1"/>
      <c r="K39" s="3"/>
      <c r="L39" s="1"/>
    </row>
    <row r="40" spans="2:12" ht="16.5" x14ac:dyDescent="0.45">
      <c r="B40" s="9"/>
      <c r="C40" s="1961" t="s">
        <v>659</v>
      </c>
      <c r="D40" s="1961"/>
      <c r="E40" s="18"/>
      <c r="F40" s="16"/>
      <c r="G40" s="1"/>
      <c r="H40" s="17"/>
      <c r="J40" s="1"/>
      <c r="K40" s="3"/>
      <c r="L40" s="1"/>
    </row>
    <row r="41" spans="2:12" x14ac:dyDescent="0.35">
      <c r="B41" s="9"/>
      <c r="C41" s="65"/>
      <c r="D41" s="65"/>
      <c r="E41" s="18"/>
      <c r="F41" s="16"/>
      <c r="H41" s="17"/>
      <c r="J41" s="1"/>
      <c r="K41" s="3"/>
      <c r="L41" s="1"/>
    </row>
    <row r="42" spans="2:12" ht="23.25" customHeight="1" x14ac:dyDescent="0.35">
      <c r="B42" s="9"/>
      <c r="C42" s="47" t="s">
        <v>660</v>
      </c>
      <c r="D42" s="48" t="s">
        <v>661</v>
      </c>
      <c r="E42" s="409">
        <v>0.73692589332726621</v>
      </c>
      <c r="F42" s="62"/>
      <c r="G42" s="1"/>
      <c r="H42" s="1962" t="s">
        <v>662</v>
      </c>
    </row>
    <row r="43" spans="2:12" ht="18.75" customHeight="1" x14ac:dyDescent="0.35">
      <c r="B43" s="9"/>
      <c r="C43" s="63" t="s">
        <v>663</v>
      </c>
      <c r="D43" s="53" t="s">
        <v>664</v>
      </c>
      <c r="E43" s="1852">
        <f>1-E42</f>
        <v>0.26307410667273379</v>
      </c>
      <c r="F43" s="62"/>
      <c r="H43" s="1963"/>
      <c r="K43" s="1"/>
      <c r="L43" s="1"/>
    </row>
    <row r="44" spans="2:12" x14ac:dyDescent="0.35">
      <c r="B44" s="9"/>
      <c r="F44" s="68"/>
      <c r="H44" s="17"/>
    </row>
    <row r="45" spans="2:12" ht="15" thickBot="1" x14ac:dyDescent="0.4">
      <c r="B45" s="38"/>
      <c r="C45" s="59"/>
      <c r="D45" s="59"/>
      <c r="E45" s="59"/>
      <c r="F45" s="69"/>
      <c r="H45" s="70"/>
    </row>
  </sheetData>
  <sheetProtection algorithmName="SHA-512" hashValue="+YNzoHVApOdHwLw1g5AdMLXFtmnF6iQWylJkur1fg69jebdG3QxbACh2LrBzSAsSdURjpbjWWlFuEGQ+rxOL1w==" saltValue="Yf83OB0Zr07L1A0hzaI6sQ==" spinCount="100000" sheet="1" objects="1" scenarios="1"/>
  <protectedRanges>
    <protectedRange sqref="E10 E12:E13 E16 E28 E35:E36 E42" name="Intervalo1"/>
  </protectedRanges>
  <mergeCells count="4">
    <mergeCell ref="B2:F3"/>
    <mergeCell ref="C7:D7"/>
    <mergeCell ref="C40:D40"/>
    <mergeCell ref="H42:H43"/>
  </mergeCells>
  <hyperlinks>
    <hyperlink ref="H35" r:id="rId1" display="https://www.jpmorganchase.com/about/our-business/historical-prime-rate" xr:uid="{69A00D4C-E6B4-401A-8403-CFB63A2C1B3E}"/>
  </hyperlink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60A6-470D-49E6-BE33-9757681DF241}">
  <sheetPr codeName="Plan4">
    <tabColor theme="6" tint="0.79998168889431442"/>
    <pageSetUpPr fitToPage="1"/>
  </sheetPr>
  <dimension ref="A1:AJ125"/>
  <sheetViews>
    <sheetView showGridLines="0" topLeftCell="A110" zoomScaleNormal="100" workbookViewId="0">
      <selection activeCell="A47" sqref="A47"/>
    </sheetView>
  </sheetViews>
  <sheetFormatPr defaultColWidth="9.08984375" defaultRowHeight="12" x14ac:dyDescent="0.3"/>
  <cols>
    <col min="1" max="2" width="3.6328125" style="79" customWidth="1"/>
    <col min="3" max="4" width="4.08984375" style="79" customWidth="1"/>
    <col min="5" max="5" width="41.81640625" style="79" bestFit="1" customWidth="1"/>
    <col min="6" max="6" width="10.08984375" style="79" customWidth="1"/>
    <col min="7" max="35" width="11.453125" style="79" customWidth="1"/>
    <col min="36" max="36" width="12" style="79" bestFit="1" customWidth="1"/>
    <col min="37" max="16384" width="9.08984375" style="79"/>
  </cols>
  <sheetData>
    <row r="1" spans="1:36" x14ac:dyDescent="0.3">
      <c r="A1" s="173"/>
      <c r="G1" s="199"/>
    </row>
    <row r="2" spans="1:36" customFormat="1" ht="21" x14ac:dyDescent="0.5">
      <c r="B2" s="98" t="s">
        <v>665</v>
      </c>
      <c r="C2" s="76"/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</row>
    <row r="3" spans="1:36" x14ac:dyDescent="0.3">
      <c r="A3" s="173"/>
      <c r="G3" s="199"/>
    </row>
    <row r="4" spans="1:36" x14ac:dyDescent="0.3">
      <c r="A4" s="173"/>
      <c r="G4" s="199"/>
    </row>
    <row r="5" spans="1:36" ht="12.5" thickBot="1" x14ac:dyDescent="0.35">
      <c r="A5" s="252"/>
      <c r="C5" s="253"/>
      <c r="D5" s="253"/>
      <c r="H5" s="254"/>
    </row>
    <row r="6" spans="1:36" s="252" customFormat="1" ht="12.5" thickTop="1" x14ac:dyDescent="0.35">
      <c r="A6" s="173"/>
      <c r="C6" s="276" t="s">
        <v>666</v>
      </c>
      <c r="D6" s="277"/>
      <c r="E6" s="278"/>
      <c r="F6" s="279"/>
      <c r="G6" s="279">
        <v>1</v>
      </c>
      <c r="H6" s="279">
        <v>2</v>
      </c>
      <c r="I6" s="279">
        <v>3</v>
      </c>
      <c r="J6" s="279">
        <v>4</v>
      </c>
      <c r="K6" s="279">
        <v>5</v>
      </c>
      <c r="L6" s="279">
        <v>6</v>
      </c>
      <c r="M6" s="279">
        <v>7</v>
      </c>
      <c r="N6" s="279">
        <v>8</v>
      </c>
      <c r="O6" s="279">
        <v>9</v>
      </c>
      <c r="P6" s="279">
        <v>10</v>
      </c>
      <c r="Q6" s="279">
        <v>11</v>
      </c>
      <c r="R6" s="279">
        <v>12</v>
      </c>
      <c r="S6" s="279">
        <v>13</v>
      </c>
      <c r="T6" s="279">
        <v>14</v>
      </c>
      <c r="U6" s="279">
        <v>15</v>
      </c>
      <c r="V6" s="279">
        <v>16</v>
      </c>
      <c r="W6" s="279">
        <v>17</v>
      </c>
      <c r="X6" s="279">
        <v>18</v>
      </c>
      <c r="Y6" s="279">
        <v>19</v>
      </c>
      <c r="Z6" s="279">
        <v>20</v>
      </c>
      <c r="AA6" s="279">
        <v>21</v>
      </c>
      <c r="AB6" s="279">
        <v>22</v>
      </c>
      <c r="AC6" s="279">
        <v>23</v>
      </c>
      <c r="AD6" s="279">
        <v>24</v>
      </c>
      <c r="AE6" s="279">
        <v>25</v>
      </c>
      <c r="AF6" s="279">
        <v>26</v>
      </c>
      <c r="AG6" s="279">
        <v>27</v>
      </c>
      <c r="AH6" s="279">
        <v>28</v>
      </c>
      <c r="AI6" s="279">
        <v>29</v>
      </c>
      <c r="AJ6" s="279">
        <v>30</v>
      </c>
    </row>
    <row r="7" spans="1:36" s="173" customFormat="1" ht="6" customHeight="1" x14ac:dyDescent="0.3">
      <c r="A7" s="199"/>
      <c r="D7" s="193"/>
    </row>
    <row r="8" spans="1:36" ht="12.5" thickBot="1" x14ac:dyDescent="0.35">
      <c r="E8" s="199" t="s">
        <v>130</v>
      </c>
      <c r="F8" s="199"/>
      <c r="G8" s="451">
        <f>Receitas!E146</f>
        <v>46842759.785147183</v>
      </c>
      <c r="H8" s="451">
        <f>Receitas!F146</f>
        <v>50761512.530046195</v>
      </c>
      <c r="I8" s="451">
        <f>Receitas!G146</f>
        <v>52038491.037496328</v>
      </c>
      <c r="J8" s="451">
        <f>Receitas!H146</f>
        <v>52817372.272439964</v>
      </c>
      <c r="K8" s="451">
        <f>Receitas!I146</f>
        <v>53338155.551371142</v>
      </c>
      <c r="L8" s="451">
        <f>Receitas!J146</f>
        <v>53801359.905344352</v>
      </c>
      <c r="M8" s="451">
        <f>Receitas!K146</f>
        <v>54167699.017755128</v>
      </c>
      <c r="N8" s="451">
        <f>Receitas!L146</f>
        <v>54391131.301522218</v>
      </c>
      <c r="O8" s="451">
        <f>Receitas!M146</f>
        <v>62240805.478543244</v>
      </c>
      <c r="P8" s="451">
        <f>Receitas!N146</f>
        <v>61376641.503707692</v>
      </c>
      <c r="Q8" s="451">
        <f>Receitas!O146</f>
        <v>55061353.665590197</v>
      </c>
      <c r="R8" s="451">
        <f>Receitas!P146</f>
        <v>55195316.268373974</v>
      </c>
      <c r="S8" s="451">
        <f>Receitas!Q146</f>
        <v>55329278.871157736</v>
      </c>
      <c r="T8" s="451">
        <f>Receitas!R146</f>
        <v>55463241.473941483</v>
      </c>
      <c r="U8" s="451">
        <f>Receitas!S146</f>
        <v>55597204.076725237</v>
      </c>
      <c r="V8" s="451">
        <f>Receitas!T146</f>
        <v>55731893.872569099</v>
      </c>
      <c r="W8" s="451">
        <f>Receitas!U146</f>
        <v>63057117.041640908</v>
      </c>
      <c r="X8" s="451">
        <f>Receitas!V146</f>
        <v>55850222.292159677</v>
      </c>
      <c r="Y8" s="451">
        <f>Receitas!W146</f>
        <v>55909386.501954973</v>
      </c>
      <c r="Z8" s="451">
        <f>Receitas!X146</f>
        <v>57389995.414935328</v>
      </c>
      <c r="AA8" s="451">
        <f>Receitas!Y146</f>
        <v>56027567.160831645</v>
      </c>
      <c r="AB8" s="451">
        <f>Receitas!Z146</f>
        <v>56086731.370626941</v>
      </c>
      <c r="AC8" s="451">
        <f>Receitas!AA146</f>
        <v>56145895.580422238</v>
      </c>
      <c r="AD8" s="451">
        <f>Receitas!AB146</f>
        <v>56205059.790217534</v>
      </c>
      <c r="AE8" s="451">
        <f>Receitas!AC146</f>
        <v>63530282.959289357</v>
      </c>
      <c r="AF8" s="451">
        <f>Receitas!AD146</f>
        <v>56323388.209808119</v>
      </c>
      <c r="AG8" s="451">
        <f>Receitas!AE146</f>
        <v>56382552.419603407</v>
      </c>
      <c r="AH8" s="451">
        <f>Receitas!AF146</f>
        <v>56441716.629398704</v>
      </c>
      <c r="AI8" s="451">
        <f>Receitas!AG146</f>
        <v>56500880.839194007</v>
      </c>
      <c r="AJ8" s="451">
        <f>Receitas!AH146</f>
        <v>56560045.048989289</v>
      </c>
    </row>
    <row r="9" spans="1:36" ht="15" thickBot="1" x14ac:dyDescent="0.4">
      <c r="E9" s="260" t="s">
        <v>131</v>
      </c>
      <c r="F9" s="450">
        <f>'Premissas Gerais'!F99</f>
        <v>1.6500000000000001E-2</v>
      </c>
      <c r="G9" s="451">
        <f>$F9*G$8</f>
        <v>772905.53645492857</v>
      </c>
      <c r="H9" s="451">
        <f>$F9*H$8</f>
        <v>837564.95674576226</v>
      </c>
      <c r="I9" s="451">
        <f t="shared" ref="I9:AJ10" si="0">$F9*I$8</f>
        <v>858635.10211868945</v>
      </c>
      <c r="J9" s="451">
        <f t="shared" si="0"/>
        <v>871486.64249525941</v>
      </c>
      <c r="K9" s="451">
        <f t="shared" si="0"/>
        <v>880079.56659762387</v>
      </c>
      <c r="L9" s="451">
        <f t="shared" si="0"/>
        <v>887722.43843818188</v>
      </c>
      <c r="M9" s="451">
        <f t="shared" si="0"/>
        <v>893767.03379295964</v>
      </c>
      <c r="N9" s="451">
        <f t="shared" si="0"/>
        <v>897453.66647511662</v>
      </c>
      <c r="O9" s="451">
        <f t="shared" si="0"/>
        <v>1026973.2903959636</v>
      </c>
      <c r="P9" s="451">
        <f t="shared" si="0"/>
        <v>1012714.584811177</v>
      </c>
      <c r="Q9" s="451">
        <f t="shared" si="0"/>
        <v>908512.33548223833</v>
      </c>
      <c r="R9" s="451">
        <f t="shared" si="0"/>
        <v>910722.71842817066</v>
      </c>
      <c r="S9" s="451">
        <f t="shared" si="0"/>
        <v>912933.10137410264</v>
      </c>
      <c r="T9" s="451">
        <f t="shared" si="0"/>
        <v>915143.48432003451</v>
      </c>
      <c r="U9" s="451">
        <f t="shared" si="0"/>
        <v>917353.86726596649</v>
      </c>
      <c r="V9" s="451">
        <f t="shared" si="0"/>
        <v>919576.24889739021</v>
      </c>
      <c r="W9" s="451">
        <f t="shared" si="0"/>
        <v>1040442.431187075</v>
      </c>
      <c r="X9" s="451">
        <f t="shared" si="0"/>
        <v>921528.66782063467</v>
      </c>
      <c r="Y9" s="451">
        <f t="shared" si="0"/>
        <v>922504.87728225708</v>
      </c>
      <c r="Z9" s="451">
        <f t="shared" si="0"/>
        <v>946934.9243464329</v>
      </c>
      <c r="AA9" s="451">
        <f t="shared" si="0"/>
        <v>924454.85815372213</v>
      </c>
      <c r="AB9" s="451">
        <f t="shared" si="0"/>
        <v>925431.06761534454</v>
      </c>
      <c r="AC9" s="451">
        <f t="shared" si="0"/>
        <v>926407.27707696694</v>
      </c>
      <c r="AD9" s="451">
        <f t="shared" si="0"/>
        <v>927383.48653858935</v>
      </c>
      <c r="AE9" s="451">
        <f t="shared" si="0"/>
        <v>1048249.6688282745</v>
      </c>
      <c r="AF9" s="451">
        <f t="shared" si="0"/>
        <v>929335.90546183405</v>
      </c>
      <c r="AG9" s="451">
        <f t="shared" si="0"/>
        <v>930312.11492345622</v>
      </c>
      <c r="AH9" s="451">
        <f t="shared" si="0"/>
        <v>931288.32438507862</v>
      </c>
      <c r="AI9" s="451">
        <f t="shared" si="0"/>
        <v>932264.53384670115</v>
      </c>
      <c r="AJ9" s="451">
        <f t="shared" si="0"/>
        <v>933240.74330832332</v>
      </c>
    </row>
    <row r="10" spans="1:36" ht="15" thickBot="1" x14ac:dyDescent="0.4">
      <c r="A10" s="261"/>
      <c r="E10" s="260" t="s">
        <v>133</v>
      </c>
      <c r="F10" s="450">
        <f>'Premissas Gerais'!F100</f>
        <v>7.5999999999999998E-2</v>
      </c>
      <c r="G10" s="451">
        <f>$F10*G$8</f>
        <v>3560049.7436711858</v>
      </c>
      <c r="H10" s="451">
        <f>$F10*H$8</f>
        <v>3857874.9522835109</v>
      </c>
      <c r="I10" s="451">
        <f t="shared" si="0"/>
        <v>3954925.318849721</v>
      </c>
      <c r="J10" s="451">
        <f t="shared" si="0"/>
        <v>4014120.2927054372</v>
      </c>
      <c r="K10" s="451">
        <f t="shared" si="0"/>
        <v>4053699.8219042066</v>
      </c>
      <c r="L10" s="451">
        <f t="shared" si="0"/>
        <v>4088903.3528061705</v>
      </c>
      <c r="M10" s="451">
        <f t="shared" si="0"/>
        <v>4116745.1253493899</v>
      </c>
      <c r="N10" s="451">
        <f t="shared" si="0"/>
        <v>4133725.9789156886</v>
      </c>
      <c r="O10" s="451">
        <f t="shared" si="0"/>
        <v>4730301.2163692862</v>
      </c>
      <c r="P10" s="451">
        <f t="shared" si="0"/>
        <v>4664624.7542817844</v>
      </c>
      <c r="Q10" s="451">
        <f t="shared" si="0"/>
        <v>4184662.8785848548</v>
      </c>
      <c r="R10" s="451">
        <f t="shared" si="0"/>
        <v>4194844.0363964215</v>
      </c>
      <c r="S10" s="451">
        <f t="shared" si="0"/>
        <v>4205025.1942079877</v>
      </c>
      <c r="T10" s="451">
        <f t="shared" si="0"/>
        <v>4215206.3520195521</v>
      </c>
      <c r="U10" s="451">
        <f t="shared" si="0"/>
        <v>4225387.5098311175</v>
      </c>
      <c r="V10" s="451">
        <f t="shared" si="0"/>
        <v>4235623.9343152512</v>
      </c>
      <c r="W10" s="451">
        <f t="shared" si="0"/>
        <v>4792340.8951647086</v>
      </c>
      <c r="X10" s="451">
        <f t="shared" si="0"/>
        <v>4244616.8942041351</v>
      </c>
      <c r="Y10" s="451">
        <f t="shared" si="0"/>
        <v>4249113.3741485775</v>
      </c>
      <c r="Z10" s="451">
        <f t="shared" si="0"/>
        <v>4361639.6515350845</v>
      </c>
      <c r="AA10" s="451">
        <f t="shared" si="0"/>
        <v>4258095.1042232048</v>
      </c>
      <c r="AB10" s="451">
        <f t="shared" si="0"/>
        <v>4262591.5841676472</v>
      </c>
      <c r="AC10" s="451">
        <f t="shared" si="0"/>
        <v>4267088.0641120896</v>
      </c>
      <c r="AD10" s="451">
        <f t="shared" si="0"/>
        <v>4271584.5440565329</v>
      </c>
      <c r="AE10" s="451">
        <f t="shared" si="0"/>
        <v>4828301.5049059913</v>
      </c>
      <c r="AF10" s="451">
        <f t="shared" si="0"/>
        <v>4280577.5039454168</v>
      </c>
      <c r="AG10" s="451">
        <f t="shared" si="0"/>
        <v>4285073.9838898592</v>
      </c>
      <c r="AH10" s="451">
        <f t="shared" si="0"/>
        <v>4289570.4638343016</v>
      </c>
      <c r="AI10" s="451">
        <f t="shared" si="0"/>
        <v>4294066.9437787449</v>
      </c>
      <c r="AJ10" s="451">
        <f t="shared" si="0"/>
        <v>4298563.4237231854</v>
      </c>
    </row>
    <row r="11" spans="1:36" ht="6" customHeight="1" x14ac:dyDescent="0.3">
      <c r="A11" s="261"/>
      <c r="G11" s="451"/>
      <c r="H11" s="451"/>
      <c r="I11" s="451"/>
      <c r="J11" s="451"/>
      <c r="K11" s="451"/>
      <c r="L11" s="451"/>
      <c r="M11" s="451"/>
      <c r="N11" s="451"/>
      <c r="O11" s="451"/>
      <c r="P11" s="451"/>
      <c r="Q11" s="451"/>
      <c r="R11" s="451"/>
      <c r="S11" s="451"/>
      <c r="T11" s="451"/>
      <c r="U11" s="451"/>
      <c r="V11" s="451"/>
      <c r="W11" s="451"/>
      <c r="X11" s="451"/>
      <c r="Y11" s="451"/>
      <c r="Z11" s="451"/>
      <c r="AA11" s="451"/>
      <c r="AB11" s="451"/>
      <c r="AC11" s="451"/>
      <c r="AD11" s="451"/>
      <c r="AE11" s="451"/>
      <c r="AF11" s="451"/>
      <c r="AG11" s="451"/>
      <c r="AH11" s="451"/>
      <c r="AI11" s="451"/>
      <c r="AJ11" s="451"/>
    </row>
    <row r="12" spans="1:36" ht="12.75" customHeight="1" thickBot="1" x14ac:dyDescent="0.35">
      <c r="E12" s="199" t="s">
        <v>667</v>
      </c>
      <c r="F12" s="199"/>
      <c r="G12" s="452">
        <f t="shared" ref="G12:AJ12" si="1">SUM(G13:G21)</f>
        <v>1333163.0851536803</v>
      </c>
      <c r="H12" s="452">
        <f t="shared" si="1"/>
        <v>1338851.7024263809</v>
      </c>
      <c r="I12" s="452">
        <f t="shared" si="1"/>
        <v>1344540.3196990814</v>
      </c>
      <c r="J12" s="452">
        <f t="shared" si="1"/>
        <v>1350228.9369717818</v>
      </c>
      <c r="K12" s="452">
        <f t="shared" si="1"/>
        <v>1355917.5542444817</v>
      </c>
      <c r="L12" s="452">
        <f t="shared" si="1"/>
        <v>1361617.0927755821</v>
      </c>
      <c r="M12" s="452">
        <f t="shared" si="1"/>
        <v>1366259.749305146</v>
      </c>
      <c r="N12" s="452">
        <f t="shared" si="1"/>
        <v>1370902.40583471</v>
      </c>
      <c r="O12" s="452">
        <f t="shared" si="1"/>
        <v>1375545.0623642742</v>
      </c>
      <c r="P12" s="452">
        <f t="shared" si="1"/>
        <v>1380187.7188938386</v>
      </c>
      <c r="Q12" s="452">
        <f t="shared" si="1"/>
        <v>1384829.3659672332</v>
      </c>
      <c r="R12" s="452">
        <f t="shared" si="1"/>
        <v>1387256.6941726154</v>
      </c>
      <c r="S12" s="452">
        <f t="shared" si="1"/>
        <v>1389684.0223779979</v>
      </c>
      <c r="T12" s="452">
        <f t="shared" si="1"/>
        <v>1392111.3505833806</v>
      </c>
      <c r="U12" s="452">
        <f t="shared" si="1"/>
        <v>1394538.6787887628</v>
      </c>
      <c r="V12" s="452">
        <f t="shared" si="1"/>
        <v>1396977.2295809265</v>
      </c>
      <c r="W12" s="452">
        <f t="shared" si="1"/>
        <v>1397545.940122149</v>
      </c>
      <c r="X12" s="452">
        <f t="shared" si="1"/>
        <v>1398114.6506633717</v>
      </c>
      <c r="Y12" s="452">
        <f t="shared" si="1"/>
        <v>1398683.3612045941</v>
      </c>
      <c r="Z12" s="452">
        <f t="shared" si="1"/>
        <v>1399252.0717458171</v>
      </c>
      <c r="AA12" s="452">
        <f t="shared" si="1"/>
        <v>1399824.3498354787</v>
      </c>
      <c r="AB12" s="452">
        <f t="shared" si="1"/>
        <v>1400393.0603767009</v>
      </c>
      <c r="AC12" s="452">
        <f t="shared" si="1"/>
        <v>1400961.7709179237</v>
      </c>
      <c r="AD12" s="452">
        <f t="shared" si="1"/>
        <v>1401530.4814591459</v>
      </c>
      <c r="AE12" s="452">
        <f t="shared" si="1"/>
        <v>1402099.1920003691</v>
      </c>
      <c r="AF12" s="452">
        <f t="shared" si="1"/>
        <v>1402667.9025415913</v>
      </c>
      <c r="AG12" s="452">
        <f t="shared" si="1"/>
        <v>1403236.613082814</v>
      </c>
      <c r="AH12" s="452">
        <f t="shared" si="1"/>
        <v>1403805.3236240363</v>
      </c>
      <c r="AI12" s="452">
        <f t="shared" si="1"/>
        <v>1404374.034165259</v>
      </c>
      <c r="AJ12" s="452">
        <f t="shared" si="1"/>
        <v>1404942.7447064815</v>
      </c>
    </row>
    <row r="13" spans="1:36" ht="12.75" customHeight="1" thickBot="1" x14ac:dyDescent="0.4">
      <c r="E13" s="222" t="s">
        <v>1</v>
      </c>
      <c r="F13" s="450">
        <f>'Premissas Gerais'!F103</f>
        <v>0.03</v>
      </c>
      <c r="G13" s="451">
        <f>(Receitas!E9+Receitas!E125)*'Tributos-LR'!$F$13</f>
        <v>17005.815853120399</v>
      </c>
      <c r="H13" s="451">
        <f>(Receitas!F9+Receitas!F125)*'Tributos-LR'!$F$13</f>
        <v>16909.265043961885</v>
      </c>
      <c r="I13" s="451">
        <f>(Receitas!G9+Receitas!G125)*'Tributos-LR'!$F$13</f>
        <v>16812.714234803367</v>
      </c>
      <c r="J13" s="451">
        <f>(Receitas!H9+Receitas!H125)*'Tributos-LR'!$F$13</f>
        <v>16716.163425644852</v>
      </c>
      <c r="K13" s="451">
        <f>(Receitas!I9+Receitas!I125)*'Tributos-LR'!$F$13</f>
        <v>16619.612616486331</v>
      </c>
      <c r="L13" s="451">
        <f>(Receitas!J9+Receitas!J125)*'Tributos-LR'!$F$13</f>
        <v>16523.061807327809</v>
      </c>
      <c r="M13" s="451">
        <f>(Receitas!K9+Receitas!K125)*'Tributos-LR'!$F$13</f>
        <v>16400.764115727019</v>
      </c>
      <c r="N13" s="451">
        <f>(Receitas!L9+Receitas!L125)*'Tributos-LR'!$F$13</f>
        <v>16278.466424126231</v>
      </c>
      <c r="O13" s="451">
        <f>(Receitas!M9+Receitas!M125)*'Tributos-LR'!$F$13</f>
        <v>16156.168732525441</v>
      </c>
      <c r="P13" s="451">
        <f>(Receitas!N9+Receitas!N125)*'Tributos-LR'!$F$13</f>
        <v>16033.871040924649</v>
      </c>
      <c r="Q13" s="451">
        <f>(Receitas!O9+Receitas!O125)*'Tributos-LR'!$F$13</f>
        <v>15924.446790544995</v>
      </c>
      <c r="R13" s="451">
        <f>(Receitas!P9+Receitas!P125)*'Tributos-LR'!$F$13</f>
        <v>15782.838937112499</v>
      </c>
      <c r="S13" s="451">
        <f>(Receitas!Q9+Receitas!Q125)*'Tributos-LR'!$F$13</f>
        <v>15641.231083680004</v>
      </c>
      <c r="T13" s="451">
        <f>(Receitas!R9+Receitas!R125)*'Tributos-LR'!$F$13</f>
        <v>15499.623230247513</v>
      </c>
      <c r="U13" s="451">
        <f>(Receitas!S9+Receitas!S125)*'Tributos-LR'!$F$13</f>
        <v>15358.015376815016</v>
      </c>
      <c r="V13" s="451">
        <f>(Receitas!T9+Receitas!T125)*'Tributos-LR'!$F$13</f>
        <v>15222.844243993097</v>
      </c>
      <c r="W13" s="451">
        <f>(Receitas!U9+Receitas!U125)*'Tributos-LR'!$F$13</f>
        <v>15074.799669950029</v>
      </c>
      <c r="X13" s="451">
        <f>(Receitas!V9+Receitas!V125)*'Tributos-LR'!$F$13</f>
        <v>14926.75509590697</v>
      </c>
      <c r="Y13" s="451">
        <f>(Receitas!W9+Receitas!W125)*'Tributos-LR'!$F$13</f>
        <v>14778.710521863906</v>
      </c>
      <c r="Z13" s="451">
        <f>(Receitas!X9+Receitas!X125)*'Tributos-LR'!$F$13</f>
        <v>14630.665947820844</v>
      </c>
      <c r="AA13" s="451">
        <f>(Receitas!Y9+Receitas!Y125)*'Tributos-LR'!$F$13</f>
        <v>14469.747932556649</v>
      </c>
      <c r="AB13" s="451">
        <f>(Receitas!Z9+Receitas!Z125)*'Tributos-LR'!$F$13</f>
        <v>14321.703358513589</v>
      </c>
      <c r="AC13" s="451">
        <f>(Receitas!AA9+Receitas!AA125)*'Tributos-LR'!$F$13</f>
        <v>14173.658784470525</v>
      </c>
      <c r="AD13" s="451">
        <f>(Receitas!AB9+Receitas!AB125)*'Tributos-LR'!$F$13</f>
        <v>14025.61421042746</v>
      </c>
      <c r="AE13" s="451">
        <f>(Receitas!AC9+Receitas!AC125)*'Tributos-LR'!$F$13</f>
        <v>13877.5696363844</v>
      </c>
      <c r="AF13" s="451">
        <f>(Receitas!AD9+Receitas!AD125)*'Tributos-LR'!$F$13</f>
        <v>13729.525062341339</v>
      </c>
      <c r="AG13" s="451">
        <f>(Receitas!AE9+Receitas!AE125)*'Tributos-LR'!$F$13</f>
        <v>13581.480488298277</v>
      </c>
      <c r="AH13" s="451">
        <f>(Receitas!AF9+Receitas!AF125)*'Tributos-LR'!$F$13</f>
        <v>13433.435914255215</v>
      </c>
      <c r="AI13" s="451">
        <f>(Receitas!AG9+Receitas!AG125)*'Tributos-LR'!$F$13</f>
        <v>13285.391340212156</v>
      </c>
      <c r="AJ13" s="451">
        <f>(Receitas!AH9+Receitas!AH125)*'Tributos-LR'!$F$13</f>
        <v>13137.346766169092</v>
      </c>
    </row>
    <row r="14" spans="1:36" ht="12.75" customHeight="1" thickBot="1" x14ac:dyDescent="0.4">
      <c r="E14" s="223" t="s">
        <v>2</v>
      </c>
      <c r="F14" s="450">
        <f>'Premissas Gerais'!F104</f>
        <v>0.05</v>
      </c>
      <c r="G14" s="451">
        <f>(Receitas!E21+Receitas!E126)*'Tributos-LR'!$F$14</f>
        <v>265666.8982892991</v>
      </c>
      <c r="H14" s="451">
        <f>(Receitas!F21+Receitas!F126)*'Tributos-LR'!$F$14</f>
        <v>265816.42607604654</v>
      </c>
      <c r="I14" s="451">
        <f>(Receitas!G21+Receitas!G126)*'Tributos-LR'!$F$14</f>
        <v>265965.95386279392</v>
      </c>
      <c r="J14" s="451">
        <f>(Receitas!H21+Receitas!H126)*'Tributos-LR'!$F$14</f>
        <v>266115.4816495413</v>
      </c>
      <c r="K14" s="451">
        <f>(Receitas!I21+Receitas!I126)*'Tributos-LR'!$F$14</f>
        <v>266265.00943628867</v>
      </c>
      <c r="L14" s="451">
        <f>(Receitas!J21+Receitas!J126)*'Tributos-LR'!$F$14</f>
        <v>266432.12872735923</v>
      </c>
      <c r="M14" s="451">
        <f>(Receitas!K21+Receitas!K126)*'Tributos-LR'!$F$14</f>
        <v>266036.3198800867</v>
      </c>
      <c r="N14" s="451">
        <f>(Receitas!L21+Receitas!L126)*'Tributos-LR'!$F$14</f>
        <v>265640.51103281428</v>
      </c>
      <c r="O14" s="451">
        <f>(Receitas!M21+Receitas!M126)*'Tributos-LR'!$F$14</f>
        <v>265244.7021855418</v>
      </c>
      <c r="P14" s="451">
        <f>(Receitas!N21+Receitas!N126)*'Tributos-LR'!$F$14</f>
        <v>264848.89333826926</v>
      </c>
      <c r="Q14" s="451">
        <f>(Receitas!O21+Receitas!O126)*'Tributos-LR'!$F$14</f>
        <v>264453.08449099679</v>
      </c>
      <c r="R14" s="451">
        <f>(Receitas!P21+Receitas!P126)*'Tributos-LR'!$F$14</f>
        <v>263687.85405293666</v>
      </c>
      <c r="S14" s="451">
        <f>(Receitas!Q21+Receitas!Q126)*'Tributos-LR'!$F$14</f>
        <v>262922.62361487641</v>
      </c>
      <c r="T14" s="451">
        <f>(Receitas!R21+Receitas!R126)*'Tributos-LR'!$F$14</f>
        <v>262157.39317681635</v>
      </c>
      <c r="U14" s="451">
        <f>(Receitas!S21+Receitas!S126)*'Tributos-LR'!$F$14</f>
        <v>261392.16273875616</v>
      </c>
      <c r="V14" s="451">
        <f>(Receitas!T21+Receitas!T126)*'Tributos-LR'!$F$14</f>
        <v>260609.34079637277</v>
      </c>
      <c r="W14" s="451">
        <f>(Receitas!U21+Receitas!U126)*'Tributos-LR'!$F$14</f>
        <v>259509.87177617138</v>
      </c>
      <c r="X14" s="451">
        <f>(Receitas!V21+Receitas!V126)*'Tributos-LR'!$F$14</f>
        <v>258410.40275597005</v>
      </c>
      <c r="Y14" s="451">
        <f>(Receitas!W21+Receitas!W126)*'Tributos-LR'!$F$14</f>
        <v>257310.93373576866</v>
      </c>
      <c r="Z14" s="451">
        <f>(Receitas!X21+Receitas!X126)*'Tributos-LR'!$F$14</f>
        <v>256211.46471556733</v>
      </c>
      <c r="AA14" s="451">
        <f>(Receitas!Y21+Receitas!Y126)*'Tributos-LR'!$F$14</f>
        <v>255120.79144752759</v>
      </c>
      <c r="AB14" s="451">
        <f>(Receitas!Z21+Receitas!Z126)*'Tributos-LR'!$F$14</f>
        <v>254021.32242732611</v>
      </c>
      <c r="AC14" s="451">
        <f>(Receitas!AA21+Receitas!AA126)*'Tributos-LR'!$F$14</f>
        <v>252921.85340712476</v>
      </c>
      <c r="AD14" s="451">
        <f>(Receitas!AB21+Receitas!AB126)*'Tributos-LR'!$F$14</f>
        <v>251822.38438692337</v>
      </c>
      <c r="AE14" s="451">
        <f>(Receitas!AC21+Receitas!AC126)*'Tributos-LR'!$F$14</f>
        <v>250722.91536672195</v>
      </c>
      <c r="AF14" s="451">
        <f>(Receitas!AD21+Receitas!AD126)*'Tributos-LR'!$F$14</f>
        <v>249623.44634652059</v>
      </c>
      <c r="AG14" s="451">
        <f>(Receitas!AE21+Receitas!AE126)*'Tributos-LR'!$F$14</f>
        <v>248523.97732631929</v>
      </c>
      <c r="AH14" s="451">
        <f>(Receitas!AF21+Receitas!AF126)*'Tributos-LR'!$F$14</f>
        <v>247424.50830611793</v>
      </c>
      <c r="AI14" s="451">
        <f>(Receitas!AG21+Receitas!AG126)*'Tributos-LR'!$F$14</f>
        <v>246325.03928591649</v>
      </c>
      <c r="AJ14" s="451">
        <f>(Receitas!AH21+Receitas!AH126)*'Tributos-LR'!$F$14</f>
        <v>245225.57026571513</v>
      </c>
    </row>
    <row r="15" spans="1:36" ht="12.75" customHeight="1" thickBot="1" x14ac:dyDescent="0.4">
      <c r="E15" s="223" t="s">
        <v>3</v>
      </c>
      <c r="F15" s="450">
        <f>'Premissas Gerais'!F105</f>
        <v>0.03</v>
      </c>
      <c r="G15" s="451">
        <f>(Receitas!E33+Receitas!E127)*'Tributos-LR'!$F$15</f>
        <v>16619.580037797252</v>
      </c>
      <c r="H15" s="451">
        <f>(Receitas!F33+Receitas!F127)*'Tributos-LR'!$F$15</f>
        <v>16637.813257805803</v>
      </c>
      <c r="I15" s="451">
        <f>(Receitas!G33+Receitas!G127)*'Tributos-LR'!$F$15</f>
        <v>16656.046477814361</v>
      </c>
      <c r="J15" s="451">
        <f>(Receitas!H33+Receitas!H127)*'Tributos-LR'!$F$15</f>
        <v>16674.279697822916</v>
      </c>
      <c r="K15" s="451">
        <f>(Receitas!I33+Receitas!I127)*'Tributos-LR'!$F$15</f>
        <v>16692.512917831471</v>
      </c>
      <c r="L15" s="451">
        <f>(Receitas!J33+Receitas!J127)*'Tributos-LR'!$F$15</f>
        <v>16719.862747844301</v>
      </c>
      <c r="M15" s="451">
        <f>(Receitas!K33+Receitas!K127)*'Tributos-LR'!$F$15</f>
        <v>16715.304442842164</v>
      </c>
      <c r="N15" s="451">
        <f>(Receitas!L33+Receitas!L127)*'Tributos-LR'!$F$15</f>
        <v>16710.746137840022</v>
      </c>
      <c r="O15" s="451">
        <f>(Receitas!M33+Receitas!M127)*'Tributos-LR'!$F$15</f>
        <v>16706.187832837884</v>
      </c>
      <c r="P15" s="451">
        <f>(Receitas!N33+Receitas!N127)*'Tributos-LR'!$F$15</f>
        <v>16701.629527835747</v>
      </c>
      <c r="Q15" s="451">
        <f>(Receitas!O33+Receitas!O127)*'Tributos-LR'!$F$15</f>
        <v>16687.95461282933</v>
      </c>
      <c r="R15" s="451">
        <f>(Receitas!P33+Receitas!P127)*'Tributos-LR'!$F$15</f>
        <v>16651.488172812224</v>
      </c>
      <c r="S15" s="451">
        <f>(Receitas!Q33+Receitas!Q127)*'Tributos-LR'!$F$15</f>
        <v>16615.021732795114</v>
      </c>
      <c r="T15" s="451">
        <f>(Receitas!R33+Receitas!R127)*'Tributos-LR'!$F$15</f>
        <v>16578.555292778005</v>
      </c>
      <c r="U15" s="451">
        <f>(Receitas!S33+Receitas!S127)*'Tributos-LR'!$F$15</f>
        <v>16542.088852760899</v>
      </c>
      <c r="V15" s="451">
        <f>(Receitas!T33+Receitas!T127)*'Tributos-LR'!$F$15</f>
        <v>16510.180717745923</v>
      </c>
      <c r="W15" s="451">
        <f>(Receitas!U33+Receitas!U127)*'Tributos-LR'!$F$15</f>
        <v>16455.481057720266</v>
      </c>
      <c r="X15" s="451">
        <f>(Receitas!V33+Receitas!V127)*'Tributos-LR'!$F$15</f>
        <v>16400.781397694602</v>
      </c>
      <c r="Y15" s="451">
        <f>(Receitas!W33+Receitas!W127)*'Tributos-LR'!$F$15</f>
        <v>16346.081737668936</v>
      </c>
      <c r="Z15" s="451">
        <f>(Receitas!X33+Receitas!X127)*'Tributos-LR'!$F$15</f>
        <v>16291.382077643273</v>
      </c>
      <c r="AA15" s="451">
        <f>(Receitas!Y33+Receitas!Y127)*'Tributos-LR'!$F$15</f>
        <v>16236.682417617616</v>
      </c>
      <c r="AB15" s="451">
        <f>(Receitas!Z33+Receitas!Z127)*'Tributos-LR'!$F$15</f>
        <v>16181.982757591944</v>
      </c>
      <c r="AC15" s="451">
        <f>(Receitas!AA33+Receitas!AA127)*'Tributos-LR'!$F$15</f>
        <v>16127.283097566284</v>
      </c>
      <c r="AD15" s="451">
        <f>(Receitas!AB33+Receitas!AB127)*'Tributos-LR'!$F$15</f>
        <v>16072.583437540623</v>
      </c>
      <c r="AE15" s="451">
        <f>(Receitas!AC33+Receitas!AC127)*'Tributos-LR'!$F$15</f>
        <v>16017.883777514964</v>
      </c>
      <c r="AF15" s="451">
        <f>(Receitas!AD33+Receitas!AD127)*'Tributos-LR'!$F$15</f>
        <v>15963.1841174893</v>
      </c>
      <c r="AG15" s="451">
        <f>(Receitas!AE33+Receitas!AE127)*'Tributos-LR'!$F$15</f>
        <v>15908.484457463635</v>
      </c>
      <c r="AH15" s="451">
        <f>(Receitas!AF33+Receitas!AF127)*'Tributos-LR'!$F$15</f>
        <v>15853.784797437967</v>
      </c>
      <c r="AI15" s="451">
        <f>(Receitas!AG33+Receitas!AG127)*'Tributos-LR'!$F$15</f>
        <v>15799.085137412309</v>
      </c>
      <c r="AJ15" s="451">
        <f>(Receitas!AH33+Receitas!AH127)*'Tributos-LR'!$F$15</f>
        <v>15744.385477386648</v>
      </c>
    </row>
    <row r="16" spans="1:36" ht="12.75" customHeight="1" thickBot="1" x14ac:dyDescent="0.4">
      <c r="E16" s="223" t="s">
        <v>4</v>
      </c>
      <c r="F16" s="450">
        <f>'Premissas Gerais'!F106</f>
        <v>0.02</v>
      </c>
      <c r="G16" s="451">
        <f>(Receitas!E45+Receitas!E128)*'Tributos-LR'!$F$16</f>
        <v>23031.029089171057</v>
      </c>
      <c r="H16" s="451">
        <f>(Receitas!F45+Receitas!F128)*'Tributos-LR'!$F$16</f>
        <v>23244.302867529608</v>
      </c>
      <c r="I16" s="451">
        <f>(Receitas!G45+Receitas!G128)*'Tributos-LR'!$F$16</f>
        <v>23457.576645888155</v>
      </c>
      <c r="J16" s="451">
        <f>(Receitas!H45+Receitas!H128)*'Tributos-LR'!$F$16</f>
        <v>23670.850424246695</v>
      </c>
      <c r="K16" s="451">
        <f>(Receitas!I45+Receitas!I128)*'Tributos-LR'!$F$16</f>
        <v>23884.124202605239</v>
      </c>
      <c r="L16" s="451">
        <f>(Receitas!J45+Receitas!J128)*'Tributos-LR'!$F$16</f>
        <v>24094.859007411902</v>
      </c>
      <c r="M16" s="451">
        <f>(Receitas!K45+Receitas!K128)*'Tributos-LR'!$F$16</f>
        <v>24280.204076699683</v>
      </c>
      <c r="N16" s="451">
        <f>(Receitas!L45+Receitas!L128)*'Tributos-LR'!$F$16</f>
        <v>24465.549145987468</v>
      </c>
      <c r="O16" s="451">
        <f>(Receitas!M45+Receitas!M128)*'Tributos-LR'!$F$16</f>
        <v>24650.89421527525</v>
      </c>
      <c r="P16" s="451">
        <f>(Receitas!N45+Receitas!N128)*'Tributos-LR'!$F$16</f>
        <v>24836.239284563038</v>
      </c>
      <c r="Q16" s="451">
        <f>(Receitas!O45+Receitas!O128)*'Tributos-LR'!$F$16</f>
        <v>25019.045380298929</v>
      </c>
      <c r="R16" s="451">
        <f>(Receitas!P45+Receitas!P128)*'Tributos-LR'!$F$16</f>
        <v>25166.305846308405</v>
      </c>
      <c r="S16" s="451">
        <f>(Receitas!Q45+Receitas!Q128)*'Tributos-LR'!$F$16</f>
        <v>25313.566312317878</v>
      </c>
      <c r="T16" s="451">
        <f>(Receitas!R45+Receitas!R128)*'Tributos-LR'!$F$16</f>
        <v>25460.826778327348</v>
      </c>
      <c r="U16" s="451">
        <f>(Receitas!S45+Receitas!S128)*'Tributos-LR'!$F$16</f>
        <v>25608.087244336813</v>
      </c>
      <c r="V16" s="451">
        <f>(Receitas!T45+Receitas!T128)*'Tributos-LR'!$F$16</f>
        <v>25760.425657450069</v>
      </c>
      <c r="W16" s="451">
        <f>(Receitas!U45+Receitas!U128)*'Tributos-LR'!$F$16</f>
        <v>25867.062546629346</v>
      </c>
      <c r="X16" s="451">
        <f>(Receitas!V45+Receitas!V128)*'Tributos-LR'!$F$16</f>
        <v>25973.699435808616</v>
      </c>
      <c r="Y16" s="451">
        <f>(Receitas!W45+Receitas!W128)*'Tributos-LR'!$F$16</f>
        <v>26080.336324987886</v>
      </c>
      <c r="Z16" s="451">
        <f>(Receitas!X45+Receitas!X128)*'Tributos-LR'!$F$16</f>
        <v>26186.973214167156</v>
      </c>
      <c r="AA16" s="451">
        <f>(Receitas!Y45+Receitas!Y128)*'Tributos-LR'!$F$16</f>
        <v>26288.532156242658</v>
      </c>
      <c r="AB16" s="451">
        <f>(Receitas!Z45+Receitas!Z128)*'Tributos-LR'!$F$16</f>
        <v>26395.169045421935</v>
      </c>
      <c r="AC16" s="451">
        <f>(Receitas!AA45+Receitas!AA128)*'Tributos-LR'!$F$16</f>
        <v>26501.805934601198</v>
      </c>
      <c r="AD16" s="451">
        <f>(Receitas!AB45+Receitas!AB128)*'Tributos-LR'!$F$16</f>
        <v>26608.442823780482</v>
      </c>
      <c r="AE16" s="451">
        <f>(Receitas!AC45+Receitas!AC128)*'Tributos-LR'!$F$16</f>
        <v>26715.079712959741</v>
      </c>
      <c r="AF16" s="451">
        <f>(Receitas!AD45+Receitas!AD128)*'Tributos-LR'!$F$16</f>
        <v>26821.716602139019</v>
      </c>
      <c r="AG16" s="451">
        <f>(Receitas!AE45+Receitas!AE128)*'Tributos-LR'!$F$16</f>
        <v>26928.353491318292</v>
      </c>
      <c r="AH16" s="451">
        <f>(Receitas!AF45+Receitas!AF128)*'Tributos-LR'!$F$16</f>
        <v>27034.990380497566</v>
      </c>
      <c r="AI16" s="451">
        <f>(Receitas!AG45+Receitas!AG128)*'Tributos-LR'!$F$16</f>
        <v>27141.627269676839</v>
      </c>
      <c r="AJ16" s="451">
        <f>(Receitas!AH45+Receitas!AH128)*'Tributos-LR'!$F$16</f>
        <v>27248.26415885612</v>
      </c>
    </row>
    <row r="17" spans="5:36" ht="12.75" customHeight="1" thickBot="1" x14ac:dyDescent="0.4">
      <c r="E17" s="223" t="s">
        <v>5</v>
      </c>
      <c r="F17" s="450">
        <f>'Premissas Gerais'!F107</f>
        <v>0.02</v>
      </c>
      <c r="G17" s="451">
        <f>(Receitas!E57+Receitas!E129)*'Tributos-LR'!$F$17</f>
        <v>86914.84187962173</v>
      </c>
      <c r="H17" s="451">
        <f>(Receitas!F57+Receitas!F129)*'Tributos-LR'!$F$17</f>
        <v>87287.697515019332</v>
      </c>
      <c r="I17" s="451">
        <f>(Receitas!G57+Receitas!G129)*'Tributos-LR'!$F$17</f>
        <v>87660.55315041689</v>
      </c>
      <c r="J17" s="451">
        <f>(Receitas!H57+Receitas!H129)*'Tributos-LR'!$F$17</f>
        <v>88033.408785814492</v>
      </c>
      <c r="K17" s="451">
        <f>(Receitas!I57+Receitas!I129)*'Tributos-LR'!$F$17</f>
        <v>88406.264421212123</v>
      </c>
      <c r="L17" s="451">
        <f>(Receitas!J57+Receitas!J129)*'Tributos-LR'!$F$17</f>
        <v>88774.733519722649</v>
      </c>
      <c r="M17" s="451">
        <f>(Receitas!K57+Receitas!K129)*'Tributos-LR'!$F$17</f>
        <v>88989.673827187158</v>
      </c>
      <c r="N17" s="451">
        <f>(Receitas!L57+Receitas!L129)*'Tributos-LR'!$F$17</f>
        <v>89204.614134651609</v>
      </c>
      <c r="O17" s="451">
        <f>(Receitas!M57+Receitas!M129)*'Tributos-LR'!$F$17</f>
        <v>89419.554442116118</v>
      </c>
      <c r="P17" s="451">
        <f>(Receitas!N57+Receitas!N129)*'Tributos-LR'!$F$17</f>
        <v>89634.494749580626</v>
      </c>
      <c r="Q17" s="451">
        <f>(Receitas!O57+Receitas!O129)*'Tributos-LR'!$F$17</f>
        <v>89858.20813081917</v>
      </c>
      <c r="R17" s="451">
        <f>(Receitas!P57+Receitas!P129)*'Tributos-LR'!$F$17</f>
        <v>89941.552331672763</v>
      </c>
      <c r="S17" s="451">
        <f>(Receitas!Q57+Receitas!Q129)*'Tributos-LR'!$F$17</f>
        <v>90024.896532526342</v>
      </c>
      <c r="T17" s="451">
        <f>(Receitas!R57+Receitas!R129)*'Tributos-LR'!$F$17</f>
        <v>90108.240733379906</v>
      </c>
      <c r="U17" s="451">
        <f>(Receitas!S57+Receitas!S129)*'Tributos-LR'!$F$17</f>
        <v>90191.584934233499</v>
      </c>
      <c r="V17" s="451">
        <f>(Receitas!T57+Receitas!T129)*'Tributos-LR'!$F$17</f>
        <v>90283.702208861127</v>
      </c>
      <c r="W17" s="451">
        <f>(Receitas!U57+Receitas!U129)*'Tributos-LR'!$F$17</f>
        <v>90231.063766216772</v>
      </c>
      <c r="X17" s="451">
        <f>(Receitas!V57+Receitas!V129)*'Tributos-LR'!$F$17</f>
        <v>90178.425323572417</v>
      </c>
      <c r="Y17" s="451">
        <f>(Receitas!W57+Receitas!W129)*'Tributos-LR'!$F$17</f>
        <v>90125.786880928019</v>
      </c>
      <c r="Z17" s="451">
        <f>(Receitas!X57+Receitas!X129)*'Tributos-LR'!$F$17</f>
        <v>90073.148438283693</v>
      </c>
      <c r="AA17" s="451">
        <f>(Receitas!Y57+Receitas!Y129)*'Tributos-LR'!$F$17</f>
        <v>90020.50999563931</v>
      </c>
      <c r="AB17" s="451">
        <f>(Receitas!Z57+Receitas!Z129)*'Tributos-LR'!$F$17</f>
        <v>89967.871552994926</v>
      </c>
      <c r="AC17" s="451">
        <f>(Receitas!AA57+Receitas!AA129)*'Tributos-LR'!$F$17</f>
        <v>89915.233110350571</v>
      </c>
      <c r="AD17" s="451">
        <f>(Receitas!AB57+Receitas!AB129)*'Tributos-LR'!$F$17</f>
        <v>89862.594667706217</v>
      </c>
      <c r="AE17" s="451">
        <f>(Receitas!AC57+Receitas!AC129)*'Tributos-LR'!$F$17</f>
        <v>89809.956225061847</v>
      </c>
      <c r="AF17" s="451">
        <f>(Receitas!AD57+Receitas!AD129)*'Tributos-LR'!$F$17</f>
        <v>89757.317782417478</v>
      </c>
      <c r="AG17" s="451">
        <f>(Receitas!AE57+Receitas!AE129)*'Tributos-LR'!$F$17</f>
        <v>89704.679339773094</v>
      </c>
      <c r="AH17" s="451">
        <f>(Receitas!AF57+Receitas!AF129)*'Tributos-LR'!$F$17</f>
        <v>89652.040897128754</v>
      </c>
      <c r="AI17" s="451">
        <f>(Receitas!AG57+Receitas!AG129)*'Tributos-LR'!$F$17</f>
        <v>89599.402454484385</v>
      </c>
      <c r="AJ17" s="451">
        <f>(Receitas!AH57+Receitas!AH129)*'Tributos-LR'!$F$17</f>
        <v>89546.764011840001</v>
      </c>
    </row>
    <row r="18" spans="5:36" ht="12.75" customHeight="1" thickBot="1" x14ac:dyDescent="0.4">
      <c r="E18" s="223" t="s">
        <v>6</v>
      </c>
      <c r="F18" s="450">
        <f>'Premissas Gerais'!F108</f>
        <v>0.02</v>
      </c>
      <c r="G18" s="451">
        <f>(Receitas!E69+Receitas!E130)*'Tributos-LR'!$F$18</f>
        <v>762513.97892779415</v>
      </c>
      <c r="H18" s="451">
        <f>(Receitas!F69+Receitas!F130)*'Tributos-LR'!$F$18</f>
        <v>766612.61315292504</v>
      </c>
      <c r="I18" s="451">
        <f>(Receitas!G69+Receitas!G130)*'Tributos-LR'!$F$18</f>
        <v>770711.24737805582</v>
      </c>
      <c r="J18" s="451">
        <f>(Receitas!H69+Receitas!H130)*'Tributos-LR'!$F$18</f>
        <v>774809.88160318672</v>
      </c>
      <c r="K18" s="451">
        <f>(Receitas!I69+Receitas!I130)*'Tributos-LR'!$F$18</f>
        <v>778908.51582831738</v>
      </c>
      <c r="L18" s="451">
        <f>(Receitas!J69+Receitas!J130)*'Tributos-LR'!$F$18</f>
        <v>783002.72865730501</v>
      </c>
      <c r="M18" s="451">
        <f>(Receitas!K69+Receitas!K130)*'Tributos-LR'!$F$18</f>
        <v>787110.20567472314</v>
      </c>
      <c r="N18" s="451">
        <f>(Receitas!L69+Receitas!L130)*'Tributos-LR'!$F$18</f>
        <v>791217.68269214081</v>
      </c>
      <c r="O18" s="451">
        <f>(Receitas!M69+Receitas!M130)*'Tributos-LR'!$F$18</f>
        <v>795325.15970955906</v>
      </c>
      <c r="P18" s="451">
        <f>(Receitas!N69+Receitas!N130)*'Tributos-LR'!$F$18</f>
        <v>799432.63672697695</v>
      </c>
      <c r="Q18" s="451">
        <f>(Receitas!O69+Receitas!O130)*'Tributos-LR'!$F$18</f>
        <v>803531.27095210797</v>
      </c>
      <c r="R18" s="451">
        <f>(Receitas!P69+Receitas!P130)*'Tributos-LR'!$F$18</f>
        <v>806294.64354186715</v>
      </c>
      <c r="S18" s="451">
        <f>(Receitas!Q69+Receitas!Q130)*'Tributos-LR'!$F$18</f>
        <v>809058.01613162644</v>
      </c>
      <c r="T18" s="451">
        <f>(Receitas!R69+Receitas!R130)*'Tributos-LR'!$F$18</f>
        <v>811821.38872138562</v>
      </c>
      <c r="U18" s="451">
        <f>(Receitas!S69+Receitas!S130)*'Tributos-LR'!$F$18</f>
        <v>814584.76131114457</v>
      </c>
      <c r="V18" s="451">
        <f>(Receitas!T69+Receitas!T130)*'Tributos-LR'!$F$18</f>
        <v>817343.71250476036</v>
      </c>
      <c r="W18" s="451">
        <f>(Receitas!U69+Receitas!U130)*'Tributos-LR'!$F$18</f>
        <v>819010.57885090297</v>
      </c>
      <c r="X18" s="451">
        <f>(Receitas!V69+Receitas!V130)*'Tributos-LR'!$F$18</f>
        <v>820677.4451970458</v>
      </c>
      <c r="Y18" s="451">
        <f>(Receitas!W69+Receitas!W130)*'Tributos-LR'!$F$18</f>
        <v>822344.31154318852</v>
      </c>
      <c r="Z18" s="451">
        <f>(Receitas!X69+Receitas!X130)*'Tributos-LR'!$F$18</f>
        <v>824011.17788933124</v>
      </c>
      <c r="AA18" s="451">
        <f>(Receitas!Y69+Receitas!Y130)*'Tributos-LR'!$F$18</f>
        <v>825673.62283933046</v>
      </c>
      <c r="AB18" s="451">
        <f>(Receitas!Z69+Receitas!Z130)*'Tributos-LR'!$F$18</f>
        <v>827340.48918547307</v>
      </c>
      <c r="AC18" s="451">
        <f>(Receitas!AA69+Receitas!AA130)*'Tributos-LR'!$F$18</f>
        <v>829007.35553161614</v>
      </c>
      <c r="AD18" s="451">
        <f>(Receitas!AB69+Receitas!AB130)*'Tributos-LR'!$F$18</f>
        <v>830674.22187775862</v>
      </c>
      <c r="AE18" s="451">
        <f>(Receitas!AC69+Receitas!AC130)*'Tributos-LR'!$F$18</f>
        <v>832341.08822390158</v>
      </c>
      <c r="AF18" s="451">
        <f>(Receitas!AD69+Receitas!AD130)*'Tributos-LR'!$F$18</f>
        <v>834007.95457004418</v>
      </c>
      <c r="AG18" s="451">
        <f>(Receitas!AE69+Receitas!AE130)*'Tributos-LR'!$F$18</f>
        <v>835674.8209161869</v>
      </c>
      <c r="AH18" s="451">
        <f>(Receitas!AF69+Receitas!AF130)*'Tributos-LR'!$F$18</f>
        <v>837341.68726232951</v>
      </c>
      <c r="AI18" s="451">
        <f>(Receitas!AG69+Receitas!AG130)*'Tributos-LR'!$F$18</f>
        <v>839008.55360847234</v>
      </c>
      <c r="AJ18" s="451">
        <f>(Receitas!AH69+Receitas!AH130)*'Tributos-LR'!$F$18</f>
        <v>840675.41995461495</v>
      </c>
    </row>
    <row r="19" spans="5:36" ht="12.75" customHeight="1" thickBot="1" x14ac:dyDescent="0.4">
      <c r="E19" s="223" t="s">
        <v>7</v>
      </c>
      <c r="F19" s="450">
        <f>'Premissas Gerais'!F109</f>
        <v>0.03</v>
      </c>
      <c r="G19" s="451">
        <f>(Receitas!E81+Receitas!E131)*'Tributos-LR'!$F$19</f>
        <v>41832.058864689483</v>
      </c>
      <c r="H19" s="451">
        <f>(Receitas!F81+Receitas!F131)*'Tributos-LR'!$F$19</f>
        <v>41720.430829837082</v>
      </c>
      <c r="I19" s="451">
        <f>(Receitas!G81+Receitas!G131)*'Tributos-LR'!$F$19</f>
        <v>41608.802794984673</v>
      </c>
      <c r="J19" s="451">
        <f>(Receitas!H81+Receitas!H131)*'Tributos-LR'!$F$19</f>
        <v>41497.174760132264</v>
      </c>
      <c r="K19" s="451">
        <f>(Receitas!I81+Receitas!I131)*'Tributos-LR'!$F$19</f>
        <v>41385.546725279863</v>
      </c>
      <c r="L19" s="451">
        <f>(Receitas!J81+Receitas!J131)*'Tributos-LR'!$F$19</f>
        <v>41269.541120433241</v>
      </c>
      <c r="M19" s="451">
        <f>(Receitas!K81+Receitas!K131)*'Tributos-LR'!$F$19</f>
        <v>41074.739255690809</v>
      </c>
      <c r="N19" s="451">
        <f>(Receitas!L81+Receitas!L131)*'Tributos-LR'!$F$19</f>
        <v>40879.937390948377</v>
      </c>
      <c r="O19" s="451">
        <f>(Receitas!M81+Receitas!M131)*'Tributos-LR'!$F$19</f>
        <v>40685.135526205951</v>
      </c>
      <c r="P19" s="451">
        <f>(Receitas!N81+Receitas!N131)*'Tributos-LR'!$F$19</f>
        <v>40490.333661463512</v>
      </c>
      <c r="Q19" s="451">
        <f>(Receitas!O81+Receitas!O131)*'Tributos-LR'!$F$19</f>
        <v>40293.34301172397</v>
      </c>
      <c r="R19" s="451">
        <f>(Receitas!P81+Receitas!P131)*'Tributos-LR'!$F$19</f>
        <v>40026.311242077056</v>
      </c>
      <c r="S19" s="451">
        <f>(Receitas!Q81+Receitas!Q131)*'Tributos-LR'!$F$19</f>
        <v>39759.279472430113</v>
      </c>
      <c r="T19" s="451">
        <f>(Receitas!R81+Receitas!R131)*'Tributos-LR'!$F$19</f>
        <v>39492.247702783185</v>
      </c>
      <c r="U19" s="451">
        <f>(Receitas!S81+Receitas!S131)*'Tributos-LR'!$F$19</f>
        <v>39225.215933136249</v>
      </c>
      <c r="V19" s="451">
        <f>(Receitas!T81+Receitas!T131)*'Tributos-LR'!$F$19</f>
        <v>38953.806593495116</v>
      </c>
      <c r="W19" s="451">
        <f>(Receitas!U81+Receitas!U131)*'Tributos-LR'!$F$19</f>
        <v>38664.886973877125</v>
      </c>
      <c r="X19" s="451">
        <f>(Receitas!V81+Receitas!V131)*'Tributos-LR'!$F$19</f>
        <v>38375.967354259134</v>
      </c>
      <c r="Y19" s="451">
        <f>(Receitas!W81+Receitas!W131)*'Tributos-LR'!$F$19</f>
        <v>38087.047734641143</v>
      </c>
      <c r="Z19" s="451">
        <f>(Receitas!X81+Receitas!X131)*'Tributos-LR'!$F$19</f>
        <v>37798.128115023152</v>
      </c>
      <c r="AA19" s="451">
        <f>(Receitas!Y81+Receitas!Y131)*'Tributos-LR'!$F$19</f>
        <v>37513.58606539938</v>
      </c>
      <c r="AB19" s="451">
        <f>(Receitas!Z81+Receitas!Z131)*'Tributos-LR'!$F$19</f>
        <v>37224.666445781397</v>
      </c>
      <c r="AC19" s="451">
        <f>(Receitas!AA81+Receitas!AA131)*'Tributos-LR'!$F$19</f>
        <v>36935.746826163406</v>
      </c>
      <c r="AD19" s="451">
        <f>(Receitas!AB81+Receitas!AB131)*'Tributos-LR'!$F$19</f>
        <v>36646.827206545415</v>
      </c>
      <c r="AE19" s="451">
        <f>(Receitas!AC81+Receitas!AC131)*'Tributos-LR'!$F$19</f>
        <v>36357.907586927431</v>
      </c>
      <c r="AF19" s="451">
        <f>(Receitas!AD81+Receitas!AD131)*'Tributos-LR'!$F$19</f>
        <v>36068.987967309433</v>
      </c>
      <c r="AG19" s="451">
        <f>(Receitas!AE81+Receitas!AE131)*'Tributos-LR'!$F$19</f>
        <v>35780.068347691442</v>
      </c>
      <c r="AH19" s="451">
        <f>(Receitas!AF81+Receitas!AF131)*'Tributos-LR'!$F$19</f>
        <v>35491.148728073451</v>
      </c>
      <c r="AI19" s="451">
        <f>(Receitas!AG81+Receitas!AG131)*'Tributos-LR'!$F$19</f>
        <v>35202.229108455467</v>
      </c>
      <c r="AJ19" s="451">
        <f>(Receitas!AH81+Receitas!AH131)*'Tributos-LR'!$F$19</f>
        <v>34913.309488837484</v>
      </c>
    </row>
    <row r="20" spans="5:36" ht="12.75" customHeight="1" thickBot="1" x14ac:dyDescent="0.4">
      <c r="E20" s="223" t="s">
        <v>8</v>
      </c>
      <c r="F20" s="450">
        <f>'Premissas Gerais'!F110</f>
        <v>0.03</v>
      </c>
      <c r="G20" s="451">
        <f>(Receitas!E93+Receitas!E132)*'Tributos-LR'!$F$20</f>
        <v>66084.188419853614</v>
      </c>
      <c r="H20" s="451">
        <f>(Receitas!F93+Receitas!F132)*'Tributos-LR'!$F$20</f>
        <v>66657.23451111489</v>
      </c>
      <c r="I20" s="451">
        <f>(Receitas!G93+Receitas!G132)*'Tributos-LR'!$F$20</f>
        <v>67230.280602376166</v>
      </c>
      <c r="J20" s="451">
        <f>(Receitas!H93+Receitas!H132)*'Tributos-LR'!$F$20</f>
        <v>67803.326693637428</v>
      </c>
      <c r="K20" s="451">
        <f>(Receitas!I93+Receitas!I132)*'Tributos-LR'!$F$20</f>
        <v>68376.372784898689</v>
      </c>
      <c r="L20" s="451">
        <f>(Receitas!J93+Receitas!J132)*'Tributos-LR'!$F$20</f>
        <v>68940.865949424711</v>
      </c>
      <c r="M20" s="451">
        <f>(Receitas!K93+Receitas!K132)*'Tributos-LR'!$F$20</f>
        <v>69394.171066392591</v>
      </c>
      <c r="N20" s="451">
        <f>(Receitas!L93+Receitas!L132)*'Tributos-LR'!$F$20</f>
        <v>69847.476183360443</v>
      </c>
      <c r="O20" s="451">
        <f>(Receitas!M93+Receitas!M132)*'Tributos-LR'!$F$20</f>
        <v>70300.781300328323</v>
      </c>
      <c r="P20" s="451">
        <f>(Receitas!N93+Receitas!N132)*'Tributos-LR'!$F$20</f>
        <v>70754.086417296188</v>
      </c>
      <c r="Q20" s="451">
        <f>(Receitas!O93+Receitas!O132)*'Tributos-LR'!$F$20</f>
        <v>71211.667997631695</v>
      </c>
      <c r="R20" s="451">
        <f>(Receitas!P93+Receitas!P132)*'Tributos-LR'!$F$20</f>
        <v>71575.16738387951</v>
      </c>
      <c r="S20" s="451">
        <f>(Receitas!Q93+Receitas!Q132)*'Tributos-LR'!$F$20</f>
        <v>71938.666770127325</v>
      </c>
      <c r="T20" s="451">
        <f>(Receitas!R93+Receitas!R132)*'Tributos-LR'!$F$20</f>
        <v>72302.16615637514</v>
      </c>
      <c r="U20" s="451">
        <f>(Receitas!S93+Receitas!S132)*'Tributos-LR'!$F$20</f>
        <v>72665.665542622955</v>
      </c>
      <c r="V20" s="451">
        <f>(Receitas!T93+Receitas!T132)*'Tributos-LR'!$F$20</f>
        <v>73033.441392238397</v>
      </c>
      <c r="W20" s="451">
        <f>(Receitas!U93+Receitas!U132)*'Tributos-LR'!$F$20</f>
        <v>73268.646877457562</v>
      </c>
      <c r="X20" s="451">
        <f>(Receitas!V93+Receitas!V132)*'Tributos-LR'!$F$20</f>
        <v>73503.852362676756</v>
      </c>
      <c r="Y20" s="451">
        <f>(Receitas!W93+Receitas!W132)*'Tributos-LR'!$F$20</f>
        <v>73739.057847895936</v>
      </c>
      <c r="Z20" s="451">
        <f>(Receitas!X93+Receitas!X132)*'Tributos-LR'!$F$20</f>
        <v>73974.263333115101</v>
      </c>
      <c r="AA20" s="451">
        <f>(Receitas!Y93+Receitas!Y132)*'Tributos-LR'!$F$20</f>
        <v>74213.745281701908</v>
      </c>
      <c r="AB20" s="451">
        <f>(Receitas!Z93+Receitas!Z132)*'Tributos-LR'!$F$20</f>
        <v>74448.950766921072</v>
      </c>
      <c r="AC20" s="451">
        <f>(Receitas!AA93+Receitas!AA132)*'Tributos-LR'!$F$20</f>
        <v>74684.156252140281</v>
      </c>
      <c r="AD20" s="451">
        <f>(Receitas!AB93+Receitas!AB132)*'Tributos-LR'!$F$20</f>
        <v>74919.361737359417</v>
      </c>
      <c r="AE20" s="451">
        <f>(Receitas!AC93+Receitas!AC132)*'Tributos-LR'!$F$20</f>
        <v>75154.567222578626</v>
      </c>
      <c r="AF20" s="451">
        <f>(Receitas!AD93+Receitas!AD132)*'Tributos-LR'!$F$20</f>
        <v>75389.772707797805</v>
      </c>
      <c r="AG20" s="451">
        <f>(Receitas!AE93+Receitas!AE132)*'Tributos-LR'!$F$20</f>
        <v>75624.978193016985</v>
      </c>
      <c r="AH20" s="451">
        <f>(Receitas!AF93+Receitas!AF132)*'Tributos-LR'!$F$20</f>
        <v>75860.183678236135</v>
      </c>
      <c r="AI20" s="451">
        <f>(Receitas!AG93+Receitas!AG132)*'Tributos-LR'!$F$20</f>
        <v>76095.389163455329</v>
      </c>
      <c r="AJ20" s="451">
        <f>(Receitas!AH93+Receitas!AH132)*'Tributos-LR'!$F$20</f>
        <v>76330.594648674523</v>
      </c>
    </row>
    <row r="21" spans="5:36" ht="12.75" customHeight="1" thickBot="1" x14ac:dyDescent="0.4">
      <c r="E21" s="223" t="s">
        <v>9</v>
      </c>
      <c r="F21" s="450">
        <f>'Premissas Gerais'!F111</f>
        <v>0.03</v>
      </c>
      <c r="G21" s="451">
        <f>(Receitas!E105+Receitas!E133)*'Tributos-LR'!$F$21</f>
        <v>53494.69379233371</v>
      </c>
      <c r="H21" s="451">
        <f>(Receitas!F105+Receitas!F133)*'Tributos-LR'!$F$21</f>
        <v>53965.919172140799</v>
      </c>
      <c r="I21" s="451">
        <f>(Receitas!G105+Receitas!G133)*'Tributos-LR'!$F$21</f>
        <v>54437.144551947873</v>
      </c>
      <c r="J21" s="451">
        <f>(Receitas!H105+Receitas!H133)*'Tributos-LR'!$F$21</f>
        <v>54908.369931754962</v>
      </c>
      <c r="K21" s="451">
        <f>(Receitas!I105+Receitas!I133)*'Tributos-LR'!$F$21</f>
        <v>55379.595311562029</v>
      </c>
      <c r="L21" s="451">
        <f>(Receitas!J105+Receitas!J133)*'Tributos-LR'!$F$21</f>
        <v>55859.311238753035</v>
      </c>
      <c r="M21" s="451">
        <f>(Receitas!K105+Receitas!K133)*'Tributos-LR'!$F$21</f>
        <v>56258.366965796871</v>
      </c>
      <c r="N21" s="451">
        <f>(Receitas!L105+Receitas!L133)*'Tributos-LR'!$F$21</f>
        <v>56657.422692840701</v>
      </c>
      <c r="O21" s="451">
        <f>(Receitas!M105+Receitas!M133)*'Tributos-LR'!$F$21</f>
        <v>57056.478419884537</v>
      </c>
      <c r="P21" s="451">
        <f>(Receitas!N105+Receitas!N133)*'Tributos-LR'!$F$21</f>
        <v>57455.534146928367</v>
      </c>
      <c r="Q21" s="451">
        <f>(Receitas!O105+Receitas!O133)*'Tributos-LR'!$F$21</f>
        <v>57850.344600280259</v>
      </c>
      <c r="R21" s="451">
        <f>(Receitas!P105+Receitas!P133)*'Tributos-LR'!$F$21</f>
        <v>58130.532663949336</v>
      </c>
      <c r="S21" s="451">
        <f>(Receitas!Q105+Receitas!Q133)*'Tributos-LR'!$F$21</f>
        <v>58410.720727618398</v>
      </c>
      <c r="T21" s="451">
        <f>(Receitas!R105+Receitas!R133)*'Tributos-LR'!$F$21</f>
        <v>58690.908791287482</v>
      </c>
      <c r="U21" s="451">
        <f>(Receitas!S105+Receitas!S133)*'Tributos-LR'!$F$21</f>
        <v>58971.096854956566</v>
      </c>
      <c r="V21" s="451">
        <f>(Receitas!T105+Receitas!T133)*'Tributos-LR'!$F$21</f>
        <v>59259.775466009538</v>
      </c>
      <c r="W21" s="451">
        <f>(Receitas!U105+Receitas!U133)*'Tributos-LR'!$F$21</f>
        <v>59463.548603223426</v>
      </c>
      <c r="X21" s="451">
        <f>(Receitas!V105+Receitas!V133)*'Tributos-LR'!$F$21</f>
        <v>59667.321740437292</v>
      </c>
      <c r="Y21" s="451">
        <f>(Receitas!W105+Receitas!W133)*'Tributos-LR'!$F$21</f>
        <v>59871.094877651165</v>
      </c>
      <c r="Z21" s="451">
        <f>(Receitas!X105+Receitas!X133)*'Tributos-LR'!$F$21</f>
        <v>60074.868014865046</v>
      </c>
      <c r="AA21" s="451">
        <f>(Receitas!Y105+Receitas!Y133)*'Tributos-LR'!$F$21</f>
        <v>60287.131699462821</v>
      </c>
      <c r="AB21" s="451">
        <f>(Receitas!Z105+Receitas!Z133)*'Tributos-LR'!$F$21</f>
        <v>60490.904836676702</v>
      </c>
      <c r="AC21" s="451">
        <f>(Receitas!AA105+Receitas!AA133)*'Tributos-LR'!$F$21</f>
        <v>60694.67797389059</v>
      </c>
      <c r="AD21" s="451">
        <f>(Receitas!AB105+Receitas!AB133)*'Tributos-LR'!$F$21</f>
        <v>60898.451111104456</v>
      </c>
      <c r="AE21" s="451">
        <f>(Receitas!AC105+Receitas!AC133)*'Tributos-LR'!$F$21</f>
        <v>61102.224248318314</v>
      </c>
      <c r="AF21" s="451">
        <f>(Receitas!AD105+Receitas!AD133)*'Tributos-LR'!$F$21</f>
        <v>61305.997385532188</v>
      </c>
      <c r="AG21" s="451">
        <f>(Receitas!AE105+Receitas!AE133)*'Tributos-LR'!$F$21</f>
        <v>61509.770522746068</v>
      </c>
      <c r="AH21" s="451">
        <f>(Receitas!AF105+Receitas!AF133)*'Tributos-LR'!$F$21</f>
        <v>61713.543659959942</v>
      </c>
      <c r="AI21" s="451">
        <f>(Receitas!AG105+Receitas!AG133)*'Tributos-LR'!$F$21</f>
        <v>61917.3167971738</v>
      </c>
      <c r="AJ21" s="451">
        <f>(Receitas!AH105+Receitas!AH133)*'Tributos-LR'!$F$21</f>
        <v>62121.089934387659</v>
      </c>
    </row>
    <row r="22" spans="5:36" x14ac:dyDescent="0.3">
      <c r="G22" s="1358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  <c r="V22" s="451"/>
      <c r="W22" s="451"/>
      <c r="X22" s="451"/>
      <c r="Y22" s="451"/>
      <c r="Z22" s="451"/>
      <c r="AA22" s="451"/>
      <c r="AB22" s="451"/>
      <c r="AC22" s="451"/>
      <c r="AD22" s="451"/>
      <c r="AE22" s="451"/>
      <c r="AF22" s="451"/>
      <c r="AG22" s="451"/>
      <c r="AH22" s="451"/>
      <c r="AI22" s="451"/>
      <c r="AJ22" s="451"/>
    </row>
    <row r="23" spans="5:36" ht="12.75" customHeight="1" x14ac:dyDescent="0.3">
      <c r="E23" s="199" t="s">
        <v>668</v>
      </c>
      <c r="F23" s="199"/>
      <c r="G23" s="451">
        <f t="shared" ref="G23:AJ23" si="2">IF(G6="","",SUM(G24:G29))</f>
        <v>4028250.8707694039</v>
      </c>
      <c r="H23" s="451">
        <f t="shared" si="2"/>
        <v>4028250.8707694039</v>
      </c>
      <c r="I23" s="451">
        <f t="shared" si="2"/>
        <v>4028250.8707694039</v>
      </c>
      <c r="J23" s="451">
        <f t="shared" si="2"/>
        <v>4028250.8707694039</v>
      </c>
      <c r="K23" s="451">
        <f t="shared" si="2"/>
        <v>4028250.8707694039</v>
      </c>
      <c r="L23" s="451">
        <f t="shared" si="2"/>
        <v>4028250.8707694039</v>
      </c>
      <c r="M23" s="451">
        <f t="shared" si="2"/>
        <v>4028250.8707694039</v>
      </c>
      <c r="N23" s="451">
        <f t="shared" si="2"/>
        <v>5231542.3176980196</v>
      </c>
      <c r="O23" s="451">
        <f t="shared" si="2"/>
        <v>4994586.4345260439</v>
      </c>
      <c r="P23" s="451">
        <f t="shared" si="2"/>
        <v>4994586.4345260439</v>
      </c>
      <c r="Q23" s="451">
        <f t="shared" si="2"/>
        <v>4994586.4345260439</v>
      </c>
      <c r="R23" s="451">
        <f t="shared" si="2"/>
        <v>4994586.4345260439</v>
      </c>
      <c r="S23" s="451">
        <f t="shared" si="2"/>
        <v>4994586.4345260439</v>
      </c>
      <c r="T23" s="451">
        <f t="shared" si="2"/>
        <v>4994586.4345260439</v>
      </c>
      <c r="U23" s="451">
        <f t="shared" si="2"/>
        <v>4994586.4345260439</v>
      </c>
      <c r="V23" s="451">
        <f t="shared" si="2"/>
        <v>4994586.4345260439</v>
      </c>
      <c r="W23" s="451">
        <f t="shared" si="2"/>
        <v>4994586.4345260439</v>
      </c>
      <c r="X23" s="451">
        <f t="shared" si="2"/>
        <v>4994586.4345260439</v>
      </c>
      <c r="Y23" s="451">
        <f t="shared" si="2"/>
        <v>4994586.4345260439</v>
      </c>
      <c r="Z23" s="451">
        <f t="shared" si="2"/>
        <v>4994586.4345260439</v>
      </c>
      <c r="AA23" s="451">
        <f t="shared" si="2"/>
        <v>4994586.4345260439</v>
      </c>
      <c r="AB23" s="451">
        <f t="shared" si="2"/>
        <v>4994586.4345260439</v>
      </c>
      <c r="AC23" s="451">
        <f t="shared" si="2"/>
        <v>4994586.4345260439</v>
      </c>
      <c r="AD23" s="451">
        <f t="shared" si="2"/>
        <v>4994586.4345260439</v>
      </c>
      <c r="AE23" s="451">
        <f t="shared" si="2"/>
        <v>4994586.4345260439</v>
      </c>
      <c r="AF23" s="451">
        <f t="shared" si="2"/>
        <v>4994586.4345260439</v>
      </c>
      <c r="AG23" s="451">
        <f t="shared" si="2"/>
        <v>4994586.4345260439</v>
      </c>
      <c r="AH23" s="451">
        <f t="shared" si="2"/>
        <v>4994586.4345260439</v>
      </c>
      <c r="AI23" s="451">
        <f t="shared" si="2"/>
        <v>4994586.4345260439</v>
      </c>
      <c r="AJ23" s="451">
        <f t="shared" si="2"/>
        <v>4994586.4345260439</v>
      </c>
    </row>
    <row r="24" spans="5:36" ht="12.75" customHeight="1" x14ac:dyDescent="0.3">
      <c r="E24" s="262" t="s">
        <v>669</v>
      </c>
      <c r="F24" s="199"/>
      <c r="G24" s="453">
        <f>('OPEX _Coleta'!$G$10/'OPEX _Coleta'!$G$7)*'OPEX _Coleta'!G172</f>
        <v>3615856.3270134265</v>
      </c>
      <c r="H24" s="453">
        <f>('OPEX _Coleta'!$G$10/'OPEX _Coleta'!$G$7)*'OPEX _Coleta'!H172</f>
        <v>3615856.3270134265</v>
      </c>
      <c r="I24" s="453">
        <f>('OPEX _Coleta'!$G$10/'OPEX _Coleta'!$G$7)*'OPEX _Coleta'!I172</f>
        <v>3615856.3270134265</v>
      </c>
      <c r="J24" s="453">
        <f>('OPEX _Coleta'!$G$10/'OPEX _Coleta'!$G$7)*'OPEX _Coleta'!J172</f>
        <v>3615856.3270134265</v>
      </c>
      <c r="K24" s="453">
        <f>('OPEX _Coleta'!$G$10/'OPEX _Coleta'!$G$7)*'OPEX _Coleta'!K172</f>
        <v>3615856.3270134265</v>
      </c>
      <c r="L24" s="453">
        <f>('OPEX _Coleta'!$G$10/'OPEX _Coleta'!$G$7)*'OPEX _Coleta'!L172</f>
        <v>3615856.3270134265</v>
      </c>
      <c r="M24" s="453">
        <f>('OPEX _Coleta'!$G$10/'OPEX _Coleta'!$G$7)*'OPEX _Coleta'!M172</f>
        <v>3615856.3270134265</v>
      </c>
      <c r="N24" s="453">
        <f>('OPEX _Coleta'!$G$10/'OPEX _Coleta'!$G$7)*'OPEX _Coleta'!N172</f>
        <v>3615856.3270134265</v>
      </c>
      <c r="O24" s="453">
        <f>('OPEX _Coleta'!$G$10/'OPEX _Coleta'!$G$7)*'OPEX _Coleta'!O172</f>
        <v>3403158.8446508986</v>
      </c>
      <c r="P24" s="453">
        <f>('OPEX _Coleta'!$G$10/'OPEX _Coleta'!$G$7)*'OPEX _Coleta'!P172</f>
        <v>3403158.8446508986</v>
      </c>
      <c r="Q24" s="453">
        <f>('OPEX _Coleta'!$G$10/'OPEX _Coleta'!$G$7)*'OPEX _Coleta'!Q172</f>
        <v>3403158.8446508986</v>
      </c>
      <c r="R24" s="453">
        <f>('OPEX _Coleta'!$G$10/'OPEX _Coleta'!$G$7)*'OPEX _Coleta'!R172</f>
        <v>3403158.8446508986</v>
      </c>
      <c r="S24" s="453">
        <f>('OPEX _Coleta'!$G$10/'OPEX _Coleta'!$G$7)*'OPEX _Coleta'!S172</f>
        <v>3403158.8446508986</v>
      </c>
      <c r="T24" s="453">
        <f>('OPEX _Coleta'!$G$10/'OPEX _Coleta'!$G$7)*'OPEX _Coleta'!T172</f>
        <v>3403158.8446508986</v>
      </c>
      <c r="U24" s="453">
        <f>('OPEX _Coleta'!$G$10/'OPEX _Coleta'!$G$7)*'OPEX _Coleta'!U172</f>
        <v>3403158.8446508986</v>
      </c>
      <c r="V24" s="453">
        <f>('OPEX _Coleta'!$G$10/'OPEX _Coleta'!$G$7)*'OPEX _Coleta'!V172</f>
        <v>3403158.8446508986</v>
      </c>
      <c r="W24" s="453">
        <f>('OPEX _Coleta'!$G$10/'OPEX _Coleta'!$G$7)*'OPEX _Coleta'!W172</f>
        <v>3403158.8446508986</v>
      </c>
      <c r="X24" s="453">
        <f>('OPEX _Coleta'!$G$10/'OPEX _Coleta'!$G$7)*'OPEX _Coleta'!X172</f>
        <v>3403158.8446508986</v>
      </c>
      <c r="Y24" s="453">
        <f>('OPEX _Coleta'!$G$10/'OPEX _Coleta'!$G$7)*'OPEX _Coleta'!Y172</f>
        <v>3403158.8446508986</v>
      </c>
      <c r="Z24" s="453">
        <f>('OPEX _Coleta'!$G$10/'OPEX _Coleta'!$G$7)*'OPEX _Coleta'!Z172</f>
        <v>3403158.8446508986</v>
      </c>
      <c r="AA24" s="453">
        <f>('OPEX _Coleta'!$G$10/'OPEX _Coleta'!$G$7)*'OPEX _Coleta'!AA172</f>
        <v>3403158.8446508986</v>
      </c>
      <c r="AB24" s="453">
        <f>('OPEX _Coleta'!$G$10/'OPEX _Coleta'!$G$7)*'OPEX _Coleta'!AB172</f>
        <v>3403158.8446508986</v>
      </c>
      <c r="AC24" s="453">
        <f>('OPEX _Coleta'!$G$10/'OPEX _Coleta'!$G$7)*'OPEX _Coleta'!AC172</f>
        <v>3403158.8446508986</v>
      </c>
      <c r="AD24" s="453">
        <f>('OPEX _Coleta'!$G$10/'OPEX _Coleta'!$G$7)*'OPEX _Coleta'!AD172</f>
        <v>3403158.8446508986</v>
      </c>
      <c r="AE24" s="453">
        <f>('OPEX _Coleta'!$G$10/'OPEX _Coleta'!$G$7)*'OPEX _Coleta'!AE172</f>
        <v>3403158.8446508986</v>
      </c>
      <c r="AF24" s="453">
        <f>('OPEX _Coleta'!$G$10/'OPEX _Coleta'!$G$7)*'OPEX _Coleta'!AF172</f>
        <v>3403158.8446508986</v>
      </c>
      <c r="AG24" s="453">
        <f>('OPEX _Coleta'!$G$10/'OPEX _Coleta'!$G$7)*'OPEX _Coleta'!AG172</f>
        <v>3403158.8446508986</v>
      </c>
      <c r="AH24" s="453">
        <f>('OPEX _Coleta'!$G$10/'OPEX _Coleta'!$G$7)*'OPEX _Coleta'!AH172</f>
        <v>3403158.8446508986</v>
      </c>
      <c r="AI24" s="453">
        <f>('OPEX _Coleta'!$G$10/'OPEX _Coleta'!$G$7)*'OPEX _Coleta'!AI172</f>
        <v>3403158.8446508986</v>
      </c>
      <c r="AJ24" s="453">
        <f>('OPEX _Coleta'!$G$10/'OPEX _Coleta'!$G$7)*'OPEX _Coleta'!AJ172</f>
        <v>3403158.8446508986</v>
      </c>
    </row>
    <row r="25" spans="5:36" ht="12.75" customHeight="1" x14ac:dyDescent="0.3">
      <c r="E25" s="262" t="s">
        <v>670</v>
      </c>
      <c r="F25" s="199"/>
      <c r="G25" s="453">
        <f>('OPEX _Coleta'!$G$10/'OPEX _Coleta'!$G$7)*'OPEX _Coleta'!G173</f>
        <v>412394.54375597741</v>
      </c>
      <c r="H25" s="453">
        <f>('OPEX _Coleta'!$G$10/'OPEX _Coleta'!$G$7)*'OPEX _Coleta'!H173</f>
        <v>412394.54375597741</v>
      </c>
      <c r="I25" s="453">
        <f>('OPEX _Coleta'!$G$10/'OPEX _Coleta'!$G$7)*'OPEX _Coleta'!I173</f>
        <v>412394.54375597741</v>
      </c>
      <c r="J25" s="453">
        <f>('OPEX _Coleta'!$G$10/'OPEX _Coleta'!$G$7)*'OPEX _Coleta'!J173</f>
        <v>412394.54375597741</v>
      </c>
      <c r="K25" s="453">
        <f>('OPEX _Coleta'!$G$10/'OPEX _Coleta'!$G$7)*'OPEX _Coleta'!K173</f>
        <v>412394.54375597741</v>
      </c>
      <c r="L25" s="453">
        <f>('OPEX _Coleta'!$G$10/'OPEX _Coleta'!$G$7)*'OPEX _Coleta'!L173</f>
        <v>412394.54375597741</v>
      </c>
      <c r="M25" s="453">
        <f>('OPEX _Coleta'!$G$10/'OPEX _Coleta'!$G$7)*'OPEX _Coleta'!M173</f>
        <v>412394.54375597741</v>
      </c>
      <c r="N25" s="453">
        <f>('OPEX _Coleta'!$G$10/'OPEX _Coleta'!$G$7)*'OPEX _Coleta'!N173</f>
        <v>412394.54375597741</v>
      </c>
      <c r="O25" s="453">
        <f>('OPEX _Coleta'!$G$10/'OPEX _Coleta'!$G$7)*'OPEX _Coleta'!O173</f>
        <v>388136.14294652903</v>
      </c>
      <c r="P25" s="453">
        <f>('OPEX _Coleta'!$G$10/'OPEX _Coleta'!$G$7)*'OPEX _Coleta'!P173</f>
        <v>388136.14294652903</v>
      </c>
      <c r="Q25" s="453">
        <f>('OPEX _Coleta'!$G$10/'OPEX _Coleta'!$G$7)*'OPEX _Coleta'!Q173</f>
        <v>388136.14294652903</v>
      </c>
      <c r="R25" s="453">
        <f>('OPEX _Coleta'!$G$10/'OPEX _Coleta'!$G$7)*'OPEX _Coleta'!R173</f>
        <v>388136.14294652903</v>
      </c>
      <c r="S25" s="453">
        <f>('OPEX _Coleta'!$G$10/'OPEX _Coleta'!$G$7)*'OPEX _Coleta'!S173</f>
        <v>388136.14294652903</v>
      </c>
      <c r="T25" s="453">
        <f>('OPEX _Coleta'!$G$10/'OPEX _Coleta'!$G$7)*'OPEX _Coleta'!T173</f>
        <v>388136.14294652903</v>
      </c>
      <c r="U25" s="453">
        <f>('OPEX _Coleta'!$G$10/'OPEX _Coleta'!$G$7)*'OPEX _Coleta'!U173</f>
        <v>388136.14294652903</v>
      </c>
      <c r="V25" s="453">
        <f>('OPEX _Coleta'!$G$10/'OPEX _Coleta'!$G$7)*'OPEX _Coleta'!V173</f>
        <v>388136.14294652903</v>
      </c>
      <c r="W25" s="453">
        <f>('OPEX _Coleta'!$G$10/'OPEX _Coleta'!$G$7)*'OPEX _Coleta'!W173</f>
        <v>388136.14294652903</v>
      </c>
      <c r="X25" s="453">
        <f>('OPEX _Coleta'!$G$10/'OPEX _Coleta'!$G$7)*'OPEX _Coleta'!X173</f>
        <v>388136.14294652903</v>
      </c>
      <c r="Y25" s="453">
        <f>('OPEX _Coleta'!$G$10/'OPEX _Coleta'!$G$7)*'OPEX _Coleta'!Y173</f>
        <v>388136.14294652903</v>
      </c>
      <c r="Z25" s="453">
        <f>('OPEX _Coleta'!$G$10/'OPEX _Coleta'!$G$7)*'OPEX _Coleta'!Z173</f>
        <v>388136.14294652903</v>
      </c>
      <c r="AA25" s="453">
        <f>('OPEX _Coleta'!$G$10/'OPEX _Coleta'!$G$7)*'OPEX _Coleta'!AA173</f>
        <v>388136.14294652903</v>
      </c>
      <c r="AB25" s="453">
        <f>('OPEX _Coleta'!$G$10/'OPEX _Coleta'!$G$7)*'OPEX _Coleta'!AB173</f>
        <v>388136.14294652903</v>
      </c>
      <c r="AC25" s="453">
        <f>('OPEX _Coleta'!$G$10/'OPEX _Coleta'!$G$7)*'OPEX _Coleta'!AC173</f>
        <v>388136.14294652903</v>
      </c>
      <c r="AD25" s="453">
        <f>('OPEX _Coleta'!$G$10/'OPEX _Coleta'!$G$7)*'OPEX _Coleta'!AD173</f>
        <v>388136.14294652903</v>
      </c>
      <c r="AE25" s="453">
        <f>('OPEX _Coleta'!$G$10/'OPEX _Coleta'!$G$7)*'OPEX _Coleta'!AE173</f>
        <v>388136.14294652903</v>
      </c>
      <c r="AF25" s="453">
        <f>('OPEX _Coleta'!$G$10/'OPEX _Coleta'!$G$7)*'OPEX _Coleta'!AF173</f>
        <v>388136.14294652903</v>
      </c>
      <c r="AG25" s="453">
        <f>('OPEX _Coleta'!$G$10/'OPEX _Coleta'!$G$7)*'OPEX _Coleta'!AG173</f>
        <v>388136.14294652903</v>
      </c>
      <c r="AH25" s="453">
        <f>('OPEX _Coleta'!$G$10/'OPEX _Coleta'!$G$7)*'OPEX _Coleta'!AH173</f>
        <v>388136.14294652903</v>
      </c>
      <c r="AI25" s="453">
        <f>('OPEX _Coleta'!$G$10/'OPEX _Coleta'!$G$7)*'OPEX _Coleta'!AI173</f>
        <v>388136.14294652903</v>
      </c>
      <c r="AJ25" s="453">
        <f>('OPEX _Coleta'!$G$10/'OPEX _Coleta'!$G$7)*'OPEX _Coleta'!AJ173</f>
        <v>388136.14294652903</v>
      </c>
    </row>
    <row r="26" spans="5:36" ht="12.75" customHeight="1" x14ac:dyDescent="0.3">
      <c r="E26" s="262" t="s">
        <v>671</v>
      </c>
      <c r="F26" s="199"/>
      <c r="G26" s="453">
        <f>('OPEX _Coleta'!$G$37/'OPEX _Coleta'!$G$34)*'OPEX _Coleta'!G175</f>
        <v>0</v>
      </c>
      <c r="H26" s="453">
        <f>('OPEX _Coleta'!$G$37/'OPEX _Coleta'!$G$34)*'OPEX _Coleta'!H175</f>
        <v>0</v>
      </c>
      <c r="I26" s="453">
        <f>('OPEX _Coleta'!$G$37/'OPEX _Coleta'!$G$34)*'OPEX _Coleta'!I175</f>
        <v>0</v>
      </c>
      <c r="J26" s="453">
        <f>('OPEX _Coleta'!$G$37/'OPEX _Coleta'!$G$34)*'OPEX _Coleta'!J175</f>
        <v>0</v>
      </c>
      <c r="K26" s="453">
        <f>('OPEX _Coleta'!$G$37/'OPEX _Coleta'!$G$34)*'OPEX _Coleta'!K175</f>
        <v>0</v>
      </c>
      <c r="L26" s="453">
        <f>('OPEX _Coleta'!$G$37/'OPEX _Coleta'!$G$34)*'OPEX _Coleta'!L175</f>
        <v>0</v>
      </c>
      <c r="M26" s="453">
        <f>('OPEX _Coleta'!$G$37/'OPEX _Coleta'!$G$34)*'OPEX _Coleta'!M175</f>
        <v>0</v>
      </c>
      <c r="N26" s="453">
        <f>('OPEX _Coleta'!$G$37/'OPEX _Coleta'!$G$34)*'OPEX _Coleta'!N175</f>
        <v>1203291.4469286159</v>
      </c>
      <c r="O26" s="453">
        <f>('OPEX _Coleta'!$G$37/'OPEX _Coleta'!$G$34)*'OPEX _Coleta'!O175</f>
        <v>1203291.4469286159</v>
      </c>
      <c r="P26" s="453">
        <f>('OPEX _Coleta'!$G$37/'OPEX _Coleta'!$G$34)*'OPEX _Coleta'!P175</f>
        <v>1203291.4469286159</v>
      </c>
      <c r="Q26" s="453">
        <f>('OPEX _Coleta'!$G$37/'OPEX _Coleta'!$G$34)*'OPEX _Coleta'!Q175</f>
        <v>1203291.4469286159</v>
      </c>
      <c r="R26" s="453">
        <f>('OPEX _Coleta'!$G$37/'OPEX _Coleta'!$G$34)*'OPEX _Coleta'!R175</f>
        <v>1203291.4469286159</v>
      </c>
      <c r="S26" s="453">
        <f>('OPEX _Coleta'!$G$37/'OPEX _Coleta'!$G$34)*'OPEX _Coleta'!S175</f>
        <v>1203291.4469286159</v>
      </c>
      <c r="T26" s="453">
        <f>('OPEX _Coleta'!$G$37/'OPEX _Coleta'!$G$34)*'OPEX _Coleta'!T175</f>
        <v>1203291.4469286159</v>
      </c>
      <c r="U26" s="453">
        <f>('OPEX _Coleta'!$G$37/'OPEX _Coleta'!$G$34)*'OPEX _Coleta'!U175</f>
        <v>1203291.4469286159</v>
      </c>
      <c r="V26" s="453">
        <f>('OPEX _Coleta'!$G$37/'OPEX _Coleta'!$G$34)*'OPEX _Coleta'!V175</f>
        <v>1203291.4469286159</v>
      </c>
      <c r="W26" s="453">
        <f>('OPEX _Coleta'!$G$37/'OPEX _Coleta'!$G$34)*'OPEX _Coleta'!W175</f>
        <v>1203291.4469286159</v>
      </c>
      <c r="X26" s="453">
        <f>('OPEX _Coleta'!$G$37/'OPEX _Coleta'!$G$34)*'OPEX _Coleta'!X175</f>
        <v>1203291.4469286159</v>
      </c>
      <c r="Y26" s="453">
        <f>('OPEX _Coleta'!$G$37/'OPEX _Coleta'!$G$34)*'OPEX _Coleta'!Y175</f>
        <v>1203291.4469286159</v>
      </c>
      <c r="Z26" s="453">
        <f>('OPEX _Coleta'!$G$37/'OPEX _Coleta'!$G$34)*'OPEX _Coleta'!Z175</f>
        <v>1203291.4469286159</v>
      </c>
      <c r="AA26" s="453">
        <f>('OPEX _Coleta'!$G$37/'OPEX _Coleta'!$G$34)*'OPEX _Coleta'!AA175</f>
        <v>1203291.4469286159</v>
      </c>
      <c r="AB26" s="453">
        <f>('OPEX _Coleta'!$G$37/'OPEX _Coleta'!$G$34)*'OPEX _Coleta'!AB175</f>
        <v>1203291.4469286159</v>
      </c>
      <c r="AC26" s="453">
        <f>('OPEX _Coleta'!$G$37/'OPEX _Coleta'!$G$34)*'OPEX _Coleta'!AC175</f>
        <v>1203291.4469286159</v>
      </c>
      <c r="AD26" s="453">
        <f>('OPEX _Coleta'!$G$37/'OPEX _Coleta'!$G$34)*'OPEX _Coleta'!AD175</f>
        <v>1203291.4469286159</v>
      </c>
      <c r="AE26" s="453">
        <f>('OPEX _Coleta'!$G$37/'OPEX _Coleta'!$G$34)*'OPEX _Coleta'!AE175</f>
        <v>1203291.4469286159</v>
      </c>
      <c r="AF26" s="453">
        <f>('OPEX _Coleta'!$G$37/'OPEX _Coleta'!$G$34)*'OPEX _Coleta'!AF175</f>
        <v>1203291.4469286159</v>
      </c>
      <c r="AG26" s="453">
        <f>('OPEX _Coleta'!$G$37/'OPEX _Coleta'!$G$34)*'OPEX _Coleta'!AG175</f>
        <v>1203291.4469286159</v>
      </c>
      <c r="AH26" s="453">
        <f>('OPEX _Coleta'!$G$37/'OPEX _Coleta'!$G$34)*'OPEX _Coleta'!AH175</f>
        <v>1203291.4469286159</v>
      </c>
      <c r="AI26" s="453">
        <f>('OPEX _Coleta'!$G$37/'OPEX _Coleta'!$G$34)*'OPEX _Coleta'!AI175</f>
        <v>1203291.4469286159</v>
      </c>
      <c r="AJ26" s="453">
        <f>('OPEX _Coleta'!$G$37/'OPEX _Coleta'!$G$34)*'OPEX _Coleta'!AJ175</f>
        <v>1203291.4469286159</v>
      </c>
    </row>
    <row r="27" spans="5:36" ht="12.75" customHeight="1" x14ac:dyDescent="0.3">
      <c r="E27" s="262"/>
      <c r="F27" s="199"/>
      <c r="G27" s="451"/>
      <c r="H27" s="451"/>
      <c r="I27" s="451"/>
      <c r="J27" s="451"/>
      <c r="K27" s="451"/>
      <c r="L27" s="451"/>
      <c r="M27" s="451"/>
      <c r="N27" s="451"/>
      <c r="O27" s="451"/>
      <c r="P27" s="451"/>
      <c r="Q27" s="451"/>
      <c r="R27" s="451"/>
      <c r="S27" s="451"/>
      <c r="T27" s="451"/>
      <c r="U27" s="451"/>
      <c r="V27" s="451"/>
      <c r="W27" s="451"/>
      <c r="X27" s="451"/>
      <c r="Y27" s="451"/>
      <c r="Z27" s="451"/>
      <c r="AA27" s="451"/>
      <c r="AB27" s="451"/>
      <c r="AC27" s="451"/>
      <c r="AD27" s="451"/>
      <c r="AE27" s="451"/>
      <c r="AF27" s="451"/>
      <c r="AG27" s="451"/>
      <c r="AH27" s="451"/>
      <c r="AI27" s="451"/>
      <c r="AJ27" s="451"/>
    </row>
    <row r="28" spans="5:36" ht="12.75" customHeight="1" x14ac:dyDescent="0.3">
      <c r="E28" s="262"/>
      <c r="F28" s="199"/>
      <c r="G28" s="451"/>
      <c r="H28" s="451"/>
      <c r="I28" s="451"/>
      <c r="J28" s="451"/>
      <c r="K28" s="451"/>
      <c r="L28" s="451"/>
      <c r="M28" s="451"/>
      <c r="N28" s="451"/>
      <c r="O28" s="451"/>
      <c r="P28" s="451"/>
      <c r="Q28" s="451"/>
      <c r="R28" s="451"/>
      <c r="S28" s="451"/>
      <c r="T28" s="451"/>
      <c r="U28" s="451"/>
      <c r="V28" s="451"/>
      <c r="W28" s="451"/>
      <c r="X28" s="451"/>
      <c r="Y28" s="451"/>
      <c r="Z28" s="451"/>
      <c r="AA28" s="451"/>
      <c r="AB28" s="451"/>
      <c r="AC28" s="451"/>
      <c r="AD28" s="451"/>
      <c r="AE28" s="451"/>
      <c r="AF28" s="451"/>
      <c r="AG28" s="451"/>
      <c r="AH28" s="451"/>
      <c r="AI28" s="451"/>
      <c r="AJ28" s="451"/>
    </row>
    <row r="29" spans="5:36" ht="12.75" customHeight="1" thickBot="1" x14ac:dyDescent="0.35">
      <c r="E29" s="262"/>
      <c r="F29" s="199"/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1"/>
      <c r="V29" s="451"/>
      <c r="W29" s="451"/>
      <c r="X29" s="451"/>
      <c r="Y29" s="451"/>
      <c r="Z29" s="451"/>
      <c r="AA29" s="451"/>
      <c r="AB29" s="451"/>
      <c r="AC29" s="451"/>
      <c r="AD29" s="451"/>
      <c r="AE29" s="451"/>
      <c r="AF29" s="451"/>
      <c r="AG29" s="451"/>
      <c r="AH29" s="451"/>
      <c r="AI29" s="451"/>
      <c r="AJ29" s="451"/>
    </row>
    <row r="30" spans="5:36" ht="12.75" customHeight="1" thickBot="1" x14ac:dyDescent="0.4">
      <c r="E30" s="260" t="s">
        <v>131</v>
      </c>
      <c r="F30" s="450">
        <f>F9</f>
        <v>1.6500000000000001E-2</v>
      </c>
      <c r="G30" s="451">
        <f>$F30*G$23</f>
        <v>66466.13936769517</v>
      </c>
      <c r="H30" s="451">
        <f t="shared" ref="H30:AJ30" si="3">$F30*H$23</f>
        <v>66466.13936769517</v>
      </c>
      <c r="I30" s="451">
        <f t="shared" si="3"/>
        <v>66466.13936769517</v>
      </c>
      <c r="J30" s="451">
        <f t="shared" si="3"/>
        <v>66466.13936769517</v>
      </c>
      <c r="K30" s="451">
        <f t="shared" si="3"/>
        <v>66466.13936769517</v>
      </c>
      <c r="L30" s="451">
        <f t="shared" si="3"/>
        <v>66466.13936769517</v>
      </c>
      <c r="M30" s="451">
        <f t="shared" si="3"/>
        <v>66466.13936769517</v>
      </c>
      <c r="N30" s="451">
        <f t="shared" si="3"/>
        <v>86320.44824201733</v>
      </c>
      <c r="O30" s="451">
        <f t="shared" si="3"/>
        <v>82410.676169679733</v>
      </c>
      <c r="P30" s="451">
        <f t="shared" si="3"/>
        <v>82410.676169679733</v>
      </c>
      <c r="Q30" s="451">
        <f t="shared" si="3"/>
        <v>82410.676169679733</v>
      </c>
      <c r="R30" s="451">
        <f t="shared" si="3"/>
        <v>82410.676169679733</v>
      </c>
      <c r="S30" s="451">
        <f t="shared" si="3"/>
        <v>82410.676169679733</v>
      </c>
      <c r="T30" s="451">
        <f t="shared" si="3"/>
        <v>82410.676169679733</v>
      </c>
      <c r="U30" s="451">
        <f t="shared" si="3"/>
        <v>82410.676169679733</v>
      </c>
      <c r="V30" s="451">
        <f t="shared" si="3"/>
        <v>82410.676169679733</v>
      </c>
      <c r="W30" s="451">
        <f t="shared" si="3"/>
        <v>82410.676169679733</v>
      </c>
      <c r="X30" s="451">
        <f t="shared" si="3"/>
        <v>82410.676169679733</v>
      </c>
      <c r="Y30" s="451">
        <f t="shared" si="3"/>
        <v>82410.676169679733</v>
      </c>
      <c r="Z30" s="451">
        <f t="shared" si="3"/>
        <v>82410.676169679733</v>
      </c>
      <c r="AA30" s="451">
        <f t="shared" si="3"/>
        <v>82410.676169679733</v>
      </c>
      <c r="AB30" s="451">
        <f t="shared" si="3"/>
        <v>82410.676169679733</v>
      </c>
      <c r="AC30" s="451">
        <f t="shared" si="3"/>
        <v>82410.676169679733</v>
      </c>
      <c r="AD30" s="451">
        <f t="shared" si="3"/>
        <v>82410.676169679733</v>
      </c>
      <c r="AE30" s="451">
        <f t="shared" si="3"/>
        <v>82410.676169679733</v>
      </c>
      <c r="AF30" s="451">
        <f t="shared" si="3"/>
        <v>82410.676169679733</v>
      </c>
      <c r="AG30" s="451">
        <f t="shared" si="3"/>
        <v>82410.676169679733</v>
      </c>
      <c r="AH30" s="451">
        <f t="shared" si="3"/>
        <v>82410.676169679733</v>
      </c>
      <c r="AI30" s="451">
        <f t="shared" si="3"/>
        <v>82410.676169679733</v>
      </c>
      <c r="AJ30" s="451">
        <f t="shared" si="3"/>
        <v>82410.676169679733</v>
      </c>
    </row>
    <row r="31" spans="5:36" ht="12.75" customHeight="1" thickBot="1" x14ac:dyDescent="0.4">
      <c r="E31" s="260" t="s">
        <v>133</v>
      </c>
      <c r="F31" s="450">
        <f>F10</f>
        <v>7.5999999999999998E-2</v>
      </c>
      <c r="G31" s="451">
        <f>$F31*G$23</f>
        <v>306147.06617847469</v>
      </c>
      <c r="H31" s="451">
        <f t="shared" ref="H31:AJ31" si="4">$F31*H$23</f>
        <v>306147.06617847469</v>
      </c>
      <c r="I31" s="451">
        <f t="shared" si="4"/>
        <v>306147.06617847469</v>
      </c>
      <c r="J31" s="451">
        <f t="shared" si="4"/>
        <v>306147.06617847469</v>
      </c>
      <c r="K31" s="451">
        <f t="shared" si="4"/>
        <v>306147.06617847469</v>
      </c>
      <c r="L31" s="451">
        <f t="shared" si="4"/>
        <v>306147.06617847469</v>
      </c>
      <c r="M31" s="451">
        <f t="shared" si="4"/>
        <v>306147.06617847469</v>
      </c>
      <c r="N31" s="451">
        <f t="shared" si="4"/>
        <v>397597.21614504949</v>
      </c>
      <c r="O31" s="451">
        <f t="shared" si="4"/>
        <v>379588.5690239793</v>
      </c>
      <c r="P31" s="451">
        <f t="shared" si="4"/>
        <v>379588.5690239793</v>
      </c>
      <c r="Q31" s="451">
        <f t="shared" si="4"/>
        <v>379588.5690239793</v>
      </c>
      <c r="R31" s="451">
        <f t="shared" si="4"/>
        <v>379588.5690239793</v>
      </c>
      <c r="S31" s="451">
        <f t="shared" si="4"/>
        <v>379588.5690239793</v>
      </c>
      <c r="T31" s="451">
        <f t="shared" si="4"/>
        <v>379588.5690239793</v>
      </c>
      <c r="U31" s="451">
        <f t="shared" si="4"/>
        <v>379588.5690239793</v>
      </c>
      <c r="V31" s="451">
        <f t="shared" si="4"/>
        <v>379588.5690239793</v>
      </c>
      <c r="W31" s="451">
        <f t="shared" si="4"/>
        <v>379588.5690239793</v>
      </c>
      <c r="X31" s="451">
        <f t="shared" si="4"/>
        <v>379588.5690239793</v>
      </c>
      <c r="Y31" s="451">
        <f t="shared" si="4"/>
        <v>379588.5690239793</v>
      </c>
      <c r="Z31" s="451">
        <f t="shared" si="4"/>
        <v>379588.5690239793</v>
      </c>
      <c r="AA31" s="451">
        <f t="shared" si="4"/>
        <v>379588.5690239793</v>
      </c>
      <c r="AB31" s="451">
        <f t="shared" si="4"/>
        <v>379588.5690239793</v>
      </c>
      <c r="AC31" s="451">
        <f t="shared" si="4"/>
        <v>379588.5690239793</v>
      </c>
      <c r="AD31" s="451">
        <f t="shared" si="4"/>
        <v>379588.5690239793</v>
      </c>
      <c r="AE31" s="451">
        <f t="shared" si="4"/>
        <v>379588.5690239793</v>
      </c>
      <c r="AF31" s="451">
        <f t="shared" si="4"/>
        <v>379588.5690239793</v>
      </c>
      <c r="AG31" s="451">
        <f t="shared" si="4"/>
        <v>379588.5690239793</v>
      </c>
      <c r="AH31" s="451">
        <f t="shared" si="4"/>
        <v>379588.5690239793</v>
      </c>
      <c r="AI31" s="451">
        <f t="shared" si="4"/>
        <v>379588.5690239793</v>
      </c>
      <c r="AJ31" s="451">
        <f t="shared" si="4"/>
        <v>379588.5690239793</v>
      </c>
    </row>
    <row r="32" spans="5:36" ht="6" customHeight="1" x14ac:dyDescent="0.3">
      <c r="G32" s="451"/>
      <c r="H32" s="451"/>
      <c r="I32" s="451"/>
      <c r="J32" s="451"/>
      <c r="K32" s="451"/>
      <c r="L32" s="451"/>
      <c r="M32" s="451"/>
      <c r="N32" s="451"/>
      <c r="O32" s="451"/>
      <c r="P32" s="451"/>
      <c r="Q32" s="451"/>
      <c r="R32" s="451"/>
      <c r="S32" s="451"/>
      <c r="T32" s="451"/>
      <c r="U32" s="451"/>
      <c r="V32" s="451"/>
      <c r="W32" s="451"/>
      <c r="X32" s="451"/>
      <c r="Y32" s="451"/>
      <c r="Z32" s="451"/>
      <c r="AA32" s="451"/>
      <c r="AB32" s="451"/>
      <c r="AC32" s="451"/>
      <c r="AD32" s="451"/>
      <c r="AE32" s="451"/>
      <c r="AF32" s="451"/>
      <c r="AG32" s="451"/>
      <c r="AH32" s="451"/>
      <c r="AI32" s="451"/>
      <c r="AJ32" s="451"/>
    </row>
    <row r="33" spans="1:36" x14ac:dyDescent="0.3">
      <c r="E33" s="79" t="s">
        <v>672</v>
      </c>
      <c r="G33" s="451">
        <f>Amortização!F19</f>
        <v>1493138.8165</v>
      </c>
      <c r="H33" s="451">
        <f>Amortização!G19</f>
        <v>1680747.3541720808</v>
      </c>
      <c r="I33" s="451">
        <f>Amortização!H19</f>
        <v>1768652.9946227835</v>
      </c>
      <c r="J33" s="451">
        <f>Amortização!I19</f>
        <v>1793261.7279543802</v>
      </c>
      <c r="K33" s="451">
        <f>Amortização!J19</f>
        <v>1735293.4577782939</v>
      </c>
      <c r="L33" s="451">
        <f>Amortização!K19</f>
        <v>1682385.441300767</v>
      </c>
      <c r="M33" s="451">
        <f>Amortização!L19</f>
        <v>1760449.1450007411</v>
      </c>
      <c r="N33" s="451">
        <f>Amortização!M19</f>
        <v>1704395.8248316343</v>
      </c>
      <c r="O33" s="451">
        <f>Amortização!N19</f>
        <v>2280340.0846814211</v>
      </c>
      <c r="P33" s="451">
        <f>Amortização!O19</f>
        <v>2267666.0401959904</v>
      </c>
      <c r="Q33" s="451">
        <f>Amortização!P19</f>
        <v>3075863.1409487831</v>
      </c>
      <c r="R33" s="451">
        <f>Amortização!Q19</f>
        <v>2971848.445361143</v>
      </c>
      <c r="S33" s="451">
        <f>Amortização!R19</f>
        <v>2871351.1549383025</v>
      </c>
      <c r="T33" s="451">
        <f>Amortização!S19</f>
        <v>2783709.6059648278</v>
      </c>
      <c r="U33" s="451">
        <f>Amortização!T19</f>
        <v>2896352.7710167421</v>
      </c>
      <c r="V33" s="451">
        <f>Amortização!U19</f>
        <v>2813364.9397456446</v>
      </c>
      <c r="W33" s="451">
        <f>Amortização!V19</f>
        <v>3713854.0192090427</v>
      </c>
      <c r="X33" s="451">
        <f>Amortização!W19</f>
        <v>3763594.9745512865</v>
      </c>
      <c r="Y33" s="451">
        <f>Amortização!X19</f>
        <v>3636323.6469094558</v>
      </c>
      <c r="Z33" s="451">
        <f>Amortização!Y19</f>
        <v>3636375.9087706646</v>
      </c>
      <c r="AA33" s="451">
        <f>Amortização!Z19</f>
        <v>4202288.3661407391</v>
      </c>
      <c r="AB33" s="451">
        <f>Amortização!AA19</f>
        <v>4060181.9962712456</v>
      </c>
      <c r="AC33" s="451">
        <f>Amortização!AB19</f>
        <v>4327749.0508176293</v>
      </c>
      <c r="AD33" s="451">
        <f>Amortização!AC19</f>
        <v>4541411.269384874</v>
      </c>
      <c r="AE33" s="451">
        <f>Amortização!AD19</f>
        <v>6722551.5652510868</v>
      </c>
      <c r="AF33" s="451">
        <f>Amortização!AE19</f>
        <v>6524085.9276242396</v>
      </c>
      <c r="AG33" s="451">
        <f>Amortização!AF19</f>
        <v>6303464.6643712465</v>
      </c>
      <c r="AH33" s="451">
        <f>Amortização!AG19</f>
        <v>6090304.023547098</v>
      </c>
      <c r="AI33" s="451">
        <f>Amortização!AH19</f>
        <v>5884351.7135720765</v>
      </c>
      <c r="AJ33" s="451">
        <f>Amortização!AI19</f>
        <v>8034166.0564657757</v>
      </c>
    </row>
    <row r="34" spans="1:36" ht="6" customHeight="1" x14ac:dyDescent="0.3">
      <c r="G34" s="259"/>
      <c r="H34" s="259"/>
      <c r="I34" s="259"/>
      <c r="J34" s="259"/>
      <c r="K34" s="259"/>
      <c r="L34" s="259"/>
      <c r="M34" s="259"/>
      <c r="N34" s="259"/>
      <c r="O34" s="259"/>
      <c r="P34" s="259"/>
      <c r="Q34" s="259"/>
      <c r="R34" s="259"/>
      <c r="S34" s="259"/>
      <c r="T34" s="259"/>
      <c r="U34" s="259"/>
      <c r="V34" s="259"/>
      <c r="W34" s="259"/>
      <c r="X34" s="259"/>
      <c r="Y34" s="259"/>
      <c r="Z34" s="259"/>
      <c r="AA34" s="259"/>
      <c r="AB34" s="259"/>
      <c r="AC34" s="259"/>
      <c r="AD34" s="259"/>
      <c r="AE34" s="259"/>
      <c r="AF34" s="259"/>
      <c r="AG34" s="259"/>
      <c r="AH34" s="259"/>
      <c r="AI34" s="259"/>
      <c r="AJ34" s="259"/>
    </row>
    <row r="35" spans="1:36" ht="12.5" customHeight="1" thickBot="1" x14ac:dyDescent="0.35">
      <c r="G35" s="259"/>
      <c r="H35" s="259"/>
      <c r="I35" s="259"/>
      <c r="J35" s="259"/>
      <c r="K35" s="259"/>
      <c r="L35" s="259"/>
      <c r="M35" s="259"/>
      <c r="N35" s="259"/>
      <c r="O35" s="259"/>
      <c r="P35" s="259"/>
      <c r="Q35" s="259"/>
      <c r="R35" s="259"/>
      <c r="S35" s="259"/>
      <c r="T35" s="259"/>
      <c r="U35" s="259"/>
      <c r="V35" s="259"/>
      <c r="W35" s="259"/>
      <c r="X35" s="259"/>
      <c r="Y35" s="259"/>
      <c r="Z35" s="259"/>
      <c r="AA35" s="259"/>
      <c r="AB35" s="259"/>
      <c r="AC35" s="259"/>
      <c r="AD35" s="259"/>
      <c r="AE35" s="259"/>
      <c r="AF35" s="259"/>
      <c r="AG35" s="259"/>
      <c r="AH35" s="259"/>
      <c r="AI35" s="259"/>
      <c r="AJ35" s="259"/>
    </row>
    <row r="36" spans="1:36" s="252" customFormat="1" ht="12.5" thickTop="1" x14ac:dyDescent="0.3">
      <c r="A36" s="79"/>
      <c r="C36" s="277" t="s">
        <v>673</v>
      </c>
      <c r="D36" s="277"/>
      <c r="E36" s="278"/>
      <c r="F36" s="279"/>
      <c r="G36" s="279">
        <f t="shared" ref="G36:AJ36" si="5">G6</f>
        <v>1</v>
      </c>
      <c r="H36" s="279">
        <f t="shared" si="5"/>
        <v>2</v>
      </c>
      <c r="I36" s="279">
        <f t="shared" si="5"/>
        <v>3</v>
      </c>
      <c r="J36" s="279">
        <f t="shared" si="5"/>
        <v>4</v>
      </c>
      <c r="K36" s="279">
        <f t="shared" si="5"/>
        <v>5</v>
      </c>
      <c r="L36" s="279">
        <f t="shared" si="5"/>
        <v>6</v>
      </c>
      <c r="M36" s="279">
        <f t="shared" si="5"/>
        <v>7</v>
      </c>
      <c r="N36" s="279">
        <f t="shared" si="5"/>
        <v>8</v>
      </c>
      <c r="O36" s="279">
        <f t="shared" si="5"/>
        <v>9</v>
      </c>
      <c r="P36" s="279">
        <f t="shared" si="5"/>
        <v>10</v>
      </c>
      <c r="Q36" s="279">
        <f t="shared" si="5"/>
        <v>11</v>
      </c>
      <c r="R36" s="279">
        <f t="shared" si="5"/>
        <v>12</v>
      </c>
      <c r="S36" s="279">
        <f t="shared" si="5"/>
        <v>13</v>
      </c>
      <c r="T36" s="279">
        <f t="shared" si="5"/>
        <v>14</v>
      </c>
      <c r="U36" s="279">
        <f t="shared" si="5"/>
        <v>15</v>
      </c>
      <c r="V36" s="279">
        <f t="shared" si="5"/>
        <v>16</v>
      </c>
      <c r="W36" s="279">
        <f t="shared" si="5"/>
        <v>17</v>
      </c>
      <c r="X36" s="279">
        <f t="shared" si="5"/>
        <v>18</v>
      </c>
      <c r="Y36" s="279">
        <f t="shared" si="5"/>
        <v>19</v>
      </c>
      <c r="Z36" s="279">
        <f t="shared" si="5"/>
        <v>20</v>
      </c>
      <c r="AA36" s="279">
        <f t="shared" si="5"/>
        <v>21</v>
      </c>
      <c r="AB36" s="279">
        <f t="shared" si="5"/>
        <v>22</v>
      </c>
      <c r="AC36" s="279">
        <f t="shared" si="5"/>
        <v>23</v>
      </c>
      <c r="AD36" s="279">
        <f t="shared" si="5"/>
        <v>24</v>
      </c>
      <c r="AE36" s="279">
        <f t="shared" si="5"/>
        <v>25</v>
      </c>
      <c r="AF36" s="279">
        <f t="shared" si="5"/>
        <v>26</v>
      </c>
      <c r="AG36" s="279">
        <f t="shared" si="5"/>
        <v>27</v>
      </c>
      <c r="AH36" s="279">
        <f t="shared" si="5"/>
        <v>28</v>
      </c>
      <c r="AI36" s="279">
        <f t="shared" si="5"/>
        <v>29</v>
      </c>
      <c r="AJ36" s="279">
        <f t="shared" si="5"/>
        <v>30</v>
      </c>
    </row>
    <row r="37" spans="1:36" ht="6" customHeight="1" x14ac:dyDescent="0.3">
      <c r="G37" s="259"/>
      <c r="H37" s="259"/>
      <c r="I37" s="259"/>
      <c r="J37" s="259"/>
      <c r="K37" s="259"/>
      <c r="L37" s="259"/>
      <c r="M37" s="259"/>
      <c r="N37" s="259"/>
      <c r="O37" s="259"/>
      <c r="P37" s="259"/>
      <c r="Q37" s="259"/>
      <c r="R37" s="259"/>
      <c r="S37" s="259"/>
      <c r="T37" s="259"/>
      <c r="U37" s="259"/>
      <c r="V37" s="259"/>
      <c r="W37" s="259"/>
      <c r="X37" s="259"/>
      <c r="Y37" s="259"/>
      <c r="Z37" s="259"/>
      <c r="AA37" s="259"/>
      <c r="AB37" s="259"/>
      <c r="AC37" s="259"/>
      <c r="AD37" s="259"/>
      <c r="AE37" s="259"/>
      <c r="AF37" s="259"/>
      <c r="AG37" s="259"/>
      <c r="AH37" s="259"/>
      <c r="AI37" s="259"/>
      <c r="AJ37" s="259"/>
    </row>
    <row r="38" spans="1:36" x14ac:dyDescent="0.3">
      <c r="E38" s="263" t="s">
        <v>674</v>
      </c>
      <c r="G38" s="452">
        <f>Receitas!E146-G9-G10+G30+G31-'CAPEX E OPEX'!F256-G12-'CAPEX E OPEX'!F33-G33</f>
        <v>-12311241.910551513</v>
      </c>
      <c r="H38" s="452">
        <f>Receitas!F146-H9-H10+H30+H31-'CAPEX E OPEX'!G256-H12-'CAPEX E OPEX'!G33-H33</f>
        <v>-1246399.929339617</v>
      </c>
      <c r="I38" s="452">
        <f>Receitas!G146-I9-I10+I30+I31-'CAPEX E OPEX'!H256-I12-'CAPEX E OPEX'!H33-I33</f>
        <v>3544628.7179405866</v>
      </c>
      <c r="J38" s="452">
        <f>Receitas!H146-J9-J10+J30+J31-'CAPEX E OPEX'!I256-J12-'CAPEX E OPEX'!I33-J33</f>
        <v>4242320.707609864</v>
      </c>
      <c r="K38" s="452">
        <f>Receitas!I146-K9-K10+K30+K31-'CAPEX E OPEX'!J256-K12-'CAPEX E OPEX'!J33-K33</f>
        <v>15879903.868089098</v>
      </c>
      <c r="L38" s="452">
        <f>Receitas!J146-L9-L10+L30+L31-'CAPEX E OPEX'!K256-L12-'CAPEX E OPEX'!K33-L33</f>
        <v>16609934.821359875</v>
      </c>
      <c r="M38" s="452">
        <f>Receitas!K146-M9-M10+M30+M31-'CAPEX E OPEX'!L256-M12-'CAPEX E OPEX'!L33-M33</f>
        <v>16851842.685450636</v>
      </c>
      <c r="N38" s="452">
        <f>Receitas!L146-N9-N10+N30+N31-'CAPEX E OPEX'!M256-N12-'CAPEX E OPEX'!M33-N33</f>
        <v>13899241.654359376</v>
      </c>
      <c r="O38" s="452">
        <f>Receitas!M146-O9-O10+O30+O31-'CAPEX E OPEX'!N256-O12-'CAPEX E OPEX'!N33-O33</f>
        <v>20909877.398857035</v>
      </c>
      <c r="P38" s="452">
        <f>Receitas!N146-P9-P10+P30+P31-'CAPEX E OPEX'!O256-P12-'CAPEX E OPEX'!O33-P33</f>
        <v>20018978.466072753</v>
      </c>
      <c r="Q38" s="452">
        <f>Receitas!O146-Q9-Q10+Q30+Q31-'CAPEX E OPEX'!P256-Q12-'CAPEX E OPEX'!P33-Q33</f>
        <v>11895523.953962229</v>
      </c>
      <c r="R38" s="452">
        <f>Receitas!P146-R9-R10+R30+R31-'CAPEX E OPEX'!Q256-R12-'CAPEX E OPEX'!Q33-R33</f>
        <v>12178030.435298704</v>
      </c>
      <c r="S38" s="452">
        <f>Receitas!Q146-S9-S10+S30+S31-'CAPEX E OPEX'!R256-S12-'CAPEX E OPEX'!R33-S33</f>
        <v>12389184.949980058</v>
      </c>
      <c r="T38" s="452">
        <f>Receitas!R146-T9-T10+T30+T31-'CAPEX E OPEX'!S256-T12-'CAPEX E OPEX'!S33-T33</f>
        <v>12581028.155593714</v>
      </c>
      <c r="U38" s="452">
        <f>Receitas!S146-U9-U10+U30+U31-'CAPEX E OPEX'!T256-U12-'CAPEX E OPEX'!T33-U33</f>
        <v>12429272.321203664</v>
      </c>
      <c r="V38" s="452">
        <f>Receitas!T146-V9-V10+V30+V31-'CAPEX E OPEX'!U256-V12-'CAPEX E OPEX'!U33-V33</f>
        <v>12778994.416613076</v>
      </c>
      <c r="W38" s="452">
        <f>Receitas!U146-W9-W10+W30+W31-'CAPEX E OPEX'!V256-W12-'CAPEX E OPEX'!V33-W33</f>
        <v>18470136.236605607</v>
      </c>
      <c r="X38" s="452">
        <f>Receitas!V146-X9-X10+X30+X31-'CAPEX E OPEX'!W256-X12-'CAPEX E OPEX'!W33-X33</f>
        <v>11924740.813379668</v>
      </c>
      <c r="Y38" s="452">
        <f>Receitas!W146-Y9-Y10+Y30+Y31-'CAPEX E OPEX'!X256-Y12-'CAPEX E OPEX'!X33-Y33</f>
        <v>12111578.709549483</v>
      </c>
      <c r="Z38" s="452">
        <f>Receitas!X146-Z9-Z10+Z30+Z31-'CAPEX E OPEX'!Y256-Z12-'CAPEX E OPEX'!Y33-Z33</f>
        <v>13297776.474618953</v>
      </c>
      <c r="AA38" s="452">
        <f>Receitas!Y146-AA9-AA10+AA30+AA31-'CAPEX E OPEX'!Z256-AA12-'CAPEX E OPEX'!Z33-AA33</f>
        <v>11624547.016167209</v>
      </c>
      <c r="AB38" s="452">
        <f>Receitas!Z146-AB9-AB10+AB30+AB31-'CAPEX E OPEX'!AA256-AB12-'CAPEX E OPEX'!AA33-AB33</f>
        <v>11842362.625481386</v>
      </c>
      <c r="AC38" s="452">
        <f>Receitas!AA146-AC9-AC10+AC30+AC31-'CAPEX E OPEX'!AB256-AC12-'CAPEX E OPEX'!AB33-AC33</f>
        <v>11609160.855018921</v>
      </c>
      <c r="AD38" s="452">
        <f>Receitas!AB146-AD9-AD10+AD30+AD31-'CAPEX E OPEX'!AC256-AD12-'CAPEX E OPEX'!AC33-AD33</f>
        <v>11455519.182642844</v>
      </c>
      <c r="AE38" s="452">
        <f>Receitas!AC146-AE9-AE10+AE30+AE31-'CAPEX E OPEX'!AD256-AE12-'CAPEX E OPEX'!AD33-AE33</f>
        <v>15735059.355739489</v>
      </c>
      <c r="AF38" s="452">
        <f>Receitas!AD146-AF9-AF10+AF30+AF31-'CAPEX E OPEX'!AE256-AF12-'CAPEX E OPEX'!AE33-AF33</f>
        <v>9578478.2810895331</v>
      </c>
      <c r="AG38" s="452">
        <f>Receitas!AE146-AG9-AG10+AG30+AG31-'CAPEX E OPEX'!AF256-AG12-'CAPEX E OPEX'!AF33-AG33</f>
        <v>9857118.5819434095</v>
      </c>
      <c r="AH38" s="452">
        <f>Receitas!AF146-AH9-AH10+AH30+AH31-'CAPEX E OPEX'!AG256-AH12-'CAPEX E OPEX'!AG33-AH33</f>
        <v>10121896.292332694</v>
      </c>
      <c r="AI38" s="452">
        <f>Receitas!AG146-AI9-AI10+AI30+AI31-'CAPEX E OPEX'!AH256-AI12-'CAPEX E OPEX'!AH33-AI33</f>
        <v>10373568.876757096</v>
      </c>
      <c r="AJ38" s="452">
        <f>Receitas!AH146-AJ9-AJ10+AJ30+AJ31-'CAPEX E OPEX'!AI256-AJ12-'CAPEX E OPEX'!AI33-AJ33</f>
        <v>8128389.9059100142</v>
      </c>
    </row>
    <row r="39" spans="1:36" ht="6" customHeight="1" x14ac:dyDescent="0.3">
      <c r="G39" s="259"/>
      <c r="H39" s="259"/>
      <c r="I39" s="259"/>
      <c r="J39" s="259"/>
      <c r="K39" s="259"/>
      <c r="L39" s="259"/>
      <c r="M39" s="259"/>
      <c r="N39" s="259"/>
      <c r="O39" s="259"/>
      <c r="P39" s="259"/>
      <c r="Q39" s="259"/>
      <c r="R39" s="259"/>
      <c r="S39" s="259"/>
      <c r="T39" s="259"/>
      <c r="U39" s="259"/>
      <c r="V39" s="259"/>
      <c r="W39" s="259"/>
      <c r="X39" s="259"/>
      <c r="Y39" s="259"/>
      <c r="Z39" s="259"/>
      <c r="AA39" s="259"/>
      <c r="AB39" s="259"/>
      <c r="AC39" s="259"/>
      <c r="AD39" s="259"/>
      <c r="AE39" s="259"/>
      <c r="AF39" s="259"/>
      <c r="AG39" s="259"/>
      <c r="AH39" s="259"/>
      <c r="AI39" s="259"/>
      <c r="AJ39" s="259"/>
    </row>
    <row r="40" spans="1:36" x14ac:dyDescent="0.3">
      <c r="C40" s="264"/>
      <c r="D40" s="264"/>
      <c r="E40" s="265" t="s">
        <v>415</v>
      </c>
      <c r="F40" s="266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  <c r="R40" s="267"/>
      <c r="S40" s="267"/>
      <c r="T40" s="267"/>
      <c r="U40" s="267"/>
      <c r="V40" s="267"/>
      <c r="W40" s="267"/>
      <c r="X40" s="267"/>
      <c r="Y40" s="267"/>
      <c r="Z40" s="267"/>
      <c r="AA40" s="267"/>
      <c r="AB40" s="267"/>
      <c r="AC40" s="267"/>
      <c r="AD40" s="267"/>
      <c r="AE40" s="267"/>
      <c r="AF40" s="267"/>
      <c r="AG40" s="267"/>
      <c r="AH40" s="267"/>
      <c r="AI40" s="267"/>
      <c r="AJ40" s="267"/>
    </row>
    <row r="41" spans="1:36" x14ac:dyDescent="0.3">
      <c r="C41" s="268"/>
      <c r="D41" s="268"/>
      <c r="E41" s="269" t="s">
        <v>15</v>
      </c>
      <c r="F41" s="268"/>
      <c r="G41" s="270">
        <f t="shared" ref="G41:AJ41" si="6">IF(-G46&lt;=36000,-G46/15%,(-G46+24000)/25%)</f>
        <v>0</v>
      </c>
      <c r="H41" s="270">
        <f t="shared" si="6"/>
        <v>0</v>
      </c>
      <c r="I41" s="270">
        <f t="shared" si="6"/>
        <v>1063388.6153821759</v>
      </c>
      <c r="J41" s="270">
        <f t="shared" si="6"/>
        <v>1272696.2122829591</v>
      </c>
      <c r="K41" s="270">
        <f t="shared" si="6"/>
        <v>4763971.1604267294</v>
      </c>
      <c r="L41" s="270">
        <f t="shared" si="6"/>
        <v>4982980.4464079626</v>
      </c>
      <c r="M41" s="270">
        <f t="shared" si="6"/>
        <v>1762605.4053913029</v>
      </c>
      <c r="N41" s="270">
        <f t="shared" si="6"/>
        <v>0</v>
      </c>
      <c r="O41" s="270">
        <f t="shared" si="6"/>
        <v>0</v>
      </c>
      <c r="P41" s="270">
        <f t="shared" si="6"/>
        <v>0</v>
      </c>
      <c r="Q41" s="270">
        <f t="shared" si="6"/>
        <v>0</v>
      </c>
      <c r="R41" s="270">
        <f t="shared" si="6"/>
        <v>0</v>
      </c>
      <c r="S41" s="270">
        <f t="shared" si="6"/>
        <v>0</v>
      </c>
      <c r="T41" s="270">
        <f t="shared" si="6"/>
        <v>0</v>
      </c>
      <c r="U41" s="270">
        <f t="shared" si="6"/>
        <v>0</v>
      </c>
      <c r="V41" s="270">
        <f t="shared" si="6"/>
        <v>0</v>
      </c>
      <c r="W41" s="270">
        <f t="shared" si="6"/>
        <v>0</v>
      </c>
      <c r="X41" s="270">
        <f t="shared" si="6"/>
        <v>0</v>
      </c>
      <c r="Y41" s="270">
        <f t="shared" si="6"/>
        <v>0</v>
      </c>
      <c r="Z41" s="270">
        <f t="shared" si="6"/>
        <v>0</v>
      </c>
      <c r="AA41" s="270">
        <f t="shared" si="6"/>
        <v>0</v>
      </c>
      <c r="AB41" s="270">
        <f t="shared" si="6"/>
        <v>0</v>
      </c>
      <c r="AC41" s="270">
        <f t="shared" si="6"/>
        <v>0</v>
      </c>
      <c r="AD41" s="270">
        <f t="shared" si="6"/>
        <v>0</v>
      </c>
      <c r="AE41" s="270">
        <f t="shared" si="6"/>
        <v>0</v>
      </c>
      <c r="AF41" s="270">
        <f t="shared" si="6"/>
        <v>0</v>
      </c>
      <c r="AG41" s="270">
        <f t="shared" si="6"/>
        <v>0</v>
      </c>
      <c r="AH41" s="270">
        <f t="shared" si="6"/>
        <v>0</v>
      </c>
      <c r="AI41" s="270">
        <f t="shared" si="6"/>
        <v>0</v>
      </c>
      <c r="AJ41" s="270">
        <f t="shared" si="6"/>
        <v>0</v>
      </c>
    </row>
    <row r="42" spans="1:36" x14ac:dyDescent="0.3">
      <c r="E42" s="271" t="s">
        <v>675</v>
      </c>
      <c r="G42" s="451">
        <f>G$38-G41</f>
        <v>-12311241.910551513</v>
      </c>
      <c r="H42" s="451">
        <f>H$38-H41</f>
        <v>-1246399.929339617</v>
      </c>
      <c r="I42" s="451">
        <f>I$38-I41</f>
        <v>2481240.1025584107</v>
      </c>
      <c r="J42" s="451">
        <f>J$38-J41</f>
        <v>2969624.4953269046</v>
      </c>
      <c r="K42" s="451">
        <f>K$38-K41</f>
        <v>11115932.70766237</v>
      </c>
      <c r="L42" s="451">
        <f t="shared" ref="L42:AJ42" si="7">L$38-L41</f>
        <v>11626954.374951912</v>
      </c>
      <c r="M42" s="451">
        <f t="shared" si="7"/>
        <v>15089237.280059334</v>
      </c>
      <c r="N42" s="451">
        <f t="shared" si="7"/>
        <v>13899241.654359376</v>
      </c>
      <c r="O42" s="451">
        <f t="shared" si="7"/>
        <v>20909877.398857035</v>
      </c>
      <c r="P42" s="451">
        <f t="shared" si="7"/>
        <v>20018978.466072753</v>
      </c>
      <c r="Q42" s="451">
        <f t="shared" si="7"/>
        <v>11895523.953962229</v>
      </c>
      <c r="R42" s="451">
        <f t="shared" si="7"/>
        <v>12178030.435298704</v>
      </c>
      <c r="S42" s="451">
        <f t="shared" si="7"/>
        <v>12389184.949980058</v>
      </c>
      <c r="T42" s="451">
        <f t="shared" si="7"/>
        <v>12581028.155593714</v>
      </c>
      <c r="U42" s="451">
        <f t="shared" si="7"/>
        <v>12429272.321203664</v>
      </c>
      <c r="V42" s="451">
        <f t="shared" si="7"/>
        <v>12778994.416613076</v>
      </c>
      <c r="W42" s="451">
        <f t="shared" si="7"/>
        <v>18470136.236605607</v>
      </c>
      <c r="X42" s="451">
        <f t="shared" si="7"/>
        <v>11924740.813379668</v>
      </c>
      <c r="Y42" s="451">
        <f t="shared" si="7"/>
        <v>12111578.709549483</v>
      </c>
      <c r="Z42" s="451">
        <f t="shared" si="7"/>
        <v>13297776.474618953</v>
      </c>
      <c r="AA42" s="451">
        <f t="shared" si="7"/>
        <v>11624547.016167209</v>
      </c>
      <c r="AB42" s="451">
        <f t="shared" si="7"/>
        <v>11842362.625481386</v>
      </c>
      <c r="AC42" s="451">
        <f t="shared" si="7"/>
        <v>11609160.855018921</v>
      </c>
      <c r="AD42" s="451">
        <f t="shared" si="7"/>
        <v>11455519.182642844</v>
      </c>
      <c r="AE42" s="451">
        <f t="shared" si="7"/>
        <v>15735059.355739489</v>
      </c>
      <c r="AF42" s="451">
        <f t="shared" si="7"/>
        <v>9578478.2810895331</v>
      </c>
      <c r="AG42" s="451">
        <f t="shared" si="7"/>
        <v>9857118.5819434095</v>
      </c>
      <c r="AH42" s="451">
        <f t="shared" si="7"/>
        <v>10121896.292332694</v>
      </c>
      <c r="AI42" s="451">
        <f t="shared" si="7"/>
        <v>10373568.876757096</v>
      </c>
      <c r="AJ42" s="451">
        <f t="shared" si="7"/>
        <v>8128389.9059100142</v>
      </c>
    </row>
    <row r="44" spans="1:36" x14ac:dyDescent="0.3">
      <c r="C44" s="272"/>
      <c r="D44" s="272"/>
      <c r="E44" s="273" t="s">
        <v>676</v>
      </c>
      <c r="F44" s="272"/>
      <c r="G44" s="454">
        <f>F44+F45+F46</f>
        <v>0</v>
      </c>
      <c r="H44" s="454">
        <f>G44+G45+G46</f>
        <v>3053810.4776378782</v>
      </c>
      <c r="I44" s="454">
        <f t="shared" ref="I44:AJ44" si="8">H44+H45+H46</f>
        <v>3341410.4599727825</v>
      </c>
      <c r="J44" s="454">
        <f t="shared" si="8"/>
        <v>3099563.3061272386</v>
      </c>
      <c r="K44" s="454">
        <f t="shared" si="8"/>
        <v>2805389.2530564987</v>
      </c>
      <c r="L44" s="454">
        <f t="shared" si="8"/>
        <v>1638396.4629498164</v>
      </c>
      <c r="M44" s="454">
        <f t="shared" si="8"/>
        <v>416651.35134782572</v>
      </c>
      <c r="N44" s="454">
        <f t="shared" si="8"/>
        <v>0</v>
      </c>
      <c r="O44" s="454">
        <f t="shared" si="8"/>
        <v>0</v>
      </c>
      <c r="P44" s="454">
        <f t="shared" si="8"/>
        <v>0</v>
      </c>
      <c r="Q44" s="454">
        <f t="shared" si="8"/>
        <v>0</v>
      </c>
      <c r="R44" s="454">
        <f t="shared" si="8"/>
        <v>0</v>
      </c>
      <c r="S44" s="454">
        <f t="shared" si="8"/>
        <v>0</v>
      </c>
      <c r="T44" s="454">
        <f t="shared" si="8"/>
        <v>0</v>
      </c>
      <c r="U44" s="454">
        <f t="shared" si="8"/>
        <v>0</v>
      </c>
      <c r="V44" s="454">
        <f t="shared" si="8"/>
        <v>0</v>
      </c>
      <c r="W44" s="454">
        <f t="shared" si="8"/>
        <v>0</v>
      </c>
      <c r="X44" s="454">
        <f t="shared" si="8"/>
        <v>0</v>
      </c>
      <c r="Y44" s="454">
        <f t="shared" si="8"/>
        <v>0</v>
      </c>
      <c r="Z44" s="454">
        <f t="shared" si="8"/>
        <v>0</v>
      </c>
      <c r="AA44" s="454">
        <f t="shared" si="8"/>
        <v>0</v>
      </c>
      <c r="AB44" s="454">
        <f t="shared" si="8"/>
        <v>0</v>
      </c>
      <c r="AC44" s="454">
        <f t="shared" si="8"/>
        <v>0</v>
      </c>
      <c r="AD44" s="454">
        <f t="shared" si="8"/>
        <v>0</v>
      </c>
      <c r="AE44" s="454">
        <f t="shared" si="8"/>
        <v>0</v>
      </c>
      <c r="AF44" s="454">
        <f t="shared" si="8"/>
        <v>0</v>
      </c>
      <c r="AG44" s="454">
        <f t="shared" si="8"/>
        <v>0</v>
      </c>
      <c r="AH44" s="454">
        <f t="shared" si="8"/>
        <v>0</v>
      </c>
      <c r="AI44" s="454">
        <f t="shared" si="8"/>
        <v>0</v>
      </c>
      <c r="AJ44" s="454">
        <f t="shared" si="8"/>
        <v>0</v>
      </c>
    </row>
    <row r="45" spans="1:36" x14ac:dyDescent="0.3">
      <c r="C45" s="268"/>
      <c r="D45" s="268"/>
      <c r="E45" s="269" t="s">
        <v>677</v>
      </c>
      <c r="F45" s="268"/>
      <c r="G45" s="455">
        <f>IF(G$38&lt;0,IF(-G38&lt;=240000,-G38*'Premissas Gerais'!F113,-G38*'Premissas Gerais'!F113+(-G38-240000)*'Premissas Gerais'!F114),0)</f>
        <v>3053810.4776378782</v>
      </c>
      <c r="H45" s="455">
        <f>IF(H$38&lt;0,IF(-H38&lt;=240000,-H38*'Premissas Gerais'!F113,-H38*'Premissas Gerais'!F113+(-H38-240000)*'Premissas Gerais'!F114),0)</f>
        <v>287599.98233490426</v>
      </c>
      <c r="I45" s="455">
        <f>IF(I$38&lt;0,IF(-I38&lt;=240000,-I38*'Premissas Gerais'!F113,-I38*'Premissas Gerais'!F113+(-I38-240000)*'Premissas Gerais'!F114),0)</f>
        <v>0</v>
      </c>
      <c r="J45" s="455">
        <f>IF(J$38&lt;0,IF(-J38&lt;=240000,-J38*'Premissas Gerais'!F113,-J38*'Premissas Gerais'!F113+(-J38-240000)*'Premissas Gerais'!F114),0)</f>
        <v>0</v>
      </c>
      <c r="K45" s="455">
        <f>IF(K$38&lt;0,IF(-K38&lt;=240000,-K38*'Premissas Gerais'!F113,-K38*'Premissas Gerais'!F113+(-K38-240000)*'Premissas Gerais'!F114),0)</f>
        <v>0</v>
      </c>
      <c r="L45" s="455">
        <f>IF(L$38&lt;0,IF(-L38&lt;=240000,-L38*'Premissas Gerais'!F113,-L38*'Premissas Gerais'!F113+(-L38-240000)*'Premissas Gerais'!F114),0)</f>
        <v>0</v>
      </c>
      <c r="M45" s="455">
        <f>IF(M$38&lt;0,IF(-M38&lt;=240000,-M38*'Premissas Gerais'!F113,-M38*'Premissas Gerais'!F113+(-M38-240000)*'Premissas Gerais'!F114),0)</f>
        <v>0</v>
      </c>
      <c r="N45" s="455">
        <f>IF(N$38&lt;0,IF(-N38&lt;=240000,-N38*'Premissas Gerais'!F113,-N38*'Premissas Gerais'!F113+(-N38-240000)*'Premissas Gerais'!F114),0)</f>
        <v>0</v>
      </c>
      <c r="O45" s="455">
        <f>IF(O$38&lt;0,IF(-O38&lt;=240000,-O38*'Premissas Gerais'!F113,-O38*'Premissas Gerais'!F113+(-O38-240000)*'Premissas Gerais'!F114),0)</f>
        <v>0</v>
      </c>
      <c r="P45" s="455">
        <f>IF(P$38&lt;0,IF(-P38&lt;=240000,-P38*'Premissas Gerais'!F113,-P38*'Premissas Gerais'!F113+(-P38-240000)*'Premissas Gerais'!F114),0)</f>
        <v>0</v>
      </c>
      <c r="Q45" s="455">
        <f>IF(Q$38&lt;0,IF(-Q38&lt;=240000,-Q38*'Premissas Gerais'!F113,-Q38*'Premissas Gerais'!F113+(-Q38-240000)*'Premissas Gerais'!F114),0)</f>
        <v>0</v>
      </c>
      <c r="R45" s="455">
        <f>IF(R$38&lt;0,IF(-R38&lt;=240000,-R38*'Premissas Gerais'!F113,-R38*'Premissas Gerais'!F113+(-R38-240000)*'Premissas Gerais'!F114),0)</f>
        <v>0</v>
      </c>
      <c r="S45" s="455">
        <f>IF(S$38&lt;0,IF(-S38&lt;=240000,-S38*'Premissas Gerais'!F113,-S38*'Premissas Gerais'!F113+(-S38-240000)*'Premissas Gerais'!F114),0)</f>
        <v>0</v>
      </c>
      <c r="T45" s="455">
        <f>IF(T$38&lt;0,IF(-T38&lt;=240000,-T38*'Premissas Gerais'!F113,-T38*'Premissas Gerais'!F113+(-T38-240000)*'Premissas Gerais'!F114),0)</f>
        <v>0</v>
      </c>
      <c r="U45" s="455">
        <f>IF(U$38&lt;0,IF(-U38&lt;=240000,-U38*'Premissas Gerais'!F113,-U38*'Premissas Gerais'!F113+(-U38-240000)*'Premissas Gerais'!F114),0)</f>
        <v>0</v>
      </c>
      <c r="V45" s="455">
        <f>IF(V$38&lt;0,IF(-V38&lt;=240000,-V38*'Premissas Gerais'!F113,-V38*'Premissas Gerais'!F113+(-V38-240000)*'Premissas Gerais'!F114),0)</f>
        <v>0</v>
      </c>
      <c r="W45" s="455">
        <f>IF(W$38&lt;0,IF(-W38&lt;=240000,-W38*'Premissas Gerais'!F113,-W38*'Premissas Gerais'!F113+(-W38-240000)*'Premissas Gerais'!F114),0)</f>
        <v>0</v>
      </c>
      <c r="X45" s="455">
        <f>IF(X$38&lt;0,IF(-X38&lt;=240000,-X38*'Premissas Gerais'!F113,-X38*'Premissas Gerais'!F113+(-X38-240000)*'Premissas Gerais'!F114),0)</f>
        <v>0</v>
      </c>
      <c r="Y45" s="455">
        <f>IF(Y$38&lt;0,IF(-Y38&lt;=240000,-Y38*'Premissas Gerais'!F113,-Y38*'Premissas Gerais'!F113+(-Y38-240000)*'Premissas Gerais'!F114),0)</f>
        <v>0</v>
      </c>
      <c r="Z45" s="455">
        <f>IF(Z$38&lt;0,IF(-Z38&lt;=240000,-Z38*'Premissas Gerais'!F113,-Z38*'Premissas Gerais'!F113+(-Z38-240000)*'Premissas Gerais'!F114),0)</f>
        <v>0</v>
      </c>
      <c r="AA45" s="455">
        <f>IF(AA$38&lt;0,IF(-AA38&lt;=240000,-AA38*'Premissas Gerais'!F113,-AA38*'Premissas Gerais'!F113+(-AA38-240000)*'Premissas Gerais'!F114),0)</f>
        <v>0</v>
      </c>
      <c r="AB45" s="455">
        <f>IF(AB$38&lt;0,IF(-AB38&lt;=240000,-AB38*'Premissas Gerais'!F113,-AB38*'Premissas Gerais'!F113+(-AB38-240000)*'Premissas Gerais'!F114),0)</f>
        <v>0</v>
      </c>
      <c r="AC45" s="455">
        <f>IF(AC$38&lt;0,IF(-AC38&lt;=240000,-AC38*'Premissas Gerais'!F113,-AC38*'Premissas Gerais'!F113+(-AC38-240000)*'Premissas Gerais'!F114),0)</f>
        <v>0</v>
      </c>
      <c r="AD45" s="455">
        <f>IF(AD$38&lt;0,IF(-AD38&lt;=240000,-AD38*'Premissas Gerais'!F113,-AD38*'Premissas Gerais'!F113+(-AD38-240000)*'Premissas Gerais'!F114),0)</f>
        <v>0</v>
      </c>
      <c r="AE45" s="455">
        <f>IF(AE$38&lt;0,IF(-AE38&lt;=240000,-AE38*'Premissas Gerais'!F113,-AE38*'Premissas Gerais'!F113+(-AE38-240000)*'Premissas Gerais'!F114),0)</f>
        <v>0</v>
      </c>
      <c r="AF45" s="455">
        <f>IF(AF$38&lt;0,IF(-AF38&lt;=240000,-AF38*'Premissas Gerais'!F113,-AF38*'Premissas Gerais'!F113+(-AF38-240000)*'Premissas Gerais'!F114),0)</f>
        <v>0</v>
      </c>
      <c r="AG45" s="455">
        <f>IF(AG$38&lt;0,IF(-AG38&lt;=240000,-AG38*'Premissas Gerais'!F113,-AG38*'Premissas Gerais'!F113+(-AG38-240000)*'Premissas Gerais'!F114),0)</f>
        <v>0</v>
      </c>
      <c r="AH45" s="455">
        <f>IF(AH$38&lt;0,IF(-AH38&lt;=240000,-AH38*'Premissas Gerais'!F113,-AH38*'Premissas Gerais'!F113+(-AH38-240000)*'Premissas Gerais'!F114),0)</f>
        <v>0</v>
      </c>
      <c r="AI45" s="455">
        <f>IF(AI$38&lt;0,IF(-AI38&lt;=240000,-AI38*'Premissas Gerais'!F113,-AI38*'Premissas Gerais'!F113+(-AI38-240000)*'Premissas Gerais'!F114),0)</f>
        <v>0</v>
      </c>
      <c r="AJ45" s="455">
        <f>IF(AJ$38&lt;0,IF(-AJ38&lt;=240000,-AJ38*'Premissas Gerais'!F113,-AJ38*'Premissas Gerais'!F113+(-AJ38-240000)*'Premissas Gerais'!F114),0)</f>
        <v>0</v>
      </c>
    </row>
    <row r="46" spans="1:36" x14ac:dyDescent="0.3">
      <c r="E46" s="271" t="s">
        <v>678</v>
      </c>
      <c r="G46" s="451">
        <f t="shared" ref="G46:AJ46" si="9">IF(G$38&lt;0,0,-MIN(G47,G44+G45))</f>
        <v>0</v>
      </c>
      <c r="H46" s="451">
        <f t="shared" si="9"/>
        <v>0</v>
      </c>
      <c r="I46" s="451">
        <f t="shared" si="9"/>
        <v>-241847.15384554397</v>
      </c>
      <c r="J46" s="451">
        <f t="shared" si="9"/>
        <v>-294174.05307073978</v>
      </c>
      <c r="K46" s="451">
        <f t="shared" si="9"/>
        <v>-1166992.7901066823</v>
      </c>
      <c r="L46" s="451">
        <f t="shared" si="9"/>
        <v>-1221745.1116019906</v>
      </c>
      <c r="M46" s="451">
        <f t="shared" si="9"/>
        <v>-416651.35134782572</v>
      </c>
      <c r="N46" s="451">
        <f t="shared" si="9"/>
        <v>0</v>
      </c>
      <c r="O46" s="451">
        <f t="shared" si="9"/>
        <v>0</v>
      </c>
      <c r="P46" s="451">
        <f t="shared" si="9"/>
        <v>0</v>
      </c>
      <c r="Q46" s="451">
        <f t="shared" si="9"/>
        <v>0</v>
      </c>
      <c r="R46" s="451">
        <f t="shared" si="9"/>
        <v>0</v>
      </c>
      <c r="S46" s="451">
        <f t="shared" si="9"/>
        <v>0</v>
      </c>
      <c r="T46" s="451">
        <f t="shared" si="9"/>
        <v>0</v>
      </c>
      <c r="U46" s="451">
        <f t="shared" si="9"/>
        <v>0</v>
      </c>
      <c r="V46" s="451">
        <f t="shared" si="9"/>
        <v>0</v>
      </c>
      <c r="W46" s="451">
        <f t="shared" si="9"/>
        <v>0</v>
      </c>
      <c r="X46" s="451">
        <f t="shared" si="9"/>
        <v>0</v>
      </c>
      <c r="Y46" s="451">
        <f t="shared" si="9"/>
        <v>0</v>
      </c>
      <c r="Z46" s="451">
        <f t="shared" si="9"/>
        <v>0</v>
      </c>
      <c r="AA46" s="451">
        <f t="shared" si="9"/>
        <v>0</v>
      </c>
      <c r="AB46" s="451">
        <f t="shared" si="9"/>
        <v>0</v>
      </c>
      <c r="AC46" s="451">
        <f t="shared" si="9"/>
        <v>0</v>
      </c>
      <c r="AD46" s="451">
        <f t="shared" si="9"/>
        <v>0</v>
      </c>
      <c r="AE46" s="451">
        <f t="shared" si="9"/>
        <v>0</v>
      </c>
      <c r="AF46" s="451">
        <f t="shared" si="9"/>
        <v>0</v>
      </c>
      <c r="AG46" s="451">
        <f t="shared" si="9"/>
        <v>0</v>
      </c>
      <c r="AH46" s="451">
        <f t="shared" si="9"/>
        <v>0</v>
      </c>
      <c r="AI46" s="451">
        <f t="shared" si="9"/>
        <v>0</v>
      </c>
      <c r="AJ46" s="451">
        <f t="shared" si="9"/>
        <v>0</v>
      </c>
    </row>
    <row r="47" spans="1:36" s="1844" customFormat="1" x14ac:dyDescent="0.3">
      <c r="E47" s="1843" t="s">
        <v>679</v>
      </c>
      <c r="G47" s="1845">
        <f>IF(G$38&lt;=0,0,IF(G$38*0.3&lt;=240000,G$38*0.3*'Premissas Gerais'!$F$113,G$38*0.3*'Premissas Gerais'!$F$113+(G$38*0.3-240000)*'Premissas Gerais'!$F$114))</f>
        <v>0</v>
      </c>
      <c r="H47" s="1845">
        <f>IF(H$38&lt;=0,0,IF(H$38*0.3&lt;=240000,H$38*0.3*'Premissas Gerais'!$F$113,H$38*0.3*'Premissas Gerais'!$F$113+(H$38*0.3-240000)*'Premissas Gerais'!$F$114))</f>
        <v>0</v>
      </c>
      <c r="I47" s="1845">
        <f>IF(I$38&lt;=0,0,IF(I$38*0.3&lt;=240000,I$38*0.3*'Premissas Gerais'!$F$113,I$38*0.3*'Premissas Gerais'!$F$113+(I$38*0.3-240000)*'Premissas Gerais'!$F$114))</f>
        <v>241847.15384554397</v>
      </c>
      <c r="J47" s="1845">
        <f>IF(J$38&lt;=0,0,IF(J$38*0.3&lt;=240000,J$38*0.3*'Premissas Gerais'!$F$113,J$38*0.3*'Premissas Gerais'!$F$113+(J$38*0.3-240000)*'Premissas Gerais'!$F$114))</f>
        <v>294174.05307073978</v>
      </c>
      <c r="K47" s="1845">
        <f>IF(K$38&lt;=0,0,IF(K$38*0.3&lt;=240000,K$38*0.3*'Premissas Gerais'!$F$113,K$38*0.3*'Premissas Gerais'!$F$113+(K$38*0.3-240000)*'Premissas Gerais'!$F$114))</f>
        <v>1166992.7901066823</v>
      </c>
      <c r="L47" s="1845">
        <f>IF(L$38&lt;=0,0,IF(L$38*0.3&lt;=240000,L$38*0.3*'Premissas Gerais'!$F$113,L$38*0.3*'Premissas Gerais'!$F$113+(L$38*0.3-240000)*'Premissas Gerais'!$F$114))</f>
        <v>1221745.1116019906</v>
      </c>
      <c r="M47" s="1845">
        <f>IF(M$38&lt;=0,0,IF(M$38*0.3&lt;=240000,M$38*0.3*'Premissas Gerais'!$F$113,M$38*0.3*'Premissas Gerais'!$F$113+(M$38*0.3-240000)*'Premissas Gerais'!$F$114))</f>
        <v>1239888.2014087976</v>
      </c>
      <c r="N47" s="1845">
        <f>IF(N$38&lt;=0,0,IF(N$38*0.3&lt;=240000,N$38*0.3*'Premissas Gerais'!$F$113,N$38*0.3*'Premissas Gerais'!$F$113+(N$38*0.3-240000)*'Premissas Gerais'!$F$114))</f>
        <v>1018443.1240769532</v>
      </c>
      <c r="O47" s="1845">
        <f>IF(O$38&lt;=0,0,IF(O$38*0.3&lt;=240000,O$38*0.3*'Premissas Gerais'!$F$113,O$38*0.3*'Premissas Gerais'!$F$113+(O$38*0.3-240000)*'Premissas Gerais'!$F$114))</f>
        <v>1544240.8049142775</v>
      </c>
      <c r="P47" s="1845">
        <f>IF(P$38&lt;=0,0,IF(P$38*0.3&lt;=240000,P$38*0.3*'Premissas Gerais'!$F$113,P$38*0.3*'Premissas Gerais'!$F$113+(P$38*0.3-240000)*'Premissas Gerais'!$F$114))</f>
        <v>1477423.3849554565</v>
      </c>
      <c r="Q47" s="1845">
        <f>IF(Q$38&lt;=0,0,IF(Q$38*0.3&lt;=240000,Q$38*0.3*'Premissas Gerais'!$F$113,Q$38*0.3*'Premissas Gerais'!$F$113+(Q$38*0.3-240000)*'Premissas Gerais'!$F$114))</f>
        <v>868164.29654716712</v>
      </c>
      <c r="R47" s="1845">
        <f>IF(R$38&lt;=0,0,IF(R$38*0.3&lt;=240000,R$38*0.3*'Premissas Gerais'!$F$113,R$38*0.3*'Premissas Gerais'!$F$113+(R$38*0.3-240000)*'Premissas Gerais'!$F$114))</f>
        <v>889352.28264740272</v>
      </c>
      <c r="S47" s="1845">
        <f>IF(S$38&lt;=0,0,IF(S$38*0.3&lt;=240000,S$38*0.3*'Premissas Gerais'!$F$113,S$38*0.3*'Premissas Gerais'!$F$113+(S$38*0.3-240000)*'Premissas Gerais'!$F$114))</f>
        <v>905188.87124850415</v>
      </c>
      <c r="T47" s="1845">
        <f>IF(T$38&lt;=0,0,IF(T$38*0.3&lt;=240000,T$38*0.3*'Premissas Gerais'!$F$113,T$38*0.3*'Premissas Gerais'!$F$113+(T$38*0.3-240000)*'Premissas Gerais'!$F$114))</f>
        <v>919577.11166952853</v>
      </c>
      <c r="U47" s="1845">
        <f>IF(U$38&lt;=0,0,IF(U$38*0.3&lt;=240000,U$38*0.3*'Premissas Gerais'!$F$113,U$38*0.3*'Premissas Gerais'!$F$113+(U$38*0.3-240000)*'Premissas Gerais'!$F$114))</f>
        <v>908195.42409027461</v>
      </c>
      <c r="V47" s="1845">
        <f>IF(V$38&lt;=0,0,IF(V$38*0.3&lt;=240000,V$38*0.3*'Premissas Gerais'!$F$113,V$38*0.3*'Premissas Gerais'!$F$113+(V$38*0.3-240000)*'Premissas Gerais'!$F$114))</f>
        <v>934424.58124598069</v>
      </c>
      <c r="W47" s="1845">
        <f>IF(W$38&lt;=0,0,IF(W$38*0.3&lt;=240000,W$38*0.3*'Premissas Gerais'!$F$113,W$38*0.3*'Premissas Gerais'!$F$113+(W$38*0.3-240000)*'Premissas Gerais'!$F$114))</f>
        <v>1361260.2177454205</v>
      </c>
      <c r="X47" s="1845">
        <f>IF(X$38&lt;=0,0,IF(X$38*0.3&lt;=240000,X$38*0.3*'Premissas Gerais'!$F$113,X$38*0.3*'Premissas Gerais'!$F$113+(X$38*0.3-240000)*'Premissas Gerais'!$F$114))</f>
        <v>870355.5610034751</v>
      </c>
      <c r="Y47" s="1845">
        <f>IF(Y$38&lt;=0,0,IF(Y$38*0.3&lt;=240000,Y$38*0.3*'Premissas Gerais'!$F$113,Y$38*0.3*'Premissas Gerais'!$F$113+(Y$38*0.3-240000)*'Premissas Gerais'!$F$114))</f>
        <v>884368.40321621124</v>
      </c>
      <c r="Z47" s="1845">
        <f>IF(Z$38&lt;=0,0,IF(Z$38*0.3&lt;=240000,Z$38*0.3*'Premissas Gerais'!$F$113,Z$38*0.3*'Premissas Gerais'!$F$113+(Z$38*0.3-240000)*'Premissas Gerais'!$F$114))</f>
        <v>973333.23559642141</v>
      </c>
      <c r="AA47" s="1845">
        <f>IF(AA$38&lt;=0,0,IF(AA$38*0.3&lt;=240000,AA$38*0.3*'Premissas Gerais'!$F$113,AA$38*0.3*'Premissas Gerais'!$F$113+(AA$38*0.3-240000)*'Premissas Gerais'!$F$114))</f>
        <v>847841.02621254057</v>
      </c>
      <c r="AB47" s="1845">
        <f>IF(AB$38&lt;=0,0,IF(AB$38*0.3&lt;=240000,AB$38*0.3*'Premissas Gerais'!$F$113,AB$38*0.3*'Premissas Gerais'!$F$113+(AB$38*0.3-240000)*'Premissas Gerais'!$F$114))</f>
        <v>864177.19691110391</v>
      </c>
      <c r="AC47" s="1845">
        <f>IF(AC$38&lt;=0,0,IF(AC$38*0.3&lt;=240000,AC$38*0.3*'Premissas Gerais'!$F$113,AC$38*0.3*'Premissas Gerais'!$F$113+(AC$38*0.3-240000)*'Premissas Gerais'!$F$114))</f>
        <v>846687.06412641902</v>
      </c>
      <c r="AD47" s="1845">
        <f>IF(AD$38&lt;=0,0,IF(AD$38*0.3&lt;=240000,AD$38*0.3*'Premissas Gerais'!$F$113,AD$38*0.3*'Premissas Gerais'!$F$113+(AD$38*0.3-240000)*'Premissas Gerais'!$F$114))</f>
        <v>835163.9386982132</v>
      </c>
      <c r="AE47" s="1845">
        <f>IF(AE$38&lt;=0,0,IF(AE$38*0.3&lt;=240000,AE$38*0.3*'Premissas Gerais'!$F$113,AE$38*0.3*'Premissas Gerais'!$F$113+(AE$38*0.3-240000)*'Premissas Gerais'!$F$114))</f>
        <v>1156129.4516804616</v>
      </c>
      <c r="AF47" s="1845">
        <f>IF(AF$38&lt;=0,0,IF(AF$38*0.3&lt;=240000,AF$38*0.3*'Premissas Gerais'!$F$113,AF$38*0.3*'Premissas Gerais'!$F$113+(AF$38*0.3-240000)*'Premissas Gerais'!$F$114))</f>
        <v>694385.87108171498</v>
      </c>
      <c r="AG47" s="1845">
        <f>IF(AG$38&lt;=0,0,IF(AG$38*0.3&lt;=240000,AG$38*0.3*'Premissas Gerais'!$F$113,AG$38*0.3*'Premissas Gerais'!$F$113+(AG$38*0.3-240000)*'Premissas Gerais'!$F$114))</f>
        <v>715283.89364575571</v>
      </c>
      <c r="AH47" s="1845">
        <f>IF(AH$38&lt;=0,0,IF(AH$38*0.3&lt;=240000,AH$38*0.3*'Premissas Gerais'!$F$113,AH$38*0.3*'Premissas Gerais'!$F$113+(AH$38*0.3-240000)*'Premissas Gerais'!$F$114))</f>
        <v>735142.221924952</v>
      </c>
      <c r="AI47" s="1845">
        <f>IF(AI$38&lt;=0,0,IF(AI$38*0.3&lt;=240000,AI$38*0.3*'Premissas Gerais'!$F$113,AI$38*0.3*'Premissas Gerais'!$F$113+(AI$38*0.3-240000)*'Premissas Gerais'!$F$114))</f>
        <v>754017.66575678217</v>
      </c>
      <c r="AJ47" s="1845">
        <f>IF(AJ$38&lt;=0,0,IF(AJ$38*0.3&lt;=240000,AJ$38*0.3*'Premissas Gerais'!$F$113,AJ$38*0.3*'Premissas Gerais'!$F$113+(AJ$38*0.3-240000)*'Premissas Gerais'!$F$114))</f>
        <v>585629.24294325104</v>
      </c>
    </row>
    <row r="48" spans="1:36" x14ac:dyDescent="0.3">
      <c r="C48" s="272"/>
      <c r="D48" s="272"/>
      <c r="E48" s="273" t="s">
        <v>680</v>
      </c>
      <c r="F48" s="272"/>
      <c r="G48" s="454"/>
      <c r="H48" s="454"/>
      <c r="I48" s="454"/>
      <c r="J48" s="454"/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  <c r="Y48" s="454"/>
      <c r="Z48" s="454"/>
      <c r="AA48" s="454"/>
      <c r="AB48" s="454"/>
      <c r="AC48" s="454"/>
      <c r="AD48" s="454"/>
      <c r="AE48" s="454"/>
      <c r="AF48" s="454"/>
      <c r="AG48" s="454"/>
      <c r="AH48" s="454"/>
      <c r="AI48" s="454"/>
      <c r="AJ48" s="454"/>
    </row>
    <row r="49" spans="3:36" x14ac:dyDescent="0.3">
      <c r="C49" s="268"/>
      <c r="D49" s="268"/>
      <c r="E49" s="269" t="s">
        <v>681</v>
      </c>
      <c r="F49" s="268"/>
      <c r="G49" s="455">
        <f>-IF(G$38&lt;0,0,IF(G38&lt;=240000,G38*'Premissas Gerais'!F113,G38*'Premissas Gerais'!F113+(G38-240000)*'Premissas Gerais'!F114))</f>
        <v>0</v>
      </c>
      <c r="H49" s="455">
        <f>-IF(H$38&lt;0,0,IF(H38&lt;=240000,H38*'Premissas Gerais'!F113,H38*'Premissas Gerais'!F113+(H38-240000)*'Premissas Gerais'!F114))</f>
        <v>0</v>
      </c>
      <c r="I49" s="455">
        <f>-IF(I$38&lt;0,0,IF(I38&lt;=240000,I38*'Premissas Gerais'!F113,I38*'Premissas Gerais'!F113+(I38-240000)*'Premissas Gerais'!F114))</f>
        <v>-862157.17948514665</v>
      </c>
      <c r="J49" s="455">
        <f>-IF(J$38&lt;0,0,IF(J38&lt;=240000,J38*'Premissas Gerais'!F113,J38*'Premissas Gerais'!F113+(J38-240000)*'Premissas Gerais'!F114))</f>
        <v>-1036580.176902466</v>
      </c>
      <c r="K49" s="455">
        <f>-IF(K$38&lt;0,0,IF(K38&lt;=240000,K38*'Premissas Gerais'!F113,K38*'Premissas Gerais'!F113+(K38-240000)*'Premissas Gerais'!F114))</f>
        <v>-3945975.9670222746</v>
      </c>
      <c r="L49" s="455">
        <f>-IF(L$38&lt;0,0,IF(L38&lt;=240000,L38*'Premissas Gerais'!F113,L38*'Premissas Gerais'!F113+(L38-240000)*'Premissas Gerais'!F114))</f>
        <v>-4128483.7053399691</v>
      </c>
      <c r="M49" s="455">
        <f>-IF(M$38&lt;0,0,IF(M38&lt;=240000,M38*'Premissas Gerais'!F113,M38*'Premissas Gerais'!F113+(M38-240000)*'Premissas Gerais'!F114))</f>
        <v>-4188960.671362659</v>
      </c>
      <c r="N49" s="455">
        <f>-IF(N$38&lt;0,0,IF(N38&lt;=240000,N38*'Premissas Gerais'!F113,N38*'Premissas Gerais'!F113+(N38-240000)*'Premissas Gerais'!F114))</f>
        <v>-3450810.413589844</v>
      </c>
      <c r="O49" s="455">
        <f>-IF(O$38&lt;0,0,IF(O38&lt;=240000,O38*'Premissas Gerais'!F113,O38*'Premissas Gerais'!F113+(O38-240000)*'Premissas Gerais'!F114))</f>
        <v>-5203469.3497142587</v>
      </c>
      <c r="P49" s="455">
        <f>-IF(P$38&lt;0,0,IF(P38&lt;=240000,P38*'Premissas Gerais'!F113,P38*'Premissas Gerais'!F113+(P38-240000)*'Premissas Gerais'!F114))</f>
        <v>-4980744.6165181883</v>
      </c>
      <c r="Q49" s="455">
        <f>-IF(Q$38&lt;0,0,IF(Q38&lt;=240000,Q38*'Premissas Gerais'!F113,Q38*'Premissas Gerais'!F113+(Q38-240000)*'Premissas Gerais'!F114))</f>
        <v>-2949880.9884905573</v>
      </c>
      <c r="R49" s="455">
        <f>-IF(R$38&lt;0,0,IF(R38&lt;=240000,R38*'Premissas Gerais'!F113,R38*'Premissas Gerais'!F113+(R38-240000)*'Premissas Gerais'!F114))</f>
        <v>-3020507.6088246759</v>
      </c>
      <c r="S49" s="455">
        <f>-IF(S$38&lt;0,0,IF(S38&lt;=240000,S38*'Premissas Gerais'!F113,S38*'Premissas Gerais'!F113+(S38-240000)*'Premissas Gerais'!F114))</f>
        <v>-3073296.2374950144</v>
      </c>
      <c r="T49" s="455">
        <f>-IF(T$38&lt;0,0,IF(T38&lt;=240000,T38*'Premissas Gerais'!F113,T38*'Premissas Gerais'!F113+(T38-240000)*'Premissas Gerais'!F114))</f>
        <v>-3121257.0388984284</v>
      </c>
      <c r="U49" s="455">
        <f>-IF(U$38&lt;0,0,IF(U38&lt;=240000,U38*'Premissas Gerais'!F113,U38*'Premissas Gerais'!F113+(U38-240000)*'Premissas Gerais'!F114))</f>
        <v>-3083318.080300916</v>
      </c>
      <c r="V49" s="455">
        <f>-IF(V$38&lt;0,0,IF(V38&lt;=240000,V38*'Premissas Gerais'!F113,V38*'Premissas Gerais'!F113+(V38-240000)*'Premissas Gerais'!F114))</f>
        <v>-3170748.604153269</v>
      </c>
      <c r="W49" s="455">
        <f>-IF(W$38&lt;0,0,IF(W38&lt;=240000,W38*'Premissas Gerais'!F113,W38*'Premissas Gerais'!F113+(W38-240000)*'Premissas Gerais'!F114))</f>
        <v>-4593534.0591514017</v>
      </c>
      <c r="X49" s="455">
        <f>-IF(X$38&lt;0,0,IF(X38&lt;=240000,X38*'Premissas Gerais'!F113,X38*'Premissas Gerais'!F113+(X38-240000)*'Premissas Gerais'!F114))</f>
        <v>-2957185.2033449169</v>
      </c>
      <c r="Y49" s="455">
        <f>-IF(Y$38&lt;0,0,IF(Y38&lt;=240000,Y38*'Premissas Gerais'!F113,Y38*'Premissas Gerais'!F113+(Y38-240000)*'Premissas Gerais'!F114))</f>
        <v>-3003894.6773873707</v>
      </c>
      <c r="Z49" s="455">
        <f>-IF(Z$38&lt;0,0,IF(Z38&lt;=240000,Z38*'Premissas Gerais'!F113,Z38*'Premissas Gerais'!F113+(Z38-240000)*'Premissas Gerais'!F114))</f>
        <v>-3300444.1186547382</v>
      </c>
      <c r="AA49" s="455">
        <f>-IF(AA$38&lt;0,0,IF(AA38&lt;=240000,AA38*'Premissas Gerais'!F113,AA38*'Premissas Gerais'!F113+(AA38-240000)*'Premissas Gerais'!F114))</f>
        <v>-2882136.7540418021</v>
      </c>
      <c r="AB49" s="455">
        <f>-IF(AB$38&lt;0,0,IF(AB38&lt;=240000,AB38*'Premissas Gerais'!F113,AB38*'Premissas Gerais'!F113+(AB38-240000)*'Premissas Gerais'!F114))</f>
        <v>-2936590.6563703464</v>
      </c>
      <c r="AC49" s="455">
        <f>-IF(AC$38&lt;0,0,IF(AC38&lt;=240000,AC38*'Premissas Gerais'!F113,AC38*'Premissas Gerais'!F113+(AC38-240000)*'Premissas Gerais'!F114))</f>
        <v>-2878290.2137547303</v>
      </c>
      <c r="AD49" s="455">
        <f>-IF(AD$38&lt;0,0,IF(AD38&lt;=240000,AD38*'Premissas Gerais'!F113,AD38*'Premissas Gerais'!F113+(AD38-240000)*'Premissas Gerais'!F114))</f>
        <v>-2839879.7956607109</v>
      </c>
      <c r="AE49" s="455">
        <f>-IF(AE$38&lt;0,0,IF(AE38&lt;=240000,AE38*'Premissas Gerais'!F113,AE38*'Premissas Gerais'!F113+(AE38-240000)*'Premissas Gerais'!F114))</f>
        <v>-3909764.8389348723</v>
      </c>
      <c r="AF49" s="455">
        <f>-IF(AF$38&lt;0,0,IF(AF38&lt;=240000,AF38*'Premissas Gerais'!F113,AF38*'Premissas Gerais'!F113+(AF38-240000)*'Premissas Gerais'!F114))</f>
        <v>-2370619.5702723833</v>
      </c>
      <c r="AG49" s="455">
        <f>-IF(AG$38&lt;0,0,IF(AG38&lt;=240000,AG38*'Premissas Gerais'!F113,AG38*'Premissas Gerais'!F113+(AG38-240000)*'Premissas Gerais'!F114))</f>
        <v>-2440279.6454858524</v>
      </c>
      <c r="AH49" s="455">
        <f>-IF(AH$38&lt;0,0,IF(AH38&lt;=240000,AH38*'Premissas Gerais'!F113,AH38*'Premissas Gerais'!F113+(AH38-240000)*'Premissas Gerais'!F114))</f>
        <v>-2506474.0730831735</v>
      </c>
      <c r="AI49" s="455">
        <f>-IF(AI$38&lt;0,0,IF(AI38&lt;=240000,AI38*'Premissas Gerais'!F113,AI38*'Premissas Gerais'!F113+(AI38-240000)*'Premissas Gerais'!F114))</f>
        <v>-2569392.2191892741</v>
      </c>
      <c r="AJ49" s="455">
        <f>-IF(AJ$38&lt;0,0,IF(AJ38&lt;=240000,AJ38*'Premissas Gerais'!F113,AJ38*'Premissas Gerais'!F113+(AJ38-240000)*'Premissas Gerais'!F114))</f>
        <v>-2008097.4764775035</v>
      </c>
    </row>
    <row r="50" spans="3:36" x14ac:dyDescent="0.3">
      <c r="C50" s="268"/>
      <c r="D50" s="268"/>
      <c r="E50" s="269" t="s">
        <v>682</v>
      </c>
      <c r="F50" s="268"/>
      <c r="G50" s="455">
        <f>-IF(G$42&lt;0,0,IF(G42&lt;=240000,G42*'Premissas Gerais'!F113,G42*'Premissas Gerais'!F113+(G42-240000)*'Premissas Gerais'!F114))</f>
        <v>0</v>
      </c>
      <c r="H50" s="455">
        <f>-IF(H$42&lt;0,0,IF(H42&lt;=240000,H42*'Premissas Gerais'!F113,H42*'Premissas Gerais'!F113+(H42-240000)*'Premissas Gerais'!F114))</f>
        <v>0</v>
      </c>
      <c r="I50" s="455">
        <f>-IF(I$42&lt;0,0,IF(I42&lt;=240000,I42*'Premissas Gerais'!F113,I42*'Premissas Gerais'!F113+(I42-240000)*'Premissas Gerais'!F114))</f>
        <v>-596310.02563960268</v>
      </c>
      <c r="J50" s="455">
        <f>-IF(J$42&lt;0,0,IF(J42&lt;=240000,J42*'Premissas Gerais'!F113,J42*'Premissas Gerais'!F113+(J42-240000)*'Premissas Gerais'!F114))</f>
        <v>-718406.12383172614</v>
      </c>
      <c r="K50" s="455">
        <f>-IF(K$42&lt;0,0,IF(K42&lt;=240000,K42*'Premissas Gerais'!F113,K42*'Premissas Gerais'!F113+(K42-240000)*'Premissas Gerais'!F114))</f>
        <v>-2754983.1769155925</v>
      </c>
      <c r="L50" s="455">
        <f>-IF(L$42&lt;0,0,IF(L42&lt;=240000,L42*'Premissas Gerais'!F113,L42*'Premissas Gerais'!F113+(L42-240000)*'Premissas Gerais'!F114))</f>
        <v>-2882738.593737978</v>
      </c>
      <c r="M50" s="455">
        <f>-IF(M$42&lt;0,0,IF(M42&lt;=240000,M42*'Premissas Gerais'!F113,M42*'Premissas Gerais'!F113+(M42-240000)*'Premissas Gerais'!F114))</f>
        <v>-3748309.3200148335</v>
      </c>
      <c r="N50" s="455">
        <f>-IF(N$42&lt;0,0,IF(N42&lt;=240000,N42*'Premissas Gerais'!F113,N42*'Premissas Gerais'!F113+(N42-240000)*'Premissas Gerais'!F114))</f>
        <v>-3450810.413589844</v>
      </c>
      <c r="O50" s="455">
        <f>-IF(O$42&lt;0,0,IF(O42&lt;=240000,O42*'Premissas Gerais'!F113,O42*'Premissas Gerais'!F113+(O42-240000)*'Premissas Gerais'!F114))</f>
        <v>-5203469.3497142587</v>
      </c>
      <c r="P50" s="455">
        <f>-IF(P$42&lt;0,0,IF(P42&lt;=240000,P42*'Premissas Gerais'!F113,P42*'Premissas Gerais'!F113+(P42-240000)*'Premissas Gerais'!F114))</f>
        <v>-4980744.6165181883</v>
      </c>
      <c r="Q50" s="455">
        <f>-IF(Q$42&lt;0,0,IF(Q42&lt;=240000,Q42*'Premissas Gerais'!F113,Q42*'Premissas Gerais'!F113+(Q42-240000)*'Premissas Gerais'!F114))</f>
        <v>-2949880.9884905573</v>
      </c>
      <c r="R50" s="455">
        <f>-IF(R$42&lt;0,0,IF(R42&lt;=240000,R42*'Premissas Gerais'!F113,R42*'Premissas Gerais'!F113+(R42-240000)*'Premissas Gerais'!F114))</f>
        <v>-3020507.6088246759</v>
      </c>
      <c r="S50" s="455">
        <f>-IF(S$42&lt;0,0,IF(S42&lt;=240000,S42*'Premissas Gerais'!F113,S42*'Premissas Gerais'!F113+(S42-240000)*'Premissas Gerais'!F114))</f>
        <v>-3073296.2374950144</v>
      </c>
      <c r="T50" s="455">
        <f>-IF(T$42&lt;0,0,IF(T42&lt;=240000,T42*'Premissas Gerais'!F113,T42*'Premissas Gerais'!F113+(T42-240000)*'Premissas Gerais'!F114))</f>
        <v>-3121257.0388984284</v>
      </c>
      <c r="U50" s="455">
        <f>-IF(U$42&lt;0,0,IF(U42&lt;=240000,U42*'Premissas Gerais'!F113,U42*'Premissas Gerais'!F113+(U42-240000)*'Premissas Gerais'!F114))</f>
        <v>-3083318.080300916</v>
      </c>
      <c r="V50" s="455">
        <f>-IF(V$42&lt;0,0,IF(V42&lt;=240000,V42*'Premissas Gerais'!F113,V42*'Premissas Gerais'!F113+(V42-240000)*'Premissas Gerais'!F114))</f>
        <v>-3170748.604153269</v>
      </c>
      <c r="W50" s="455">
        <f>-IF(W$42&lt;0,0,IF(W42&lt;=240000,W42*'Premissas Gerais'!F113,W42*'Premissas Gerais'!F113+(W42-240000)*'Premissas Gerais'!F114))</f>
        <v>-4593534.0591514017</v>
      </c>
      <c r="X50" s="455">
        <f>-IF(X$42&lt;0,0,IF(X42&lt;=240000,X42*'Premissas Gerais'!F113,X42*'Premissas Gerais'!F113+(X42-240000)*'Premissas Gerais'!F114))</f>
        <v>-2957185.2033449169</v>
      </c>
      <c r="Y50" s="455">
        <f>-IF(Y$42&lt;0,0,IF(Y42&lt;=240000,Y42*'Premissas Gerais'!F113,Y42*'Premissas Gerais'!F113+(Y42-240000)*'Premissas Gerais'!F114))</f>
        <v>-3003894.6773873707</v>
      </c>
      <c r="Z50" s="455">
        <f>-IF(Z$42&lt;0,0,IF(Z42&lt;=240000,Z42*'Premissas Gerais'!F113,Z42*'Premissas Gerais'!F113+(Z42-240000)*'Premissas Gerais'!F114))</f>
        <v>-3300444.1186547382</v>
      </c>
      <c r="AA50" s="455">
        <f>-IF(AA$42&lt;0,0,IF(AA42&lt;=240000,AA42*'Premissas Gerais'!F113,AA42*'Premissas Gerais'!F113+(AA42-240000)*'Premissas Gerais'!F114))</f>
        <v>-2882136.7540418021</v>
      </c>
      <c r="AB50" s="455">
        <f>-IF(AB$42&lt;0,0,IF(AB42&lt;=240000,AB42*'Premissas Gerais'!F113,AB42*'Premissas Gerais'!F113+(AB42-240000)*'Premissas Gerais'!F114))</f>
        <v>-2936590.6563703464</v>
      </c>
      <c r="AC50" s="455">
        <f>-IF(AC$42&lt;0,0,IF(AC42&lt;=240000,AC42*'Premissas Gerais'!F113,AC42*'Premissas Gerais'!F113+(AC42-240000)*'Premissas Gerais'!F114))</f>
        <v>-2878290.2137547303</v>
      </c>
      <c r="AD50" s="455">
        <f>-IF(AD$42&lt;0,0,IF(AD42&lt;=240000,AD42*'Premissas Gerais'!F113,AD42*'Premissas Gerais'!F113+(AD42-240000)*'Premissas Gerais'!F114))</f>
        <v>-2839879.7956607109</v>
      </c>
      <c r="AE50" s="455">
        <f>-IF(AE$42&lt;0,0,IF(AE42&lt;=240000,AE42*'Premissas Gerais'!F113,AE42*'Premissas Gerais'!F113+(AE42-240000)*'Premissas Gerais'!F114))</f>
        <v>-3909764.8389348723</v>
      </c>
      <c r="AF50" s="455">
        <f>-IF(AF$42&lt;0,0,IF(AF42&lt;=240000,AF42*'Premissas Gerais'!F113,AF42*'Premissas Gerais'!F113+(AF42-240000)*'Premissas Gerais'!F114))</f>
        <v>-2370619.5702723833</v>
      </c>
      <c r="AG50" s="455">
        <f>-IF(AG$42&lt;0,0,IF(AG42&lt;=240000,AG42*'Premissas Gerais'!F113,AG42*'Premissas Gerais'!F113+(AG42-240000)*'Premissas Gerais'!F114))</f>
        <v>-2440279.6454858524</v>
      </c>
      <c r="AH50" s="455">
        <f>-IF(AH$42&lt;0,0,IF(AH42&lt;=240000,AH42*'Premissas Gerais'!F113,AH42*'Premissas Gerais'!F113+(AH42-240000)*'Premissas Gerais'!F114))</f>
        <v>-2506474.0730831735</v>
      </c>
      <c r="AI50" s="455">
        <f>-IF(AI$42&lt;0,0,IF(AI42&lt;=240000,AI42*'Premissas Gerais'!F113,AI42*'Premissas Gerais'!F113+(AI42-240000)*'Premissas Gerais'!F114))</f>
        <v>-2569392.2191892741</v>
      </c>
      <c r="AJ50" s="455">
        <f>-IF(AJ$42&lt;0,0,IF(AJ42&lt;=240000,AJ42*'Premissas Gerais'!F113,AJ42*'Premissas Gerais'!F113+(AJ42-240000)*'Premissas Gerais'!F114))</f>
        <v>-2008097.4764775035</v>
      </c>
    </row>
    <row r="51" spans="3:36" x14ac:dyDescent="0.3">
      <c r="C51" s="268"/>
      <c r="D51" s="268"/>
      <c r="E51" s="269" t="s">
        <v>676</v>
      </c>
      <c r="F51" s="268"/>
      <c r="G51" s="455">
        <f t="shared" ref="G51:AJ51" si="10">G45+G46</f>
        <v>3053810.4776378782</v>
      </c>
      <c r="H51" s="455">
        <f t="shared" si="10"/>
        <v>287599.98233490426</v>
      </c>
      <c r="I51" s="455">
        <f t="shared" si="10"/>
        <v>-241847.15384554397</v>
      </c>
      <c r="J51" s="455">
        <f t="shared" si="10"/>
        <v>-294174.05307073978</v>
      </c>
      <c r="K51" s="455">
        <f t="shared" si="10"/>
        <v>-1166992.7901066823</v>
      </c>
      <c r="L51" s="455">
        <f t="shared" si="10"/>
        <v>-1221745.1116019906</v>
      </c>
      <c r="M51" s="455">
        <f t="shared" si="10"/>
        <v>-416651.35134782572</v>
      </c>
      <c r="N51" s="455">
        <f t="shared" si="10"/>
        <v>0</v>
      </c>
      <c r="O51" s="455">
        <f t="shared" si="10"/>
        <v>0</v>
      </c>
      <c r="P51" s="455">
        <f t="shared" si="10"/>
        <v>0</v>
      </c>
      <c r="Q51" s="455">
        <f t="shared" si="10"/>
        <v>0</v>
      </c>
      <c r="R51" s="455">
        <f t="shared" si="10"/>
        <v>0</v>
      </c>
      <c r="S51" s="455">
        <f t="shared" si="10"/>
        <v>0</v>
      </c>
      <c r="T51" s="455">
        <f t="shared" si="10"/>
        <v>0</v>
      </c>
      <c r="U51" s="455">
        <f t="shared" si="10"/>
        <v>0</v>
      </c>
      <c r="V51" s="455">
        <f t="shared" si="10"/>
        <v>0</v>
      </c>
      <c r="W51" s="455">
        <f t="shared" si="10"/>
        <v>0</v>
      </c>
      <c r="X51" s="455">
        <f t="shared" si="10"/>
        <v>0</v>
      </c>
      <c r="Y51" s="455">
        <f t="shared" si="10"/>
        <v>0</v>
      </c>
      <c r="Z51" s="455">
        <f t="shared" si="10"/>
        <v>0</v>
      </c>
      <c r="AA51" s="455">
        <f t="shared" si="10"/>
        <v>0</v>
      </c>
      <c r="AB51" s="455">
        <f t="shared" si="10"/>
        <v>0</v>
      </c>
      <c r="AC51" s="455">
        <f t="shared" si="10"/>
        <v>0</v>
      </c>
      <c r="AD51" s="455">
        <f t="shared" si="10"/>
        <v>0</v>
      </c>
      <c r="AE51" s="455">
        <f t="shared" si="10"/>
        <v>0</v>
      </c>
      <c r="AF51" s="455">
        <f t="shared" si="10"/>
        <v>0</v>
      </c>
      <c r="AG51" s="455">
        <f t="shared" si="10"/>
        <v>0</v>
      </c>
      <c r="AH51" s="455">
        <f t="shared" si="10"/>
        <v>0</v>
      </c>
      <c r="AI51" s="455">
        <f t="shared" si="10"/>
        <v>0</v>
      </c>
      <c r="AJ51" s="455">
        <f t="shared" si="10"/>
        <v>0</v>
      </c>
    </row>
    <row r="52" spans="3:36" ht="12.5" customHeight="1" x14ac:dyDescent="0.3">
      <c r="G52" s="451"/>
      <c r="H52" s="451"/>
      <c r="I52" s="451"/>
      <c r="J52" s="451"/>
      <c r="K52" s="451"/>
      <c r="L52" s="451"/>
      <c r="M52" s="451"/>
      <c r="N52" s="451"/>
      <c r="O52" s="451"/>
      <c r="P52" s="451"/>
      <c r="Q52" s="451"/>
      <c r="R52" s="451"/>
      <c r="S52" s="451"/>
      <c r="T52" s="451"/>
      <c r="U52" s="451"/>
      <c r="V52" s="451"/>
      <c r="W52" s="451"/>
      <c r="X52" s="451"/>
      <c r="Y52" s="451"/>
      <c r="Z52" s="451"/>
      <c r="AA52" s="451"/>
      <c r="AB52" s="451"/>
      <c r="AC52" s="451"/>
      <c r="AD52" s="451"/>
      <c r="AE52" s="451"/>
      <c r="AF52" s="451"/>
      <c r="AG52" s="451"/>
      <c r="AH52" s="451"/>
      <c r="AI52" s="451"/>
      <c r="AJ52" s="451"/>
    </row>
    <row r="53" spans="3:36" ht="12.5" customHeight="1" x14ac:dyDescent="0.3">
      <c r="G53" s="451"/>
      <c r="H53" s="451"/>
      <c r="I53" s="451"/>
      <c r="J53" s="451"/>
      <c r="K53" s="451"/>
      <c r="L53" s="451"/>
      <c r="M53" s="451"/>
      <c r="N53" s="451"/>
      <c r="O53" s="451"/>
      <c r="P53" s="451"/>
      <c r="Q53" s="451"/>
      <c r="R53" s="451"/>
      <c r="S53" s="451"/>
      <c r="T53" s="451"/>
      <c r="U53" s="451"/>
      <c r="V53" s="451"/>
      <c r="W53" s="451"/>
      <c r="X53" s="451"/>
      <c r="Y53" s="451"/>
      <c r="Z53" s="451"/>
      <c r="AA53" s="451"/>
      <c r="AB53" s="451"/>
      <c r="AC53" s="451"/>
      <c r="AD53" s="451"/>
      <c r="AE53" s="451"/>
      <c r="AF53" s="451"/>
      <c r="AG53" s="451"/>
      <c r="AH53" s="451"/>
      <c r="AI53" s="451"/>
      <c r="AJ53" s="451"/>
    </row>
    <row r="54" spans="3:36" x14ac:dyDescent="0.3">
      <c r="C54" s="264"/>
      <c r="D54" s="264"/>
      <c r="E54" s="265" t="s">
        <v>147</v>
      </c>
      <c r="F54" s="266">
        <f>'Premissas Gerais'!F115</f>
        <v>0.09</v>
      </c>
      <c r="G54" s="456"/>
      <c r="H54" s="456"/>
      <c r="I54" s="456"/>
      <c r="J54" s="456"/>
      <c r="K54" s="456"/>
      <c r="L54" s="456"/>
      <c r="M54" s="456"/>
      <c r="N54" s="456"/>
      <c r="O54" s="456"/>
      <c r="P54" s="456"/>
      <c r="Q54" s="456"/>
      <c r="R54" s="456"/>
      <c r="S54" s="456"/>
      <c r="T54" s="456"/>
      <c r="U54" s="456"/>
      <c r="V54" s="456"/>
      <c r="W54" s="456"/>
      <c r="X54" s="456"/>
      <c r="Y54" s="456"/>
      <c r="Z54" s="456"/>
      <c r="AA54" s="456"/>
      <c r="AB54" s="456"/>
      <c r="AC54" s="456"/>
      <c r="AD54" s="456"/>
      <c r="AE54" s="456"/>
      <c r="AF54" s="456"/>
      <c r="AG54" s="456"/>
      <c r="AH54" s="456"/>
      <c r="AI54" s="456"/>
      <c r="AJ54" s="456"/>
    </row>
    <row r="55" spans="3:36" x14ac:dyDescent="0.3">
      <c r="C55" s="268"/>
      <c r="D55" s="268"/>
      <c r="E55" s="269" t="s">
        <v>15</v>
      </c>
      <c r="F55" s="268"/>
      <c r="G55" s="455">
        <f>-G60/$F54</f>
        <v>0</v>
      </c>
      <c r="H55" s="455">
        <f t="shared" ref="H55:AJ55" si="11">-H60/$F54</f>
        <v>0</v>
      </c>
      <c r="I55" s="455">
        <f t="shared" si="11"/>
        <v>1063388.6153821759</v>
      </c>
      <c r="J55" s="455">
        <f t="shared" si="11"/>
        <v>1272696.2122829594</v>
      </c>
      <c r="K55" s="455">
        <f t="shared" si="11"/>
        <v>4763971.1604267294</v>
      </c>
      <c r="L55" s="455">
        <f t="shared" si="11"/>
        <v>4982980.4464079626</v>
      </c>
      <c r="M55" s="455">
        <f t="shared" si="11"/>
        <v>1474605.405391302</v>
      </c>
      <c r="N55" s="455">
        <f t="shared" si="11"/>
        <v>0</v>
      </c>
      <c r="O55" s="455">
        <f t="shared" si="11"/>
        <v>0</v>
      </c>
      <c r="P55" s="455">
        <f t="shared" si="11"/>
        <v>0</v>
      </c>
      <c r="Q55" s="455">
        <f t="shared" si="11"/>
        <v>0</v>
      </c>
      <c r="R55" s="455">
        <f t="shared" si="11"/>
        <v>0</v>
      </c>
      <c r="S55" s="455">
        <f t="shared" si="11"/>
        <v>0</v>
      </c>
      <c r="T55" s="455">
        <f t="shared" si="11"/>
        <v>0</v>
      </c>
      <c r="U55" s="455">
        <f t="shared" si="11"/>
        <v>0</v>
      </c>
      <c r="V55" s="455">
        <f t="shared" si="11"/>
        <v>0</v>
      </c>
      <c r="W55" s="455">
        <f t="shared" si="11"/>
        <v>0</v>
      </c>
      <c r="X55" s="455">
        <f t="shared" si="11"/>
        <v>0</v>
      </c>
      <c r="Y55" s="455">
        <f t="shared" si="11"/>
        <v>0</v>
      </c>
      <c r="Z55" s="455">
        <f t="shared" si="11"/>
        <v>0</v>
      </c>
      <c r="AA55" s="455">
        <f t="shared" si="11"/>
        <v>0</v>
      </c>
      <c r="AB55" s="455">
        <f t="shared" si="11"/>
        <v>0</v>
      </c>
      <c r="AC55" s="455">
        <f t="shared" si="11"/>
        <v>0</v>
      </c>
      <c r="AD55" s="455">
        <f t="shared" si="11"/>
        <v>0</v>
      </c>
      <c r="AE55" s="455">
        <f t="shared" si="11"/>
        <v>0</v>
      </c>
      <c r="AF55" s="455">
        <f t="shared" si="11"/>
        <v>0</v>
      </c>
      <c r="AG55" s="455">
        <f t="shared" si="11"/>
        <v>0</v>
      </c>
      <c r="AH55" s="455">
        <f t="shared" si="11"/>
        <v>0</v>
      </c>
      <c r="AI55" s="455">
        <f t="shared" si="11"/>
        <v>0</v>
      </c>
      <c r="AJ55" s="455">
        <f t="shared" si="11"/>
        <v>0</v>
      </c>
    </row>
    <row r="56" spans="3:36" x14ac:dyDescent="0.3">
      <c r="E56" s="271" t="s">
        <v>675</v>
      </c>
      <c r="G56" s="451">
        <f>G$38-G55</f>
        <v>-12311241.910551513</v>
      </c>
      <c r="H56" s="451">
        <f t="shared" ref="H56:AJ56" si="12">H$38-H55</f>
        <v>-1246399.929339617</v>
      </c>
      <c r="I56" s="451">
        <f t="shared" si="12"/>
        <v>2481240.1025584107</v>
      </c>
      <c r="J56" s="451">
        <f t="shared" si="12"/>
        <v>2969624.4953269046</v>
      </c>
      <c r="K56" s="451">
        <f t="shared" si="12"/>
        <v>11115932.70766237</v>
      </c>
      <c r="L56" s="451">
        <f t="shared" si="12"/>
        <v>11626954.374951912</v>
      </c>
      <c r="M56" s="451">
        <f t="shared" si="12"/>
        <v>15377237.280059334</v>
      </c>
      <c r="N56" s="451">
        <f t="shared" si="12"/>
        <v>13899241.654359376</v>
      </c>
      <c r="O56" s="451">
        <f t="shared" si="12"/>
        <v>20909877.398857035</v>
      </c>
      <c r="P56" s="451">
        <f t="shared" si="12"/>
        <v>20018978.466072753</v>
      </c>
      <c r="Q56" s="451">
        <f t="shared" si="12"/>
        <v>11895523.953962229</v>
      </c>
      <c r="R56" s="451">
        <f t="shared" si="12"/>
        <v>12178030.435298704</v>
      </c>
      <c r="S56" s="451">
        <f t="shared" si="12"/>
        <v>12389184.949980058</v>
      </c>
      <c r="T56" s="451">
        <f t="shared" si="12"/>
        <v>12581028.155593714</v>
      </c>
      <c r="U56" s="451">
        <f t="shared" si="12"/>
        <v>12429272.321203664</v>
      </c>
      <c r="V56" s="451">
        <f t="shared" si="12"/>
        <v>12778994.416613076</v>
      </c>
      <c r="W56" s="451">
        <f t="shared" si="12"/>
        <v>18470136.236605607</v>
      </c>
      <c r="X56" s="451">
        <f t="shared" si="12"/>
        <v>11924740.813379668</v>
      </c>
      <c r="Y56" s="451">
        <f t="shared" si="12"/>
        <v>12111578.709549483</v>
      </c>
      <c r="Z56" s="451">
        <f t="shared" si="12"/>
        <v>13297776.474618953</v>
      </c>
      <c r="AA56" s="451">
        <f t="shared" si="12"/>
        <v>11624547.016167209</v>
      </c>
      <c r="AB56" s="451">
        <f t="shared" si="12"/>
        <v>11842362.625481386</v>
      </c>
      <c r="AC56" s="451">
        <f t="shared" si="12"/>
        <v>11609160.855018921</v>
      </c>
      <c r="AD56" s="451">
        <f t="shared" si="12"/>
        <v>11455519.182642844</v>
      </c>
      <c r="AE56" s="451">
        <f t="shared" si="12"/>
        <v>15735059.355739489</v>
      </c>
      <c r="AF56" s="451">
        <f t="shared" si="12"/>
        <v>9578478.2810895331</v>
      </c>
      <c r="AG56" s="451">
        <f t="shared" si="12"/>
        <v>9857118.5819434095</v>
      </c>
      <c r="AH56" s="451">
        <f t="shared" si="12"/>
        <v>10121896.292332694</v>
      </c>
      <c r="AI56" s="451">
        <f t="shared" si="12"/>
        <v>10373568.876757096</v>
      </c>
      <c r="AJ56" s="451">
        <f t="shared" si="12"/>
        <v>8128389.9059100142</v>
      </c>
    </row>
    <row r="57" spans="3:36" ht="6" customHeight="1" x14ac:dyDescent="0.3">
      <c r="G57" s="451"/>
      <c r="H57" s="451"/>
      <c r="I57" s="451"/>
      <c r="J57" s="451"/>
      <c r="K57" s="451"/>
      <c r="L57" s="451"/>
      <c r="M57" s="451"/>
      <c r="N57" s="451"/>
      <c r="O57" s="451"/>
      <c r="P57" s="451"/>
      <c r="Q57" s="451"/>
      <c r="R57" s="451"/>
      <c r="S57" s="451"/>
      <c r="T57" s="451"/>
      <c r="U57" s="451"/>
      <c r="V57" s="451"/>
      <c r="W57" s="451"/>
      <c r="X57" s="451"/>
      <c r="Y57" s="451"/>
      <c r="Z57" s="451"/>
      <c r="AA57" s="451"/>
      <c r="AB57" s="451"/>
      <c r="AC57" s="451"/>
      <c r="AD57" s="451"/>
      <c r="AE57" s="451"/>
      <c r="AF57" s="451"/>
      <c r="AG57" s="451"/>
      <c r="AH57" s="451"/>
      <c r="AI57" s="451"/>
      <c r="AJ57" s="451"/>
    </row>
    <row r="58" spans="3:36" x14ac:dyDescent="0.3">
      <c r="C58" s="272"/>
      <c r="D58" s="272"/>
      <c r="E58" s="273" t="s">
        <v>683</v>
      </c>
      <c r="F58" s="272"/>
      <c r="G58" s="454">
        <f>F58+F59+F60</f>
        <v>0</v>
      </c>
      <c r="H58" s="454">
        <f t="shared" ref="H58:AJ58" si="13">G58+G59+G60</f>
        <v>1108011.7719496361</v>
      </c>
      <c r="I58" s="454">
        <f>H58+H59+H60</f>
        <v>1220187.7655902016</v>
      </c>
      <c r="J58" s="454">
        <f t="shared" si="13"/>
        <v>1124482.7902058058</v>
      </c>
      <c r="K58" s="454">
        <f t="shared" si="13"/>
        <v>1009940.1311003395</v>
      </c>
      <c r="L58" s="454">
        <f t="shared" si="13"/>
        <v>581182.72666193382</v>
      </c>
      <c r="M58" s="454">
        <f t="shared" si="13"/>
        <v>132714.48648521717</v>
      </c>
      <c r="N58" s="454">
        <f t="shared" si="13"/>
        <v>0</v>
      </c>
      <c r="O58" s="454">
        <f t="shared" si="13"/>
        <v>0</v>
      </c>
      <c r="P58" s="454">
        <f t="shared" si="13"/>
        <v>0</v>
      </c>
      <c r="Q58" s="454">
        <f t="shared" si="13"/>
        <v>0</v>
      </c>
      <c r="R58" s="454">
        <f t="shared" si="13"/>
        <v>0</v>
      </c>
      <c r="S58" s="454">
        <f t="shared" si="13"/>
        <v>0</v>
      </c>
      <c r="T58" s="454">
        <f t="shared" si="13"/>
        <v>0</v>
      </c>
      <c r="U58" s="454">
        <f t="shared" si="13"/>
        <v>0</v>
      </c>
      <c r="V58" s="454">
        <f t="shared" si="13"/>
        <v>0</v>
      </c>
      <c r="W58" s="454">
        <f t="shared" si="13"/>
        <v>0</v>
      </c>
      <c r="X58" s="454">
        <f t="shared" si="13"/>
        <v>0</v>
      </c>
      <c r="Y58" s="454">
        <f t="shared" si="13"/>
        <v>0</v>
      </c>
      <c r="Z58" s="454">
        <f t="shared" si="13"/>
        <v>0</v>
      </c>
      <c r="AA58" s="454">
        <f t="shared" si="13"/>
        <v>0</v>
      </c>
      <c r="AB58" s="454">
        <f t="shared" si="13"/>
        <v>0</v>
      </c>
      <c r="AC58" s="454">
        <f t="shared" si="13"/>
        <v>0</v>
      </c>
      <c r="AD58" s="454">
        <f t="shared" si="13"/>
        <v>0</v>
      </c>
      <c r="AE58" s="454">
        <f t="shared" si="13"/>
        <v>0</v>
      </c>
      <c r="AF58" s="454">
        <f t="shared" si="13"/>
        <v>0</v>
      </c>
      <c r="AG58" s="454">
        <f t="shared" si="13"/>
        <v>0</v>
      </c>
      <c r="AH58" s="454">
        <f t="shared" si="13"/>
        <v>0</v>
      </c>
      <c r="AI58" s="454">
        <f t="shared" si="13"/>
        <v>0</v>
      </c>
      <c r="AJ58" s="454">
        <f t="shared" si="13"/>
        <v>0</v>
      </c>
    </row>
    <row r="59" spans="3:36" x14ac:dyDescent="0.3">
      <c r="C59" s="268"/>
      <c r="D59" s="268"/>
      <c r="E59" s="269" t="s">
        <v>677</v>
      </c>
      <c r="F59" s="268"/>
      <c r="G59" s="455">
        <f>IF(G$38&lt;0,-G$38*$F54,0)</f>
        <v>1108011.7719496361</v>
      </c>
      <c r="H59" s="455">
        <f t="shared" ref="H59:AJ59" si="14">IF(H$38&lt;0,-H$38*$F54,0)</f>
        <v>112175.99364056553</v>
      </c>
      <c r="I59" s="455">
        <f t="shared" si="14"/>
        <v>0</v>
      </c>
      <c r="J59" s="455">
        <f t="shared" si="14"/>
        <v>0</v>
      </c>
      <c r="K59" s="455">
        <f t="shared" si="14"/>
        <v>0</v>
      </c>
      <c r="L59" s="455">
        <f t="shared" si="14"/>
        <v>0</v>
      </c>
      <c r="M59" s="455">
        <f t="shared" si="14"/>
        <v>0</v>
      </c>
      <c r="N59" s="455">
        <f t="shared" si="14"/>
        <v>0</v>
      </c>
      <c r="O59" s="455">
        <f t="shared" si="14"/>
        <v>0</v>
      </c>
      <c r="P59" s="455">
        <f t="shared" si="14"/>
        <v>0</v>
      </c>
      <c r="Q59" s="455">
        <f t="shared" si="14"/>
        <v>0</v>
      </c>
      <c r="R59" s="455">
        <f t="shared" si="14"/>
        <v>0</v>
      </c>
      <c r="S59" s="455">
        <f t="shared" si="14"/>
        <v>0</v>
      </c>
      <c r="T59" s="455">
        <f t="shared" si="14"/>
        <v>0</v>
      </c>
      <c r="U59" s="455">
        <f t="shared" si="14"/>
        <v>0</v>
      </c>
      <c r="V59" s="455">
        <f t="shared" si="14"/>
        <v>0</v>
      </c>
      <c r="W59" s="455">
        <f t="shared" si="14"/>
        <v>0</v>
      </c>
      <c r="X59" s="455">
        <f t="shared" si="14"/>
        <v>0</v>
      </c>
      <c r="Y59" s="455">
        <f t="shared" si="14"/>
        <v>0</v>
      </c>
      <c r="Z59" s="455">
        <f t="shared" si="14"/>
        <v>0</v>
      </c>
      <c r="AA59" s="455">
        <f t="shared" si="14"/>
        <v>0</v>
      </c>
      <c r="AB59" s="455">
        <f t="shared" si="14"/>
        <v>0</v>
      </c>
      <c r="AC59" s="455">
        <f t="shared" si="14"/>
        <v>0</v>
      </c>
      <c r="AD59" s="455">
        <f t="shared" si="14"/>
        <v>0</v>
      </c>
      <c r="AE59" s="455">
        <f t="shared" si="14"/>
        <v>0</v>
      </c>
      <c r="AF59" s="455">
        <f t="shared" si="14"/>
        <v>0</v>
      </c>
      <c r="AG59" s="455">
        <f t="shared" si="14"/>
        <v>0</v>
      </c>
      <c r="AH59" s="455">
        <f t="shared" si="14"/>
        <v>0</v>
      </c>
      <c r="AI59" s="455">
        <f t="shared" si="14"/>
        <v>0</v>
      </c>
      <c r="AJ59" s="455">
        <f t="shared" si="14"/>
        <v>0</v>
      </c>
    </row>
    <row r="60" spans="3:36" x14ac:dyDescent="0.3">
      <c r="E60" s="271" t="s">
        <v>678</v>
      </c>
      <c r="G60" s="451">
        <f>IF(G$38&lt;0,0,-MIN(-G63*30%,G58+G59))</f>
        <v>0</v>
      </c>
      <c r="H60" s="451">
        <f t="shared" ref="H60:AJ60" si="15">IF(H$38&lt;0,0,-MIN(-H63*30%,H58+H59))</f>
        <v>0</v>
      </c>
      <c r="I60" s="451">
        <f t="shared" si="15"/>
        <v>-95704.975384395831</v>
      </c>
      <c r="J60" s="451">
        <f t="shared" si="15"/>
        <v>-114542.65910546633</v>
      </c>
      <c r="K60" s="451">
        <f t="shared" si="15"/>
        <v>-428757.40443840565</v>
      </c>
      <c r="L60" s="451">
        <f t="shared" si="15"/>
        <v>-448468.24017671664</v>
      </c>
      <c r="M60" s="451">
        <f t="shared" si="15"/>
        <v>-132714.48648521717</v>
      </c>
      <c r="N60" s="451">
        <f t="shared" si="15"/>
        <v>0</v>
      </c>
      <c r="O60" s="451">
        <f t="shared" si="15"/>
        <v>0</v>
      </c>
      <c r="P60" s="451">
        <f t="shared" si="15"/>
        <v>0</v>
      </c>
      <c r="Q60" s="451">
        <f t="shared" si="15"/>
        <v>0</v>
      </c>
      <c r="R60" s="451">
        <f t="shared" si="15"/>
        <v>0</v>
      </c>
      <c r="S60" s="451">
        <f t="shared" si="15"/>
        <v>0</v>
      </c>
      <c r="T60" s="451">
        <f t="shared" si="15"/>
        <v>0</v>
      </c>
      <c r="U60" s="451">
        <f t="shared" si="15"/>
        <v>0</v>
      </c>
      <c r="V60" s="451">
        <f t="shared" si="15"/>
        <v>0</v>
      </c>
      <c r="W60" s="451">
        <f t="shared" si="15"/>
        <v>0</v>
      </c>
      <c r="X60" s="451">
        <f t="shared" si="15"/>
        <v>0</v>
      </c>
      <c r="Y60" s="451">
        <f t="shared" si="15"/>
        <v>0</v>
      </c>
      <c r="Z60" s="451">
        <f t="shared" si="15"/>
        <v>0</v>
      </c>
      <c r="AA60" s="451">
        <f t="shared" si="15"/>
        <v>0</v>
      </c>
      <c r="AB60" s="451">
        <f t="shared" si="15"/>
        <v>0</v>
      </c>
      <c r="AC60" s="451">
        <f t="shared" si="15"/>
        <v>0</v>
      </c>
      <c r="AD60" s="451">
        <f t="shared" si="15"/>
        <v>0</v>
      </c>
      <c r="AE60" s="451">
        <f t="shared" si="15"/>
        <v>0</v>
      </c>
      <c r="AF60" s="451">
        <f t="shared" si="15"/>
        <v>0</v>
      </c>
      <c r="AG60" s="451">
        <f t="shared" si="15"/>
        <v>0</v>
      </c>
      <c r="AH60" s="451">
        <f t="shared" si="15"/>
        <v>0</v>
      </c>
      <c r="AI60" s="451">
        <f t="shared" si="15"/>
        <v>0</v>
      </c>
      <c r="AJ60" s="451">
        <f t="shared" si="15"/>
        <v>0</v>
      </c>
    </row>
    <row r="61" spans="3:36" ht="6" customHeight="1" x14ac:dyDescent="0.3">
      <c r="E61" s="271"/>
      <c r="G61" s="451"/>
      <c r="H61" s="451"/>
      <c r="I61" s="451"/>
      <c r="J61" s="451"/>
      <c r="K61" s="451"/>
      <c r="L61" s="451"/>
      <c r="M61" s="451"/>
      <c r="N61" s="451"/>
      <c r="O61" s="451"/>
      <c r="P61" s="451"/>
      <c r="Q61" s="451"/>
      <c r="R61" s="451"/>
      <c r="S61" s="451"/>
      <c r="T61" s="451"/>
      <c r="U61" s="451"/>
      <c r="V61" s="451"/>
      <c r="W61" s="451"/>
      <c r="X61" s="451"/>
      <c r="Y61" s="451"/>
      <c r="Z61" s="451"/>
      <c r="AA61" s="451"/>
      <c r="AB61" s="451"/>
      <c r="AC61" s="451"/>
      <c r="AD61" s="451"/>
      <c r="AE61" s="451"/>
      <c r="AF61" s="451"/>
      <c r="AG61" s="451"/>
      <c r="AH61" s="451"/>
      <c r="AI61" s="451"/>
      <c r="AJ61" s="451"/>
    </row>
    <row r="62" spans="3:36" x14ac:dyDescent="0.3">
      <c r="C62" s="272"/>
      <c r="D62" s="272"/>
      <c r="E62" s="273" t="s">
        <v>684</v>
      </c>
      <c r="F62" s="272"/>
      <c r="G62" s="454"/>
      <c r="H62" s="454"/>
      <c r="I62" s="454"/>
      <c r="J62" s="454"/>
      <c r="K62" s="454"/>
      <c r="L62" s="454"/>
      <c r="M62" s="454"/>
      <c r="N62" s="454"/>
      <c r="O62" s="454"/>
      <c r="P62" s="454"/>
      <c r="Q62" s="454"/>
      <c r="R62" s="454"/>
      <c r="S62" s="454"/>
      <c r="T62" s="454"/>
      <c r="U62" s="454"/>
      <c r="V62" s="454"/>
      <c r="W62" s="454"/>
      <c r="X62" s="454"/>
      <c r="Y62" s="454"/>
      <c r="Z62" s="454"/>
      <c r="AA62" s="454"/>
      <c r="AB62" s="454"/>
      <c r="AC62" s="454"/>
      <c r="AD62" s="454"/>
      <c r="AE62" s="454"/>
      <c r="AF62" s="454"/>
      <c r="AG62" s="454"/>
      <c r="AH62" s="454"/>
      <c r="AI62" s="454"/>
      <c r="AJ62" s="454"/>
    </row>
    <row r="63" spans="3:36" x14ac:dyDescent="0.3">
      <c r="C63" s="268"/>
      <c r="D63" s="268"/>
      <c r="E63" s="269" t="s">
        <v>685</v>
      </c>
      <c r="F63" s="268"/>
      <c r="G63" s="455">
        <f>-IF(G$38&lt;0,0,G$38*$F54)</f>
        <v>0</v>
      </c>
      <c r="H63" s="455">
        <f t="shared" ref="H63:AJ63" si="16">-IF(H$38&lt;0,0,H$38*$F54)</f>
        <v>0</v>
      </c>
      <c r="I63" s="455">
        <f t="shared" si="16"/>
        <v>-319016.58461465279</v>
      </c>
      <c r="J63" s="455">
        <f t="shared" si="16"/>
        <v>-381808.86368488776</v>
      </c>
      <c r="K63" s="455">
        <f t="shared" si="16"/>
        <v>-1429191.3481280189</v>
      </c>
      <c r="L63" s="455">
        <f t="shared" si="16"/>
        <v>-1494894.1339223888</v>
      </c>
      <c r="M63" s="455">
        <f t="shared" si="16"/>
        <v>-1516665.8416905571</v>
      </c>
      <c r="N63" s="455">
        <f t="shared" si="16"/>
        <v>-1250931.7488923438</v>
      </c>
      <c r="O63" s="455">
        <f t="shared" si="16"/>
        <v>-1881888.9658971331</v>
      </c>
      <c r="P63" s="455">
        <f t="shared" si="16"/>
        <v>-1801708.0619465478</v>
      </c>
      <c r="Q63" s="455">
        <f t="shared" si="16"/>
        <v>-1070597.1558566005</v>
      </c>
      <c r="R63" s="455">
        <f t="shared" si="16"/>
        <v>-1096022.7391768834</v>
      </c>
      <c r="S63" s="455">
        <f t="shared" si="16"/>
        <v>-1115026.6454982052</v>
      </c>
      <c r="T63" s="455">
        <f t="shared" si="16"/>
        <v>-1132292.5340034342</v>
      </c>
      <c r="U63" s="455">
        <f t="shared" si="16"/>
        <v>-1118634.5089083298</v>
      </c>
      <c r="V63" s="455">
        <f t="shared" si="16"/>
        <v>-1150109.4974951767</v>
      </c>
      <c r="W63" s="455">
        <f t="shared" si="16"/>
        <v>-1662312.2612945046</v>
      </c>
      <c r="X63" s="455">
        <f t="shared" si="16"/>
        <v>-1073226.6732041701</v>
      </c>
      <c r="Y63" s="455">
        <f t="shared" si="16"/>
        <v>-1090042.0838594534</v>
      </c>
      <c r="Z63" s="455">
        <f t="shared" si="16"/>
        <v>-1196799.8827157058</v>
      </c>
      <c r="AA63" s="455">
        <f t="shared" si="16"/>
        <v>-1046209.2314550488</v>
      </c>
      <c r="AB63" s="455">
        <f t="shared" si="16"/>
        <v>-1065812.6362933246</v>
      </c>
      <c r="AC63" s="455">
        <f t="shared" si="16"/>
        <v>-1044824.4769517028</v>
      </c>
      <c r="AD63" s="455">
        <f t="shared" si="16"/>
        <v>-1030996.7264378559</v>
      </c>
      <c r="AE63" s="455">
        <f t="shared" si="16"/>
        <v>-1416155.342016554</v>
      </c>
      <c r="AF63" s="455">
        <f t="shared" si="16"/>
        <v>-862063.04529805796</v>
      </c>
      <c r="AG63" s="455">
        <f t="shared" si="16"/>
        <v>-887140.67237490683</v>
      </c>
      <c r="AH63" s="455">
        <f t="shared" si="16"/>
        <v>-910970.66630994237</v>
      </c>
      <c r="AI63" s="455">
        <f t="shared" si="16"/>
        <v>-933621.19890813867</v>
      </c>
      <c r="AJ63" s="455">
        <f t="shared" si="16"/>
        <v>-731555.09153190127</v>
      </c>
    </row>
    <row r="64" spans="3:36" x14ac:dyDescent="0.3">
      <c r="C64" s="268"/>
      <c r="D64" s="268"/>
      <c r="E64" s="269" t="s">
        <v>686</v>
      </c>
      <c r="F64" s="268"/>
      <c r="G64" s="455">
        <f>-IF(G56&lt;0,0,G56*$F54)</f>
        <v>0</v>
      </c>
      <c r="H64" s="455">
        <f t="shared" ref="H64:AJ64" si="17">-IF(H56&lt;0,0,H56*$F54)</f>
        <v>0</v>
      </c>
      <c r="I64" s="455">
        <f t="shared" si="17"/>
        <v>-223311.60923025696</v>
      </c>
      <c r="J64" s="455">
        <f t="shared" si="17"/>
        <v>-267266.20457942138</v>
      </c>
      <c r="K64" s="455">
        <f t="shared" si="17"/>
        <v>-1000433.9436896133</v>
      </c>
      <c r="L64" s="455">
        <f t="shared" si="17"/>
        <v>-1046425.8937456721</v>
      </c>
      <c r="M64" s="455">
        <f t="shared" si="17"/>
        <v>-1383951.3552053401</v>
      </c>
      <c r="N64" s="455">
        <f t="shared" si="17"/>
        <v>-1250931.7488923438</v>
      </c>
      <c r="O64" s="455">
        <f t="shared" si="17"/>
        <v>-1881888.9658971331</v>
      </c>
      <c r="P64" s="455">
        <f t="shared" si="17"/>
        <v>-1801708.0619465478</v>
      </c>
      <c r="Q64" s="455">
        <f t="shared" si="17"/>
        <v>-1070597.1558566005</v>
      </c>
      <c r="R64" s="455">
        <f t="shared" si="17"/>
        <v>-1096022.7391768834</v>
      </c>
      <c r="S64" s="455">
        <f t="shared" si="17"/>
        <v>-1115026.6454982052</v>
      </c>
      <c r="T64" s="455">
        <f t="shared" si="17"/>
        <v>-1132292.5340034342</v>
      </c>
      <c r="U64" s="455">
        <f t="shared" si="17"/>
        <v>-1118634.5089083298</v>
      </c>
      <c r="V64" s="455">
        <f t="shared" si="17"/>
        <v>-1150109.4974951767</v>
      </c>
      <c r="W64" s="455">
        <f t="shared" si="17"/>
        <v>-1662312.2612945046</v>
      </c>
      <c r="X64" s="455">
        <f t="shared" si="17"/>
        <v>-1073226.6732041701</v>
      </c>
      <c r="Y64" s="455">
        <f t="shared" si="17"/>
        <v>-1090042.0838594534</v>
      </c>
      <c r="Z64" s="455">
        <f t="shared" si="17"/>
        <v>-1196799.8827157058</v>
      </c>
      <c r="AA64" s="455">
        <f t="shared" si="17"/>
        <v>-1046209.2314550488</v>
      </c>
      <c r="AB64" s="455">
        <f t="shared" si="17"/>
        <v>-1065812.6362933246</v>
      </c>
      <c r="AC64" s="455">
        <f t="shared" si="17"/>
        <v>-1044824.4769517028</v>
      </c>
      <c r="AD64" s="455">
        <f t="shared" si="17"/>
        <v>-1030996.7264378559</v>
      </c>
      <c r="AE64" s="455">
        <f t="shared" si="17"/>
        <v>-1416155.342016554</v>
      </c>
      <c r="AF64" s="455">
        <f t="shared" si="17"/>
        <v>-862063.04529805796</v>
      </c>
      <c r="AG64" s="455">
        <f t="shared" si="17"/>
        <v>-887140.67237490683</v>
      </c>
      <c r="AH64" s="455">
        <f t="shared" si="17"/>
        <v>-910970.66630994237</v>
      </c>
      <c r="AI64" s="455">
        <f t="shared" si="17"/>
        <v>-933621.19890813867</v>
      </c>
      <c r="AJ64" s="455">
        <f t="shared" si="17"/>
        <v>-731555.09153190127</v>
      </c>
    </row>
    <row r="65" spans="3:36" x14ac:dyDescent="0.3">
      <c r="C65" s="268"/>
      <c r="D65" s="268"/>
      <c r="E65" s="269" t="s">
        <v>683</v>
      </c>
      <c r="F65" s="268"/>
      <c r="G65" s="455">
        <f>G59+G60</f>
        <v>1108011.7719496361</v>
      </c>
      <c r="H65" s="455">
        <f t="shared" ref="H65:AJ65" si="18">H59+H60</f>
        <v>112175.99364056553</v>
      </c>
      <c r="I65" s="455">
        <f t="shared" si="18"/>
        <v>-95704.975384395831</v>
      </c>
      <c r="J65" s="455">
        <f t="shared" si="18"/>
        <v>-114542.65910546633</v>
      </c>
      <c r="K65" s="455">
        <f t="shared" si="18"/>
        <v>-428757.40443840565</v>
      </c>
      <c r="L65" s="455">
        <f t="shared" si="18"/>
        <v>-448468.24017671664</v>
      </c>
      <c r="M65" s="455">
        <f t="shared" si="18"/>
        <v>-132714.48648521717</v>
      </c>
      <c r="N65" s="455">
        <f t="shared" si="18"/>
        <v>0</v>
      </c>
      <c r="O65" s="455">
        <f t="shared" si="18"/>
        <v>0</v>
      </c>
      <c r="P65" s="455">
        <f t="shared" si="18"/>
        <v>0</v>
      </c>
      <c r="Q65" s="455">
        <f t="shared" si="18"/>
        <v>0</v>
      </c>
      <c r="R65" s="455">
        <f t="shared" si="18"/>
        <v>0</v>
      </c>
      <c r="S65" s="455">
        <f t="shared" si="18"/>
        <v>0</v>
      </c>
      <c r="T65" s="455">
        <f t="shared" si="18"/>
        <v>0</v>
      </c>
      <c r="U65" s="455">
        <f t="shared" si="18"/>
        <v>0</v>
      </c>
      <c r="V65" s="455">
        <f t="shared" si="18"/>
        <v>0</v>
      </c>
      <c r="W65" s="455">
        <f t="shared" si="18"/>
        <v>0</v>
      </c>
      <c r="X65" s="455">
        <f t="shared" si="18"/>
        <v>0</v>
      </c>
      <c r="Y65" s="455">
        <f t="shared" si="18"/>
        <v>0</v>
      </c>
      <c r="Z65" s="455">
        <f t="shared" si="18"/>
        <v>0</v>
      </c>
      <c r="AA65" s="455">
        <f t="shared" si="18"/>
        <v>0</v>
      </c>
      <c r="AB65" s="455">
        <f t="shared" si="18"/>
        <v>0</v>
      </c>
      <c r="AC65" s="455">
        <f t="shared" si="18"/>
        <v>0</v>
      </c>
      <c r="AD65" s="455">
        <f t="shared" si="18"/>
        <v>0</v>
      </c>
      <c r="AE65" s="455">
        <f t="shared" si="18"/>
        <v>0</v>
      </c>
      <c r="AF65" s="455">
        <f t="shared" si="18"/>
        <v>0</v>
      </c>
      <c r="AG65" s="455">
        <f t="shared" si="18"/>
        <v>0</v>
      </c>
      <c r="AH65" s="455">
        <f t="shared" si="18"/>
        <v>0</v>
      </c>
      <c r="AI65" s="455">
        <f t="shared" si="18"/>
        <v>0</v>
      </c>
      <c r="AJ65" s="455">
        <f t="shared" si="18"/>
        <v>0</v>
      </c>
    </row>
    <row r="66" spans="3:36" ht="12.5" customHeight="1" x14ac:dyDescent="0.3">
      <c r="G66" s="451"/>
      <c r="H66" s="451"/>
      <c r="I66" s="451"/>
      <c r="J66" s="451"/>
      <c r="K66" s="451"/>
      <c r="L66" s="451"/>
      <c r="M66" s="451"/>
      <c r="N66" s="451"/>
      <c r="O66" s="451"/>
      <c r="P66" s="451"/>
      <c r="Q66" s="451"/>
      <c r="R66" s="451"/>
      <c r="S66" s="451"/>
      <c r="T66" s="451"/>
      <c r="U66" s="451"/>
      <c r="V66" s="451"/>
      <c r="W66" s="451"/>
      <c r="X66" s="451"/>
      <c r="Y66" s="451"/>
      <c r="Z66" s="451"/>
      <c r="AA66" s="451"/>
      <c r="AB66" s="451"/>
      <c r="AC66" s="451"/>
      <c r="AD66" s="451"/>
      <c r="AE66" s="451"/>
      <c r="AF66" s="451"/>
      <c r="AG66" s="451"/>
      <c r="AH66" s="451"/>
      <c r="AI66" s="451"/>
      <c r="AJ66" s="451"/>
    </row>
    <row r="67" spans="3:36" x14ac:dyDescent="0.3">
      <c r="G67" s="457"/>
      <c r="H67" s="457"/>
      <c r="I67" s="457"/>
      <c r="J67" s="457"/>
      <c r="K67" s="457"/>
      <c r="L67" s="457"/>
      <c r="M67" s="457"/>
      <c r="N67" s="457"/>
      <c r="O67" s="457"/>
      <c r="P67" s="457"/>
      <c r="Q67" s="457"/>
      <c r="R67" s="457"/>
      <c r="S67" s="457"/>
      <c r="T67" s="457"/>
      <c r="U67" s="457"/>
      <c r="V67" s="457"/>
      <c r="W67" s="457"/>
      <c r="X67" s="457"/>
      <c r="Y67" s="457"/>
      <c r="Z67" s="457"/>
      <c r="AA67" s="457"/>
      <c r="AB67" s="457"/>
      <c r="AC67" s="457"/>
      <c r="AD67" s="457"/>
      <c r="AE67" s="457"/>
      <c r="AF67" s="457"/>
      <c r="AG67" s="457"/>
      <c r="AH67" s="457"/>
      <c r="AI67" s="457"/>
      <c r="AJ67" s="457"/>
    </row>
    <row r="68" spans="3:36" x14ac:dyDescent="0.3">
      <c r="C68" s="274"/>
      <c r="D68" s="274"/>
      <c r="E68" s="265" t="s">
        <v>687</v>
      </c>
      <c r="F68" s="266"/>
      <c r="G68" s="458">
        <f t="shared" ref="G68:AJ68" si="19">SUM(G9:G10,G13:G21)-G50-G64-SUM(G30:G31)</f>
        <v>5293505.1597336261</v>
      </c>
      <c r="H68" s="458">
        <f t="shared" si="19"/>
        <v>5661678.4059094843</v>
      </c>
      <c r="I68" s="458">
        <f t="shared" si="19"/>
        <v>6605109.1699911822</v>
      </c>
      <c r="J68" s="458">
        <f t="shared" si="19"/>
        <v>6848894.995037457</v>
      </c>
      <c r="K68" s="458">
        <f t="shared" si="19"/>
        <v>9672500.8578053471</v>
      </c>
      <c r="L68" s="458">
        <f t="shared" si="19"/>
        <v>9894794.1659574136</v>
      </c>
      <c r="M68" s="458">
        <f t="shared" si="19"/>
        <v>11136419.378121499</v>
      </c>
      <c r="N68" s="458">
        <f t="shared" si="19"/>
        <v>10619906.549320634</v>
      </c>
      <c r="O68" s="458">
        <f t="shared" si="19"/>
        <v>13756178.639547259</v>
      </c>
      <c r="P68" s="458">
        <f t="shared" si="19"/>
        <v>13377980.491257878</v>
      </c>
      <c r="Q68" s="458">
        <f t="shared" si="19"/>
        <v>10036483.479187824</v>
      </c>
      <c r="R68" s="458">
        <f t="shared" si="19"/>
        <v>10147354.551805111</v>
      </c>
      <c r="S68" s="458">
        <f t="shared" si="19"/>
        <v>10233965.95575965</v>
      </c>
      <c r="T68" s="458">
        <f t="shared" si="19"/>
        <v>10314011.514631171</v>
      </c>
      <c r="U68" s="458">
        <f t="shared" si="19"/>
        <v>10277233.399901435</v>
      </c>
      <c r="V68" s="458">
        <f t="shared" si="19"/>
        <v>10411036.269248355</v>
      </c>
      <c r="W68" s="458">
        <f t="shared" si="19"/>
        <v>13024176.34172618</v>
      </c>
      <c r="X68" s="458">
        <f t="shared" si="19"/>
        <v>10132672.84404357</v>
      </c>
      <c r="Y68" s="458">
        <f t="shared" si="19"/>
        <v>10202239.128688592</v>
      </c>
      <c r="Z68" s="458">
        <f t="shared" si="19"/>
        <v>10743071.40380412</v>
      </c>
      <c r="AA68" s="458">
        <f t="shared" si="19"/>
        <v>10048721.052515598</v>
      </c>
      <c r="AB68" s="458">
        <f t="shared" si="19"/>
        <v>10128819.759629706</v>
      </c>
      <c r="AC68" s="458">
        <f t="shared" si="19"/>
        <v>10055572.557619756</v>
      </c>
      <c r="AD68" s="458">
        <f t="shared" si="19"/>
        <v>10009375.788959177</v>
      </c>
      <c r="AE68" s="458">
        <f t="shared" si="19"/>
        <v>12142571.3014924</v>
      </c>
      <c r="AF68" s="458">
        <f t="shared" si="19"/>
        <v>9383264.6823256258</v>
      </c>
      <c r="AG68" s="458">
        <f t="shared" si="19"/>
        <v>9484043.7845632304</v>
      </c>
      <c r="AH68" s="458">
        <f t="shared" si="19"/>
        <v>9580109.606042875</v>
      </c>
      <c r="AI68" s="458">
        <f t="shared" si="19"/>
        <v>9671719.6846944597</v>
      </c>
      <c r="AJ68" s="458">
        <f t="shared" si="19"/>
        <v>8914400.2345537357</v>
      </c>
    </row>
    <row r="69" spans="3:36" ht="12.5" thickBot="1" x14ac:dyDescent="0.35"/>
    <row r="70" spans="3:36" ht="3.75" customHeight="1" thickTop="1" thickBot="1" x14ac:dyDescent="0.35">
      <c r="C70" s="1117"/>
      <c r="D70" s="1117"/>
      <c r="E70" s="1117"/>
      <c r="F70" s="1117"/>
      <c r="G70" s="1118"/>
      <c r="H70" s="1117"/>
      <c r="I70" s="1117"/>
      <c r="J70" s="1117"/>
      <c r="K70" s="1117"/>
      <c r="L70" s="1117"/>
      <c r="M70" s="1117"/>
      <c r="N70" s="1117"/>
      <c r="O70" s="1117"/>
      <c r="P70" s="1117"/>
      <c r="Q70" s="1117"/>
      <c r="R70" s="1117"/>
      <c r="S70" s="1117"/>
      <c r="T70" s="1117"/>
      <c r="U70" s="1117"/>
      <c r="V70" s="1117"/>
      <c r="W70" s="1117"/>
      <c r="X70" s="1117"/>
      <c r="Y70" s="1117"/>
      <c r="Z70" s="1117"/>
      <c r="AA70" s="1117"/>
      <c r="AB70" s="1117"/>
      <c r="AC70" s="1117"/>
      <c r="AD70" s="1117"/>
      <c r="AE70" s="1117"/>
      <c r="AF70" s="1117"/>
      <c r="AG70" s="1117"/>
      <c r="AH70" s="1117"/>
      <c r="AI70" s="1117"/>
      <c r="AJ70" s="1117"/>
    </row>
    <row r="71" spans="3:36" ht="13" thickTop="1" thickBot="1" x14ac:dyDescent="0.35">
      <c r="G71" s="468"/>
      <c r="I71" s="259"/>
    </row>
    <row r="72" spans="3:36" ht="12.5" thickTop="1" x14ac:dyDescent="0.3">
      <c r="C72" s="277" t="s">
        <v>688</v>
      </c>
      <c r="D72" s="277"/>
      <c r="E72" s="278"/>
      <c r="F72" s="279"/>
      <c r="G72" s="279">
        <f t="shared" ref="G72:AJ72" si="20">G37</f>
        <v>0</v>
      </c>
      <c r="H72" s="279">
        <f t="shared" si="20"/>
        <v>0</v>
      </c>
      <c r="I72" s="279">
        <f t="shared" si="20"/>
        <v>0</v>
      </c>
      <c r="J72" s="279">
        <f t="shared" si="20"/>
        <v>0</v>
      </c>
      <c r="K72" s="279">
        <f t="shared" si="20"/>
        <v>0</v>
      </c>
      <c r="L72" s="279">
        <f t="shared" si="20"/>
        <v>0</v>
      </c>
      <c r="M72" s="279">
        <f t="shared" si="20"/>
        <v>0</v>
      </c>
      <c r="N72" s="279">
        <f t="shared" si="20"/>
        <v>0</v>
      </c>
      <c r="O72" s="279">
        <f t="shared" si="20"/>
        <v>0</v>
      </c>
      <c r="P72" s="279">
        <f t="shared" si="20"/>
        <v>0</v>
      </c>
      <c r="Q72" s="279">
        <f t="shared" si="20"/>
        <v>0</v>
      </c>
      <c r="R72" s="279">
        <f t="shared" si="20"/>
        <v>0</v>
      </c>
      <c r="S72" s="279">
        <f t="shared" si="20"/>
        <v>0</v>
      </c>
      <c r="T72" s="279">
        <f t="shared" si="20"/>
        <v>0</v>
      </c>
      <c r="U72" s="279">
        <f t="shared" si="20"/>
        <v>0</v>
      </c>
      <c r="V72" s="279">
        <f t="shared" si="20"/>
        <v>0</v>
      </c>
      <c r="W72" s="279">
        <f t="shared" si="20"/>
        <v>0</v>
      </c>
      <c r="X72" s="279">
        <f t="shared" si="20"/>
        <v>0</v>
      </c>
      <c r="Y72" s="279">
        <f t="shared" si="20"/>
        <v>0</v>
      </c>
      <c r="Z72" s="279">
        <f t="shared" si="20"/>
        <v>0</v>
      </c>
      <c r="AA72" s="279">
        <f t="shared" si="20"/>
        <v>0</v>
      </c>
      <c r="AB72" s="279">
        <f t="shared" si="20"/>
        <v>0</v>
      </c>
      <c r="AC72" s="279">
        <f t="shared" si="20"/>
        <v>0</v>
      </c>
      <c r="AD72" s="279">
        <f t="shared" si="20"/>
        <v>0</v>
      </c>
      <c r="AE72" s="279">
        <f t="shared" si="20"/>
        <v>0</v>
      </c>
      <c r="AF72" s="279">
        <f t="shared" si="20"/>
        <v>0</v>
      </c>
      <c r="AG72" s="279">
        <f t="shared" si="20"/>
        <v>0</v>
      </c>
      <c r="AH72" s="279">
        <f t="shared" si="20"/>
        <v>0</v>
      </c>
      <c r="AI72" s="279">
        <f t="shared" si="20"/>
        <v>0</v>
      </c>
      <c r="AJ72" s="279">
        <f t="shared" si="20"/>
        <v>0</v>
      </c>
    </row>
    <row r="73" spans="3:36" x14ac:dyDescent="0.3">
      <c r="G73" s="259"/>
      <c r="H73" s="259"/>
      <c r="I73" s="259"/>
      <c r="J73" s="259"/>
      <c r="K73" s="259"/>
      <c r="L73" s="259"/>
      <c r="M73" s="259"/>
      <c r="N73" s="259"/>
      <c r="O73" s="259"/>
      <c r="P73" s="259"/>
      <c r="Q73" s="259"/>
      <c r="R73" s="259"/>
      <c r="S73" s="259"/>
      <c r="T73" s="259"/>
      <c r="U73" s="259"/>
      <c r="V73" s="259"/>
      <c r="W73" s="259"/>
      <c r="X73" s="259"/>
      <c r="Y73" s="259"/>
      <c r="Z73" s="259"/>
      <c r="AA73" s="259"/>
      <c r="AB73" s="259"/>
      <c r="AC73" s="259"/>
      <c r="AD73" s="259"/>
      <c r="AE73" s="259"/>
      <c r="AF73" s="259"/>
      <c r="AG73" s="259"/>
      <c r="AH73" s="259"/>
      <c r="AI73" s="259"/>
      <c r="AJ73" s="259"/>
    </row>
    <row r="74" spans="3:36" x14ac:dyDescent="0.3">
      <c r="E74" s="263" t="s">
        <v>674</v>
      </c>
      <c r="G74" s="452">
        <f>Receitas!E146-G9-G10+G30+G31-'CAPEX E OPEX'!F256-G12-'CAPEX E OPEX'!F33-G33-'Instrumentos Financeiros'!G26-'Instrumentos Financeiros'!G36</f>
        <v>-12732307.056804512</v>
      </c>
      <c r="H74" s="452">
        <f>Receitas!F146-H9-H10+H30+H31-'CAPEX E OPEX'!G256-H12-'CAPEX E OPEX'!G33-H33-'Instrumentos Financeiros'!H26-'Instrumentos Financeiros'!H36</f>
        <v>-5432931.4525471833</v>
      </c>
      <c r="I74" s="452">
        <f>Receitas!G146-I9-I10+I30+I31-'CAPEX E OPEX'!H256-I12-'CAPEX E OPEX'!H33-I33-'Instrumentos Financeiros'!I26-'Instrumentos Financeiros'!I36</f>
        <v>3544628.7179405866</v>
      </c>
      <c r="J74" s="452">
        <f>Receitas!H146-J9-J10+J30+J31-'CAPEX E OPEX'!I256-J12-'CAPEX E OPEX'!I33-J33-'Instrumentos Financeiros'!J26-'Instrumentos Financeiros'!J36</f>
        <v>3939506.5163586638</v>
      </c>
      <c r="K74" s="452">
        <f>Receitas!I146-K9-K10+K30+K31-'CAPEX E OPEX'!J256-K12-'CAPEX E OPEX'!J33-K33-'Instrumentos Financeiros'!K26-'Instrumentos Financeiros'!K36</f>
        <v>15879903.868089098</v>
      </c>
      <c r="L74" s="452">
        <f>Receitas!J146-L9-L10+L30+L31-'CAPEX E OPEX'!K256-L12-'CAPEX E OPEX'!K33-L33-'Instrumentos Financeiros'!L26-'Instrumentos Financeiros'!L36</f>
        <v>16051220.550958373</v>
      </c>
      <c r="M74" s="452">
        <f>Receitas!K146-M9-M10+M30+M31-'CAPEX E OPEX'!L256-M12-'CAPEX E OPEX'!L33-M33-'Instrumentos Financeiros'!M26-'Instrumentos Financeiros'!M36</f>
        <v>16305022.736403767</v>
      </c>
      <c r="N74" s="452">
        <f>Receitas!L146-N9-N10+N30+N31-'CAPEX E OPEX'!M256-N12-'CAPEX E OPEX'!M33-N33-'Instrumentos Financeiros'!N26-'Instrumentos Financeiros'!N36</f>
        <v>11237425.50680925</v>
      </c>
      <c r="O74" s="452">
        <f>Receitas!M146-O9-O10+O30+O31-'CAPEX E OPEX'!N256-O12-'CAPEX E OPEX'!N33-O33-'Instrumentos Financeiros'!O26-'Instrumentos Financeiros'!O36</f>
        <v>18521073.827432886</v>
      </c>
      <c r="P74" s="452">
        <f>Receitas!N146-P9-P10+P30+P31-'CAPEX E OPEX'!O256-P12-'CAPEX E OPEX'!O33-P33-'Instrumentos Financeiros'!P26-'Instrumentos Financeiros'!P36</f>
        <v>17224240.155786809</v>
      </c>
      <c r="Q74" s="452">
        <f>Receitas!O146-Q9-Q10+Q30+Q31-'CAPEX E OPEX'!P256-Q12-'CAPEX E OPEX'!P33-Q33-'Instrumentos Financeiros'!Q26-'Instrumentos Financeiros'!Q36</f>
        <v>9766476.4502612799</v>
      </c>
      <c r="R74" s="452">
        <f>Receitas!P146-R9-R10+R30+R31-'CAPEX E OPEX'!Q256-R12-'CAPEX E OPEX'!Q33-R33-'Instrumentos Financeiros'!R26-'Instrumentos Financeiros'!R36</f>
        <v>10188731.52385731</v>
      </c>
      <c r="S74" s="452">
        <f>Receitas!Q146-S9-S10+S30+S31-'CAPEX E OPEX'!R256-S12-'CAPEX E OPEX'!R33-S33-'Instrumentos Financeiros'!S26-'Instrumentos Financeiros'!S36</f>
        <v>10546958.092736505</v>
      </c>
      <c r="T74" s="452">
        <f>Receitas!R146-T9-T10+T30+T31-'CAPEX E OPEX'!S256-T12-'CAPEX E OPEX'!S33-T33-'Instrumentos Financeiros'!T26-'Instrumentos Financeiros'!T36</f>
        <v>10893580.834470566</v>
      </c>
      <c r="U74" s="452">
        <f>Receitas!S146-U9-U10+U30+U31-'CAPEX E OPEX'!T256-U12-'CAPEX E OPEX'!T33-U33-'Instrumentos Financeiros'!U26-'Instrumentos Financeiros'!U36</f>
        <v>10051837.927667802</v>
      </c>
      <c r="V74" s="452">
        <f>Receitas!T146-V9-V10+V30+V31-'CAPEX E OPEX'!U256-V12-'CAPEX E OPEX'!U33-V33-'Instrumentos Financeiros'!V26-'Instrumentos Financeiros'!V36</f>
        <v>10674147.827166982</v>
      </c>
      <c r="W74" s="452">
        <f>Receitas!U146-W9-W10+W30+W31-'CAPEX E OPEX'!V256-W12-'CAPEX E OPEX'!V33-W33-'Instrumentos Financeiros'!W26-'Instrumentos Financeiros'!W36</f>
        <v>16583561.928341312</v>
      </c>
      <c r="X74" s="452">
        <f>Receitas!V146-X9-X10+X30+X31-'CAPEX E OPEX'!W256-X12-'CAPEX E OPEX'!W33-X33-'Instrumentos Financeiros'!X26-'Instrumentos Financeiros'!X36</f>
        <v>10267906.544988446</v>
      </c>
      <c r="Y74" s="452">
        <f>Receitas!W146-Y9-Y10+Y30+Y31-'CAPEX E OPEX'!X256-Y12-'CAPEX E OPEX'!X33-Y33-'Instrumentos Financeiros'!Y26-'Instrumentos Financeiros'!Y36</f>
        <v>10696555.062311817</v>
      </c>
      <c r="Z74" s="452">
        <f>Receitas!X146-Z9-Z10+Z30+Z31-'CAPEX E OPEX'!Y256-Z12-'CAPEX E OPEX'!Y33-Z33-'Instrumentos Financeiros'!Z26-'Instrumentos Financeiros'!Z36</f>
        <v>12137268.557060946</v>
      </c>
      <c r="AA74" s="452">
        <f>Receitas!Y146-AA9-AA10+AA30+AA31-'CAPEX E OPEX'!Z256-AA12-'CAPEX E OPEX'!Z33-AA33-'Instrumentos Financeiros'!AA26-'Instrumentos Financeiros'!AA36</f>
        <v>11001584.216613196</v>
      </c>
      <c r="AB74" s="452">
        <f>Receitas!Z146-AB9-AB10+AB30+AB31-'CAPEX E OPEX'!AA256-AB12-'CAPEX E OPEX'!AA33-AB33-'Instrumentos Financeiros'!AB26-'Instrumentos Financeiros'!AB36</f>
        <v>11178779.753345387</v>
      </c>
      <c r="AC74" s="452">
        <f>Receitas!AA146-AC9-AC10+AC30+AC31-'CAPEX E OPEX'!AB256-AC12-'CAPEX E OPEX'!AB33-AC33-'Instrumentos Financeiros'!AC26-'Instrumentos Financeiros'!AC36</f>
        <v>12063944.98744395</v>
      </c>
      <c r="AD74" s="452">
        <f>Receitas!AB146-AD9-AD10+AD30+AD31-'CAPEX E OPEX'!AC256-AD12-'CAPEX E OPEX'!AC33-AD33-'Instrumentos Financeiros'!AD26-'Instrumentos Financeiros'!AD36</f>
        <v>11073718.83493099</v>
      </c>
      <c r="AE74" s="452">
        <f>Receitas!AC146-AE9-AE10+AE30+AE31-'CAPEX E OPEX'!AD256-AE12-'CAPEX E OPEX'!AD33-AE33-'Instrumentos Financeiros'!AE26-'Instrumentos Financeiros'!AE36</f>
        <v>15406237.054167394</v>
      </c>
      <c r="AF74" s="452">
        <f>Receitas!AD146-AF9-AF10+AF30+AF31-'CAPEX E OPEX'!AE256-AF12-'CAPEX E OPEX'!AE33-AF33-'Instrumentos Financeiros'!AF26-'Instrumentos Financeiros'!AF36</f>
        <v>9309988.0793031063</v>
      </c>
      <c r="AG74" s="452">
        <f>Receitas!AE146-AG9-AG10+AG30+AG31-'CAPEX E OPEX'!AF256-AG12-'CAPEX E OPEX'!AF33-AG33-'Instrumentos Financeiros'!AG26-'Instrumentos Financeiros'!AG36</f>
        <v>9652166.5335544497</v>
      </c>
      <c r="AH74" s="452">
        <f>Receitas!AF146-AH9-AH10+AH30+AH31-'CAPEX E OPEX'!AG256-AH12-'CAPEX E OPEX'!AG33-AH33-'Instrumentos Financeiros'!AH26-'Instrumentos Financeiros'!AH36</f>
        <v>9983858.8209516928</v>
      </c>
      <c r="AI74" s="452">
        <f>Receitas!AG146-AI9-AI10+AI30+AI31-'CAPEX E OPEX'!AH256-AI12-'CAPEX E OPEX'!AH33-AI33-'Instrumentos Financeiros'!AI26-'Instrumentos Financeiros'!AI36</f>
        <v>10306001.829471435</v>
      </c>
      <c r="AJ74" s="452">
        <f>Receitas!AH146-AJ9-AJ10+AJ30+AJ31-'CAPEX E OPEX'!AI256-AJ12-'CAPEX E OPEX'!AI33-AJ33-'Instrumentos Financeiros'!AJ26-'Instrumentos Financeiros'!AJ36</f>
        <v>8485064.1968485434</v>
      </c>
    </row>
    <row r="75" spans="3:36" x14ac:dyDescent="0.3">
      <c r="G75" s="259"/>
      <c r="H75" s="259"/>
      <c r="I75" s="259"/>
      <c r="J75" s="259"/>
      <c r="K75" s="259"/>
      <c r="L75" s="259"/>
      <c r="M75" s="259"/>
      <c r="N75" s="259"/>
      <c r="O75" s="259"/>
      <c r="P75" s="259"/>
      <c r="Q75" s="259"/>
      <c r="R75" s="259"/>
      <c r="S75" s="259"/>
      <c r="T75" s="259"/>
      <c r="U75" s="259"/>
      <c r="V75" s="259"/>
      <c r="W75" s="259"/>
      <c r="X75" s="259"/>
      <c r="Y75" s="259"/>
      <c r="Z75" s="259"/>
      <c r="AA75" s="259"/>
      <c r="AB75" s="259"/>
      <c r="AC75" s="259"/>
      <c r="AD75" s="259"/>
      <c r="AE75" s="259"/>
      <c r="AF75" s="259"/>
      <c r="AG75" s="259"/>
      <c r="AH75" s="259"/>
      <c r="AI75" s="259"/>
      <c r="AJ75" s="259"/>
    </row>
    <row r="76" spans="3:36" x14ac:dyDescent="0.3">
      <c r="C76" s="264"/>
      <c r="D76" s="264"/>
      <c r="E76" s="265" t="s">
        <v>415</v>
      </c>
      <c r="F76" s="266"/>
      <c r="G76" s="267"/>
      <c r="H76" s="267"/>
      <c r="I76" s="267"/>
      <c r="J76" s="267"/>
      <c r="K76" s="267"/>
      <c r="L76" s="267"/>
      <c r="M76" s="267"/>
      <c r="N76" s="267"/>
      <c r="O76" s="267"/>
      <c r="P76" s="267"/>
      <c r="Q76" s="267"/>
      <c r="R76" s="267"/>
      <c r="S76" s="267"/>
      <c r="T76" s="267"/>
      <c r="U76" s="267"/>
      <c r="V76" s="267"/>
      <c r="W76" s="267"/>
      <c r="X76" s="267"/>
      <c r="Y76" s="267"/>
      <c r="Z76" s="267"/>
      <c r="AA76" s="267"/>
      <c r="AB76" s="267"/>
      <c r="AC76" s="267"/>
      <c r="AD76" s="267"/>
      <c r="AE76" s="267"/>
      <c r="AF76" s="267"/>
      <c r="AG76" s="267"/>
      <c r="AH76" s="267"/>
      <c r="AI76" s="267"/>
      <c r="AJ76" s="267"/>
    </row>
    <row r="77" spans="3:36" x14ac:dyDescent="0.3">
      <c r="C77" s="268"/>
      <c r="D77" s="268"/>
      <c r="E77" s="269" t="s">
        <v>15</v>
      </c>
      <c r="F77" s="268"/>
      <c r="G77" s="270">
        <f>IF(-G82&lt;=36000,-G82/15%,(-G82+24000)/25%)</f>
        <v>0</v>
      </c>
      <c r="H77" s="270">
        <f t="shared" ref="H77" si="21">IF(-H82&lt;=36000,-H82/15%,(-H82+24000)/25%)</f>
        <v>0</v>
      </c>
      <c r="I77" s="270">
        <f>IF(-I82&lt;=36000,-I82/15%,(-I82+24000)/25%)</f>
        <v>1130588.6153821759</v>
      </c>
      <c r="J77" s="270">
        <f t="shared" ref="J77" si="22">IF(-J82&lt;=36000,-J82/15%,(-J82+24000)/25%)</f>
        <v>1249051.9549075991</v>
      </c>
      <c r="K77" s="270">
        <f>IF(-K82&lt;=36000,-K82/15%,(-K82+24000)/25%)</f>
        <v>4831171.1604267294</v>
      </c>
      <c r="L77" s="270">
        <f t="shared" ref="L77:AJ77" si="23">IF(-L82&lt;=36000,-L82/15%,(-L82+24000)/25%)</f>
        <v>4882566.1652875114</v>
      </c>
      <c r="M77" s="270">
        <f t="shared" si="23"/>
        <v>4958706.8209211295</v>
      </c>
      <c r="N77" s="270">
        <f t="shared" si="23"/>
        <v>1497153.792426548</v>
      </c>
      <c r="O77" s="270">
        <f t="shared" si="23"/>
        <v>0</v>
      </c>
      <c r="P77" s="270">
        <f t="shared" si="23"/>
        <v>0</v>
      </c>
      <c r="Q77" s="270">
        <f t="shared" si="23"/>
        <v>0</v>
      </c>
      <c r="R77" s="270">
        <f t="shared" si="23"/>
        <v>0</v>
      </c>
      <c r="S77" s="270">
        <f t="shared" si="23"/>
        <v>0</v>
      </c>
      <c r="T77" s="270">
        <f t="shared" si="23"/>
        <v>0</v>
      </c>
      <c r="U77" s="270">
        <f t="shared" si="23"/>
        <v>0</v>
      </c>
      <c r="V77" s="270">
        <f t="shared" si="23"/>
        <v>0</v>
      </c>
      <c r="W77" s="270">
        <f t="shared" si="23"/>
        <v>0</v>
      </c>
      <c r="X77" s="270">
        <f t="shared" si="23"/>
        <v>0</v>
      </c>
      <c r="Y77" s="270">
        <f t="shared" si="23"/>
        <v>0</v>
      </c>
      <c r="Z77" s="270">
        <f t="shared" si="23"/>
        <v>0</v>
      </c>
      <c r="AA77" s="270">
        <f t="shared" si="23"/>
        <v>0</v>
      </c>
      <c r="AB77" s="270">
        <f t="shared" si="23"/>
        <v>0</v>
      </c>
      <c r="AC77" s="270">
        <f t="shared" si="23"/>
        <v>0</v>
      </c>
      <c r="AD77" s="270">
        <f t="shared" si="23"/>
        <v>0</v>
      </c>
      <c r="AE77" s="270">
        <f t="shared" si="23"/>
        <v>0</v>
      </c>
      <c r="AF77" s="270">
        <f t="shared" si="23"/>
        <v>0</v>
      </c>
      <c r="AG77" s="270">
        <f t="shared" si="23"/>
        <v>0</v>
      </c>
      <c r="AH77" s="270">
        <f t="shared" si="23"/>
        <v>0</v>
      </c>
      <c r="AI77" s="270">
        <f t="shared" si="23"/>
        <v>0</v>
      </c>
      <c r="AJ77" s="270">
        <f t="shared" si="23"/>
        <v>0</v>
      </c>
    </row>
    <row r="78" spans="3:36" x14ac:dyDescent="0.3">
      <c r="E78" s="271" t="s">
        <v>675</v>
      </c>
      <c r="G78" s="451">
        <f>G$74-G77</f>
        <v>-12732307.056804512</v>
      </c>
      <c r="H78" s="451">
        <f>H$74-H77</f>
        <v>-5432931.4525471833</v>
      </c>
      <c r="I78" s="451">
        <f t="shared" ref="I78:AJ78" si="24">I$74-I77</f>
        <v>2414040.1025584107</v>
      </c>
      <c r="J78" s="451">
        <f>J$74-J77</f>
        <v>2690454.5614510644</v>
      </c>
      <c r="K78" s="451">
        <f>K$74-K77</f>
        <v>11048732.70766237</v>
      </c>
      <c r="L78" s="451">
        <f t="shared" si="24"/>
        <v>11168654.385670861</v>
      </c>
      <c r="M78" s="451">
        <f t="shared" si="24"/>
        <v>11346315.915482637</v>
      </c>
      <c r="N78" s="451">
        <f t="shared" si="24"/>
        <v>9740271.7143827006</v>
      </c>
      <c r="O78" s="451">
        <f t="shared" si="24"/>
        <v>18521073.827432886</v>
      </c>
      <c r="P78" s="451">
        <f t="shared" si="24"/>
        <v>17224240.155786809</v>
      </c>
      <c r="Q78" s="451">
        <f t="shared" si="24"/>
        <v>9766476.4502612799</v>
      </c>
      <c r="R78" s="451">
        <f t="shared" si="24"/>
        <v>10188731.52385731</v>
      </c>
      <c r="S78" s="451">
        <f t="shared" si="24"/>
        <v>10546958.092736505</v>
      </c>
      <c r="T78" s="451">
        <f t="shared" si="24"/>
        <v>10893580.834470566</v>
      </c>
      <c r="U78" s="451">
        <f t="shared" si="24"/>
        <v>10051837.927667802</v>
      </c>
      <c r="V78" s="451">
        <f t="shared" si="24"/>
        <v>10674147.827166982</v>
      </c>
      <c r="W78" s="451">
        <f t="shared" si="24"/>
        <v>16583561.928341312</v>
      </c>
      <c r="X78" s="451">
        <f t="shared" si="24"/>
        <v>10267906.544988446</v>
      </c>
      <c r="Y78" s="451">
        <f t="shared" si="24"/>
        <v>10696555.062311817</v>
      </c>
      <c r="Z78" s="451">
        <f t="shared" si="24"/>
        <v>12137268.557060946</v>
      </c>
      <c r="AA78" s="451">
        <f t="shared" si="24"/>
        <v>11001584.216613196</v>
      </c>
      <c r="AB78" s="451">
        <f t="shared" si="24"/>
        <v>11178779.753345387</v>
      </c>
      <c r="AC78" s="451">
        <f t="shared" si="24"/>
        <v>12063944.98744395</v>
      </c>
      <c r="AD78" s="451">
        <f t="shared" si="24"/>
        <v>11073718.83493099</v>
      </c>
      <c r="AE78" s="451">
        <f t="shared" si="24"/>
        <v>15406237.054167394</v>
      </c>
      <c r="AF78" s="451">
        <f t="shared" si="24"/>
        <v>9309988.0793031063</v>
      </c>
      <c r="AG78" s="451">
        <f t="shared" si="24"/>
        <v>9652166.5335544497</v>
      </c>
      <c r="AH78" s="451">
        <f t="shared" si="24"/>
        <v>9983858.8209516928</v>
      </c>
      <c r="AI78" s="451">
        <f t="shared" si="24"/>
        <v>10306001.829471435</v>
      </c>
      <c r="AJ78" s="451">
        <f t="shared" si="24"/>
        <v>8485064.1968485434</v>
      </c>
    </row>
    <row r="79" spans="3:36" x14ac:dyDescent="0.3">
      <c r="G79" s="451"/>
      <c r="H79" s="451"/>
      <c r="I79" s="451"/>
      <c r="J79" s="451"/>
      <c r="K79" s="451"/>
      <c r="L79" s="451"/>
      <c r="M79" s="451"/>
      <c r="N79" s="451"/>
      <c r="O79" s="451"/>
      <c r="P79" s="451"/>
      <c r="Q79" s="451"/>
      <c r="R79" s="451"/>
      <c r="S79" s="451"/>
      <c r="T79" s="451"/>
      <c r="U79" s="451"/>
      <c r="V79" s="451"/>
      <c r="W79" s="451"/>
      <c r="X79" s="451"/>
      <c r="Y79" s="451"/>
      <c r="Z79" s="451"/>
      <c r="AA79" s="451"/>
      <c r="AB79" s="451"/>
      <c r="AC79" s="451"/>
      <c r="AD79" s="451"/>
      <c r="AE79" s="451"/>
      <c r="AF79" s="451"/>
      <c r="AG79" s="451"/>
      <c r="AH79" s="451"/>
      <c r="AI79" s="451"/>
      <c r="AJ79" s="451"/>
    </row>
    <row r="80" spans="3:36" x14ac:dyDescent="0.3">
      <c r="C80" s="272"/>
      <c r="D80" s="272"/>
      <c r="E80" s="273" t="s">
        <v>676</v>
      </c>
      <c r="F80" s="272"/>
      <c r="G80" s="454">
        <f>F80+F81+F82</f>
        <v>0</v>
      </c>
      <c r="H80" s="454">
        <f t="shared" ref="H80" si="25">G80+G81+G82</f>
        <v>3159076.7642011279</v>
      </c>
      <c r="I80" s="454">
        <f t="shared" ref="I80" si="26">H80+H81+H82</f>
        <v>4493309.6273379233</v>
      </c>
      <c r="J80" s="454">
        <f>I80+I81+I82</f>
        <v>4234662.4734923793</v>
      </c>
      <c r="K80" s="454">
        <f>J80+J81+J82</f>
        <v>3946399.4847654793</v>
      </c>
      <c r="L80" s="454">
        <f t="shared" ref="L80" si="27">K80+K81+K82</f>
        <v>2762606.6946587972</v>
      </c>
      <c r="M80" s="454">
        <f t="shared" ref="M80" si="28">L80+L81+L82</f>
        <v>1565965.1533369194</v>
      </c>
      <c r="N80" s="454">
        <f t="shared" ref="N80" si="29">M80+M81+M82</f>
        <v>350288.44810663699</v>
      </c>
      <c r="O80" s="454">
        <f t="shared" ref="O80" si="30">N80+N81+N82</f>
        <v>0</v>
      </c>
      <c r="P80" s="454">
        <f t="shared" ref="P80" si="31">O80+O81+O82</f>
        <v>0</v>
      </c>
      <c r="Q80" s="454">
        <f t="shared" ref="Q80" si="32">P80+P81+P82</f>
        <v>0</v>
      </c>
      <c r="R80" s="454">
        <f t="shared" ref="R80" si="33">Q80+Q81+Q82</f>
        <v>0</v>
      </c>
      <c r="S80" s="454">
        <f t="shared" ref="S80" si="34">R80+R81+R82</f>
        <v>0</v>
      </c>
      <c r="T80" s="454">
        <f t="shared" ref="T80" si="35">S80+S81+S82</f>
        <v>0</v>
      </c>
      <c r="U80" s="454">
        <f t="shared" ref="U80" si="36">T80+T81+T82</f>
        <v>0</v>
      </c>
      <c r="V80" s="454">
        <f t="shared" ref="V80" si="37">U80+U81+U82</f>
        <v>0</v>
      </c>
      <c r="W80" s="454">
        <f t="shared" ref="W80" si="38">V80+V81+V82</f>
        <v>0</v>
      </c>
      <c r="X80" s="454">
        <f t="shared" ref="X80" si="39">W80+W81+W82</f>
        <v>0</v>
      </c>
      <c r="Y80" s="454">
        <f t="shared" ref="Y80" si="40">X80+X81+X82</f>
        <v>0</v>
      </c>
      <c r="Z80" s="454">
        <f t="shared" ref="Z80" si="41">Y80+Y81+Y82</f>
        <v>0</v>
      </c>
      <c r="AA80" s="454">
        <f t="shared" ref="AA80" si="42">Z80+Z81+Z82</f>
        <v>0</v>
      </c>
      <c r="AB80" s="454">
        <f t="shared" ref="AB80" si="43">AA80+AA81+AA82</f>
        <v>0</v>
      </c>
      <c r="AC80" s="454">
        <f t="shared" ref="AC80" si="44">AB80+AB81+AB82</f>
        <v>0</v>
      </c>
      <c r="AD80" s="454">
        <f t="shared" ref="AD80" si="45">AC80+AC81+AC82</f>
        <v>0</v>
      </c>
      <c r="AE80" s="454">
        <f t="shared" ref="AE80" si="46">AD80+AD81+AD82</f>
        <v>0</v>
      </c>
      <c r="AF80" s="454">
        <f t="shared" ref="AF80" si="47">AE80+AE81+AE82</f>
        <v>0</v>
      </c>
      <c r="AG80" s="454">
        <f t="shared" ref="AG80" si="48">AF80+AF81+AF82</f>
        <v>0</v>
      </c>
      <c r="AH80" s="454">
        <f t="shared" ref="AH80" si="49">AG80+AG81+AG82</f>
        <v>0</v>
      </c>
      <c r="AI80" s="454">
        <f t="shared" ref="AI80" si="50">AH80+AH81+AH82</f>
        <v>0</v>
      </c>
      <c r="AJ80" s="454">
        <f t="shared" ref="AJ80" si="51">AI80+AI81+AI82</f>
        <v>0</v>
      </c>
    </row>
    <row r="81" spans="3:36" x14ac:dyDescent="0.3">
      <c r="C81" s="268"/>
      <c r="D81" s="268"/>
      <c r="E81" s="269" t="s">
        <v>677</v>
      </c>
      <c r="F81" s="268"/>
      <c r="G81" s="455">
        <f>IF(G$74&lt;0,IF(-G74&lt;=240000,-G74*'Premissas Gerais'!F113,-G74*'Premissas Gerais'!F113+(-G74-240000)*'Premissas Gerais'!F114),0)</f>
        <v>3159076.7642011279</v>
      </c>
      <c r="H81" s="455">
        <f>IF(H$74&lt;0,IF(-H74&lt;=240000,-H74*'Premissas Gerais'!G113,-H74*'Premissas Gerais'!G113+(-H74-240000)*'Premissas Gerais'!G114),0)</f>
        <v>1334232.8631367958</v>
      </c>
      <c r="I81" s="455">
        <f>IFERROR(IF(I$74&lt;0,IF(-I74&lt;=240000,-I74*'Premissas Gerais'!H113,-I74*'Premissas Gerais'!H113+(-I74-240000)*'Premissas Gerais'!H114),0),0)</f>
        <v>0</v>
      </c>
      <c r="J81" s="455">
        <f>IF(J$74&lt;0,IF(-J74&lt;=240000,-J74*'Premissas Gerais'!I113,-J74*'Premissas Gerais'!I113+(-J74-240000)*'Premissas Gerais'!I114),0)</f>
        <v>0</v>
      </c>
      <c r="K81" s="455">
        <f>IF(K$74&lt;0,IF(-K74&lt;=240000,-K74*'Premissas Gerais'!J113,-K74*'Premissas Gerais'!J113+(-K74-240000)*'Premissas Gerais'!J114),0)</f>
        <v>0</v>
      </c>
      <c r="L81" s="455">
        <f>IF(L$74&lt;0,IF(-L74&lt;=240000,-L74*'Premissas Gerais'!K113,-L74*'Premissas Gerais'!K113+(-L74-240000)*'Premissas Gerais'!K114),0)</f>
        <v>0</v>
      </c>
      <c r="M81" s="455">
        <f>IF(M$74&lt;0,IF(-M74&lt;=240000,-M74*'Premissas Gerais'!L113,-M74*'Premissas Gerais'!L113+(-M74-240000)*'Premissas Gerais'!L114),0)</f>
        <v>0</v>
      </c>
      <c r="N81" s="455">
        <f>IF(N$74&lt;0,IF(-N74&lt;=240000,-N74*'Premissas Gerais'!M113,-N74*'Premissas Gerais'!M113+(-N74-240000)*'Premissas Gerais'!M114),0)</f>
        <v>0</v>
      </c>
      <c r="O81" s="455">
        <f>IF(O$74&lt;0,IF(-O74&lt;=240000,-O74*'Premissas Gerais'!N113,-O74*'Premissas Gerais'!N113+(-O74-240000)*'Premissas Gerais'!N114),0)</f>
        <v>0</v>
      </c>
      <c r="P81" s="455">
        <f>IF(P$74&lt;0,IF(-P74&lt;=240000,-P74*'Premissas Gerais'!O113,-P74*'Premissas Gerais'!O113+(-P74-240000)*'Premissas Gerais'!O114),0)</f>
        <v>0</v>
      </c>
      <c r="Q81" s="455">
        <f>IF(Q$74&lt;0,IF(-Q74&lt;=240000,-Q74*'Premissas Gerais'!P113,-Q74*'Premissas Gerais'!P113+(-Q74-240000)*'Premissas Gerais'!P114),0)</f>
        <v>0</v>
      </c>
      <c r="R81" s="455">
        <f>IF(R$74&lt;0,IF(-R74&lt;=240000,-R74*'Premissas Gerais'!Q113,-R74*'Premissas Gerais'!Q113+(-R74-240000)*'Premissas Gerais'!Q114),0)</f>
        <v>0</v>
      </c>
      <c r="S81" s="455">
        <f>IF(S$74&lt;0,IF(-S74&lt;=240000,-S74*'Premissas Gerais'!R113,-S74*'Premissas Gerais'!R113+(-S74-240000)*'Premissas Gerais'!R114),0)</f>
        <v>0</v>
      </c>
      <c r="T81" s="455">
        <f>IF(T$74&lt;0,IF(-T74&lt;=240000,-T74*'Premissas Gerais'!S113,-T74*'Premissas Gerais'!S113+(-T74-240000)*'Premissas Gerais'!S114),0)</f>
        <v>0</v>
      </c>
      <c r="U81" s="455">
        <f>IF(U$74&lt;0,IF(-U74&lt;=240000,-U74*'Premissas Gerais'!T113,-U74*'Premissas Gerais'!T113+(-U74-240000)*'Premissas Gerais'!T114),0)</f>
        <v>0</v>
      </c>
      <c r="V81" s="455">
        <f>IF(V$74&lt;0,IF(-V74&lt;=240000,-V74*'Premissas Gerais'!U113,-V74*'Premissas Gerais'!U113+(-V74-240000)*'Premissas Gerais'!U114),0)</f>
        <v>0</v>
      </c>
      <c r="W81" s="455">
        <f>IF(W$74&lt;0,IF(-W74&lt;=240000,-W74*'Premissas Gerais'!V113,-W74*'Premissas Gerais'!V113+(-W74-240000)*'Premissas Gerais'!V114),0)</f>
        <v>0</v>
      </c>
      <c r="X81" s="455">
        <f>IF(X$74&lt;0,IF(-X74&lt;=240000,-X74*'Premissas Gerais'!W113,-X74*'Premissas Gerais'!W113+(-X74-240000)*'Premissas Gerais'!W114),0)</f>
        <v>0</v>
      </c>
      <c r="Y81" s="455">
        <f>IF(Y$74&lt;0,IF(-Y74&lt;=240000,-Y74*'Premissas Gerais'!X113,-Y74*'Premissas Gerais'!X113+(-Y74-240000)*'Premissas Gerais'!X114),0)</f>
        <v>0</v>
      </c>
      <c r="Z81" s="455">
        <f>IF(Z$74&lt;0,IF(-Z74&lt;=240000,-Z74*'Premissas Gerais'!Y113,-Z74*'Premissas Gerais'!Y113+(-Z74-240000)*'Premissas Gerais'!Y114),0)</f>
        <v>0</v>
      </c>
      <c r="AA81" s="455">
        <f>IF(AA$74&lt;0,IF(-AA74&lt;=240000,-AA74*'Premissas Gerais'!Z113,-AA74*'Premissas Gerais'!Z113+(-AA74-240000)*'Premissas Gerais'!Z114),0)</f>
        <v>0</v>
      </c>
      <c r="AB81" s="455">
        <f>IF(AB$74&lt;0,IF(-AB74&lt;=240000,-AB74*'Premissas Gerais'!AA113,-AB74*'Premissas Gerais'!AA113+(-AB74-240000)*'Premissas Gerais'!AA114),0)</f>
        <v>0</v>
      </c>
      <c r="AC81" s="455">
        <f>IF(AC$74&lt;0,IF(-AC74&lt;=240000,-AC74*'Premissas Gerais'!AB113,-AC74*'Premissas Gerais'!AB113+(-AC74-240000)*'Premissas Gerais'!AB114),0)</f>
        <v>0</v>
      </c>
      <c r="AD81" s="455">
        <f>IF(AD$74&lt;0,IF(-AD74&lt;=240000,-AD74*'Premissas Gerais'!AC113,-AD74*'Premissas Gerais'!AC113+(-AD74-240000)*'Premissas Gerais'!AC114),0)</f>
        <v>0</v>
      </c>
      <c r="AE81" s="455">
        <f>IF(AE$74&lt;0,IF(-AE74&lt;=240000,-AE74*'Premissas Gerais'!AD113,-AE74*'Premissas Gerais'!AD113+(-AE74-240000)*'Premissas Gerais'!AD114),0)</f>
        <v>0</v>
      </c>
      <c r="AF81" s="455">
        <f>IF(AF$74&lt;0,IF(-AF74&lt;=240000,-AF74*'Premissas Gerais'!AE113,-AF74*'Premissas Gerais'!AE113+(-AF74-240000)*'Premissas Gerais'!AE114),0)</f>
        <v>0</v>
      </c>
      <c r="AG81" s="455">
        <f>IF(AG$74&lt;0,IF(-AG74&lt;=240000,-AG74*'Premissas Gerais'!AF113,-AG74*'Premissas Gerais'!AF113+(-AG74-240000)*'Premissas Gerais'!AF114),0)</f>
        <v>0</v>
      </c>
      <c r="AH81" s="455">
        <f>IF(AH$74&lt;0,IF(-AH74&lt;=240000,-AH74*'Premissas Gerais'!AG113,-AH74*'Premissas Gerais'!AG113+(-AH74-240000)*'Premissas Gerais'!AG114),0)</f>
        <v>0</v>
      </c>
      <c r="AI81" s="455">
        <f>IF(AI$74&lt;0,IF(-AI74&lt;=240000,-AI74*'Premissas Gerais'!AH113,-AI74*'Premissas Gerais'!AH113+(-AI74-240000)*'Premissas Gerais'!AH114),0)</f>
        <v>0</v>
      </c>
      <c r="AJ81" s="455">
        <f>IF(AJ$74&lt;0,IF(-AJ74&lt;=240000,-AJ74*'Premissas Gerais'!AI113,-AJ74*'Premissas Gerais'!AI113+(-AJ74-240000)*'Premissas Gerais'!AI114),0)</f>
        <v>0</v>
      </c>
    </row>
    <row r="82" spans="3:36" x14ac:dyDescent="0.3">
      <c r="E82" s="271" t="s">
        <v>678</v>
      </c>
      <c r="G82" s="451">
        <f>IF(G$38&lt;0,0,-MIN(-G85*30%,G80+G81))</f>
        <v>0</v>
      </c>
      <c r="H82" s="451">
        <f>IF(H$38&lt;0,0,-MIN(-H85*30%,H80+H81))</f>
        <v>0</v>
      </c>
      <c r="I82" s="451">
        <f>IF(I$38&lt;0,0,-MIN(-I85*30%,I80+I81))</f>
        <v>-258647.15384554397</v>
      </c>
      <c r="J82" s="451">
        <f t="shared" ref="J82" si="52">IF(J$38&lt;0,0,-MIN(-J85*30%,J80+J81))</f>
        <v>-288262.98872689978</v>
      </c>
      <c r="K82" s="451">
        <f>IF(K$38&lt;0,0,-MIN(-K85*30%,K80+K81))</f>
        <v>-1183792.7901066823</v>
      </c>
      <c r="L82" s="451">
        <f>IF(L$38&lt;0,0,-MIN(-L85*30%,L80+L81))</f>
        <v>-1196641.5413218779</v>
      </c>
      <c r="M82" s="451">
        <f t="shared" ref="M82:AJ82" si="53">IF(M$38&lt;0,0,-MIN(-M85*30%,M80+M81))</f>
        <v>-1215676.7052302824</v>
      </c>
      <c r="N82" s="451">
        <f t="shared" si="53"/>
        <v>-350288.44810663699</v>
      </c>
      <c r="O82" s="451">
        <f t="shared" si="53"/>
        <v>0</v>
      </c>
      <c r="P82" s="451">
        <f t="shared" si="53"/>
        <v>0</v>
      </c>
      <c r="Q82" s="451">
        <f t="shared" si="53"/>
        <v>0</v>
      </c>
      <c r="R82" s="451">
        <f t="shared" si="53"/>
        <v>0</v>
      </c>
      <c r="S82" s="451">
        <f t="shared" si="53"/>
        <v>0</v>
      </c>
      <c r="T82" s="451">
        <f t="shared" si="53"/>
        <v>0</v>
      </c>
      <c r="U82" s="451">
        <f t="shared" si="53"/>
        <v>0</v>
      </c>
      <c r="V82" s="451">
        <f t="shared" si="53"/>
        <v>0</v>
      </c>
      <c r="W82" s="451">
        <f t="shared" si="53"/>
        <v>0</v>
      </c>
      <c r="X82" s="451">
        <f t="shared" si="53"/>
        <v>0</v>
      </c>
      <c r="Y82" s="451">
        <f t="shared" si="53"/>
        <v>0</v>
      </c>
      <c r="Z82" s="451">
        <f t="shared" si="53"/>
        <v>0</v>
      </c>
      <c r="AA82" s="451">
        <f t="shared" si="53"/>
        <v>0</v>
      </c>
      <c r="AB82" s="451">
        <f t="shared" si="53"/>
        <v>0</v>
      </c>
      <c r="AC82" s="451">
        <f t="shared" si="53"/>
        <v>0</v>
      </c>
      <c r="AD82" s="451">
        <f t="shared" si="53"/>
        <v>0</v>
      </c>
      <c r="AE82" s="451">
        <f t="shared" si="53"/>
        <v>0</v>
      </c>
      <c r="AF82" s="451">
        <f t="shared" si="53"/>
        <v>0</v>
      </c>
      <c r="AG82" s="451">
        <f t="shared" si="53"/>
        <v>0</v>
      </c>
      <c r="AH82" s="451">
        <f t="shared" si="53"/>
        <v>0</v>
      </c>
      <c r="AI82" s="451">
        <f t="shared" si="53"/>
        <v>0</v>
      </c>
      <c r="AJ82" s="451">
        <f t="shared" si="53"/>
        <v>0</v>
      </c>
    </row>
    <row r="83" spans="3:36" x14ac:dyDescent="0.3">
      <c r="E83" s="271"/>
      <c r="G83" s="451"/>
      <c r="H83" s="451"/>
      <c r="I83" s="451"/>
      <c r="J83" s="451"/>
      <c r="K83" s="451"/>
      <c r="L83" s="451"/>
      <c r="M83" s="451"/>
      <c r="N83" s="451"/>
      <c r="O83" s="451"/>
      <c r="P83" s="451"/>
      <c r="Q83" s="451"/>
      <c r="R83" s="451"/>
      <c r="S83" s="451"/>
      <c r="T83" s="451"/>
      <c r="U83" s="451"/>
      <c r="V83" s="451"/>
      <c r="W83" s="451"/>
      <c r="X83" s="451"/>
      <c r="Y83" s="451"/>
      <c r="Z83" s="451"/>
      <c r="AA83" s="451"/>
      <c r="AB83" s="451"/>
      <c r="AC83" s="451"/>
      <c r="AD83" s="451"/>
      <c r="AE83" s="451"/>
      <c r="AF83" s="451"/>
      <c r="AG83" s="451"/>
      <c r="AH83" s="451"/>
      <c r="AI83" s="451"/>
      <c r="AJ83" s="451"/>
    </row>
    <row r="84" spans="3:36" x14ac:dyDescent="0.3">
      <c r="C84" s="272"/>
      <c r="D84" s="272"/>
      <c r="E84" s="273" t="s">
        <v>680</v>
      </c>
      <c r="F84" s="272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/>
      <c r="AG84" s="454"/>
      <c r="AH84" s="454"/>
      <c r="AI84" s="454"/>
      <c r="AJ84" s="454"/>
    </row>
    <row r="85" spans="3:36" x14ac:dyDescent="0.3">
      <c r="C85" s="268"/>
      <c r="D85" s="268"/>
      <c r="E85" s="269" t="s">
        <v>681</v>
      </c>
      <c r="F85" s="268"/>
      <c r="G85" s="455">
        <f>-IF(G$74&lt;0,0,IF(G74&lt;=240000,G74*'Premissas Gerais'!$F$113,G74*'Premissas Gerais'!$F$113+(G74-240000)*'Premissas Gerais'!$F$114))</f>
        <v>0</v>
      </c>
      <c r="H85" s="455">
        <f>-IF(H$74&lt;0,0,IF(H74&lt;=240000,H74*'Premissas Gerais'!$F$113,H74*'Premissas Gerais'!$F$113+(H74-240000)*'Premissas Gerais'!$F$114))</f>
        <v>0</v>
      </c>
      <c r="I85" s="455">
        <f>-IF(I$74&lt;0,0,IF(I74&lt;=240000,I74*'Premissas Gerais'!$F$113,I74*'Premissas Gerais'!$F$113+(I74-240000)*'Premissas Gerais'!$F$114))</f>
        <v>-862157.17948514665</v>
      </c>
      <c r="J85" s="455">
        <f>-IF(J$74&lt;0,0,IF(J74&lt;=240000,J74*'Premissas Gerais'!$F$113,J74*'Premissas Gerais'!$F$113+(J74-240000)*'Premissas Gerais'!$F$114))</f>
        <v>-960876.62908966595</v>
      </c>
      <c r="K85" s="455">
        <f>-IF(K$74&lt;0,0,IF(K74&lt;=240000,K74*'Premissas Gerais'!$F$113,K74*'Premissas Gerais'!$F$113+(K74-240000)*'Premissas Gerais'!$F$114))</f>
        <v>-3945975.9670222746</v>
      </c>
      <c r="L85" s="455">
        <f>-IF(L$74&lt;0,0,IF(L74&lt;=240000,L74*'Premissas Gerais'!$F$113,L74*'Premissas Gerais'!$F$113+(L74-240000)*'Premissas Gerais'!$F$114))</f>
        <v>-3988805.1377395932</v>
      </c>
      <c r="M85" s="455">
        <f>-IF(M$74&lt;0,0,IF(M74&lt;=240000,M74*'Premissas Gerais'!$F$113,M74*'Premissas Gerais'!$F$113+(M74-240000)*'Premissas Gerais'!$F$114))</f>
        <v>-4052255.6841009418</v>
      </c>
      <c r="N85" s="455">
        <f>-IF(N$74&lt;0,0,IF(N74&lt;=240000,N74*'Premissas Gerais'!$F$113,N74*'Premissas Gerais'!$F$113+(N74-240000)*'Premissas Gerais'!$F$114))</f>
        <v>-2785356.3767023124</v>
      </c>
      <c r="O85" s="455">
        <f>-IF(O$74&lt;0,0,IF(O74&lt;=240000,O74*'Premissas Gerais'!$F$113,O74*'Premissas Gerais'!$F$113+(O74-240000)*'Premissas Gerais'!$F$114))</f>
        <v>-4606268.4568582214</v>
      </c>
      <c r="P85" s="455">
        <f>-IF(P$74&lt;0,0,IF(P74&lt;=240000,P74*'Premissas Gerais'!$F$113,P74*'Premissas Gerais'!$F$113+(P74-240000)*'Premissas Gerais'!$F$114))</f>
        <v>-4282060.0389467021</v>
      </c>
      <c r="Q85" s="455">
        <f>-IF(Q$74&lt;0,0,IF(Q74&lt;=240000,Q74*'Premissas Gerais'!$F$113,Q74*'Premissas Gerais'!$F$113+(Q74-240000)*'Premissas Gerais'!$F$114))</f>
        <v>-2417619.11256532</v>
      </c>
      <c r="R85" s="455">
        <f>-IF(R$74&lt;0,0,IF(R74&lt;=240000,R74*'Premissas Gerais'!$F$113,R74*'Premissas Gerais'!$F$113+(R74-240000)*'Premissas Gerais'!$F$114))</f>
        <v>-2523182.8809643276</v>
      </c>
      <c r="S85" s="455">
        <f>-IF(S$74&lt;0,0,IF(S74&lt;=240000,S74*'Premissas Gerais'!$F$113,S74*'Premissas Gerais'!$F$113+(S74-240000)*'Premissas Gerais'!$F$114))</f>
        <v>-2612739.5231841262</v>
      </c>
      <c r="T85" s="455">
        <f>-IF(T$74&lt;0,0,IF(T74&lt;=240000,T74*'Premissas Gerais'!$F$113,T74*'Premissas Gerais'!$F$113+(T74-240000)*'Premissas Gerais'!$F$114))</f>
        <v>-2699395.2086176416</v>
      </c>
      <c r="U85" s="455">
        <f>-IF(U$74&lt;0,0,IF(U74&lt;=240000,U74*'Premissas Gerais'!$F$113,U74*'Premissas Gerais'!$F$113+(U74-240000)*'Premissas Gerais'!$F$114))</f>
        <v>-2488959.4819169505</v>
      </c>
      <c r="V85" s="455">
        <f>-IF(V$74&lt;0,0,IF(V74&lt;=240000,V74*'Premissas Gerais'!$F$113,V74*'Premissas Gerais'!$F$113+(V74-240000)*'Premissas Gerais'!$F$114))</f>
        <v>-2644536.9567917455</v>
      </c>
      <c r="W85" s="455">
        <f>-IF(W$74&lt;0,0,IF(W74&lt;=240000,W74*'Premissas Gerais'!$F$113,W74*'Premissas Gerais'!$F$113+(W74-240000)*'Premissas Gerais'!$F$114))</f>
        <v>-4121890.4820853281</v>
      </c>
      <c r="X85" s="455">
        <f>-IF(X$74&lt;0,0,IF(X74&lt;=240000,X74*'Premissas Gerais'!$F$113,X74*'Premissas Gerais'!$F$113+(X74-240000)*'Premissas Gerais'!$F$114))</f>
        <v>-2542976.6362471115</v>
      </c>
      <c r="Y85" s="455">
        <f>-IF(Y$74&lt;0,0,IF(Y74&lt;=240000,Y74*'Premissas Gerais'!$F$113,Y74*'Premissas Gerais'!$F$113+(Y74-240000)*'Premissas Gerais'!$F$114))</f>
        <v>-2650138.7655779542</v>
      </c>
      <c r="Z85" s="455">
        <f>-IF(Z$74&lt;0,0,IF(Z74&lt;=240000,Z74*'Premissas Gerais'!$F$113,Z74*'Premissas Gerais'!$F$113+(Z74-240000)*'Premissas Gerais'!$F$114))</f>
        <v>-3010317.1392652364</v>
      </c>
      <c r="AA85" s="455">
        <f>-IF(AA$74&lt;0,0,IF(AA74&lt;=240000,AA74*'Premissas Gerais'!$F$113,AA74*'Premissas Gerais'!$F$113+(AA74-240000)*'Premissas Gerais'!$F$114))</f>
        <v>-2726396.054153299</v>
      </c>
      <c r="AB85" s="455">
        <f>-IF(AB$74&lt;0,0,IF(AB74&lt;=240000,AB74*'Premissas Gerais'!$F$113,AB74*'Premissas Gerais'!$F$113+(AB74-240000)*'Premissas Gerais'!$F$114))</f>
        <v>-2770694.9383363468</v>
      </c>
      <c r="AC85" s="455">
        <f>-IF(AC$74&lt;0,0,IF(AC74&lt;=240000,AC74*'Premissas Gerais'!$F$113,AC74*'Premissas Gerais'!$F$113+(AC74-240000)*'Premissas Gerais'!$F$114))</f>
        <v>-2991986.2468609875</v>
      </c>
      <c r="AD85" s="455">
        <f>-IF(AD$74&lt;0,0,IF(AD74&lt;=240000,AD74*'Premissas Gerais'!$F$113,AD74*'Premissas Gerais'!$F$113+(AD74-240000)*'Premissas Gerais'!$F$114))</f>
        <v>-2744429.7087327475</v>
      </c>
      <c r="AE85" s="455">
        <f>-IF(AE$74&lt;0,0,IF(AE74&lt;=240000,AE74*'Premissas Gerais'!$F$113,AE74*'Premissas Gerais'!$F$113+(AE74-240000)*'Premissas Gerais'!$F$114))</f>
        <v>-3827559.2635418484</v>
      </c>
      <c r="AF85" s="455">
        <f>-IF(AF$74&lt;0,0,IF(AF74&lt;=240000,AF74*'Premissas Gerais'!$F$113,AF74*'Premissas Gerais'!$F$113+(AF74-240000)*'Premissas Gerais'!$F$114))</f>
        <v>-2303497.0198257766</v>
      </c>
      <c r="AG85" s="455">
        <f>-IF(AG$74&lt;0,0,IF(AG74&lt;=240000,AG74*'Premissas Gerais'!$F$113,AG74*'Premissas Gerais'!$F$113+(AG74-240000)*'Premissas Gerais'!$F$114))</f>
        <v>-2389041.6333886124</v>
      </c>
      <c r="AH85" s="455">
        <f>-IF(AH$74&lt;0,0,IF(AH74&lt;=240000,AH74*'Premissas Gerais'!$F$113,AH74*'Premissas Gerais'!$F$113+(AH74-240000)*'Premissas Gerais'!$F$114))</f>
        <v>-2471964.7052379232</v>
      </c>
      <c r="AI85" s="455">
        <f>-IF(AI$74&lt;0,0,IF(AI74&lt;=240000,AI74*'Premissas Gerais'!$F$113,AI74*'Premissas Gerais'!$F$113+(AI74-240000)*'Premissas Gerais'!$F$114))</f>
        <v>-2552500.4573678588</v>
      </c>
      <c r="AJ85" s="455">
        <f>-IF(AJ$74&lt;0,0,IF(AJ74&lt;=240000,AJ74*'Premissas Gerais'!$F$113,AJ74*'Premissas Gerais'!$F$113+(AJ74-240000)*'Premissas Gerais'!$F$114))</f>
        <v>-2097266.0492121358</v>
      </c>
    </row>
    <row r="86" spans="3:36" x14ac:dyDescent="0.3">
      <c r="C86" s="268"/>
      <c r="D86" s="268"/>
      <c r="E86" s="269" t="s">
        <v>682</v>
      </c>
      <c r="F86" s="268"/>
      <c r="G86" s="455">
        <f>-IF(G$78&lt;0,0,IF(G78&lt;=240000,G78*'Premissas Gerais'!$F$113,G78*'Premissas Gerais'!$F$113+(G78-240000)*'Premissas Gerais'!$F$114))</f>
        <v>0</v>
      </c>
      <c r="H86" s="455">
        <f>-IF(H$78&lt;0,0,IF(H78&lt;=240000,H78*'Premissas Gerais'!$F$113,H78*'Premissas Gerais'!$F$113+(H78-240000)*'Premissas Gerais'!$F$114))</f>
        <v>0</v>
      </c>
      <c r="I86" s="455">
        <f>-IF(I$78&lt;0,0,IF(I78&lt;=240000,I78*'Premissas Gerais'!$F$113,I78*'Premissas Gerais'!$F$113+(I78-240000)*'Premissas Gerais'!$F$114))</f>
        <v>-579510.02563960268</v>
      </c>
      <c r="J86" s="455">
        <f>-IF(J$78&lt;0,0,IF(J78&lt;=240000,J78*'Premissas Gerais'!$F$113,J78*'Premissas Gerais'!$F$113+(J78-240000)*'Premissas Gerais'!$F$114))</f>
        <v>-648613.64036276611</v>
      </c>
      <c r="K86" s="455">
        <f>-IF(K$78&lt;0,0,IF(K78&lt;=240000,K78*'Premissas Gerais'!$F$113,K78*'Premissas Gerais'!$F$113+(K78-240000)*'Premissas Gerais'!$F$114))</f>
        <v>-2738183.1769155925</v>
      </c>
      <c r="L86" s="455">
        <f>-IF(L$78&lt;0,0,IF(L78&lt;=240000,L78*'Premissas Gerais'!$F$113,L78*'Premissas Gerais'!$F$113+(L78-240000)*'Premissas Gerais'!$F$114))</f>
        <v>-2768163.5964177153</v>
      </c>
      <c r="M86" s="455">
        <f>-IF(M$78&lt;0,0,IF(M78&lt;=240000,M78*'Premissas Gerais'!$F$113,M78*'Premissas Gerais'!$F$113+(M78-240000)*'Premissas Gerais'!$F$114))</f>
        <v>-2812578.9788706591</v>
      </c>
      <c r="N86" s="455">
        <f>-IF(N$78&lt;0,0,IF(N78&lt;=240000,N78*'Premissas Gerais'!$F$113,N78*'Premissas Gerais'!$F$113+(N78-240000)*'Premissas Gerais'!$F$114))</f>
        <v>-2411067.9285956752</v>
      </c>
      <c r="O86" s="455">
        <f>-IF(O$78&lt;0,0,IF(O78&lt;=240000,O78*'Premissas Gerais'!$F$113,O78*'Premissas Gerais'!$F$113+(O78-240000)*'Premissas Gerais'!$F$114))</f>
        <v>-4606268.4568582214</v>
      </c>
      <c r="P86" s="455">
        <f>-IF(P$78&lt;0,0,IF(P78&lt;=240000,P78*'Premissas Gerais'!$F$113,P78*'Premissas Gerais'!$F$113+(P78-240000)*'Premissas Gerais'!$F$114))</f>
        <v>-4282060.0389467021</v>
      </c>
      <c r="Q86" s="455">
        <f>-IF(Q$78&lt;0,0,IF(Q78&lt;=240000,Q78*'Premissas Gerais'!$F$113,Q78*'Premissas Gerais'!$F$113+(Q78-240000)*'Premissas Gerais'!$F$114))</f>
        <v>-2417619.11256532</v>
      </c>
      <c r="R86" s="455">
        <f>-IF(R$78&lt;0,0,IF(R78&lt;=240000,R78*'Premissas Gerais'!$F$113,R78*'Premissas Gerais'!$F$113+(R78-240000)*'Premissas Gerais'!$F$114))</f>
        <v>-2523182.8809643276</v>
      </c>
      <c r="S86" s="455">
        <f>-IF(S$78&lt;0,0,IF(S78&lt;=240000,S78*'Premissas Gerais'!$F$113,S78*'Premissas Gerais'!$F$113+(S78-240000)*'Premissas Gerais'!$F$114))</f>
        <v>-2612739.5231841262</v>
      </c>
      <c r="T86" s="455">
        <f>-IF(T$78&lt;0,0,IF(T78&lt;=240000,T78*'Premissas Gerais'!$F$113,T78*'Premissas Gerais'!$F$113+(T78-240000)*'Premissas Gerais'!$F$114))</f>
        <v>-2699395.2086176416</v>
      </c>
      <c r="U86" s="455">
        <f>-IF(U$78&lt;0,0,IF(U78&lt;=240000,U78*'Premissas Gerais'!$F$113,U78*'Premissas Gerais'!$F$113+(U78-240000)*'Premissas Gerais'!$F$114))</f>
        <v>-2488959.4819169505</v>
      </c>
      <c r="V86" s="455">
        <f>-IF(V$78&lt;0,0,IF(V78&lt;=240000,V78*'Premissas Gerais'!$F$113,V78*'Premissas Gerais'!$F$113+(V78-240000)*'Premissas Gerais'!$F$114))</f>
        <v>-2644536.9567917455</v>
      </c>
      <c r="W86" s="455">
        <f>-IF(W$78&lt;0,0,IF(W78&lt;=240000,W78*'Premissas Gerais'!$F$113,W78*'Premissas Gerais'!$F$113+(W78-240000)*'Premissas Gerais'!$F$114))</f>
        <v>-4121890.4820853281</v>
      </c>
      <c r="X86" s="455">
        <f>-IF(X$78&lt;0,0,IF(X78&lt;=240000,X78*'Premissas Gerais'!$F$113,X78*'Premissas Gerais'!$F$113+(X78-240000)*'Premissas Gerais'!$F$114))</f>
        <v>-2542976.6362471115</v>
      </c>
      <c r="Y86" s="455">
        <f>-IF(Y$78&lt;0,0,IF(Y78&lt;=240000,Y78*'Premissas Gerais'!$F$113,Y78*'Premissas Gerais'!$F$113+(Y78-240000)*'Premissas Gerais'!$F$114))</f>
        <v>-2650138.7655779542</v>
      </c>
      <c r="Z86" s="455">
        <f>-IF(Z$78&lt;0,0,IF(Z78&lt;=240000,Z78*'Premissas Gerais'!$F$113,Z78*'Premissas Gerais'!$F$113+(Z78-240000)*'Premissas Gerais'!$F$114))</f>
        <v>-3010317.1392652364</v>
      </c>
      <c r="AA86" s="455">
        <f>-IF(AA$78&lt;0,0,IF(AA78&lt;=240000,AA78*'Premissas Gerais'!$F$113,AA78*'Premissas Gerais'!$F$113+(AA78-240000)*'Premissas Gerais'!$F$114))</f>
        <v>-2726396.054153299</v>
      </c>
      <c r="AB86" s="455">
        <f>-IF(AB$78&lt;0,0,IF(AB78&lt;=240000,AB78*'Premissas Gerais'!$F$113,AB78*'Premissas Gerais'!$F$113+(AB78-240000)*'Premissas Gerais'!$F$114))</f>
        <v>-2770694.9383363468</v>
      </c>
      <c r="AC86" s="455">
        <f>-IF(AC$78&lt;0,0,IF(AC78&lt;=240000,AC78*'Premissas Gerais'!$F$113,AC78*'Premissas Gerais'!$F$113+(AC78-240000)*'Premissas Gerais'!$F$114))</f>
        <v>-2991986.2468609875</v>
      </c>
      <c r="AD86" s="455">
        <f>-IF(AD$78&lt;0,0,IF(AD78&lt;=240000,AD78*'Premissas Gerais'!$F$113,AD78*'Premissas Gerais'!$F$113+(AD78-240000)*'Premissas Gerais'!$F$114))</f>
        <v>-2744429.7087327475</v>
      </c>
      <c r="AE86" s="455">
        <f>-IF(AE$78&lt;0,0,IF(AE78&lt;=240000,AE78*'Premissas Gerais'!$F$113,AE78*'Premissas Gerais'!$F$113+(AE78-240000)*'Premissas Gerais'!$F$114))</f>
        <v>-3827559.2635418484</v>
      </c>
      <c r="AF86" s="455">
        <f>-IF(AF$78&lt;0,0,IF(AF78&lt;=240000,AF78*'Premissas Gerais'!$F$113,AF78*'Premissas Gerais'!$F$113+(AF78-240000)*'Premissas Gerais'!$F$114))</f>
        <v>-2303497.0198257766</v>
      </c>
      <c r="AG86" s="455">
        <f>-IF(AG$78&lt;0,0,IF(AG78&lt;=240000,AG78*'Premissas Gerais'!$F$113,AG78*'Premissas Gerais'!$F$113+(AG78-240000)*'Premissas Gerais'!$F$114))</f>
        <v>-2389041.6333886124</v>
      </c>
      <c r="AH86" s="455">
        <f>-IF(AH$78&lt;0,0,IF(AH78&lt;=240000,AH78*'Premissas Gerais'!$F$113,AH78*'Premissas Gerais'!$F$113+(AH78-240000)*'Premissas Gerais'!$F$114))</f>
        <v>-2471964.7052379232</v>
      </c>
      <c r="AI86" s="455">
        <f>-IF(AI$78&lt;0,0,IF(AI78&lt;=240000,AI78*'Premissas Gerais'!$F$113,AI78*'Premissas Gerais'!$F$113+(AI78-240000)*'Premissas Gerais'!$F$114))</f>
        <v>-2552500.4573678588</v>
      </c>
      <c r="AJ86" s="455">
        <f>-IF(AJ$78&lt;0,0,IF(AJ78&lt;=240000,AJ78*'Premissas Gerais'!$F$113,AJ78*'Premissas Gerais'!$F$113+(AJ78-240000)*'Premissas Gerais'!$F$114))</f>
        <v>-2097266.0492121358</v>
      </c>
    </row>
    <row r="87" spans="3:36" x14ac:dyDescent="0.3">
      <c r="C87" s="268"/>
      <c r="D87" s="268"/>
      <c r="E87" s="269" t="s">
        <v>676</v>
      </c>
      <c r="F87" s="268"/>
      <c r="G87" s="455">
        <f>G81+G82</f>
        <v>3159076.7642011279</v>
      </c>
      <c r="H87" s="455">
        <f>H81+H82</f>
        <v>1334232.8631367958</v>
      </c>
      <c r="I87" s="455">
        <f>I81+I82</f>
        <v>-258647.15384554397</v>
      </c>
      <c r="J87" s="455">
        <f t="shared" ref="J87" si="54">J81+J82</f>
        <v>-288262.98872689978</v>
      </c>
      <c r="K87" s="455">
        <f>K81+K82</f>
        <v>-1183792.7901066823</v>
      </c>
      <c r="L87" s="455">
        <f>L81+L82</f>
        <v>-1196641.5413218779</v>
      </c>
      <c r="M87" s="455">
        <f t="shared" ref="M87:AJ87" si="55">M81+M82</f>
        <v>-1215676.7052302824</v>
      </c>
      <c r="N87" s="455">
        <f t="shared" si="55"/>
        <v>-350288.44810663699</v>
      </c>
      <c r="O87" s="455">
        <f t="shared" si="55"/>
        <v>0</v>
      </c>
      <c r="P87" s="455">
        <f t="shared" si="55"/>
        <v>0</v>
      </c>
      <c r="Q87" s="455">
        <f t="shared" si="55"/>
        <v>0</v>
      </c>
      <c r="R87" s="455">
        <f t="shared" si="55"/>
        <v>0</v>
      </c>
      <c r="S87" s="455">
        <f t="shared" si="55"/>
        <v>0</v>
      </c>
      <c r="T87" s="455">
        <f t="shared" si="55"/>
        <v>0</v>
      </c>
      <c r="U87" s="455">
        <f t="shared" si="55"/>
        <v>0</v>
      </c>
      <c r="V87" s="455">
        <f t="shared" si="55"/>
        <v>0</v>
      </c>
      <c r="W87" s="455">
        <f t="shared" si="55"/>
        <v>0</v>
      </c>
      <c r="X87" s="455">
        <f t="shared" si="55"/>
        <v>0</v>
      </c>
      <c r="Y87" s="455">
        <f t="shared" si="55"/>
        <v>0</v>
      </c>
      <c r="Z87" s="455">
        <f t="shared" si="55"/>
        <v>0</v>
      </c>
      <c r="AA87" s="455">
        <f t="shared" si="55"/>
        <v>0</v>
      </c>
      <c r="AB87" s="455">
        <f t="shared" si="55"/>
        <v>0</v>
      </c>
      <c r="AC87" s="455">
        <f t="shared" si="55"/>
        <v>0</v>
      </c>
      <c r="AD87" s="455">
        <f t="shared" si="55"/>
        <v>0</v>
      </c>
      <c r="AE87" s="455">
        <f t="shared" si="55"/>
        <v>0</v>
      </c>
      <c r="AF87" s="455">
        <f t="shared" si="55"/>
        <v>0</v>
      </c>
      <c r="AG87" s="455">
        <f t="shared" si="55"/>
        <v>0</v>
      </c>
      <c r="AH87" s="455">
        <f t="shared" si="55"/>
        <v>0</v>
      </c>
      <c r="AI87" s="455">
        <f t="shared" si="55"/>
        <v>0</v>
      </c>
      <c r="AJ87" s="455">
        <f t="shared" si="55"/>
        <v>0</v>
      </c>
    </row>
    <row r="88" spans="3:36" x14ac:dyDescent="0.3">
      <c r="G88" s="451"/>
      <c r="H88" s="451"/>
      <c r="I88" s="451"/>
      <c r="J88" s="451"/>
      <c r="K88" s="451"/>
      <c r="L88" s="451"/>
      <c r="M88" s="451"/>
      <c r="N88" s="451"/>
      <c r="O88" s="451"/>
      <c r="P88" s="451"/>
      <c r="Q88" s="451"/>
      <c r="R88" s="451"/>
      <c r="S88" s="451"/>
      <c r="T88" s="451"/>
      <c r="U88" s="451"/>
      <c r="V88" s="451"/>
      <c r="W88" s="451"/>
      <c r="X88" s="451"/>
      <c r="Y88" s="451"/>
      <c r="Z88" s="451"/>
      <c r="AA88" s="451"/>
      <c r="AB88" s="451"/>
      <c r="AC88" s="451"/>
      <c r="AD88" s="451"/>
      <c r="AE88" s="451"/>
      <c r="AF88" s="451"/>
      <c r="AG88" s="451"/>
      <c r="AH88" s="451"/>
      <c r="AI88" s="451"/>
      <c r="AJ88" s="451"/>
    </row>
    <row r="89" spans="3:36" x14ac:dyDescent="0.3">
      <c r="G89" s="451"/>
      <c r="H89" s="451"/>
      <c r="I89" s="451"/>
      <c r="J89" s="451"/>
      <c r="K89" s="451"/>
      <c r="L89" s="451"/>
      <c r="M89" s="451"/>
      <c r="N89" s="451"/>
      <c r="O89" s="451"/>
      <c r="P89" s="451"/>
      <c r="Q89" s="451"/>
      <c r="R89" s="451"/>
      <c r="S89" s="451"/>
      <c r="T89" s="451"/>
      <c r="U89" s="451"/>
      <c r="V89" s="451"/>
      <c r="W89" s="451"/>
      <c r="X89" s="451"/>
      <c r="Y89" s="451"/>
      <c r="Z89" s="451"/>
      <c r="AA89" s="451"/>
      <c r="AB89" s="451"/>
      <c r="AC89" s="451"/>
      <c r="AD89" s="451"/>
      <c r="AE89" s="451"/>
      <c r="AF89" s="451"/>
      <c r="AG89" s="451"/>
      <c r="AH89" s="451"/>
      <c r="AI89" s="451"/>
      <c r="AJ89" s="451"/>
    </row>
    <row r="90" spans="3:36" x14ac:dyDescent="0.3">
      <c r="C90" s="264"/>
      <c r="D90" s="264"/>
      <c r="E90" s="265" t="s">
        <v>147</v>
      </c>
      <c r="F90" s="266">
        <f>'Premissas Gerais'!F115</f>
        <v>0.09</v>
      </c>
      <c r="G90" s="456"/>
      <c r="H90" s="456"/>
      <c r="I90" s="456"/>
      <c r="J90" s="456"/>
      <c r="K90" s="456"/>
      <c r="L90" s="456"/>
      <c r="M90" s="456"/>
      <c r="N90" s="456"/>
      <c r="O90" s="456"/>
      <c r="P90" s="456"/>
      <c r="Q90" s="456"/>
      <c r="R90" s="456"/>
      <c r="S90" s="456"/>
      <c r="T90" s="456"/>
      <c r="U90" s="456"/>
      <c r="V90" s="456"/>
      <c r="W90" s="456"/>
      <c r="X90" s="456"/>
      <c r="Y90" s="456"/>
      <c r="Z90" s="456"/>
      <c r="AA90" s="456"/>
      <c r="AB90" s="456"/>
      <c r="AC90" s="456"/>
      <c r="AD90" s="456"/>
      <c r="AE90" s="456"/>
      <c r="AF90" s="456"/>
      <c r="AG90" s="456"/>
      <c r="AH90" s="456"/>
      <c r="AI90" s="456"/>
      <c r="AJ90" s="456"/>
    </row>
    <row r="91" spans="3:36" x14ac:dyDescent="0.3">
      <c r="C91" s="268"/>
      <c r="D91" s="268"/>
      <c r="E91" s="269" t="s">
        <v>15</v>
      </c>
      <c r="F91" s="268"/>
      <c r="G91" s="455">
        <f>-G96/$F90</f>
        <v>0</v>
      </c>
      <c r="H91" s="455">
        <f t="shared" ref="H91:AJ91" si="56">-H96/$F90</f>
        <v>0</v>
      </c>
      <c r="I91" s="455">
        <f t="shared" si="56"/>
        <v>1063388.6153821759</v>
      </c>
      <c r="J91" s="455">
        <f t="shared" si="56"/>
        <v>1181851.9549075991</v>
      </c>
      <c r="K91" s="455">
        <f t="shared" si="56"/>
        <v>4763971.1604267294</v>
      </c>
      <c r="L91" s="455">
        <f t="shared" si="56"/>
        <v>4815366.1652875114</v>
      </c>
      <c r="M91" s="455">
        <f t="shared" si="56"/>
        <v>4891506.8209211295</v>
      </c>
      <c r="N91" s="455">
        <f t="shared" si="56"/>
        <v>1449153.7924265482</v>
      </c>
      <c r="O91" s="455">
        <f t="shared" si="56"/>
        <v>0</v>
      </c>
      <c r="P91" s="455">
        <f t="shared" si="56"/>
        <v>0</v>
      </c>
      <c r="Q91" s="455">
        <f t="shared" si="56"/>
        <v>0</v>
      </c>
      <c r="R91" s="455">
        <f t="shared" si="56"/>
        <v>0</v>
      </c>
      <c r="S91" s="455">
        <f t="shared" si="56"/>
        <v>0</v>
      </c>
      <c r="T91" s="455">
        <f t="shared" si="56"/>
        <v>0</v>
      </c>
      <c r="U91" s="455">
        <f t="shared" si="56"/>
        <v>0</v>
      </c>
      <c r="V91" s="455">
        <f t="shared" si="56"/>
        <v>0</v>
      </c>
      <c r="W91" s="455">
        <f t="shared" si="56"/>
        <v>0</v>
      </c>
      <c r="X91" s="455">
        <f t="shared" si="56"/>
        <v>0</v>
      </c>
      <c r="Y91" s="455">
        <f t="shared" si="56"/>
        <v>0</v>
      </c>
      <c r="Z91" s="455">
        <f t="shared" si="56"/>
        <v>0</v>
      </c>
      <c r="AA91" s="455">
        <f t="shared" si="56"/>
        <v>0</v>
      </c>
      <c r="AB91" s="455">
        <f t="shared" si="56"/>
        <v>0</v>
      </c>
      <c r="AC91" s="455">
        <f t="shared" si="56"/>
        <v>0</v>
      </c>
      <c r="AD91" s="455">
        <f t="shared" si="56"/>
        <v>0</v>
      </c>
      <c r="AE91" s="455">
        <f t="shared" si="56"/>
        <v>0</v>
      </c>
      <c r="AF91" s="455">
        <f t="shared" si="56"/>
        <v>0</v>
      </c>
      <c r="AG91" s="455">
        <f t="shared" si="56"/>
        <v>0</v>
      </c>
      <c r="AH91" s="455">
        <f t="shared" si="56"/>
        <v>0</v>
      </c>
      <c r="AI91" s="455">
        <f t="shared" si="56"/>
        <v>0</v>
      </c>
      <c r="AJ91" s="455">
        <f t="shared" si="56"/>
        <v>0</v>
      </c>
    </row>
    <row r="92" spans="3:36" x14ac:dyDescent="0.3">
      <c r="E92" s="271" t="s">
        <v>675</v>
      </c>
      <c r="G92" s="451">
        <f>G$38-G91</f>
        <v>-12311241.910551513</v>
      </c>
      <c r="H92" s="451">
        <f t="shared" ref="H92:AJ92" si="57">H$38-H91</f>
        <v>-1246399.929339617</v>
      </c>
      <c r="I92" s="451">
        <f t="shared" si="57"/>
        <v>2481240.1025584107</v>
      </c>
      <c r="J92" s="451">
        <f t="shared" si="57"/>
        <v>3060468.752702265</v>
      </c>
      <c r="K92" s="451">
        <f t="shared" si="57"/>
        <v>11115932.70766237</v>
      </c>
      <c r="L92" s="451">
        <f t="shared" si="57"/>
        <v>11794568.656072363</v>
      </c>
      <c r="M92" s="451">
        <f t="shared" si="57"/>
        <v>11960335.864529505</v>
      </c>
      <c r="N92" s="451">
        <f t="shared" si="57"/>
        <v>12450087.861932827</v>
      </c>
      <c r="O92" s="451">
        <f t="shared" si="57"/>
        <v>20909877.398857035</v>
      </c>
      <c r="P92" s="451">
        <f t="shared" si="57"/>
        <v>20018978.466072753</v>
      </c>
      <c r="Q92" s="451">
        <f t="shared" si="57"/>
        <v>11895523.953962229</v>
      </c>
      <c r="R92" s="451">
        <f t="shared" si="57"/>
        <v>12178030.435298704</v>
      </c>
      <c r="S92" s="451">
        <f t="shared" si="57"/>
        <v>12389184.949980058</v>
      </c>
      <c r="T92" s="451">
        <f t="shared" si="57"/>
        <v>12581028.155593714</v>
      </c>
      <c r="U92" s="451">
        <f t="shared" si="57"/>
        <v>12429272.321203664</v>
      </c>
      <c r="V92" s="451">
        <f t="shared" si="57"/>
        <v>12778994.416613076</v>
      </c>
      <c r="W92" s="451">
        <f t="shared" si="57"/>
        <v>18470136.236605607</v>
      </c>
      <c r="X92" s="451">
        <f t="shared" si="57"/>
        <v>11924740.813379668</v>
      </c>
      <c r="Y92" s="451">
        <f t="shared" si="57"/>
        <v>12111578.709549483</v>
      </c>
      <c r="Z92" s="451">
        <f t="shared" si="57"/>
        <v>13297776.474618953</v>
      </c>
      <c r="AA92" s="451">
        <f t="shared" si="57"/>
        <v>11624547.016167209</v>
      </c>
      <c r="AB92" s="451">
        <f t="shared" si="57"/>
        <v>11842362.625481386</v>
      </c>
      <c r="AC92" s="451">
        <f t="shared" si="57"/>
        <v>11609160.855018921</v>
      </c>
      <c r="AD92" s="451">
        <f t="shared" si="57"/>
        <v>11455519.182642844</v>
      </c>
      <c r="AE92" s="451">
        <f t="shared" si="57"/>
        <v>15735059.355739489</v>
      </c>
      <c r="AF92" s="451">
        <f t="shared" si="57"/>
        <v>9578478.2810895331</v>
      </c>
      <c r="AG92" s="451">
        <f t="shared" si="57"/>
        <v>9857118.5819434095</v>
      </c>
      <c r="AH92" s="451">
        <f t="shared" si="57"/>
        <v>10121896.292332694</v>
      </c>
      <c r="AI92" s="451">
        <f t="shared" si="57"/>
        <v>10373568.876757096</v>
      </c>
      <c r="AJ92" s="451">
        <f t="shared" si="57"/>
        <v>8128389.9059100142</v>
      </c>
    </row>
    <row r="93" spans="3:36" x14ac:dyDescent="0.3">
      <c r="G93" s="451"/>
      <c r="H93" s="451"/>
      <c r="I93" s="451"/>
      <c r="J93" s="451"/>
      <c r="K93" s="451"/>
      <c r="L93" s="451"/>
      <c r="M93" s="451"/>
      <c r="N93" s="451"/>
      <c r="O93" s="451"/>
      <c r="P93" s="451"/>
      <c r="Q93" s="451"/>
      <c r="R93" s="451"/>
      <c r="S93" s="451"/>
      <c r="T93" s="451"/>
      <c r="U93" s="451"/>
      <c r="V93" s="451"/>
      <c r="W93" s="451"/>
      <c r="X93" s="451"/>
      <c r="Y93" s="451"/>
      <c r="Z93" s="451"/>
      <c r="AA93" s="451"/>
      <c r="AB93" s="451"/>
      <c r="AC93" s="451"/>
      <c r="AD93" s="451"/>
      <c r="AE93" s="451"/>
      <c r="AF93" s="451"/>
      <c r="AG93" s="451"/>
      <c r="AH93" s="451"/>
      <c r="AI93" s="451"/>
      <c r="AJ93" s="451"/>
    </row>
    <row r="94" spans="3:36" x14ac:dyDescent="0.3">
      <c r="C94" s="272"/>
      <c r="D94" s="272"/>
      <c r="E94" s="273" t="s">
        <v>683</v>
      </c>
      <c r="F94" s="272"/>
      <c r="G94" s="454">
        <f>F94+F95+F96</f>
        <v>0</v>
      </c>
      <c r="H94" s="454">
        <f t="shared" ref="H94" si="58">G94+G95+G96</f>
        <v>1145907.635112406</v>
      </c>
      <c r="I94" s="454">
        <f>H94+H95+H96</f>
        <v>1634871.4658416524</v>
      </c>
      <c r="J94" s="454">
        <f t="shared" ref="J94" si="59">I94+I95+I96</f>
        <v>1539166.4904572566</v>
      </c>
      <c r="K94" s="454">
        <f t="shared" ref="K94" si="60">J94+J95+J96</f>
        <v>1432799.8145155727</v>
      </c>
      <c r="L94" s="454">
        <f t="shared" ref="L94" si="61">K94+K95+K96</f>
        <v>1004042.4100771671</v>
      </c>
      <c r="M94" s="454">
        <f t="shared" ref="M94" si="62">L94+L95+L96</f>
        <v>570659.45520129101</v>
      </c>
      <c r="N94" s="454">
        <f t="shared" ref="N94" si="63">M94+M95+M96</f>
        <v>130423.84131838934</v>
      </c>
      <c r="O94" s="454">
        <f t="shared" ref="O94" si="64">N94+N95+N96</f>
        <v>0</v>
      </c>
      <c r="P94" s="454">
        <f t="shared" ref="P94" si="65">O94+O95+O96</f>
        <v>0</v>
      </c>
      <c r="Q94" s="454">
        <f t="shared" ref="Q94" si="66">P94+P95+P96</f>
        <v>0</v>
      </c>
      <c r="R94" s="454">
        <f t="shared" ref="R94" si="67">Q94+Q95+Q96</f>
        <v>0</v>
      </c>
      <c r="S94" s="454">
        <f t="shared" ref="S94" si="68">R94+R95+R96</f>
        <v>0</v>
      </c>
      <c r="T94" s="454">
        <f t="shared" ref="T94" si="69">S94+S95+S96</f>
        <v>0</v>
      </c>
      <c r="U94" s="454">
        <f t="shared" ref="U94" si="70">T94+T95+T96</f>
        <v>0</v>
      </c>
      <c r="V94" s="454">
        <f t="shared" ref="V94" si="71">U94+U95+U96</f>
        <v>0</v>
      </c>
      <c r="W94" s="454">
        <f t="shared" ref="W94" si="72">V94+V95+V96</f>
        <v>0</v>
      </c>
      <c r="X94" s="454">
        <f t="shared" ref="X94" si="73">W94+W95+W96</f>
        <v>0</v>
      </c>
      <c r="Y94" s="454">
        <f t="shared" ref="Y94" si="74">X94+X95+X96</f>
        <v>0</v>
      </c>
      <c r="Z94" s="454">
        <f t="shared" ref="Z94" si="75">Y94+Y95+Y96</f>
        <v>0</v>
      </c>
      <c r="AA94" s="454">
        <f t="shared" ref="AA94" si="76">Z94+Z95+Z96</f>
        <v>0</v>
      </c>
      <c r="AB94" s="454">
        <f t="shared" ref="AB94" si="77">AA94+AA95+AA96</f>
        <v>0</v>
      </c>
      <c r="AC94" s="454">
        <f t="shared" ref="AC94" si="78">AB94+AB95+AB96</f>
        <v>0</v>
      </c>
      <c r="AD94" s="454">
        <f t="shared" ref="AD94" si="79">AC94+AC95+AC96</f>
        <v>0</v>
      </c>
      <c r="AE94" s="454">
        <f t="shared" ref="AE94" si="80">AD94+AD95+AD96</f>
        <v>0</v>
      </c>
      <c r="AF94" s="454">
        <f t="shared" ref="AF94" si="81">AE94+AE95+AE96</f>
        <v>0</v>
      </c>
      <c r="AG94" s="454">
        <f t="shared" ref="AG94" si="82">AF94+AF95+AF96</f>
        <v>0</v>
      </c>
      <c r="AH94" s="454">
        <f t="shared" ref="AH94" si="83">AG94+AG95+AG96</f>
        <v>0</v>
      </c>
      <c r="AI94" s="454">
        <f t="shared" ref="AI94" si="84">AH94+AH95+AH96</f>
        <v>0</v>
      </c>
      <c r="AJ94" s="454">
        <f t="shared" ref="AJ94" si="85">AI94+AI95+AI96</f>
        <v>0</v>
      </c>
    </row>
    <row r="95" spans="3:36" x14ac:dyDescent="0.3">
      <c r="C95" s="268"/>
      <c r="D95" s="268"/>
      <c r="E95" s="269" t="s">
        <v>677</v>
      </c>
      <c r="F95" s="268"/>
      <c r="G95" s="455">
        <f>IF(G$74&lt;0,-G$74*$F90,0)</f>
        <v>1145907.635112406</v>
      </c>
      <c r="H95" s="455">
        <f t="shared" ref="H95:AJ95" si="86">IF(H$74&lt;0,-H$74*$F90,0)</f>
        <v>488963.83072924649</v>
      </c>
      <c r="I95" s="455">
        <f t="shared" si="86"/>
        <v>0</v>
      </c>
      <c r="J95" s="455">
        <f t="shared" si="86"/>
        <v>0</v>
      </c>
      <c r="K95" s="455">
        <f t="shared" si="86"/>
        <v>0</v>
      </c>
      <c r="L95" s="455">
        <f t="shared" si="86"/>
        <v>0</v>
      </c>
      <c r="M95" s="455">
        <f t="shared" si="86"/>
        <v>0</v>
      </c>
      <c r="N95" s="455">
        <f t="shared" si="86"/>
        <v>0</v>
      </c>
      <c r="O95" s="455">
        <f t="shared" si="86"/>
        <v>0</v>
      </c>
      <c r="P95" s="455">
        <f t="shared" si="86"/>
        <v>0</v>
      </c>
      <c r="Q95" s="455">
        <f t="shared" si="86"/>
        <v>0</v>
      </c>
      <c r="R95" s="455">
        <f t="shared" si="86"/>
        <v>0</v>
      </c>
      <c r="S95" s="455">
        <f t="shared" si="86"/>
        <v>0</v>
      </c>
      <c r="T95" s="455">
        <f t="shared" si="86"/>
        <v>0</v>
      </c>
      <c r="U95" s="455">
        <f t="shared" si="86"/>
        <v>0</v>
      </c>
      <c r="V95" s="455">
        <f t="shared" si="86"/>
        <v>0</v>
      </c>
      <c r="W95" s="455">
        <f t="shared" si="86"/>
        <v>0</v>
      </c>
      <c r="X95" s="455">
        <f t="shared" si="86"/>
        <v>0</v>
      </c>
      <c r="Y95" s="455">
        <f t="shared" si="86"/>
        <v>0</v>
      </c>
      <c r="Z95" s="455">
        <f t="shared" si="86"/>
        <v>0</v>
      </c>
      <c r="AA95" s="455">
        <f t="shared" si="86"/>
        <v>0</v>
      </c>
      <c r="AB95" s="455">
        <f t="shared" si="86"/>
        <v>0</v>
      </c>
      <c r="AC95" s="455">
        <f t="shared" si="86"/>
        <v>0</v>
      </c>
      <c r="AD95" s="455">
        <f t="shared" si="86"/>
        <v>0</v>
      </c>
      <c r="AE95" s="455">
        <f t="shared" si="86"/>
        <v>0</v>
      </c>
      <c r="AF95" s="455">
        <f t="shared" si="86"/>
        <v>0</v>
      </c>
      <c r="AG95" s="455">
        <f t="shared" si="86"/>
        <v>0</v>
      </c>
      <c r="AH95" s="455">
        <f t="shared" si="86"/>
        <v>0</v>
      </c>
      <c r="AI95" s="455">
        <f t="shared" si="86"/>
        <v>0</v>
      </c>
      <c r="AJ95" s="455">
        <f t="shared" si="86"/>
        <v>0</v>
      </c>
    </row>
    <row r="96" spans="3:36" x14ac:dyDescent="0.3">
      <c r="E96" s="271" t="s">
        <v>678</v>
      </c>
      <c r="G96" s="451">
        <f>IF(G$74&lt;0,0,-MIN(-G99*30%,G94+G95))</f>
        <v>0</v>
      </c>
      <c r="H96" s="451">
        <f t="shared" ref="H96:AJ96" si="87">IF(H$74&lt;0,0,-MIN(-H99*30%,H94+H95))</f>
        <v>0</v>
      </c>
      <c r="I96" s="451">
        <f t="shared" si="87"/>
        <v>-95704.975384395831</v>
      </c>
      <c r="J96" s="451">
        <f t="shared" si="87"/>
        <v>-106366.67594168392</v>
      </c>
      <c r="K96" s="451">
        <f t="shared" si="87"/>
        <v>-428757.40443840565</v>
      </c>
      <c r="L96" s="451">
        <f t="shared" si="87"/>
        <v>-433382.95487587602</v>
      </c>
      <c r="M96" s="451">
        <f t="shared" si="87"/>
        <v>-440235.61388290167</v>
      </c>
      <c r="N96" s="451">
        <f t="shared" si="87"/>
        <v>-130423.84131838934</v>
      </c>
      <c r="O96" s="451">
        <f t="shared" si="87"/>
        <v>0</v>
      </c>
      <c r="P96" s="451">
        <f t="shared" si="87"/>
        <v>0</v>
      </c>
      <c r="Q96" s="451">
        <f t="shared" si="87"/>
        <v>0</v>
      </c>
      <c r="R96" s="451">
        <f t="shared" si="87"/>
        <v>0</v>
      </c>
      <c r="S96" s="451">
        <f t="shared" si="87"/>
        <v>0</v>
      </c>
      <c r="T96" s="451">
        <f t="shared" si="87"/>
        <v>0</v>
      </c>
      <c r="U96" s="451">
        <f t="shared" si="87"/>
        <v>0</v>
      </c>
      <c r="V96" s="451">
        <f t="shared" si="87"/>
        <v>0</v>
      </c>
      <c r="W96" s="451">
        <f t="shared" si="87"/>
        <v>0</v>
      </c>
      <c r="X96" s="451">
        <f t="shared" si="87"/>
        <v>0</v>
      </c>
      <c r="Y96" s="451">
        <f t="shared" si="87"/>
        <v>0</v>
      </c>
      <c r="Z96" s="451">
        <f t="shared" si="87"/>
        <v>0</v>
      </c>
      <c r="AA96" s="451">
        <f t="shared" si="87"/>
        <v>0</v>
      </c>
      <c r="AB96" s="451">
        <f t="shared" si="87"/>
        <v>0</v>
      </c>
      <c r="AC96" s="451">
        <f t="shared" si="87"/>
        <v>0</v>
      </c>
      <c r="AD96" s="451">
        <f t="shared" si="87"/>
        <v>0</v>
      </c>
      <c r="AE96" s="451">
        <f t="shared" si="87"/>
        <v>0</v>
      </c>
      <c r="AF96" s="451">
        <f t="shared" si="87"/>
        <v>0</v>
      </c>
      <c r="AG96" s="451">
        <f t="shared" si="87"/>
        <v>0</v>
      </c>
      <c r="AH96" s="451">
        <f t="shared" si="87"/>
        <v>0</v>
      </c>
      <c r="AI96" s="451">
        <f t="shared" si="87"/>
        <v>0</v>
      </c>
      <c r="AJ96" s="451">
        <f t="shared" si="87"/>
        <v>0</v>
      </c>
    </row>
    <row r="97" spans="3:36" x14ac:dyDescent="0.3">
      <c r="E97" s="271"/>
      <c r="G97" s="451"/>
      <c r="H97" s="451"/>
      <c r="I97" s="451"/>
      <c r="J97" s="451"/>
      <c r="K97" s="451"/>
      <c r="L97" s="451"/>
      <c r="M97" s="451"/>
      <c r="N97" s="451"/>
      <c r="O97" s="451"/>
      <c r="P97" s="451"/>
      <c r="Q97" s="451"/>
      <c r="R97" s="451"/>
      <c r="S97" s="451"/>
      <c r="T97" s="451"/>
      <c r="U97" s="451"/>
      <c r="V97" s="451"/>
      <c r="W97" s="451"/>
      <c r="X97" s="451"/>
      <c r="Y97" s="451"/>
      <c r="Z97" s="451"/>
      <c r="AA97" s="451"/>
      <c r="AB97" s="451"/>
      <c r="AC97" s="451"/>
      <c r="AD97" s="451"/>
      <c r="AE97" s="451"/>
      <c r="AF97" s="451"/>
      <c r="AG97" s="451"/>
      <c r="AH97" s="451"/>
      <c r="AI97" s="451"/>
      <c r="AJ97" s="451"/>
    </row>
    <row r="98" spans="3:36" x14ac:dyDescent="0.3">
      <c r="C98" s="272"/>
      <c r="D98" s="272"/>
      <c r="E98" s="273" t="s">
        <v>684</v>
      </c>
      <c r="F98" s="272"/>
      <c r="G98" s="454"/>
      <c r="H98" s="454"/>
      <c r="I98" s="454"/>
      <c r="J98" s="454"/>
      <c r="K98" s="454"/>
      <c r="L98" s="454"/>
      <c r="M98" s="454"/>
      <c r="N98" s="454"/>
      <c r="O98" s="454"/>
      <c r="P98" s="454"/>
      <c r="Q98" s="454"/>
      <c r="R98" s="454"/>
      <c r="S98" s="454"/>
      <c r="T98" s="454"/>
      <c r="U98" s="454"/>
      <c r="V98" s="454"/>
      <c r="W98" s="454"/>
      <c r="X98" s="454"/>
      <c r="Y98" s="454"/>
      <c r="Z98" s="454"/>
      <c r="AA98" s="454"/>
      <c r="AB98" s="454"/>
      <c r="AC98" s="454"/>
      <c r="AD98" s="454"/>
      <c r="AE98" s="454"/>
      <c r="AF98" s="454"/>
      <c r="AG98" s="454"/>
      <c r="AH98" s="454"/>
      <c r="AI98" s="454"/>
      <c r="AJ98" s="454"/>
    </row>
    <row r="99" spans="3:36" x14ac:dyDescent="0.3">
      <c r="C99" s="268"/>
      <c r="D99" s="268"/>
      <c r="E99" s="269" t="s">
        <v>685</v>
      </c>
      <c r="F99" s="268"/>
      <c r="G99" s="455">
        <f>-IF(G$74&lt;0,0,G$74*$F90)</f>
        <v>0</v>
      </c>
      <c r="H99" s="455">
        <f t="shared" ref="H99:AJ99" si="88">-IF(H$74&lt;0,0,H$74*$F90)</f>
        <v>0</v>
      </c>
      <c r="I99" s="455">
        <f t="shared" si="88"/>
        <v>-319016.58461465279</v>
      </c>
      <c r="J99" s="455">
        <f t="shared" si="88"/>
        <v>-354555.58647227974</v>
      </c>
      <c r="K99" s="455">
        <f t="shared" si="88"/>
        <v>-1429191.3481280189</v>
      </c>
      <c r="L99" s="455">
        <f t="shared" si="88"/>
        <v>-1444609.8495862535</v>
      </c>
      <c r="M99" s="455">
        <f t="shared" si="88"/>
        <v>-1467452.0462763389</v>
      </c>
      <c r="N99" s="455">
        <f t="shared" si="88"/>
        <v>-1011368.2956128324</v>
      </c>
      <c r="O99" s="455">
        <f t="shared" si="88"/>
        <v>-1666896.6444689597</v>
      </c>
      <c r="P99" s="455">
        <f t="shared" si="88"/>
        <v>-1550181.6140208128</v>
      </c>
      <c r="Q99" s="455">
        <f t="shared" si="88"/>
        <v>-878982.88052351517</v>
      </c>
      <c r="R99" s="455">
        <f t="shared" si="88"/>
        <v>-916985.83714715787</v>
      </c>
      <c r="S99" s="455">
        <f t="shared" si="88"/>
        <v>-949226.22834628541</v>
      </c>
      <c r="T99" s="455">
        <f t="shared" si="88"/>
        <v>-980422.27510235098</v>
      </c>
      <c r="U99" s="455">
        <f t="shared" si="88"/>
        <v>-904665.41349010216</v>
      </c>
      <c r="V99" s="455">
        <f t="shared" si="88"/>
        <v>-960673.30444502831</v>
      </c>
      <c r="W99" s="455">
        <f t="shared" si="88"/>
        <v>-1492520.5735507181</v>
      </c>
      <c r="X99" s="455">
        <f t="shared" si="88"/>
        <v>-924111.58904896013</v>
      </c>
      <c r="Y99" s="455">
        <f t="shared" si="88"/>
        <v>-962689.95560806349</v>
      </c>
      <c r="Z99" s="455">
        <f t="shared" si="88"/>
        <v>-1092354.170135485</v>
      </c>
      <c r="AA99" s="455">
        <f t="shared" si="88"/>
        <v>-990142.57949518762</v>
      </c>
      <c r="AB99" s="455">
        <f t="shared" si="88"/>
        <v>-1006090.1778010848</v>
      </c>
      <c r="AC99" s="455">
        <f t="shared" si="88"/>
        <v>-1085755.0488699554</v>
      </c>
      <c r="AD99" s="455">
        <f t="shared" si="88"/>
        <v>-996634.69514378905</v>
      </c>
      <c r="AE99" s="455">
        <f t="shared" si="88"/>
        <v>-1386561.3348750654</v>
      </c>
      <c r="AF99" s="455">
        <f t="shared" si="88"/>
        <v>-837898.92713727953</v>
      </c>
      <c r="AG99" s="455">
        <f t="shared" si="88"/>
        <v>-868694.9880199004</v>
      </c>
      <c r="AH99" s="455">
        <f t="shared" si="88"/>
        <v>-898547.29388565233</v>
      </c>
      <c r="AI99" s="455">
        <f t="shared" si="88"/>
        <v>-927540.16465242917</v>
      </c>
      <c r="AJ99" s="455">
        <f t="shared" si="88"/>
        <v>-763655.7777163689</v>
      </c>
    </row>
    <row r="100" spans="3:36" x14ac:dyDescent="0.3">
      <c r="C100" s="268"/>
      <c r="D100" s="268"/>
      <c r="E100" s="269" t="s">
        <v>686</v>
      </c>
      <c r="F100" s="268"/>
      <c r="G100" s="455">
        <f>-IF(G92&lt;0,0,G92*$F90)</f>
        <v>0</v>
      </c>
      <c r="H100" s="455">
        <f t="shared" ref="H100:AJ100" si="89">-IF(H92&lt;0,0,H92*$F90)</f>
        <v>0</v>
      </c>
      <c r="I100" s="455">
        <f t="shared" si="89"/>
        <v>-223311.60923025696</v>
      </c>
      <c r="J100" s="455">
        <f t="shared" si="89"/>
        <v>-275442.18774320383</v>
      </c>
      <c r="K100" s="455">
        <f t="shared" si="89"/>
        <v>-1000433.9436896133</v>
      </c>
      <c r="L100" s="455">
        <f t="shared" si="89"/>
        <v>-1061511.1790465126</v>
      </c>
      <c r="M100" s="455">
        <f t="shared" si="89"/>
        <v>-1076430.2278076555</v>
      </c>
      <c r="N100" s="455">
        <f t="shared" si="89"/>
        <v>-1120507.9075739544</v>
      </c>
      <c r="O100" s="455">
        <f t="shared" si="89"/>
        <v>-1881888.9658971331</v>
      </c>
      <c r="P100" s="455">
        <f t="shared" si="89"/>
        <v>-1801708.0619465478</v>
      </c>
      <c r="Q100" s="455">
        <f t="shared" si="89"/>
        <v>-1070597.1558566005</v>
      </c>
      <c r="R100" s="455">
        <f t="shared" si="89"/>
        <v>-1096022.7391768834</v>
      </c>
      <c r="S100" s="455">
        <f t="shared" si="89"/>
        <v>-1115026.6454982052</v>
      </c>
      <c r="T100" s="455">
        <f t="shared" si="89"/>
        <v>-1132292.5340034342</v>
      </c>
      <c r="U100" s="455">
        <f t="shared" si="89"/>
        <v>-1118634.5089083298</v>
      </c>
      <c r="V100" s="455">
        <f t="shared" si="89"/>
        <v>-1150109.4974951767</v>
      </c>
      <c r="W100" s="455">
        <f t="shared" si="89"/>
        <v>-1662312.2612945046</v>
      </c>
      <c r="X100" s="455">
        <f t="shared" si="89"/>
        <v>-1073226.6732041701</v>
      </c>
      <c r="Y100" s="455">
        <f t="shared" si="89"/>
        <v>-1090042.0838594534</v>
      </c>
      <c r="Z100" s="455">
        <f t="shared" si="89"/>
        <v>-1196799.8827157058</v>
      </c>
      <c r="AA100" s="455">
        <f t="shared" si="89"/>
        <v>-1046209.2314550488</v>
      </c>
      <c r="AB100" s="455">
        <f t="shared" si="89"/>
        <v>-1065812.6362933246</v>
      </c>
      <c r="AC100" s="455">
        <f t="shared" si="89"/>
        <v>-1044824.4769517028</v>
      </c>
      <c r="AD100" s="455">
        <f t="shared" si="89"/>
        <v>-1030996.7264378559</v>
      </c>
      <c r="AE100" s="455">
        <f t="shared" si="89"/>
        <v>-1416155.342016554</v>
      </c>
      <c r="AF100" s="455">
        <f t="shared" si="89"/>
        <v>-862063.04529805796</v>
      </c>
      <c r="AG100" s="455">
        <f t="shared" si="89"/>
        <v>-887140.67237490683</v>
      </c>
      <c r="AH100" s="455">
        <f t="shared" si="89"/>
        <v>-910970.66630994237</v>
      </c>
      <c r="AI100" s="455">
        <f t="shared" si="89"/>
        <v>-933621.19890813867</v>
      </c>
      <c r="AJ100" s="455">
        <f t="shared" si="89"/>
        <v>-731555.09153190127</v>
      </c>
    </row>
    <row r="101" spans="3:36" x14ac:dyDescent="0.3">
      <c r="C101" s="268"/>
      <c r="D101" s="268"/>
      <c r="E101" s="269" t="s">
        <v>683</v>
      </c>
      <c r="F101" s="268"/>
      <c r="G101" s="455">
        <f>G95+G96</f>
        <v>1145907.635112406</v>
      </c>
      <c r="H101" s="455">
        <f t="shared" ref="H101:AJ101" si="90">H95+H96</f>
        <v>488963.83072924649</v>
      </c>
      <c r="I101" s="455">
        <f t="shared" si="90"/>
        <v>-95704.975384395831</v>
      </c>
      <c r="J101" s="455">
        <f t="shared" si="90"/>
        <v>-106366.67594168392</v>
      </c>
      <c r="K101" s="455">
        <f t="shared" si="90"/>
        <v>-428757.40443840565</v>
      </c>
      <c r="L101" s="455">
        <f t="shared" si="90"/>
        <v>-433382.95487587602</v>
      </c>
      <c r="M101" s="455">
        <f t="shared" si="90"/>
        <v>-440235.61388290167</v>
      </c>
      <c r="N101" s="455">
        <f t="shared" si="90"/>
        <v>-130423.84131838934</v>
      </c>
      <c r="O101" s="455">
        <f t="shared" si="90"/>
        <v>0</v>
      </c>
      <c r="P101" s="455">
        <f t="shared" si="90"/>
        <v>0</v>
      </c>
      <c r="Q101" s="455">
        <f t="shared" si="90"/>
        <v>0</v>
      </c>
      <c r="R101" s="455">
        <f t="shared" si="90"/>
        <v>0</v>
      </c>
      <c r="S101" s="455">
        <f t="shared" si="90"/>
        <v>0</v>
      </c>
      <c r="T101" s="455">
        <f t="shared" si="90"/>
        <v>0</v>
      </c>
      <c r="U101" s="455">
        <f t="shared" si="90"/>
        <v>0</v>
      </c>
      <c r="V101" s="455">
        <f t="shared" si="90"/>
        <v>0</v>
      </c>
      <c r="W101" s="455">
        <f t="shared" si="90"/>
        <v>0</v>
      </c>
      <c r="X101" s="455">
        <f t="shared" si="90"/>
        <v>0</v>
      </c>
      <c r="Y101" s="455">
        <f t="shared" si="90"/>
        <v>0</v>
      </c>
      <c r="Z101" s="455">
        <f t="shared" si="90"/>
        <v>0</v>
      </c>
      <c r="AA101" s="455">
        <f t="shared" si="90"/>
        <v>0</v>
      </c>
      <c r="AB101" s="455">
        <f t="shared" si="90"/>
        <v>0</v>
      </c>
      <c r="AC101" s="455">
        <f t="shared" si="90"/>
        <v>0</v>
      </c>
      <c r="AD101" s="455">
        <f t="shared" si="90"/>
        <v>0</v>
      </c>
      <c r="AE101" s="455">
        <f t="shared" si="90"/>
        <v>0</v>
      </c>
      <c r="AF101" s="455">
        <f t="shared" si="90"/>
        <v>0</v>
      </c>
      <c r="AG101" s="455">
        <f t="shared" si="90"/>
        <v>0</v>
      </c>
      <c r="AH101" s="455">
        <f t="shared" si="90"/>
        <v>0</v>
      </c>
      <c r="AI101" s="455">
        <f t="shared" si="90"/>
        <v>0</v>
      </c>
      <c r="AJ101" s="455">
        <f t="shared" si="90"/>
        <v>0</v>
      </c>
    </row>
    <row r="102" spans="3:36" x14ac:dyDescent="0.3">
      <c r="G102" s="451"/>
      <c r="H102" s="451"/>
      <c r="I102" s="451"/>
      <c r="J102" s="451"/>
      <c r="K102" s="451"/>
      <c r="L102" s="451"/>
      <c r="M102" s="451"/>
      <c r="N102" s="451"/>
      <c r="O102" s="451"/>
      <c r="P102" s="451"/>
      <c r="Q102" s="451"/>
      <c r="R102" s="451"/>
      <c r="S102" s="451"/>
      <c r="T102" s="451"/>
      <c r="U102" s="451"/>
      <c r="V102" s="451"/>
      <c r="W102" s="451"/>
      <c r="X102" s="451"/>
      <c r="Y102" s="451"/>
      <c r="Z102" s="451"/>
      <c r="AA102" s="451"/>
      <c r="AB102" s="451"/>
      <c r="AC102" s="451"/>
      <c r="AD102" s="451"/>
      <c r="AE102" s="451"/>
      <c r="AF102" s="451"/>
      <c r="AG102" s="451"/>
      <c r="AH102" s="451"/>
      <c r="AI102" s="451"/>
      <c r="AJ102" s="451"/>
    </row>
    <row r="103" spans="3:36" x14ac:dyDescent="0.3">
      <c r="G103" s="457"/>
      <c r="H103" s="457"/>
      <c r="I103" s="457"/>
      <c r="J103" s="457"/>
      <c r="K103" s="457"/>
      <c r="L103" s="457"/>
      <c r="M103" s="457"/>
      <c r="N103" s="457"/>
      <c r="O103" s="457"/>
      <c r="P103" s="457"/>
      <c r="Q103" s="457"/>
      <c r="R103" s="457"/>
      <c r="S103" s="457"/>
      <c r="T103" s="457"/>
      <c r="U103" s="457"/>
      <c r="V103" s="457"/>
      <c r="W103" s="457"/>
      <c r="X103" s="457"/>
      <c r="Y103" s="457"/>
      <c r="Z103" s="457"/>
      <c r="AA103" s="457"/>
      <c r="AB103" s="457"/>
      <c r="AC103" s="457"/>
      <c r="AD103" s="457"/>
      <c r="AE103" s="457"/>
      <c r="AF103" s="457"/>
      <c r="AG103" s="457"/>
      <c r="AH103" s="457"/>
      <c r="AI103" s="457"/>
      <c r="AJ103" s="457"/>
    </row>
    <row r="104" spans="3:36" x14ac:dyDescent="0.3">
      <c r="C104" s="274"/>
      <c r="D104" s="274"/>
      <c r="E104" s="265" t="s">
        <v>687</v>
      </c>
      <c r="F104" s="266"/>
      <c r="G104" s="458">
        <f t="shared" ref="G104:AJ104" si="91">SUM(G9:G10,G13:G21)-G86-G100-SUM(G30:G31)</f>
        <v>5293505.1597336261</v>
      </c>
      <c r="H104" s="458">
        <f t="shared" si="91"/>
        <v>5661678.4059094843</v>
      </c>
      <c r="I104" s="458">
        <f t="shared" si="91"/>
        <v>6588309.1699911822</v>
      </c>
      <c r="J104" s="458">
        <f t="shared" si="91"/>
        <v>6787278.4947322784</v>
      </c>
      <c r="K104" s="458">
        <f t="shared" si="91"/>
        <v>9655700.8578053471</v>
      </c>
      <c r="L104" s="458">
        <f t="shared" si="91"/>
        <v>9795304.4539379925</v>
      </c>
      <c r="M104" s="458">
        <f t="shared" si="91"/>
        <v>9893167.9095796403</v>
      </c>
      <c r="N104" s="458">
        <f t="shared" si="91"/>
        <v>9449740.2230080776</v>
      </c>
      <c r="O104" s="458">
        <f t="shared" si="91"/>
        <v>13158977.746691221</v>
      </c>
      <c r="P104" s="458">
        <f t="shared" si="91"/>
        <v>12679295.913686393</v>
      </c>
      <c r="Q104" s="458">
        <f t="shared" si="91"/>
        <v>9504221.6032625884</v>
      </c>
      <c r="R104" s="458">
        <f t="shared" si="91"/>
        <v>9650029.8239447605</v>
      </c>
      <c r="S104" s="458">
        <f t="shared" si="91"/>
        <v>9773409.2414487619</v>
      </c>
      <c r="T104" s="458">
        <f t="shared" si="91"/>
        <v>9892149.6843503844</v>
      </c>
      <c r="U104" s="458">
        <f t="shared" si="91"/>
        <v>9682874.8015174698</v>
      </c>
      <c r="V104" s="458">
        <f t="shared" si="91"/>
        <v>9884824.6218868308</v>
      </c>
      <c r="W104" s="458">
        <f t="shared" si="91"/>
        <v>12552532.764660107</v>
      </c>
      <c r="X104" s="458">
        <f t="shared" si="91"/>
        <v>9718464.2769457642</v>
      </c>
      <c r="Y104" s="458">
        <f t="shared" si="91"/>
        <v>9848483.2168791778</v>
      </c>
      <c r="Z104" s="458">
        <f t="shared" si="91"/>
        <v>10452944.424414618</v>
      </c>
      <c r="AA104" s="458">
        <f t="shared" si="91"/>
        <v>9892980.3526270948</v>
      </c>
      <c r="AB104" s="458">
        <f t="shared" si="91"/>
        <v>9962924.041595703</v>
      </c>
      <c r="AC104" s="458">
        <f t="shared" si="91"/>
        <v>10169268.590726012</v>
      </c>
      <c r="AD104" s="458">
        <f t="shared" si="91"/>
        <v>9913925.7020312119</v>
      </c>
      <c r="AE104" s="458">
        <f t="shared" si="91"/>
        <v>12060365.726099377</v>
      </c>
      <c r="AF104" s="458">
        <f t="shared" si="91"/>
        <v>9316142.1318790186</v>
      </c>
      <c r="AG104" s="458">
        <f t="shared" si="91"/>
        <v>9432805.7724659909</v>
      </c>
      <c r="AH104" s="458">
        <f t="shared" si="91"/>
        <v>9545600.2381976228</v>
      </c>
      <c r="AI104" s="458">
        <f t="shared" si="91"/>
        <v>9654827.9228730444</v>
      </c>
      <c r="AJ104" s="458">
        <f t="shared" si="91"/>
        <v>9003568.8072883673</v>
      </c>
    </row>
    <row r="105" spans="3:36" x14ac:dyDescent="0.3">
      <c r="G105" s="468"/>
      <c r="I105" s="259"/>
    </row>
    <row r="106" spans="3:36" x14ac:dyDescent="0.3">
      <c r="G106" s="468"/>
      <c r="I106" s="259"/>
    </row>
    <row r="107" spans="3:36" x14ac:dyDescent="0.3">
      <c r="G107" s="468"/>
      <c r="I107" s="259"/>
    </row>
    <row r="108" spans="3:36" x14ac:dyDescent="0.3">
      <c r="G108" s="468"/>
      <c r="I108" s="259"/>
    </row>
    <row r="109" spans="3:36" x14ac:dyDescent="0.3">
      <c r="G109" s="468"/>
      <c r="I109" s="259"/>
    </row>
    <row r="110" spans="3:36" x14ac:dyDescent="0.3">
      <c r="C110" s="199" t="s">
        <v>689</v>
      </c>
    </row>
    <row r="111" spans="3:36" x14ac:dyDescent="0.3">
      <c r="C111" s="224" t="s">
        <v>135</v>
      </c>
    </row>
    <row r="112" spans="3:36" x14ac:dyDescent="0.3">
      <c r="C112" s="224" t="s">
        <v>136</v>
      </c>
    </row>
    <row r="113" spans="3:3" x14ac:dyDescent="0.3">
      <c r="C113" s="224" t="s">
        <v>137</v>
      </c>
    </row>
    <row r="114" spans="3:3" x14ac:dyDescent="0.3">
      <c r="C114" s="224" t="s">
        <v>138</v>
      </c>
    </row>
    <row r="115" spans="3:3" x14ac:dyDescent="0.3">
      <c r="C115" s="224" t="s">
        <v>690</v>
      </c>
    </row>
    <row r="116" spans="3:3" x14ac:dyDescent="0.3">
      <c r="C116" s="224" t="s">
        <v>139</v>
      </c>
    </row>
    <row r="117" spans="3:3" x14ac:dyDescent="0.3">
      <c r="C117" s="224" t="s">
        <v>691</v>
      </c>
    </row>
    <row r="118" spans="3:3" x14ac:dyDescent="0.3">
      <c r="C118" s="224" t="s">
        <v>692</v>
      </c>
    </row>
    <row r="119" spans="3:3" x14ac:dyDescent="0.3">
      <c r="C119" s="224" t="s">
        <v>142</v>
      </c>
    </row>
    <row r="120" spans="3:3" x14ac:dyDescent="0.3">
      <c r="C120" s="224" t="s">
        <v>693</v>
      </c>
    </row>
    <row r="121" spans="3:3" x14ac:dyDescent="0.3">
      <c r="C121" s="224" t="s">
        <v>694</v>
      </c>
    </row>
    <row r="122" spans="3:3" x14ac:dyDescent="0.3">
      <c r="C122" s="224" t="s">
        <v>143</v>
      </c>
    </row>
    <row r="123" spans="3:3" x14ac:dyDescent="0.3">
      <c r="C123" s="224" t="s">
        <v>695</v>
      </c>
    </row>
    <row r="124" spans="3:3" x14ac:dyDescent="0.3">
      <c r="C124" s="199"/>
    </row>
    <row r="125" spans="3:3" ht="13" x14ac:dyDescent="0.3">
      <c r="C125" s="162"/>
    </row>
  </sheetData>
  <sheetProtection algorithmName="SHA-512" hashValue="hvvuRcrPy8zR9HzIlJqD8m+cdVHi4EnzCYaqWZelYhVf7zKW5g+cAPJK5/U+ZctiTejmks6R7yiWp18fFQkZVg==" saltValue="XDE6laTgD3mBFYEVNdKFbg==" spinCount="100000" sheet="1" objects="1" scenarios="1"/>
  <printOptions verticalCentered="1"/>
  <pageMargins left="0.51181102362204722" right="0" top="0.78740157480314965" bottom="0.78740157480314965" header="0.31496062992125984" footer="0.31496062992125984"/>
  <pageSetup paperSize="8" scale="49" orientation="landscape" r:id="rId1"/>
  <headerFooter>
    <oddFooter>&amp;C_x000D_&amp;1#&amp;"Aptos"&amp;10&amp;K000000 INFORMAÇÃO CONTROLADA</oddFooter>
  </headerFooter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3AD4-E6F9-4E03-BC48-B8A41E0189D3}">
  <sheetPr codeName="Plan19">
    <tabColor theme="0" tint="-4.9989318521683403E-2"/>
  </sheetPr>
  <dimension ref="A1:AJ61"/>
  <sheetViews>
    <sheetView showGridLines="0" topLeftCell="A45" workbookViewId="0">
      <selection activeCell="F24" sqref="F24"/>
    </sheetView>
  </sheetViews>
  <sheetFormatPr defaultColWidth="9.08984375" defaultRowHeight="12" x14ac:dyDescent="0.3"/>
  <cols>
    <col min="1" max="1" width="9.08984375" style="79"/>
    <col min="2" max="2" width="3.6328125" style="79" customWidth="1"/>
    <col min="3" max="4" width="4.08984375" style="79" customWidth="1"/>
    <col min="5" max="5" width="41.81640625" style="79" bestFit="1" customWidth="1"/>
    <col min="6" max="6" width="10.81640625" style="79" bestFit="1" customWidth="1"/>
    <col min="7" max="36" width="11.453125" style="79" customWidth="1"/>
    <col min="37" max="16384" width="9.08984375" style="79"/>
  </cols>
  <sheetData>
    <row r="1" spans="1:36" x14ac:dyDescent="0.3">
      <c r="A1" s="173"/>
      <c r="G1" s="199"/>
    </row>
    <row r="2" spans="1:36" x14ac:dyDescent="0.3">
      <c r="A2" s="173"/>
      <c r="G2" s="199"/>
    </row>
    <row r="3" spans="1:36" ht="12.5" thickBot="1" x14ac:dyDescent="0.35">
      <c r="A3" s="252"/>
      <c r="C3" s="253" t="s">
        <v>696</v>
      </c>
      <c r="D3" s="253"/>
      <c r="H3" s="254"/>
    </row>
    <row r="4" spans="1:36" s="252" customFormat="1" ht="12.5" thickTop="1" x14ac:dyDescent="0.35">
      <c r="A4" s="173"/>
      <c r="C4" s="255" t="s">
        <v>666</v>
      </c>
      <c r="D4" s="256"/>
      <c r="E4" s="257"/>
      <c r="F4" s="258"/>
      <c r="G4" s="258">
        <v>1</v>
      </c>
      <c r="H4" s="258">
        <v>2</v>
      </c>
      <c r="I4" s="258">
        <v>3</v>
      </c>
      <c r="J4" s="258">
        <v>4</v>
      </c>
      <c r="K4" s="258">
        <v>5</v>
      </c>
      <c r="L4" s="258">
        <v>6</v>
      </c>
      <c r="M4" s="258">
        <v>7</v>
      </c>
      <c r="N4" s="258">
        <v>8</v>
      </c>
      <c r="O4" s="258">
        <v>9</v>
      </c>
      <c r="P4" s="258">
        <v>10</v>
      </c>
      <c r="Q4" s="258">
        <v>11</v>
      </c>
      <c r="R4" s="258">
        <v>12</v>
      </c>
      <c r="S4" s="258">
        <v>13</v>
      </c>
      <c r="T4" s="258">
        <v>14</v>
      </c>
      <c r="U4" s="258">
        <v>15</v>
      </c>
      <c r="V4" s="258">
        <v>16</v>
      </c>
      <c r="W4" s="258">
        <v>17</v>
      </c>
      <c r="X4" s="258">
        <v>18</v>
      </c>
      <c r="Y4" s="258">
        <v>19</v>
      </c>
      <c r="Z4" s="258">
        <v>20</v>
      </c>
      <c r="AA4" s="258">
        <v>21</v>
      </c>
      <c r="AB4" s="258">
        <v>22</v>
      </c>
      <c r="AC4" s="258">
        <v>23</v>
      </c>
      <c r="AD4" s="258">
        <v>24</v>
      </c>
      <c r="AE4" s="258">
        <v>25</v>
      </c>
      <c r="AF4" s="258">
        <v>26</v>
      </c>
      <c r="AG4" s="258">
        <v>27</v>
      </c>
      <c r="AH4" s="258">
        <v>28</v>
      </c>
      <c r="AI4" s="258">
        <v>29</v>
      </c>
      <c r="AJ4" s="258">
        <v>30</v>
      </c>
    </row>
    <row r="5" spans="1:36" s="173" customFormat="1" x14ac:dyDescent="0.3">
      <c r="A5" s="199"/>
      <c r="D5" s="193"/>
    </row>
    <row r="6" spans="1:36" ht="12.5" thickBot="1" x14ac:dyDescent="0.35">
      <c r="E6" s="199" t="s">
        <v>130</v>
      </c>
      <c r="F6" s="199"/>
      <c r="G6" s="451">
        <f>Receitas!E146</f>
        <v>46842759.785147183</v>
      </c>
      <c r="H6" s="451">
        <f>Receitas!F146</f>
        <v>50761512.530046195</v>
      </c>
      <c r="I6" s="451">
        <f>Receitas!G146</f>
        <v>52038491.037496328</v>
      </c>
      <c r="J6" s="451">
        <f>Receitas!H146</f>
        <v>52817372.272439964</v>
      </c>
      <c r="K6" s="451">
        <f>Receitas!I146</f>
        <v>53338155.551371142</v>
      </c>
      <c r="L6" s="451">
        <f>Receitas!J146</f>
        <v>53801359.905344352</v>
      </c>
      <c r="M6" s="451">
        <f>Receitas!K146</f>
        <v>54167699.017755128</v>
      </c>
      <c r="N6" s="451">
        <f>Receitas!L146</f>
        <v>54391131.301522218</v>
      </c>
      <c r="O6" s="451">
        <f>Receitas!M146</f>
        <v>62240805.478543244</v>
      </c>
      <c r="P6" s="451">
        <f>Receitas!N146</f>
        <v>61376641.503707692</v>
      </c>
      <c r="Q6" s="451">
        <f>Receitas!O146</f>
        <v>55061353.665590197</v>
      </c>
      <c r="R6" s="451">
        <f>Receitas!P146</f>
        <v>55195316.268373974</v>
      </c>
      <c r="S6" s="451">
        <f>Receitas!Q146</f>
        <v>55329278.871157736</v>
      </c>
      <c r="T6" s="451">
        <f>Receitas!R146</f>
        <v>55463241.473941483</v>
      </c>
      <c r="U6" s="451">
        <f>Receitas!S146</f>
        <v>55597204.076725237</v>
      </c>
      <c r="V6" s="451">
        <f>Receitas!T146</f>
        <v>55731893.872569099</v>
      </c>
      <c r="W6" s="451">
        <f>Receitas!U146</f>
        <v>63057117.041640908</v>
      </c>
      <c r="X6" s="451">
        <f>Receitas!V146</f>
        <v>55850222.292159677</v>
      </c>
      <c r="Y6" s="451">
        <f>Receitas!W146</f>
        <v>55909386.501954973</v>
      </c>
      <c r="Z6" s="451">
        <f>Receitas!X146</f>
        <v>57389995.414935328</v>
      </c>
      <c r="AA6" s="451">
        <f>Receitas!Y146</f>
        <v>56027567.160831645</v>
      </c>
      <c r="AB6" s="451">
        <f>Receitas!Z146</f>
        <v>56086731.370626941</v>
      </c>
      <c r="AC6" s="451">
        <f>Receitas!AA146</f>
        <v>56145895.580422238</v>
      </c>
      <c r="AD6" s="451">
        <f>Receitas!AB146</f>
        <v>56205059.790217534</v>
      </c>
      <c r="AE6" s="451">
        <f>Receitas!AC146</f>
        <v>63530282.959289357</v>
      </c>
      <c r="AF6" s="451">
        <f>Receitas!AD146</f>
        <v>56323388.209808119</v>
      </c>
      <c r="AG6" s="451">
        <f>Receitas!AE146</f>
        <v>56382552.419603407</v>
      </c>
      <c r="AH6" s="451">
        <f>Receitas!AF146</f>
        <v>56441716.629398704</v>
      </c>
      <c r="AI6" s="451">
        <f>Receitas!AG146</f>
        <v>56500880.839194007</v>
      </c>
      <c r="AJ6" s="451">
        <f>Receitas!AH146</f>
        <v>56560045.048989289</v>
      </c>
    </row>
    <row r="7" spans="1:36" ht="15" thickBot="1" x14ac:dyDescent="0.4">
      <c r="E7" s="260" t="s">
        <v>131</v>
      </c>
      <c r="F7" s="450">
        <f>'Premissas Gerais'!G99</f>
        <v>6.4999999999999997E-3</v>
      </c>
      <c r="G7" s="451">
        <f>$F7*G$6</f>
        <v>304477.93860345666</v>
      </c>
      <c r="H7" s="451">
        <f t="shared" ref="H7:AJ8" si="0">$F7*H$6</f>
        <v>329949.83144530025</v>
      </c>
      <c r="I7" s="451">
        <f t="shared" si="0"/>
        <v>338250.19174372614</v>
      </c>
      <c r="J7" s="451">
        <f t="shared" si="0"/>
        <v>343312.91977085976</v>
      </c>
      <c r="K7" s="451">
        <f t="shared" si="0"/>
        <v>346698.0110839124</v>
      </c>
      <c r="L7" s="451">
        <f t="shared" si="0"/>
        <v>349708.8393847383</v>
      </c>
      <c r="M7" s="451">
        <f t="shared" si="0"/>
        <v>352090.0436154083</v>
      </c>
      <c r="N7" s="451">
        <f t="shared" si="0"/>
        <v>353542.35345989442</v>
      </c>
      <c r="O7" s="451">
        <f t="shared" si="0"/>
        <v>404565.23561053106</v>
      </c>
      <c r="P7" s="451">
        <f t="shared" si="0"/>
        <v>398948.16977409995</v>
      </c>
      <c r="Q7" s="451">
        <f t="shared" si="0"/>
        <v>357898.79882633628</v>
      </c>
      <c r="R7" s="451">
        <f t="shared" si="0"/>
        <v>358769.55574443081</v>
      </c>
      <c r="S7" s="451">
        <f t="shared" si="0"/>
        <v>359640.31266252528</v>
      </c>
      <c r="T7" s="451">
        <f t="shared" si="0"/>
        <v>360511.06958061963</v>
      </c>
      <c r="U7" s="451">
        <f t="shared" si="0"/>
        <v>361381.82649871404</v>
      </c>
      <c r="V7" s="451">
        <f t="shared" si="0"/>
        <v>362257.31017169915</v>
      </c>
      <c r="W7" s="451">
        <f t="shared" si="0"/>
        <v>409871.26077066589</v>
      </c>
      <c r="X7" s="451">
        <f t="shared" si="0"/>
        <v>363026.44489903789</v>
      </c>
      <c r="Y7" s="451">
        <f t="shared" si="0"/>
        <v>363411.01226270729</v>
      </c>
      <c r="Z7" s="451">
        <f t="shared" si="0"/>
        <v>373034.97019707959</v>
      </c>
      <c r="AA7" s="451">
        <f t="shared" si="0"/>
        <v>364179.18654540565</v>
      </c>
      <c r="AB7" s="451">
        <f t="shared" si="0"/>
        <v>364563.75390907511</v>
      </c>
      <c r="AC7" s="451">
        <f t="shared" si="0"/>
        <v>364948.32127274451</v>
      </c>
      <c r="AD7" s="451">
        <f t="shared" si="0"/>
        <v>365332.88863641396</v>
      </c>
      <c r="AE7" s="451">
        <f t="shared" si="0"/>
        <v>412946.83923538082</v>
      </c>
      <c r="AF7" s="451">
        <f t="shared" si="0"/>
        <v>366102.02336375276</v>
      </c>
      <c r="AG7" s="451">
        <f t="shared" si="0"/>
        <v>366486.59072742215</v>
      </c>
      <c r="AH7" s="451">
        <f t="shared" si="0"/>
        <v>366871.15809109155</v>
      </c>
      <c r="AI7" s="451">
        <f t="shared" si="0"/>
        <v>367255.72545476101</v>
      </c>
      <c r="AJ7" s="451">
        <f t="shared" si="0"/>
        <v>367640.29281843035</v>
      </c>
    </row>
    <row r="8" spans="1:36" ht="15" thickBot="1" x14ac:dyDescent="0.4">
      <c r="A8" s="261"/>
      <c r="E8" s="260" t="s">
        <v>133</v>
      </c>
      <c r="F8" s="450">
        <f>'Premissas Gerais'!G100</f>
        <v>0.03</v>
      </c>
      <c r="G8" s="451">
        <f>$F8*G$6</f>
        <v>1405282.7935544155</v>
      </c>
      <c r="H8" s="451">
        <f t="shared" si="0"/>
        <v>1522845.3759013857</v>
      </c>
      <c r="I8" s="451">
        <f t="shared" si="0"/>
        <v>1561154.7311248898</v>
      </c>
      <c r="J8" s="451">
        <f t="shared" si="0"/>
        <v>1584521.1681731988</v>
      </c>
      <c r="K8" s="451">
        <f t="shared" si="0"/>
        <v>1600144.6665411342</v>
      </c>
      <c r="L8" s="451">
        <f t="shared" si="0"/>
        <v>1614040.7971603305</v>
      </c>
      <c r="M8" s="451">
        <f t="shared" si="0"/>
        <v>1625030.9705326539</v>
      </c>
      <c r="N8" s="451">
        <f t="shared" si="0"/>
        <v>1631733.9390456665</v>
      </c>
      <c r="O8" s="451">
        <f t="shared" si="0"/>
        <v>1867224.1643562973</v>
      </c>
      <c r="P8" s="451">
        <f t="shared" si="0"/>
        <v>1841299.2451112308</v>
      </c>
      <c r="Q8" s="451">
        <f t="shared" si="0"/>
        <v>1651840.6099677058</v>
      </c>
      <c r="R8" s="451">
        <f t="shared" si="0"/>
        <v>1655859.4880512191</v>
      </c>
      <c r="S8" s="451">
        <f t="shared" si="0"/>
        <v>1659878.366134732</v>
      </c>
      <c r="T8" s="451">
        <f t="shared" si="0"/>
        <v>1663897.2442182445</v>
      </c>
      <c r="U8" s="451">
        <f t="shared" si="0"/>
        <v>1667916.1223017571</v>
      </c>
      <c r="V8" s="451">
        <f t="shared" si="0"/>
        <v>1671956.8161770729</v>
      </c>
      <c r="W8" s="451">
        <f t="shared" si="0"/>
        <v>1891713.5112492272</v>
      </c>
      <c r="X8" s="451">
        <f t="shared" si="0"/>
        <v>1675506.6687647903</v>
      </c>
      <c r="Y8" s="451">
        <f t="shared" si="0"/>
        <v>1677281.5950586491</v>
      </c>
      <c r="Z8" s="451">
        <f t="shared" si="0"/>
        <v>1721699.8624480597</v>
      </c>
      <c r="AA8" s="451">
        <f t="shared" si="0"/>
        <v>1680827.0148249492</v>
      </c>
      <c r="AB8" s="451">
        <f t="shared" si="0"/>
        <v>1682601.9411188082</v>
      </c>
      <c r="AC8" s="451">
        <f t="shared" si="0"/>
        <v>1684376.867412667</v>
      </c>
      <c r="AD8" s="451">
        <f t="shared" si="0"/>
        <v>1686151.793706526</v>
      </c>
      <c r="AE8" s="451">
        <f t="shared" si="0"/>
        <v>1905908.4887786806</v>
      </c>
      <c r="AF8" s="451">
        <f t="shared" si="0"/>
        <v>1689701.6462942434</v>
      </c>
      <c r="AG8" s="451">
        <f t="shared" si="0"/>
        <v>1691476.5725881022</v>
      </c>
      <c r="AH8" s="451">
        <f t="shared" si="0"/>
        <v>1693251.498881961</v>
      </c>
      <c r="AI8" s="451">
        <f t="shared" si="0"/>
        <v>1695026.4251758202</v>
      </c>
      <c r="AJ8" s="451">
        <f t="shared" si="0"/>
        <v>1696801.3514696786</v>
      </c>
    </row>
    <row r="9" spans="1:36" x14ac:dyDescent="0.3">
      <c r="A9" s="261"/>
      <c r="G9" s="451"/>
      <c r="H9" s="451"/>
      <c r="I9" s="451"/>
      <c r="J9" s="451"/>
      <c r="K9" s="451"/>
      <c r="L9" s="451"/>
      <c r="M9" s="451"/>
      <c r="N9" s="451"/>
      <c r="O9" s="451"/>
      <c r="P9" s="451"/>
      <c r="Q9" s="451"/>
      <c r="R9" s="451"/>
      <c r="S9" s="451"/>
      <c r="T9" s="451"/>
      <c r="U9" s="451"/>
      <c r="V9" s="451"/>
      <c r="W9" s="451"/>
      <c r="X9" s="451"/>
      <c r="Y9" s="451"/>
      <c r="Z9" s="451"/>
      <c r="AA9" s="451"/>
      <c r="AB9" s="451"/>
      <c r="AC9" s="451"/>
      <c r="AD9" s="451"/>
      <c r="AE9" s="451"/>
      <c r="AF9" s="451"/>
      <c r="AG9" s="451"/>
      <c r="AH9" s="451"/>
      <c r="AI9" s="451"/>
      <c r="AJ9" s="451"/>
    </row>
    <row r="10" spans="1:36" ht="12.5" thickBot="1" x14ac:dyDescent="0.35">
      <c r="E10" s="260" t="s">
        <v>667</v>
      </c>
      <c r="F10" s="199"/>
      <c r="G10" s="451"/>
      <c r="H10" s="451"/>
      <c r="I10" s="451"/>
      <c r="J10" s="451"/>
      <c r="K10" s="451"/>
      <c r="L10" s="451"/>
      <c r="M10" s="451"/>
      <c r="N10" s="451"/>
      <c r="O10" s="451"/>
      <c r="P10" s="451"/>
      <c r="Q10" s="451"/>
      <c r="R10" s="451"/>
      <c r="S10" s="451"/>
      <c r="T10" s="451"/>
      <c r="U10" s="451"/>
      <c r="V10" s="451"/>
      <c r="W10" s="451"/>
      <c r="X10" s="451"/>
      <c r="Y10" s="451"/>
      <c r="Z10" s="451"/>
      <c r="AA10" s="451"/>
      <c r="AB10" s="451"/>
      <c r="AC10" s="451"/>
      <c r="AD10" s="451"/>
      <c r="AE10" s="451"/>
      <c r="AF10" s="451"/>
      <c r="AG10" s="451"/>
      <c r="AH10" s="451"/>
      <c r="AI10" s="451"/>
      <c r="AJ10" s="451"/>
    </row>
    <row r="11" spans="1:36" ht="15" thickBot="1" x14ac:dyDescent="0.4">
      <c r="E11" s="222" t="s">
        <v>1</v>
      </c>
      <c r="F11" s="450">
        <f>'Premissas Gerais'!G103</f>
        <v>0.03</v>
      </c>
      <c r="G11" s="451">
        <f>(Receitas!E9+Receitas!E125)*$F$11</f>
        <v>17005.815853120399</v>
      </c>
      <c r="H11" s="451">
        <f>(Receitas!F9+Receitas!F125)*$F$11</f>
        <v>16909.265043961885</v>
      </c>
      <c r="I11" s="451">
        <f>(Receitas!G9+Receitas!G125)*$F$11</f>
        <v>16812.714234803367</v>
      </c>
      <c r="J11" s="451">
        <f>(Receitas!H9+Receitas!H125)*$F$11</f>
        <v>16716.163425644852</v>
      </c>
      <c r="K11" s="451">
        <f>(Receitas!I9+Receitas!I125)*$F$11</f>
        <v>16619.612616486331</v>
      </c>
      <c r="L11" s="451">
        <f>(Receitas!J9+Receitas!J125)*$F$11</f>
        <v>16523.061807327809</v>
      </c>
      <c r="M11" s="451">
        <f>(Receitas!K9+Receitas!K125)*$F$11</f>
        <v>16400.764115727019</v>
      </c>
      <c r="N11" s="451">
        <f>(Receitas!L9+Receitas!L125)*$F$11</f>
        <v>16278.466424126231</v>
      </c>
      <c r="O11" s="451">
        <f>(Receitas!M9+Receitas!M125)*$F$11</f>
        <v>16156.168732525441</v>
      </c>
      <c r="P11" s="451">
        <f>(Receitas!N9+Receitas!N125)*$F$11</f>
        <v>16033.871040924649</v>
      </c>
      <c r="Q11" s="451">
        <f>(Receitas!O9+Receitas!O125)*$F$11</f>
        <v>15924.446790544995</v>
      </c>
      <c r="R11" s="451">
        <f>(Receitas!P9+Receitas!P125)*$F$11</f>
        <v>15782.838937112499</v>
      </c>
      <c r="S11" s="451">
        <f>(Receitas!Q9+Receitas!Q125)*$F$11</f>
        <v>15641.231083680004</v>
      </c>
      <c r="T11" s="451">
        <f>(Receitas!R9+Receitas!R125)*$F$11</f>
        <v>15499.623230247513</v>
      </c>
      <c r="U11" s="451">
        <f>(Receitas!S9+Receitas!S125)*$F$11</f>
        <v>15358.015376815016</v>
      </c>
      <c r="V11" s="451">
        <f>(Receitas!T9+Receitas!T125)*$F$11</f>
        <v>15222.844243993097</v>
      </c>
      <c r="W11" s="451">
        <f>(Receitas!U9+Receitas!U125)*$F$11</f>
        <v>15074.799669950029</v>
      </c>
      <c r="X11" s="451">
        <f>(Receitas!V9+Receitas!V125)*$F$11</f>
        <v>14926.75509590697</v>
      </c>
      <c r="Y11" s="451">
        <f>(Receitas!W9+Receitas!W125)*$F$11</f>
        <v>14778.710521863906</v>
      </c>
      <c r="Z11" s="451">
        <f>(Receitas!X9+Receitas!X125)*$F$11</f>
        <v>14630.665947820844</v>
      </c>
      <c r="AA11" s="451">
        <f>(Receitas!Y9+Receitas!Y125)*$F$11</f>
        <v>14469.747932556649</v>
      </c>
      <c r="AB11" s="451">
        <f>(Receitas!Z9+Receitas!Z125)*$F$11</f>
        <v>14321.703358513589</v>
      </c>
      <c r="AC11" s="451">
        <f>(Receitas!AA9+Receitas!AA125)*$F$11</f>
        <v>14173.658784470525</v>
      </c>
      <c r="AD11" s="451">
        <f>(Receitas!AB9+Receitas!AB125)*$F$11</f>
        <v>14025.61421042746</v>
      </c>
      <c r="AE11" s="451">
        <f>(Receitas!AC9+Receitas!AC125)*$F$11</f>
        <v>13877.5696363844</v>
      </c>
      <c r="AF11" s="451">
        <f>(Receitas!AD9+Receitas!AD125)*$F$11</f>
        <v>13729.525062341339</v>
      </c>
      <c r="AG11" s="451">
        <f>(Receitas!AE9+Receitas!AE125)*$F$11</f>
        <v>13581.480488298277</v>
      </c>
      <c r="AH11" s="451">
        <f>(Receitas!AF9+Receitas!AF125)*$F$11</f>
        <v>13433.435914255215</v>
      </c>
      <c r="AI11" s="451">
        <f>(Receitas!AG9+Receitas!AG125)*$F$11</f>
        <v>13285.391340212156</v>
      </c>
      <c r="AJ11" s="451">
        <f>(Receitas!AH9+Receitas!AH125)*$F$11</f>
        <v>13137.346766169092</v>
      </c>
    </row>
    <row r="12" spans="1:36" ht="15" thickBot="1" x14ac:dyDescent="0.4">
      <c r="E12" s="223" t="s">
        <v>2</v>
      </c>
      <c r="F12" s="450">
        <f>'Premissas Gerais'!G104</f>
        <v>0.05</v>
      </c>
      <c r="G12" s="451">
        <f>(Receitas!E21+Receitas!E126)*$F$12</f>
        <v>265666.8982892991</v>
      </c>
      <c r="H12" s="451">
        <f>(Receitas!F21+Receitas!F126)*$F$12</f>
        <v>265816.42607604654</v>
      </c>
      <c r="I12" s="451">
        <f>(Receitas!G21+Receitas!G126)*$F$12</f>
        <v>265965.95386279392</v>
      </c>
      <c r="J12" s="451">
        <f>(Receitas!H21+Receitas!H126)*$F$12</f>
        <v>266115.4816495413</v>
      </c>
      <c r="K12" s="451">
        <f>(Receitas!I21+Receitas!I126)*$F$12</f>
        <v>266265.00943628867</v>
      </c>
      <c r="L12" s="451">
        <f>(Receitas!J21+Receitas!J126)*$F$12</f>
        <v>266432.12872735923</v>
      </c>
      <c r="M12" s="451">
        <f>(Receitas!K21+Receitas!K126)*$F$12</f>
        <v>266036.3198800867</v>
      </c>
      <c r="N12" s="451">
        <f>(Receitas!L21+Receitas!L126)*$F$12</f>
        <v>265640.51103281428</v>
      </c>
      <c r="O12" s="451">
        <f>(Receitas!M21+Receitas!M126)*$F$12</f>
        <v>265244.7021855418</v>
      </c>
      <c r="P12" s="451">
        <f>(Receitas!N21+Receitas!N126)*$F$12</f>
        <v>264848.89333826926</v>
      </c>
      <c r="Q12" s="451">
        <f>(Receitas!O21+Receitas!O126)*$F$12</f>
        <v>264453.08449099679</v>
      </c>
      <c r="R12" s="451">
        <f>(Receitas!P21+Receitas!P126)*$F$12</f>
        <v>263687.85405293666</v>
      </c>
      <c r="S12" s="451">
        <f>(Receitas!Q21+Receitas!Q126)*$F$12</f>
        <v>262922.62361487641</v>
      </c>
      <c r="T12" s="451">
        <f>(Receitas!R21+Receitas!R126)*$F$12</f>
        <v>262157.39317681635</v>
      </c>
      <c r="U12" s="451">
        <f>(Receitas!S21+Receitas!S126)*$F$12</f>
        <v>261392.16273875616</v>
      </c>
      <c r="V12" s="451">
        <f>(Receitas!T21+Receitas!T126)*$F$12</f>
        <v>260609.34079637277</v>
      </c>
      <c r="W12" s="451">
        <f>(Receitas!U21+Receitas!U126)*$F$12</f>
        <v>259509.87177617138</v>
      </c>
      <c r="X12" s="451">
        <f>(Receitas!V21+Receitas!V126)*$F$12</f>
        <v>258410.40275597005</v>
      </c>
      <c r="Y12" s="451">
        <f>(Receitas!W21+Receitas!W126)*$F$12</f>
        <v>257310.93373576866</v>
      </c>
      <c r="Z12" s="451">
        <f>(Receitas!X21+Receitas!X126)*$F$12</f>
        <v>256211.46471556733</v>
      </c>
      <c r="AA12" s="451">
        <f>(Receitas!Y21+Receitas!Y126)*$F$12</f>
        <v>255120.79144752759</v>
      </c>
      <c r="AB12" s="451">
        <f>(Receitas!Z21+Receitas!Z126)*$F$12</f>
        <v>254021.32242732611</v>
      </c>
      <c r="AC12" s="451">
        <f>(Receitas!AA21+Receitas!AA126)*$F$12</f>
        <v>252921.85340712476</v>
      </c>
      <c r="AD12" s="451">
        <f>(Receitas!AB21+Receitas!AB126)*$F$12</f>
        <v>251822.38438692337</v>
      </c>
      <c r="AE12" s="451">
        <f>(Receitas!AC21+Receitas!AC126)*$F$12</f>
        <v>250722.91536672195</v>
      </c>
      <c r="AF12" s="451">
        <f>(Receitas!AD21+Receitas!AD126)*$F$12</f>
        <v>249623.44634652059</v>
      </c>
      <c r="AG12" s="451">
        <f>(Receitas!AE21+Receitas!AE126)*$F$12</f>
        <v>248523.97732631929</v>
      </c>
      <c r="AH12" s="451">
        <f>(Receitas!AF21+Receitas!AF126)*$F$12</f>
        <v>247424.50830611793</v>
      </c>
      <c r="AI12" s="451">
        <f>(Receitas!AG21+Receitas!AG126)*$F$12</f>
        <v>246325.03928591649</v>
      </c>
      <c r="AJ12" s="451">
        <f>(Receitas!AH21+Receitas!AH126)*$F$12</f>
        <v>245225.57026571513</v>
      </c>
    </row>
    <row r="13" spans="1:36" ht="15" thickBot="1" x14ac:dyDescent="0.4">
      <c r="E13" s="223" t="s">
        <v>3</v>
      </c>
      <c r="F13" s="450">
        <f>'Premissas Gerais'!G105</f>
        <v>0.03</v>
      </c>
      <c r="G13" s="451">
        <f>(Receitas!E33+Receitas!E127)*$F$13</f>
        <v>16619.580037797252</v>
      </c>
      <c r="H13" s="451">
        <f>(Receitas!F33+Receitas!F127)*$F$13</f>
        <v>16637.813257805803</v>
      </c>
      <c r="I13" s="451">
        <f>(Receitas!G33+Receitas!G127)*$F$13</f>
        <v>16656.046477814361</v>
      </c>
      <c r="J13" s="451">
        <f>(Receitas!H33+Receitas!H127)*$F$13</f>
        <v>16674.279697822916</v>
      </c>
      <c r="K13" s="451">
        <f>(Receitas!I33+Receitas!I127)*$F$13</f>
        <v>16692.512917831471</v>
      </c>
      <c r="L13" s="451">
        <f>(Receitas!J33+Receitas!J127)*$F$13</f>
        <v>16719.862747844301</v>
      </c>
      <c r="M13" s="451">
        <f>(Receitas!K33+Receitas!K127)*$F$13</f>
        <v>16715.304442842164</v>
      </c>
      <c r="N13" s="451">
        <f>(Receitas!L33+Receitas!L127)*$F$13</f>
        <v>16710.746137840022</v>
      </c>
      <c r="O13" s="451">
        <f>(Receitas!M33+Receitas!M127)*$F$13</f>
        <v>16706.187832837884</v>
      </c>
      <c r="P13" s="451">
        <f>(Receitas!N33+Receitas!N127)*$F$13</f>
        <v>16701.629527835747</v>
      </c>
      <c r="Q13" s="451">
        <f>(Receitas!O33+Receitas!O127)*$F$13</f>
        <v>16687.95461282933</v>
      </c>
      <c r="R13" s="451">
        <f>(Receitas!P33+Receitas!P127)*$F$13</f>
        <v>16651.488172812224</v>
      </c>
      <c r="S13" s="451">
        <f>(Receitas!Q33+Receitas!Q127)*$F$13</f>
        <v>16615.021732795114</v>
      </c>
      <c r="T13" s="451">
        <f>(Receitas!R33+Receitas!R127)*$F$13</f>
        <v>16578.555292778005</v>
      </c>
      <c r="U13" s="451">
        <f>(Receitas!S33+Receitas!S127)*$F$13</f>
        <v>16542.088852760899</v>
      </c>
      <c r="V13" s="451">
        <f>(Receitas!T33+Receitas!T127)*$F$13</f>
        <v>16510.180717745923</v>
      </c>
      <c r="W13" s="451">
        <f>(Receitas!U33+Receitas!U127)*$F$13</f>
        <v>16455.481057720266</v>
      </c>
      <c r="X13" s="451">
        <f>(Receitas!V33+Receitas!V127)*$F$13</f>
        <v>16400.781397694602</v>
      </c>
      <c r="Y13" s="451">
        <f>(Receitas!W33+Receitas!W127)*$F$13</f>
        <v>16346.081737668936</v>
      </c>
      <c r="Z13" s="451">
        <f>(Receitas!X33+Receitas!X127)*$F$13</f>
        <v>16291.382077643273</v>
      </c>
      <c r="AA13" s="451">
        <f>(Receitas!Y33+Receitas!Y127)*$F$13</f>
        <v>16236.682417617616</v>
      </c>
      <c r="AB13" s="451">
        <f>(Receitas!Z33+Receitas!Z127)*$F$13</f>
        <v>16181.982757591944</v>
      </c>
      <c r="AC13" s="451">
        <f>(Receitas!AA33+Receitas!AA127)*$F$13</f>
        <v>16127.283097566284</v>
      </c>
      <c r="AD13" s="451">
        <f>(Receitas!AB33+Receitas!AB127)*$F$13</f>
        <v>16072.583437540623</v>
      </c>
      <c r="AE13" s="451">
        <f>(Receitas!AC33+Receitas!AC127)*$F$13</f>
        <v>16017.883777514964</v>
      </c>
      <c r="AF13" s="451">
        <f>(Receitas!AD33+Receitas!AD127)*$F$13</f>
        <v>15963.1841174893</v>
      </c>
      <c r="AG13" s="451">
        <f>(Receitas!AE33+Receitas!AE127)*$F$13</f>
        <v>15908.484457463635</v>
      </c>
      <c r="AH13" s="451">
        <f>(Receitas!AF33+Receitas!AF127)*$F$13</f>
        <v>15853.784797437967</v>
      </c>
      <c r="AI13" s="451">
        <f>(Receitas!AG33+Receitas!AG127)*$F$13</f>
        <v>15799.085137412309</v>
      </c>
      <c r="AJ13" s="451">
        <f>(Receitas!AH33+Receitas!AH127)*$F$13</f>
        <v>15744.385477386648</v>
      </c>
    </row>
    <row r="14" spans="1:36" ht="15" thickBot="1" x14ac:dyDescent="0.4">
      <c r="E14" s="223" t="s">
        <v>4</v>
      </c>
      <c r="F14" s="450">
        <f>'Premissas Gerais'!G106</f>
        <v>0.02</v>
      </c>
      <c r="G14" s="451">
        <f>(Receitas!E45+Receitas!E128)*$F$14</f>
        <v>23031.029089171057</v>
      </c>
      <c r="H14" s="451">
        <f>(Receitas!F45+Receitas!F128)*$F$14</f>
        <v>23244.302867529608</v>
      </c>
      <c r="I14" s="451">
        <f>(Receitas!G45+Receitas!G128)*$F$14</f>
        <v>23457.576645888155</v>
      </c>
      <c r="J14" s="451">
        <f>(Receitas!H45+Receitas!H128)*$F$14</f>
        <v>23670.850424246695</v>
      </c>
      <c r="K14" s="451">
        <f>(Receitas!I45+Receitas!I128)*$F$14</f>
        <v>23884.124202605239</v>
      </c>
      <c r="L14" s="451">
        <f>(Receitas!J45+Receitas!J128)*$F$14</f>
        <v>24094.859007411902</v>
      </c>
      <c r="M14" s="451">
        <f>(Receitas!K45+Receitas!K128)*$F$14</f>
        <v>24280.204076699683</v>
      </c>
      <c r="N14" s="451">
        <f>(Receitas!L45+Receitas!L128)*$F$14</f>
        <v>24465.549145987468</v>
      </c>
      <c r="O14" s="451">
        <f>(Receitas!M45+Receitas!M128)*$F$14</f>
        <v>24650.89421527525</v>
      </c>
      <c r="P14" s="451">
        <f>(Receitas!N45+Receitas!N128)*$F$14</f>
        <v>24836.239284563038</v>
      </c>
      <c r="Q14" s="451">
        <f>(Receitas!O45+Receitas!O128)*$F$14</f>
        <v>25019.045380298929</v>
      </c>
      <c r="R14" s="451">
        <f>(Receitas!P45+Receitas!P128)*$F$14</f>
        <v>25166.305846308405</v>
      </c>
      <c r="S14" s="451">
        <f>(Receitas!Q45+Receitas!Q128)*$F$14</f>
        <v>25313.566312317878</v>
      </c>
      <c r="T14" s="451">
        <f>(Receitas!R45+Receitas!R128)*$F$14</f>
        <v>25460.826778327348</v>
      </c>
      <c r="U14" s="451">
        <f>(Receitas!S45+Receitas!S128)*$F$14</f>
        <v>25608.087244336813</v>
      </c>
      <c r="V14" s="451">
        <f>(Receitas!T45+Receitas!T128)*$F$14</f>
        <v>25760.425657450069</v>
      </c>
      <c r="W14" s="451">
        <f>(Receitas!U45+Receitas!U128)*$F$14</f>
        <v>25867.062546629346</v>
      </c>
      <c r="X14" s="451">
        <f>(Receitas!V45+Receitas!V128)*$F$14</f>
        <v>25973.699435808616</v>
      </c>
      <c r="Y14" s="451">
        <f>(Receitas!W45+Receitas!W128)*$F$14</f>
        <v>26080.336324987886</v>
      </c>
      <c r="Z14" s="451">
        <f>(Receitas!X45+Receitas!X128)*$F$14</f>
        <v>26186.973214167156</v>
      </c>
      <c r="AA14" s="451">
        <f>(Receitas!Y45+Receitas!Y128)*$F$14</f>
        <v>26288.532156242658</v>
      </c>
      <c r="AB14" s="451">
        <f>(Receitas!Z45+Receitas!Z128)*$F$14</f>
        <v>26395.169045421935</v>
      </c>
      <c r="AC14" s="451">
        <f>(Receitas!AA45+Receitas!AA128)*$F$14</f>
        <v>26501.805934601198</v>
      </c>
      <c r="AD14" s="451">
        <f>(Receitas!AB45+Receitas!AB128)*$F$14</f>
        <v>26608.442823780482</v>
      </c>
      <c r="AE14" s="451">
        <f>(Receitas!AC45+Receitas!AC128)*$F$14</f>
        <v>26715.079712959741</v>
      </c>
      <c r="AF14" s="451">
        <f>(Receitas!AD45+Receitas!AD128)*$F$14</f>
        <v>26821.716602139019</v>
      </c>
      <c r="AG14" s="451">
        <f>(Receitas!AE45+Receitas!AE128)*$F$14</f>
        <v>26928.353491318292</v>
      </c>
      <c r="AH14" s="451">
        <f>(Receitas!AF45+Receitas!AF128)*$F$14</f>
        <v>27034.990380497566</v>
      </c>
      <c r="AI14" s="451">
        <f>(Receitas!AG45+Receitas!AG128)*$F$14</f>
        <v>27141.627269676839</v>
      </c>
      <c r="AJ14" s="451">
        <f>(Receitas!AH45+Receitas!AH128)*$F$14</f>
        <v>27248.26415885612</v>
      </c>
    </row>
    <row r="15" spans="1:36" ht="15" thickBot="1" x14ac:dyDescent="0.4">
      <c r="E15" s="223" t="s">
        <v>5</v>
      </c>
      <c r="F15" s="450">
        <f>'Premissas Gerais'!G107</f>
        <v>0.02</v>
      </c>
      <c r="G15" s="451">
        <f>(Receitas!E57+Receitas!E129)*$F$15</f>
        <v>86914.84187962173</v>
      </c>
      <c r="H15" s="451">
        <f>(Receitas!F57+Receitas!F129)*$F$15</f>
        <v>87287.697515019332</v>
      </c>
      <c r="I15" s="451">
        <f>(Receitas!G57+Receitas!G129)*$F$15</f>
        <v>87660.55315041689</v>
      </c>
      <c r="J15" s="451">
        <f>(Receitas!H57+Receitas!H129)*$F$15</f>
        <v>88033.408785814492</v>
      </c>
      <c r="K15" s="451">
        <f>(Receitas!I57+Receitas!I129)*$F$15</f>
        <v>88406.264421212123</v>
      </c>
      <c r="L15" s="451">
        <f>(Receitas!J57+Receitas!J129)*$F$15</f>
        <v>88774.733519722649</v>
      </c>
      <c r="M15" s="451">
        <f>(Receitas!K57+Receitas!K129)*$F$15</f>
        <v>88989.673827187158</v>
      </c>
      <c r="N15" s="451">
        <f>(Receitas!L57+Receitas!L129)*$F$15</f>
        <v>89204.614134651609</v>
      </c>
      <c r="O15" s="451">
        <f>(Receitas!M57+Receitas!M129)*$F$15</f>
        <v>89419.554442116118</v>
      </c>
      <c r="P15" s="451">
        <f>(Receitas!N57+Receitas!N129)*$F$15</f>
        <v>89634.494749580626</v>
      </c>
      <c r="Q15" s="451">
        <f>(Receitas!O57+Receitas!O129)*$F$15</f>
        <v>89858.20813081917</v>
      </c>
      <c r="R15" s="451">
        <f>(Receitas!P57+Receitas!P129)*$F$15</f>
        <v>89941.552331672763</v>
      </c>
      <c r="S15" s="451">
        <f>(Receitas!Q57+Receitas!Q129)*$F$15</f>
        <v>90024.896532526342</v>
      </c>
      <c r="T15" s="451">
        <f>(Receitas!R57+Receitas!R129)*$F$15</f>
        <v>90108.240733379906</v>
      </c>
      <c r="U15" s="451">
        <f>(Receitas!S57+Receitas!S129)*$F$15</f>
        <v>90191.584934233499</v>
      </c>
      <c r="V15" s="451">
        <f>(Receitas!T57+Receitas!T129)*$F$15</f>
        <v>90283.702208861127</v>
      </c>
      <c r="W15" s="451">
        <f>(Receitas!U57+Receitas!U129)*$F$15</f>
        <v>90231.063766216772</v>
      </c>
      <c r="X15" s="451">
        <f>(Receitas!V57+Receitas!V129)*$F$15</f>
        <v>90178.425323572417</v>
      </c>
      <c r="Y15" s="451">
        <f>(Receitas!W57+Receitas!W129)*$F$15</f>
        <v>90125.786880928019</v>
      </c>
      <c r="Z15" s="451">
        <f>(Receitas!X57+Receitas!X129)*$F$15</f>
        <v>90073.148438283693</v>
      </c>
      <c r="AA15" s="451">
        <f>(Receitas!Y57+Receitas!Y129)*$F$15</f>
        <v>90020.50999563931</v>
      </c>
      <c r="AB15" s="451">
        <f>(Receitas!Z57+Receitas!Z129)*$F$15</f>
        <v>89967.871552994926</v>
      </c>
      <c r="AC15" s="451">
        <f>(Receitas!AA57+Receitas!AA129)*$F$15</f>
        <v>89915.233110350571</v>
      </c>
      <c r="AD15" s="451">
        <f>(Receitas!AB57+Receitas!AB129)*$F$15</f>
        <v>89862.594667706217</v>
      </c>
      <c r="AE15" s="451">
        <f>(Receitas!AC57+Receitas!AC129)*$F$15</f>
        <v>89809.956225061847</v>
      </c>
      <c r="AF15" s="451">
        <f>(Receitas!AD57+Receitas!AD129)*$F$15</f>
        <v>89757.317782417478</v>
      </c>
      <c r="AG15" s="451">
        <f>(Receitas!AE57+Receitas!AE129)*$F$15</f>
        <v>89704.679339773094</v>
      </c>
      <c r="AH15" s="451">
        <f>(Receitas!AF57+Receitas!AF129)*$F$15</f>
        <v>89652.040897128754</v>
      </c>
      <c r="AI15" s="451">
        <f>(Receitas!AG57+Receitas!AG129)*$F$15</f>
        <v>89599.402454484385</v>
      </c>
      <c r="AJ15" s="451">
        <f>(Receitas!AH57+Receitas!AH129)*$F$15</f>
        <v>89546.764011840001</v>
      </c>
    </row>
    <row r="16" spans="1:36" ht="15" thickBot="1" x14ac:dyDescent="0.4">
      <c r="E16" s="223" t="s">
        <v>6</v>
      </c>
      <c r="F16" s="450">
        <f>'Premissas Gerais'!G108</f>
        <v>0.02</v>
      </c>
      <c r="G16" s="451">
        <f>(Receitas!E69+Receitas!E130)*$F$16</f>
        <v>762513.97892779415</v>
      </c>
      <c r="H16" s="451">
        <f>(Receitas!F69+Receitas!F130)*$F$16</f>
        <v>766612.61315292504</v>
      </c>
      <c r="I16" s="451">
        <f>(Receitas!G69+Receitas!G130)*$F$16</f>
        <v>770711.24737805582</v>
      </c>
      <c r="J16" s="451">
        <f>(Receitas!H69+Receitas!H130)*$F$16</f>
        <v>774809.88160318672</v>
      </c>
      <c r="K16" s="451">
        <f>(Receitas!I69+Receitas!I130)*$F$16</f>
        <v>778908.51582831738</v>
      </c>
      <c r="L16" s="451">
        <f>(Receitas!J69+Receitas!J130)*$F$16</f>
        <v>783002.72865730501</v>
      </c>
      <c r="M16" s="451">
        <f>(Receitas!K69+Receitas!K130)*$F$16</f>
        <v>787110.20567472314</v>
      </c>
      <c r="N16" s="451">
        <f>(Receitas!L69+Receitas!L130)*$F$16</f>
        <v>791217.68269214081</v>
      </c>
      <c r="O16" s="451">
        <f>(Receitas!M69+Receitas!M130)*$F$16</f>
        <v>795325.15970955906</v>
      </c>
      <c r="P16" s="451">
        <f>(Receitas!N69+Receitas!N130)*$F$16</f>
        <v>799432.63672697695</v>
      </c>
      <c r="Q16" s="451">
        <f>(Receitas!O69+Receitas!O130)*$F$16</f>
        <v>803531.27095210797</v>
      </c>
      <c r="R16" s="451">
        <f>(Receitas!P69+Receitas!P130)*$F$16</f>
        <v>806294.64354186715</v>
      </c>
      <c r="S16" s="451">
        <f>(Receitas!Q69+Receitas!Q130)*$F$16</f>
        <v>809058.01613162644</v>
      </c>
      <c r="T16" s="451">
        <f>(Receitas!R69+Receitas!R130)*$F$16</f>
        <v>811821.38872138562</v>
      </c>
      <c r="U16" s="451">
        <f>(Receitas!S69+Receitas!S130)*$F$16</f>
        <v>814584.76131114457</v>
      </c>
      <c r="V16" s="451">
        <f>(Receitas!T69+Receitas!T130)*$F$16</f>
        <v>817343.71250476036</v>
      </c>
      <c r="W16" s="451">
        <f>(Receitas!U69+Receitas!U130)*$F$16</f>
        <v>819010.57885090297</v>
      </c>
      <c r="X16" s="451">
        <f>(Receitas!V69+Receitas!V130)*$F$16</f>
        <v>820677.4451970458</v>
      </c>
      <c r="Y16" s="451">
        <f>(Receitas!W69+Receitas!W130)*$F$16</f>
        <v>822344.31154318852</v>
      </c>
      <c r="Z16" s="451">
        <f>(Receitas!X69+Receitas!X130)*$F$16</f>
        <v>824011.17788933124</v>
      </c>
      <c r="AA16" s="451">
        <f>(Receitas!Y69+Receitas!Y130)*$F$16</f>
        <v>825673.62283933046</v>
      </c>
      <c r="AB16" s="451">
        <f>(Receitas!Z69+Receitas!Z130)*$F$16</f>
        <v>827340.48918547307</v>
      </c>
      <c r="AC16" s="451">
        <f>(Receitas!AA69+Receitas!AA130)*$F$16</f>
        <v>829007.35553161614</v>
      </c>
      <c r="AD16" s="451">
        <f>(Receitas!AB69+Receitas!AB130)*$F$16</f>
        <v>830674.22187775862</v>
      </c>
      <c r="AE16" s="451">
        <f>(Receitas!AC69+Receitas!AC130)*$F$16</f>
        <v>832341.08822390158</v>
      </c>
      <c r="AF16" s="451">
        <f>(Receitas!AD69+Receitas!AD130)*$F$16</f>
        <v>834007.95457004418</v>
      </c>
      <c r="AG16" s="451">
        <f>(Receitas!AE69+Receitas!AE130)*$F$16</f>
        <v>835674.8209161869</v>
      </c>
      <c r="AH16" s="451">
        <f>(Receitas!AF69+Receitas!AF130)*$F$16</f>
        <v>837341.68726232951</v>
      </c>
      <c r="AI16" s="451">
        <f>(Receitas!AG69+Receitas!AG130)*$F$16</f>
        <v>839008.55360847234</v>
      </c>
      <c r="AJ16" s="451">
        <f>(Receitas!AH69+Receitas!AH130)*$F$16</f>
        <v>840675.41995461495</v>
      </c>
    </row>
    <row r="17" spans="1:36" ht="15" thickBot="1" x14ac:dyDescent="0.4">
      <c r="E17" s="223" t="s">
        <v>7</v>
      </c>
      <c r="F17" s="450">
        <f>'Premissas Gerais'!G109</f>
        <v>0.03</v>
      </c>
      <c r="G17" s="451">
        <f>(Receitas!E81+Receitas!E131)*$F$17</f>
        <v>41832.058864689483</v>
      </c>
      <c r="H17" s="451">
        <f>(Receitas!F81+Receitas!F131)*$F$17</f>
        <v>41720.430829837082</v>
      </c>
      <c r="I17" s="451">
        <f>(Receitas!G81+Receitas!G131)*$F$17</f>
        <v>41608.802794984673</v>
      </c>
      <c r="J17" s="451">
        <f>(Receitas!H81+Receitas!H131)*$F$17</f>
        <v>41497.174760132264</v>
      </c>
      <c r="K17" s="451">
        <f>(Receitas!I81+Receitas!I131)*$F$17</f>
        <v>41385.546725279863</v>
      </c>
      <c r="L17" s="451">
        <f>(Receitas!J81+Receitas!J131)*$F$17</f>
        <v>41269.541120433241</v>
      </c>
      <c r="M17" s="451">
        <f>(Receitas!K81+Receitas!K131)*$F$17</f>
        <v>41074.739255690809</v>
      </c>
      <c r="N17" s="451">
        <f>(Receitas!L81+Receitas!L131)*$F$17</f>
        <v>40879.937390948377</v>
      </c>
      <c r="O17" s="451">
        <f>(Receitas!M81+Receitas!M131)*$F$17</f>
        <v>40685.135526205951</v>
      </c>
      <c r="P17" s="451">
        <f>(Receitas!N81+Receitas!N131)*$F$17</f>
        <v>40490.333661463512</v>
      </c>
      <c r="Q17" s="451">
        <f>(Receitas!O81+Receitas!O131)*$F$17</f>
        <v>40293.34301172397</v>
      </c>
      <c r="R17" s="451">
        <f>(Receitas!P81+Receitas!P131)*$F$17</f>
        <v>40026.311242077056</v>
      </c>
      <c r="S17" s="451">
        <f>(Receitas!Q81+Receitas!Q131)*$F$17</f>
        <v>39759.279472430113</v>
      </c>
      <c r="T17" s="451">
        <f>(Receitas!R81+Receitas!R131)*$F$17</f>
        <v>39492.247702783185</v>
      </c>
      <c r="U17" s="451">
        <f>(Receitas!S81+Receitas!S131)*$F$17</f>
        <v>39225.215933136249</v>
      </c>
      <c r="V17" s="451">
        <f>(Receitas!T81+Receitas!T131)*$F$17</f>
        <v>38953.806593495116</v>
      </c>
      <c r="W17" s="451">
        <f>(Receitas!U81+Receitas!U131)*$F$17</f>
        <v>38664.886973877125</v>
      </c>
      <c r="X17" s="451">
        <f>(Receitas!V81+Receitas!V131)*$F$17</f>
        <v>38375.967354259134</v>
      </c>
      <c r="Y17" s="451">
        <f>(Receitas!W81+Receitas!W131)*$F$17</f>
        <v>38087.047734641143</v>
      </c>
      <c r="Z17" s="451">
        <f>(Receitas!X81+Receitas!X131)*$F$17</f>
        <v>37798.128115023152</v>
      </c>
      <c r="AA17" s="451">
        <f>(Receitas!Y81+Receitas!Y131)*$F$17</f>
        <v>37513.58606539938</v>
      </c>
      <c r="AB17" s="451">
        <f>(Receitas!Z81+Receitas!Z131)*$F$17</f>
        <v>37224.666445781397</v>
      </c>
      <c r="AC17" s="451">
        <f>(Receitas!AA81+Receitas!AA131)*$F$17</f>
        <v>36935.746826163406</v>
      </c>
      <c r="AD17" s="451">
        <f>(Receitas!AB81+Receitas!AB131)*$F$17</f>
        <v>36646.827206545415</v>
      </c>
      <c r="AE17" s="451">
        <f>(Receitas!AC81+Receitas!AC131)*$F$17</f>
        <v>36357.907586927431</v>
      </c>
      <c r="AF17" s="451">
        <f>(Receitas!AD81+Receitas!AD131)*$F$17</f>
        <v>36068.987967309433</v>
      </c>
      <c r="AG17" s="451">
        <f>(Receitas!AE81+Receitas!AE131)*$F$17</f>
        <v>35780.068347691442</v>
      </c>
      <c r="AH17" s="451">
        <f>(Receitas!AF81+Receitas!AF131)*$F$17</f>
        <v>35491.148728073451</v>
      </c>
      <c r="AI17" s="451">
        <f>(Receitas!AG81+Receitas!AG131)*$F$17</f>
        <v>35202.229108455467</v>
      </c>
      <c r="AJ17" s="451">
        <f>(Receitas!AH81+Receitas!AH131)*$F$17</f>
        <v>34913.309488837484</v>
      </c>
    </row>
    <row r="18" spans="1:36" ht="15" thickBot="1" x14ac:dyDescent="0.4">
      <c r="E18" s="223" t="s">
        <v>8</v>
      </c>
      <c r="F18" s="450">
        <f>'Premissas Gerais'!G110</f>
        <v>0.03</v>
      </c>
      <c r="G18" s="451">
        <f>(Receitas!E93+Receitas!E132)*$F$18</f>
        <v>66084.188419853614</v>
      </c>
      <c r="H18" s="451">
        <f>(Receitas!F93+Receitas!F132)*$F$18</f>
        <v>66657.23451111489</v>
      </c>
      <c r="I18" s="451">
        <f>(Receitas!G93+Receitas!G132)*$F$18</f>
        <v>67230.280602376166</v>
      </c>
      <c r="J18" s="451">
        <f>(Receitas!H93+Receitas!H132)*$F$18</f>
        <v>67803.326693637428</v>
      </c>
      <c r="K18" s="451">
        <f>(Receitas!I93+Receitas!I132)*$F$18</f>
        <v>68376.372784898689</v>
      </c>
      <c r="L18" s="451">
        <f>(Receitas!J93+Receitas!J132)*$F$18</f>
        <v>68940.865949424711</v>
      </c>
      <c r="M18" s="451">
        <f>(Receitas!K93+Receitas!K132)*$F$18</f>
        <v>69394.171066392591</v>
      </c>
      <c r="N18" s="451">
        <f>(Receitas!L93+Receitas!L132)*$F$18</f>
        <v>69847.476183360443</v>
      </c>
      <c r="O18" s="451">
        <f>(Receitas!M93+Receitas!M132)*$F$18</f>
        <v>70300.781300328323</v>
      </c>
      <c r="P18" s="451">
        <f>(Receitas!N93+Receitas!N132)*$F$18</f>
        <v>70754.086417296188</v>
      </c>
      <c r="Q18" s="451">
        <f>(Receitas!O93+Receitas!O132)*$F$18</f>
        <v>71211.667997631695</v>
      </c>
      <c r="R18" s="451">
        <f>(Receitas!P93+Receitas!P132)*$F$18</f>
        <v>71575.16738387951</v>
      </c>
      <c r="S18" s="451">
        <f>(Receitas!Q93+Receitas!Q132)*$F$18</f>
        <v>71938.666770127325</v>
      </c>
      <c r="T18" s="451">
        <f>(Receitas!R93+Receitas!R132)*$F$18</f>
        <v>72302.16615637514</v>
      </c>
      <c r="U18" s="451">
        <f>(Receitas!S93+Receitas!S132)*$F$18</f>
        <v>72665.665542622955</v>
      </c>
      <c r="V18" s="451">
        <f>(Receitas!T93+Receitas!T132)*$F$18</f>
        <v>73033.441392238397</v>
      </c>
      <c r="W18" s="451">
        <f>(Receitas!U93+Receitas!U132)*$F$18</f>
        <v>73268.646877457562</v>
      </c>
      <c r="X18" s="451">
        <f>(Receitas!V93+Receitas!V132)*$F$18</f>
        <v>73503.852362676756</v>
      </c>
      <c r="Y18" s="451">
        <f>(Receitas!W93+Receitas!W132)*$F$18</f>
        <v>73739.057847895936</v>
      </c>
      <c r="Z18" s="451">
        <f>(Receitas!X93+Receitas!X132)*$F$18</f>
        <v>73974.263333115101</v>
      </c>
      <c r="AA18" s="451">
        <f>(Receitas!Y93+Receitas!Y132)*$F$18</f>
        <v>74213.745281701908</v>
      </c>
      <c r="AB18" s="451">
        <f>(Receitas!Z93+Receitas!Z132)*$F$18</f>
        <v>74448.950766921072</v>
      </c>
      <c r="AC18" s="451">
        <f>(Receitas!AA93+Receitas!AA132)*$F$18</f>
        <v>74684.156252140281</v>
      </c>
      <c r="AD18" s="451">
        <f>(Receitas!AB93+Receitas!AB132)*$F$18</f>
        <v>74919.361737359417</v>
      </c>
      <c r="AE18" s="451">
        <f>(Receitas!AC93+Receitas!AC132)*$F$18</f>
        <v>75154.567222578626</v>
      </c>
      <c r="AF18" s="451">
        <f>(Receitas!AD93+Receitas!AD132)*$F$18</f>
        <v>75389.772707797805</v>
      </c>
      <c r="AG18" s="451">
        <f>(Receitas!AE93+Receitas!AE132)*$F$18</f>
        <v>75624.978193016985</v>
      </c>
      <c r="AH18" s="451">
        <f>(Receitas!AF93+Receitas!AF132)*$F$18</f>
        <v>75860.183678236135</v>
      </c>
      <c r="AI18" s="451">
        <f>(Receitas!AG93+Receitas!AG132)*$F$18</f>
        <v>76095.389163455329</v>
      </c>
      <c r="AJ18" s="451">
        <f>(Receitas!AH93+Receitas!AH132)*$F$18</f>
        <v>76330.594648674523</v>
      </c>
    </row>
    <row r="19" spans="1:36" ht="15" thickBot="1" x14ac:dyDescent="0.4">
      <c r="E19" s="223" t="s">
        <v>9</v>
      </c>
      <c r="F19" s="450">
        <f>'Premissas Gerais'!G111</f>
        <v>0.03</v>
      </c>
      <c r="G19" s="451">
        <f>(Receitas!E105+Receitas!E133)*$F$19</f>
        <v>53494.69379233371</v>
      </c>
      <c r="H19" s="451">
        <f>(Receitas!F105+Receitas!F133)*$F$19</f>
        <v>53965.919172140799</v>
      </c>
      <c r="I19" s="451">
        <f>(Receitas!G105+Receitas!G133)*$F$19</f>
        <v>54437.144551947873</v>
      </c>
      <c r="J19" s="451">
        <f>(Receitas!H105+Receitas!H133)*$F$19</f>
        <v>54908.369931754962</v>
      </c>
      <c r="K19" s="451">
        <f>(Receitas!I105+Receitas!I133)*$F$19</f>
        <v>55379.595311562029</v>
      </c>
      <c r="L19" s="451">
        <f>(Receitas!J105+Receitas!J133)*$F$19</f>
        <v>55859.311238753035</v>
      </c>
      <c r="M19" s="451">
        <f>(Receitas!K105+Receitas!K133)*$F$19</f>
        <v>56258.366965796871</v>
      </c>
      <c r="N19" s="451">
        <f>(Receitas!L105+Receitas!L133)*$F$19</f>
        <v>56657.422692840701</v>
      </c>
      <c r="O19" s="451">
        <f>(Receitas!M105+Receitas!M133)*$F$19</f>
        <v>57056.478419884537</v>
      </c>
      <c r="P19" s="451">
        <f>(Receitas!N105+Receitas!N133)*$F$19</f>
        <v>57455.534146928367</v>
      </c>
      <c r="Q19" s="451">
        <f>(Receitas!O105+Receitas!O133)*$F$19</f>
        <v>57850.344600280259</v>
      </c>
      <c r="R19" s="451">
        <f>(Receitas!P105+Receitas!P133)*$F$19</f>
        <v>58130.532663949336</v>
      </c>
      <c r="S19" s="451">
        <f>(Receitas!Q105+Receitas!Q133)*$F$19</f>
        <v>58410.720727618398</v>
      </c>
      <c r="T19" s="451">
        <f>(Receitas!R105+Receitas!R133)*$F$19</f>
        <v>58690.908791287482</v>
      </c>
      <c r="U19" s="451">
        <f>(Receitas!S105+Receitas!S133)*$F$19</f>
        <v>58971.096854956566</v>
      </c>
      <c r="V19" s="451">
        <f>(Receitas!T105+Receitas!T133)*$F$19</f>
        <v>59259.775466009538</v>
      </c>
      <c r="W19" s="451">
        <f>(Receitas!U105+Receitas!U133)*$F$19</f>
        <v>59463.548603223426</v>
      </c>
      <c r="X19" s="451">
        <f>(Receitas!V105+Receitas!V133)*$F$19</f>
        <v>59667.321740437292</v>
      </c>
      <c r="Y19" s="451">
        <f>(Receitas!W105+Receitas!W133)*$F$19</f>
        <v>59871.094877651165</v>
      </c>
      <c r="Z19" s="451">
        <f>(Receitas!X105+Receitas!X133)*$F$19</f>
        <v>60074.868014865046</v>
      </c>
      <c r="AA19" s="451">
        <f>(Receitas!Y105+Receitas!Y133)*$F$19</f>
        <v>60287.131699462821</v>
      </c>
      <c r="AB19" s="451">
        <f>(Receitas!Z105+Receitas!Z133)*$F$19</f>
        <v>60490.904836676702</v>
      </c>
      <c r="AC19" s="451">
        <f>(Receitas!AA105+Receitas!AA133)*$F$19</f>
        <v>60694.67797389059</v>
      </c>
      <c r="AD19" s="451">
        <f>(Receitas!AB105+Receitas!AB133)*$F$19</f>
        <v>60898.451111104456</v>
      </c>
      <c r="AE19" s="451">
        <f>(Receitas!AC105+Receitas!AC133)*$F$19</f>
        <v>61102.224248318314</v>
      </c>
      <c r="AF19" s="451">
        <f>(Receitas!AD105+Receitas!AD133)*$F$19</f>
        <v>61305.997385532188</v>
      </c>
      <c r="AG19" s="451">
        <f>(Receitas!AE105+Receitas!AE133)*$F$19</f>
        <v>61509.770522746068</v>
      </c>
      <c r="AH19" s="451">
        <f>(Receitas!AF105+Receitas!AF133)*$F$19</f>
        <v>61713.543659959942</v>
      </c>
      <c r="AI19" s="451">
        <f>(Receitas!AG105+Receitas!AG133)*$F$19</f>
        <v>61917.3167971738</v>
      </c>
      <c r="AJ19" s="451">
        <f>(Receitas!AH105+Receitas!AH133)*$F$19</f>
        <v>62121.089934387659</v>
      </c>
    </row>
    <row r="20" spans="1:36" x14ac:dyDescent="0.3">
      <c r="E20" s="260"/>
      <c r="F20" s="260"/>
      <c r="G20" s="452">
        <f t="shared" ref="G20:AJ20" si="1">SUM(G11:G19)</f>
        <v>1333163.0851536803</v>
      </c>
      <c r="H20" s="452">
        <f t="shared" si="1"/>
        <v>1338851.7024263809</v>
      </c>
      <c r="I20" s="452">
        <f t="shared" si="1"/>
        <v>1344540.3196990814</v>
      </c>
      <c r="J20" s="452">
        <f t="shared" si="1"/>
        <v>1350228.9369717818</v>
      </c>
      <c r="K20" s="452">
        <f t="shared" si="1"/>
        <v>1355917.5542444817</v>
      </c>
      <c r="L20" s="452">
        <f t="shared" si="1"/>
        <v>1361617.0927755821</v>
      </c>
      <c r="M20" s="452">
        <f t="shared" si="1"/>
        <v>1366259.749305146</v>
      </c>
      <c r="N20" s="452">
        <f t="shared" si="1"/>
        <v>1370902.40583471</v>
      </c>
      <c r="O20" s="452">
        <f t="shared" si="1"/>
        <v>1375545.0623642742</v>
      </c>
      <c r="P20" s="452">
        <f t="shared" si="1"/>
        <v>1380187.7188938386</v>
      </c>
      <c r="Q20" s="452">
        <f t="shared" si="1"/>
        <v>1384829.3659672332</v>
      </c>
      <c r="R20" s="452">
        <f t="shared" si="1"/>
        <v>1387256.6941726154</v>
      </c>
      <c r="S20" s="452">
        <f t="shared" si="1"/>
        <v>1389684.0223779979</v>
      </c>
      <c r="T20" s="452">
        <f t="shared" si="1"/>
        <v>1392111.3505833806</v>
      </c>
      <c r="U20" s="452">
        <f t="shared" si="1"/>
        <v>1394538.6787887628</v>
      </c>
      <c r="V20" s="452">
        <f t="shared" si="1"/>
        <v>1396977.2295809265</v>
      </c>
      <c r="W20" s="452">
        <f t="shared" si="1"/>
        <v>1397545.940122149</v>
      </c>
      <c r="X20" s="452">
        <f t="shared" si="1"/>
        <v>1398114.6506633717</v>
      </c>
      <c r="Y20" s="452">
        <f t="shared" si="1"/>
        <v>1398683.3612045941</v>
      </c>
      <c r="Z20" s="452">
        <f t="shared" si="1"/>
        <v>1399252.0717458171</v>
      </c>
      <c r="AA20" s="452">
        <f t="shared" si="1"/>
        <v>1399824.3498354787</v>
      </c>
      <c r="AB20" s="452">
        <f t="shared" si="1"/>
        <v>1400393.0603767009</v>
      </c>
      <c r="AC20" s="452">
        <f t="shared" si="1"/>
        <v>1400961.7709179237</v>
      </c>
      <c r="AD20" s="452">
        <f t="shared" si="1"/>
        <v>1401530.4814591459</v>
      </c>
      <c r="AE20" s="452">
        <f t="shared" si="1"/>
        <v>1402099.1920003691</v>
      </c>
      <c r="AF20" s="452">
        <f t="shared" si="1"/>
        <v>1402667.9025415913</v>
      </c>
      <c r="AG20" s="452">
        <f t="shared" si="1"/>
        <v>1403236.613082814</v>
      </c>
      <c r="AH20" s="452">
        <f t="shared" si="1"/>
        <v>1403805.3236240363</v>
      </c>
      <c r="AI20" s="452">
        <f t="shared" si="1"/>
        <v>1404374.034165259</v>
      </c>
      <c r="AJ20" s="452">
        <f t="shared" si="1"/>
        <v>1404942.7447064815</v>
      </c>
    </row>
    <row r="21" spans="1:36" x14ac:dyDescent="0.3">
      <c r="G21" s="451"/>
      <c r="H21" s="451"/>
      <c r="I21" s="451"/>
      <c r="J21" s="451"/>
      <c r="K21" s="451"/>
      <c r="L21" s="451"/>
      <c r="M21" s="451"/>
      <c r="N21" s="451"/>
      <c r="O21" s="451"/>
      <c r="P21" s="451"/>
      <c r="Q21" s="451"/>
      <c r="R21" s="451"/>
      <c r="S21" s="451"/>
      <c r="T21" s="451"/>
      <c r="U21" s="451"/>
      <c r="V21" s="451"/>
      <c r="W21" s="451"/>
      <c r="X21" s="451"/>
      <c r="Y21" s="451"/>
      <c r="Z21" s="451"/>
      <c r="AA21" s="451"/>
      <c r="AB21" s="451"/>
      <c r="AC21" s="451"/>
      <c r="AD21" s="451"/>
      <c r="AE21" s="451"/>
      <c r="AF21" s="451"/>
      <c r="AG21" s="451"/>
      <c r="AH21" s="451"/>
      <c r="AI21" s="451"/>
      <c r="AJ21" s="451"/>
    </row>
    <row r="22" spans="1:36" ht="12.5" thickBot="1" x14ac:dyDescent="0.35">
      <c r="G22" s="451"/>
      <c r="H22" s="451"/>
      <c r="I22" s="451"/>
      <c r="J22" s="451"/>
      <c r="K22" s="451"/>
      <c r="L22" s="451"/>
      <c r="M22" s="451"/>
      <c r="N22" s="451"/>
      <c r="O22" s="451"/>
      <c r="P22" s="451"/>
      <c r="Q22" s="451"/>
      <c r="R22" s="451"/>
      <c r="S22" s="451"/>
      <c r="T22" s="451"/>
      <c r="U22" s="451"/>
      <c r="V22" s="451"/>
      <c r="W22" s="451"/>
      <c r="X22" s="451"/>
      <c r="Y22" s="451"/>
      <c r="Z22" s="451"/>
      <c r="AA22" s="451"/>
      <c r="AB22" s="451"/>
      <c r="AC22" s="451"/>
      <c r="AD22" s="451"/>
      <c r="AE22" s="451"/>
      <c r="AF22" s="451"/>
      <c r="AG22" s="451"/>
      <c r="AH22" s="451"/>
      <c r="AI22" s="451"/>
      <c r="AJ22" s="451"/>
    </row>
    <row r="23" spans="1:36" s="252" customFormat="1" ht="12.5" thickTop="1" x14ac:dyDescent="0.3">
      <c r="A23" s="79"/>
      <c r="C23" s="256" t="s">
        <v>697</v>
      </c>
      <c r="D23" s="256"/>
      <c r="E23" s="257"/>
      <c r="F23" s="258"/>
      <c r="G23" s="258">
        <f t="shared" ref="G23:AJ23" si="2">G4</f>
        <v>1</v>
      </c>
      <c r="H23" s="258">
        <f t="shared" si="2"/>
        <v>2</v>
      </c>
      <c r="I23" s="258">
        <f t="shared" si="2"/>
        <v>3</v>
      </c>
      <c r="J23" s="258">
        <f t="shared" si="2"/>
        <v>4</v>
      </c>
      <c r="K23" s="258">
        <f t="shared" si="2"/>
        <v>5</v>
      </c>
      <c r="L23" s="258">
        <f t="shared" si="2"/>
        <v>6</v>
      </c>
      <c r="M23" s="258">
        <f t="shared" si="2"/>
        <v>7</v>
      </c>
      <c r="N23" s="258">
        <f t="shared" si="2"/>
        <v>8</v>
      </c>
      <c r="O23" s="258">
        <f t="shared" si="2"/>
        <v>9</v>
      </c>
      <c r="P23" s="258">
        <f t="shared" si="2"/>
        <v>10</v>
      </c>
      <c r="Q23" s="258">
        <f t="shared" si="2"/>
        <v>11</v>
      </c>
      <c r="R23" s="258">
        <f t="shared" si="2"/>
        <v>12</v>
      </c>
      <c r="S23" s="258">
        <f t="shared" si="2"/>
        <v>13</v>
      </c>
      <c r="T23" s="258">
        <f t="shared" si="2"/>
        <v>14</v>
      </c>
      <c r="U23" s="258">
        <f t="shared" si="2"/>
        <v>15</v>
      </c>
      <c r="V23" s="258">
        <f t="shared" si="2"/>
        <v>16</v>
      </c>
      <c r="W23" s="258">
        <f t="shared" si="2"/>
        <v>17</v>
      </c>
      <c r="X23" s="258">
        <f t="shared" si="2"/>
        <v>18</v>
      </c>
      <c r="Y23" s="258">
        <f t="shared" si="2"/>
        <v>19</v>
      </c>
      <c r="Z23" s="258">
        <f t="shared" si="2"/>
        <v>20</v>
      </c>
      <c r="AA23" s="258">
        <f t="shared" si="2"/>
        <v>21</v>
      </c>
      <c r="AB23" s="258">
        <f t="shared" si="2"/>
        <v>22</v>
      </c>
      <c r="AC23" s="258">
        <f t="shared" si="2"/>
        <v>23</v>
      </c>
      <c r="AD23" s="258">
        <f t="shared" si="2"/>
        <v>24</v>
      </c>
      <c r="AE23" s="258">
        <f t="shared" si="2"/>
        <v>25</v>
      </c>
      <c r="AF23" s="258">
        <f t="shared" si="2"/>
        <v>26</v>
      </c>
      <c r="AG23" s="258">
        <f t="shared" si="2"/>
        <v>27</v>
      </c>
      <c r="AH23" s="258">
        <f t="shared" si="2"/>
        <v>28</v>
      </c>
      <c r="AI23" s="258">
        <f t="shared" si="2"/>
        <v>29</v>
      </c>
      <c r="AJ23" s="258">
        <f t="shared" si="2"/>
        <v>30</v>
      </c>
    </row>
    <row r="24" spans="1:36" x14ac:dyDescent="0.3">
      <c r="G24" s="451"/>
      <c r="H24" s="451"/>
      <c r="I24" s="451"/>
      <c r="J24" s="451"/>
      <c r="K24" s="451"/>
      <c r="L24" s="451"/>
      <c r="M24" s="451"/>
      <c r="N24" s="451"/>
      <c r="O24" s="451"/>
      <c r="P24" s="451"/>
      <c r="Q24" s="451"/>
      <c r="R24" s="451"/>
      <c r="S24" s="451"/>
      <c r="T24" s="451"/>
      <c r="U24" s="451"/>
      <c r="V24" s="451"/>
      <c r="W24" s="451"/>
      <c r="X24" s="451"/>
      <c r="Y24" s="451"/>
      <c r="Z24" s="451"/>
      <c r="AA24" s="451"/>
      <c r="AB24" s="451"/>
      <c r="AC24" s="451"/>
      <c r="AD24" s="451"/>
      <c r="AE24" s="451"/>
      <c r="AF24" s="451"/>
      <c r="AG24" s="451"/>
      <c r="AH24" s="451"/>
      <c r="AI24" s="451"/>
      <c r="AJ24" s="451"/>
    </row>
    <row r="25" spans="1:36" x14ac:dyDescent="0.3">
      <c r="E25" s="263" t="s">
        <v>698</v>
      </c>
      <c r="G25" s="452">
        <f t="shared" ref="G25:AJ25" si="3">G6*32%</f>
        <v>14989683.131247099</v>
      </c>
      <c r="H25" s="452">
        <f t="shared" si="3"/>
        <v>16243684.009614782</v>
      </c>
      <c r="I25" s="452">
        <f t="shared" si="3"/>
        <v>16652317.131998826</v>
      </c>
      <c r="J25" s="452">
        <f t="shared" si="3"/>
        <v>16901559.127180789</v>
      </c>
      <c r="K25" s="452">
        <f t="shared" si="3"/>
        <v>17068209.776438765</v>
      </c>
      <c r="L25" s="452">
        <f t="shared" si="3"/>
        <v>17216435.169710193</v>
      </c>
      <c r="M25" s="452">
        <f t="shared" si="3"/>
        <v>17333663.685681641</v>
      </c>
      <c r="N25" s="452">
        <f t="shared" si="3"/>
        <v>17405162.01648711</v>
      </c>
      <c r="O25" s="452">
        <f t="shared" si="3"/>
        <v>19917057.753133837</v>
      </c>
      <c r="P25" s="452">
        <f t="shared" si="3"/>
        <v>19640525.281186461</v>
      </c>
      <c r="Q25" s="452">
        <f t="shared" si="3"/>
        <v>17619633.172988862</v>
      </c>
      <c r="R25" s="452">
        <f t="shared" si="3"/>
        <v>17662501.205879673</v>
      </c>
      <c r="S25" s="452">
        <f t="shared" si="3"/>
        <v>17705369.238770477</v>
      </c>
      <c r="T25" s="452">
        <f t="shared" si="3"/>
        <v>17748237.271661274</v>
      </c>
      <c r="U25" s="452">
        <f t="shared" si="3"/>
        <v>17791105.304552075</v>
      </c>
      <c r="V25" s="452">
        <f t="shared" si="3"/>
        <v>17834206.039222114</v>
      </c>
      <c r="W25" s="452">
        <f t="shared" si="3"/>
        <v>20178277.453325089</v>
      </c>
      <c r="X25" s="452">
        <f t="shared" si="3"/>
        <v>17872071.133491095</v>
      </c>
      <c r="Y25" s="452">
        <f t="shared" si="3"/>
        <v>17891003.680625591</v>
      </c>
      <c r="Z25" s="452">
        <f t="shared" si="3"/>
        <v>18364798.532779306</v>
      </c>
      <c r="AA25" s="452">
        <f t="shared" si="3"/>
        <v>17928821.491466127</v>
      </c>
      <c r="AB25" s="452">
        <f t="shared" si="3"/>
        <v>17947754.03860062</v>
      </c>
      <c r="AC25" s="452">
        <f t="shared" si="3"/>
        <v>17966686.585735116</v>
      </c>
      <c r="AD25" s="452">
        <f t="shared" si="3"/>
        <v>17985619.132869612</v>
      </c>
      <c r="AE25" s="452">
        <f t="shared" si="3"/>
        <v>20329690.546972595</v>
      </c>
      <c r="AF25" s="452">
        <f t="shared" si="3"/>
        <v>18023484.227138598</v>
      </c>
      <c r="AG25" s="452">
        <f t="shared" si="3"/>
        <v>18042416.77427309</v>
      </c>
      <c r="AH25" s="452">
        <f t="shared" si="3"/>
        <v>18061349.321407586</v>
      </c>
      <c r="AI25" s="452">
        <f t="shared" si="3"/>
        <v>18080281.868542083</v>
      </c>
      <c r="AJ25" s="452">
        <f t="shared" si="3"/>
        <v>18099214.415676571</v>
      </c>
    </row>
    <row r="26" spans="1:36" x14ac:dyDescent="0.3">
      <c r="G26" s="451"/>
      <c r="H26" s="451"/>
      <c r="I26" s="451"/>
      <c r="J26" s="451"/>
      <c r="K26" s="451"/>
      <c r="L26" s="451"/>
      <c r="M26" s="451"/>
      <c r="N26" s="451"/>
      <c r="O26" s="451"/>
      <c r="P26" s="451"/>
      <c r="Q26" s="451"/>
      <c r="R26" s="451"/>
      <c r="S26" s="451"/>
      <c r="T26" s="451"/>
      <c r="U26" s="451"/>
      <c r="V26" s="451"/>
      <c r="W26" s="451"/>
      <c r="X26" s="451"/>
      <c r="Y26" s="451"/>
      <c r="Z26" s="451"/>
      <c r="AA26" s="451"/>
      <c r="AB26" s="451"/>
      <c r="AC26" s="451"/>
      <c r="AD26" s="451"/>
      <c r="AE26" s="451"/>
      <c r="AF26" s="451"/>
      <c r="AG26" s="451"/>
      <c r="AH26" s="451"/>
      <c r="AI26" s="451"/>
      <c r="AJ26" s="451"/>
    </row>
    <row r="27" spans="1:36" x14ac:dyDescent="0.3">
      <c r="C27" s="264"/>
      <c r="D27" s="264"/>
      <c r="E27" s="265" t="s">
        <v>415</v>
      </c>
      <c r="F27" s="26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</row>
    <row r="28" spans="1:36" x14ac:dyDescent="0.3">
      <c r="C28" s="268"/>
      <c r="D28" s="268"/>
      <c r="E28" s="269" t="s">
        <v>681</v>
      </c>
      <c r="F28" s="268"/>
      <c r="G28" s="455">
        <f>-IF(G$25&lt;0,0,IF(G25&lt;=240000,G25*'Premissas Gerais'!G113,G25*'Premissas Gerais'!G113+(G25-240000)*'Premissas Gerais'!G114))</f>
        <v>-3723420.7828117749</v>
      </c>
      <c r="H28" s="455">
        <f>-IF(H$25&lt;0,0,IF(H25&lt;=240000,H25*'Premissas Gerais'!G113,H25*'Premissas Gerais'!G113+(H25-240000)*'Premissas Gerais'!G114))</f>
        <v>-4036921.0024036956</v>
      </c>
      <c r="I28" s="455">
        <f>-IF(I$25&lt;0,0,IF(I25&lt;=240000,I25*'Premissas Gerais'!G113,I25*'Premissas Gerais'!G113+(I25-240000)*'Premissas Gerais'!G114))</f>
        <v>-4139079.2829997065</v>
      </c>
      <c r="J28" s="455">
        <f>-IF(J$25&lt;0,0,IF(J25&lt;=240000,J25*'Premissas Gerais'!G113,J25*'Premissas Gerais'!G113+(J25-240000)*'Premissas Gerais'!G114))</f>
        <v>-4201389.7817951972</v>
      </c>
      <c r="K28" s="455">
        <f>-IF(K$25&lt;0,0,IF(K25&lt;=240000,K25*'Premissas Gerais'!G113,K25*'Premissas Gerais'!G113+(K25-240000)*'Premissas Gerais'!G114))</f>
        <v>-4243052.4441096913</v>
      </c>
      <c r="L28" s="455">
        <f>-IF(L$25&lt;0,0,IF(L25&lt;=240000,L25*'Premissas Gerais'!G113,L25*'Premissas Gerais'!G113+(L25-240000)*'Premissas Gerais'!G114))</f>
        <v>-4280108.7924275482</v>
      </c>
      <c r="M28" s="455">
        <f>-IF(M$25&lt;0,0,IF(M25&lt;=240000,M25*'Premissas Gerais'!G113,M25*'Premissas Gerais'!G113+(M25-240000)*'Premissas Gerais'!G114))</f>
        <v>-4309415.9214204103</v>
      </c>
      <c r="N28" s="455">
        <f>-IF(N$25&lt;0,0,IF(N25&lt;=240000,N25*'Premissas Gerais'!G113,N25*'Premissas Gerais'!G113+(N25-240000)*'Premissas Gerais'!G114))</f>
        <v>-4327290.5041217776</v>
      </c>
      <c r="O28" s="455">
        <f>-IF(O$25&lt;0,0,IF(O25&lt;=240000,O25*'Premissas Gerais'!G113,O25*'Premissas Gerais'!G113+(O25-240000)*'Premissas Gerais'!G114))</f>
        <v>-4955264.4382834593</v>
      </c>
      <c r="P28" s="455">
        <f>-IF(P$25&lt;0,0,IF(P25&lt;=240000,P25*'Premissas Gerais'!G113,P25*'Premissas Gerais'!G113+(P25-240000)*'Premissas Gerais'!G114))</f>
        <v>-4886131.3202966154</v>
      </c>
      <c r="Q28" s="455">
        <f>-IF(Q$25&lt;0,0,IF(Q25&lt;=240000,Q25*'Premissas Gerais'!G113,Q25*'Premissas Gerais'!G113+(Q25-240000)*'Premissas Gerais'!G114))</f>
        <v>-4380908.2932472154</v>
      </c>
      <c r="R28" s="455">
        <f>-IF(R$25&lt;0,0,IF(R25&lt;=240000,R25*'Premissas Gerais'!G113,R25*'Premissas Gerais'!G113+(R25-240000)*'Premissas Gerais'!G114))</f>
        <v>-4391625.3014699183</v>
      </c>
      <c r="S28" s="455">
        <f>-IF(S$25&lt;0,0,IF(S25&lt;=240000,S25*'Premissas Gerais'!G113,S25*'Premissas Gerais'!G113+(S25-240000)*'Premissas Gerais'!G114))</f>
        <v>-4402342.3096926194</v>
      </c>
      <c r="T28" s="455">
        <f>-IF(T$25&lt;0,0,IF(T25&lt;=240000,T25*'Premissas Gerais'!G113,T25*'Premissas Gerais'!G113+(T25-240000)*'Premissas Gerais'!G114))</f>
        <v>-4413059.3179153185</v>
      </c>
      <c r="U28" s="455">
        <f>-IF(U$25&lt;0,0,IF(U25&lt;=240000,U25*'Premissas Gerais'!G113,U25*'Premissas Gerais'!G113+(U25-240000)*'Premissas Gerais'!G114))</f>
        <v>-4423776.3261380186</v>
      </c>
      <c r="V28" s="455">
        <f>-IF(V$25&lt;0,0,IF(V25&lt;=240000,V25*'Premissas Gerais'!G113,V25*'Premissas Gerais'!G113+(V25-240000)*'Premissas Gerais'!G114))</f>
        <v>-4434551.5098055284</v>
      </c>
      <c r="W28" s="455">
        <f>-IF(W$25&lt;0,0,IF(W25&lt;=240000,W25*'Premissas Gerais'!G113,W25*'Premissas Gerais'!G113+(W25-240000)*'Premissas Gerais'!G114))</f>
        <v>-5020569.3633312723</v>
      </c>
      <c r="X28" s="455">
        <f>-IF(X$25&lt;0,0,IF(X25&lt;=240000,X25*'Premissas Gerais'!G113,X25*'Premissas Gerais'!G113+(X25-240000)*'Premissas Gerais'!G114))</f>
        <v>-4444017.7833727738</v>
      </c>
      <c r="Y28" s="455">
        <f>-IF(Y$25&lt;0,0,IF(Y25&lt;=240000,Y25*'Premissas Gerais'!G113,Y25*'Premissas Gerais'!G113+(Y25-240000)*'Premissas Gerais'!G114))</f>
        <v>-4448750.9201563979</v>
      </c>
      <c r="Z28" s="455">
        <f>-IF(Z$25&lt;0,0,IF(Z25&lt;=240000,Z25*'Premissas Gerais'!G113,Z25*'Premissas Gerais'!G113+(Z25-240000)*'Premissas Gerais'!G114))</f>
        <v>-4567199.6331948265</v>
      </c>
      <c r="AA28" s="455">
        <f>-IF(AA$25&lt;0,0,IF(AA25&lt;=240000,AA25*'Premissas Gerais'!G113,AA25*'Premissas Gerais'!G113+(AA25-240000)*'Premissas Gerais'!G114))</f>
        <v>-4458205.3728665318</v>
      </c>
      <c r="AB28" s="455">
        <f>-IF(AB$25&lt;0,0,IF(AB25&lt;=240000,AB25*'Premissas Gerais'!G113,AB25*'Premissas Gerais'!G113+(AB25-240000)*'Premissas Gerais'!G114))</f>
        <v>-4462938.509650155</v>
      </c>
      <c r="AC28" s="455">
        <f>-IF(AC$25&lt;0,0,IF(AC25&lt;=240000,AC25*'Premissas Gerais'!G113,AC25*'Premissas Gerais'!G113+(AC25-240000)*'Premissas Gerais'!G114))</f>
        <v>-4467671.646433779</v>
      </c>
      <c r="AD28" s="455">
        <f>-IF(AD$25&lt;0,0,IF(AD25&lt;=240000,AD25*'Premissas Gerais'!G113,AD25*'Premissas Gerais'!G113+(AD25-240000)*'Premissas Gerais'!G114))</f>
        <v>-4472404.7832174031</v>
      </c>
      <c r="AE28" s="455">
        <f>-IF(AE$25&lt;0,0,IF(AE25&lt;=240000,AE25*'Premissas Gerais'!G113,AE25*'Premissas Gerais'!G113+(AE25-240000)*'Premissas Gerais'!G114))</f>
        <v>-5058422.6367431488</v>
      </c>
      <c r="AF28" s="455">
        <f>-IF(AF$25&lt;0,0,IF(AF25&lt;=240000,AF25*'Premissas Gerais'!G113,AF25*'Premissas Gerais'!G113+(AF25-240000)*'Premissas Gerais'!G114))</f>
        <v>-4481871.0567846494</v>
      </c>
      <c r="AG28" s="455">
        <f>-IF(AG$25&lt;0,0,IF(AG25&lt;=240000,AG25*'Premissas Gerais'!G113,AG25*'Premissas Gerais'!G113+(AG25-240000)*'Premissas Gerais'!G114))</f>
        <v>-4486604.1935682725</v>
      </c>
      <c r="AH28" s="455">
        <f>-IF(AH$25&lt;0,0,IF(AH25&lt;=240000,AH25*'Premissas Gerais'!G113,AH25*'Premissas Gerais'!G113+(AH25-240000)*'Premissas Gerais'!G114))</f>
        <v>-4491337.3303518966</v>
      </c>
      <c r="AI28" s="455">
        <f>-IF(AI$25&lt;0,0,IF(AI25&lt;=240000,AI25*'Premissas Gerais'!G113,AI25*'Premissas Gerais'!G113+(AI25-240000)*'Premissas Gerais'!G114))</f>
        <v>-4496070.4671355207</v>
      </c>
      <c r="AJ28" s="455">
        <f>-IF(AJ$25&lt;0,0,IF(AJ25&lt;=240000,AJ25*'Premissas Gerais'!G113,AJ25*'Premissas Gerais'!G113+(AJ25-240000)*'Premissas Gerais'!G114))</f>
        <v>-4500803.6039191429</v>
      </c>
    </row>
    <row r="29" spans="1:36" x14ac:dyDescent="0.3"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1"/>
      <c r="V29" s="451"/>
      <c r="W29" s="451"/>
      <c r="X29" s="451"/>
      <c r="Y29" s="451"/>
      <c r="Z29" s="451"/>
      <c r="AA29" s="451"/>
      <c r="AB29" s="451"/>
      <c r="AC29" s="451"/>
      <c r="AD29" s="451"/>
      <c r="AE29" s="451"/>
      <c r="AF29" s="451"/>
      <c r="AG29" s="451"/>
      <c r="AH29" s="451"/>
      <c r="AI29" s="451"/>
      <c r="AJ29" s="451"/>
    </row>
    <row r="30" spans="1:36" x14ac:dyDescent="0.3">
      <c r="C30" s="264"/>
      <c r="D30" s="264"/>
      <c r="E30" s="265" t="s">
        <v>147</v>
      </c>
      <c r="F30" s="467">
        <f>'Premissas Gerais'!G115</f>
        <v>0.09</v>
      </c>
      <c r="G30" s="456"/>
      <c r="H30" s="456"/>
      <c r="I30" s="456"/>
      <c r="J30" s="456"/>
      <c r="K30" s="456"/>
      <c r="L30" s="456"/>
      <c r="M30" s="456"/>
      <c r="N30" s="456"/>
      <c r="O30" s="456"/>
      <c r="P30" s="456"/>
      <c r="Q30" s="456"/>
      <c r="R30" s="456"/>
      <c r="S30" s="456"/>
      <c r="T30" s="456"/>
      <c r="U30" s="456"/>
      <c r="V30" s="456"/>
      <c r="W30" s="456"/>
      <c r="X30" s="456"/>
      <c r="Y30" s="456"/>
      <c r="Z30" s="456"/>
      <c r="AA30" s="456"/>
      <c r="AB30" s="456"/>
      <c r="AC30" s="456"/>
      <c r="AD30" s="456"/>
      <c r="AE30" s="456"/>
      <c r="AF30" s="456"/>
      <c r="AG30" s="456"/>
      <c r="AH30" s="456"/>
      <c r="AI30" s="456"/>
      <c r="AJ30" s="456"/>
    </row>
    <row r="31" spans="1:36" x14ac:dyDescent="0.3">
      <c r="C31" s="268"/>
      <c r="D31" s="268"/>
      <c r="E31" s="269" t="s">
        <v>685</v>
      </c>
      <c r="F31" s="268"/>
      <c r="G31" s="455">
        <f>-IF(G$25&lt;0,0,G$25*$F30)</f>
        <v>-1349071.4818122389</v>
      </c>
      <c r="H31" s="455">
        <f t="shared" ref="H31:AJ31" si="4">-IF(H$25&lt;0,0,H$25*$F30)</f>
        <v>-1461931.5608653303</v>
      </c>
      <c r="I31" s="455">
        <f t="shared" si="4"/>
        <v>-1498708.5418798942</v>
      </c>
      <c r="J31" s="455">
        <f t="shared" si="4"/>
        <v>-1521140.3214462709</v>
      </c>
      <c r="K31" s="455">
        <f t="shared" si="4"/>
        <v>-1536138.8798794888</v>
      </c>
      <c r="L31" s="455">
        <f t="shared" si="4"/>
        <v>-1549479.1652739174</v>
      </c>
      <c r="M31" s="455">
        <f t="shared" si="4"/>
        <v>-1560029.7317113476</v>
      </c>
      <c r="N31" s="455">
        <f t="shared" si="4"/>
        <v>-1566464.5814838398</v>
      </c>
      <c r="O31" s="455">
        <f t="shared" si="4"/>
        <v>-1792535.1977820452</v>
      </c>
      <c r="P31" s="455">
        <f t="shared" si="4"/>
        <v>-1767647.2753067815</v>
      </c>
      <c r="Q31" s="455">
        <f t="shared" si="4"/>
        <v>-1585766.9855689975</v>
      </c>
      <c r="R31" s="455">
        <f t="shared" si="4"/>
        <v>-1589625.1085291705</v>
      </c>
      <c r="S31" s="455">
        <f t="shared" si="4"/>
        <v>-1593483.2314893429</v>
      </c>
      <c r="T31" s="455">
        <f t="shared" si="4"/>
        <v>-1597341.3544495145</v>
      </c>
      <c r="U31" s="455">
        <f t="shared" si="4"/>
        <v>-1601199.4774096867</v>
      </c>
      <c r="V31" s="455">
        <f t="shared" si="4"/>
        <v>-1605078.5435299901</v>
      </c>
      <c r="W31" s="455">
        <f t="shared" si="4"/>
        <v>-1816044.970799258</v>
      </c>
      <c r="X31" s="455">
        <f t="shared" si="4"/>
        <v>-1608486.4020141985</v>
      </c>
      <c r="Y31" s="455">
        <f t="shared" si="4"/>
        <v>-1610190.3312563032</v>
      </c>
      <c r="Z31" s="455">
        <f t="shared" si="4"/>
        <v>-1652831.8679501375</v>
      </c>
      <c r="AA31" s="455">
        <f t="shared" si="4"/>
        <v>-1613593.9342319514</v>
      </c>
      <c r="AB31" s="455">
        <f t="shared" si="4"/>
        <v>-1615297.8634740557</v>
      </c>
      <c r="AC31" s="455">
        <f t="shared" si="4"/>
        <v>-1617001.7927161604</v>
      </c>
      <c r="AD31" s="455">
        <f t="shared" si="4"/>
        <v>-1618705.7219582652</v>
      </c>
      <c r="AE31" s="455">
        <f t="shared" si="4"/>
        <v>-1829672.1492275335</v>
      </c>
      <c r="AF31" s="455">
        <f t="shared" si="4"/>
        <v>-1622113.5804424738</v>
      </c>
      <c r="AG31" s="455">
        <f t="shared" si="4"/>
        <v>-1623817.509684578</v>
      </c>
      <c r="AH31" s="455">
        <f t="shared" si="4"/>
        <v>-1625521.4389266828</v>
      </c>
      <c r="AI31" s="455">
        <f t="shared" si="4"/>
        <v>-1627225.3681687873</v>
      </c>
      <c r="AJ31" s="455">
        <f t="shared" si="4"/>
        <v>-1628929.2974108914</v>
      </c>
    </row>
    <row r="32" spans="1:36" x14ac:dyDescent="0.3">
      <c r="G32" s="457"/>
      <c r="H32" s="457"/>
      <c r="I32" s="457"/>
      <c r="J32" s="457"/>
      <c r="K32" s="457"/>
      <c r="L32" s="457"/>
      <c r="M32" s="457"/>
      <c r="N32" s="457"/>
      <c r="O32" s="457"/>
      <c r="P32" s="457"/>
      <c r="Q32" s="457"/>
      <c r="R32" s="457"/>
      <c r="S32" s="457"/>
      <c r="T32" s="457"/>
      <c r="U32" s="457"/>
      <c r="V32" s="457"/>
      <c r="W32" s="457"/>
      <c r="X32" s="457"/>
      <c r="Y32" s="457"/>
      <c r="Z32" s="457"/>
      <c r="AA32" s="457"/>
      <c r="AB32" s="457"/>
      <c r="AC32" s="457"/>
      <c r="AD32" s="457"/>
      <c r="AE32" s="457"/>
      <c r="AF32" s="457"/>
      <c r="AG32" s="457"/>
      <c r="AH32" s="457"/>
      <c r="AI32" s="457"/>
      <c r="AJ32" s="457"/>
    </row>
    <row r="33" spans="3:36" x14ac:dyDescent="0.3">
      <c r="G33" s="457"/>
      <c r="H33" s="457"/>
      <c r="I33" s="457"/>
      <c r="J33" s="457"/>
      <c r="K33" s="457"/>
      <c r="L33" s="457"/>
      <c r="M33" s="457"/>
      <c r="N33" s="457"/>
      <c r="O33" s="457"/>
      <c r="P33" s="457"/>
      <c r="Q33" s="457"/>
      <c r="R33" s="457"/>
      <c r="S33" s="457"/>
      <c r="T33" s="457"/>
      <c r="U33" s="457"/>
      <c r="V33" s="457"/>
      <c r="W33" s="457"/>
      <c r="X33" s="457"/>
      <c r="Y33" s="457"/>
      <c r="Z33" s="457"/>
      <c r="AA33" s="457"/>
      <c r="AB33" s="457"/>
      <c r="AC33" s="457"/>
      <c r="AD33" s="457"/>
      <c r="AE33" s="457"/>
      <c r="AF33" s="457"/>
      <c r="AG33" s="457"/>
      <c r="AH33" s="457"/>
      <c r="AI33" s="457"/>
      <c r="AJ33" s="457"/>
    </row>
    <row r="34" spans="3:36" x14ac:dyDescent="0.3">
      <c r="G34" s="457"/>
      <c r="H34" s="457"/>
      <c r="I34" s="457"/>
      <c r="J34" s="457"/>
      <c r="K34" s="457"/>
      <c r="L34" s="457"/>
      <c r="M34" s="457"/>
      <c r="N34" s="457"/>
      <c r="O34" s="457"/>
      <c r="P34" s="457"/>
      <c r="Q34" s="457"/>
      <c r="R34" s="457"/>
      <c r="S34" s="457"/>
      <c r="T34" s="457"/>
      <c r="U34" s="457"/>
      <c r="V34" s="457"/>
      <c r="W34" s="457"/>
      <c r="X34" s="457"/>
      <c r="Y34" s="457"/>
      <c r="Z34" s="457"/>
      <c r="AA34" s="457"/>
      <c r="AB34" s="457"/>
      <c r="AC34" s="457"/>
      <c r="AD34" s="457"/>
      <c r="AE34" s="457"/>
      <c r="AF34" s="457"/>
      <c r="AG34" s="457"/>
      <c r="AH34" s="457"/>
      <c r="AI34" s="457"/>
      <c r="AJ34" s="457"/>
    </row>
    <row r="35" spans="3:36" x14ac:dyDescent="0.3">
      <c r="G35" s="457"/>
      <c r="H35" s="457"/>
      <c r="I35" s="457"/>
      <c r="J35" s="457"/>
      <c r="K35" s="457"/>
      <c r="L35" s="457"/>
      <c r="M35" s="457"/>
      <c r="N35" s="457"/>
      <c r="O35" s="457"/>
      <c r="P35" s="457"/>
      <c r="Q35" s="457"/>
      <c r="R35" s="457"/>
      <c r="S35" s="457"/>
      <c r="T35" s="457"/>
      <c r="U35" s="457"/>
      <c r="V35" s="457"/>
      <c r="W35" s="457"/>
      <c r="X35" s="457"/>
      <c r="Y35" s="457"/>
      <c r="Z35" s="457"/>
      <c r="AA35" s="457"/>
      <c r="AB35" s="457"/>
      <c r="AC35" s="457"/>
      <c r="AD35" s="457"/>
      <c r="AE35" s="457"/>
      <c r="AF35" s="457"/>
      <c r="AG35" s="457"/>
      <c r="AH35" s="457"/>
      <c r="AI35" s="457"/>
      <c r="AJ35" s="457"/>
    </row>
    <row r="36" spans="3:36" s="275" customFormat="1" x14ac:dyDescent="0.3">
      <c r="C36" s="274" t="s">
        <v>699</v>
      </c>
      <c r="D36" s="274"/>
      <c r="E36" s="265"/>
      <c r="F36" s="266"/>
      <c r="G36" s="458">
        <f t="shared" ref="G36:AJ36" si="5">SUM(G7:G8,G20)-G28-G31</f>
        <v>8115416.0819355659</v>
      </c>
      <c r="H36" s="458">
        <f t="shared" si="5"/>
        <v>8690499.4730420914</v>
      </c>
      <c r="I36" s="458">
        <f t="shared" si="5"/>
        <v>8881733.0674472973</v>
      </c>
      <c r="J36" s="458">
        <f t="shared" si="5"/>
        <v>9000593.1281573083</v>
      </c>
      <c r="K36" s="458">
        <f t="shared" si="5"/>
        <v>9081951.5558587089</v>
      </c>
      <c r="L36" s="458">
        <f t="shared" si="5"/>
        <v>9154954.687022116</v>
      </c>
      <c r="M36" s="458">
        <f t="shared" si="5"/>
        <v>9212826.4165849648</v>
      </c>
      <c r="N36" s="458">
        <f t="shared" si="5"/>
        <v>9249933.7839458883</v>
      </c>
      <c r="O36" s="458">
        <f t="shared" si="5"/>
        <v>10395134.098396607</v>
      </c>
      <c r="P36" s="458">
        <f t="shared" si="5"/>
        <v>10274213.729382567</v>
      </c>
      <c r="Q36" s="458">
        <f t="shared" si="5"/>
        <v>9361244.0535774883</v>
      </c>
      <c r="R36" s="458">
        <f t="shared" si="5"/>
        <v>9383136.1479673535</v>
      </c>
      <c r="S36" s="458">
        <f t="shared" si="5"/>
        <v>9405028.2423572186</v>
      </c>
      <c r="T36" s="458">
        <f t="shared" si="5"/>
        <v>9426920.3367470782</v>
      </c>
      <c r="U36" s="458">
        <f t="shared" si="5"/>
        <v>9448812.4311369397</v>
      </c>
      <c r="V36" s="458">
        <f t="shared" si="5"/>
        <v>9470821.4092652164</v>
      </c>
      <c r="W36" s="458">
        <f t="shared" si="5"/>
        <v>10535745.046272572</v>
      </c>
      <c r="X36" s="458">
        <f t="shared" si="5"/>
        <v>9489151.9497141726</v>
      </c>
      <c r="Y36" s="458">
        <f t="shared" si="5"/>
        <v>9498317.2199386526</v>
      </c>
      <c r="Z36" s="458">
        <f t="shared" si="5"/>
        <v>9714018.4055359196</v>
      </c>
      <c r="AA36" s="458">
        <f t="shared" si="5"/>
        <v>9516629.8583043162</v>
      </c>
      <c r="AB36" s="458">
        <f t="shared" si="5"/>
        <v>9525795.1285287943</v>
      </c>
      <c r="AC36" s="458">
        <f t="shared" si="5"/>
        <v>9534960.3987532742</v>
      </c>
      <c r="AD36" s="458">
        <f t="shared" si="5"/>
        <v>9544125.6689777542</v>
      </c>
      <c r="AE36" s="458">
        <f t="shared" si="5"/>
        <v>10609049.305985112</v>
      </c>
      <c r="AF36" s="458">
        <f t="shared" si="5"/>
        <v>9562456.2094267104</v>
      </c>
      <c r="AG36" s="458">
        <f t="shared" si="5"/>
        <v>9571621.4796511885</v>
      </c>
      <c r="AH36" s="458">
        <f t="shared" si="5"/>
        <v>9580786.7498756684</v>
      </c>
      <c r="AI36" s="458">
        <f t="shared" si="5"/>
        <v>9589952.0201001484</v>
      </c>
      <c r="AJ36" s="458">
        <f t="shared" si="5"/>
        <v>9599117.2903246246</v>
      </c>
    </row>
    <row r="39" spans="3:36" x14ac:dyDescent="0.3">
      <c r="C39" s="282"/>
      <c r="D39" s="283" t="s">
        <v>700</v>
      </c>
      <c r="E39" s="283"/>
      <c r="F39" s="284"/>
      <c r="G39" s="285" t="str">
        <f>IF(G6&gt;$F$43,"LR",IF(G36&lt;'Tributos-LR'!G68,"LP","LR"))</f>
        <v>LR</v>
      </c>
      <c r="H39" s="285" t="str">
        <f>IF(H6&gt;$F$43,"LR",IF(H36&lt;'Tributos-LR'!H68,"LP","LR"))</f>
        <v>LR</v>
      </c>
      <c r="I39" s="285" t="str">
        <f>IF(I6&gt;$F$43,"LR",IF(I36&lt;'Tributos-LR'!I68,"LP","LR"))</f>
        <v>LR</v>
      </c>
      <c r="J39" s="285" t="str">
        <f>IF(J6&gt;$F$43,"LR",IF(J36&lt;'Tributos-LR'!J68,"LP","LR"))</f>
        <v>LR</v>
      </c>
      <c r="K39" s="285" t="str">
        <f>IF(K6&gt;$F$43,"LR",IF(K36&lt;'Tributos-LR'!K68,"LP","LR"))</f>
        <v>LP</v>
      </c>
      <c r="L39" s="285" t="str">
        <f>IF(L6&gt;$F$43,"LR",IF(L36&lt;'Tributos-LR'!L68,"LP","LR"))</f>
        <v>LP</v>
      </c>
      <c r="M39" s="285" t="str">
        <f>IF(M6&gt;$F$43,"LR",IF(M36&lt;'Tributos-LR'!M68,"LP","LR"))</f>
        <v>LP</v>
      </c>
      <c r="N39" s="285" t="str">
        <f>IF(N6&gt;$F$43,"LR",IF(N36&lt;'Tributos-LR'!N68,"LP","LR"))</f>
        <v>LP</v>
      </c>
      <c r="O39" s="285" t="str">
        <f>IF(O6&gt;$F$43,"LR",IF(O36&lt;'Tributos-LR'!O68,"LP","LR"))</f>
        <v>LP</v>
      </c>
      <c r="P39" s="285" t="str">
        <f>IF(P6&gt;$F$43,"LR",IF(P36&lt;'Tributos-LR'!P68,"LP","LR"))</f>
        <v>LP</v>
      </c>
      <c r="Q39" s="285" t="str">
        <f>IF(Q6&gt;$F$43,"LR",IF(Q36&lt;'Tributos-LR'!Q68,"LP","LR"))</f>
        <v>LP</v>
      </c>
      <c r="R39" s="285" t="str">
        <f>IF(R6&gt;$F$43,"LR",IF(R36&lt;'Tributos-LR'!R68,"LP","LR"))</f>
        <v>LP</v>
      </c>
      <c r="S39" s="285" t="str">
        <f>IF(S6&gt;$F$43,"LR",IF(S36&lt;'Tributos-LR'!S68,"LP","LR"))</f>
        <v>LP</v>
      </c>
      <c r="T39" s="285" t="str">
        <f>IF(T6&gt;$F$43,"LR",IF(T36&lt;'Tributos-LR'!T68,"LP","LR"))</f>
        <v>LP</v>
      </c>
      <c r="U39" s="285" t="str">
        <f>IF(U6&gt;$F$43,"LR",IF(U36&lt;'Tributos-LR'!U68,"LP","LR"))</f>
        <v>LP</v>
      </c>
      <c r="V39" s="285" t="str">
        <f>IF(V6&gt;$F$43,"LR",IF(V36&lt;'Tributos-LR'!V68,"LP","LR"))</f>
        <v>LP</v>
      </c>
      <c r="W39" s="285" t="str">
        <f>IF(W6&gt;$F$43,"LR",IF(W36&lt;'Tributos-LR'!W68,"LP","LR"))</f>
        <v>LP</v>
      </c>
      <c r="X39" s="285" t="str">
        <f>IF(X6&gt;$F$43,"LR",IF(X36&lt;'Tributos-LR'!X68,"LP","LR"))</f>
        <v>LP</v>
      </c>
      <c r="Y39" s="285" t="str">
        <f>IF(Y6&gt;$F$43,"LR",IF(Y36&lt;'Tributos-LR'!Y68,"LP","LR"))</f>
        <v>LP</v>
      </c>
      <c r="Z39" s="285" t="str">
        <f>IF(Z6&gt;$F$43,"LR",IF(Z36&lt;'Tributos-LR'!Z68,"LP","LR"))</f>
        <v>LP</v>
      </c>
      <c r="AA39" s="285" t="str">
        <f>IF(AA6&gt;$F$43,"LR",IF(AA36&lt;'Tributos-LR'!AA68,"LP","LR"))</f>
        <v>LP</v>
      </c>
      <c r="AB39" s="285" t="str">
        <f>IF(AB6&gt;$F$43,"LR",IF(AB36&lt;'Tributos-LR'!AB68,"LP","LR"))</f>
        <v>LP</v>
      </c>
      <c r="AC39" s="285" t="str">
        <f>IF(AC6&gt;$F$43,"LR",IF(AC36&lt;'Tributos-LR'!AC68,"LP","LR"))</f>
        <v>LP</v>
      </c>
      <c r="AD39" s="285" t="str">
        <f>IF(AD6&gt;$F$43,"LR",IF(AD36&lt;'Tributos-LR'!AD68,"LP","LR"))</f>
        <v>LP</v>
      </c>
      <c r="AE39" s="285" t="str">
        <f>IF(AE6&gt;$F$43,"LR",IF(AE36&lt;'Tributos-LR'!AE68,"LP","LR"))</f>
        <v>LP</v>
      </c>
      <c r="AF39" s="285" t="str">
        <f>IF(AF6&gt;$F$43,"LR",IF(AF36&lt;'Tributos-LR'!AF68,"LP","LR"))</f>
        <v>LR</v>
      </c>
      <c r="AG39" s="285" t="str">
        <f>IF(AG6&gt;$F$43,"LR",IF(AG36&lt;'Tributos-LR'!AG68,"LP","LR"))</f>
        <v>LR</v>
      </c>
      <c r="AH39" s="285" t="str">
        <f>IF(AH6&gt;$F$43,"LR",IF(AH36&lt;'Tributos-LR'!AH68,"LP","LR"))</f>
        <v>LR</v>
      </c>
      <c r="AI39" s="285" t="str">
        <f>IF(AI6&gt;$F$43,"LR",IF(AI36&lt;'Tributos-LR'!AI68,"LP","LR"))</f>
        <v>LP</v>
      </c>
      <c r="AJ39" s="285" t="str">
        <f>IF(AJ6&gt;$F$43,"LR",IF(AJ36&lt;'Tributos-LR'!AJ68,"LP","LR"))</f>
        <v>LR</v>
      </c>
    </row>
    <row r="40" spans="3:36" x14ac:dyDescent="0.3">
      <c r="D40" s="281" t="s">
        <v>701</v>
      </c>
      <c r="G40" s="468"/>
    </row>
    <row r="41" spans="3:36" x14ac:dyDescent="0.3">
      <c r="G41" s="468"/>
    </row>
    <row r="42" spans="3:36" x14ac:dyDescent="0.3">
      <c r="G42" s="468"/>
    </row>
    <row r="43" spans="3:36" x14ac:dyDescent="0.3">
      <c r="C43" s="275" t="s">
        <v>702</v>
      </c>
      <c r="F43" s="725">
        <v>78000000</v>
      </c>
      <c r="G43" s="468"/>
    </row>
    <row r="44" spans="3:36" x14ac:dyDescent="0.3">
      <c r="G44" s="468"/>
    </row>
    <row r="48" spans="3:36" x14ac:dyDescent="0.3">
      <c r="C48" s="199" t="s">
        <v>689</v>
      </c>
    </row>
    <row r="49" spans="3:3" x14ac:dyDescent="0.3">
      <c r="C49" s="224" t="s">
        <v>135</v>
      </c>
    </row>
    <row r="50" spans="3:3" x14ac:dyDescent="0.3">
      <c r="C50" s="224" t="s">
        <v>136</v>
      </c>
    </row>
    <row r="51" spans="3:3" x14ac:dyDescent="0.3">
      <c r="C51" s="224" t="s">
        <v>137</v>
      </c>
    </row>
    <row r="52" spans="3:3" x14ac:dyDescent="0.3">
      <c r="C52" s="224" t="s">
        <v>138</v>
      </c>
    </row>
    <row r="53" spans="3:3" x14ac:dyDescent="0.3">
      <c r="C53" s="224" t="s">
        <v>690</v>
      </c>
    </row>
    <row r="54" spans="3:3" x14ac:dyDescent="0.3">
      <c r="C54" s="224" t="s">
        <v>139</v>
      </c>
    </row>
    <row r="55" spans="3:3" x14ac:dyDescent="0.3">
      <c r="C55" s="224" t="s">
        <v>691</v>
      </c>
    </row>
    <row r="56" spans="3:3" x14ac:dyDescent="0.3">
      <c r="C56" s="224" t="s">
        <v>692</v>
      </c>
    </row>
    <row r="57" spans="3:3" x14ac:dyDescent="0.3">
      <c r="C57" s="224" t="s">
        <v>142</v>
      </c>
    </row>
    <row r="58" spans="3:3" x14ac:dyDescent="0.3">
      <c r="C58" s="224" t="s">
        <v>693</v>
      </c>
    </row>
    <row r="59" spans="3:3" x14ac:dyDescent="0.3">
      <c r="C59" s="224" t="s">
        <v>694</v>
      </c>
    </row>
    <row r="60" spans="3:3" x14ac:dyDescent="0.3">
      <c r="C60" s="224" t="s">
        <v>143</v>
      </c>
    </row>
    <row r="61" spans="3:3" x14ac:dyDescent="0.3">
      <c r="C61" s="224" t="s">
        <v>695</v>
      </c>
    </row>
  </sheetData>
  <sheetProtection algorithmName="SHA-512" hashValue="SQLZTuf78Y4p3DqcwqbmGtUaGg+d1GWhAacn5ubIvOjE2MN5uyJejBo8SKqHInJVhwXi6H2fVsRPcBUlw0OnPQ==" saltValue="PodjUJmn+Cjjb3l40q7UOQ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4DF7C-EF63-46DC-8258-E9E4F1070551}">
  <sheetPr codeName="Planilha38"/>
  <dimension ref="B2:AJ39"/>
  <sheetViews>
    <sheetView showGridLines="0" topLeftCell="A31" workbookViewId="0">
      <selection activeCell="A43" sqref="A43"/>
    </sheetView>
  </sheetViews>
  <sheetFormatPr defaultColWidth="8.81640625" defaultRowHeight="14.5" x14ac:dyDescent="0.35"/>
  <cols>
    <col min="1" max="1" width="5.36328125" customWidth="1"/>
    <col min="2" max="2" width="5.6328125" customWidth="1"/>
    <col min="3" max="3" width="10" customWidth="1"/>
    <col min="4" max="4" width="46.6328125" customWidth="1"/>
    <col min="5" max="5" width="18.453125" customWidth="1"/>
    <col min="6" max="6" width="14.36328125" customWidth="1"/>
    <col min="7" max="7" width="17.81640625" customWidth="1"/>
    <col min="8" max="8" width="15.08984375" customWidth="1"/>
    <col min="9" max="9" width="16.36328125" customWidth="1"/>
    <col min="10" max="10" width="19.453125" customWidth="1"/>
    <col min="11" max="11" width="16.6328125" customWidth="1"/>
    <col min="12" max="12" width="14.453125" customWidth="1"/>
    <col min="13" max="13" width="14.36328125" customWidth="1"/>
    <col min="22" max="22" width="14" customWidth="1"/>
    <col min="25" max="25" width="13.6328125" customWidth="1"/>
    <col min="30" max="30" width="13.6328125" customWidth="1"/>
  </cols>
  <sheetData>
    <row r="2" spans="3:7" ht="21" x14ac:dyDescent="0.5">
      <c r="C2" s="1548" t="s">
        <v>703</v>
      </c>
      <c r="F2" s="1755"/>
      <c r="G2" s="1755"/>
    </row>
    <row r="3" spans="3:7" x14ac:dyDescent="0.35">
      <c r="F3" s="1755"/>
      <c r="G3" s="1755"/>
    </row>
    <row r="4" spans="3:7" ht="15.5" x14ac:dyDescent="0.35">
      <c r="C4" s="86" t="s">
        <v>704</v>
      </c>
      <c r="F4" s="96"/>
      <c r="G4" s="1755"/>
    </row>
    <row r="5" spans="3:7" x14ac:dyDescent="0.35">
      <c r="F5" s="96"/>
      <c r="G5" s="1407"/>
    </row>
    <row r="6" spans="3:7" ht="15" thickBot="1" x14ac:dyDescent="0.4">
      <c r="C6" s="1750" t="s">
        <v>705</v>
      </c>
      <c r="F6" s="96"/>
      <c r="G6" s="1407"/>
    </row>
    <row r="7" spans="3:7" ht="15" thickBot="1" x14ac:dyDescent="0.4">
      <c r="C7" t="s">
        <v>706</v>
      </c>
      <c r="F7" s="1787">
        <f>252595/357660</f>
        <v>0.70624335961527707</v>
      </c>
      <c r="G7" s="1755" t="s">
        <v>707</v>
      </c>
    </row>
    <row r="8" spans="3:7" x14ac:dyDescent="0.35">
      <c r="F8" s="1755"/>
      <c r="G8" s="1755"/>
    </row>
    <row r="9" spans="3:7" ht="15" thickBot="1" x14ac:dyDescent="0.4">
      <c r="C9" s="1750" t="s">
        <v>708</v>
      </c>
      <c r="G9" s="1755"/>
    </row>
    <row r="10" spans="3:7" ht="15" thickBot="1" x14ac:dyDescent="0.4">
      <c r="C10" t="s">
        <v>709</v>
      </c>
      <c r="F10" s="1787">
        <f>238594/456836</f>
        <v>0.52227495206157137</v>
      </c>
      <c r="G10" s="1755" t="s">
        <v>707</v>
      </c>
    </row>
    <row r="11" spans="3:7" x14ac:dyDescent="0.35">
      <c r="F11" s="1755"/>
      <c r="G11" s="1755"/>
    </row>
    <row r="12" spans="3:7" ht="15" thickBot="1" x14ac:dyDescent="0.4">
      <c r="C12" s="1750" t="s">
        <v>710</v>
      </c>
      <c r="G12" s="1755"/>
    </row>
    <row r="13" spans="3:7" ht="15" thickBot="1" x14ac:dyDescent="0.4">
      <c r="C13" t="s">
        <v>711</v>
      </c>
      <c r="F13" s="1787">
        <f>213455/456836</f>
        <v>0.46724645168069068</v>
      </c>
      <c r="G13" s="1755" t="s">
        <v>707</v>
      </c>
    </row>
    <row r="14" spans="3:7" x14ac:dyDescent="0.35">
      <c r="F14" s="1799"/>
      <c r="G14" s="1755"/>
    </row>
    <row r="15" spans="3:7" ht="15" thickBot="1" x14ac:dyDescent="0.4">
      <c r="C15" s="1750" t="s">
        <v>712</v>
      </c>
      <c r="F15" s="1799"/>
      <c r="G15" s="1755"/>
    </row>
    <row r="16" spans="3:7" ht="15" thickBot="1" x14ac:dyDescent="0.4">
      <c r="C16" t="s">
        <v>711</v>
      </c>
      <c r="F16" s="1787">
        <f>213455/456836</f>
        <v>0.46724645168069068</v>
      </c>
      <c r="G16" s="1755" t="s">
        <v>707</v>
      </c>
    </row>
    <row r="17" spans="2:10" ht="15" thickBot="1" x14ac:dyDescent="0.4">
      <c r="E17" s="1799"/>
      <c r="F17" s="1755"/>
      <c r="G17" s="1755"/>
    </row>
    <row r="18" spans="2:10" ht="15" thickBot="1" x14ac:dyDescent="0.4">
      <c r="B18" s="5"/>
      <c r="C18" s="6"/>
      <c r="D18" s="6"/>
      <c r="E18" s="6"/>
      <c r="F18" s="6"/>
      <c r="G18" s="6"/>
      <c r="H18" s="6"/>
      <c r="I18" s="8"/>
      <c r="J18" s="9"/>
    </row>
    <row r="19" spans="2:10" ht="15" thickTop="1" x14ac:dyDescent="0.35">
      <c r="B19" s="9"/>
      <c r="C19" s="1608"/>
      <c r="D19" s="1608"/>
      <c r="E19" s="1608"/>
      <c r="F19" s="1608"/>
      <c r="G19" s="1608"/>
      <c r="H19" s="1608"/>
      <c r="I19" s="1806"/>
      <c r="J19" s="1807"/>
    </row>
    <row r="20" spans="2:10" ht="15" thickBot="1" x14ac:dyDescent="0.4">
      <c r="B20" s="9"/>
      <c r="C20" s="106"/>
      <c r="D20" s="107" t="s">
        <v>713</v>
      </c>
      <c r="E20" s="1805" t="s">
        <v>179</v>
      </c>
      <c r="F20" s="1805" t="s">
        <v>714</v>
      </c>
      <c r="G20" s="1805" t="s">
        <v>181</v>
      </c>
      <c r="H20" s="106"/>
      <c r="I20" s="16"/>
    </row>
    <row r="21" spans="2:10" ht="15" thickBot="1" x14ac:dyDescent="0.4">
      <c r="B21" s="9"/>
      <c r="C21" s="106"/>
      <c r="D21" s="843" t="s">
        <v>96</v>
      </c>
      <c r="E21" s="840" t="s">
        <v>715</v>
      </c>
      <c r="F21" s="840" t="s">
        <v>715</v>
      </c>
      <c r="G21" s="840" t="s">
        <v>715</v>
      </c>
      <c r="H21" s="106"/>
      <c r="I21" s="16"/>
    </row>
    <row r="22" spans="2:10" ht="15" thickBot="1" x14ac:dyDescent="0.4">
      <c r="B22" s="9"/>
      <c r="C22" s="106"/>
      <c r="D22" s="1751">
        <v>1</v>
      </c>
      <c r="E22" s="1180">
        <v>0</v>
      </c>
      <c r="F22" s="1180">
        <v>0</v>
      </c>
      <c r="G22" s="1180">
        <v>0</v>
      </c>
      <c r="H22" s="106"/>
      <c r="I22" s="16"/>
    </row>
    <row r="23" spans="2:10" ht="15" thickBot="1" x14ac:dyDescent="0.4">
      <c r="B23" s="9"/>
      <c r="C23" s="106"/>
      <c r="D23" s="1752">
        <f>D22+8</f>
        <v>9</v>
      </c>
      <c r="E23" s="1180">
        <f>(CAPEX_Coleta!D26*'Venda dos Caminhões'!$F$7)+(CAPEX_Coleta!D48*'Venda dos Caminhões'!$F$10)</f>
        <v>7626241.8932539076</v>
      </c>
      <c r="F23" s="1180">
        <v>0</v>
      </c>
      <c r="G23" s="1180">
        <v>0</v>
      </c>
      <c r="H23" s="106"/>
      <c r="I23" s="16"/>
    </row>
    <row r="24" spans="2:10" ht="15" thickBot="1" x14ac:dyDescent="0.4">
      <c r="B24" s="9"/>
      <c r="C24" s="106"/>
      <c r="D24" s="1752">
        <v>10</v>
      </c>
      <c r="E24" s="1180">
        <v>0</v>
      </c>
      <c r="F24" s="1180">
        <f>CAPEX_Transbordo!H35*'Venda dos Caminhões'!$F$13</f>
        <v>6538645.6346512754</v>
      </c>
      <c r="G24" s="1180">
        <f>'CAPEX_Disposição Final'!H37*'Venda dos Caminhões'!F16</f>
        <v>260873.20711108582</v>
      </c>
      <c r="H24" s="106"/>
      <c r="I24" s="16"/>
    </row>
    <row r="25" spans="2:10" ht="15" thickBot="1" x14ac:dyDescent="0.4">
      <c r="B25" s="9"/>
      <c r="C25" s="106"/>
      <c r="D25" s="1752">
        <f>D23+8</f>
        <v>17</v>
      </c>
      <c r="E25" s="1180">
        <f>(CAPEX_Coleta!D28*'Venda dos Caminhões'!$F$7)+(CAPEX_Coleta!D49*'Venda dos Caminhões'!$F$10)</f>
        <v>7266058.9592765272</v>
      </c>
      <c r="F25" s="1180">
        <v>0</v>
      </c>
      <c r="G25" s="1180">
        <v>0</v>
      </c>
      <c r="H25" s="106"/>
      <c r="I25" s="16"/>
    </row>
    <row r="26" spans="2:10" ht="15" thickBot="1" x14ac:dyDescent="0.4">
      <c r="B26" s="9"/>
      <c r="C26" s="106"/>
      <c r="D26" s="1752">
        <v>20</v>
      </c>
      <c r="E26" s="1180">
        <v>0</v>
      </c>
      <c r="F26" s="1180">
        <f>CAPEX_Transbordo!H42*'Venda dos Caminhões'!F13</f>
        <v>1421444.7031850598</v>
      </c>
      <c r="G26" s="1180">
        <f>'CAPEX_Disposição Final'!H37*'Venda dos Caminhões'!F16</f>
        <v>260873.20711108582</v>
      </c>
      <c r="H26" s="106"/>
      <c r="I26" s="16"/>
    </row>
    <row r="27" spans="2:10" ht="15" thickBot="1" x14ac:dyDescent="0.4">
      <c r="B27" s="9"/>
      <c r="C27" s="106"/>
      <c r="D27" s="1752">
        <f t="shared" ref="D27" si="0">D25+8</f>
        <v>25</v>
      </c>
      <c r="E27" s="1180">
        <f>(CAPEX_Coleta!D31*'Venda dos Caminhões'!$F$7)+(CAPEX_Coleta!D50*'Venda dos Caminhões'!$F$10)</f>
        <v>7266058.9592765272</v>
      </c>
      <c r="F27" s="1180">
        <v>0</v>
      </c>
      <c r="G27" s="1180">
        <v>0</v>
      </c>
      <c r="H27" s="106"/>
      <c r="I27" s="16"/>
    </row>
    <row r="28" spans="2:10" ht="15" thickBot="1" x14ac:dyDescent="0.4">
      <c r="B28" s="9"/>
      <c r="C28" s="106"/>
      <c r="D28" s="1753" t="s">
        <v>200</v>
      </c>
      <c r="E28" s="1754">
        <f>SUM(E22:E27)</f>
        <v>22158359.811806962</v>
      </c>
      <c r="F28" s="1754">
        <f>SUM(F22:F27)</f>
        <v>7960090.3378363354</v>
      </c>
      <c r="G28" s="1754">
        <f>SUM(G22:G27)</f>
        <v>521746.41422217165</v>
      </c>
      <c r="H28" s="106"/>
      <c r="I28" s="16"/>
    </row>
    <row r="29" spans="2:10" x14ac:dyDescent="0.35">
      <c r="B29" s="9"/>
      <c r="C29" s="106"/>
      <c r="D29" s="107"/>
      <c r="E29" s="106"/>
      <c r="F29" s="106"/>
      <c r="G29" s="106"/>
      <c r="H29" s="106"/>
      <c r="I29" s="16"/>
    </row>
    <row r="30" spans="2:10" x14ac:dyDescent="0.35">
      <c r="B30" s="9"/>
      <c r="C30" s="106"/>
      <c r="D30" s="106"/>
      <c r="E30" s="106"/>
      <c r="F30" s="106"/>
      <c r="G30" s="106"/>
      <c r="H30" s="106"/>
      <c r="I30" s="16"/>
    </row>
    <row r="31" spans="2:10" ht="15" thickBot="1" x14ac:dyDescent="0.4">
      <c r="B31" s="38"/>
      <c r="C31" s="59"/>
      <c r="D31" s="59"/>
      <c r="E31" s="59"/>
      <c r="F31" s="59"/>
      <c r="G31" s="59"/>
      <c r="H31" s="59"/>
      <c r="I31" s="69"/>
    </row>
    <row r="32" spans="2:10" ht="15" thickBot="1" x14ac:dyDescent="0.4"/>
    <row r="33" spans="2:36" x14ac:dyDescent="0.35">
      <c r="B33" s="5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8"/>
    </row>
    <row r="34" spans="2:36" x14ac:dyDescent="0.35">
      <c r="B34" s="9"/>
      <c r="C34" s="1800" t="s">
        <v>716</v>
      </c>
      <c r="D34" s="1800"/>
      <c r="E34" s="793" t="s">
        <v>455</v>
      </c>
      <c r="F34" s="793">
        <v>1</v>
      </c>
      <c r="G34" s="793">
        <f>F34+1</f>
        <v>2</v>
      </c>
      <c r="H34" s="793">
        <f t="shared" ref="H34:AI34" si="1">G34+1</f>
        <v>3</v>
      </c>
      <c r="I34" s="793">
        <f t="shared" si="1"/>
        <v>4</v>
      </c>
      <c r="J34" s="793">
        <f t="shared" si="1"/>
        <v>5</v>
      </c>
      <c r="K34" s="793">
        <f t="shared" si="1"/>
        <v>6</v>
      </c>
      <c r="L34" s="793">
        <f t="shared" si="1"/>
        <v>7</v>
      </c>
      <c r="M34" s="793">
        <f t="shared" si="1"/>
        <v>8</v>
      </c>
      <c r="N34" s="793">
        <f t="shared" si="1"/>
        <v>9</v>
      </c>
      <c r="O34" s="793">
        <f t="shared" si="1"/>
        <v>10</v>
      </c>
      <c r="P34" s="793">
        <f t="shared" si="1"/>
        <v>11</v>
      </c>
      <c r="Q34" s="793">
        <f t="shared" si="1"/>
        <v>12</v>
      </c>
      <c r="R34" s="793">
        <f t="shared" si="1"/>
        <v>13</v>
      </c>
      <c r="S34" s="793">
        <f t="shared" si="1"/>
        <v>14</v>
      </c>
      <c r="T34" s="793">
        <f t="shared" si="1"/>
        <v>15</v>
      </c>
      <c r="U34" s="793">
        <f t="shared" si="1"/>
        <v>16</v>
      </c>
      <c r="V34" s="793">
        <f t="shared" si="1"/>
        <v>17</v>
      </c>
      <c r="W34" s="793">
        <f t="shared" si="1"/>
        <v>18</v>
      </c>
      <c r="X34" s="793">
        <f t="shared" si="1"/>
        <v>19</v>
      </c>
      <c r="Y34" s="793">
        <f t="shared" si="1"/>
        <v>20</v>
      </c>
      <c r="Z34" s="793">
        <f t="shared" si="1"/>
        <v>21</v>
      </c>
      <c r="AA34" s="793">
        <f t="shared" si="1"/>
        <v>22</v>
      </c>
      <c r="AB34" s="793">
        <f t="shared" si="1"/>
        <v>23</v>
      </c>
      <c r="AC34" s="793">
        <f t="shared" si="1"/>
        <v>24</v>
      </c>
      <c r="AD34" s="793">
        <f t="shared" si="1"/>
        <v>25</v>
      </c>
      <c r="AE34" s="793">
        <f t="shared" si="1"/>
        <v>26</v>
      </c>
      <c r="AF34" s="793">
        <f t="shared" si="1"/>
        <v>27</v>
      </c>
      <c r="AG34" s="793">
        <f t="shared" si="1"/>
        <v>28</v>
      </c>
      <c r="AH34" s="793">
        <f t="shared" si="1"/>
        <v>29</v>
      </c>
      <c r="AI34" s="995">
        <f t="shared" si="1"/>
        <v>30</v>
      </c>
      <c r="AJ34" s="16"/>
    </row>
    <row r="35" spans="2:36" x14ac:dyDescent="0.35">
      <c r="B35" s="9"/>
      <c r="C35" s="1964" t="s">
        <v>366</v>
      </c>
      <c r="D35" s="1965"/>
      <c r="E35" s="1803">
        <f>SUM(F35:AJ35)</f>
        <v>22158359.811806962</v>
      </c>
      <c r="F35" s="1804">
        <f>IFERROR(VLOOKUP(F34,$D$22:$F$27,2,FALSE),0)</f>
        <v>0</v>
      </c>
      <c r="G35" s="1804">
        <f t="shared" ref="G35:AI35" si="2">IFERROR(VLOOKUP(G34,$D$22:$F$27,2,FALSE),0)</f>
        <v>0</v>
      </c>
      <c r="H35" s="1804">
        <f t="shared" si="2"/>
        <v>0</v>
      </c>
      <c r="I35" s="1804">
        <f t="shared" si="2"/>
        <v>0</v>
      </c>
      <c r="J35" s="1804">
        <f t="shared" si="2"/>
        <v>0</v>
      </c>
      <c r="K35" s="1804">
        <f t="shared" si="2"/>
        <v>0</v>
      </c>
      <c r="L35" s="1804">
        <f t="shared" si="2"/>
        <v>0</v>
      </c>
      <c r="M35" s="1804">
        <f t="shared" si="2"/>
        <v>0</v>
      </c>
      <c r="N35" s="1804">
        <f t="shared" si="2"/>
        <v>7626241.8932539076</v>
      </c>
      <c r="O35" s="1804">
        <f t="shared" si="2"/>
        <v>0</v>
      </c>
      <c r="P35" s="1804">
        <f t="shared" si="2"/>
        <v>0</v>
      </c>
      <c r="Q35" s="1804">
        <f t="shared" si="2"/>
        <v>0</v>
      </c>
      <c r="R35" s="1804">
        <f t="shared" si="2"/>
        <v>0</v>
      </c>
      <c r="S35" s="1804">
        <f t="shared" si="2"/>
        <v>0</v>
      </c>
      <c r="T35" s="1804">
        <f t="shared" si="2"/>
        <v>0</v>
      </c>
      <c r="U35" s="1804">
        <f t="shared" si="2"/>
        <v>0</v>
      </c>
      <c r="V35" s="1804">
        <f t="shared" si="2"/>
        <v>7266058.9592765272</v>
      </c>
      <c r="W35" s="1804">
        <f t="shared" si="2"/>
        <v>0</v>
      </c>
      <c r="X35" s="1804">
        <f t="shared" si="2"/>
        <v>0</v>
      </c>
      <c r="Y35" s="1804">
        <f t="shared" si="2"/>
        <v>0</v>
      </c>
      <c r="Z35" s="1804">
        <f t="shared" si="2"/>
        <v>0</v>
      </c>
      <c r="AA35" s="1804">
        <f t="shared" si="2"/>
        <v>0</v>
      </c>
      <c r="AB35" s="1804">
        <f t="shared" si="2"/>
        <v>0</v>
      </c>
      <c r="AC35" s="1804">
        <f t="shared" si="2"/>
        <v>0</v>
      </c>
      <c r="AD35" s="1804">
        <f t="shared" si="2"/>
        <v>7266058.9592765272</v>
      </c>
      <c r="AE35" s="1804">
        <f t="shared" si="2"/>
        <v>0</v>
      </c>
      <c r="AF35" s="1804">
        <f t="shared" si="2"/>
        <v>0</v>
      </c>
      <c r="AG35" s="1804">
        <f t="shared" si="2"/>
        <v>0</v>
      </c>
      <c r="AH35" s="1804">
        <f t="shared" si="2"/>
        <v>0</v>
      </c>
      <c r="AI35" s="1759">
        <f t="shared" si="2"/>
        <v>0</v>
      </c>
      <c r="AJ35" s="16"/>
    </row>
    <row r="36" spans="2:36" ht="15" customHeight="1" x14ac:dyDescent="0.35">
      <c r="B36" s="9"/>
      <c r="C36" s="1964" t="s">
        <v>717</v>
      </c>
      <c r="D36" s="1965"/>
      <c r="E36" s="1801">
        <f>SUM(F36:AJ36)</f>
        <v>7960090.3378363354</v>
      </c>
      <c r="F36" s="906">
        <f>IFERROR(VLOOKUP(F34,$D$22:$G$27,3,FALSE),0)</f>
        <v>0</v>
      </c>
      <c r="G36" s="906">
        <f t="shared" ref="G36:AI36" si="3">IFERROR(VLOOKUP(G34,$D$22:$G$27,3,FALSE),0)</f>
        <v>0</v>
      </c>
      <c r="H36" s="906">
        <f t="shared" si="3"/>
        <v>0</v>
      </c>
      <c r="I36" s="906">
        <f t="shared" si="3"/>
        <v>0</v>
      </c>
      <c r="J36" s="906">
        <f t="shared" si="3"/>
        <v>0</v>
      </c>
      <c r="K36" s="906">
        <f t="shared" si="3"/>
        <v>0</v>
      </c>
      <c r="L36" s="906">
        <f t="shared" si="3"/>
        <v>0</v>
      </c>
      <c r="M36" s="906">
        <f t="shared" si="3"/>
        <v>0</v>
      </c>
      <c r="N36" s="906">
        <f t="shared" si="3"/>
        <v>0</v>
      </c>
      <c r="O36" s="906">
        <f t="shared" si="3"/>
        <v>6538645.6346512754</v>
      </c>
      <c r="P36" s="906">
        <f t="shared" si="3"/>
        <v>0</v>
      </c>
      <c r="Q36" s="906">
        <f t="shared" si="3"/>
        <v>0</v>
      </c>
      <c r="R36" s="906">
        <f t="shared" si="3"/>
        <v>0</v>
      </c>
      <c r="S36" s="906">
        <f t="shared" si="3"/>
        <v>0</v>
      </c>
      <c r="T36" s="906">
        <f t="shared" si="3"/>
        <v>0</v>
      </c>
      <c r="U36" s="906">
        <f t="shared" si="3"/>
        <v>0</v>
      </c>
      <c r="V36" s="906">
        <f t="shared" si="3"/>
        <v>0</v>
      </c>
      <c r="W36" s="906">
        <f t="shared" si="3"/>
        <v>0</v>
      </c>
      <c r="X36" s="906">
        <f t="shared" si="3"/>
        <v>0</v>
      </c>
      <c r="Y36" s="906">
        <f t="shared" si="3"/>
        <v>1421444.7031850598</v>
      </c>
      <c r="Z36" s="906">
        <f t="shared" si="3"/>
        <v>0</v>
      </c>
      <c r="AA36" s="906">
        <f t="shared" si="3"/>
        <v>0</v>
      </c>
      <c r="AB36" s="906">
        <f t="shared" si="3"/>
        <v>0</v>
      </c>
      <c r="AC36" s="906">
        <f t="shared" si="3"/>
        <v>0</v>
      </c>
      <c r="AD36" s="906">
        <f t="shared" si="3"/>
        <v>0</v>
      </c>
      <c r="AE36" s="906">
        <f t="shared" si="3"/>
        <v>0</v>
      </c>
      <c r="AF36" s="906">
        <f t="shared" si="3"/>
        <v>0</v>
      </c>
      <c r="AG36" s="906">
        <f t="shared" si="3"/>
        <v>0</v>
      </c>
      <c r="AH36" s="906">
        <f t="shared" si="3"/>
        <v>0</v>
      </c>
      <c r="AI36" s="1743">
        <f t="shared" si="3"/>
        <v>0</v>
      </c>
      <c r="AJ36" s="16"/>
    </row>
    <row r="37" spans="2:36" x14ac:dyDescent="0.35">
      <c r="B37" s="9"/>
      <c r="C37" s="1964" t="s">
        <v>458</v>
      </c>
      <c r="D37" s="1965"/>
      <c r="E37" s="1802">
        <f>SUM(F37:AJ37)</f>
        <v>521746.41422217165</v>
      </c>
      <c r="F37" s="1092">
        <f>IFERROR(VLOOKUP(F34,$D$22:$G$27,4,FALSE),0)</f>
        <v>0</v>
      </c>
      <c r="G37" s="1092">
        <f t="shared" ref="G37:AI37" si="4">IFERROR(VLOOKUP(G34,$D$22:$G$27,4,FALSE),0)</f>
        <v>0</v>
      </c>
      <c r="H37" s="1092">
        <f t="shared" si="4"/>
        <v>0</v>
      </c>
      <c r="I37" s="1092">
        <f t="shared" si="4"/>
        <v>0</v>
      </c>
      <c r="J37" s="1092">
        <f t="shared" si="4"/>
        <v>0</v>
      </c>
      <c r="K37" s="1092">
        <f t="shared" si="4"/>
        <v>0</v>
      </c>
      <c r="L37" s="1092">
        <f t="shared" si="4"/>
        <v>0</v>
      </c>
      <c r="M37" s="1092">
        <f t="shared" si="4"/>
        <v>0</v>
      </c>
      <c r="N37" s="1092">
        <f t="shared" si="4"/>
        <v>0</v>
      </c>
      <c r="O37" s="1092">
        <f t="shared" si="4"/>
        <v>260873.20711108582</v>
      </c>
      <c r="P37" s="1092">
        <f t="shared" si="4"/>
        <v>0</v>
      </c>
      <c r="Q37" s="1092">
        <f t="shared" si="4"/>
        <v>0</v>
      </c>
      <c r="R37" s="1092">
        <f t="shared" si="4"/>
        <v>0</v>
      </c>
      <c r="S37" s="1092">
        <f t="shared" si="4"/>
        <v>0</v>
      </c>
      <c r="T37" s="1092">
        <f t="shared" si="4"/>
        <v>0</v>
      </c>
      <c r="U37" s="1092">
        <f t="shared" si="4"/>
        <v>0</v>
      </c>
      <c r="V37" s="1092">
        <f t="shared" si="4"/>
        <v>0</v>
      </c>
      <c r="W37" s="1092">
        <f t="shared" si="4"/>
        <v>0</v>
      </c>
      <c r="X37" s="1092">
        <f t="shared" si="4"/>
        <v>0</v>
      </c>
      <c r="Y37" s="1092">
        <f t="shared" si="4"/>
        <v>260873.20711108582</v>
      </c>
      <c r="Z37" s="1092">
        <f t="shared" si="4"/>
        <v>0</v>
      </c>
      <c r="AA37" s="1092">
        <f t="shared" si="4"/>
        <v>0</v>
      </c>
      <c r="AB37" s="1092">
        <f t="shared" si="4"/>
        <v>0</v>
      </c>
      <c r="AC37" s="1092">
        <f t="shared" si="4"/>
        <v>0</v>
      </c>
      <c r="AD37" s="1092">
        <f t="shared" si="4"/>
        <v>0</v>
      </c>
      <c r="AE37" s="1092">
        <f t="shared" si="4"/>
        <v>0</v>
      </c>
      <c r="AF37" s="1092">
        <f t="shared" si="4"/>
        <v>0</v>
      </c>
      <c r="AG37" s="1092">
        <f t="shared" si="4"/>
        <v>0</v>
      </c>
      <c r="AH37" s="1092">
        <f t="shared" si="4"/>
        <v>0</v>
      </c>
      <c r="AI37" s="1519">
        <f t="shared" si="4"/>
        <v>0</v>
      </c>
      <c r="AJ37" s="16"/>
    </row>
    <row r="38" spans="2:36" x14ac:dyDescent="0.35">
      <c r="B38" s="9"/>
      <c r="C38" s="230" t="s">
        <v>200</v>
      </c>
      <c r="D38" s="230"/>
      <c r="E38" s="487">
        <f>SUM(E35:E36)</f>
        <v>30118450.149643298</v>
      </c>
      <c r="F38" s="487">
        <f>SUM(F35:F36)</f>
        <v>0</v>
      </c>
      <c r="G38" s="487"/>
      <c r="H38" s="487">
        <f t="shared" ref="H38:AI38" si="5">SUM(H35:H36)</f>
        <v>0</v>
      </c>
      <c r="I38" s="487">
        <f t="shared" si="5"/>
        <v>0</v>
      </c>
      <c r="J38" s="487">
        <f t="shared" si="5"/>
        <v>0</v>
      </c>
      <c r="K38" s="487">
        <f t="shared" si="5"/>
        <v>0</v>
      </c>
      <c r="L38" s="487">
        <f t="shared" si="5"/>
        <v>0</v>
      </c>
      <c r="M38" s="487">
        <f t="shared" si="5"/>
        <v>0</v>
      </c>
      <c r="N38" s="487">
        <f t="shared" si="5"/>
        <v>7626241.8932539076</v>
      </c>
      <c r="O38" s="487">
        <f t="shared" si="5"/>
        <v>6538645.6346512754</v>
      </c>
      <c r="P38" s="487">
        <f t="shared" si="5"/>
        <v>0</v>
      </c>
      <c r="Q38" s="487">
        <f t="shared" si="5"/>
        <v>0</v>
      </c>
      <c r="R38" s="487">
        <f t="shared" si="5"/>
        <v>0</v>
      </c>
      <c r="S38" s="487">
        <f t="shared" si="5"/>
        <v>0</v>
      </c>
      <c r="T38" s="487">
        <f t="shared" si="5"/>
        <v>0</v>
      </c>
      <c r="U38" s="487">
        <f t="shared" si="5"/>
        <v>0</v>
      </c>
      <c r="V38" s="487">
        <f t="shared" si="5"/>
        <v>7266058.9592765272</v>
      </c>
      <c r="W38" s="487">
        <f t="shared" si="5"/>
        <v>0</v>
      </c>
      <c r="X38" s="487">
        <f t="shared" si="5"/>
        <v>0</v>
      </c>
      <c r="Y38" s="487">
        <f t="shared" si="5"/>
        <v>1421444.7031850598</v>
      </c>
      <c r="Z38" s="487">
        <f t="shared" si="5"/>
        <v>0</v>
      </c>
      <c r="AA38" s="487">
        <f t="shared" si="5"/>
        <v>0</v>
      </c>
      <c r="AB38" s="487">
        <f t="shared" si="5"/>
        <v>0</v>
      </c>
      <c r="AC38" s="487">
        <f t="shared" si="5"/>
        <v>0</v>
      </c>
      <c r="AD38" s="487">
        <f t="shared" si="5"/>
        <v>7266058.9592765272</v>
      </c>
      <c r="AE38" s="487">
        <f t="shared" si="5"/>
        <v>0</v>
      </c>
      <c r="AF38" s="487">
        <f t="shared" si="5"/>
        <v>0</v>
      </c>
      <c r="AG38" s="487">
        <f t="shared" si="5"/>
        <v>0</v>
      </c>
      <c r="AH38" s="487">
        <f t="shared" si="5"/>
        <v>0</v>
      </c>
      <c r="AI38" s="487">
        <f t="shared" si="5"/>
        <v>0</v>
      </c>
      <c r="AJ38" s="16"/>
    </row>
    <row r="39" spans="2:36" ht="15" thickBot="1" x14ac:dyDescent="0.4">
      <c r="B39" s="38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69"/>
    </row>
  </sheetData>
  <sheetProtection algorithmName="SHA-512" hashValue="VZRxvXgrkr48qIYS5tI52Fukhky5PFqAmIDoZa+K3VROhDICLzXkeXzMneiJ71qb/vsiPD3C8RWwnSddedP4RA==" saltValue="1dSBXFay1gPkExppXsqhIw==" spinCount="100000" sheet="1" objects="1" scenarios="1"/>
  <protectedRanges>
    <protectedRange sqref="F7 F10 F13 F16" name="Intervalo2"/>
    <protectedRange sqref="F7 F10 F13 F16" name="Intervalo1"/>
  </protectedRanges>
  <mergeCells count="3">
    <mergeCell ref="C37:D37"/>
    <mergeCell ref="C35:D35"/>
    <mergeCell ref="C36:D36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679E5-E960-4A3F-8BBB-00B813C5D6C4}">
  <sheetPr codeName="Planilha10"/>
  <dimension ref="A2:AN159"/>
  <sheetViews>
    <sheetView showGridLines="0" topLeftCell="A152" zoomScale="85" zoomScaleNormal="85" workbookViewId="0">
      <selection activeCell="C23" sqref="C23"/>
    </sheetView>
  </sheetViews>
  <sheetFormatPr defaultColWidth="8.81640625" defaultRowHeight="14.5" x14ac:dyDescent="0.35"/>
  <cols>
    <col min="1" max="1" width="3" customWidth="1"/>
    <col min="2" max="2" width="4.453125" customWidth="1"/>
    <col min="3" max="3" width="47" customWidth="1"/>
    <col min="4" max="4" width="25.36328125" customWidth="1"/>
    <col min="5" max="5" width="16.81640625" bestFit="1" customWidth="1"/>
    <col min="6" max="6" width="19.6328125" customWidth="1"/>
    <col min="7" max="7" width="22.453125" customWidth="1"/>
    <col min="8" max="8" width="16.81640625" bestFit="1" customWidth="1"/>
    <col min="9" max="9" width="18.453125" customWidth="1"/>
    <col min="10" max="10" width="15.81640625" bestFit="1" customWidth="1"/>
    <col min="11" max="11" width="17.81640625" customWidth="1"/>
    <col min="12" max="12" width="17" bestFit="1" customWidth="1"/>
    <col min="13" max="13" width="16" bestFit="1" customWidth="1"/>
    <col min="14" max="14" width="14.36328125" bestFit="1" customWidth="1"/>
    <col min="15" max="15" width="13.6328125" bestFit="1" customWidth="1"/>
    <col min="16" max="16" width="13.36328125" bestFit="1" customWidth="1"/>
    <col min="17" max="17" width="12.453125" bestFit="1" customWidth="1"/>
    <col min="18" max="18" width="11.453125" bestFit="1" customWidth="1"/>
    <col min="19" max="19" width="7.08984375" bestFit="1" customWidth="1"/>
    <col min="20" max="21" width="15.36328125" bestFit="1" customWidth="1"/>
    <col min="22" max="22" width="14.36328125" bestFit="1" customWidth="1"/>
    <col min="23" max="23" width="12.453125" bestFit="1" customWidth="1"/>
    <col min="24" max="25" width="13.6328125" bestFit="1" customWidth="1"/>
    <col min="26" max="26" width="13.36328125" bestFit="1" customWidth="1"/>
    <col min="27" max="28" width="15.36328125" bestFit="1" customWidth="1"/>
    <col min="29" max="29" width="16.36328125" bestFit="1" customWidth="1"/>
    <col min="30" max="30" width="14.36328125" bestFit="1" customWidth="1"/>
    <col min="31" max="31" width="13.36328125" bestFit="1" customWidth="1"/>
    <col min="32" max="32" width="13.6328125" bestFit="1" customWidth="1"/>
    <col min="33" max="33" width="11.453125" bestFit="1" customWidth="1"/>
    <col min="34" max="37" width="7.08984375" bestFit="1" customWidth="1"/>
  </cols>
  <sheetData>
    <row r="2" spans="2:39" ht="21" x14ac:dyDescent="0.5">
      <c r="B2" s="98"/>
      <c r="C2" s="98" t="s">
        <v>718</v>
      </c>
      <c r="D2" s="228"/>
      <c r="E2" s="228"/>
      <c r="F2" s="228"/>
      <c r="G2" s="228"/>
      <c r="H2" s="228"/>
      <c r="I2" s="228"/>
      <c r="J2" s="228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x14ac:dyDescent="0.35"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</row>
    <row r="4" spans="2:39" ht="18.5" x14ac:dyDescent="0.45">
      <c r="B4" s="106"/>
      <c r="C4" s="785" t="s">
        <v>719</v>
      </c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  <c r="AI4" s="106"/>
    </row>
    <row r="5" spans="2:39" ht="19" thickBot="1" x14ac:dyDescent="0.5">
      <c r="B5" s="106"/>
      <c r="C5" s="785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  <c r="S5" s="106"/>
      <c r="T5" s="106"/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6"/>
      <c r="AF5" s="106"/>
      <c r="AG5" s="106"/>
      <c r="AH5" s="106"/>
      <c r="AI5" s="106"/>
    </row>
    <row r="6" spans="2:39" ht="15" thickBot="1" x14ac:dyDescent="0.4">
      <c r="B6" s="106"/>
      <c r="C6" s="1974" t="s">
        <v>68</v>
      </c>
      <c r="D6" s="1974" t="s">
        <v>720</v>
      </c>
      <c r="E6" s="1971" t="s">
        <v>721</v>
      </c>
      <c r="F6" s="1972"/>
      <c r="G6" s="1972"/>
      <c r="H6" s="1972"/>
      <c r="I6" s="1972"/>
      <c r="J6" s="1973"/>
      <c r="K6" s="1971" t="s">
        <v>722</v>
      </c>
      <c r="L6" s="1972"/>
      <c r="M6" s="1972"/>
      <c r="N6" s="1972"/>
      <c r="O6" s="1972"/>
      <c r="P6" s="1973"/>
      <c r="Q6" s="106"/>
      <c r="R6" s="106"/>
      <c r="S6" s="106"/>
      <c r="T6" s="106"/>
      <c r="U6" s="106"/>
      <c r="V6" s="106"/>
      <c r="W6" s="106"/>
      <c r="X6" s="106"/>
      <c r="Y6" s="106"/>
      <c r="Z6" s="106"/>
      <c r="AA6" s="106"/>
      <c r="AB6" s="106"/>
      <c r="AC6" s="106"/>
      <c r="AD6" s="106"/>
      <c r="AE6" s="106"/>
      <c r="AF6" s="106"/>
      <c r="AG6" s="106"/>
      <c r="AH6" s="106"/>
      <c r="AI6" s="106"/>
      <c r="AJ6" s="106"/>
      <c r="AK6" s="106"/>
    </row>
    <row r="7" spans="2:39" ht="44" thickBot="1" x14ac:dyDescent="0.4">
      <c r="B7" s="106"/>
      <c r="C7" s="1975"/>
      <c r="D7" s="1975"/>
      <c r="E7" s="850" t="s">
        <v>723</v>
      </c>
      <c r="F7" s="840" t="s">
        <v>724</v>
      </c>
      <c r="G7" s="840" t="s">
        <v>725</v>
      </c>
      <c r="H7" s="1399" t="s">
        <v>726</v>
      </c>
      <c r="I7" s="1399" t="s">
        <v>727</v>
      </c>
      <c r="J7" s="1399" t="s">
        <v>728</v>
      </c>
      <c r="K7" s="850" t="s">
        <v>723</v>
      </c>
      <c r="L7" s="840" t="s">
        <v>724</v>
      </c>
      <c r="M7" s="840" t="s">
        <v>725</v>
      </c>
      <c r="N7" s="1399" t="s">
        <v>726</v>
      </c>
      <c r="O7" s="1399" t="s">
        <v>727</v>
      </c>
      <c r="P7" s="1399" t="s">
        <v>728</v>
      </c>
      <c r="Q7" s="106"/>
      <c r="R7" s="106"/>
      <c r="S7" s="106"/>
      <c r="T7" s="106"/>
      <c r="U7" s="106"/>
      <c r="V7" s="106"/>
      <c r="W7" s="106"/>
      <c r="X7" s="106"/>
      <c r="Y7" s="106"/>
      <c r="Z7" s="106"/>
      <c r="AA7" s="106"/>
      <c r="AB7" s="106"/>
      <c r="AC7" s="106"/>
      <c r="AD7" s="106"/>
      <c r="AE7" s="106"/>
      <c r="AF7" s="106"/>
      <c r="AG7" s="106"/>
      <c r="AH7" s="106"/>
      <c r="AI7" s="106"/>
      <c r="AJ7" s="106"/>
      <c r="AK7" s="106"/>
    </row>
    <row r="8" spans="2:39" ht="2.25" customHeight="1" thickBot="1" x14ac:dyDescent="0.4">
      <c r="B8" s="106"/>
      <c r="C8" s="833"/>
      <c r="D8" s="834"/>
      <c r="E8" s="835"/>
      <c r="F8" s="835"/>
      <c r="G8" s="835"/>
      <c r="H8" s="835"/>
      <c r="I8" s="835"/>
      <c r="J8" s="835"/>
      <c r="K8" s="835"/>
      <c r="L8" s="835"/>
      <c r="M8" s="835"/>
      <c r="N8" s="835"/>
      <c r="O8" s="835"/>
      <c r="P8" s="835"/>
      <c r="Q8" s="106"/>
      <c r="R8" s="106"/>
      <c r="S8" s="106"/>
      <c r="T8" s="106"/>
      <c r="U8" s="106"/>
      <c r="V8" s="106"/>
      <c r="W8" s="106"/>
      <c r="X8" s="106"/>
      <c r="Y8" s="106"/>
      <c r="Z8" s="106"/>
      <c r="AA8" s="106"/>
      <c r="AB8" s="106"/>
      <c r="AC8" s="106"/>
      <c r="AD8" s="106"/>
      <c r="AE8" s="106"/>
      <c r="AF8" s="106"/>
      <c r="AG8" s="106"/>
      <c r="AH8" s="106"/>
      <c r="AI8" s="106"/>
      <c r="AJ8" s="106"/>
      <c r="AK8" s="106"/>
    </row>
    <row r="9" spans="2:39" x14ac:dyDescent="0.35">
      <c r="B9" s="106"/>
      <c r="C9" s="828" t="s">
        <v>1</v>
      </c>
      <c r="D9" s="1349" t="s">
        <v>729</v>
      </c>
      <c r="E9" s="1006">
        <v>1</v>
      </c>
      <c r="F9" s="1006">
        <v>1</v>
      </c>
      <c r="G9" s="1006">
        <v>2</v>
      </c>
      <c r="H9" s="1402">
        <f>(SUM(E9:E10)*$E$21)</f>
        <v>509998.33</v>
      </c>
      <c r="I9" s="1402">
        <f>+(SUM(F9:F10)*$F$21)</f>
        <v>181297.36</v>
      </c>
      <c r="J9" s="1402">
        <f>+(SUM(G9:G10)*$G$21)</f>
        <v>20395.18</v>
      </c>
      <c r="K9" s="1006">
        <v>1</v>
      </c>
      <c r="L9" s="1006">
        <v>1</v>
      </c>
      <c r="M9" s="1006">
        <v>2</v>
      </c>
      <c r="N9" s="1402">
        <f>(SUM(K9:K10)*$K$21)</f>
        <v>509998.33</v>
      </c>
      <c r="O9" s="1402">
        <f>+(SUM(L9:L10)*$L$21)</f>
        <v>181297.36</v>
      </c>
      <c r="P9" s="1402">
        <f>+(SUM(M9:M10)*$M$21)</f>
        <v>20395.18</v>
      </c>
      <c r="Q9" s="106"/>
      <c r="R9" s="106"/>
      <c r="S9" s="106"/>
      <c r="T9" s="106"/>
      <c r="U9" s="106"/>
      <c r="V9" s="106"/>
      <c r="W9" s="106"/>
      <c r="X9" s="106"/>
      <c r="Y9" s="106"/>
      <c r="Z9" s="106"/>
      <c r="AA9" s="106"/>
      <c r="AB9" s="106"/>
      <c r="AC9" s="106"/>
      <c r="AD9" s="106"/>
      <c r="AE9" s="106"/>
      <c r="AF9" s="106"/>
      <c r="AG9" s="106"/>
      <c r="AH9" s="106"/>
      <c r="AI9" s="106"/>
      <c r="AJ9" s="106"/>
      <c r="AK9" s="106"/>
    </row>
    <row r="10" spans="2:39" ht="15" thickBot="1" x14ac:dyDescent="0.4">
      <c r="B10" s="106"/>
      <c r="C10" s="829" t="s">
        <v>8</v>
      </c>
      <c r="D10" s="1350"/>
      <c r="E10" s="1007">
        <v>0</v>
      </c>
      <c r="F10" s="1007">
        <v>0</v>
      </c>
      <c r="G10" s="1007">
        <v>11</v>
      </c>
      <c r="H10" s="1403"/>
      <c r="I10" s="1403"/>
      <c r="J10" s="1403"/>
      <c r="K10" s="1007">
        <v>0</v>
      </c>
      <c r="L10" s="1007">
        <v>0</v>
      </c>
      <c r="M10" s="1007">
        <v>11</v>
      </c>
      <c r="N10" s="1403"/>
      <c r="O10" s="1403"/>
      <c r="P10" s="1403"/>
      <c r="Q10" s="106"/>
      <c r="R10" s="106"/>
      <c r="S10" s="106"/>
      <c r="T10" s="106"/>
      <c r="U10" s="106"/>
      <c r="V10" s="106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</row>
    <row r="11" spans="2:39" ht="15" thickBot="1" x14ac:dyDescent="0.4">
      <c r="B11" s="106"/>
      <c r="C11" s="826" t="s">
        <v>2</v>
      </c>
      <c r="D11" s="827" t="s">
        <v>730</v>
      </c>
      <c r="E11" s="626">
        <v>2</v>
      </c>
      <c r="F11" s="626">
        <v>2</v>
      </c>
      <c r="G11" s="626">
        <v>15</v>
      </c>
      <c r="H11" s="1401">
        <f>E11*E21</f>
        <v>1019996.66</v>
      </c>
      <c r="I11" s="1401">
        <f>+F11*F21</f>
        <v>362594.72</v>
      </c>
      <c r="J11" s="1401">
        <f>+G11*G21</f>
        <v>23532.899999999998</v>
      </c>
      <c r="K11" s="626">
        <v>2</v>
      </c>
      <c r="L11" s="626">
        <v>2</v>
      </c>
      <c r="M11" s="626">
        <v>15</v>
      </c>
      <c r="N11" s="1401">
        <f>K11*K21</f>
        <v>1019996.66</v>
      </c>
      <c r="O11" s="1401">
        <f>+L11*L21</f>
        <v>362594.72</v>
      </c>
      <c r="P11" s="1401">
        <f>+M11*M21</f>
        <v>23532.899999999998</v>
      </c>
      <c r="Q11" s="106"/>
      <c r="R11" s="106"/>
      <c r="S11" s="106"/>
      <c r="T11" s="106"/>
      <c r="U11" s="106"/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6"/>
    </row>
    <row r="12" spans="2:39" x14ac:dyDescent="0.35">
      <c r="B12" s="106"/>
      <c r="C12" s="831" t="s">
        <v>3</v>
      </c>
      <c r="D12" s="1976" t="s">
        <v>731</v>
      </c>
      <c r="E12" s="1006">
        <v>2</v>
      </c>
      <c r="F12" s="1006">
        <v>2</v>
      </c>
      <c r="G12" s="1006">
        <v>2</v>
      </c>
      <c r="H12" s="1402">
        <f>SUM(E12:E14)*E21</f>
        <v>1019996.66</v>
      </c>
      <c r="I12" s="1402">
        <f>+SUM(F12:F14)*F21</f>
        <v>362594.72</v>
      </c>
      <c r="J12" s="1402">
        <f>+SUM(G12:G14)*G21</f>
        <v>25101.759999999998</v>
      </c>
      <c r="K12" s="1006">
        <v>2</v>
      </c>
      <c r="L12" s="1006">
        <v>2</v>
      </c>
      <c r="M12" s="1006">
        <v>2</v>
      </c>
      <c r="N12" s="1402">
        <f>SUM(K12:K14)*E21</f>
        <v>1019996.66</v>
      </c>
      <c r="O12" s="1402">
        <f>+SUM(L12:L14)*F21</f>
        <v>362594.72</v>
      </c>
      <c r="P12" s="1402">
        <f>+SUM(M12:M14)*M21</f>
        <v>25101.759999999998</v>
      </c>
      <c r="Q12" s="106"/>
      <c r="R12" s="106"/>
      <c r="S12" s="106"/>
      <c r="T12" s="106"/>
      <c r="U12" s="106"/>
      <c r="V12" s="106"/>
      <c r="W12" s="106"/>
      <c r="X12" s="106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6"/>
    </row>
    <row r="13" spans="2:39" x14ac:dyDescent="0.35">
      <c r="B13" s="106"/>
      <c r="C13" s="1000" t="s">
        <v>4</v>
      </c>
      <c r="D13" s="1977"/>
      <c r="E13" s="1007">
        <v>0</v>
      </c>
      <c r="F13" s="1007">
        <v>0</v>
      </c>
      <c r="G13" s="1007">
        <v>5</v>
      </c>
      <c r="H13" s="1403"/>
      <c r="I13" s="1403"/>
      <c r="J13" s="1403"/>
      <c r="K13" s="1007">
        <v>0</v>
      </c>
      <c r="L13" s="1007">
        <v>0</v>
      </c>
      <c r="M13" s="1007">
        <v>5</v>
      </c>
      <c r="N13" s="1403"/>
      <c r="O13" s="1403"/>
      <c r="P13" s="1403"/>
      <c r="Q13" s="106"/>
      <c r="R13" s="106"/>
      <c r="S13" s="106"/>
      <c r="T13" s="106"/>
      <c r="U13" s="106"/>
      <c r="V13" s="106"/>
      <c r="W13" s="106"/>
      <c r="X13" s="106"/>
      <c r="Y13" s="106"/>
      <c r="Z13" s="106"/>
      <c r="AA13" s="106"/>
      <c r="AB13" s="106"/>
      <c r="AC13" s="106"/>
      <c r="AD13" s="106"/>
      <c r="AE13" s="106"/>
      <c r="AF13" s="106"/>
      <c r="AG13" s="106"/>
      <c r="AH13" s="106"/>
      <c r="AI13" s="106"/>
      <c r="AJ13" s="106"/>
      <c r="AK13" s="106"/>
    </row>
    <row r="14" spans="2:39" ht="15" thickBot="1" x14ac:dyDescent="0.4">
      <c r="B14" s="106"/>
      <c r="C14" s="830" t="s">
        <v>9</v>
      </c>
      <c r="D14" s="1978"/>
      <c r="E14" s="1008">
        <v>0</v>
      </c>
      <c r="F14" s="1008">
        <v>0</v>
      </c>
      <c r="G14" s="1008">
        <v>9</v>
      </c>
      <c r="H14" s="1404"/>
      <c r="I14" s="1404"/>
      <c r="J14" s="1404"/>
      <c r="K14" s="1008">
        <v>0</v>
      </c>
      <c r="L14" s="1008">
        <v>0</v>
      </c>
      <c r="M14" s="1008">
        <v>9</v>
      </c>
      <c r="N14" s="1404"/>
      <c r="O14" s="1404"/>
      <c r="P14" s="1404"/>
      <c r="Q14" s="106"/>
      <c r="R14" s="106"/>
      <c r="S14" s="106"/>
      <c r="T14" s="106"/>
      <c r="U14" s="106"/>
      <c r="V14" s="106"/>
      <c r="W14" s="106"/>
      <c r="X14" s="106"/>
      <c r="Y14" s="106"/>
      <c r="Z14" s="106"/>
      <c r="AA14" s="106"/>
      <c r="AB14" s="106"/>
      <c r="AC14" s="106"/>
      <c r="AD14" s="106"/>
      <c r="AE14" s="106"/>
      <c r="AF14" s="106"/>
      <c r="AG14" s="106"/>
      <c r="AH14" s="106"/>
      <c r="AI14" s="106"/>
      <c r="AJ14" s="106"/>
      <c r="AK14" s="106"/>
    </row>
    <row r="15" spans="2:39" ht="27" customHeight="1" thickBot="1" x14ac:dyDescent="0.4">
      <c r="B15" s="106"/>
      <c r="C15" s="1530" t="s">
        <v>7</v>
      </c>
      <c r="D15" s="1748" t="s">
        <v>732</v>
      </c>
      <c r="E15" s="1006">
        <v>0</v>
      </c>
      <c r="F15" s="1006">
        <v>0</v>
      </c>
      <c r="G15" s="1405">
        <v>0</v>
      </c>
      <c r="H15" s="1406">
        <f>SUM(E15:E15)*E21</f>
        <v>0</v>
      </c>
      <c r="I15" s="1406">
        <f>+SUM(F15:F15)*F21</f>
        <v>0</v>
      </c>
      <c r="J15" s="1402">
        <f>+SUM(G15:G15)*G21</f>
        <v>0</v>
      </c>
      <c r="K15" s="1006">
        <v>0</v>
      </c>
      <c r="L15" s="1006">
        <v>0</v>
      </c>
      <c r="M15" s="1405">
        <v>0</v>
      </c>
      <c r="N15" s="1406">
        <f>SUM(K15:K15)*K21</f>
        <v>0</v>
      </c>
      <c r="O15" s="1406">
        <f>+SUM(L15:L15)*L21</f>
        <v>0</v>
      </c>
      <c r="P15" s="1402">
        <f>+SUM(M15:M15)*M21</f>
        <v>0</v>
      </c>
      <c r="Q15" s="106"/>
      <c r="R15" s="106"/>
      <c r="S15" s="106"/>
      <c r="T15" s="106"/>
      <c r="U15" s="106"/>
      <c r="V15" s="106"/>
      <c r="W15" s="106"/>
      <c r="X15" s="106"/>
      <c r="Y15" s="106"/>
      <c r="Z15" s="106"/>
      <c r="AA15" s="106"/>
      <c r="AB15" s="106"/>
      <c r="AC15" s="106"/>
      <c r="AD15" s="106"/>
      <c r="AE15" s="106"/>
      <c r="AF15" s="106"/>
      <c r="AG15" s="106"/>
      <c r="AH15" s="106"/>
      <c r="AI15" s="106"/>
      <c r="AJ15" s="106"/>
      <c r="AK15" s="106"/>
    </row>
    <row r="16" spans="2:39" ht="15" thickBot="1" x14ac:dyDescent="0.4">
      <c r="B16" s="106"/>
      <c r="C16" s="826" t="s">
        <v>5</v>
      </c>
      <c r="D16" s="827" t="s">
        <v>733</v>
      </c>
      <c r="E16" s="626">
        <v>2</v>
      </c>
      <c r="F16" s="626">
        <v>2</v>
      </c>
      <c r="G16" s="626">
        <v>12</v>
      </c>
      <c r="H16" s="1402">
        <f>SUM(E16:E16)*E21</f>
        <v>1019996.66</v>
      </c>
      <c r="I16" s="1402">
        <f>+SUM(F16:F16)*F21</f>
        <v>362594.72</v>
      </c>
      <c r="J16" s="1402">
        <f>+SUM(G16:G16)*G21</f>
        <v>18826.32</v>
      </c>
      <c r="K16" s="626">
        <v>2</v>
      </c>
      <c r="L16" s="626">
        <v>2</v>
      </c>
      <c r="M16" s="626">
        <v>11</v>
      </c>
      <c r="N16" s="1402">
        <f>SUM(K16:K16)*K21</f>
        <v>1019996.66</v>
      </c>
      <c r="O16" s="1402">
        <f>+SUM(L16:L16)*L21</f>
        <v>362594.72</v>
      </c>
      <c r="P16" s="1402">
        <f>+SUM(M16:M16)*M21</f>
        <v>17257.46</v>
      </c>
      <c r="Q16" s="106"/>
      <c r="R16" s="106"/>
      <c r="S16" s="106"/>
      <c r="T16" s="106"/>
      <c r="U16" s="106"/>
      <c r="V16" s="106"/>
      <c r="W16" s="106"/>
      <c r="X16" s="106"/>
      <c r="Y16" s="106"/>
      <c r="Z16" s="106"/>
      <c r="AA16" s="106"/>
      <c r="AB16" s="106"/>
      <c r="AC16" s="106"/>
      <c r="AD16" s="106"/>
      <c r="AE16" s="106"/>
      <c r="AF16" s="106"/>
      <c r="AG16" s="106"/>
      <c r="AH16" s="106"/>
      <c r="AI16" s="106"/>
      <c r="AJ16" s="106"/>
      <c r="AK16" s="106"/>
    </row>
    <row r="17" spans="2:37" ht="15" thickBot="1" x14ac:dyDescent="0.4">
      <c r="B17" s="106"/>
      <c r="C17" s="826" t="s">
        <v>6</v>
      </c>
      <c r="D17" s="827" t="s">
        <v>733</v>
      </c>
      <c r="E17" s="626">
        <v>10</v>
      </c>
      <c r="F17" s="626">
        <v>10</v>
      </c>
      <c r="G17" s="626">
        <v>38</v>
      </c>
      <c r="H17" s="1402">
        <f>SUM(E17:E17)*E21</f>
        <v>5099983.3</v>
      </c>
      <c r="I17" s="1402">
        <f>+SUM(F17:F17)*F21</f>
        <v>1812973.5999999999</v>
      </c>
      <c r="J17" s="1402">
        <f>+SUM(G17:G17)*G21</f>
        <v>59616.679999999993</v>
      </c>
      <c r="K17" s="626">
        <v>9</v>
      </c>
      <c r="L17" s="626">
        <v>9</v>
      </c>
      <c r="M17" s="626">
        <v>37</v>
      </c>
      <c r="N17" s="1402">
        <f>SUM(K17:K17)*K21</f>
        <v>4589984.97</v>
      </c>
      <c r="O17" s="1402">
        <f>+SUM(L17:L17)*L21</f>
        <v>1631676.2399999998</v>
      </c>
      <c r="P17" s="1402">
        <f>+SUM(M17:M17)*M21</f>
        <v>58047.82</v>
      </c>
      <c r="Q17" s="106"/>
      <c r="R17" s="106"/>
      <c r="S17" s="106"/>
      <c r="T17" s="106"/>
      <c r="U17" s="106"/>
      <c r="V17" s="106"/>
      <c r="W17" s="106"/>
      <c r="X17" s="106"/>
      <c r="Y17" s="106"/>
      <c r="Z17" s="106"/>
      <c r="AA17" s="106"/>
      <c r="AB17" s="106"/>
      <c r="AC17" s="106"/>
      <c r="AD17" s="106"/>
      <c r="AE17" s="106"/>
      <c r="AF17" s="106"/>
      <c r="AG17" s="106"/>
      <c r="AH17" s="106"/>
      <c r="AI17" s="106"/>
      <c r="AJ17" s="106"/>
      <c r="AK17" s="106"/>
    </row>
    <row r="18" spans="2:37" ht="15" thickBot="1" x14ac:dyDescent="0.4">
      <c r="B18" s="106"/>
      <c r="C18" s="1003" t="s">
        <v>734</v>
      </c>
      <c r="D18" s="676"/>
      <c r="E18" s="626">
        <v>0</v>
      </c>
      <c r="F18" s="626">
        <v>0</v>
      </c>
      <c r="G18" s="626">
        <v>0</v>
      </c>
      <c r="H18" s="1401">
        <f>E18*E21</f>
        <v>0</v>
      </c>
      <c r="I18" s="1401">
        <f>+F18*F21</f>
        <v>0</v>
      </c>
      <c r="J18" s="1401">
        <f>+G18*G21</f>
        <v>0</v>
      </c>
      <c r="K18" s="626">
        <v>0</v>
      </c>
      <c r="L18" s="626">
        <v>0</v>
      </c>
      <c r="M18" s="626">
        <v>0</v>
      </c>
      <c r="N18" s="1401">
        <f>K18*K21</f>
        <v>0</v>
      </c>
      <c r="O18" s="1401">
        <f>+L18*L21</f>
        <v>0</v>
      </c>
      <c r="P18" s="1401">
        <f>+M18*M21</f>
        <v>0</v>
      </c>
      <c r="Q18" s="106"/>
      <c r="R18" s="106"/>
      <c r="S18" s="106"/>
      <c r="T18" s="106"/>
      <c r="U18" s="106"/>
      <c r="V18" s="106"/>
      <c r="W18" s="106"/>
      <c r="X18" s="106"/>
      <c r="Y18" s="106"/>
      <c r="Z18" s="106"/>
      <c r="AA18" s="106"/>
      <c r="AB18" s="106"/>
      <c r="AC18" s="106"/>
      <c r="AD18" s="106"/>
      <c r="AE18" s="106"/>
      <c r="AF18" s="106"/>
      <c r="AG18" s="106"/>
      <c r="AH18" s="106"/>
      <c r="AI18" s="106"/>
      <c r="AJ18" s="106"/>
      <c r="AK18" s="106"/>
    </row>
    <row r="19" spans="2:37" ht="15" thickBot="1" x14ac:dyDescent="0.4">
      <c r="B19" s="106"/>
      <c r="C19" s="836" t="s">
        <v>200</v>
      </c>
      <c r="D19" s="837"/>
      <c r="E19" s="838">
        <f t="shared" ref="E19:P19" si="0">SUM(E9:E18)</f>
        <v>17</v>
      </c>
      <c r="F19" s="838">
        <f t="shared" si="0"/>
        <v>17</v>
      </c>
      <c r="G19" s="839">
        <f t="shared" si="0"/>
        <v>94</v>
      </c>
      <c r="H19" s="1400">
        <f>SUM(H9:H18)</f>
        <v>8669971.6099999994</v>
      </c>
      <c r="I19" s="1400">
        <f t="shared" si="0"/>
        <v>3082055.12</v>
      </c>
      <c r="J19" s="1400">
        <f t="shared" si="0"/>
        <v>147472.84</v>
      </c>
      <c r="K19" s="838">
        <f t="shared" si="0"/>
        <v>16</v>
      </c>
      <c r="L19" s="838">
        <f t="shared" si="0"/>
        <v>16</v>
      </c>
      <c r="M19" s="839">
        <f t="shared" si="0"/>
        <v>92</v>
      </c>
      <c r="N19" s="1400">
        <f t="shared" si="0"/>
        <v>8159973.2799999993</v>
      </c>
      <c r="O19" s="1400">
        <f t="shared" si="0"/>
        <v>2900757.76</v>
      </c>
      <c r="P19" s="1400">
        <f t="shared" si="0"/>
        <v>144335.12</v>
      </c>
      <c r="Q19" s="106"/>
      <c r="R19" s="106"/>
      <c r="S19" s="106"/>
      <c r="T19" s="106"/>
      <c r="U19" s="106"/>
      <c r="V19" s="106"/>
      <c r="W19" s="106"/>
      <c r="X19" s="106"/>
      <c r="Y19" s="106"/>
      <c r="Z19" s="106"/>
      <c r="AA19" s="106"/>
      <c r="AB19" s="106"/>
      <c r="AC19" s="106"/>
      <c r="AD19" s="106"/>
      <c r="AE19" s="106"/>
      <c r="AF19" s="106"/>
      <c r="AG19" s="106"/>
      <c r="AH19" s="106"/>
      <c r="AI19" s="106"/>
      <c r="AJ19" s="106"/>
      <c r="AK19" s="106"/>
    </row>
    <row r="20" spans="2:37" ht="15" thickBot="1" x14ac:dyDescent="0.4">
      <c r="B20" s="106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  <c r="S20" s="106"/>
      <c r="T20" s="106"/>
      <c r="U20" s="106"/>
      <c r="V20" s="106"/>
      <c r="W20" s="106"/>
      <c r="X20" s="106"/>
      <c r="Y20" s="106"/>
      <c r="Z20" s="106"/>
      <c r="AA20" s="106"/>
      <c r="AB20" s="106"/>
      <c r="AC20" s="106"/>
      <c r="AD20" s="106"/>
      <c r="AE20" s="106"/>
      <c r="AF20" s="106"/>
      <c r="AG20" s="106"/>
      <c r="AH20" s="106"/>
      <c r="AI20" s="106"/>
    </row>
    <row r="21" spans="2:37" ht="15" thickBot="1" x14ac:dyDescent="0.4">
      <c r="B21" s="106"/>
      <c r="C21" s="107" t="s">
        <v>735</v>
      </c>
      <c r="D21" s="106"/>
      <c r="E21" s="1001">
        <v>509998.33</v>
      </c>
      <c r="F21" s="1001">
        <v>181297.36</v>
      </c>
      <c r="G21" s="1001">
        <v>1568.86</v>
      </c>
      <c r="H21" s="106"/>
      <c r="I21" s="106"/>
      <c r="J21" s="106"/>
      <c r="K21" s="1001">
        <v>509998.33</v>
      </c>
      <c r="L21" s="1001">
        <v>181297.36</v>
      </c>
      <c r="M21" s="1001">
        <v>1568.86</v>
      </c>
      <c r="N21" s="106"/>
      <c r="O21" s="106"/>
      <c r="P21" s="106"/>
      <c r="Q21" s="106"/>
      <c r="R21" s="106"/>
      <c r="S21" s="106"/>
      <c r="T21" s="106"/>
      <c r="U21" s="106"/>
      <c r="V21" s="106"/>
      <c r="W21" s="106"/>
      <c r="X21" s="106"/>
      <c r="Y21" s="106"/>
      <c r="Z21" s="106"/>
      <c r="AA21" s="106"/>
      <c r="AB21" s="106"/>
      <c r="AC21" s="106"/>
      <c r="AD21" s="106"/>
      <c r="AE21" s="106"/>
      <c r="AF21" s="106"/>
      <c r="AG21" s="106"/>
      <c r="AH21" s="106"/>
      <c r="AI21" s="106"/>
    </row>
    <row r="22" spans="2:37" ht="15" thickBot="1" x14ac:dyDescent="0.4">
      <c r="B22" s="106"/>
      <c r="C22" s="107" t="s">
        <v>736</v>
      </c>
      <c r="D22" s="106"/>
      <c r="E22" s="626">
        <v>8</v>
      </c>
      <c r="F22" s="626">
        <v>8</v>
      </c>
      <c r="G22" s="626">
        <v>5</v>
      </c>
      <c r="H22" s="106"/>
      <c r="I22" s="106"/>
      <c r="J22" s="106"/>
      <c r="K22" s="626">
        <v>8</v>
      </c>
      <c r="L22" s="626">
        <v>8</v>
      </c>
      <c r="M22" s="626">
        <v>5</v>
      </c>
      <c r="N22" s="106"/>
      <c r="O22" s="106"/>
      <c r="P22" s="106"/>
      <c r="Q22" s="106"/>
      <c r="R22" s="106"/>
      <c r="S22" s="106"/>
      <c r="T22" s="106"/>
      <c r="U22" s="106"/>
      <c r="V22" s="106"/>
      <c r="W22" s="106"/>
      <c r="X22" s="106"/>
      <c r="Y22" s="106"/>
      <c r="Z22" s="106"/>
      <c r="AA22" s="106"/>
      <c r="AB22" s="106"/>
      <c r="AC22" s="106"/>
      <c r="AD22" s="106"/>
      <c r="AE22" s="106"/>
      <c r="AF22" s="106"/>
      <c r="AG22" s="106"/>
      <c r="AH22" s="106"/>
      <c r="AI22" s="106"/>
    </row>
    <row r="23" spans="2:37" x14ac:dyDescent="0.35">
      <c r="B23" s="106"/>
      <c r="C23" s="107"/>
      <c r="D23" s="106"/>
      <c r="E23" s="584"/>
      <c r="F23" s="584"/>
      <c r="G23" s="584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6"/>
      <c r="AG23" s="106"/>
      <c r="AH23" s="106"/>
      <c r="AI23" s="106"/>
    </row>
    <row r="24" spans="2:37" ht="15" thickBot="1" x14ac:dyDescent="0.4">
      <c r="B24" s="106"/>
      <c r="C24" s="107"/>
      <c r="D24" s="106"/>
      <c r="E24" s="584"/>
      <c r="F24" s="584"/>
      <c r="G24" s="584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  <c r="AC24" s="106"/>
      <c r="AD24" s="106"/>
      <c r="AE24" s="106"/>
      <c r="AF24" s="106"/>
      <c r="AG24" s="106"/>
      <c r="AH24" s="106"/>
      <c r="AI24" s="106"/>
    </row>
    <row r="25" spans="2:37" ht="27" customHeight="1" thickBot="1" x14ac:dyDescent="0.4">
      <c r="B25" s="106"/>
      <c r="C25" s="840" t="s">
        <v>96</v>
      </c>
      <c r="D25" s="840" t="s">
        <v>737</v>
      </c>
      <c r="E25" s="840" t="s">
        <v>738</v>
      </c>
      <c r="F25" s="840" t="s">
        <v>739</v>
      </c>
      <c r="G25" s="1399" t="s">
        <v>455</v>
      </c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106"/>
      <c r="AC25" s="106"/>
      <c r="AD25" s="106"/>
      <c r="AE25" s="106"/>
      <c r="AF25" s="106"/>
      <c r="AG25" s="106"/>
      <c r="AH25" s="106"/>
      <c r="AI25" s="106"/>
    </row>
    <row r="26" spans="2:37" ht="15" thickBot="1" x14ac:dyDescent="0.4">
      <c r="B26" s="106"/>
      <c r="C26" s="1756">
        <v>1</v>
      </c>
      <c r="D26" s="1749">
        <f>H19</f>
        <v>8669971.6099999994</v>
      </c>
      <c r="E26" s="1749">
        <f>I19</f>
        <v>3082055.12</v>
      </c>
      <c r="F26" s="1749">
        <f>J19</f>
        <v>147472.84</v>
      </c>
      <c r="G26" s="1401">
        <f>SUM(D26:F26)</f>
        <v>11899499.57</v>
      </c>
      <c r="H26" s="584"/>
      <c r="I26" s="584"/>
      <c r="J26" s="106"/>
      <c r="K26" s="106"/>
      <c r="L26" s="106"/>
      <c r="M26" s="106"/>
      <c r="N26" s="106"/>
      <c r="O26" s="106"/>
      <c r="P26" s="106"/>
      <c r="Q26" s="106"/>
      <c r="R26" s="106"/>
      <c r="S26" s="106"/>
      <c r="T26" s="106"/>
      <c r="U26" s="106"/>
      <c r="V26" s="106"/>
      <c r="W26" s="106"/>
      <c r="X26" s="106"/>
      <c r="Y26" s="106"/>
      <c r="Z26" s="106"/>
      <c r="AA26" s="106"/>
      <c r="AB26" s="106"/>
      <c r="AC26" s="106"/>
      <c r="AD26" s="106"/>
      <c r="AE26" s="106"/>
      <c r="AF26" s="106"/>
      <c r="AG26" s="106"/>
      <c r="AH26" s="106"/>
      <c r="AI26" s="106"/>
    </row>
    <row r="27" spans="2:37" ht="15" thickBot="1" x14ac:dyDescent="0.4">
      <c r="B27" s="106"/>
      <c r="C27" s="987">
        <f>C26+G22</f>
        <v>6</v>
      </c>
      <c r="D27" s="1406">
        <v>0</v>
      </c>
      <c r="E27" s="1406">
        <v>0</v>
      </c>
      <c r="F27" s="1406">
        <f>P19</f>
        <v>144335.12</v>
      </c>
      <c r="G27" s="1401">
        <f t="shared" ref="G27:G34" si="1">SUM(D27:F27)</f>
        <v>144335.12</v>
      </c>
      <c r="H27" s="584"/>
      <c r="I27" s="584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106"/>
      <c r="AC27" s="106"/>
      <c r="AD27" s="106"/>
      <c r="AE27" s="106"/>
      <c r="AF27" s="106"/>
      <c r="AG27" s="106"/>
      <c r="AH27" s="106"/>
      <c r="AI27" s="106"/>
    </row>
    <row r="28" spans="2:37" ht="15" thickBot="1" x14ac:dyDescent="0.4">
      <c r="B28" s="106"/>
      <c r="C28" s="987">
        <f>C26+E22</f>
        <v>9</v>
      </c>
      <c r="D28" s="1406">
        <f>N19</f>
        <v>8159973.2799999993</v>
      </c>
      <c r="E28" s="1406">
        <f>O19</f>
        <v>2900757.76</v>
      </c>
      <c r="F28" s="1406">
        <v>0</v>
      </c>
      <c r="G28" s="1401">
        <f t="shared" si="1"/>
        <v>11060731.039999999</v>
      </c>
      <c r="H28" s="584"/>
      <c r="I28" s="584"/>
      <c r="J28" s="106"/>
      <c r="K28" s="106"/>
      <c r="L28" s="106"/>
      <c r="M28" s="106"/>
      <c r="N28" s="106"/>
      <c r="O28" s="106"/>
      <c r="P28" s="106"/>
      <c r="Q28" s="106"/>
      <c r="R28" s="106"/>
      <c r="S28" s="106"/>
      <c r="T28" s="106"/>
      <c r="U28" s="106"/>
      <c r="V28" s="106"/>
      <c r="W28" s="106"/>
      <c r="X28" s="106"/>
      <c r="Y28" s="106"/>
      <c r="Z28" s="106"/>
      <c r="AA28" s="106"/>
      <c r="AB28" s="106"/>
      <c r="AC28" s="106"/>
      <c r="AD28" s="106"/>
      <c r="AE28" s="106"/>
      <c r="AF28" s="106"/>
      <c r="AG28" s="106"/>
      <c r="AH28" s="106"/>
      <c r="AI28" s="106"/>
    </row>
    <row r="29" spans="2:37" ht="15" thickBot="1" x14ac:dyDescent="0.4">
      <c r="B29" s="106"/>
      <c r="C29" s="987">
        <f>C27+G22</f>
        <v>11</v>
      </c>
      <c r="D29" s="1406">
        <v>0</v>
      </c>
      <c r="E29" s="1406">
        <v>0</v>
      </c>
      <c r="F29" s="1406">
        <f>P19</f>
        <v>144335.12</v>
      </c>
      <c r="G29" s="1401">
        <f t="shared" si="1"/>
        <v>144335.12</v>
      </c>
      <c r="H29" s="584"/>
      <c r="I29" s="584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106"/>
      <c r="Y29" s="106"/>
      <c r="Z29" s="106"/>
      <c r="AA29" s="106"/>
      <c r="AB29" s="106"/>
      <c r="AC29" s="106"/>
      <c r="AD29" s="106"/>
      <c r="AE29" s="106"/>
      <c r="AF29" s="106"/>
      <c r="AG29" s="106"/>
      <c r="AH29" s="106"/>
      <c r="AI29" s="106"/>
    </row>
    <row r="30" spans="2:37" ht="15" thickBot="1" x14ac:dyDescent="0.4">
      <c r="B30" s="106"/>
      <c r="C30" s="987">
        <f>C29+5</f>
        <v>16</v>
      </c>
      <c r="D30" s="1406">
        <v>0</v>
      </c>
      <c r="E30" s="1406">
        <v>0</v>
      </c>
      <c r="F30" s="1406">
        <f>P19</f>
        <v>144335.12</v>
      </c>
      <c r="G30" s="1401">
        <f t="shared" si="1"/>
        <v>144335.12</v>
      </c>
      <c r="H30" s="584"/>
      <c r="I30" s="584"/>
      <c r="J30" s="106"/>
      <c r="K30" s="106"/>
      <c r="L30" s="106"/>
      <c r="M30" s="106"/>
      <c r="N30" s="106"/>
      <c r="O30" s="106"/>
      <c r="P30" s="106"/>
      <c r="Q30" s="106"/>
      <c r="R30" s="106"/>
      <c r="S30" s="106"/>
      <c r="T30" s="106"/>
      <c r="U30" s="106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</row>
    <row r="31" spans="2:37" ht="15" thickBot="1" x14ac:dyDescent="0.4">
      <c r="B31" s="106"/>
      <c r="C31" s="987">
        <f>C28+E22</f>
        <v>17</v>
      </c>
      <c r="D31" s="1406">
        <f>N19</f>
        <v>8159973.2799999993</v>
      </c>
      <c r="E31" s="1406">
        <f>O19</f>
        <v>2900757.76</v>
      </c>
      <c r="F31" s="1406">
        <v>0</v>
      </c>
      <c r="G31" s="1401">
        <f t="shared" si="1"/>
        <v>11060731.039999999</v>
      </c>
      <c r="H31" s="584"/>
      <c r="I31" s="584"/>
      <c r="J31" s="106"/>
      <c r="K31" s="106"/>
      <c r="L31" s="106"/>
      <c r="M31" s="106"/>
      <c r="N31" s="106"/>
      <c r="O31" s="106"/>
      <c r="P31" s="106"/>
      <c r="Q31" s="106"/>
      <c r="R31" s="106"/>
      <c r="S31" s="106"/>
      <c r="T31" s="106"/>
      <c r="U31" s="106"/>
      <c r="V31" s="106"/>
      <c r="W31" s="106"/>
      <c r="X31" s="106"/>
      <c r="Y31" s="106"/>
      <c r="Z31" s="106"/>
      <c r="AA31" s="106"/>
      <c r="AB31" s="106"/>
      <c r="AC31" s="106"/>
      <c r="AD31" s="106"/>
      <c r="AE31" s="106"/>
      <c r="AF31" s="106"/>
      <c r="AG31" s="106"/>
      <c r="AH31" s="106"/>
      <c r="AI31" s="106"/>
    </row>
    <row r="32" spans="2:37" ht="15" thickBot="1" x14ac:dyDescent="0.4">
      <c r="B32" s="106"/>
      <c r="C32" s="987">
        <f>C30+G22</f>
        <v>21</v>
      </c>
      <c r="D32" s="1406">
        <v>0</v>
      </c>
      <c r="E32" s="1406">
        <v>0</v>
      </c>
      <c r="F32" s="1406">
        <f>P19</f>
        <v>144335.12</v>
      </c>
      <c r="G32" s="1401">
        <f t="shared" si="1"/>
        <v>144335.12</v>
      </c>
      <c r="H32" s="584"/>
      <c r="I32" s="584"/>
      <c r="J32" s="106"/>
      <c r="K32" s="106"/>
      <c r="L32" s="106"/>
      <c r="M32" s="106"/>
      <c r="N32" s="106"/>
      <c r="O32" s="106"/>
      <c r="P32" s="106"/>
      <c r="Q32" s="106"/>
      <c r="R32" s="106"/>
      <c r="S32" s="106"/>
      <c r="T32" s="106"/>
      <c r="U32" s="106"/>
      <c r="V32" s="106"/>
      <c r="W32" s="106"/>
      <c r="X32" s="106"/>
      <c r="Y32" s="106"/>
      <c r="Z32" s="106"/>
      <c r="AA32" s="106"/>
      <c r="AB32" s="106"/>
      <c r="AC32" s="106"/>
      <c r="AD32" s="106"/>
      <c r="AE32" s="106"/>
      <c r="AF32" s="106"/>
      <c r="AG32" s="106"/>
      <c r="AH32" s="106"/>
      <c r="AI32" s="106"/>
    </row>
    <row r="33" spans="2:35" ht="15" thickBot="1" x14ac:dyDescent="0.4">
      <c r="B33" s="106"/>
      <c r="C33" s="987">
        <v>25</v>
      </c>
      <c r="D33" s="1406">
        <f>N19</f>
        <v>8159973.2799999993</v>
      </c>
      <c r="E33" s="1406">
        <f>O19</f>
        <v>2900757.76</v>
      </c>
      <c r="F33" s="1406">
        <v>0</v>
      </c>
      <c r="G33" s="1401">
        <f t="shared" si="1"/>
        <v>11060731.039999999</v>
      </c>
      <c r="H33" s="584"/>
      <c r="I33" s="584"/>
      <c r="J33" s="106"/>
      <c r="K33" s="106"/>
      <c r="L33" s="106"/>
      <c r="M33" s="106"/>
      <c r="N33" s="106"/>
      <c r="O33" s="106"/>
      <c r="P33" s="106"/>
      <c r="Q33" s="106"/>
      <c r="R33" s="106"/>
      <c r="S33" s="106"/>
      <c r="T33" s="106"/>
      <c r="U33" s="106"/>
      <c r="V33" s="106"/>
      <c r="W33" s="106"/>
      <c r="X33" s="106"/>
      <c r="Y33" s="106"/>
      <c r="Z33" s="106"/>
      <c r="AA33" s="106"/>
      <c r="AB33" s="106"/>
      <c r="AC33" s="106"/>
      <c r="AD33" s="106"/>
      <c r="AE33" s="106"/>
      <c r="AF33" s="106"/>
      <c r="AG33" s="106"/>
      <c r="AH33" s="106"/>
      <c r="AI33" s="106"/>
    </row>
    <row r="34" spans="2:35" ht="15" thickBot="1" x14ac:dyDescent="0.4">
      <c r="B34" s="106"/>
      <c r="C34" s="987">
        <v>26</v>
      </c>
      <c r="D34" s="1406">
        <v>0</v>
      </c>
      <c r="E34" s="1406">
        <v>0</v>
      </c>
      <c r="F34" s="1406">
        <f>P19</f>
        <v>144335.12</v>
      </c>
      <c r="G34" s="1401">
        <f t="shared" si="1"/>
        <v>144335.12</v>
      </c>
      <c r="H34" s="584"/>
      <c r="I34" s="584"/>
      <c r="J34" s="106"/>
      <c r="K34" s="106"/>
      <c r="L34" s="106"/>
      <c r="M34" s="106"/>
      <c r="N34" s="106"/>
      <c r="O34" s="106"/>
      <c r="P34" s="106"/>
      <c r="Q34" s="106"/>
      <c r="R34" s="106"/>
      <c r="S34" s="106"/>
      <c r="T34" s="106"/>
      <c r="U34" s="106"/>
      <c r="V34" s="106"/>
      <c r="W34" s="106"/>
      <c r="X34" s="106"/>
      <c r="Y34" s="106"/>
      <c r="Z34" s="106"/>
      <c r="AA34" s="106"/>
      <c r="AB34" s="106"/>
      <c r="AC34" s="106"/>
      <c r="AD34" s="106"/>
      <c r="AE34" s="106"/>
      <c r="AF34" s="106"/>
      <c r="AG34" s="106"/>
      <c r="AH34" s="106"/>
      <c r="AI34" s="106"/>
    </row>
    <row r="35" spans="2:35" x14ac:dyDescent="0.35">
      <c r="B35" s="106"/>
      <c r="C35" s="107"/>
      <c r="D35" s="106"/>
      <c r="E35" s="106"/>
      <c r="F35" s="106"/>
      <c r="G35" s="584"/>
      <c r="H35" s="584"/>
      <c r="I35" s="584"/>
      <c r="J35" s="106"/>
      <c r="K35" s="106"/>
      <c r="L35" s="106"/>
      <c r="M35" s="106"/>
      <c r="N35" s="106"/>
      <c r="O35" s="106"/>
      <c r="P35" s="106"/>
      <c r="Q35" s="106"/>
      <c r="R35" s="106"/>
      <c r="S35" s="106"/>
      <c r="T35" s="106"/>
      <c r="U35" s="106"/>
      <c r="V35" s="106"/>
      <c r="W35" s="106"/>
      <c r="X35" s="106"/>
      <c r="Y35" s="106"/>
      <c r="Z35" s="106"/>
      <c r="AA35" s="106"/>
      <c r="AB35" s="106"/>
      <c r="AC35" s="106"/>
      <c r="AD35" s="106"/>
      <c r="AE35" s="106"/>
      <c r="AF35" s="106"/>
      <c r="AG35" s="106"/>
      <c r="AH35" s="106"/>
      <c r="AI35" s="106"/>
    </row>
    <row r="36" spans="2:35" x14ac:dyDescent="0.35">
      <c r="B36" s="106"/>
      <c r="C36" s="107"/>
      <c r="D36" s="106"/>
      <c r="E36" s="584"/>
      <c r="F36" s="584"/>
      <c r="G36" s="584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6"/>
      <c r="AB36" s="106"/>
      <c r="AC36" s="106"/>
      <c r="AD36" s="106"/>
      <c r="AE36" s="106"/>
      <c r="AF36" s="106"/>
      <c r="AG36" s="106"/>
      <c r="AH36" s="106"/>
      <c r="AI36" s="106"/>
    </row>
    <row r="37" spans="2:35" ht="15" thickBot="1" x14ac:dyDescent="0.4">
      <c r="B37" s="789"/>
      <c r="C37" s="790"/>
      <c r="D37" s="789"/>
      <c r="E37" s="790"/>
      <c r="F37" s="790"/>
      <c r="G37" s="790"/>
      <c r="H37" s="790"/>
      <c r="I37" s="789"/>
      <c r="J37" s="789"/>
      <c r="K37" s="789"/>
      <c r="L37" s="789"/>
      <c r="M37" s="789"/>
      <c r="N37" s="789"/>
      <c r="O37" s="789"/>
      <c r="P37" s="789"/>
      <c r="Q37" s="789"/>
      <c r="R37" s="789"/>
      <c r="S37" s="789"/>
      <c r="T37" s="789"/>
      <c r="U37" s="789"/>
      <c r="V37" s="789"/>
      <c r="W37" s="789"/>
      <c r="X37" s="789"/>
      <c r="Y37" s="789"/>
      <c r="Z37" s="789"/>
      <c r="AA37" s="789"/>
      <c r="AB37" s="789"/>
      <c r="AC37" s="789"/>
      <c r="AD37" s="789"/>
      <c r="AE37" s="789"/>
      <c r="AF37" s="789"/>
      <c r="AG37" s="789"/>
      <c r="AH37" s="789"/>
      <c r="AI37" s="789"/>
    </row>
    <row r="38" spans="2:35" ht="15" thickTop="1" x14ac:dyDescent="0.35">
      <c r="B38" s="549"/>
      <c r="C38" s="549"/>
      <c r="D38" s="851"/>
      <c r="E38" s="549"/>
      <c r="F38" s="549"/>
      <c r="G38" s="549"/>
      <c r="H38" s="549"/>
      <c r="I38" s="549"/>
      <c r="J38" s="549"/>
      <c r="K38" s="549"/>
      <c r="L38" s="549"/>
      <c r="M38" s="549"/>
      <c r="N38" s="549"/>
      <c r="O38" s="549"/>
      <c r="P38" s="549"/>
      <c r="Q38" s="549"/>
      <c r="R38" s="549"/>
      <c r="S38" s="549"/>
      <c r="T38" s="549"/>
      <c r="U38" s="549"/>
      <c r="V38" s="549"/>
      <c r="W38" s="549"/>
      <c r="X38" s="549"/>
      <c r="Y38" s="549"/>
      <c r="Z38" s="549"/>
      <c r="AA38" s="549"/>
      <c r="AB38" s="549"/>
      <c r="AC38" s="549"/>
      <c r="AD38" s="549"/>
      <c r="AE38" s="549"/>
      <c r="AF38" s="549"/>
      <c r="AG38" s="549"/>
      <c r="AH38" s="549"/>
      <c r="AI38" s="549"/>
    </row>
    <row r="39" spans="2:35" ht="18.5" x14ac:dyDescent="0.45">
      <c r="B39" s="549"/>
      <c r="C39" s="846" t="s">
        <v>740</v>
      </c>
      <c r="D39" s="851"/>
      <c r="E39" s="549"/>
      <c r="F39" s="549"/>
      <c r="G39" s="549"/>
      <c r="H39" s="549"/>
      <c r="I39" s="549"/>
      <c r="J39" s="549"/>
      <c r="K39" s="549"/>
      <c r="L39" s="549"/>
      <c r="M39" s="549"/>
      <c r="N39" s="549"/>
      <c r="O39" s="549"/>
      <c r="P39" s="549"/>
      <c r="Q39" s="549"/>
      <c r="R39" s="549"/>
      <c r="S39" s="549"/>
      <c r="T39" s="549"/>
      <c r="U39" s="549"/>
      <c r="V39" s="549"/>
      <c r="W39" s="549"/>
      <c r="X39" s="549"/>
      <c r="Y39" s="549"/>
      <c r="Z39" s="549"/>
      <c r="AA39" s="549"/>
      <c r="AB39" s="549"/>
      <c r="AC39" s="549"/>
      <c r="AD39" s="549"/>
      <c r="AE39" s="549"/>
      <c r="AF39" s="549"/>
      <c r="AG39" s="549"/>
      <c r="AH39" s="549"/>
      <c r="AI39" s="549"/>
    </row>
    <row r="40" spans="2:35" ht="15" thickBot="1" x14ac:dyDescent="0.4">
      <c r="B40" s="549"/>
      <c r="C40" s="549"/>
      <c r="D40" s="851"/>
      <c r="E40" s="549"/>
      <c r="F40" s="549"/>
      <c r="G40" s="549"/>
      <c r="H40" s="549"/>
      <c r="I40" s="549"/>
      <c r="J40" s="549"/>
      <c r="K40" s="549"/>
      <c r="L40" s="549"/>
      <c r="M40" s="549"/>
      <c r="N40" s="549"/>
      <c r="O40" s="549"/>
      <c r="P40" s="549"/>
      <c r="Q40" s="549"/>
      <c r="R40" s="549"/>
      <c r="S40" s="549"/>
      <c r="T40" s="549"/>
      <c r="U40" s="549"/>
      <c r="V40" s="549"/>
      <c r="W40" s="549"/>
      <c r="X40" s="549"/>
      <c r="Y40" s="549"/>
      <c r="Z40" s="549"/>
      <c r="AA40" s="549"/>
      <c r="AB40" s="549"/>
      <c r="AC40" s="549"/>
      <c r="AD40" s="549"/>
      <c r="AE40" s="549"/>
      <c r="AF40" s="549"/>
      <c r="AG40" s="549"/>
      <c r="AH40" s="549"/>
      <c r="AI40" s="549"/>
    </row>
    <row r="41" spans="2:35" ht="15" thickBot="1" x14ac:dyDescent="0.4">
      <c r="B41" s="549"/>
      <c r="C41" s="1057" t="s">
        <v>741</v>
      </c>
      <c r="D41" s="1057" t="s">
        <v>742</v>
      </c>
      <c r="E41" s="1057" t="s">
        <v>743</v>
      </c>
      <c r="F41" s="1683" t="s">
        <v>744</v>
      </c>
      <c r="G41" s="549"/>
      <c r="H41" s="549"/>
      <c r="I41" s="549"/>
      <c r="J41" s="549"/>
      <c r="K41" s="549"/>
      <c r="L41" s="549"/>
      <c r="M41" s="549"/>
      <c r="N41" s="549"/>
      <c r="O41" s="549"/>
      <c r="P41" s="549"/>
      <c r="Q41" s="549"/>
      <c r="R41" s="549"/>
      <c r="S41" s="549"/>
      <c r="T41" s="549"/>
      <c r="U41" s="549"/>
      <c r="V41" s="549"/>
      <c r="W41" s="549"/>
      <c r="X41" s="549"/>
      <c r="Y41" s="549"/>
      <c r="Z41" s="549"/>
      <c r="AA41" s="549"/>
      <c r="AB41" s="549"/>
      <c r="AC41" s="549"/>
      <c r="AD41" s="549"/>
      <c r="AE41" s="549"/>
      <c r="AF41" s="549"/>
      <c r="AG41" s="549"/>
      <c r="AH41" s="549"/>
      <c r="AI41" s="549"/>
    </row>
    <row r="42" spans="2:35" ht="15" thickBot="1" x14ac:dyDescent="0.4">
      <c r="B42" s="549"/>
      <c r="C42" s="1051" t="s">
        <v>745</v>
      </c>
      <c r="D42" s="1063">
        <v>479674.55</v>
      </c>
      <c r="E42" s="1062">
        <v>6</v>
      </c>
      <c r="F42" s="1065">
        <f>E42*(D42)</f>
        <v>2878047.3</v>
      </c>
      <c r="G42" s="549"/>
      <c r="H42" s="549"/>
      <c r="I42" s="549"/>
      <c r="J42" s="549"/>
      <c r="K42" s="549"/>
      <c r="L42" s="549"/>
      <c r="M42" s="549"/>
      <c r="N42" s="549"/>
      <c r="O42" s="549"/>
      <c r="P42" s="549"/>
      <c r="Q42" s="549"/>
      <c r="R42" s="549"/>
      <c r="S42" s="549"/>
      <c r="T42" s="549"/>
      <c r="U42" s="549"/>
      <c r="V42" s="549"/>
      <c r="W42" s="549"/>
      <c r="X42" s="549"/>
      <c r="Y42" s="549"/>
      <c r="Z42" s="549"/>
      <c r="AA42" s="549"/>
      <c r="AB42" s="549"/>
      <c r="AC42" s="549"/>
      <c r="AD42" s="549"/>
      <c r="AE42" s="549"/>
      <c r="AF42" s="549"/>
      <c r="AG42" s="549"/>
      <c r="AH42" s="549"/>
      <c r="AI42" s="549"/>
    </row>
    <row r="43" spans="2:35" ht="15" thickBot="1" x14ac:dyDescent="0.4">
      <c r="B43" s="549"/>
      <c r="C43" s="1051" t="s">
        <v>746</v>
      </c>
      <c r="D43" s="1063">
        <v>1568.86</v>
      </c>
      <c r="E43" s="1062">
        <v>51</v>
      </c>
      <c r="F43" s="1065">
        <f>E43*(D43)</f>
        <v>80011.86</v>
      </c>
      <c r="G43" s="1744"/>
      <c r="H43" s="549"/>
      <c r="I43" s="549"/>
      <c r="J43" s="549"/>
      <c r="K43" s="549"/>
      <c r="L43" s="549"/>
      <c r="M43" s="549"/>
      <c r="N43" s="549"/>
      <c r="O43" s="549"/>
      <c r="P43" s="549"/>
      <c r="Q43" s="549"/>
      <c r="R43" s="549"/>
      <c r="S43" s="549"/>
      <c r="T43" s="549"/>
      <c r="U43" s="549"/>
      <c r="V43" s="549"/>
      <c r="W43" s="549"/>
      <c r="X43" s="549"/>
      <c r="Y43" s="549"/>
      <c r="Z43" s="549"/>
      <c r="AA43" s="549"/>
      <c r="AB43" s="549"/>
      <c r="AC43" s="549"/>
      <c r="AD43" s="549"/>
      <c r="AE43" s="549"/>
      <c r="AF43" s="549"/>
      <c r="AG43" s="549"/>
      <c r="AH43" s="549"/>
      <c r="AI43" s="549"/>
    </row>
    <row r="44" spans="2:35" ht="15" thickBot="1" x14ac:dyDescent="0.4">
      <c r="B44" s="549"/>
      <c r="C44" s="882" t="s">
        <v>200</v>
      </c>
      <c r="D44" s="1066"/>
      <c r="E44" s="1066"/>
      <c r="F44" s="844">
        <f>SUM(F42:F43)</f>
        <v>2958059.1599999997</v>
      </c>
      <c r="G44" s="1744"/>
      <c r="H44" s="549"/>
      <c r="I44" s="549"/>
      <c r="J44" s="549"/>
      <c r="K44" s="549"/>
      <c r="L44" s="549"/>
      <c r="M44" s="549"/>
      <c r="N44" s="549"/>
      <c r="O44" s="549"/>
      <c r="P44" s="549"/>
      <c r="Q44" s="549"/>
      <c r="R44" s="549"/>
      <c r="S44" s="549"/>
      <c r="T44" s="549"/>
      <c r="U44" s="549"/>
      <c r="V44" s="549"/>
      <c r="W44" s="549"/>
      <c r="X44" s="549"/>
      <c r="Y44" s="549"/>
      <c r="Z44" s="549"/>
      <c r="AA44" s="549"/>
      <c r="AB44" s="549"/>
      <c r="AC44" s="549"/>
      <c r="AD44" s="549"/>
      <c r="AE44" s="549"/>
      <c r="AF44" s="549"/>
      <c r="AG44" s="549"/>
      <c r="AH44" s="549"/>
      <c r="AI44" s="549"/>
    </row>
    <row r="45" spans="2:35" x14ac:dyDescent="0.35">
      <c r="B45" s="549"/>
      <c r="C45" s="549"/>
      <c r="D45" s="851"/>
      <c r="E45" s="549"/>
      <c r="F45" s="549"/>
      <c r="G45" s="549"/>
      <c r="H45" s="549"/>
      <c r="I45" s="549"/>
      <c r="J45" s="549"/>
      <c r="K45" s="549"/>
      <c r="L45" s="549"/>
      <c r="M45" s="549"/>
      <c r="N45" s="549"/>
      <c r="O45" s="549"/>
      <c r="P45" s="549"/>
      <c r="Q45" s="549"/>
      <c r="R45" s="549"/>
      <c r="S45" s="549"/>
      <c r="T45" s="549"/>
      <c r="U45" s="549"/>
      <c r="V45" s="549"/>
      <c r="W45" s="549"/>
      <c r="X45" s="549"/>
      <c r="Y45" s="549"/>
      <c r="Z45" s="549"/>
      <c r="AA45" s="549"/>
      <c r="AB45" s="549"/>
      <c r="AC45" s="549"/>
      <c r="AD45" s="549"/>
      <c r="AE45" s="549"/>
      <c r="AF45" s="549"/>
      <c r="AG45" s="549"/>
      <c r="AH45" s="549"/>
      <c r="AI45" s="549"/>
    </row>
    <row r="46" spans="2:35" ht="15" thickBot="1" x14ac:dyDescent="0.4">
      <c r="B46" s="549"/>
      <c r="C46" s="548" t="s">
        <v>747</v>
      </c>
      <c r="D46" s="851"/>
      <c r="E46" s="549"/>
      <c r="F46" s="548" t="s">
        <v>748</v>
      </c>
      <c r="G46" s="549"/>
      <c r="H46" s="549"/>
      <c r="I46" s="549"/>
      <c r="J46" s="549"/>
      <c r="K46" s="549"/>
      <c r="L46" s="549"/>
      <c r="M46" s="549"/>
      <c r="N46" s="549"/>
      <c r="O46" s="549"/>
      <c r="P46" s="549"/>
      <c r="Q46" s="549"/>
      <c r="R46" s="549"/>
      <c r="S46" s="549"/>
      <c r="T46" s="549"/>
      <c r="U46" s="549"/>
      <c r="V46" s="549"/>
      <c r="W46" s="549"/>
      <c r="X46" s="549"/>
      <c r="Y46" s="549"/>
      <c r="Z46" s="549"/>
      <c r="AA46" s="549"/>
      <c r="AB46" s="549"/>
      <c r="AC46" s="549"/>
      <c r="AD46" s="549"/>
      <c r="AE46" s="549"/>
      <c r="AF46" s="549"/>
      <c r="AG46" s="549"/>
      <c r="AH46" s="549"/>
      <c r="AI46" s="549"/>
    </row>
    <row r="47" spans="2:35" ht="15" thickBot="1" x14ac:dyDescent="0.4">
      <c r="B47" s="549"/>
      <c r="C47" s="840" t="s">
        <v>96</v>
      </c>
      <c r="D47" s="840" t="s">
        <v>715</v>
      </c>
      <c r="E47" s="549"/>
      <c r="F47" s="840" t="s">
        <v>96</v>
      </c>
      <c r="G47" s="840" t="s">
        <v>715</v>
      </c>
      <c r="H47" s="549"/>
      <c r="I47" s="549"/>
      <c r="J47" s="549"/>
      <c r="K47" s="549"/>
      <c r="L47" s="549"/>
      <c r="M47" s="549"/>
      <c r="N47" s="549"/>
      <c r="O47" s="549"/>
      <c r="P47" s="549"/>
      <c r="Q47" s="549"/>
      <c r="R47" s="549"/>
      <c r="S47" s="549"/>
      <c r="T47" s="549"/>
      <c r="U47" s="549"/>
      <c r="V47" s="549"/>
      <c r="W47" s="549"/>
      <c r="X47" s="549"/>
      <c r="Y47" s="549"/>
      <c r="Z47" s="549"/>
      <c r="AA47" s="549"/>
      <c r="AB47" s="549"/>
      <c r="AC47" s="549"/>
      <c r="AD47" s="549"/>
      <c r="AE47" s="549"/>
      <c r="AF47" s="549"/>
      <c r="AG47" s="549"/>
      <c r="AH47" s="549"/>
      <c r="AI47" s="549"/>
    </row>
    <row r="48" spans="2:35" ht="15" thickBot="1" x14ac:dyDescent="0.4">
      <c r="B48" s="549"/>
      <c r="C48" s="1181">
        <v>1</v>
      </c>
      <c r="D48" s="1180">
        <f>F42</f>
        <v>2878047.3</v>
      </c>
      <c r="E48" s="549"/>
      <c r="F48" s="1181">
        <v>1</v>
      </c>
      <c r="G48" s="1180">
        <f>F43</f>
        <v>80011.86</v>
      </c>
      <c r="H48" s="549"/>
      <c r="I48" s="549"/>
      <c r="J48" s="549"/>
      <c r="K48" s="549"/>
      <c r="L48" s="549"/>
      <c r="M48" s="549"/>
      <c r="N48" s="549"/>
      <c r="O48" s="549"/>
      <c r="P48" s="549"/>
      <c r="Q48" s="549"/>
      <c r="R48" s="549"/>
      <c r="S48" s="549"/>
      <c r="T48" s="549"/>
      <c r="U48" s="549"/>
      <c r="V48" s="549"/>
      <c r="W48" s="549"/>
      <c r="X48" s="549"/>
      <c r="Y48" s="549"/>
      <c r="Z48" s="549"/>
      <c r="AA48" s="549"/>
      <c r="AB48" s="549"/>
      <c r="AC48" s="549"/>
      <c r="AD48" s="549"/>
      <c r="AE48" s="549"/>
      <c r="AF48" s="549"/>
      <c r="AG48" s="549"/>
      <c r="AH48" s="549"/>
      <c r="AI48" s="549"/>
    </row>
    <row r="49" spans="2:35" ht="15" thickBot="1" x14ac:dyDescent="0.4">
      <c r="B49" s="549"/>
      <c r="C49" s="1182">
        <v>9</v>
      </c>
      <c r="D49" s="1180">
        <f>D48</f>
        <v>2878047.3</v>
      </c>
      <c r="E49" s="549"/>
      <c r="F49" s="1182">
        <v>8</v>
      </c>
      <c r="G49" s="1180">
        <f>G48</f>
        <v>80011.86</v>
      </c>
      <c r="H49" s="549"/>
      <c r="I49" s="549"/>
      <c r="J49" s="549"/>
      <c r="K49" s="549"/>
      <c r="L49" s="549"/>
      <c r="M49" s="549"/>
      <c r="N49" s="549"/>
      <c r="O49" s="549"/>
      <c r="P49" s="549"/>
      <c r="Q49" s="549"/>
      <c r="R49" s="549"/>
      <c r="S49" s="549"/>
      <c r="T49" s="549"/>
      <c r="U49" s="549"/>
      <c r="V49" s="549"/>
      <c r="W49" s="549"/>
      <c r="X49" s="549"/>
      <c r="Y49" s="549"/>
      <c r="Z49" s="549"/>
      <c r="AA49" s="549"/>
      <c r="AB49" s="549"/>
      <c r="AC49" s="549"/>
      <c r="AD49" s="549"/>
      <c r="AE49" s="549"/>
      <c r="AF49" s="549"/>
      <c r="AG49" s="549"/>
      <c r="AH49" s="549"/>
      <c r="AI49" s="549"/>
    </row>
    <row r="50" spans="2:35" ht="15" thickBot="1" x14ac:dyDescent="0.4">
      <c r="B50" s="549"/>
      <c r="C50" s="1182">
        <v>17</v>
      </c>
      <c r="D50" s="1180">
        <f t="shared" ref="D50:D51" si="2">D49</f>
        <v>2878047.3</v>
      </c>
      <c r="E50" s="549"/>
      <c r="F50" s="1182">
        <v>16</v>
      </c>
      <c r="G50" s="1180">
        <f>G49</f>
        <v>80011.86</v>
      </c>
      <c r="H50" s="1534"/>
      <c r="I50" s="549"/>
      <c r="J50" s="549"/>
      <c r="K50" s="549"/>
      <c r="L50" s="549"/>
      <c r="M50" s="549"/>
      <c r="N50" s="549"/>
      <c r="O50" s="549"/>
      <c r="P50" s="549"/>
      <c r="Q50" s="549"/>
      <c r="R50" s="549"/>
      <c r="S50" s="549"/>
      <c r="T50" s="549"/>
      <c r="U50" s="549"/>
      <c r="V50" s="549"/>
      <c r="W50" s="549"/>
      <c r="X50" s="549"/>
      <c r="Y50" s="549"/>
      <c r="Z50" s="549"/>
      <c r="AA50" s="549"/>
      <c r="AB50" s="549"/>
      <c r="AC50" s="549"/>
      <c r="AD50" s="549"/>
      <c r="AE50" s="549"/>
      <c r="AF50" s="549"/>
      <c r="AG50" s="549"/>
      <c r="AH50" s="549"/>
      <c r="AI50" s="549"/>
    </row>
    <row r="51" spans="2:35" ht="15" thickBot="1" x14ac:dyDescent="0.4">
      <c r="B51" s="549"/>
      <c r="C51" s="1182">
        <v>25</v>
      </c>
      <c r="D51" s="1180">
        <f t="shared" si="2"/>
        <v>2878047.3</v>
      </c>
      <c r="E51" s="549"/>
      <c r="F51" s="1182">
        <v>24</v>
      </c>
      <c r="G51" s="1180">
        <f>G50</f>
        <v>80011.86</v>
      </c>
      <c r="H51" s="549"/>
      <c r="I51" s="549"/>
      <c r="J51" s="549"/>
      <c r="K51" s="549"/>
      <c r="L51" s="549"/>
      <c r="M51" s="549"/>
      <c r="N51" s="549"/>
      <c r="O51" s="549"/>
      <c r="P51" s="549"/>
      <c r="Q51" s="549"/>
      <c r="R51" s="549"/>
      <c r="S51" s="549"/>
      <c r="T51" s="549"/>
      <c r="U51" s="549"/>
      <c r="V51" s="549"/>
      <c r="W51" s="549"/>
      <c r="X51" s="549"/>
      <c r="Y51" s="549"/>
      <c r="Z51" s="549"/>
      <c r="AA51" s="549"/>
      <c r="AB51" s="549"/>
      <c r="AC51" s="549"/>
      <c r="AD51" s="549"/>
      <c r="AE51" s="549"/>
      <c r="AF51" s="549"/>
      <c r="AG51" s="549"/>
      <c r="AH51" s="549"/>
      <c r="AI51" s="549"/>
    </row>
    <row r="52" spans="2:35" x14ac:dyDescent="0.35">
      <c r="B52" s="549"/>
      <c r="C52" s="912"/>
      <c r="D52" s="549"/>
      <c r="E52" s="549"/>
      <c r="F52" s="549"/>
      <c r="G52" s="549"/>
      <c r="H52" s="549"/>
      <c r="I52" s="549"/>
      <c r="J52" s="549"/>
      <c r="K52" s="549"/>
      <c r="L52" s="549"/>
      <c r="M52" s="549"/>
      <c r="N52" s="549"/>
      <c r="O52" s="549"/>
      <c r="P52" s="549"/>
      <c r="Q52" s="549"/>
      <c r="R52" s="549"/>
      <c r="S52" s="549"/>
      <c r="T52" s="549"/>
      <c r="U52" s="549"/>
      <c r="V52" s="549"/>
      <c r="W52" s="549"/>
      <c r="X52" s="549"/>
      <c r="Y52" s="549"/>
      <c r="Z52" s="549"/>
      <c r="AA52" s="549"/>
      <c r="AB52" s="549"/>
      <c r="AC52" s="549"/>
      <c r="AD52" s="549"/>
      <c r="AE52" s="549"/>
      <c r="AF52" s="549"/>
      <c r="AG52" s="549"/>
      <c r="AH52" s="549"/>
      <c r="AI52" s="549"/>
    </row>
    <row r="53" spans="2:35" ht="15" thickBot="1" x14ac:dyDescent="0.4">
      <c r="B53" s="1215"/>
      <c r="C53" s="1687"/>
      <c r="D53" s="1215"/>
      <c r="E53" s="1215"/>
      <c r="F53" s="1215"/>
      <c r="G53" s="1215"/>
      <c r="H53" s="1215"/>
      <c r="I53" s="1215"/>
      <c r="J53" s="1215"/>
      <c r="K53" s="1215"/>
      <c r="L53" s="1215"/>
      <c r="M53" s="1215"/>
      <c r="N53" s="1215"/>
      <c r="O53" s="1215"/>
      <c r="P53" s="1215"/>
      <c r="Q53" s="1215"/>
      <c r="R53" s="1215"/>
      <c r="S53" s="1215"/>
      <c r="T53" s="1215"/>
      <c r="U53" s="1215"/>
      <c r="V53" s="1215"/>
      <c r="W53" s="1215"/>
      <c r="X53" s="1215"/>
      <c r="Y53" s="1215"/>
      <c r="Z53" s="1215"/>
      <c r="AA53" s="1215"/>
      <c r="AB53" s="1215"/>
      <c r="AC53" s="1215"/>
      <c r="AD53" s="1215"/>
      <c r="AE53" s="1215"/>
      <c r="AF53" s="1215"/>
      <c r="AG53" s="1215"/>
      <c r="AH53" s="1215"/>
      <c r="AI53" s="1215"/>
    </row>
    <row r="54" spans="2:35" ht="15" thickTop="1" x14ac:dyDescent="0.35">
      <c r="B54" s="1608"/>
      <c r="C54" s="1609"/>
      <c r="D54" s="1608"/>
      <c r="E54" s="1609"/>
      <c r="F54" s="1609"/>
      <c r="G54" s="1609"/>
      <c r="H54" s="1609"/>
      <c r="I54" s="1608"/>
      <c r="J54" s="1608"/>
      <c r="K54" s="1608"/>
      <c r="L54" s="1608"/>
      <c r="M54" s="1608"/>
      <c r="N54" s="1608"/>
      <c r="O54" s="1608"/>
      <c r="P54" s="1608"/>
      <c r="Q54" s="1608"/>
      <c r="R54" s="1608"/>
      <c r="S54" s="1608"/>
      <c r="T54" s="1608"/>
      <c r="U54" s="1608"/>
      <c r="V54" s="1608"/>
      <c r="W54" s="1608"/>
      <c r="X54" s="1608"/>
      <c r="Y54" s="1608"/>
      <c r="Z54" s="1608"/>
      <c r="AA54" s="1608"/>
      <c r="AB54" s="1608"/>
      <c r="AC54" s="1608"/>
      <c r="AD54" s="1608"/>
      <c r="AE54" s="1608"/>
      <c r="AF54" s="1608"/>
      <c r="AG54" s="1608"/>
      <c r="AH54" s="1608"/>
      <c r="AI54" s="1608"/>
    </row>
    <row r="55" spans="2:35" ht="18.5" x14ac:dyDescent="0.45">
      <c r="B55" s="106"/>
      <c r="C55" s="785" t="s">
        <v>749</v>
      </c>
      <c r="D55" s="106"/>
      <c r="E55" s="107"/>
      <c r="F55" s="107"/>
      <c r="G55" s="107"/>
      <c r="H55" s="107"/>
      <c r="I55" s="106"/>
      <c r="J55" s="106"/>
      <c r="K55" s="106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6"/>
      <c r="W55" s="106"/>
      <c r="X55" s="106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</row>
    <row r="56" spans="2:35" ht="15" thickBot="1" x14ac:dyDescent="0.4">
      <c r="B56" s="106"/>
      <c r="C56" s="107"/>
      <c r="D56" s="106"/>
      <c r="E56" s="107"/>
      <c r="F56" s="107"/>
      <c r="G56" s="107"/>
      <c r="H56" s="107"/>
      <c r="I56" s="106"/>
      <c r="J56" s="106"/>
      <c r="K56" s="106"/>
      <c r="L56" s="106"/>
      <c r="M56" s="106"/>
      <c r="N56" s="106"/>
      <c r="O56" s="106"/>
      <c r="P56" s="106"/>
      <c r="Q56" s="106"/>
      <c r="R56" s="106"/>
      <c r="S56" s="106"/>
      <c r="T56" s="106"/>
      <c r="U56" s="106"/>
      <c r="V56" s="106"/>
      <c r="W56" s="106"/>
      <c r="X56" s="106"/>
      <c r="Y56" s="106"/>
      <c r="Z56" s="106"/>
      <c r="AA56" s="106"/>
      <c r="AB56" s="106"/>
      <c r="AC56" s="106"/>
      <c r="AD56" s="106"/>
      <c r="AE56" s="106"/>
      <c r="AF56" s="106"/>
      <c r="AG56" s="106"/>
      <c r="AH56" s="106"/>
      <c r="AI56" s="106"/>
    </row>
    <row r="57" spans="2:35" ht="29.5" thickBot="1" x14ac:dyDescent="0.4">
      <c r="B57" s="106"/>
      <c r="C57" s="1757" t="s">
        <v>750</v>
      </c>
      <c r="D57" s="1758"/>
      <c r="E57" s="840" t="s">
        <v>751</v>
      </c>
      <c r="F57" s="840" t="s">
        <v>752</v>
      </c>
      <c r="G57" s="1399" t="s">
        <v>455</v>
      </c>
      <c r="H57" s="107"/>
      <c r="I57" s="106"/>
      <c r="J57" s="106"/>
      <c r="K57" s="106"/>
      <c r="L57" s="106"/>
      <c r="M57" s="106"/>
      <c r="N57" s="106"/>
      <c r="O57" s="106"/>
      <c r="P57" s="106"/>
      <c r="Q57" s="106"/>
      <c r="R57" s="106"/>
      <c r="S57" s="106"/>
      <c r="T57" s="106"/>
      <c r="U57" s="106"/>
      <c r="V57" s="106"/>
      <c r="W57" s="106"/>
      <c r="X57" s="106"/>
      <c r="Y57" s="106"/>
      <c r="Z57" s="106"/>
      <c r="AA57" s="106"/>
      <c r="AB57" s="106"/>
      <c r="AC57" s="106"/>
      <c r="AD57" s="106"/>
      <c r="AE57" s="106"/>
      <c r="AF57" s="106"/>
      <c r="AG57" s="106"/>
      <c r="AH57" s="106"/>
      <c r="AI57" s="106"/>
    </row>
    <row r="58" spans="2:35" ht="15" thickBot="1" x14ac:dyDescent="0.4">
      <c r="B58" s="106"/>
      <c r="C58" s="1762" t="s">
        <v>753</v>
      </c>
      <c r="D58" s="1763"/>
      <c r="E58" s="993">
        <v>6</v>
      </c>
      <c r="F58" s="993">
        <v>407681</v>
      </c>
      <c r="G58" s="1401">
        <f>E58*F58</f>
        <v>2446086</v>
      </c>
      <c r="H58" s="107"/>
      <c r="I58" s="106"/>
      <c r="J58" s="106"/>
      <c r="K58" s="106"/>
      <c r="L58" s="106"/>
      <c r="M58" s="106"/>
      <c r="N58" s="106"/>
      <c r="O58" s="106"/>
      <c r="P58" s="106"/>
      <c r="Q58" s="106"/>
      <c r="R58" s="106"/>
      <c r="S58" s="106"/>
      <c r="T58" s="106"/>
      <c r="U58" s="106"/>
      <c r="V58" s="106"/>
      <c r="W58" s="106"/>
      <c r="X58" s="106"/>
      <c r="Y58" s="106"/>
      <c r="Z58" s="106"/>
      <c r="AA58" s="106"/>
      <c r="AB58" s="106"/>
      <c r="AC58" s="106"/>
      <c r="AD58" s="106"/>
      <c r="AE58" s="106"/>
      <c r="AF58" s="106"/>
      <c r="AG58" s="106"/>
      <c r="AH58" s="106"/>
      <c r="AI58" s="106"/>
    </row>
    <row r="59" spans="2:35" ht="15" thickBot="1" x14ac:dyDescent="0.4">
      <c r="B59" s="106"/>
      <c r="C59" s="1762" t="s">
        <v>754</v>
      </c>
      <c r="D59" s="1763"/>
      <c r="E59" s="993">
        <v>6</v>
      </c>
      <c r="F59" s="993">
        <v>132142.85999999999</v>
      </c>
      <c r="G59" s="1401">
        <f>E59*F59</f>
        <v>792857.15999999992</v>
      </c>
      <c r="H59" s="107"/>
      <c r="I59" s="106"/>
      <c r="J59" s="106"/>
      <c r="K59" s="106"/>
      <c r="L59" s="584"/>
      <c r="M59" s="106"/>
      <c r="N59" s="106"/>
      <c r="O59" s="106"/>
      <c r="P59" s="106"/>
      <c r="Q59" s="106"/>
      <c r="R59" s="106"/>
      <c r="S59" s="106"/>
      <c r="T59" s="106"/>
      <c r="U59" s="106"/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106"/>
      <c r="AG59" s="106"/>
      <c r="AH59" s="106"/>
      <c r="AI59" s="106"/>
    </row>
    <row r="60" spans="2:35" ht="15" thickBot="1" x14ac:dyDescent="0.4">
      <c r="B60" s="106"/>
      <c r="C60" s="1757" t="s">
        <v>200</v>
      </c>
      <c r="D60" s="1758"/>
      <c r="E60" s="1758"/>
      <c r="F60" s="845"/>
      <c r="G60" s="1401">
        <f>SUM(G58:G59)</f>
        <v>3238943.16</v>
      </c>
      <c r="H60" s="107"/>
      <c r="I60" s="106"/>
      <c r="J60" s="106"/>
      <c r="K60" s="106"/>
      <c r="L60" s="106"/>
      <c r="M60" s="106"/>
      <c r="N60" s="106"/>
      <c r="O60" s="106"/>
      <c r="P60" s="106"/>
      <c r="Q60" s="106"/>
      <c r="R60" s="106"/>
      <c r="S60" s="106"/>
      <c r="T60" s="106"/>
      <c r="U60" s="106"/>
      <c r="V60" s="106"/>
      <c r="W60" s="106"/>
      <c r="X60" s="106"/>
      <c r="Y60" s="106"/>
      <c r="Z60" s="106"/>
      <c r="AA60" s="106"/>
      <c r="AB60" s="106"/>
      <c r="AC60" s="106"/>
      <c r="AD60" s="106"/>
      <c r="AE60" s="106"/>
      <c r="AF60" s="106"/>
      <c r="AG60" s="106"/>
      <c r="AH60" s="106"/>
      <c r="AI60" s="106"/>
    </row>
    <row r="61" spans="2:35" x14ac:dyDescent="0.35">
      <c r="B61" s="106"/>
      <c r="C61" s="107"/>
      <c r="D61" s="107"/>
      <c r="E61" s="107"/>
      <c r="F61" s="107"/>
      <c r="G61" s="107"/>
      <c r="H61" s="107"/>
      <c r="I61" s="106"/>
      <c r="J61" s="106"/>
      <c r="K61" s="106"/>
      <c r="L61" s="106"/>
      <c r="M61" s="106"/>
      <c r="N61" s="106"/>
      <c r="O61" s="106"/>
      <c r="P61" s="106"/>
      <c r="Q61" s="106"/>
      <c r="R61" s="106"/>
      <c r="S61" s="106"/>
      <c r="T61" s="106"/>
      <c r="U61" s="106"/>
      <c r="V61" s="106"/>
      <c r="W61" s="106"/>
      <c r="X61" s="106"/>
      <c r="Y61" s="106"/>
      <c r="Z61" s="106"/>
      <c r="AA61" s="106"/>
      <c r="AB61" s="106"/>
      <c r="AC61" s="106"/>
      <c r="AD61" s="106"/>
      <c r="AE61" s="106"/>
      <c r="AF61" s="106"/>
      <c r="AG61" s="106"/>
      <c r="AH61" s="106"/>
      <c r="AI61" s="106"/>
    </row>
    <row r="62" spans="2:35" ht="15" thickBot="1" x14ac:dyDescent="0.4">
      <c r="B62" s="106"/>
      <c r="C62" s="107" t="s">
        <v>755</v>
      </c>
      <c r="D62" s="107"/>
      <c r="E62" s="107"/>
      <c r="F62" s="107"/>
      <c r="G62" s="107"/>
      <c r="H62" s="107"/>
      <c r="I62" s="106"/>
      <c r="J62" s="106"/>
      <c r="K62" s="106"/>
      <c r="L62" s="106"/>
      <c r="M62" s="106"/>
      <c r="N62" s="106"/>
      <c r="O62" s="106"/>
      <c r="P62" s="106"/>
      <c r="Q62" s="106"/>
      <c r="R62" s="106"/>
      <c r="S62" s="106"/>
      <c r="T62" s="106"/>
      <c r="U62" s="106"/>
      <c r="V62" s="106"/>
      <c r="W62" s="106"/>
      <c r="X62" s="106"/>
      <c r="Y62" s="106"/>
      <c r="Z62" s="106"/>
      <c r="AA62" s="106"/>
      <c r="AB62" s="106"/>
      <c r="AC62" s="106"/>
      <c r="AD62" s="106"/>
      <c r="AE62" s="106"/>
      <c r="AF62" s="106"/>
      <c r="AG62" s="106"/>
      <c r="AH62" s="106"/>
      <c r="AI62" s="106"/>
    </row>
    <row r="63" spans="2:35" ht="29.5" thickBot="1" x14ac:dyDescent="0.4">
      <c r="B63" s="106"/>
      <c r="C63" s="843" t="s">
        <v>96</v>
      </c>
      <c r="D63" s="850"/>
      <c r="E63" s="840" t="s">
        <v>756</v>
      </c>
      <c r="F63" s="840" t="s">
        <v>757</v>
      </c>
      <c r="G63" s="1399" t="s">
        <v>455</v>
      </c>
      <c r="H63" s="107"/>
      <c r="I63" s="106"/>
      <c r="J63" s="106"/>
      <c r="K63" s="106"/>
      <c r="L63" s="106"/>
      <c r="M63" s="106"/>
      <c r="N63" s="106"/>
      <c r="O63" s="106"/>
      <c r="P63" s="106"/>
      <c r="Q63" s="106"/>
      <c r="R63" s="106"/>
      <c r="S63" s="106"/>
      <c r="T63" s="106"/>
      <c r="U63" s="106"/>
      <c r="V63" s="106"/>
      <c r="W63" s="106"/>
      <c r="X63" s="106"/>
      <c r="Y63" s="106"/>
      <c r="Z63" s="106"/>
      <c r="AA63" s="106"/>
      <c r="AB63" s="106"/>
      <c r="AC63" s="106"/>
      <c r="AD63" s="106"/>
      <c r="AE63" s="106"/>
      <c r="AF63" s="106"/>
      <c r="AG63" s="106"/>
      <c r="AH63" s="106"/>
      <c r="AI63" s="106"/>
    </row>
    <row r="64" spans="2:35" ht="15" thickBot="1" x14ac:dyDescent="0.4">
      <c r="B64" s="106"/>
      <c r="C64" s="1751">
        <v>7</v>
      </c>
      <c r="D64" s="1764"/>
      <c r="E64" s="1180">
        <f>G58</f>
        <v>2446086</v>
      </c>
      <c r="F64" s="1180">
        <f>G59</f>
        <v>792857.15999999992</v>
      </c>
      <c r="G64" s="1401">
        <f>SUM(E64:F64)</f>
        <v>3238943.16</v>
      </c>
      <c r="H64" s="107"/>
      <c r="I64" s="106"/>
      <c r="J64" s="106"/>
      <c r="K64" s="106"/>
      <c r="L64" s="106"/>
      <c r="M64" s="106"/>
      <c r="N64" s="106"/>
      <c r="O64" s="106"/>
      <c r="P64" s="106"/>
      <c r="Q64" s="106"/>
      <c r="R64" s="106"/>
      <c r="S64" s="106"/>
      <c r="T64" s="106"/>
      <c r="U64" s="106"/>
      <c r="V64" s="106"/>
      <c r="W64" s="106"/>
      <c r="X64" s="106"/>
      <c r="Y64" s="106"/>
      <c r="Z64" s="106"/>
      <c r="AA64" s="106"/>
      <c r="AB64" s="106"/>
      <c r="AC64" s="106"/>
      <c r="AD64" s="106"/>
      <c r="AE64" s="106"/>
      <c r="AF64" s="106"/>
      <c r="AG64" s="106"/>
      <c r="AH64" s="106"/>
      <c r="AI64" s="106"/>
    </row>
    <row r="65" spans="2:36" ht="15" thickBot="1" x14ac:dyDescent="0.4">
      <c r="B65" s="106"/>
      <c r="C65" s="1752">
        <v>15</v>
      </c>
      <c r="D65" s="1764"/>
      <c r="E65" s="1180">
        <f t="shared" ref="E65:F65" si="3">E64</f>
        <v>2446086</v>
      </c>
      <c r="F65" s="1180">
        <f t="shared" si="3"/>
        <v>792857.15999999992</v>
      </c>
      <c r="G65" s="1401">
        <f t="shared" ref="G65:G66" si="4">SUM(E65:F65)</f>
        <v>3238943.16</v>
      </c>
      <c r="H65" s="107"/>
      <c r="I65" s="106"/>
      <c r="J65" s="106"/>
      <c r="K65" s="106"/>
      <c r="L65" s="106"/>
      <c r="M65" s="106"/>
      <c r="N65" s="106"/>
      <c r="O65" s="106"/>
      <c r="P65" s="106"/>
      <c r="Q65" s="106"/>
      <c r="R65" s="106"/>
      <c r="S65" s="106"/>
      <c r="T65" s="106"/>
      <c r="U65" s="106"/>
      <c r="V65" s="106"/>
      <c r="W65" s="106"/>
      <c r="X65" s="106"/>
      <c r="Y65" s="106"/>
      <c r="Z65" s="106"/>
      <c r="AA65" s="106"/>
      <c r="AB65" s="106"/>
      <c r="AC65" s="106"/>
      <c r="AD65" s="106"/>
      <c r="AE65" s="106"/>
      <c r="AF65" s="106"/>
      <c r="AG65" s="106"/>
      <c r="AH65" s="106"/>
      <c r="AI65" s="106"/>
    </row>
    <row r="66" spans="2:36" ht="15" thickBot="1" x14ac:dyDescent="0.4">
      <c r="B66" s="106"/>
      <c r="C66" s="1752">
        <v>23</v>
      </c>
      <c r="D66" s="1764"/>
      <c r="E66" s="1180">
        <f t="shared" ref="E66:F66" si="5">E65</f>
        <v>2446086</v>
      </c>
      <c r="F66" s="1180">
        <f t="shared" si="5"/>
        <v>792857.15999999992</v>
      </c>
      <c r="G66" s="1401">
        <f t="shared" si="4"/>
        <v>3238943.16</v>
      </c>
      <c r="H66" s="107"/>
      <c r="I66" s="106"/>
      <c r="J66" s="106"/>
      <c r="K66" s="106"/>
      <c r="L66" s="106"/>
      <c r="M66" s="106"/>
      <c r="N66" s="106"/>
      <c r="O66" s="106"/>
      <c r="P66" s="106"/>
      <c r="Q66" s="106"/>
      <c r="R66" s="106"/>
      <c r="S66" s="106"/>
      <c r="T66" s="106"/>
      <c r="U66" s="106"/>
      <c r="V66" s="106"/>
      <c r="W66" s="106"/>
      <c r="X66" s="106"/>
      <c r="Y66" s="106"/>
      <c r="Z66" s="106"/>
      <c r="AA66" s="106"/>
      <c r="AB66" s="106"/>
      <c r="AC66" s="106"/>
      <c r="AD66" s="106"/>
      <c r="AE66" s="106"/>
      <c r="AF66" s="106"/>
      <c r="AG66" s="106"/>
      <c r="AH66" s="106"/>
      <c r="AI66" s="106"/>
    </row>
    <row r="67" spans="2:36" ht="15" thickBot="1" x14ac:dyDescent="0.4">
      <c r="B67" s="106"/>
      <c r="C67" s="1757" t="s">
        <v>200</v>
      </c>
      <c r="D67" s="1758"/>
      <c r="E67" s="1765">
        <f>SUM(E64:E66)</f>
        <v>7338258</v>
      </c>
      <c r="F67" s="1765">
        <f>SUM(F64:F66)</f>
        <v>2378571.4799999995</v>
      </c>
      <c r="G67" s="1765">
        <f>SUM(G64:G66)</f>
        <v>9716829.4800000004</v>
      </c>
      <c r="H67" s="107"/>
      <c r="I67" s="106"/>
      <c r="J67" s="106"/>
      <c r="K67" s="106"/>
      <c r="L67" s="106"/>
      <c r="M67" s="106"/>
      <c r="N67" s="106"/>
      <c r="O67" s="106"/>
      <c r="P67" s="106"/>
      <c r="Q67" s="106"/>
      <c r="R67" s="106"/>
      <c r="S67" s="106"/>
      <c r="T67" s="106"/>
      <c r="U67" s="106"/>
      <c r="V67" s="106"/>
      <c r="W67" s="106"/>
      <c r="X67" s="106"/>
      <c r="Y67" s="106"/>
      <c r="Z67" s="106"/>
      <c r="AA67" s="106"/>
      <c r="AB67" s="106"/>
      <c r="AC67" s="106"/>
      <c r="AD67" s="106"/>
      <c r="AE67" s="106"/>
      <c r="AF67" s="106"/>
      <c r="AG67" s="106"/>
      <c r="AH67" s="106"/>
      <c r="AI67" s="106"/>
    </row>
    <row r="68" spans="2:36" x14ac:dyDescent="0.35">
      <c r="B68" s="106"/>
      <c r="C68" s="107"/>
      <c r="D68" s="106"/>
      <c r="E68" s="584"/>
      <c r="F68" s="584"/>
      <c r="G68" s="584"/>
      <c r="H68" s="107"/>
      <c r="I68" s="106"/>
      <c r="J68" s="106"/>
      <c r="K68" s="106"/>
      <c r="L68" s="106"/>
      <c r="M68" s="106"/>
      <c r="N68" s="106"/>
      <c r="O68" s="106"/>
      <c r="P68" s="106"/>
      <c r="Q68" s="106"/>
      <c r="R68" s="106"/>
      <c r="S68" s="106"/>
      <c r="T68" s="106"/>
      <c r="U68" s="106"/>
      <c r="V68" s="106"/>
      <c r="W68" s="106"/>
      <c r="X68" s="106"/>
      <c r="Y68" s="106"/>
      <c r="Z68" s="106"/>
      <c r="AA68" s="106"/>
      <c r="AB68" s="106"/>
      <c r="AC68" s="106"/>
      <c r="AD68" s="106"/>
      <c r="AE68" s="106"/>
      <c r="AF68" s="106"/>
      <c r="AG68" s="106"/>
      <c r="AH68" s="106"/>
      <c r="AI68" s="106"/>
    </row>
    <row r="69" spans="2:36" ht="15" thickBot="1" x14ac:dyDescent="0.4">
      <c r="C69" s="77"/>
    </row>
    <row r="70" spans="2:36" x14ac:dyDescent="0.35">
      <c r="B70" s="5"/>
      <c r="C70" s="6"/>
      <c r="D70" s="6"/>
      <c r="E70" s="1747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8"/>
    </row>
    <row r="71" spans="2:36" x14ac:dyDescent="0.35">
      <c r="B71" s="9"/>
      <c r="C71" s="77" t="s">
        <v>758</v>
      </c>
      <c r="AJ71" s="16"/>
    </row>
    <row r="72" spans="2:36" x14ac:dyDescent="0.35">
      <c r="B72" s="9"/>
      <c r="C72" s="87"/>
      <c r="D72" s="793" t="s">
        <v>455</v>
      </c>
      <c r="E72" s="995">
        <v>1</v>
      </c>
      <c r="F72" s="89">
        <f>E72+1</f>
        <v>2</v>
      </c>
      <c r="G72" s="89">
        <f t="shared" ref="G72:AH72" si="6">F72+1</f>
        <v>3</v>
      </c>
      <c r="H72" s="89">
        <f t="shared" si="6"/>
        <v>4</v>
      </c>
      <c r="I72" s="89">
        <f t="shared" si="6"/>
        <v>5</v>
      </c>
      <c r="J72" s="89">
        <f t="shared" si="6"/>
        <v>6</v>
      </c>
      <c r="K72" s="89">
        <f t="shared" si="6"/>
        <v>7</v>
      </c>
      <c r="L72" s="89">
        <f t="shared" si="6"/>
        <v>8</v>
      </c>
      <c r="M72" s="89">
        <f t="shared" si="6"/>
        <v>9</v>
      </c>
      <c r="N72" s="89">
        <f t="shared" si="6"/>
        <v>10</v>
      </c>
      <c r="O72" s="89">
        <f t="shared" si="6"/>
        <v>11</v>
      </c>
      <c r="P72" s="89">
        <f t="shared" si="6"/>
        <v>12</v>
      </c>
      <c r="Q72" s="89">
        <f t="shared" si="6"/>
        <v>13</v>
      </c>
      <c r="R72" s="89">
        <f t="shared" si="6"/>
        <v>14</v>
      </c>
      <c r="S72" s="89">
        <f t="shared" si="6"/>
        <v>15</v>
      </c>
      <c r="T72" s="89">
        <f t="shared" si="6"/>
        <v>16</v>
      </c>
      <c r="U72" s="89">
        <f t="shared" si="6"/>
        <v>17</v>
      </c>
      <c r="V72" s="89">
        <f t="shared" si="6"/>
        <v>18</v>
      </c>
      <c r="W72" s="89">
        <f t="shared" si="6"/>
        <v>19</v>
      </c>
      <c r="X72" s="89">
        <f t="shared" si="6"/>
        <v>20</v>
      </c>
      <c r="Y72" s="89">
        <f t="shared" si="6"/>
        <v>21</v>
      </c>
      <c r="Z72" s="89">
        <f t="shared" si="6"/>
        <v>22</v>
      </c>
      <c r="AA72" s="89">
        <f t="shared" si="6"/>
        <v>23</v>
      </c>
      <c r="AB72" s="89">
        <f t="shared" si="6"/>
        <v>24</v>
      </c>
      <c r="AC72" s="89">
        <f t="shared" si="6"/>
        <v>25</v>
      </c>
      <c r="AD72" s="89">
        <f t="shared" si="6"/>
        <v>26</v>
      </c>
      <c r="AE72" s="89">
        <f t="shared" si="6"/>
        <v>27</v>
      </c>
      <c r="AF72" s="89">
        <f t="shared" si="6"/>
        <v>28</v>
      </c>
      <c r="AG72" s="89">
        <f t="shared" si="6"/>
        <v>29</v>
      </c>
      <c r="AH72" s="89">
        <f t="shared" si="6"/>
        <v>30</v>
      </c>
      <c r="AJ72" s="16"/>
    </row>
    <row r="73" spans="2:36" ht="15" customHeight="1" x14ac:dyDescent="0.35">
      <c r="B73" s="9"/>
      <c r="C73" s="992" t="s">
        <v>759</v>
      </c>
      <c r="D73" s="906">
        <f>SUM(E73:AN73)</f>
        <v>45803368.289999992</v>
      </c>
      <c r="E73" s="1760">
        <f>IF(E72&gt;'Premissas Gerais'!$E$7,0,IFERROR(VLOOKUP(E72,$C$26:$G$34,5,FALSE),0))</f>
        <v>11899499.57</v>
      </c>
      <c r="F73" s="1761">
        <f>IF(F72&gt;'Premissas Gerais'!$E$7,0,IFERROR(VLOOKUP(F72,$C$26:$G$34,5,FALSE),0))</f>
        <v>0</v>
      </c>
      <c r="G73" s="1761">
        <f>IF(G72&gt;'Premissas Gerais'!$E$7,0,IFERROR(VLOOKUP(G72,$C$26:$G$34,5,FALSE),0))</f>
        <v>0</v>
      </c>
      <c r="H73" s="1761">
        <f>IF(H72&gt;'Premissas Gerais'!$E$7,0,IFERROR(VLOOKUP(H72,$C$26:$G$34,5,FALSE),0))</f>
        <v>0</v>
      </c>
      <c r="I73" s="1761">
        <f>IF(I72&gt;'Premissas Gerais'!$E$7,0,IFERROR(VLOOKUP(I72,$C$26:$G$34,5,FALSE),0))</f>
        <v>0</v>
      </c>
      <c r="J73" s="1761">
        <f>IF(J72&gt;'Premissas Gerais'!$E$7,0,IFERROR(VLOOKUP(J72,$C$26:$G$34,5,FALSE),0))</f>
        <v>144335.12</v>
      </c>
      <c r="K73" s="1761">
        <f>IF(K72&gt;'Premissas Gerais'!$E$7,0,IFERROR(VLOOKUP(K72,$C$26:$G$34,5,FALSE),0))</f>
        <v>0</v>
      </c>
      <c r="L73" s="1761">
        <f>IF(L72&gt;'Premissas Gerais'!$E$7,0,IFERROR(VLOOKUP(L72,$C$26:$G$34,5,FALSE),0))</f>
        <v>0</v>
      </c>
      <c r="M73" s="1761">
        <f>IF(M72&gt;'Premissas Gerais'!$E$7,0,IFERROR(VLOOKUP(M72,$C$26:$G$34,5,FALSE),0))</f>
        <v>11060731.039999999</v>
      </c>
      <c r="N73" s="1761">
        <f>IF(N72&gt;'Premissas Gerais'!$E$7,0,IFERROR(VLOOKUP(N72,$C$26:$G$34,5,FALSE),0))</f>
        <v>0</v>
      </c>
      <c r="O73" s="1761">
        <f>IF(O72&gt;'Premissas Gerais'!$E$7,0,IFERROR(VLOOKUP(O72,$C$26:$G$34,5,FALSE),0))</f>
        <v>144335.12</v>
      </c>
      <c r="P73" s="1761">
        <f>IF(P72&gt;'Premissas Gerais'!$E$7,0,IFERROR(VLOOKUP(P72,$C$26:$G$34,5,FALSE),0))</f>
        <v>0</v>
      </c>
      <c r="Q73" s="1761">
        <f>IF(Q72&gt;'Premissas Gerais'!$E$7,0,IFERROR(VLOOKUP(Q72,$C$26:$G$34,5,FALSE),0))</f>
        <v>0</v>
      </c>
      <c r="R73" s="1761">
        <f>IF(R72&gt;'Premissas Gerais'!$E$7,0,IFERROR(VLOOKUP(R72,$C$26:$G$34,5,FALSE),0))</f>
        <v>0</v>
      </c>
      <c r="S73" s="1761">
        <f>IF(S72&gt;'Premissas Gerais'!$E$7,0,IFERROR(VLOOKUP(S72,$C$26:$G$34,5,FALSE),0))</f>
        <v>0</v>
      </c>
      <c r="T73" s="1761">
        <f>IF(T72&gt;'Premissas Gerais'!$E$7,0,IFERROR(VLOOKUP(T72,$C$26:$G$34,5,FALSE),0))</f>
        <v>144335.12</v>
      </c>
      <c r="U73" s="1761">
        <f>IF(U72&gt;'Premissas Gerais'!$E$7,0,IFERROR(VLOOKUP(U72,$C$26:$G$34,5,FALSE),0))</f>
        <v>11060731.039999999</v>
      </c>
      <c r="V73" s="1761">
        <f>IF(V72&gt;'Premissas Gerais'!$E$7,0,IFERROR(VLOOKUP(V72,$C$26:$G$34,5,FALSE),0))</f>
        <v>0</v>
      </c>
      <c r="W73" s="1761">
        <f>IF(W72&gt;'Premissas Gerais'!$E$7,0,IFERROR(VLOOKUP(W72,$C$26:$G$34,5,FALSE),0))</f>
        <v>0</v>
      </c>
      <c r="X73" s="1761">
        <f>IF(X72&gt;'Premissas Gerais'!$E$7,0,IFERROR(VLOOKUP(X72,$C$26:$G$34,5,FALSE),0))</f>
        <v>0</v>
      </c>
      <c r="Y73" s="1761">
        <f>IF(Y72&gt;'Premissas Gerais'!$E$7,0,IFERROR(VLOOKUP(Y72,$C$26:$G$34,5,FALSE),0))</f>
        <v>144335.12</v>
      </c>
      <c r="Z73" s="1761">
        <f>IF(Z72&gt;'Premissas Gerais'!$E$7,0,IFERROR(VLOOKUP(Z72,$C$26:$G$34,5,FALSE),0))</f>
        <v>0</v>
      </c>
      <c r="AA73" s="1761">
        <f>IF(AA72&gt;'Premissas Gerais'!$E$7,0,IFERROR(VLOOKUP(AA72,$C$26:$G$34,5,FALSE),0))</f>
        <v>0</v>
      </c>
      <c r="AB73" s="1761">
        <f>IF(AB72&gt;'Premissas Gerais'!$E$7,0,IFERROR(VLOOKUP(AB72,$C$26:$G$34,5,FALSE),0))</f>
        <v>0</v>
      </c>
      <c r="AC73" s="1761">
        <f>IF(AC72&gt;'Premissas Gerais'!$E$7,0,IFERROR(VLOOKUP(AC72,$C$26:$G$34,5,FALSE),0))</f>
        <v>11060731.039999999</v>
      </c>
      <c r="AD73" s="1761">
        <f>IF(AD72&gt;'Premissas Gerais'!$E$7,0,IFERROR(VLOOKUP(AD72,$C$26:$G$34,5,FALSE),0))</f>
        <v>144335.12</v>
      </c>
      <c r="AE73" s="1761">
        <f>IF(AE72&gt;'Premissas Gerais'!$E$7,0,IFERROR(VLOOKUP(AE72,$C$26:$G$34,5,FALSE),0))</f>
        <v>0</v>
      </c>
      <c r="AF73" s="1761">
        <f>IF(AF72&gt;'Premissas Gerais'!$E$7,0,IFERROR(VLOOKUP(AF72,$C$26:$G$34,5,FALSE),0))</f>
        <v>0</v>
      </c>
      <c r="AG73" s="1761">
        <f>IF(AG72&gt;'Premissas Gerais'!$E$7,0,IFERROR(VLOOKUP(AG72,$C$26:$G$34,5,FALSE),0))</f>
        <v>0</v>
      </c>
      <c r="AH73" s="1761">
        <f>IF(AH72&gt;'Premissas Gerais'!$E$7,0,IFERROR(VLOOKUP(AH72,$C$26:$G$34,5,FALSE),0))</f>
        <v>0</v>
      </c>
      <c r="AJ73" s="16"/>
    </row>
    <row r="74" spans="2:36" ht="15" customHeight="1" x14ac:dyDescent="0.35">
      <c r="B74" s="9"/>
      <c r="C74" s="992" t="s">
        <v>760</v>
      </c>
      <c r="D74" s="906">
        <f>SUM(E74:AN74)</f>
        <v>11512189.199999999</v>
      </c>
      <c r="E74" s="1743">
        <f>IF(E72&gt;'Premissas Gerais'!$E$7,0,IFERROR(VLOOKUP(E72,$C$48:$D$51,2,FALSE),0))</f>
        <v>2878047.3</v>
      </c>
      <c r="F74" s="562">
        <f>IF(F72&gt;'Premissas Gerais'!$E$7,0,IFERROR(VLOOKUP(F72,$C$48:$D$51,2,FALSE),0))</f>
        <v>0</v>
      </c>
      <c r="G74" s="562">
        <f>IF(G72&gt;'Premissas Gerais'!$E$7,0,IFERROR(VLOOKUP(G72,$C$48:$D$51,2,FALSE),0))</f>
        <v>0</v>
      </c>
      <c r="H74" s="562">
        <f>IF(H72&gt;'Premissas Gerais'!$E$7,0,IFERROR(VLOOKUP(H72,$C$48:$D$51,2,FALSE),0))</f>
        <v>0</v>
      </c>
      <c r="I74" s="562">
        <f>IF(I72&gt;'Premissas Gerais'!$E$7,0,IFERROR(VLOOKUP(I72,$C$48:$D$51,2,FALSE),0))</f>
        <v>0</v>
      </c>
      <c r="J74" s="562">
        <f>IF(J72&gt;'Premissas Gerais'!$E$7,0,IFERROR(VLOOKUP(J72,$C$48:$D$51,2,FALSE),0))</f>
        <v>0</v>
      </c>
      <c r="K74" s="562">
        <f>IF(K72&gt;'Premissas Gerais'!$E$7,0,IFERROR(VLOOKUP(K72,$C$48:$D$51,2,FALSE),0))</f>
        <v>0</v>
      </c>
      <c r="L74" s="562">
        <f>IF(L72&gt;'Premissas Gerais'!$E$7,0,IFERROR(VLOOKUP(L72,$C$48:$D$51,2,FALSE),0))</f>
        <v>0</v>
      </c>
      <c r="M74" s="562">
        <f>IF(M72&gt;'Premissas Gerais'!$E$7,0,IFERROR(VLOOKUP(M72,$C$48:$D$51,2,FALSE),0))</f>
        <v>2878047.3</v>
      </c>
      <c r="N74" s="562">
        <f>IF(N72&gt;'Premissas Gerais'!$E$7,0,IFERROR(VLOOKUP(N72,$C$48:$D$51,2,FALSE),0))</f>
        <v>0</v>
      </c>
      <c r="O74" s="562">
        <f>IF(O72&gt;'Premissas Gerais'!$E$7,0,IFERROR(VLOOKUP(O72,$C$48:$D$51,2,FALSE),0))</f>
        <v>0</v>
      </c>
      <c r="P74" s="562">
        <f>IF(P72&gt;'Premissas Gerais'!$E$7,0,IFERROR(VLOOKUP(P72,$C$48:$D$51,2,FALSE),0))</f>
        <v>0</v>
      </c>
      <c r="Q74" s="562">
        <f>IF(Q72&gt;'Premissas Gerais'!$E$7,0,IFERROR(VLOOKUP(Q72,$C$48:$D$51,2,FALSE),0))</f>
        <v>0</v>
      </c>
      <c r="R74" s="562">
        <f>IF(R72&gt;'Premissas Gerais'!$E$7,0,IFERROR(VLOOKUP(R72,$C$48:$D$51,2,FALSE),0))</f>
        <v>0</v>
      </c>
      <c r="S74" s="562">
        <f>IF(S72&gt;'Premissas Gerais'!$E$7,0,IFERROR(VLOOKUP(S72,$C$48:$D$51,2,FALSE),0))</f>
        <v>0</v>
      </c>
      <c r="T74" s="562">
        <f>IF(T72&gt;'Premissas Gerais'!$E$7,0,IFERROR(VLOOKUP(T72,$C$48:$D$51,2,FALSE),0))</f>
        <v>0</v>
      </c>
      <c r="U74" s="562">
        <f>IF(U72&gt;'Premissas Gerais'!$E$7,0,IFERROR(VLOOKUP(U72,$C$48:$D$51,2,FALSE),0))</f>
        <v>2878047.3</v>
      </c>
      <c r="V74" s="562">
        <f>IF(V72&gt;'Premissas Gerais'!$E$7,0,IFERROR(VLOOKUP(V72,$C$48:$D$51,2,FALSE),0))</f>
        <v>0</v>
      </c>
      <c r="W74" s="562">
        <f>IF(W72&gt;'Premissas Gerais'!$E$7,0,IFERROR(VLOOKUP(W72,$C$48:$D$51,2,FALSE),0))</f>
        <v>0</v>
      </c>
      <c r="X74" s="562">
        <f>IF(X72&gt;'Premissas Gerais'!$E$7,0,IFERROR(VLOOKUP(X72,$C$48:$D$51,2,FALSE),0))</f>
        <v>0</v>
      </c>
      <c r="Y74" s="562">
        <f>IF(Y72&gt;'Premissas Gerais'!$E$7,0,IFERROR(VLOOKUP(Y72,$C$48:$D$51,2,FALSE),0))</f>
        <v>0</v>
      </c>
      <c r="Z74" s="562">
        <f>IF(Z72&gt;'Premissas Gerais'!$E$7,0,IFERROR(VLOOKUP(Z72,$C$48:$D$51,2,FALSE),0))</f>
        <v>0</v>
      </c>
      <c r="AA74" s="562">
        <f>IF(AA72&gt;'Premissas Gerais'!$E$7,0,IFERROR(VLOOKUP(AA72,$C$48:$D$51,2,FALSE),0))</f>
        <v>0</v>
      </c>
      <c r="AB74" s="562">
        <f>IF(AB72&gt;'Premissas Gerais'!$E$7,0,IFERROR(VLOOKUP(AB72,$C$48:$D$51,2,FALSE),0))</f>
        <v>0</v>
      </c>
      <c r="AC74" s="562">
        <f>IF(AC72&gt;'Premissas Gerais'!$E$7,0,IFERROR(VLOOKUP(AC72,$C$48:$D$51,2,FALSE),0))</f>
        <v>2878047.3</v>
      </c>
      <c r="AD74" s="562">
        <f>IF(AD72&gt;'Premissas Gerais'!$E$7,0,IFERROR(VLOOKUP(AD72,$C$48:$D$51,2,FALSE),0))</f>
        <v>0</v>
      </c>
      <c r="AE74" s="562">
        <f>IF(AE72&gt;'Premissas Gerais'!$E$7,0,IFERROR(VLOOKUP(AE72,$C$48:$D$51,2,FALSE),0))</f>
        <v>0</v>
      </c>
      <c r="AF74" s="562">
        <f>IF(AF72&gt;'Premissas Gerais'!$E$7,0,IFERROR(VLOOKUP(AF72,$C$48:$D$51,2,FALSE),0))</f>
        <v>0</v>
      </c>
      <c r="AG74" s="562">
        <f>IF(AG72&gt;'Premissas Gerais'!$E$7,0,IFERROR(VLOOKUP(AG72,$C$48:$D$51,2,FALSE),0))</f>
        <v>0</v>
      </c>
      <c r="AH74" s="562">
        <f>IF(AH72&gt;'Premissas Gerais'!$E$7,0,IFERROR(VLOOKUP(AH72,$C$48:$D$51,2,FALSE),0))</f>
        <v>0</v>
      </c>
      <c r="AJ74" s="16"/>
    </row>
    <row r="75" spans="2:36" ht="15" customHeight="1" x14ac:dyDescent="0.35">
      <c r="B75" s="9"/>
      <c r="C75" s="992" t="s">
        <v>761</v>
      </c>
      <c r="D75" s="906">
        <f>SUM(E75:AN75)</f>
        <v>320047.44</v>
      </c>
      <c r="E75" s="562">
        <f>IF(E72&gt;'Premissas Gerais'!$E$7,0,IFERROR(VLOOKUP(E72,$F$48:$G$51,2,FALSE),0))</f>
        <v>80011.86</v>
      </c>
      <c r="F75" s="562">
        <f>IF(F72&gt;'Premissas Gerais'!$E$7,0,IFERROR(VLOOKUP(F72,$F$48:$G$51,2,FALSE),0))</f>
        <v>0</v>
      </c>
      <c r="G75" s="562">
        <f>IF(G72&gt;'Premissas Gerais'!$E$7,0,IFERROR(VLOOKUP(G72,$F$48:$G$51,2,FALSE),0))</f>
        <v>0</v>
      </c>
      <c r="H75" s="562">
        <f>IF(H72&gt;'Premissas Gerais'!$E$7,0,IFERROR(VLOOKUP(H72,$F$48:$G$51,2,FALSE),0))</f>
        <v>0</v>
      </c>
      <c r="I75" s="562">
        <f>IF(I72&gt;'Premissas Gerais'!$E$7,0,IFERROR(VLOOKUP(I72,$F$48:$G$51,2,FALSE),0))</f>
        <v>0</v>
      </c>
      <c r="J75" s="562">
        <f>IF(J72&gt;'Premissas Gerais'!$E$7,0,IFERROR(VLOOKUP(J72,$F$48:$G$51,2,FALSE),0))</f>
        <v>0</v>
      </c>
      <c r="K75" s="562">
        <f>IF(K72&gt;'Premissas Gerais'!$E$7,0,IFERROR(VLOOKUP(K72,$F$48:$G$51,2,FALSE),0))</f>
        <v>0</v>
      </c>
      <c r="L75" s="562">
        <f>IF(L72&gt;'Premissas Gerais'!$E$7,0,IFERROR(VLOOKUP(L72,$F$48:$G$51,2,FALSE),0))</f>
        <v>80011.86</v>
      </c>
      <c r="M75" s="562">
        <f>IF(M72&gt;'Premissas Gerais'!$E$7,0,IFERROR(VLOOKUP(M72,$F$48:$G$51,2,FALSE),0))</f>
        <v>0</v>
      </c>
      <c r="N75" s="562">
        <f>IF(N72&gt;'Premissas Gerais'!$E$7,0,IFERROR(VLOOKUP(N72,$F$48:$G$51,2,FALSE),0))</f>
        <v>0</v>
      </c>
      <c r="O75" s="562">
        <f>IF(O72&gt;'Premissas Gerais'!$E$7,0,IFERROR(VLOOKUP(O72,$F$48:$G$51,2,FALSE),0))</f>
        <v>0</v>
      </c>
      <c r="P75" s="562">
        <f>IF(P72&gt;'Premissas Gerais'!$E$7,0,IFERROR(VLOOKUP(P72,$F$48:$G$51,2,FALSE),0))</f>
        <v>0</v>
      </c>
      <c r="Q75" s="562">
        <f>IF(Q72&gt;'Premissas Gerais'!$E$7,0,IFERROR(VLOOKUP(Q72,$F$48:$G$51,2,FALSE),0))</f>
        <v>0</v>
      </c>
      <c r="R75" s="562">
        <f>IF(R72&gt;'Premissas Gerais'!$E$7,0,IFERROR(VLOOKUP(R72,$F$48:$G$51,2,FALSE),0))</f>
        <v>0</v>
      </c>
      <c r="S75" s="562">
        <f>IF(S72&gt;'Premissas Gerais'!$E$7,0,IFERROR(VLOOKUP(S72,$F$48:$G$51,2,FALSE),0))</f>
        <v>0</v>
      </c>
      <c r="T75" s="562">
        <f>IF(T72&gt;'Premissas Gerais'!$E$7,0,IFERROR(VLOOKUP(T72,$F$48:$G$51,2,FALSE),0))</f>
        <v>80011.86</v>
      </c>
      <c r="U75" s="562">
        <f>IF(U72&gt;'Premissas Gerais'!$E$7,0,IFERROR(VLOOKUP(U72,$F$48:$G$51,2,FALSE),0))</f>
        <v>0</v>
      </c>
      <c r="V75" s="562">
        <f>IF(V72&gt;'Premissas Gerais'!$E$7,0,IFERROR(VLOOKUP(V72,$F$48:$G$51,2,FALSE),0))</f>
        <v>0</v>
      </c>
      <c r="W75" s="562">
        <f>IF(W72&gt;'Premissas Gerais'!$E$7,0,IFERROR(VLOOKUP(W72,$F$48:$G$51,2,FALSE),0))</f>
        <v>0</v>
      </c>
      <c r="X75" s="562">
        <f>IF(X72&gt;'Premissas Gerais'!$E$7,0,IFERROR(VLOOKUP(X72,$F$48:$G$51,2,FALSE),0))</f>
        <v>0</v>
      </c>
      <c r="Y75" s="562">
        <f>IF(Y72&gt;'Premissas Gerais'!$E$7,0,IFERROR(VLOOKUP(Y72,$F$48:$G$51,2,FALSE),0))</f>
        <v>0</v>
      </c>
      <c r="Z75" s="562">
        <f>IF(Z72&gt;'Premissas Gerais'!$E$7,0,IFERROR(VLOOKUP(Z72,$F$48:$G$51,2,FALSE),0))</f>
        <v>0</v>
      </c>
      <c r="AA75" s="562">
        <f>IF(AA72&gt;'Premissas Gerais'!$E$7,0,IFERROR(VLOOKUP(AA72,$F$48:$G$51,2,FALSE),0))</f>
        <v>0</v>
      </c>
      <c r="AB75" s="562">
        <f>IF(AB72&gt;'Premissas Gerais'!$E$7,0,IFERROR(VLOOKUP(AB72,$F$48:$G$51,2,FALSE),0))</f>
        <v>80011.86</v>
      </c>
      <c r="AC75" s="562">
        <f>IF(AC72&gt;'Premissas Gerais'!$E$7,0,IFERROR(VLOOKUP(AC72,$F$48:$G$51,2,FALSE),0))</f>
        <v>0</v>
      </c>
      <c r="AD75" s="562">
        <f>IF(AD72&gt;'Premissas Gerais'!$E$7,0,IFERROR(VLOOKUP(AD72,$F$48:$G$51,2,FALSE),0))</f>
        <v>0</v>
      </c>
      <c r="AE75" s="562">
        <f>IF(AE72&gt;'Premissas Gerais'!$E$7,0,IFERROR(VLOOKUP(AE72,$F$48:$G$51,2,FALSE),0))</f>
        <v>0</v>
      </c>
      <c r="AF75" s="562">
        <f>IF(AF72&gt;'Premissas Gerais'!$E$7,0,IFERROR(VLOOKUP(AF72,$F$48:$G$51,2,FALSE),0))</f>
        <v>0</v>
      </c>
      <c r="AG75" s="562">
        <f>IF(AG72&gt;'Premissas Gerais'!$E$7,0,IFERROR(VLOOKUP(AG72,$F$48:$G$51,2,FALSE),0))</f>
        <v>0</v>
      </c>
      <c r="AH75" s="562">
        <f>IF(AH72&gt;'Premissas Gerais'!$E$7,0,IFERROR(VLOOKUP(AH72,$F$48:$G$51,2,FALSE),0))</f>
        <v>0</v>
      </c>
      <c r="AJ75" s="16"/>
    </row>
    <row r="76" spans="2:36" ht="15" customHeight="1" x14ac:dyDescent="0.35">
      <c r="B76" s="9"/>
      <c r="C76" s="992" t="s">
        <v>762</v>
      </c>
      <c r="D76" s="906">
        <f>SUM(E76:AN76)</f>
        <v>9716829.4800000004</v>
      </c>
      <c r="E76" s="1519">
        <f>IF(E72&gt;'Premissas Gerais'!$E$7,0,IFERROR(VLOOKUP(E72,$C$64:$G$66,5,FALSE),0))</f>
        <v>0</v>
      </c>
      <c r="F76" s="1019">
        <f>IF(F72&gt;'Premissas Gerais'!$E$7,0,IFERROR(VLOOKUP(F72,$C$64:$G$66,5,FALSE),0))</f>
        <v>0</v>
      </c>
      <c r="G76" s="1019">
        <f>IF(G72&gt;'Premissas Gerais'!$E$7,0,IFERROR(VLOOKUP(G72,$C$64:$G$66,5,FALSE),0))</f>
        <v>0</v>
      </c>
      <c r="H76" s="1019">
        <f>IF(H72&gt;'Premissas Gerais'!$E$7,0,IFERROR(VLOOKUP(H72,$C$64:$G$66,5,FALSE),0))</f>
        <v>0</v>
      </c>
      <c r="I76" s="1019">
        <f>IF(I72&gt;'Premissas Gerais'!$E$7,0,IFERROR(VLOOKUP(I72,$C$64:$G$66,5,FALSE),0))</f>
        <v>0</v>
      </c>
      <c r="J76" s="1019">
        <f>IF(J72&gt;'Premissas Gerais'!$E$7,0,IFERROR(VLOOKUP(J72,$C$64:$G$66,5,FALSE),0))</f>
        <v>0</v>
      </c>
      <c r="K76" s="1019">
        <f>IF(K72&gt;'Premissas Gerais'!$E$7,0,IFERROR(VLOOKUP(K72,$C$64:$G$66,5,FALSE),0))</f>
        <v>3238943.16</v>
      </c>
      <c r="L76" s="1019">
        <f>IF(L72&gt;'Premissas Gerais'!$E$7,0,IFERROR(VLOOKUP(L72,$C$64:$G$66,5,FALSE),0))</f>
        <v>0</v>
      </c>
      <c r="M76" s="1019">
        <f>IF(M72&gt;'Premissas Gerais'!$E$7,0,IFERROR(VLOOKUP(M72,$C$64:$G$66,5,FALSE),0))</f>
        <v>0</v>
      </c>
      <c r="N76" s="1019">
        <f>IF(N72&gt;'Premissas Gerais'!$E$7,0,IFERROR(VLOOKUP(N72,$C$64:$G$66,5,FALSE),0))</f>
        <v>0</v>
      </c>
      <c r="O76" s="1019">
        <f>IF(O72&gt;'Premissas Gerais'!$E$7,0,IFERROR(VLOOKUP(O72,$C$64:$G$66,5,FALSE),0))</f>
        <v>0</v>
      </c>
      <c r="P76" s="1019">
        <f>IF(P72&gt;'Premissas Gerais'!$E$7,0,IFERROR(VLOOKUP(P72,$C$64:$G$66,5,FALSE),0))</f>
        <v>0</v>
      </c>
      <c r="Q76" s="1019">
        <f>IF(Q72&gt;'Premissas Gerais'!$E$7,0,IFERROR(VLOOKUP(Q72,$C$64:$G$66,5,FALSE),0))</f>
        <v>0</v>
      </c>
      <c r="R76" s="1019">
        <f>IF(R72&gt;'Premissas Gerais'!$E$7,0,IFERROR(VLOOKUP(R72,$C$64:$G$66,5,FALSE),0))</f>
        <v>0</v>
      </c>
      <c r="S76" s="1019">
        <f>IF(S72&gt;'Premissas Gerais'!$E$7,0,IFERROR(VLOOKUP(S72,$C$64:$G$66,5,FALSE),0))</f>
        <v>3238943.16</v>
      </c>
      <c r="T76" s="1019">
        <f>IF(T72&gt;'Premissas Gerais'!$E$7,0,IFERROR(VLOOKUP(T72,$C$64:$G$66,5,FALSE),0))</f>
        <v>0</v>
      </c>
      <c r="U76" s="1019">
        <f>IF(U72&gt;'Premissas Gerais'!$E$7,0,IFERROR(VLOOKUP(U72,$C$64:$G$66,5,FALSE),0))</f>
        <v>0</v>
      </c>
      <c r="V76" s="1019">
        <f>IF(V72&gt;'Premissas Gerais'!$E$7,0,IFERROR(VLOOKUP(V72,$C$64:$G$66,5,FALSE),0))</f>
        <v>0</v>
      </c>
      <c r="W76" s="1019">
        <f>IF(W72&gt;'Premissas Gerais'!$E$7,0,IFERROR(VLOOKUP(W72,$C$64:$G$66,5,FALSE),0))</f>
        <v>0</v>
      </c>
      <c r="X76" s="1019">
        <f>IF(X72&gt;'Premissas Gerais'!$E$7,0,IFERROR(VLOOKUP(X72,$C$64:$G$66,5,FALSE),0))</f>
        <v>0</v>
      </c>
      <c r="Y76" s="1019">
        <f>IF(Y72&gt;'Premissas Gerais'!$E$7,0,IFERROR(VLOOKUP(Y72,$C$64:$G$66,5,FALSE),0))</f>
        <v>0</v>
      </c>
      <c r="Z76" s="1019">
        <f>IF(Z72&gt;'Premissas Gerais'!$E$7,0,IFERROR(VLOOKUP(Z72,$C$64:$G$66,5,FALSE),0))</f>
        <v>0</v>
      </c>
      <c r="AA76" s="1019">
        <f>IF(AA72&gt;'Premissas Gerais'!$E$7,0,IFERROR(VLOOKUP(AA72,$C$64:$G$66,5,FALSE),0))</f>
        <v>3238943.16</v>
      </c>
      <c r="AB76" s="1019">
        <f>IF(AB72&gt;'Premissas Gerais'!$E$7,0,IFERROR(VLOOKUP(AB72,$C$64:$G$66,5,FALSE),0))</f>
        <v>0</v>
      </c>
      <c r="AC76" s="1019">
        <f>IF(AC72&gt;'Premissas Gerais'!$E$7,0,IFERROR(VLOOKUP(AC72,$C$64:$G$66,5,FALSE),0))</f>
        <v>0</v>
      </c>
      <c r="AD76" s="1019">
        <f>IF(AD72&gt;'Premissas Gerais'!$E$7,0,IFERROR(VLOOKUP(AD72,$C$64:$G$66,5,FALSE),0))</f>
        <v>0</v>
      </c>
      <c r="AE76" s="1019">
        <f>IF(AE72&gt;'Premissas Gerais'!$E$7,0,IFERROR(VLOOKUP(AE72,$C$64:$G$66,5,FALSE),0))</f>
        <v>0</v>
      </c>
      <c r="AF76" s="1019">
        <f>IF(AF72&gt;'Premissas Gerais'!$E$7,0,IFERROR(VLOOKUP(AF72,$C$64:$G$66,5,FALSE),0))</f>
        <v>0</v>
      </c>
      <c r="AG76" s="1019">
        <f>IF(AG72&gt;'Premissas Gerais'!$E$7,0,IFERROR(VLOOKUP(AG72,$C$64:$G$66,5,FALSE),0))</f>
        <v>0</v>
      </c>
      <c r="AH76" s="1019">
        <f>IF(AH72&gt;'Premissas Gerais'!$E$7,0,IFERROR(VLOOKUP(AH72,$C$64:$G$66,5,FALSE),0))</f>
        <v>0</v>
      </c>
      <c r="AJ76" s="16"/>
    </row>
    <row r="77" spans="2:36" x14ac:dyDescent="0.35">
      <c r="B77" s="9"/>
      <c r="C77" s="230" t="s">
        <v>200</v>
      </c>
      <c r="D77" s="487">
        <f t="shared" ref="D77:AH77" si="7">SUM(D73:D76)</f>
        <v>67352434.409999996</v>
      </c>
      <c r="E77" s="997">
        <f t="shared" si="7"/>
        <v>14857558.73</v>
      </c>
      <c r="F77" s="561">
        <f t="shared" si="7"/>
        <v>0</v>
      </c>
      <c r="G77" s="561">
        <f t="shared" si="7"/>
        <v>0</v>
      </c>
      <c r="H77" s="561">
        <f t="shared" si="7"/>
        <v>0</v>
      </c>
      <c r="I77" s="561">
        <f t="shared" si="7"/>
        <v>0</v>
      </c>
      <c r="J77" s="561">
        <f t="shared" si="7"/>
        <v>144335.12</v>
      </c>
      <c r="K77" s="561">
        <f t="shared" si="7"/>
        <v>3238943.16</v>
      </c>
      <c r="L77" s="561">
        <f t="shared" si="7"/>
        <v>80011.86</v>
      </c>
      <c r="M77" s="561">
        <f t="shared" si="7"/>
        <v>13938778.34</v>
      </c>
      <c r="N77" s="561">
        <f t="shared" si="7"/>
        <v>0</v>
      </c>
      <c r="O77" s="561">
        <f t="shared" si="7"/>
        <v>144335.12</v>
      </c>
      <c r="P77" s="561">
        <f t="shared" si="7"/>
        <v>0</v>
      </c>
      <c r="Q77" s="561">
        <f t="shared" si="7"/>
        <v>0</v>
      </c>
      <c r="R77" s="561">
        <f t="shared" si="7"/>
        <v>0</v>
      </c>
      <c r="S77" s="561">
        <f t="shared" si="7"/>
        <v>3238943.16</v>
      </c>
      <c r="T77" s="561">
        <f t="shared" si="7"/>
        <v>224346.97999999998</v>
      </c>
      <c r="U77" s="561">
        <f t="shared" si="7"/>
        <v>13938778.34</v>
      </c>
      <c r="V77" s="561">
        <f t="shared" si="7"/>
        <v>0</v>
      </c>
      <c r="W77" s="561">
        <f t="shared" si="7"/>
        <v>0</v>
      </c>
      <c r="X77" s="561">
        <f t="shared" si="7"/>
        <v>0</v>
      </c>
      <c r="Y77" s="561">
        <f t="shared" si="7"/>
        <v>144335.12</v>
      </c>
      <c r="Z77" s="561">
        <f t="shared" si="7"/>
        <v>0</v>
      </c>
      <c r="AA77" s="561">
        <f t="shared" si="7"/>
        <v>3238943.16</v>
      </c>
      <c r="AB77" s="561">
        <f t="shared" si="7"/>
        <v>80011.86</v>
      </c>
      <c r="AC77" s="561">
        <f t="shared" si="7"/>
        <v>13938778.34</v>
      </c>
      <c r="AD77" s="561">
        <f t="shared" si="7"/>
        <v>144335.12</v>
      </c>
      <c r="AE77" s="561">
        <f t="shared" si="7"/>
        <v>0</v>
      </c>
      <c r="AF77" s="561">
        <f t="shared" si="7"/>
        <v>0</v>
      </c>
      <c r="AG77" s="561">
        <f t="shared" si="7"/>
        <v>0</v>
      </c>
      <c r="AH77" s="561">
        <f t="shared" si="7"/>
        <v>0</v>
      </c>
      <c r="AJ77" s="16"/>
    </row>
    <row r="78" spans="2:36" ht="15" thickBot="1" x14ac:dyDescent="0.4">
      <c r="B78" s="38"/>
      <c r="C78" s="59"/>
      <c r="D78" s="59"/>
      <c r="E78" s="59"/>
      <c r="F78" s="59"/>
      <c r="G78" s="59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F78" s="59"/>
      <c r="AG78" s="59"/>
      <c r="AH78" s="59"/>
      <c r="AI78" s="59"/>
      <c r="AJ78" s="69"/>
    </row>
    <row r="79" spans="2:36" x14ac:dyDescent="0.35">
      <c r="C79" s="77"/>
    </row>
    <row r="80" spans="2:36" x14ac:dyDescent="0.35">
      <c r="C80" s="77"/>
    </row>
    <row r="81" spans="1:39" x14ac:dyDescent="0.35">
      <c r="C81" s="77" t="s">
        <v>763</v>
      </c>
      <c r="E81" s="1531">
        <v>2026</v>
      </c>
      <c r="F81" s="1531">
        <f>E81+1</f>
        <v>2027</v>
      </c>
      <c r="G81" s="1531">
        <f t="shared" ref="G81:AH81" si="8">F81+1</f>
        <v>2028</v>
      </c>
      <c r="H81" s="1531">
        <f t="shared" si="8"/>
        <v>2029</v>
      </c>
      <c r="I81" s="1531">
        <f t="shared" si="8"/>
        <v>2030</v>
      </c>
      <c r="J81" s="1531">
        <f t="shared" si="8"/>
        <v>2031</v>
      </c>
      <c r="K81" s="1531">
        <f t="shared" si="8"/>
        <v>2032</v>
      </c>
      <c r="L81" s="1531">
        <f t="shared" si="8"/>
        <v>2033</v>
      </c>
      <c r="M81" s="1531">
        <f t="shared" si="8"/>
        <v>2034</v>
      </c>
      <c r="N81" s="1531">
        <f t="shared" si="8"/>
        <v>2035</v>
      </c>
      <c r="O81" s="1531">
        <f t="shared" si="8"/>
        <v>2036</v>
      </c>
      <c r="P81" s="1531">
        <f t="shared" si="8"/>
        <v>2037</v>
      </c>
      <c r="Q81" s="1531">
        <f t="shared" si="8"/>
        <v>2038</v>
      </c>
      <c r="R81" s="1531">
        <f t="shared" si="8"/>
        <v>2039</v>
      </c>
      <c r="S81" s="1531">
        <f t="shared" si="8"/>
        <v>2040</v>
      </c>
      <c r="T81" s="1531">
        <f t="shared" si="8"/>
        <v>2041</v>
      </c>
      <c r="U81" s="1531">
        <f t="shared" si="8"/>
        <v>2042</v>
      </c>
      <c r="V81" s="1531">
        <f t="shared" si="8"/>
        <v>2043</v>
      </c>
      <c r="W81" s="1531">
        <f t="shared" si="8"/>
        <v>2044</v>
      </c>
      <c r="X81" s="1531">
        <f t="shared" si="8"/>
        <v>2045</v>
      </c>
      <c r="Y81" s="1531">
        <f t="shared" si="8"/>
        <v>2046</v>
      </c>
      <c r="Z81" s="1531">
        <f t="shared" si="8"/>
        <v>2047</v>
      </c>
      <c r="AA81" s="1531">
        <f t="shared" si="8"/>
        <v>2048</v>
      </c>
      <c r="AB81" s="1531">
        <f t="shared" si="8"/>
        <v>2049</v>
      </c>
      <c r="AC81" s="1531">
        <f t="shared" si="8"/>
        <v>2050</v>
      </c>
      <c r="AD81" s="1531">
        <f t="shared" si="8"/>
        <v>2051</v>
      </c>
      <c r="AE81" s="1531">
        <f t="shared" si="8"/>
        <v>2052</v>
      </c>
      <c r="AF81" s="1531">
        <f t="shared" si="8"/>
        <v>2053</v>
      </c>
      <c r="AG81" s="1531">
        <f t="shared" si="8"/>
        <v>2054</v>
      </c>
      <c r="AH81" s="1531">
        <f t="shared" si="8"/>
        <v>2055</v>
      </c>
    </row>
    <row r="82" spans="1:39" ht="3" customHeight="1" x14ac:dyDescent="0.35">
      <c r="C82" s="77"/>
    </row>
    <row r="83" spans="1:39" x14ac:dyDescent="0.35">
      <c r="C83" s="560"/>
      <c r="D83" s="229" t="s">
        <v>455</v>
      </c>
      <c r="E83" s="793">
        <v>1</v>
      </c>
      <c r="F83" s="793">
        <f>E83+1</f>
        <v>2</v>
      </c>
      <c r="G83" s="793">
        <f t="shared" ref="G83" si="9">F83+1</f>
        <v>3</v>
      </c>
      <c r="H83" s="793">
        <f t="shared" ref="H83" si="10">G83+1</f>
        <v>4</v>
      </c>
      <c r="I83" s="793">
        <f t="shared" ref="I83" si="11">H83+1</f>
        <v>5</v>
      </c>
      <c r="J83" s="793">
        <f t="shared" ref="J83" si="12">I83+1</f>
        <v>6</v>
      </c>
      <c r="K83" s="793">
        <f t="shared" ref="K83" si="13">J83+1</f>
        <v>7</v>
      </c>
      <c r="L83" s="793">
        <f t="shared" ref="L83" si="14">K83+1</f>
        <v>8</v>
      </c>
      <c r="M83" s="793">
        <f t="shared" ref="M83" si="15">L83+1</f>
        <v>9</v>
      </c>
      <c r="N83" s="793">
        <f t="shared" ref="N83" si="16">M83+1</f>
        <v>10</v>
      </c>
      <c r="O83" s="793">
        <f t="shared" ref="O83" si="17">N83+1</f>
        <v>11</v>
      </c>
      <c r="P83" s="793">
        <f t="shared" ref="P83" si="18">O83+1</f>
        <v>12</v>
      </c>
      <c r="Q83" s="793">
        <f t="shared" ref="Q83" si="19">P83+1</f>
        <v>13</v>
      </c>
      <c r="R83" s="793">
        <f t="shared" ref="R83" si="20">Q83+1</f>
        <v>14</v>
      </c>
      <c r="S83" s="793">
        <f t="shared" ref="S83" si="21">R83+1</f>
        <v>15</v>
      </c>
      <c r="T83" s="793">
        <f t="shared" ref="T83" si="22">S83+1</f>
        <v>16</v>
      </c>
      <c r="U83" s="793">
        <f t="shared" ref="U83" si="23">T83+1</f>
        <v>17</v>
      </c>
      <c r="V83" s="793">
        <f t="shared" ref="V83" si="24">U83+1</f>
        <v>18</v>
      </c>
      <c r="W83" s="793">
        <f t="shared" ref="W83" si="25">V83+1</f>
        <v>19</v>
      </c>
      <c r="X83" s="793">
        <f t="shared" ref="X83" si="26">W83+1</f>
        <v>20</v>
      </c>
      <c r="Y83" s="793">
        <f t="shared" ref="Y83" si="27">X83+1</f>
        <v>21</v>
      </c>
      <c r="Z83" s="793">
        <f t="shared" ref="Z83" si="28">Y83+1</f>
        <v>22</v>
      </c>
      <c r="AA83" s="793">
        <f t="shared" ref="AA83" si="29">Z83+1</f>
        <v>23</v>
      </c>
      <c r="AB83" s="793">
        <f t="shared" ref="AB83" si="30">AA83+1</f>
        <v>24</v>
      </c>
      <c r="AC83" s="793">
        <f t="shared" ref="AC83" si="31">AB83+1</f>
        <v>25</v>
      </c>
      <c r="AD83" s="793">
        <f t="shared" ref="AD83" si="32">AC83+1</f>
        <v>26</v>
      </c>
      <c r="AE83" s="793">
        <f t="shared" ref="AE83" si="33">AD83+1</f>
        <v>27</v>
      </c>
      <c r="AF83" s="793">
        <f t="shared" ref="AF83" si="34">AE83+1</f>
        <v>28</v>
      </c>
      <c r="AG83" s="793">
        <f t="shared" ref="AG83" si="35">AF83+1</f>
        <v>29</v>
      </c>
      <c r="AH83" s="793">
        <f t="shared" ref="AH83" si="36">AG83+1</f>
        <v>30</v>
      </c>
    </row>
    <row r="84" spans="1:39" s="162" customFormat="1" ht="15" customHeight="1" x14ac:dyDescent="0.35">
      <c r="C84" s="797" t="s">
        <v>764</v>
      </c>
      <c r="D84" s="807">
        <f t="shared" ref="D84:AH84" si="37">SUM(D85:D89)</f>
        <v>45803368.289999999</v>
      </c>
      <c r="E84" s="807">
        <f t="shared" si="37"/>
        <v>11899499.57</v>
      </c>
      <c r="F84" s="807">
        <f t="shared" si="37"/>
        <v>0</v>
      </c>
      <c r="G84" s="807">
        <f t="shared" si="37"/>
        <v>0</v>
      </c>
      <c r="H84" s="807">
        <f t="shared" si="37"/>
        <v>0</v>
      </c>
      <c r="I84" s="807">
        <f t="shared" si="37"/>
        <v>0</v>
      </c>
      <c r="J84" s="807">
        <f t="shared" si="37"/>
        <v>144335.12</v>
      </c>
      <c r="K84" s="807">
        <f t="shared" si="37"/>
        <v>0</v>
      </c>
      <c r="L84" s="807">
        <f t="shared" si="37"/>
        <v>0</v>
      </c>
      <c r="M84" s="807">
        <f t="shared" si="37"/>
        <v>11060731.039999999</v>
      </c>
      <c r="N84" s="807">
        <f t="shared" si="37"/>
        <v>0</v>
      </c>
      <c r="O84" s="807">
        <f t="shared" si="37"/>
        <v>144335.12</v>
      </c>
      <c r="P84" s="807">
        <f t="shared" si="37"/>
        <v>0</v>
      </c>
      <c r="Q84" s="807">
        <f t="shared" si="37"/>
        <v>0</v>
      </c>
      <c r="R84" s="807">
        <f t="shared" si="37"/>
        <v>0</v>
      </c>
      <c r="S84" s="807">
        <f t="shared" si="37"/>
        <v>0</v>
      </c>
      <c r="T84" s="807">
        <f t="shared" si="37"/>
        <v>144335.12</v>
      </c>
      <c r="U84" s="807">
        <f t="shared" si="37"/>
        <v>11060731.039999999</v>
      </c>
      <c r="V84" s="807">
        <f t="shared" si="37"/>
        <v>0</v>
      </c>
      <c r="W84" s="807">
        <f t="shared" si="37"/>
        <v>0</v>
      </c>
      <c r="X84" s="807">
        <f t="shared" si="37"/>
        <v>0</v>
      </c>
      <c r="Y84" s="807">
        <f t="shared" si="37"/>
        <v>144335.12</v>
      </c>
      <c r="Z84" s="807">
        <f t="shared" si="37"/>
        <v>0</v>
      </c>
      <c r="AA84" s="807">
        <f t="shared" si="37"/>
        <v>0</v>
      </c>
      <c r="AB84" s="807">
        <f t="shared" si="37"/>
        <v>0</v>
      </c>
      <c r="AC84" s="807">
        <f t="shared" si="37"/>
        <v>11060731.039999999</v>
      </c>
      <c r="AD84" s="807">
        <f t="shared" si="37"/>
        <v>144335.12</v>
      </c>
      <c r="AE84" s="807">
        <f t="shared" si="37"/>
        <v>0</v>
      </c>
      <c r="AF84" s="807">
        <f t="shared" si="37"/>
        <v>0</v>
      </c>
      <c r="AG84" s="807">
        <f t="shared" si="37"/>
        <v>0</v>
      </c>
      <c r="AH84" s="807">
        <f t="shared" si="37"/>
        <v>0</v>
      </c>
      <c r="AI84"/>
      <c r="AJ84"/>
      <c r="AK84"/>
      <c r="AL84"/>
      <c r="AM84"/>
    </row>
    <row r="85" spans="1:39" s="162" customFormat="1" x14ac:dyDescent="0.35">
      <c r="C85" s="791" t="s">
        <v>729</v>
      </c>
      <c r="D85" s="808">
        <f t="shared" ref="D85:D90" si="38">SUM(E85:AM85)</f>
        <v>2887553.8400000003</v>
      </c>
      <c r="E85" s="812">
        <f>H9+I9+J9</f>
        <v>711690.87</v>
      </c>
      <c r="F85" s="812">
        <v>0</v>
      </c>
      <c r="G85" s="812">
        <v>0</v>
      </c>
      <c r="H85" s="812">
        <v>0</v>
      </c>
      <c r="I85" s="812">
        <v>0</v>
      </c>
      <c r="J85" s="812">
        <f>$P$9</f>
        <v>20395.18</v>
      </c>
      <c r="K85" s="812">
        <v>0</v>
      </c>
      <c r="L85" s="812">
        <v>0</v>
      </c>
      <c r="M85" s="812">
        <f>$N$9+$O$9</f>
        <v>691295.69</v>
      </c>
      <c r="N85" s="812">
        <v>0</v>
      </c>
      <c r="O85" s="812">
        <f>$P$9</f>
        <v>20395.18</v>
      </c>
      <c r="P85" s="812">
        <v>0</v>
      </c>
      <c r="Q85" s="812">
        <v>0</v>
      </c>
      <c r="R85" s="812">
        <v>0</v>
      </c>
      <c r="S85" s="812">
        <v>0</v>
      </c>
      <c r="T85" s="812">
        <f>$P$9</f>
        <v>20395.18</v>
      </c>
      <c r="U85" s="812">
        <f>$N$9+$O$9</f>
        <v>691295.69</v>
      </c>
      <c r="V85" s="812">
        <v>0</v>
      </c>
      <c r="W85" s="812">
        <v>0</v>
      </c>
      <c r="X85" s="812">
        <v>0</v>
      </c>
      <c r="Y85" s="812">
        <f>$P$9</f>
        <v>20395.18</v>
      </c>
      <c r="Z85" s="812">
        <v>0</v>
      </c>
      <c r="AA85" s="812">
        <v>0</v>
      </c>
      <c r="AB85" s="812">
        <v>0</v>
      </c>
      <c r="AC85" s="812">
        <f>$N$9+$O$9</f>
        <v>691295.69</v>
      </c>
      <c r="AD85" s="812">
        <f>$P$9</f>
        <v>20395.18</v>
      </c>
      <c r="AE85" s="812">
        <v>0</v>
      </c>
      <c r="AF85" s="812">
        <v>0</v>
      </c>
      <c r="AG85" s="812">
        <v>0</v>
      </c>
      <c r="AH85" s="812">
        <v>0</v>
      </c>
      <c r="AI85"/>
      <c r="AJ85"/>
      <c r="AK85"/>
      <c r="AL85"/>
      <c r="AM85"/>
    </row>
    <row r="86" spans="1:39" s="162" customFormat="1" x14ac:dyDescent="0.35">
      <c r="C86" s="792" t="s">
        <v>730</v>
      </c>
      <c r="D86" s="811">
        <f t="shared" si="38"/>
        <v>5671562.9199999999</v>
      </c>
      <c r="E86" s="812">
        <f>H11+I11+J11</f>
        <v>1406124.2799999998</v>
      </c>
      <c r="F86" s="812">
        <v>0</v>
      </c>
      <c r="G86" s="812">
        <v>0</v>
      </c>
      <c r="H86" s="812">
        <v>0</v>
      </c>
      <c r="I86" s="812">
        <v>0</v>
      </c>
      <c r="J86" s="812">
        <f>$P$11</f>
        <v>23532.899999999998</v>
      </c>
      <c r="K86" s="812">
        <v>0</v>
      </c>
      <c r="L86" s="812">
        <v>0</v>
      </c>
      <c r="M86" s="812">
        <f>$N$11+$O$11</f>
        <v>1382591.38</v>
      </c>
      <c r="N86" s="812">
        <v>0</v>
      </c>
      <c r="O86" s="812">
        <f>$P$11</f>
        <v>23532.899999999998</v>
      </c>
      <c r="P86" s="812">
        <v>0</v>
      </c>
      <c r="Q86" s="812">
        <v>0</v>
      </c>
      <c r="R86" s="812">
        <v>0</v>
      </c>
      <c r="S86" s="812">
        <v>0</v>
      </c>
      <c r="T86" s="812">
        <f>$P$11</f>
        <v>23532.899999999998</v>
      </c>
      <c r="U86" s="812">
        <f>$N$11+$O$11</f>
        <v>1382591.38</v>
      </c>
      <c r="V86" s="812">
        <v>0</v>
      </c>
      <c r="W86" s="812">
        <v>0</v>
      </c>
      <c r="X86" s="812">
        <v>0</v>
      </c>
      <c r="Y86" s="812">
        <f>$P$11</f>
        <v>23532.899999999998</v>
      </c>
      <c r="Z86" s="812">
        <v>0</v>
      </c>
      <c r="AA86" s="812">
        <v>0</v>
      </c>
      <c r="AB86" s="812">
        <v>0</v>
      </c>
      <c r="AC86" s="812">
        <f>$N$11+$O$11</f>
        <v>1382591.38</v>
      </c>
      <c r="AD86" s="812">
        <f>$P$11</f>
        <v>23532.899999999998</v>
      </c>
      <c r="AE86" s="812">
        <v>0</v>
      </c>
      <c r="AF86" s="812">
        <v>0</v>
      </c>
      <c r="AG86" s="812">
        <v>0</v>
      </c>
      <c r="AH86" s="812">
        <v>0</v>
      </c>
      <c r="AI86"/>
      <c r="AJ86"/>
      <c r="AK86"/>
      <c r="AL86"/>
      <c r="AM86"/>
    </row>
    <row r="87" spans="1:39" s="162" customFormat="1" x14ac:dyDescent="0.35">
      <c r="C87" s="792" t="s">
        <v>731</v>
      </c>
      <c r="D87" s="811">
        <f t="shared" si="38"/>
        <v>5680976.0799999991</v>
      </c>
      <c r="E87" s="812">
        <f>H12+I12+J12</f>
        <v>1407693.14</v>
      </c>
      <c r="F87" s="812">
        <v>0</v>
      </c>
      <c r="G87" s="812">
        <v>0</v>
      </c>
      <c r="H87" s="812">
        <v>0</v>
      </c>
      <c r="I87" s="812">
        <v>0</v>
      </c>
      <c r="J87" s="812">
        <f>$P$12</f>
        <v>25101.759999999998</v>
      </c>
      <c r="K87" s="812">
        <v>0</v>
      </c>
      <c r="L87" s="812">
        <v>0</v>
      </c>
      <c r="M87" s="812">
        <f>$N$12+$O$12</f>
        <v>1382591.38</v>
      </c>
      <c r="N87" s="812">
        <v>0</v>
      </c>
      <c r="O87" s="812">
        <f>$P$12</f>
        <v>25101.759999999998</v>
      </c>
      <c r="P87" s="812">
        <v>0</v>
      </c>
      <c r="Q87" s="812">
        <v>0</v>
      </c>
      <c r="R87" s="812">
        <v>0</v>
      </c>
      <c r="S87" s="812">
        <v>0</v>
      </c>
      <c r="T87" s="812">
        <f>$P$12</f>
        <v>25101.759999999998</v>
      </c>
      <c r="U87" s="812">
        <f>$N$12+$O$12</f>
        <v>1382591.38</v>
      </c>
      <c r="V87" s="812">
        <v>0</v>
      </c>
      <c r="W87" s="812">
        <v>0</v>
      </c>
      <c r="X87" s="812">
        <v>0</v>
      </c>
      <c r="Y87" s="812">
        <f>$P$12</f>
        <v>25101.759999999998</v>
      </c>
      <c r="Z87" s="812">
        <v>0</v>
      </c>
      <c r="AA87" s="812">
        <v>0</v>
      </c>
      <c r="AB87" s="812">
        <v>0</v>
      </c>
      <c r="AC87" s="812">
        <f>$N$12+$O$12</f>
        <v>1382591.38</v>
      </c>
      <c r="AD87" s="812">
        <f>$P$12</f>
        <v>25101.759999999998</v>
      </c>
      <c r="AE87" s="812">
        <v>0</v>
      </c>
      <c r="AF87" s="812">
        <v>0</v>
      </c>
      <c r="AG87" s="812">
        <v>0</v>
      </c>
      <c r="AH87" s="812">
        <v>0</v>
      </c>
      <c r="AI87"/>
      <c r="AJ87"/>
      <c r="AK87"/>
      <c r="AL87"/>
      <c r="AM87"/>
    </row>
    <row r="88" spans="1:39" s="162" customFormat="1" x14ac:dyDescent="0.35">
      <c r="C88" s="792" t="s">
        <v>732</v>
      </c>
      <c r="D88" s="811">
        <f t="shared" si="38"/>
        <v>0</v>
      </c>
      <c r="E88" s="812">
        <f>H15+I15+J15</f>
        <v>0</v>
      </c>
      <c r="F88" s="812">
        <v>0</v>
      </c>
      <c r="G88" s="812">
        <v>0</v>
      </c>
      <c r="H88" s="812">
        <v>0</v>
      </c>
      <c r="I88" s="812">
        <v>0</v>
      </c>
      <c r="J88" s="812">
        <f>$P$15</f>
        <v>0</v>
      </c>
      <c r="K88" s="812">
        <v>0</v>
      </c>
      <c r="L88" s="812">
        <v>0</v>
      </c>
      <c r="M88" s="812">
        <f>$N$15+$O$15</f>
        <v>0</v>
      </c>
      <c r="N88" s="812">
        <v>0</v>
      </c>
      <c r="O88" s="812">
        <f>$P$15</f>
        <v>0</v>
      </c>
      <c r="P88" s="812">
        <v>0</v>
      </c>
      <c r="Q88" s="812">
        <v>0</v>
      </c>
      <c r="R88" s="812">
        <v>0</v>
      </c>
      <c r="S88" s="812">
        <v>0</v>
      </c>
      <c r="T88" s="812">
        <f>$P$15</f>
        <v>0</v>
      </c>
      <c r="U88" s="812">
        <f>$N$15+$O$15</f>
        <v>0</v>
      </c>
      <c r="V88" s="812">
        <v>0</v>
      </c>
      <c r="W88" s="812">
        <v>0</v>
      </c>
      <c r="X88" s="812">
        <v>0</v>
      </c>
      <c r="Y88" s="812">
        <f>$P$15</f>
        <v>0</v>
      </c>
      <c r="Z88" s="812">
        <v>0</v>
      </c>
      <c r="AA88" s="812">
        <v>0</v>
      </c>
      <c r="AB88" s="812">
        <v>0</v>
      </c>
      <c r="AC88" s="812">
        <f>$N$15+$O$15</f>
        <v>0</v>
      </c>
      <c r="AD88" s="812">
        <f>$P$15</f>
        <v>0</v>
      </c>
      <c r="AE88" s="812">
        <v>0</v>
      </c>
      <c r="AF88" s="812">
        <v>0</v>
      </c>
      <c r="AG88" s="812">
        <v>0</v>
      </c>
      <c r="AH88" s="812">
        <v>0</v>
      </c>
      <c r="AI88"/>
      <c r="AJ88"/>
      <c r="AK88"/>
      <c r="AL88"/>
      <c r="AM88"/>
    </row>
    <row r="89" spans="1:39" s="162" customFormat="1" x14ac:dyDescent="0.35">
      <c r="C89" s="796" t="s">
        <v>765</v>
      </c>
      <c r="D89" s="814">
        <f t="shared" si="38"/>
        <v>31563275.449999999</v>
      </c>
      <c r="E89" s="812">
        <f>H16+I16+H17+I17+J16+J17</f>
        <v>8373991.2799999993</v>
      </c>
      <c r="F89" s="812">
        <v>0</v>
      </c>
      <c r="G89" s="812">
        <v>0</v>
      </c>
      <c r="H89" s="812">
        <v>0</v>
      </c>
      <c r="I89" s="812">
        <v>0</v>
      </c>
      <c r="J89" s="812">
        <f>$P$16+$P$17</f>
        <v>75305.279999999999</v>
      </c>
      <c r="K89" s="812">
        <v>0</v>
      </c>
      <c r="L89" s="812">
        <v>0</v>
      </c>
      <c r="M89" s="812">
        <f>$N$16+$O$16+$N$17+$O$17</f>
        <v>7604252.5899999999</v>
      </c>
      <c r="N89" s="812">
        <v>0</v>
      </c>
      <c r="O89" s="812">
        <f>$P$16+$P$17</f>
        <v>75305.279999999999</v>
      </c>
      <c r="P89" s="812">
        <v>0</v>
      </c>
      <c r="Q89" s="812">
        <v>0</v>
      </c>
      <c r="R89" s="812">
        <v>0</v>
      </c>
      <c r="S89" s="812">
        <v>0</v>
      </c>
      <c r="T89" s="812">
        <f>$P$16+$P$17</f>
        <v>75305.279999999999</v>
      </c>
      <c r="U89" s="812">
        <f>$N$16+$O$16+$N$17+$O$17</f>
        <v>7604252.5899999999</v>
      </c>
      <c r="V89" s="812">
        <v>0</v>
      </c>
      <c r="W89" s="812">
        <v>0</v>
      </c>
      <c r="X89" s="812">
        <v>0</v>
      </c>
      <c r="Y89" s="812">
        <f>$P$16+$P$17</f>
        <v>75305.279999999999</v>
      </c>
      <c r="Z89" s="812">
        <v>0</v>
      </c>
      <c r="AA89" s="812">
        <v>0</v>
      </c>
      <c r="AB89" s="812">
        <v>0</v>
      </c>
      <c r="AC89" s="812">
        <f>$N$16+$O$16+$N$17+$O$17</f>
        <v>7604252.5899999999</v>
      </c>
      <c r="AD89" s="812">
        <f>$P$16+$P$17</f>
        <v>75305.279999999999</v>
      </c>
      <c r="AE89" s="812">
        <v>0</v>
      </c>
      <c r="AF89" s="812">
        <v>0</v>
      </c>
      <c r="AG89" s="812">
        <v>0</v>
      </c>
      <c r="AH89" s="812">
        <v>0</v>
      </c>
      <c r="AI89"/>
      <c r="AJ89"/>
      <c r="AK89"/>
      <c r="AL89"/>
      <c r="AM89"/>
    </row>
    <row r="90" spans="1:39" s="162" customFormat="1" x14ac:dyDescent="0.35">
      <c r="C90" s="798" t="s">
        <v>766</v>
      </c>
      <c r="D90" s="1766">
        <f t="shared" si="38"/>
        <v>45803368.289999992</v>
      </c>
      <c r="E90" s="799">
        <f t="shared" ref="E90:AH90" si="39">E84</f>
        <v>11899499.57</v>
      </c>
      <c r="F90" s="799">
        <f t="shared" si="39"/>
        <v>0</v>
      </c>
      <c r="G90" s="799">
        <f t="shared" si="39"/>
        <v>0</v>
      </c>
      <c r="H90" s="799">
        <f t="shared" si="39"/>
        <v>0</v>
      </c>
      <c r="I90" s="799">
        <f t="shared" si="39"/>
        <v>0</v>
      </c>
      <c r="J90" s="799">
        <f t="shared" si="39"/>
        <v>144335.12</v>
      </c>
      <c r="K90" s="799">
        <f t="shared" si="39"/>
        <v>0</v>
      </c>
      <c r="L90" s="799">
        <f t="shared" si="39"/>
        <v>0</v>
      </c>
      <c r="M90" s="799">
        <f t="shared" si="39"/>
        <v>11060731.039999999</v>
      </c>
      <c r="N90" s="799">
        <f t="shared" si="39"/>
        <v>0</v>
      </c>
      <c r="O90" s="799">
        <f t="shared" si="39"/>
        <v>144335.12</v>
      </c>
      <c r="P90" s="799">
        <f t="shared" si="39"/>
        <v>0</v>
      </c>
      <c r="Q90" s="799">
        <f t="shared" si="39"/>
        <v>0</v>
      </c>
      <c r="R90" s="799">
        <f t="shared" si="39"/>
        <v>0</v>
      </c>
      <c r="S90" s="799">
        <f t="shared" si="39"/>
        <v>0</v>
      </c>
      <c r="T90" s="799">
        <f t="shared" si="39"/>
        <v>144335.12</v>
      </c>
      <c r="U90" s="799">
        <f t="shared" si="39"/>
        <v>11060731.039999999</v>
      </c>
      <c r="V90" s="799">
        <f t="shared" si="39"/>
        <v>0</v>
      </c>
      <c r="W90" s="799">
        <f t="shared" si="39"/>
        <v>0</v>
      </c>
      <c r="X90" s="799">
        <f t="shared" si="39"/>
        <v>0</v>
      </c>
      <c r="Y90" s="799">
        <f t="shared" si="39"/>
        <v>144335.12</v>
      </c>
      <c r="Z90" s="799">
        <f t="shared" si="39"/>
        <v>0</v>
      </c>
      <c r="AA90" s="799">
        <f t="shared" si="39"/>
        <v>0</v>
      </c>
      <c r="AB90" s="799">
        <f t="shared" si="39"/>
        <v>0</v>
      </c>
      <c r="AC90" s="799">
        <f t="shared" si="39"/>
        <v>11060731.039999999</v>
      </c>
      <c r="AD90" s="799">
        <f t="shared" si="39"/>
        <v>144335.12</v>
      </c>
      <c r="AE90" s="799">
        <f t="shared" si="39"/>
        <v>0</v>
      </c>
      <c r="AF90" s="799">
        <f t="shared" si="39"/>
        <v>0</v>
      </c>
      <c r="AG90" s="799">
        <f t="shared" si="39"/>
        <v>0</v>
      </c>
      <c r="AH90" s="799">
        <f t="shared" si="39"/>
        <v>0</v>
      </c>
      <c r="AI90"/>
      <c r="AJ90"/>
      <c r="AK90"/>
      <c r="AL90"/>
      <c r="AM90"/>
    </row>
    <row r="91" spans="1:39" x14ac:dyDescent="0.35">
      <c r="C91" s="77"/>
    </row>
    <row r="92" spans="1:39" x14ac:dyDescent="0.35">
      <c r="C92" s="77" t="s">
        <v>767</v>
      </c>
    </row>
    <row r="93" spans="1:39" ht="3.75" customHeight="1" x14ac:dyDescent="0.35">
      <c r="C93" s="77"/>
    </row>
    <row r="94" spans="1:39" x14ac:dyDescent="0.35">
      <c r="C94" s="560"/>
      <c r="D94" s="229" t="s">
        <v>455</v>
      </c>
      <c r="E94" s="793">
        <v>1</v>
      </c>
      <c r="F94" s="793">
        <f>E94+1</f>
        <v>2</v>
      </c>
      <c r="G94" s="793">
        <f t="shared" ref="G94" si="40">F94+1</f>
        <v>3</v>
      </c>
      <c r="H94" s="793">
        <f t="shared" ref="H94" si="41">G94+1</f>
        <v>4</v>
      </c>
      <c r="I94" s="793">
        <f t="shared" ref="I94" si="42">H94+1</f>
        <v>5</v>
      </c>
      <c r="J94" s="793">
        <f t="shared" ref="J94" si="43">I94+1</f>
        <v>6</v>
      </c>
      <c r="K94" s="793">
        <f t="shared" ref="K94" si="44">J94+1</f>
        <v>7</v>
      </c>
      <c r="L94" s="793">
        <f t="shared" ref="L94" si="45">K94+1</f>
        <v>8</v>
      </c>
      <c r="M94" s="793">
        <f t="shared" ref="M94" si="46">L94+1</f>
        <v>9</v>
      </c>
      <c r="N94" s="793">
        <f t="shared" ref="N94" si="47">M94+1</f>
        <v>10</v>
      </c>
      <c r="O94" s="793">
        <f t="shared" ref="O94" si="48">N94+1</f>
        <v>11</v>
      </c>
      <c r="P94" s="793">
        <f t="shared" ref="P94" si="49">O94+1</f>
        <v>12</v>
      </c>
      <c r="Q94" s="793">
        <f t="shared" ref="Q94" si="50">P94+1</f>
        <v>13</v>
      </c>
      <c r="R94" s="793">
        <f t="shared" ref="R94" si="51">Q94+1</f>
        <v>14</v>
      </c>
      <c r="S94" s="793">
        <f t="shared" ref="S94" si="52">R94+1</f>
        <v>15</v>
      </c>
      <c r="T94" s="793">
        <f t="shared" ref="T94" si="53">S94+1</f>
        <v>16</v>
      </c>
      <c r="U94" s="793">
        <f t="shared" ref="U94" si="54">T94+1</f>
        <v>17</v>
      </c>
      <c r="V94" s="793">
        <f t="shared" ref="V94" si="55">U94+1</f>
        <v>18</v>
      </c>
      <c r="W94" s="793">
        <f t="shared" ref="W94" si="56">V94+1</f>
        <v>19</v>
      </c>
      <c r="X94" s="793">
        <f t="shared" ref="X94" si="57">W94+1</f>
        <v>20</v>
      </c>
      <c r="Y94" s="793">
        <f t="shared" ref="Y94" si="58">X94+1</f>
        <v>21</v>
      </c>
      <c r="Z94" s="793">
        <f t="shared" ref="Z94" si="59">Y94+1</f>
        <v>22</v>
      </c>
      <c r="AA94" s="793">
        <f t="shared" ref="AA94" si="60">Z94+1</f>
        <v>23</v>
      </c>
      <c r="AB94" s="793">
        <f t="shared" ref="AB94" si="61">AA94+1</f>
        <v>24</v>
      </c>
      <c r="AC94" s="793">
        <f t="shared" ref="AC94" si="62">AB94+1</f>
        <v>25</v>
      </c>
      <c r="AD94" s="793">
        <f t="shared" ref="AD94" si="63">AC94+1</f>
        <v>26</v>
      </c>
      <c r="AE94" s="793">
        <f t="shared" ref="AE94" si="64">AD94+1</f>
        <v>27</v>
      </c>
      <c r="AF94" s="793">
        <f t="shared" ref="AF94" si="65">AE94+1</f>
        <v>28</v>
      </c>
      <c r="AG94" s="793">
        <f t="shared" ref="AG94" si="66">AF94+1</f>
        <v>29</v>
      </c>
      <c r="AH94" s="793">
        <f t="shared" ref="AH94" si="67">AG94+1</f>
        <v>30</v>
      </c>
    </row>
    <row r="95" spans="1:39" s="481" customFormat="1" x14ac:dyDescent="0.35">
      <c r="A95" s="162"/>
      <c r="B95" s="162"/>
      <c r="C95" s="787" t="s">
        <v>1</v>
      </c>
      <c r="D95" s="808">
        <f t="shared" ref="D95:D103" si="68">SUM(E95:AM95)</f>
        <v>350424.70316892467</v>
      </c>
      <c r="E95" s="810">
        <f t="shared" ref="E95:AH95" si="69">(($F$135/SUM($F$135:$F$136))*E85)</f>
        <v>86368.627456582341</v>
      </c>
      <c r="F95" s="810">
        <f t="shared" si="69"/>
        <v>0</v>
      </c>
      <c r="G95" s="810">
        <f t="shared" si="69"/>
        <v>0</v>
      </c>
      <c r="H95" s="810">
        <f t="shared" si="69"/>
        <v>0</v>
      </c>
      <c r="I95" s="810">
        <f t="shared" si="69"/>
        <v>0</v>
      </c>
      <c r="J95" s="810">
        <f t="shared" si="69"/>
        <v>2475.0966712976647</v>
      </c>
      <c r="K95" s="810">
        <f t="shared" si="69"/>
        <v>0</v>
      </c>
      <c r="L95" s="810">
        <f t="shared" si="69"/>
        <v>0</v>
      </c>
      <c r="M95" s="810">
        <f t="shared" si="69"/>
        <v>83893.530785284674</v>
      </c>
      <c r="N95" s="810">
        <f t="shared" si="69"/>
        <v>0</v>
      </c>
      <c r="O95" s="810">
        <f t="shared" si="69"/>
        <v>2475.0966712976647</v>
      </c>
      <c r="P95" s="810">
        <f t="shared" si="69"/>
        <v>0</v>
      </c>
      <c r="Q95" s="810">
        <f t="shared" si="69"/>
        <v>0</v>
      </c>
      <c r="R95" s="810">
        <f t="shared" si="69"/>
        <v>0</v>
      </c>
      <c r="S95" s="810">
        <f t="shared" si="69"/>
        <v>0</v>
      </c>
      <c r="T95" s="810">
        <f t="shared" si="69"/>
        <v>2475.0966712976647</v>
      </c>
      <c r="U95" s="810">
        <f t="shared" si="69"/>
        <v>83893.530785284674</v>
      </c>
      <c r="V95" s="810">
        <f t="shared" si="69"/>
        <v>0</v>
      </c>
      <c r="W95" s="810">
        <f t="shared" si="69"/>
        <v>0</v>
      </c>
      <c r="X95" s="810">
        <f t="shared" si="69"/>
        <v>0</v>
      </c>
      <c r="Y95" s="810">
        <f t="shared" si="69"/>
        <v>2475.0966712976647</v>
      </c>
      <c r="Z95" s="810">
        <f t="shared" si="69"/>
        <v>0</v>
      </c>
      <c r="AA95" s="810">
        <f t="shared" si="69"/>
        <v>0</v>
      </c>
      <c r="AB95" s="810">
        <f t="shared" si="69"/>
        <v>0</v>
      </c>
      <c r="AC95" s="810">
        <f t="shared" si="69"/>
        <v>83893.530785284674</v>
      </c>
      <c r="AD95" s="810">
        <f t="shared" si="69"/>
        <v>2475.0966712976647</v>
      </c>
      <c r="AE95" s="810">
        <f t="shared" si="69"/>
        <v>0</v>
      </c>
      <c r="AF95" s="810">
        <f t="shared" si="69"/>
        <v>0</v>
      </c>
      <c r="AG95" s="810">
        <f t="shared" si="69"/>
        <v>0</v>
      </c>
      <c r="AH95" s="810">
        <f t="shared" si="69"/>
        <v>0</v>
      </c>
      <c r="AI95"/>
      <c r="AJ95"/>
      <c r="AK95"/>
      <c r="AL95"/>
      <c r="AM95"/>
    </row>
    <row r="96" spans="1:39" s="481" customFormat="1" x14ac:dyDescent="0.35">
      <c r="A96" s="162"/>
      <c r="B96" s="162"/>
      <c r="C96" s="788" t="s">
        <v>8</v>
      </c>
      <c r="D96" s="811">
        <f t="shared" si="68"/>
        <v>2537129.136831075</v>
      </c>
      <c r="E96" s="813">
        <f t="shared" ref="E96:AH96" si="70">(($F$136/SUM($F$135:$F$136))*E85)</f>
        <v>625322.24254341761</v>
      </c>
      <c r="F96" s="813">
        <f t="shared" si="70"/>
        <v>0</v>
      </c>
      <c r="G96" s="813">
        <f t="shared" si="70"/>
        <v>0</v>
      </c>
      <c r="H96" s="813">
        <f t="shared" si="70"/>
        <v>0</v>
      </c>
      <c r="I96" s="813">
        <f t="shared" si="70"/>
        <v>0</v>
      </c>
      <c r="J96" s="813">
        <f t="shared" si="70"/>
        <v>17920.083328702334</v>
      </c>
      <c r="K96" s="813">
        <f t="shared" si="70"/>
        <v>0</v>
      </c>
      <c r="L96" s="813">
        <f t="shared" si="70"/>
        <v>0</v>
      </c>
      <c r="M96" s="813">
        <f t="shared" si="70"/>
        <v>607402.15921471524</v>
      </c>
      <c r="N96" s="813">
        <f t="shared" si="70"/>
        <v>0</v>
      </c>
      <c r="O96" s="813">
        <f t="shared" si="70"/>
        <v>17920.083328702334</v>
      </c>
      <c r="P96" s="813">
        <f t="shared" si="70"/>
        <v>0</v>
      </c>
      <c r="Q96" s="813">
        <f t="shared" si="70"/>
        <v>0</v>
      </c>
      <c r="R96" s="813">
        <f t="shared" si="70"/>
        <v>0</v>
      </c>
      <c r="S96" s="813">
        <f t="shared" si="70"/>
        <v>0</v>
      </c>
      <c r="T96" s="813">
        <f t="shared" si="70"/>
        <v>17920.083328702334</v>
      </c>
      <c r="U96" s="813">
        <f t="shared" si="70"/>
        <v>607402.15921471524</v>
      </c>
      <c r="V96" s="813">
        <f t="shared" si="70"/>
        <v>0</v>
      </c>
      <c r="W96" s="813">
        <f t="shared" si="70"/>
        <v>0</v>
      </c>
      <c r="X96" s="813">
        <f t="shared" si="70"/>
        <v>0</v>
      </c>
      <c r="Y96" s="813">
        <f t="shared" si="70"/>
        <v>17920.083328702334</v>
      </c>
      <c r="Z96" s="813">
        <f t="shared" si="70"/>
        <v>0</v>
      </c>
      <c r="AA96" s="813">
        <f t="shared" si="70"/>
        <v>0</v>
      </c>
      <c r="AB96" s="813">
        <f t="shared" si="70"/>
        <v>0</v>
      </c>
      <c r="AC96" s="813">
        <f t="shared" si="70"/>
        <v>607402.15921471524</v>
      </c>
      <c r="AD96" s="813">
        <f t="shared" si="70"/>
        <v>17920.083328702334</v>
      </c>
      <c r="AE96" s="813">
        <f t="shared" si="70"/>
        <v>0</v>
      </c>
      <c r="AF96" s="813">
        <f t="shared" si="70"/>
        <v>0</v>
      </c>
      <c r="AG96" s="813">
        <f t="shared" si="70"/>
        <v>0</v>
      </c>
      <c r="AH96" s="813">
        <f t="shared" si="70"/>
        <v>0</v>
      </c>
      <c r="AI96"/>
      <c r="AJ96"/>
      <c r="AK96"/>
      <c r="AL96"/>
      <c r="AM96"/>
    </row>
    <row r="97" spans="1:39" s="481" customFormat="1" x14ac:dyDescent="0.35">
      <c r="A97" s="162"/>
      <c r="B97" s="162"/>
      <c r="C97" s="788" t="s">
        <v>2</v>
      </c>
      <c r="D97" s="811">
        <f t="shared" si="68"/>
        <v>5671562.9199999999</v>
      </c>
      <c r="E97" s="812">
        <f>(E86)</f>
        <v>1406124.2799999998</v>
      </c>
      <c r="F97" s="812">
        <f t="shared" ref="F97:AH97" si="71">(F86)</f>
        <v>0</v>
      </c>
      <c r="G97" s="812">
        <f t="shared" si="71"/>
        <v>0</v>
      </c>
      <c r="H97" s="812">
        <f t="shared" si="71"/>
        <v>0</v>
      </c>
      <c r="I97" s="812">
        <f t="shared" si="71"/>
        <v>0</v>
      </c>
      <c r="J97" s="812">
        <f t="shared" si="71"/>
        <v>23532.899999999998</v>
      </c>
      <c r="K97" s="812">
        <f t="shared" si="71"/>
        <v>0</v>
      </c>
      <c r="L97" s="812">
        <f t="shared" si="71"/>
        <v>0</v>
      </c>
      <c r="M97" s="812">
        <f t="shared" si="71"/>
        <v>1382591.38</v>
      </c>
      <c r="N97" s="812">
        <f t="shared" si="71"/>
        <v>0</v>
      </c>
      <c r="O97" s="812">
        <f t="shared" si="71"/>
        <v>23532.899999999998</v>
      </c>
      <c r="P97" s="812">
        <f t="shared" si="71"/>
        <v>0</v>
      </c>
      <c r="Q97" s="812">
        <f t="shared" si="71"/>
        <v>0</v>
      </c>
      <c r="R97" s="812">
        <f t="shared" si="71"/>
        <v>0</v>
      </c>
      <c r="S97" s="812">
        <f t="shared" si="71"/>
        <v>0</v>
      </c>
      <c r="T97" s="812">
        <f t="shared" si="71"/>
        <v>23532.899999999998</v>
      </c>
      <c r="U97" s="812">
        <f t="shared" si="71"/>
        <v>1382591.38</v>
      </c>
      <c r="V97" s="812">
        <f t="shared" si="71"/>
        <v>0</v>
      </c>
      <c r="W97" s="812">
        <f t="shared" si="71"/>
        <v>0</v>
      </c>
      <c r="X97" s="812">
        <f t="shared" si="71"/>
        <v>0</v>
      </c>
      <c r="Y97" s="812">
        <f t="shared" si="71"/>
        <v>23532.899999999998</v>
      </c>
      <c r="Z97" s="812">
        <f t="shared" si="71"/>
        <v>0</v>
      </c>
      <c r="AA97" s="812">
        <f t="shared" si="71"/>
        <v>0</v>
      </c>
      <c r="AB97" s="812">
        <f t="shared" si="71"/>
        <v>0</v>
      </c>
      <c r="AC97" s="812">
        <f t="shared" si="71"/>
        <v>1382591.38</v>
      </c>
      <c r="AD97" s="812">
        <f t="shared" si="71"/>
        <v>23532.899999999998</v>
      </c>
      <c r="AE97" s="812">
        <f t="shared" si="71"/>
        <v>0</v>
      </c>
      <c r="AF97" s="812">
        <f t="shared" si="71"/>
        <v>0</v>
      </c>
      <c r="AG97" s="812">
        <f t="shared" si="71"/>
        <v>0</v>
      </c>
      <c r="AH97" s="812">
        <f t="shared" si="71"/>
        <v>0</v>
      </c>
      <c r="AI97"/>
      <c r="AJ97"/>
      <c r="AK97"/>
      <c r="AL97"/>
      <c r="AM97"/>
    </row>
    <row r="98" spans="1:39" s="481" customFormat="1" x14ac:dyDescent="0.35">
      <c r="A98" s="162"/>
      <c r="B98" s="162"/>
      <c r="C98" s="788" t="s">
        <v>3</v>
      </c>
      <c r="D98" s="811">
        <f t="shared" si="68"/>
        <v>749070.44490756816</v>
      </c>
      <c r="E98" s="812">
        <f t="shared" ref="E98:AH98" si="72">($F$138/($F$138+$F$139+$F$140)*E87)</f>
        <v>185612.70313835432</v>
      </c>
      <c r="F98" s="812">
        <f t="shared" si="72"/>
        <v>0</v>
      </c>
      <c r="G98" s="812">
        <f t="shared" si="72"/>
        <v>0</v>
      </c>
      <c r="H98" s="812">
        <f t="shared" si="72"/>
        <v>0</v>
      </c>
      <c r="I98" s="812">
        <f t="shared" si="72"/>
        <v>0</v>
      </c>
      <c r="J98" s="812">
        <f t="shared" si="72"/>
        <v>3309.8161770755073</v>
      </c>
      <c r="K98" s="812">
        <f t="shared" si="72"/>
        <v>0</v>
      </c>
      <c r="L98" s="812">
        <f t="shared" si="72"/>
        <v>0</v>
      </c>
      <c r="M98" s="812">
        <f t="shared" si="72"/>
        <v>182302.8869612788</v>
      </c>
      <c r="N98" s="812">
        <f t="shared" si="72"/>
        <v>0</v>
      </c>
      <c r="O98" s="812">
        <f t="shared" si="72"/>
        <v>3309.8161770755073</v>
      </c>
      <c r="P98" s="812">
        <f t="shared" si="72"/>
        <v>0</v>
      </c>
      <c r="Q98" s="812">
        <f t="shared" si="72"/>
        <v>0</v>
      </c>
      <c r="R98" s="812">
        <f t="shared" si="72"/>
        <v>0</v>
      </c>
      <c r="S98" s="812">
        <f t="shared" si="72"/>
        <v>0</v>
      </c>
      <c r="T98" s="812">
        <f t="shared" si="72"/>
        <v>3309.8161770755073</v>
      </c>
      <c r="U98" s="812">
        <f t="shared" si="72"/>
        <v>182302.8869612788</v>
      </c>
      <c r="V98" s="812">
        <f t="shared" si="72"/>
        <v>0</v>
      </c>
      <c r="W98" s="812">
        <f t="shared" si="72"/>
        <v>0</v>
      </c>
      <c r="X98" s="812">
        <f t="shared" si="72"/>
        <v>0</v>
      </c>
      <c r="Y98" s="812">
        <f t="shared" si="72"/>
        <v>3309.8161770755073</v>
      </c>
      <c r="Z98" s="812">
        <f t="shared" si="72"/>
        <v>0</v>
      </c>
      <c r="AA98" s="812">
        <f t="shared" si="72"/>
        <v>0</v>
      </c>
      <c r="AB98" s="812">
        <f t="shared" si="72"/>
        <v>0</v>
      </c>
      <c r="AC98" s="812">
        <f t="shared" si="72"/>
        <v>182302.8869612788</v>
      </c>
      <c r="AD98" s="812">
        <f t="shared" si="72"/>
        <v>3309.8161770755073</v>
      </c>
      <c r="AE98" s="812">
        <f t="shared" si="72"/>
        <v>0</v>
      </c>
      <c r="AF98" s="812">
        <f t="shared" si="72"/>
        <v>0</v>
      </c>
      <c r="AG98" s="812">
        <f t="shared" si="72"/>
        <v>0</v>
      </c>
      <c r="AH98" s="812">
        <f t="shared" si="72"/>
        <v>0</v>
      </c>
      <c r="AI98"/>
      <c r="AJ98"/>
      <c r="AK98"/>
      <c r="AL98"/>
      <c r="AM98"/>
    </row>
    <row r="99" spans="1:39" s="481" customFormat="1" x14ac:dyDescent="0.35">
      <c r="A99" s="162"/>
      <c r="B99" s="162"/>
      <c r="C99" s="788" t="s">
        <v>4</v>
      </c>
      <c r="D99" s="811">
        <f t="shared" si="68"/>
        <v>1998715.1218056499</v>
      </c>
      <c r="E99" s="812">
        <f t="shared" ref="E99:AH99" si="73">($F$139/($F$138+$F$139+$F$140)*E87)</f>
        <v>495263.05447497632</v>
      </c>
      <c r="F99" s="812">
        <f t="shared" si="73"/>
        <v>0</v>
      </c>
      <c r="G99" s="812">
        <f t="shared" si="73"/>
        <v>0</v>
      </c>
      <c r="H99" s="812">
        <f t="shared" si="73"/>
        <v>0</v>
      </c>
      <c r="I99" s="812">
        <f t="shared" si="73"/>
        <v>0</v>
      </c>
      <c r="J99" s="812">
        <f t="shared" si="73"/>
        <v>8831.4519528721885</v>
      </c>
      <c r="K99" s="812">
        <f t="shared" si="73"/>
        <v>0</v>
      </c>
      <c r="L99" s="812">
        <f t="shared" si="73"/>
        <v>0</v>
      </c>
      <c r="M99" s="812">
        <f t="shared" si="73"/>
        <v>486431.60252210416</v>
      </c>
      <c r="N99" s="812">
        <f t="shared" si="73"/>
        <v>0</v>
      </c>
      <c r="O99" s="812">
        <f t="shared" si="73"/>
        <v>8831.4519528721885</v>
      </c>
      <c r="P99" s="812">
        <f t="shared" si="73"/>
        <v>0</v>
      </c>
      <c r="Q99" s="812">
        <f t="shared" si="73"/>
        <v>0</v>
      </c>
      <c r="R99" s="812">
        <f t="shared" si="73"/>
        <v>0</v>
      </c>
      <c r="S99" s="812">
        <f t="shared" si="73"/>
        <v>0</v>
      </c>
      <c r="T99" s="812">
        <f t="shared" si="73"/>
        <v>8831.4519528721885</v>
      </c>
      <c r="U99" s="812">
        <f t="shared" si="73"/>
        <v>486431.60252210416</v>
      </c>
      <c r="V99" s="812">
        <f t="shared" si="73"/>
        <v>0</v>
      </c>
      <c r="W99" s="812">
        <f t="shared" si="73"/>
        <v>0</v>
      </c>
      <c r="X99" s="812">
        <f t="shared" si="73"/>
        <v>0</v>
      </c>
      <c r="Y99" s="812">
        <f t="shared" si="73"/>
        <v>8831.4519528721885</v>
      </c>
      <c r="Z99" s="812">
        <f t="shared" si="73"/>
        <v>0</v>
      </c>
      <c r="AA99" s="812">
        <f t="shared" si="73"/>
        <v>0</v>
      </c>
      <c r="AB99" s="812">
        <f t="shared" si="73"/>
        <v>0</v>
      </c>
      <c r="AC99" s="812">
        <f t="shared" si="73"/>
        <v>486431.60252210416</v>
      </c>
      <c r="AD99" s="812">
        <f t="shared" si="73"/>
        <v>8831.4519528721885</v>
      </c>
      <c r="AE99" s="812">
        <f t="shared" si="73"/>
        <v>0</v>
      </c>
      <c r="AF99" s="812">
        <f t="shared" si="73"/>
        <v>0</v>
      </c>
      <c r="AG99" s="812">
        <f t="shared" si="73"/>
        <v>0</v>
      </c>
      <c r="AH99" s="812">
        <f t="shared" si="73"/>
        <v>0</v>
      </c>
      <c r="AI99"/>
      <c r="AJ99"/>
      <c r="AK99"/>
      <c r="AL99"/>
      <c r="AM99"/>
    </row>
    <row r="100" spans="1:39" s="481" customFormat="1" x14ac:dyDescent="0.35">
      <c r="A100" s="162"/>
      <c r="B100" s="162"/>
      <c r="C100" s="788" t="s">
        <v>9</v>
      </c>
      <c r="D100" s="811">
        <f t="shared" si="68"/>
        <v>2933190.513286781</v>
      </c>
      <c r="E100" s="812">
        <f t="shared" ref="E100:AH100" si="74">($F$140/($F$138+$F$139+$F$140)*E87)</f>
        <v>726817.38238666917</v>
      </c>
      <c r="F100" s="812">
        <f t="shared" si="74"/>
        <v>0</v>
      </c>
      <c r="G100" s="812">
        <f t="shared" si="74"/>
        <v>0</v>
      </c>
      <c r="H100" s="812">
        <f t="shared" si="74"/>
        <v>0</v>
      </c>
      <c r="I100" s="812">
        <f t="shared" si="74"/>
        <v>0</v>
      </c>
      <c r="J100" s="812">
        <f t="shared" si="74"/>
        <v>12960.491870052303</v>
      </c>
      <c r="K100" s="812">
        <f t="shared" si="74"/>
        <v>0</v>
      </c>
      <c r="L100" s="812">
        <f t="shared" si="74"/>
        <v>0</v>
      </c>
      <c r="M100" s="812">
        <f t="shared" si="74"/>
        <v>713856.89051661687</v>
      </c>
      <c r="N100" s="812">
        <f t="shared" si="74"/>
        <v>0</v>
      </c>
      <c r="O100" s="812">
        <f t="shared" si="74"/>
        <v>12960.491870052303</v>
      </c>
      <c r="P100" s="812">
        <f t="shared" si="74"/>
        <v>0</v>
      </c>
      <c r="Q100" s="812">
        <f t="shared" si="74"/>
        <v>0</v>
      </c>
      <c r="R100" s="812">
        <f t="shared" si="74"/>
        <v>0</v>
      </c>
      <c r="S100" s="812">
        <f t="shared" si="74"/>
        <v>0</v>
      </c>
      <c r="T100" s="812">
        <f t="shared" si="74"/>
        <v>12960.491870052303</v>
      </c>
      <c r="U100" s="812">
        <f t="shared" si="74"/>
        <v>713856.89051661687</v>
      </c>
      <c r="V100" s="812">
        <f t="shared" si="74"/>
        <v>0</v>
      </c>
      <c r="W100" s="812">
        <f t="shared" si="74"/>
        <v>0</v>
      </c>
      <c r="X100" s="812">
        <f t="shared" si="74"/>
        <v>0</v>
      </c>
      <c r="Y100" s="812">
        <f t="shared" si="74"/>
        <v>12960.491870052303</v>
      </c>
      <c r="Z100" s="812">
        <f t="shared" si="74"/>
        <v>0</v>
      </c>
      <c r="AA100" s="812">
        <f t="shared" si="74"/>
        <v>0</v>
      </c>
      <c r="AB100" s="812">
        <f t="shared" si="74"/>
        <v>0</v>
      </c>
      <c r="AC100" s="812">
        <f t="shared" si="74"/>
        <v>713856.89051661687</v>
      </c>
      <c r="AD100" s="812">
        <f t="shared" si="74"/>
        <v>12960.491870052303</v>
      </c>
      <c r="AE100" s="812">
        <f t="shared" si="74"/>
        <v>0</v>
      </c>
      <c r="AF100" s="812">
        <f t="shared" si="74"/>
        <v>0</v>
      </c>
      <c r="AG100" s="812">
        <f t="shared" si="74"/>
        <v>0</v>
      </c>
      <c r="AH100" s="812">
        <f t="shared" si="74"/>
        <v>0</v>
      </c>
      <c r="AI100"/>
      <c r="AJ100"/>
      <c r="AK100"/>
      <c r="AL100"/>
      <c r="AM100"/>
    </row>
    <row r="101" spans="1:39" s="481" customFormat="1" x14ac:dyDescent="0.35">
      <c r="A101" s="162"/>
      <c r="B101" s="162"/>
      <c r="C101" s="788" t="s">
        <v>7</v>
      </c>
      <c r="D101" s="811">
        <f t="shared" si="68"/>
        <v>0</v>
      </c>
      <c r="E101" s="812">
        <f>IFERROR(($F$141/SUM($F$141:$F$141)*E88),0)</f>
        <v>0</v>
      </c>
      <c r="F101" s="812">
        <f t="shared" ref="F101:AH101" si="75">IFERROR(($F$141/SUM($F$141:$F$141)*F88),0)</f>
        <v>0</v>
      </c>
      <c r="G101" s="812">
        <f t="shared" si="75"/>
        <v>0</v>
      </c>
      <c r="H101" s="812">
        <f t="shared" si="75"/>
        <v>0</v>
      </c>
      <c r="I101" s="812">
        <f t="shared" si="75"/>
        <v>0</v>
      </c>
      <c r="J101" s="812">
        <f t="shared" si="75"/>
        <v>0</v>
      </c>
      <c r="K101" s="812">
        <f t="shared" si="75"/>
        <v>0</v>
      </c>
      <c r="L101" s="812">
        <f t="shared" si="75"/>
        <v>0</v>
      </c>
      <c r="M101" s="812">
        <f t="shared" si="75"/>
        <v>0</v>
      </c>
      <c r="N101" s="812">
        <f t="shared" si="75"/>
        <v>0</v>
      </c>
      <c r="O101" s="812">
        <f t="shared" si="75"/>
        <v>0</v>
      </c>
      <c r="P101" s="812">
        <f t="shared" si="75"/>
        <v>0</v>
      </c>
      <c r="Q101" s="812">
        <f t="shared" si="75"/>
        <v>0</v>
      </c>
      <c r="R101" s="812">
        <f t="shared" si="75"/>
        <v>0</v>
      </c>
      <c r="S101" s="812">
        <f t="shared" si="75"/>
        <v>0</v>
      </c>
      <c r="T101" s="812">
        <f t="shared" si="75"/>
        <v>0</v>
      </c>
      <c r="U101" s="812">
        <f t="shared" si="75"/>
        <v>0</v>
      </c>
      <c r="V101" s="812">
        <f t="shared" si="75"/>
        <v>0</v>
      </c>
      <c r="W101" s="812">
        <f t="shared" si="75"/>
        <v>0</v>
      </c>
      <c r="X101" s="812">
        <f t="shared" si="75"/>
        <v>0</v>
      </c>
      <c r="Y101" s="812">
        <f t="shared" si="75"/>
        <v>0</v>
      </c>
      <c r="Z101" s="812">
        <f t="shared" si="75"/>
        <v>0</v>
      </c>
      <c r="AA101" s="812">
        <f t="shared" si="75"/>
        <v>0</v>
      </c>
      <c r="AB101" s="812">
        <f t="shared" si="75"/>
        <v>0</v>
      </c>
      <c r="AC101" s="812">
        <f t="shared" si="75"/>
        <v>0</v>
      </c>
      <c r="AD101" s="812">
        <f t="shared" si="75"/>
        <v>0</v>
      </c>
      <c r="AE101" s="812">
        <f t="shared" si="75"/>
        <v>0</v>
      </c>
      <c r="AF101" s="812">
        <f t="shared" si="75"/>
        <v>0</v>
      </c>
      <c r="AG101" s="812">
        <f t="shared" si="75"/>
        <v>0</v>
      </c>
      <c r="AH101" s="812">
        <f t="shared" si="75"/>
        <v>0</v>
      </c>
      <c r="AI101"/>
      <c r="AJ101"/>
      <c r="AK101"/>
      <c r="AL101"/>
      <c r="AM101"/>
    </row>
    <row r="102" spans="1:39" s="481" customFormat="1" x14ac:dyDescent="0.35">
      <c r="A102" s="162"/>
      <c r="B102" s="162"/>
      <c r="C102" s="788" t="s">
        <v>6</v>
      </c>
      <c r="D102" s="811">
        <f t="shared" si="68"/>
        <v>28948218.879586149</v>
      </c>
      <c r="E102" s="812">
        <f t="shared" ref="E102:AH102" si="76">E89*($F$142/($F$142+$F$143))</f>
        <v>7680195.7025402989</v>
      </c>
      <c r="F102" s="812">
        <f t="shared" si="76"/>
        <v>0</v>
      </c>
      <c r="G102" s="812">
        <f t="shared" si="76"/>
        <v>0</v>
      </c>
      <c r="H102" s="812">
        <f t="shared" si="76"/>
        <v>0</v>
      </c>
      <c r="I102" s="812">
        <f t="shared" si="76"/>
        <v>0</v>
      </c>
      <c r="J102" s="812">
        <f t="shared" si="76"/>
        <v>69066.144028107228</v>
      </c>
      <c r="K102" s="812">
        <f t="shared" si="76"/>
        <v>0</v>
      </c>
      <c r="L102" s="812">
        <f t="shared" si="76"/>
        <v>0</v>
      </c>
      <c r="M102" s="812">
        <f t="shared" si="76"/>
        <v>6974230.8189684367</v>
      </c>
      <c r="N102" s="812">
        <f t="shared" si="76"/>
        <v>0</v>
      </c>
      <c r="O102" s="812">
        <f t="shared" si="76"/>
        <v>69066.144028107228</v>
      </c>
      <c r="P102" s="812">
        <f t="shared" si="76"/>
        <v>0</v>
      </c>
      <c r="Q102" s="812">
        <f t="shared" si="76"/>
        <v>0</v>
      </c>
      <c r="R102" s="812">
        <f t="shared" si="76"/>
        <v>0</v>
      </c>
      <c r="S102" s="812">
        <f t="shared" si="76"/>
        <v>0</v>
      </c>
      <c r="T102" s="812">
        <f t="shared" si="76"/>
        <v>69066.144028107228</v>
      </c>
      <c r="U102" s="812">
        <f t="shared" si="76"/>
        <v>6974230.8189684367</v>
      </c>
      <c r="V102" s="812">
        <f t="shared" si="76"/>
        <v>0</v>
      </c>
      <c r="W102" s="812">
        <f t="shared" si="76"/>
        <v>0</v>
      </c>
      <c r="X102" s="812">
        <f t="shared" si="76"/>
        <v>0</v>
      </c>
      <c r="Y102" s="812">
        <f t="shared" si="76"/>
        <v>69066.144028107228</v>
      </c>
      <c r="Z102" s="812">
        <f t="shared" si="76"/>
        <v>0</v>
      </c>
      <c r="AA102" s="812">
        <f t="shared" si="76"/>
        <v>0</v>
      </c>
      <c r="AB102" s="812">
        <f t="shared" si="76"/>
        <v>0</v>
      </c>
      <c r="AC102" s="812">
        <f t="shared" si="76"/>
        <v>6974230.8189684367</v>
      </c>
      <c r="AD102" s="812">
        <f t="shared" si="76"/>
        <v>69066.144028107228</v>
      </c>
      <c r="AE102" s="812">
        <f t="shared" si="76"/>
        <v>0</v>
      </c>
      <c r="AF102" s="812">
        <f t="shared" si="76"/>
        <v>0</v>
      </c>
      <c r="AG102" s="812">
        <f t="shared" si="76"/>
        <v>0</v>
      </c>
      <c r="AH102" s="812">
        <f t="shared" si="76"/>
        <v>0</v>
      </c>
      <c r="AI102"/>
      <c r="AJ102"/>
      <c r="AK102"/>
      <c r="AL102"/>
      <c r="AM102"/>
    </row>
    <row r="103" spans="1:39" s="481" customFormat="1" x14ac:dyDescent="0.35">
      <c r="A103" s="162"/>
      <c r="B103" s="162"/>
      <c r="C103" s="788" t="s">
        <v>5</v>
      </c>
      <c r="D103" s="811">
        <f t="shared" si="68"/>
        <v>2615056.5704138558</v>
      </c>
      <c r="E103" s="812">
        <f t="shared" ref="E103:AH103" si="77">E89*($F$143/($F$142+$F$143))</f>
        <v>693795.57745970041</v>
      </c>
      <c r="F103" s="812">
        <f t="shared" si="77"/>
        <v>0</v>
      </c>
      <c r="G103" s="812">
        <f t="shared" si="77"/>
        <v>0</v>
      </c>
      <c r="H103" s="812">
        <f t="shared" si="77"/>
        <v>0</v>
      </c>
      <c r="I103" s="812">
        <f t="shared" si="77"/>
        <v>0</v>
      </c>
      <c r="J103" s="812">
        <f t="shared" si="77"/>
        <v>6239.1359718927761</v>
      </c>
      <c r="K103" s="812">
        <f t="shared" si="77"/>
        <v>0</v>
      </c>
      <c r="L103" s="812">
        <f t="shared" si="77"/>
        <v>0</v>
      </c>
      <c r="M103" s="812">
        <f t="shared" si="77"/>
        <v>630021.77103156387</v>
      </c>
      <c r="N103" s="812">
        <f t="shared" si="77"/>
        <v>0</v>
      </c>
      <c r="O103" s="812">
        <f t="shared" si="77"/>
        <v>6239.1359718927761</v>
      </c>
      <c r="P103" s="812">
        <f t="shared" si="77"/>
        <v>0</v>
      </c>
      <c r="Q103" s="812">
        <f t="shared" si="77"/>
        <v>0</v>
      </c>
      <c r="R103" s="812">
        <f t="shared" si="77"/>
        <v>0</v>
      </c>
      <c r="S103" s="812">
        <f t="shared" si="77"/>
        <v>0</v>
      </c>
      <c r="T103" s="812">
        <f t="shared" si="77"/>
        <v>6239.1359718927761</v>
      </c>
      <c r="U103" s="812">
        <f t="shared" si="77"/>
        <v>630021.77103156387</v>
      </c>
      <c r="V103" s="812">
        <f t="shared" si="77"/>
        <v>0</v>
      </c>
      <c r="W103" s="812">
        <f t="shared" si="77"/>
        <v>0</v>
      </c>
      <c r="X103" s="812">
        <f t="shared" si="77"/>
        <v>0</v>
      </c>
      <c r="Y103" s="812">
        <f t="shared" si="77"/>
        <v>6239.1359718927761</v>
      </c>
      <c r="Z103" s="812">
        <f t="shared" si="77"/>
        <v>0</v>
      </c>
      <c r="AA103" s="812">
        <f t="shared" si="77"/>
        <v>0</v>
      </c>
      <c r="AB103" s="812">
        <f t="shared" si="77"/>
        <v>0</v>
      </c>
      <c r="AC103" s="812">
        <f t="shared" si="77"/>
        <v>630021.77103156387</v>
      </c>
      <c r="AD103" s="812">
        <f t="shared" si="77"/>
        <v>6239.1359718927761</v>
      </c>
      <c r="AE103" s="812">
        <f t="shared" si="77"/>
        <v>0</v>
      </c>
      <c r="AF103" s="812">
        <f t="shared" si="77"/>
        <v>0</v>
      </c>
      <c r="AG103" s="812">
        <f t="shared" si="77"/>
        <v>0</v>
      </c>
      <c r="AH103" s="812">
        <f t="shared" si="77"/>
        <v>0</v>
      </c>
      <c r="AI103"/>
      <c r="AJ103"/>
      <c r="AK103"/>
      <c r="AL103"/>
      <c r="AM103"/>
    </row>
    <row r="104" spans="1:39" s="162" customFormat="1" x14ac:dyDescent="0.35">
      <c r="C104" s="800" t="s">
        <v>768</v>
      </c>
      <c r="D104" s="801">
        <f t="shared" ref="D104:AH104" si="78">SUM(D95:D103)</f>
        <v>45803368.290000007</v>
      </c>
      <c r="E104" s="801">
        <f t="shared" si="78"/>
        <v>11899499.569999998</v>
      </c>
      <c r="F104" s="801">
        <f t="shared" si="78"/>
        <v>0</v>
      </c>
      <c r="G104" s="801">
        <f t="shared" si="78"/>
        <v>0</v>
      </c>
      <c r="H104" s="801">
        <f t="shared" si="78"/>
        <v>0</v>
      </c>
      <c r="I104" s="801">
        <f t="shared" si="78"/>
        <v>0</v>
      </c>
      <c r="J104" s="801">
        <f t="shared" si="78"/>
        <v>144335.12</v>
      </c>
      <c r="K104" s="801">
        <f t="shared" si="78"/>
        <v>0</v>
      </c>
      <c r="L104" s="801">
        <f t="shared" si="78"/>
        <v>0</v>
      </c>
      <c r="M104" s="801">
        <f t="shared" si="78"/>
        <v>11060731.040000001</v>
      </c>
      <c r="N104" s="801">
        <f t="shared" si="78"/>
        <v>0</v>
      </c>
      <c r="O104" s="801">
        <f t="shared" si="78"/>
        <v>144335.12</v>
      </c>
      <c r="P104" s="801">
        <f t="shared" si="78"/>
        <v>0</v>
      </c>
      <c r="Q104" s="801">
        <f t="shared" si="78"/>
        <v>0</v>
      </c>
      <c r="R104" s="801">
        <f t="shared" si="78"/>
        <v>0</v>
      </c>
      <c r="S104" s="801">
        <f t="shared" si="78"/>
        <v>0</v>
      </c>
      <c r="T104" s="801">
        <f t="shared" si="78"/>
        <v>144335.12</v>
      </c>
      <c r="U104" s="801">
        <f t="shared" si="78"/>
        <v>11060731.040000001</v>
      </c>
      <c r="V104" s="801">
        <f t="shared" si="78"/>
        <v>0</v>
      </c>
      <c r="W104" s="801">
        <f t="shared" si="78"/>
        <v>0</v>
      </c>
      <c r="X104" s="801">
        <f t="shared" si="78"/>
        <v>0</v>
      </c>
      <c r="Y104" s="801">
        <f t="shared" si="78"/>
        <v>144335.12</v>
      </c>
      <c r="Z104" s="801">
        <f t="shared" si="78"/>
        <v>0</v>
      </c>
      <c r="AA104" s="801">
        <f t="shared" si="78"/>
        <v>0</v>
      </c>
      <c r="AB104" s="801">
        <f t="shared" si="78"/>
        <v>0</v>
      </c>
      <c r="AC104" s="801">
        <f t="shared" si="78"/>
        <v>11060731.040000001</v>
      </c>
      <c r="AD104" s="801">
        <f t="shared" si="78"/>
        <v>144335.12</v>
      </c>
      <c r="AE104" s="801">
        <f t="shared" si="78"/>
        <v>0</v>
      </c>
      <c r="AF104" s="801">
        <f t="shared" si="78"/>
        <v>0</v>
      </c>
      <c r="AG104" s="801">
        <f t="shared" si="78"/>
        <v>0</v>
      </c>
      <c r="AH104" s="801">
        <f t="shared" si="78"/>
        <v>0</v>
      </c>
      <c r="AI104"/>
      <c r="AJ104"/>
      <c r="AK104"/>
      <c r="AL104"/>
      <c r="AM104"/>
    </row>
    <row r="105" spans="1:39" x14ac:dyDescent="0.35">
      <c r="C105" s="77"/>
    </row>
    <row r="106" spans="1:39" x14ac:dyDescent="0.35">
      <c r="C106" s="77" t="s">
        <v>769</v>
      </c>
    </row>
    <row r="107" spans="1:39" x14ac:dyDescent="0.35">
      <c r="C107" s="560"/>
      <c r="D107" s="229" t="s">
        <v>455</v>
      </c>
      <c r="E107" s="802">
        <v>1</v>
      </c>
      <c r="F107" s="802">
        <f t="shared" ref="F107:AH107" si="79">E107+1</f>
        <v>2</v>
      </c>
      <c r="G107" s="802">
        <f t="shared" si="79"/>
        <v>3</v>
      </c>
      <c r="H107" s="802">
        <f t="shared" si="79"/>
        <v>4</v>
      </c>
      <c r="I107" s="802">
        <f t="shared" si="79"/>
        <v>5</v>
      </c>
      <c r="J107" s="802">
        <f t="shared" si="79"/>
        <v>6</v>
      </c>
      <c r="K107" s="802">
        <f t="shared" si="79"/>
        <v>7</v>
      </c>
      <c r="L107" s="802">
        <f t="shared" si="79"/>
        <v>8</v>
      </c>
      <c r="M107" s="802">
        <f t="shared" si="79"/>
        <v>9</v>
      </c>
      <c r="N107" s="802">
        <f t="shared" si="79"/>
        <v>10</v>
      </c>
      <c r="O107" s="802">
        <f t="shared" si="79"/>
        <v>11</v>
      </c>
      <c r="P107" s="802">
        <f t="shared" si="79"/>
        <v>12</v>
      </c>
      <c r="Q107" s="802">
        <f t="shared" si="79"/>
        <v>13</v>
      </c>
      <c r="R107" s="802">
        <f t="shared" si="79"/>
        <v>14</v>
      </c>
      <c r="S107" s="802">
        <f t="shared" si="79"/>
        <v>15</v>
      </c>
      <c r="T107" s="802">
        <f t="shared" si="79"/>
        <v>16</v>
      </c>
      <c r="U107" s="802">
        <f t="shared" si="79"/>
        <v>17</v>
      </c>
      <c r="V107" s="802">
        <f t="shared" si="79"/>
        <v>18</v>
      </c>
      <c r="W107" s="802">
        <f t="shared" si="79"/>
        <v>19</v>
      </c>
      <c r="X107" s="802">
        <f t="shared" si="79"/>
        <v>20</v>
      </c>
      <c r="Y107" s="802">
        <f t="shared" si="79"/>
        <v>21</v>
      </c>
      <c r="Z107" s="802">
        <f t="shared" si="79"/>
        <v>22</v>
      </c>
      <c r="AA107" s="802">
        <f t="shared" si="79"/>
        <v>23</v>
      </c>
      <c r="AB107" s="802">
        <f t="shared" si="79"/>
        <v>24</v>
      </c>
      <c r="AC107" s="802">
        <f t="shared" si="79"/>
        <v>25</v>
      </c>
      <c r="AD107" s="802">
        <f t="shared" si="79"/>
        <v>26</v>
      </c>
      <c r="AE107" s="802">
        <f t="shared" si="79"/>
        <v>27</v>
      </c>
      <c r="AF107" s="802">
        <f t="shared" si="79"/>
        <v>28</v>
      </c>
      <c r="AG107" s="802">
        <f t="shared" si="79"/>
        <v>29</v>
      </c>
      <c r="AH107" s="802">
        <f t="shared" si="79"/>
        <v>30</v>
      </c>
    </row>
    <row r="108" spans="1:39" x14ac:dyDescent="0.35">
      <c r="C108" s="877" t="s">
        <v>1</v>
      </c>
      <c r="D108" s="808">
        <f t="shared" ref="D108:D116" si="80">SUM(E108:AM108)</f>
        <v>150155.43968801069</v>
      </c>
      <c r="E108" s="1517">
        <f t="shared" ref="E108:AH108" si="81">(E76+E75+E74)*$F$149</f>
        <v>20611.968579961253</v>
      </c>
      <c r="F108" s="1517">
        <f t="shared" si="81"/>
        <v>0</v>
      </c>
      <c r="G108" s="1517">
        <f t="shared" si="81"/>
        <v>0</v>
      </c>
      <c r="H108" s="1517">
        <f t="shared" si="81"/>
        <v>0</v>
      </c>
      <c r="I108" s="1517">
        <f t="shared" si="81"/>
        <v>0</v>
      </c>
      <c r="J108" s="1517">
        <f t="shared" si="81"/>
        <v>0</v>
      </c>
      <c r="K108" s="1517">
        <f t="shared" si="81"/>
        <v>22569.188456055224</v>
      </c>
      <c r="L108" s="1517">
        <f t="shared" si="81"/>
        <v>557.5283843695197</v>
      </c>
      <c r="M108" s="1517">
        <f t="shared" si="81"/>
        <v>20054.440195591731</v>
      </c>
      <c r="N108" s="1517">
        <f t="shared" si="81"/>
        <v>0</v>
      </c>
      <c r="O108" s="1517">
        <f t="shared" si="81"/>
        <v>0</v>
      </c>
      <c r="P108" s="1517">
        <f t="shared" si="81"/>
        <v>0</v>
      </c>
      <c r="Q108" s="1517">
        <f t="shared" si="81"/>
        <v>0</v>
      </c>
      <c r="R108" s="1517">
        <f t="shared" si="81"/>
        <v>0</v>
      </c>
      <c r="S108" s="1517">
        <f t="shared" si="81"/>
        <v>22569.188456055224</v>
      </c>
      <c r="T108" s="1517">
        <f t="shared" si="81"/>
        <v>557.5283843695197</v>
      </c>
      <c r="U108" s="1517">
        <f t="shared" si="81"/>
        <v>20054.440195591731</v>
      </c>
      <c r="V108" s="1517">
        <f t="shared" si="81"/>
        <v>0</v>
      </c>
      <c r="W108" s="1517">
        <f t="shared" si="81"/>
        <v>0</v>
      </c>
      <c r="X108" s="1517">
        <f t="shared" si="81"/>
        <v>0</v>
      </c>
      <c r="Y108" s="1517">
        <f t="shared" si="81"/>
        <v>0</v>
      </c>
      <c r="Z108" s="1517">
        <f t="shared" si="81"/>
        <v>0</v>
      </c>
      <c r="AA108" s="1517">
        <f t="shared" si="81"/>
        <v>22569.188456055224</v>
      </c>
      <c r="AB108" s="1517">
        <f t="shared" si="81"/>
        <v>557.5283843695197</v>
      </c>
      <c r="AC108" s="1517">
        <f t="shared" si="81"/>
        <v>20054.440195591731</v>
      </c>
      <c r="AD108" s="1517">
        <f t="shared" si="81"/>
        <v>0</v>
      </c>
      <c r="AE108" s="1517">
        <f t="shared" si="81"/>
        <v>0</v>
      </c>
      <c r="AF108" s="1517">
        <f t="shared" si="81"/>
        <v>0</v>
      </c>
      <c r="AG108" s="1517">
        <f t="shared" si="81"/>
        <v>0</v>
      </c>
      <c r="AH108" s="1517">
        <f t="shared" si="81"/>
        <v>0</v>
      </c>
    </row>
    <row r="109" spans="1:39" x14ac:dyDescent="0.35">
      <c r="C109" s="878" t="s">
        <v>2</v>
      </c>
      <c r="D109" s="811">
        <f t="shared" si="80"/>
        <v>2012961.8874834604</v>
      </c>
      <c r="E109" s="1518">
        <f t="shared" ref="E109:AH109" si="82">(E76+E75+E74)*$F$151</f>
        <v>276321.03947534494</v>
      </c>
      <c r="F109" s="1518">
        <f t="shared" si="82"/>
        <v>0</v>
      </c>
      <c r="G109" s="1518">
        <f t="shared" si="82"/>
        <v>0</v>
      </c>
      <c r="H109" s="1518">
        <f t="shared" si="82"/>
        <v>0</v>
      </c>
      <c r="I109" s="1518">
        <f t="shared" si="82"/>
        <v>0</v>
      </c>
      <c r="J109" s="1518">
        <f t="shared" si="82"/>
        <v>0</v>
      </c>
      <c r="K109" s="1518">
        <f t="shared" si="82"/>
        <v>302559.24319402676</v>
      </c>
      <c r="L109" s="1518">
        <f t="shared" si="82"/>
        <v>7474.1440686925862</v>
      </c>
      <c r="M109" s="1518">
        <f t="shared" si="82"/>
        <v>268846.89540665236</v>
      </c>
      <c r="N109" s="1518">
        <f t="shared" si="82"/>
        <v>0</v>
      </c>
      <c r="O109" s="1518">
        <f t="shared" si="82"/>
        <v>0</v>
      </c>
      <c r="P109" s="1518">
        <f t="shared" si="82"/>
        <v>0</v>
      </c>
      <c r="Q109" s="1518">
        <f t="shared" si="82"/>
        <v>0</v>
      </c>
      <c r="R109" s="1518">
        <f t="shared" si="82"/>
        <v>0</v>
      </c>
      <c r="S109" s="1518">
        <f t="shared" si="82"/>
        <v>302559.24319402676</v>
      </c>
      <c r="T109" s="1518">
        <f t="shared" si="82"/>
        <v>7474.1440686925862</v>
      </c>
      <c r="U109" s="1518">
        <f t="shared" si="82"/>
        <v>268846.89540665236</v>
      </c>
      <c r="V109" s="1518">
        <f t="shared" si="82"/>
        <v>0</v>
      </c>
      <c r="W109" s="1518">
        <f t="shared" si="82"/>
        <v>0</v>
      </c>
      <c r="X109" s="1518">
        <f t="shared" si="82"/>
        <v>0</v>
      </c>
      <c r="Y109" s="1518">
        <f t="shared" si="82"/>
        <v>0</v>
      </c>
      <c r="Z109" s="1518">
        <f t="shared" si="82"/>
        <v>0</v>
      </c>
      <c r="AA109" s="1518">
        <f t="shared" si="82"/>
        <v>302559.24319402676</v>
      </c>
      <c r="AB109" s="1518">
        <f t="shared" si="82"/>
        <v>7474.1440686925862</v>
      </c>
      <c r="AC109" s="1518">
        <f t="shared" si="82"/>
        <v>268846.89540665236</v>
      </c>
      <c r="AD109" s="1518">
        <f t="shared" si="82"/>
        <v>0</v>
      </c>
      <c r="AE109" s="1518">
        <f t="shared" si="82"/>
        <v>0</v>
      </c>
      <c r="AF109" s="1518">
        <f t="shared" si="82"/>
        <v>0</v>
      </c>
      <c r="AG109" s="1518">
        <f t="shared" si="82"/>
        <v>0</v>
      </c>
      <c r="AH109" s="1518">
        <f t="shared" si="82"/>
        <v>0</v>
      </c>
    </row>
    <row r="110" spans="1:39" x14ac:dyDescent="0.35">
      <c r="C110" s="878" t="s">
        <v>3</v>
      </c>
      <c r="D110" s="811">
        <f t="shared" si="80"/>
        <v>231956.42336637867</v>
      </c>
      <c r="E110" s="1518">
        <f t="shared" ref="E110:AH110" si="83">(E76+E75+E74)*$F$152</f>
        <v>31840.861178802414</v>
      </c>
      <c r="F110" s="1518">
        <f t="shared" si="83"/>
        <v>0</v>
      </c>
      <c r="G110" s="1518">
        <f t="shared" si="83"/>
        <v>0</v>
      </c>
      <c r="H110" s="1518">
        <f t="shared" si="83"/>
        <v>0</v>
      </c>
      <c r="I110" s="1518">
        <f t="shared" si="83"/>
        <v>0</v>
      </c>
      <c r="J110" s="1518">
        <f t="shared" si="83"/>
        <v>0</v>
      </c>
      <c r="K110" s="1518">
        <f t="shared" si="83"/>
        <v>34864.326217056332</v>
      </c>
      <c r="L110" s="1518">
        <f t="shared" si="83"/>
        <v>861.25611054978833</v>
      </c>
      <c r="M110" s="1518">
        <f t="shared" si="83"/>
        <v>30979.605068252629</v>
      </c>
      <c r="N110" s="1518">
        <f t="shared" si="83"/>
        <v>0</v>
      </c>
      <c r="O110" s="1518">
        <f t="shared" si="83"/>
        <v>0</v>
      </c>
      <c r="P110" s="1518">
        <f t="shared" si="83"/>
        <v>0</v>
      </c>
      <c r="Q110" s="1518">
        <f t="shared" si="83"/>
        <v>0</v>
      </c>
      <c r="R110" s="1518">
        <f t="shared" si="83"/>
        <v>0</v>
      </c>
      <c r="S110" s="1518">
        <f t="shared" si="83"/>
        <v>34864.326217056332</v>
      </c>
      <c r="T110" s="1518">
        <f t="shared" si="83"/>
        <v>861.25611054978833</v>
      </c>
      <c r="U110" s="1518">
        <f t="shared" si="83"/>
        <v>30979.605068252629</v>
      </c>
      <c r="V110" s="1518">
        <f t="shared" si="83"/>
        <v>0</v>
      </c>
      <c r="W110" s="1518">
        <f t="shared" si="83"/>
        <v>0</v>
      </c>
      <c r="X110" s="1518">
        <f t="shared" si="83"/>
        <v>0</v>
      </c>
      <c r="Y110" s="1518">
        <f t="shared" si="83"/>
        <v>0</v>
      </c>
      <c r="Z110" s="1518">
        <f t="shared" si="83"/>
        <v>0</v>
      </c>
      <c r="AA110" s="1518">
        <f t="shared" si="83"/>
        <v>34864.326217056332</v>
      </c>
      <c r="AB110" s="1518">
        <f t="shared" si="83"/>
        <v>861.25611054978833</v>
      </c>
      <c r="AC110" s="1518">
        <f t="shared" si="83"/>
        <v>30979.605068252629</v>
      </c>
      <c r="AD110" s="1518">
        <f t="shared" si="83"/>
        <v>0</v>
      </c>
      <c r="AE110" s="1518">
        <f t="shared" si="83"/>
        <v>0</v>
      </c>
      <c r="AF110" s="1518">
        <f t="shared" si="83"/>
        <v>0</v>
      </c>
      <c r="AG110" s="1518">
        <f t="shared" si="83"/>
        <v>0</v>
      </c>
      <c r="AH110" s="1518">
        <f t="shared" si="83"/>
        <v>0</v>
      </c>
    </row>
    <row r="111" spans="1:39" x14ac:dyDescent="0.35">
      <c r="C111" s="878" t="s">
        <v>4</v>
      </c>
      <c r="D111" s="811">
        <f t="shared" si="80"/>
        <v>630908.36888566392</v>
      </c>
      <c r="E111" s="1518">
        <f t="shared" ref="E111:AH111" si="84">(E76+E75+E74)*$F$153</f>
        <v>86605.343791246254</v>
      </c>
      <c r="F111" s="1518">
        <f t="shared" si="84"/>
        <v>0</v>
      </c>
      <c r="G111" s="1518">
        <f t="shared" si="84"/>
        <v>0</v>
      </c>
      <c r="H111" s="1518">
        <f t="shared" si="84"/>
        <v>0</v>
      </c>
      <c r="I111" s="1518">
        <f t="shared" si="84"/>
        <v>0</v>
      </c>
      <c r="J111" s="1518">
        <f t="shared" si="84"/>
        <v>0</v>
      </c>
      <c r="K111" s="1518">
        <f t="shared" si="84"/>
        <v>94828.997906892968</v>
      </c>
      <c r="L111" s="1518">
        <f t="shared" si="84"/>
        <v>2342.5679703704996</v>
      </c>
      <c r="M111" s="1518">
        <f t="shared" si="84"/>
        <v>84262.775820875759</v>
      </c>
      <c r="N111" s="1518">
        <f t="shared" si="84"/>
        <v>0</v>
      </c>
      <c r="O111" s="1518">
        <f t="shared" si="84"/>
        <v>0</v>
      </c>
      <c r="P111" s="1518">
        <f t="shared" si="84"/>
        <v>0</v>
      </c>
      <c r="Q111" s="1518">
        <f t="shared" si="84"/>
        <v>0</v>
      </c>
      <c r="R111" s="1518">
        <f t="shared" si="84"/>
        <v>0</v>
      </c>
      <c r="S111" s="1518">
        <f t="shared" si="84"/>
        <v>94828.997906892968</v>
      </c>
      <c r="T111" s="1518">
        <f t="shared" si="84"/>
        <v>2342.5679703704996</v>
      </c>
      <c r="U111" s="1518">
        <f t="shared" si="84"/>
        <v>84262.775820875759</v>
      </c>
      <c r="V111" s="1518">
        <f t="shared" si="84"/>
        <v>0</v>
      </c>
      <c r="W111" s="1518">
        <f t="shared" si="84"/>
        <v>0</v>
      </c>
      <c r="X111" s="1518">
        <f t="shared" si="84"/>
        <v>0</v>
      </c>
      <c r="Y111" s="1518">
        <f t="shared" si="84"/>
        <v>0</v>
      </c>
      <c r="Z111" s="1518">
        <f t="shared" si="84"/>
        <v>0</v>
      </c>
      <c r="AA111" s="1518">
        <f t="shared" si="84"/>
        <v>94828.997906892968</v>
      </c>
      <c r="AB111" s="1518">
        <f t="shared" si="84"/>
        <v>2342.5679703704996</v>
      </c>
      <c r="AC111" s="1518">
        <f t="shared" si="84"/>
        <v>84262.775820875759</v>
      </c>
      <c r="AD111" s="1518">
        <f t="shared" si="84"/>
        <v>0</v>
      </c>
      <c r="AE111" s="1518">
        <f t="shared" si="84"/>
        <v>0</v>
      </c>
      <c r="AF111" s="1518">
        <f t="shared" si="84"/>
        <v>0</v>
      </c>
      <c r="AG111" s="1518">
        <f t="shared" si="84"/>
        <v>0</v>
      </c>
      <c r="AH111" s="1518">
        <f t="shared" si="84"/>
        <v>0</v>
      </c>
    </row>
    <row r="112" spans="1:39" x14ac:dyDescent="0.35">
      <c r="C112" s="878" t="s">
        <v>5</v>
      </c>
      <c r="D112" s="811">
        <f t="shared" si="80"/>
        <v>1354041.1931129114</v>
      </c>
      <c r="E112" s="1518">
        <f t="shared" ref="E112:AH112" si="85">(E76+E75+E74)*$F$157</f>
        <v>185870.41925624645</v>
      </c>
      <c r="F112" s="1518">
        <f t="shared" si="85"/>
        <v>0</v>
      </c>
      <c r="G112" s="1518">
        <f t="shared" si="85"/>
        <v>0</v>
      </c>
      <c r="H112" s="1518">
        <f t="shared" si="85"/>
        <v>0</v>
      </c>
      <c r="I112" s="1518">
        <f t="shared" si="85"/>
        <v>0</v>
      </c>
      <c r="J112" s="1518">
        <f t="shared" si="85"/>
        <v>0</v>
      </c>
      <c r="K112" s="1518">
        <f t="shared" si="85"/>
        <v>203519.83869597517</v>
      </c>
      <c r="L112" s="1518">
        <f t="shared" si="85"/>
        <v>5027.5661030633664</v>
      </c>
      <c r="M112" s="1518">
        <f t="shared" si="85"/>
        <v>180842.85315318307</v>
      </c>
      <c r="N112" s="1518">
        <f t="shared" si="85"/>
        <v>0</v>
      </c>
      <c r="O112" s="1518">
        <f t="shared" si="85"/>
        <v>0</v>
      </c>
      <c r="P112" s="1518">
        <f t="shared" si="85"/>
        <v>0</v>
      </c>
      <c r="Q112" s="1518">
        <f t="shared" si="85"/>
        <v>0</v>
      </c>
      <c r="R112" s="1518">
        <f t="shared" si="85"/>
        <v>0</v>
      </c>
      <c r="S112" s="1518">
        <f t="shared" si="85"/>
        <v>203519.83869597517</v>
      </c>
      <c r="T112" s="1518">
        <f t="shared" si="85"/>
        <v>5027.5661030633664</v>
      </c>
      <c r="U112" s="1518">
        <f t="shared" si="85"/>
        <v>180842.85315318307</v>
      </c>
      <c r="V112" s="1518">
        <f t="shared" si="85"/>
        <v>0</v>
      </c>
      <c r="W112" s="1518">
        <f t="shared" si="85"/>
        <v>0</v>
      </c>
      <c r="X112" s="1518">
        <f t="shared" si="85"/>
        <v>0</v>
      </c>
      <c r="Y112" s="1518">
        <f t="shared" si="85"/>
        <v>0</v>
      </c>
      <c r="Z112" s="1518">
        <f t="shared" si="85"/>
        <v>0</v>
      </c>
      <c r="AA112" s="1518">
        <f t="shared" si="85"/>
        <v>203519.83869597517</v>
      </c>
      <c r="AB112" s="1518">
        <f t="shared" si="85"/>
        <v>5027.5661030633664</v>
      </c>
      <c r="AC112" s="1518">
        <f t="shared" si="85"/>
        <v>180842.85315318307</v>
      </c>
      <c r="AD112" s="1518">
        <f t="shared" si="85"/>
        <v>0</v>
      </c>
      <c r="AE112" s="1518">
        <f t="shared" si="85"/>
        <v>0</v>
      </c>
      <c r="AF112" s="1518">
        <f t="shared" si="85"/>
        <v>0</v>
      </c>
      <c r="AG112" s="1518">
        <f t="shared" si="85"/>
        <v>0</v>
      </c>
      <c r="AH112" s="1518">
        <f t="shared" si="85"/>
        <v>0</v>
      </c>
    </row>
    <row r="113" spans="3:34" x14ac:dyDescent="0.35">
      <c r="C113" s="878" t="s">
        <v>6</v>
      </c>
      <c r="D113" s="811">
        <f t="shared" si="80"/>
        <v>15076796.189656528</v>
      </c>
      <c r="E113" s="1518">
        <f t="shared" ref="E113:AH113" si="86">(E76+E75+E74)*$F$156</f>
        <v>2069605.0039437432</v>
      </c>
      <c r="F113" s="1518">
        <f t="shared" si="86"/>
        <v>0</v>
      </c>
      <c r="G113" s="1518">
        <f t="shared" si="86"/>
        <v>0</v>
      </c>
      <c r="H113" s="1518">
        <f t="shared" si="86"/>
        <v>0</v>
      </c>
      <c r="I113" s="1518">
        <f t="shared" si="86"/>
        <v>0</v>
      </c>
      <c r="J113" s="1518">
        <f t="shared" si="86"/>
        <v>0</v>
      </c>
      <c r="K113" s="1518">
        <f t="shared" si="86"/>
        <v>2266125.3912938512</v>
      </c>
      <c r="L113" s="1518">
        <f t="shared" si="86"/>
        <v>55980.268437513689</v>
      </c>
      <c r="M113" s="1518">
        <f t="shared" si="86"/>
        <v>2013624.7355062296</v>
      </c>
      <c r="N113" s="1518">
        <f t="shared" si="86"/>
        <v>0</v>
      </c>
      <c r="O113" s="1518">
        <f t="shared" si="86"/>
        <v>0</v>
      </c>
      <c r="P113" s="1518">
        <f t="shared" si="86"/>
        <v>0</v>
      </c>
      <c r="Q113" s="1518">
        <f t="shared" si="86"/>
        <v>0</v>
      </c>
      <c r="R113" s="1518">
        <f t="shared" si="86"/>
        <v>0</v>
      </c>
      <c r="S113" s="1518">
        <f t="shared" si="86"/>
        <v>2266125.3912938512</v>
      </c>
      <c r="T113" s="1518">
        <f t="shared" si="86"/>
        <v>55980.268437513689</v>
      </c>
      <c r="U113" s="1518">
        <f t="shared" si="86"/>
        <v>2013624.7355062296</v>
      </c>
      <c r="V113" s="1518">
        <f t="shared" si="86"/>
        <v>0</v>
      </c>
      <c r="W113" s="1518">
        <f t="shared" si="86"/>
        <v>0</v>
      </c>
      <c r="X113" s="1518">
        <f t="shared" si="86"/>
        <v>0</v>
      </c>
      <c r="Y113" s="1518">
        <f t="shared" si="86"/>
        <v>0</v>
      </c>
      <c r="Z113" s="1518">
        <f t="shared" si="86"/>
        <v>0</v>
      </c>
      <c r="AA113" s="1518">
        <f t="shared" si="86"/>
        <v>2266125.3912938512</v>
      </c>
      <c r="AB113" s="1518">
        <f t="shared" si="86"/>
        <v>55980.268437513689</v>
      </c>
      <c r="AC113" s="1518">
        <f t="shared" si="86"/>
        <v>2013624.7355062296</v>
      </c>
      <c r="AD113" s="1518">
        <f t="shared" si="86"/>
        <v>0</v>
      </c>
      <c r="AE113" s="1518">
        <f t="shared" si="86"/>
        <v>0</v>
      </c>
      <c r="AF113" s="1518">
        <f t="shared" si="86"/>
        <v>0</v>
      </c>
      <c r="AG113" s="1518">
        <f t="shared" si="86"/>
        <v>0</v>
      </c>
      <c r="AH113" s="1518">
        <f t="shared" si="86"/>
        <v>0</v>
      </c>
    </row>
    <row r="114" spans="3:34" x14ac:dyDescent="0.35">
      <c r="C114" s="878" t="s">
        <v>7</v>
      </c>
      <c r="D114" s="811">
        <f t="shared" si="80"/>
        <v>0</v>
      </c>
      <c r="E114" s="1518">
        <f t="shared" ref="E114:AH114" si="87">(E76+E75+E74)*$F$155</f>
        <v>0</v>
      </c>
      <c r="F114" s="1518">
        <f t="shared" si="87"/>
        <v>0</v>
      </c>
      <c r="G114" s="1518">
        <f t="shared" si="87"/>
        <v>0</v>
      </c>
      <c r="H114" s="1518">
        <f t="shared" si="87"/>
        <v>0</v>
      </c>
      <c r="I114" s="1518">
        <f t="shared" si="87"/>
        <v>0</v>
      </c>
      <c r="J114" s="1518">
        <f t="shared" si="87"/>
        <v>0</v>
      </c>
      <c r="K114" s="1518">
        <f t="shared" si="87"/>
        <v>0</v>
      </c>
      <c r="L114" s="1518">
        <f t="shared" si="87"/>
        <v>0</v>
      </c>
      <c r="M114" s="1518">
        <f t="shared" si="87"/>
        <v>0</v>
      </c>
      <c r="N114" s="1518">
        <f t="shared" si="87"/>
        <v>0</v>
      </c>
      <c r="O114" s="1518">
        <f t="shared" si="87"/>
        <v>0</v>
      </c>
      <c r="P114" s="1518">
        <f t="shared" si="87"/>
        <v>0</v>
      </c>
      <c r="Q114" s="1518">
        <f t="shared" si="87"/>
        <v>0</v>
      </c>
      <c r="R114" s="1518">
        <f t="shared" si="87"/>
        <v>0</v>
      </c>
      <c r="S114" s="1518">
        <f t="shared" si="87"/>
        <v>0</v>
      </c>
      <c r="T114" s="1518">
        <f t="shared" si="87"/>
        <v>0</v>
      </c>
      <c r="U114" s="1518">
        <f t="shared" si="87"/>
        <v>0</v>
      </c>
      <c r="V114" s="1518">
        <f t="shared" si="87"/>
        <v>0</v>
      </c>
      <c r="W114" s="1518">
        <f t="shared" si="87"/>
        <v>0</v>
      </c>
      <c r="X114" s="1518">
        <f t="shared" si="87"/>
        <v>0</v>
      </c>
      <c r="Y114" s="1518">
        <f t="shared" si="87"/>
        <v>0</v>
      </c>
      <c r="Z114" s="1518">
        <f t="shared" si="87"/>
        <v>0</v>
      </c>
      <c r="AA114" s="1518">
        <f t="shared" si="87"/>
        <v>0</v>
      </c>
      <c r="AB114" s="1518">
        <f t="shared" si="87"/>
        <v>0</v>
      </c>
      <c r="AC114" s="1518">
        <f t="shared" si="87"/>
        <v>0</v>
      </c>
      <c r="AD114" s="1518">
        <f t="shared" si="87"/>
        <v>0</v>
      </c>
      <c r="AE114" s="1518">
        <f t="shared" si="87"/>
        <v>0</v>
      </c>
      <c r="AF114" s="1518">
        <f t="shared" si="87"/>
        <v>0</v>
      </c>
      <c r="AG114" s="1518">
        <f t="shared" si="87"/>
        <v>0</v>
      </c>
      <c r="AH114" s="1518">
        <f t="shared" si="87"/>
        <v>0</v>
      </c>
    </row>
    <row r="115" spans="3:34" x14ac:dyDescent="0.35">
      <c r="C115" s="878" t="s">
        <v>8</v>
      </c>
      <c r="D115" s="811">
        <f t="shared" si="80"/>
        <v>1167852.3780514833</v>
      </c>
      <c r="E115" s="1518">
        <f t="shared" ref="E115:AH115" si="88">(E76+E75+E74)*$F$150</f>
        <v>160312.11771245764</v>
      </c>
      <c r="F115" s="1518">
        <f t="shared" si="88"/>
        <v>0</v>
      </c>
      <c r="G115" s="1518">
        <f t="shared" si="88"/>
        <v>0</v>
      </c>
      <c r="H115" s="1518">
        <f t="shared" si="88"/>
        <v>0</v>
      </c>
      <c r="I115" s="1518">
        <f t="shared" si="88"/>
        <v>0</v>
      </c>
      <c r="J115" s="1518">
        <f t="shared" si="88"/>
        <v>0</v>
      </c>
      <c r="K115" s="1518">
        <f t="shared" si="88"/>
        <v>175534.63573388424</v>
      </c>
      <c r="L115" s="1518">
        <f t="shared" si="88"/>
        <v>4336.2454991308159</v>
      </c>
      <c r="M115" s="1518">
        <f t="shared" si="88"/>
        <v>155975.87221332683</v>
      </c>
      <c r="N115" s="1518">
        <f t="shared" si="88"/>
        <v>0</v>
      </c>
      <c r="O115" s="1518">
        <f t="shared" si="88"/>
        <v>0</v>
      </c>
      <c r="P115" s="1518">
        <f t="shared" si="88"/>
        <v>0</v>
      </c>
      <c r="Q115" s="1518">
        <f t="shared" si="88"/>
        <v>0</v>
      </c>
      <c r="R115" s="1518">
        <f t="shared" si="88"/>
        <v>0</v>
      </c>
      <c r="S115" s="1518">
        <f t="shared" si="88"/>
        <v>175534.63573388424</v>
      </c>
      <c r="T115" s="1518">
        <f t="shared" si="88"/>
        <v>4336.2454991308159</v>
      </c>
      <c r="U115" s="1518">
        <f t="shared" si="88"/>
        <v>155975.87221332683</v>
      </c>
      <c r="V115" s="1518">
        <f t="shared" si="88"/>
        <v>0</v>
      </c>
      <c r="W115" s="1518">
        <f t="shared" si="88"/>
        <v>0</v>
      </c>
      <c r="X115" s="1518">
        <f t="shared" si="88"/>
        <v>0</v>
      </c>
      <c r="Y115" s="1518">
        <f t="shared" si="88"/>
        <v>0</v>
      </c>
      <c r="Z115" s="1518">
        <f t="shared" si="88"/>
        <v>0</v>
      </c>
      <c r="AA115" s="1518">
        <f t="shared" si="88"/>
        <v>175534.63573388424</v>
      </c>
      <c r="AB115" s="1518">
        <f t="shared" si="88"/>
        <v>4336.2454991308159</v>
      </c>
      <c r="AC115" s="1518">
        <f t="shared" si="88"/>
        <v>155975.87221332683</v>
      </c>
      <c r="AD115" s="1518">
        <f t="shared" si="88"/>
        <v>0</v>
      </c>
      <c r="AE115" s="1518">
        <f t="shared" si="88"/>
        <v>0</v>
      </c>
      <c r="AF115" s="1518">
        <f t="shared" si="88"/>
        <v>0</v>
      </c>
      <c r="AG115" s="1518">
        <f t="shared" si="88"/>
        <v>0</v>
      </c>
      <c r="AH115" s="1518">
        <f t="shared" si="88"/>
        <v>0</v>
      </c>
    </row>
    <row r="116" spans="3:34" x14ac:dyDescent="0.35">
      <c r="C116" s="878" t="s">
        <v>9</v>
      </c>
      <c r="D116" s="811">
        <f t="shared" si="80"/>
        <v>924394.23975556425</v>
      </c>
      <c r="E116" s="1518">
        <f t="shared" ref="E116:AH116" si="89">(E76+E75+E74)*$F$154</f>
        <v>126892.40606219751</v>
      </c>
      <c r="F116" s="1518">
        <f t="shared" si="89"/>
        <v>0</v>
      </c>
      <c r="G116" s="1518">
        <f t="shared" si="89"/>
        <v>0</v>
      </c>
      <c r="H116" s="1518">
        <f t="shared" si="89"/>
        <v>0</v>
      </c>
      <c r="I116" s="1518">
        <f t="shared" si="89"/>
        <v>0</v>
      </c>
      <c r="J116" s="1518">
        <f t="shared" si="89"/>
        <v>0</v>
      </c>
      <c r="K116" s="1518">
        <f t="shared" si="89"/>
        <v>138941.53850225807</v>
      </c>
      <c r="L116" s="1518">
        <f t="shared" si="89"/>
        <v>3432.2834263097357</v>
      </c>
      <c r="M116" s="1518">
        <f t="shared" si="89"/>
        <v>123460.12263588778</v>
      </c>
      <c r="N116" s="1518">
        <f t="shared" si="89"/>
        <v>0</v>
      </c>
      <c r="O116" s="1518">
        <f t="shared" si="89"/>
        <v>0</v>
      </c>
      <c r="P116" s="1518">
        <f t="shared" si="89"/>
        <v>0</v>
      </c>
      <c r="Q116" s="1518">
        <f t="shared" si="89"/>
        <v>0</v>
      </c>
      <c r="R116" s="1518">
        <f t="shared" si="89"/>
        <v>0</v>
      </c>
      <c r="S116" s="1518">
        <f t="shared" si="89"/>
        <v>138941.53850225807</v>
      </c>
      <c r="T116" s="1518">
        <f t="shared" si="89"/>
        <v>3432.2834263097357</v>
      </c>
      <c r="U116" s="1518">
        <f t="shared" si="89"/>
        <v>123460.12263588778</v>
      </c>
      <c r="V116" s="1518">
        <f t="shared" si="89"/>
        <v>0</v>
      </c>
      <c r="W116" s="1518">
        <f t="shared" si="89"/>
        <v>0</v>
      </c>
      <c r="X116" s="1518">
        <f t="shared" si="89"/>
        <v>0</v>
      </c>
      <c r="Y116" s="1518">
        <f t="shared" si="89"/>
        <v>0</v>
      </c>
      <c r="Z116" s="1518">
        <f t="shared" si="89"/>
        <v>0</v>
      </c>
      <c r="AA116" s="1518">
        <f t="shared" si="89"/>
        <v>138941.53850225807</v>
      </c>
      <c r="AB116" s="1518">
        <f t="shared" si="89"/>
        <v>3432.2834263097357</v>
      </c>
      <c r="AC116" s="1518">
        <f t="shared" si="89"/>
        <v>123460.12263588778</v>
      </c>
      <c r="AD116" s="1518">
        <f t="shared" si="89"/>
        <v>0</v>
      </c>
      <c r="AE116" s="1518">
        <f t="shared" si="89"/>
        <v>0</v>
      </c>
      <c r="AF116" s="1518">
        <f t="shared" si="89"/>
        <v>0</v>
      </c>
      <c r="AG116" s="1518">
        <f t="shared" si="89"/>
        <v>0</v>
      </c>
      <c r="AH116" s="1518">
        <f t="shared" si="89"/>
        <v>0</v>
      </c>
    </row>
    <row r="117" spans="3:34" x14ac:dyDescent="0.35">
      <c r="C117" s="800" t="s">
        <v>455</v>
      </c>
      <c r="D117" s="801">
        <f t="shared" ref="D117:AH117" si="90">SUM(D108:D116)</f>
        <v>21549066.119999997</v>
      </c>
      <c r="E117" s="801">
        <f t="shared" si="90"/>
        <v>2958059.1599999997</v>
      </c>
      <c r="F117" s="801">
        <f t="shared" si="90"/>
        <v>0</v>
      </c>
      <c r="G117" s="801">
        <f t="shared" si="90"/>
        <v>0</v>
      </c>
      <c r="H117" s="801">
        <f t="shared" si="90"/>
        <v>0</v>
      </c>
      <c r="I117" s="801">
        <f t="shared" si="90"/>
        <v>0</v>
      </c>
      <c r="J117" s="801">
        <f t="shared" si="90"/>
        <v>0</v>
      </c>
      <c r="K117" s="801">
        <f t="shared" si="90"/>
        <v>3238943.16</v>
      </c>
      <c r="L117" s="801">
        <f t="shared" si="90"/>
        <v>80011.86</v>
      </c>
      <c r="M117" s="801">
        <f t="shared" si="90"/>
        <v>2878047.3</v>
      </c>
      <c r="N117" s="801">
        <f t="shared" si="90"/>
        <v>0</v>
      </c>
      <c r="O117" s="801">
        <f t="shared" si="90"/>
        <v>0</v>
      </c>
      <c r="P117" s="801">
        <f t="shared" si="90"/>
        <v>0</v>
      </c>
      <c r="Q117" s="801">
        <f t="shared" si="90"/>
        <v>0</v>
      </c>
      <c r="R117" s="801">
        <f t="shared" si="90"/>
        <v>0</v>
      </c>
      <c r="S117" s="801">
        <f t="shared" si="90"/>
        <v>3238943.16</v>
      </c>
      <c r="T117" s="801">
        <f t="shared" si="90"/>
        <v>80011.86</v>
      </c>
      <c r="U117" s="801">
        <f t="shared" si="90"/>
        <v>2878047.3</v>
      </c>
      <c r="V117" s="801">
        <f t="shared" si="90"/>
        <v>0</v>
      </c>
      <c r="W117" s="801">
        <f t="shared" si="90"/>
        <v>0</v>
      </c>
      <c r="X117" s="801">
        <f t="shared" si="90"/>
        <v>0</v>
      </c>
      <c r="Y117" s="801">
        <f t="shared" si="90"/>
        <v>0</v>
      </c>
      <c r="Z117" s="801">
        <f t="shared" si="90"/>
        <v>0</v>
      </c>
      <c r="AA117" s="801">
        <f t="shared" si="90"/>
        <v>3238943.16</v>
      </c>
      <c r="AB117" s="801">
        <f t="shared" si="90"/>
        <v>80011.86</v>
      </c>
      <c r="AC117" s="801">
        <f t="shared" si="90"/>
        <v>2878047.3</v>
      </c>
      <c r="AD117" s="801">
        <f t="shared" si="90"/>
        <v>0</v>
      </c>
      <c r="AE117" s="801">
        <f t="shared" si="90"/>
        <v>0</v>
      </c>
      <c r="AF117" s="801">
        <f t="shared" si="90"/>
        <v>0</v>
      </c>
      <c r="AG117" s="801">
        <f t="shared" si="90"/>
        <v>0</v>
      </c>
      <c r="AH117" s="801">
        <f t="shared" si="90"/>
        <v>0</v>
      </c>
    </row>
    <row r="118" spans="3:34" x14ac:dyDescent="0.35">
      <c r="C118" s="77"/>
    </row>
    <row r="119" spans="3:34" x14ac:dyDescent="0.35">
      <c r="C119" s="77" t="s">
        <v>770</v>
      </c>
    </row>
    <row r="120" spans="3:34" x14ac:dyDescent="0.35">
      <c r="C120" s="560"/>
      <c r="D120" s="229" t="s">
        <v>455</v>
      </c>
      <c r="E120" s="802">
        <v>1</v>
      </c>
      <c r="F120" s="802">
        <f>E120+1</f>
        <v>2</v>
      </c>
      <c r="G120" s="802">
        <f t="shared" ref="G120" si="91">F120+1</f>
        <v>3</v>
      </c>
      <c r="H120" s="802">
        <f t="shared" ref="H120" si="92">G120+1</f>
        <v>4</v>
      </c>
      <c r="I120" s="802">
        <f t="shared" ref="I120" si="93">H120+1</f>
        <v>5</v>
      </c>
      <c r="J120" s="802">
        <f t="shared" ref="J120" si="94">I120+1</f>
        <v>6</v>
      </c>
      <c r="K120" s="802">
        <f t="shared" ref="K120" si="95">J120+1</f>
        <v>7</v>
      </c>
      <c r="L120" s="802">
        <f t="shared" ref="L120" si="96">K120+1</f>
        <v>8</v>
      </c>
      <c r="M120" s="802">
        <f t="shared" ref="M120" si="97">L120+1</f>
        <v>9</v>
      </c>
      <c r="N120" s="802">
        <f t="shared" ref="N120" si="98">M120+1</f>
        <v>10</v>
      </c>
      <c r="O120" s="802">
        <f t="shared" ref="O120" si="99">N120+1</f>
        <v>11</v>
      </c>
      <c r="P120" s="802">
        <f t="shared" ref="P120" si="100">O120+1</f>
        <v>12</v>
      </c>
      <c r="Q120" s="802">
        <f t="shared" ref="Q120" si="101">P120+1</f>
        <v>13</v>
      </c>
      <c r="R120" s="802">
        <f t="shared" ref="R120" si="102">Q120+1</f>
        <v>14</v>
      </c>
      <c r="S120" s="802">
        <f t="shared" ref="S120" si="103">R120+1</f>
        <v>15</v>
      </c>
      <c r="T120" s="802">
        <f t="shared" ref="T120" si="104">S120+1</f>
        <v>16</v>
      </c>
      <c r="U120" s="802">
        <f t="shared" ref="U120" si="105">T120+1</f>
        <v>17</v>
      </c>
      <c r="V120" s="802">
        <f t="shared" ref="V120" si="106">U120+1</f>
        <v>18</v>
      </c>
      <c r="W120" s="802">
        <f t="shared" ref="W120" si="107">V120+1</f>
        <v>19</v>
      </c>
      <c r="X120" s="802">
        <f t="shared" ref="X120" si="108">W120+1</f>
        <v>20</v>
      </c>
      <c r="Y120" s="802">
        <f t="shared" ref="Y120" si="109">X120+1</f>
        <v>21</v>
      </c>
      <c r="Z120" s="802">
        <f t="shared" ref="Z120" si="110">Y120+1</f>
        <v>22</v>
      </c>
      <c r="AA120" s="802">
        <f t="shared" ref="AA120" si="111">Z120+1</f>
        <v>23</v>
      </c>
      <c r="AB120" s="802">
        <f t="shared" ref="AB120" si="112">AA120+1</f>
        <v>24</v>
      </c>
      <c r="AC120" s="802">
        <f t="shared" ref="AC120" si="113">AB120+1</f>
        <v>25</v>
      </c>
      <c r="AD120" s="802">
        <f t="shared" ref="AD120" si="114">AC120+1</f>
        <v>26</v>
      </c>
      <c r="AE120" s="802">
        <f t="shared" ref="AE120" si="115">AD120+1</f>
        <v>27</v>
      </c>
      <c r="AF120" s="802">
        <f t="shared" ref="AF120" si="116">AE120+1</f>
        <v>28</v>
      </c>
      <c r="AG120" s="802">
        <f t="shared" ref="AG120" si="117">AF120+1</f>
        <v>29</v>
      </c>
      <c r="AH120" s="802">
        <f t="shared" ref="AH120" si="118">AG120+1</f>
        <v>30</v>
      </c>
    </row>
    <row r="121" spans="3:34" x14ac:dyDescent="0.35">
      <c r="C121" s="855" t="s">
        <v>1</v>
      </c>
      <c r="D121" s="808">
        <f t="shared" ref="D121:D129" si="119">SUM(E121:AM121)</f>
        <v>500580.14285693539</v>
      </c>
      <c r="E121" s="857">
        <f>IF('Modelo Tarifário'!$C81="Não",0,E95+E108)</f>
        <v>106980.59603654359</v>
      </c>
      <c r="F121" s="857">
        <f>IF('Modelo Tarifário'!$C81="Não",0,F95+F108)</f>
        <v>0</v>
      </c>
      <c r="G121" s="857">
        <f>IF('Modelo Tarifário'!$C81="Não",0,G95+G108)</f>
        <v>0</v>
      </c>
      <c r="H121" s="857">
        <f>IF('Modelo Tarifário'!$C81="Não",0,H95+H108)</f>
        <v>0</v>
      </c>
      <c r="I121" s="857">
        <f>IF('Modelo Tarifário'!$C81="Não",0,I95+I108)</f>
        <v>0</v>
      </c>
      <c r="J121" s="857">
        <f>IF('Modelo Tarifário'!$C81="Não",0,J95+J108)</f>
        <v>2475.0966712976647</v>
      </c>
      <c r="K121" s="857">
        <f>IF('Modelo Tarifário'!$C81="Não",0,K95+K108)</f>
        <v>22569.188456055224</v>
      </c>
      <c r="L121" s="857">
        <f>IF('Modelo Tarifário'!$C81="Não",0,L95+L108)</f>
        <v>557.5283843695197</v>
      </c>
      <c r="M121" s="857">
        <f>IF('Modelo Tarifário'!$C81="Não",0,M95+M108)</f>
        <v>103947.9709808764</v>
      </c>
      <c r="N121" s="857">
        <f>IF('Modelo Tarifário'!$C81="Não",0,N95+N108)</f>
        <v>0</v>
      </c>
      <c r="O121" s="857">
        <f>IF('Modelo Tarifário'!$C81="Não",0,O95+O108)</f>
        <v>2475.0966712976647</v>
      </c>
      <c r="P121" s="857">
        <f>IF('Modelo Tarifário'!$C81="Não",0,P95+P108)</f>
        <v>0</v>
      </c>
      <c r="Q121" s="857">
        <f>IF('Modelo Tarifário'!$C81="Não",0,Q95+Q108)</f>
        <v>0</v>
      </c>
      <c r="R121" s="857">
        <f>IF('Modelo Tarifário'!$C81="Não",0,R95+R108)</f>
        <v>0</v>
      </c>
      <c r="S121" s="857">
        <f>IF('Modelo Tarifário'!$C81="Não",0,S95+S108)</f>
        <v>22569.188456055224</v>
      </c>
      <c r="T121" s="857">
        <f>IF('Modelo Tarifário'!$C81="Não",0,T95+T108)</f>
        <v>3032.6250556671844</v>
      </c>
      <c r="U121" s="857">
        <f>IF('Modelo Tarifário'!$C81="Não",0,U95+U108)</f>
        <v>103947.9709808764</v>
      </c>
      <c r="V121" s="857">
        <f>IF('Modelo Tarifário'!$C81="Não",0,V95+V108)</f>
        <v>0</v>
      </c>
      <c r="W121" s="857">
        <f>IF('Modelo Tarifário'!$C81="Não",0,W95+W108)</f>
        <v>0</v>
      </c>
      <c r="X121" s="857">
        <f>IF('Modelo Tarifário'!$C81="Não",0,X95+X108)</f>
        <v>0</v>
      </c>
      <c r="Y121" s="857">
        <f>IF('Modelo Tarifário'!$C81="Não",0,Y95+Y108)</f>
        <v>2475.0966712976647</v>
      </c>
      <c r="Z121" s="857">
        <f>IF('Modelo Tarifário'!$C81="Não",0,Z95+Z108)</f>
        <v>0</v>
      </c>
      <c r="AA121" s="857">
        <f>IF('Modelo Tarifário'!$C81="Não",0,AA95+AA108)</f>
        <v>22569.188456055224</v>
      </c>
      <c r="AB121" s="857">
        <f>IF('Modelo Tarifário'!$C81="Não",0,AB95+AB108)</f>
        <v>557.5283843695197</v>
      </c>
      <c r="AC121" s="857">
        <f>IF('Modelo Tarifário'!$C81="Não",0,AC95+AC108)</f>
        <v>103947.9709808764</v>
      </c>
      <c r="AD121" s="857">
        <f>IF('Modelo Tarifário'!$C81="Não",0,AD95+AD108)</f>
        <v>2475.0966712976647</v>
      </c>
      <c r="AE121" s="857">
        <f>IF('Modelo Tarifário'!$C81="Não",0,AE95+AE108)</f>
        <v>0</v>
      </c>
      <c r="AF121" s="857">
        <f>IF('Modelo Tarifário'!$C81="Não",0,AF95+AF108)</f>
        <v>0</v>
      </c>
      <c r="AG121" s="857">
        <f>IF('Modelo Tarifário'!$C81="Não",0,AG95+AG108)</f>
        <v>0</v>
      </c>
      <c r="AH121" s="857">
        <f>IF('Modelo Tarifário'!$C81="Não",0,AH95+AH108)</f>
        <v>0</v>
      </c>
    </row>
    <row r="122" spans="3:34" x14ac:dyDescent="0.35">
      <c r="C122" s="856" t="s">
        <v>2</v>
      </c>
      <c r="D122" s="808">
        <f t="shared" si="119"/>
        <v>7684524.8074834608</v>
      </c>
      <c r="E122" s="858">
        <f>IF('Modelo Tarifário'!$C82="Não",0,E97+E109)</f>
        <v>1682445.3194753448</v>
      </c>
      <c r="F122" s="858">
        <f>IF('Modelo Tarifário'!$C82="Não",0,F97+F109)</f>
        <v>0</v>
      </c>
      <c r="G122" s="858">
        <f>IF('Modelo Tarifário'!$C82="Não",0,G97+G109)</f>
        <v>0</v>
      </c>
      <c r="H122" s="858">
        <f>IF('Modelo Tarifário'!$C82="Não",0,H97+H109)</f>
        <v>0</v>
      </c>
      <c r="I122" s="858">
        <f>IF('Modelo Tarifário'!$C82="Não",0,I97+I109)</f>
        <v>0</v>
      </c>
      <c r="J122" s="858">
        <f>IF('Modelo Tarifário'!$C82="Não",0,J97+J109)</f>
        <v>23532.899999999998</v>
      </c>
      <c r="K122" s="858">
        <f>IF('Modelo Tarifário'!$C82="Não",0,K97+K109)</f>
        <v>302559.24319402676</v>
      </c>
      <c r="L122" s="858">
        <f>IF('Modelo Tarifário'!$C82="Não",0,L97+L109)</f>
        <v>7474.1440686925862</v>
      </c>
      <c r="M122" s="858">
        <f>IF('Modelo Tarifário'!$C82="Não",0,M97+M109)</f>
        <v>1651438.2754066521</v>
      </c>
      <c r="N122" s="858">
        <f>IF('Modelo Tarifário'!$C82="Não",0,N97+N109)</f>
        <v>0</v>
      </c>
      <c r="O122" s="858">
        <f>IF('Modelo Tarifário'!$C82="Não",0,O97+O109)</f>
        <v>23532.899999999998</v>
      </c>
      <c r="P122" s="858">
        <f>IF('Modelo Tarifário'!$C82="Não",0,P97+P109)</f>
        <v>0</v>
      </c>
      <c r="Q122" s="858">
        <f>IF('Modelo Tarifário'!$C82="Não",0,Q97+Q109)</f>
        <v>0</v>
      </c>
      <c r="R122" s="858">
        <f>IF('Modelo Tarifário'!$C82="Não",0,R97+R109)</f>
        <v>0</v>
      </c>
      <c r="S122" s="858">
        <f>IF('Modelo Tarifário'!$C82="Não",0,S97+S109)</f>
        <v>302559.24319402676</v>
      </c>
      <c r="T122" s="858">
        <f>IF('Modelo Tarifário'!$C82="Não",0,T97+T109)</f>
        <v>31007.044068692583</v>
      </c>
      <c r="U122" s="858">
        <f>IF('Modelo Tarifário'!$C82="Não",0,U97+U109)</f>
        <v>1651438.2754066521</v>
      </c>
      <c r="V122" s="858">
        <f>IF('Modelo Tarifário'!$C82="Não",0,V97+V109)</f>
        <v>0</v>
      </c>
      <c r="W122" s="858">
        <f>IF('Modelo Tarifário'!$C82="Não",0,W97+W109)</f>
        <v>0</v>
      </c>
      <c r="X122" s="858">
        <f>IF('Modelo Tarifário'!$C82="Não",0,X97+X109)</f>
        <v>0</v>
      </c>
      <c r="Y122" s="858">
        <f>IF('Modelo Tarifário'!$C82="Não",0,Y97+Y109)</f>
        <v>23532.899999999998</v>
      </c>
      <c r="Z122" s="858">
        <f>IF('Modelo Tarifário'!$C82="Não",0,Z97+Z109)</f>
        <v>0</v>
      </c>
      <c r="AA122" s="858">
        <f>IF('Modelo Tarifário'!$C82="Não",0,AA97+AA109)</f>
        <v>302559.24319402676</v>
      </c>
      <c r="AB122" s="858">
        <f>IF('Modelo Tarifário'!$C82="Não",0,AB97+AB109)</f>
        <v>7474.1440686925862</v>
      </c>
      <c r="AC122" s="858">
        <f>IF('Modelo Tarifário'!$C82="Não",0,AC97+AC109)</f>
        <v>1651438.2754066521</v>
      </c>
      <c r="AD122" s="858">
        <f>IF('Modelo Tarifário'!$C82="Não",0,AD97+AD109)</f>
        <v>23532.899999999998</v>
      </c>
      <c r="AE122" s="858">
        <f>IF('Modelo Tarifário'!$C82="Não",0,AE97+AE109)</f>
        <v>0</v>
      </c>
      <c r="AF122" s="858">
        <f>IF('Modelo Tarifário'!$C82="Não",0,AF97+AF109)</f>
        <v>0</v>
      </c>
      <c r="AG122" s="858">
        <f>IF('Modelo Tarifário'!$C82="Não",0,AG97+AG109)</f>
        <v>0</v>
      </c>
      <c r="AH122" s="858">
        <f>IF('Modelo Tarifário'!$C82="Não",0,AH97+AH109)</f>
        <v>0</v>
      </c>
    </row>
    <row r="123" spans="3:34" x14ac:dyDescent="0.35">
      <c r="C123" s="856" t="s">
        <v>3</v>
      </c>
      <c r="D123" s="808">
        <f t="shared" si="119"/>
        <v>981026.86827394681</v>
      </c>
      <c r="E123" s="858">
        <f>IF('Modelo Tarifário'!$C83="Não",0,E98+E110)</f>
        <v>217453.56431715674</v>
      </c>
      <c r="F123" s="858">
        <f>IF('Modelo Tarifário'!$C83="Não",0,F98+F110)</f>
        <v>0</v>
      </c>
      <c r="G123" s="858">
        <f>IF('Modelo Tarifário'!$C83="Não",0,G98+G110)</f>
        <v>0</v>
      </c>
      <c r="H123" s="858">
        <f>IF('Modelo Tarifário'!$C83="Não",0,H98+H110)</f>
        <v>0</v>
      </c>
      <c r="I123" s="858">
        <f>IF('Modelo Tarifário'!$C83="Não",0,I98+I110)</f>
        <v>0</v>
      </c>
      <c r="J123" s="858">
        <f>IF('Modelo Tarifário'!$C83="Não",0,J98+J110)</f>
        <v>3309.8161770755073</v>
      </c>
      <c r="K123" s="858">
        <f>IF('Modelo Tarifário'!$C83="Não",0,K98+K110)</f>
        <v>34864.326217056332</v>
      </c>
      <c r="L123" s="858">
        <f>IF('Modelo Tarifário'!$C83="Não",0,L98+L110)</f>
        <v>861.25611054978833</v>
      </c>
      <c r="M123" s="858">
        <f>IF('Modelo Tarifário'!$C83="Não",0,M98+M110)</f>
        <v>213282.49202953142</v>
      </c>
      <c r="N123" s="858">
        <f>IF('Modelo Tarifário'!$C83="Não",0,N98+N110)</f>
        <v>0</v>
      </c>
      <c r="O123" s="858">
        <f>IF('Modelo Tarifário'!$C83="Não",0,O98+O110)</f>
        <v>3309.8161770755073</v>
      </c>
      <c r="P123" s="858">
        <f>IF('Modelo Tarifário'!$C83="Não",0,P98+P110)</f>
        <v>0</v>
      </c>
      <c r="Q123" s="858">
        <f>IF('Modelo Tarifário'!$C83="Não",0,Q98+Q110)</f>
        <v>0</v>
      </c>
      <c r="R123" s="858">
        <f>IF('Modelo Tarifário'!$C83="Não",0,R98+R110)</f>
        <v>0</v>
      </c>
      <c r="S123" s="858">
        <f>IF('Modelo Tarifário'!$C83="Não",0,S98+S110)</f>
        <v>34864.326217056332</v>
      </c>
      <c r="T123" s="858">
        <f>IF('Modelo Tarifário'!$C83="Não",0,T98+T110)</f>
        <v>4171.0722876252958</v>
      </c>
      <c r="U123" s="858">
        <f>IF('Modelo Tarifário'!$C83="Não",0,U98+U110)</f>
        <v>213282.49202953142</v>
      </c>
      <c r="V123" s="858">
        <f>IF('Modelo Tarifário'!$C83="Não",0,V98+V110)</f>
        <v>0</v>
      </c>
      <c r="W123" s="858">
        <f>IF('Modelo Tarifário'!$C83="Não",0,W98+W110)</f>
        <v>0</v>
      </c>
      <c r="X123" s="858">
        <f>IF('Modelo Tarifário'!$C83="Não",0,X98+X110)</f>
        <v>0</v>
      </c>
      <c r="Y123" s="858">
        <f>IF('Modelo Tarifário'!$C83="Não",0,Y98+Y110)</f>
        <v>3309.8161770755073</v>
      </c>
      <c r="Z123" s="858">
        <f>IF('Modelo Tarifário'!$C83="Não",0,Z98+Z110)</f>
        <v>0</v>
      </c>
      <c r="AA123" s="858">
        <f>IF('Modelo Tarifário'!$C83="Não",0,AA98+AA110)</f>
        <v>34864.326217056332</v>
      </c>
      <c r="AB123" s="858">
        <f>IF('Modelo Tarifário'!$C83="Não",0,AB98+AB110)</f>
        <v>861.25611054978833</v>
      </c>
      <c r="AC123" s="858">
        <f>IF('Modelo Tarifário'!$C83="Não",0,AC98+AC110)</f>
        <v>213282.49202953142</v>
      </c>
      <c r="AD123" s="858">
        <f>IF('Modelo Tarifário'!$C83="Não",0,AD98+AD110)</f>
        <v>3309.8161770755073</v>
      </c>
      <c r="AE123" s="858">
        <f>IF('Modelo Tarifário'!$C83="Não",0,AE98+AE110)</f>
        <v>0</v>
      </c>
      <c r="AF123" s="858">
        <f>IF('Modelo Tarifário'!$C83="Não",0,AF98+AF110)</f>
        <v>0</v>
      </c>
      <c r="AG123" s="858">
        <f>IF('Modelo Tarifário'!$C83="Não",0,AG98+AG110)</f>
        <v>0</v>
      </c>
      <c r="AH123" s="858">
        <f>IF('Modelo Tarifário'!$C83="Não",0,AH98+AH110)</f>
        <v>0</v>
      </c>
    </row>
    <row r="124" spans="3:34" x14ac:dyDescent="0.35">
      <c r="C124" s="856" t="s">
        <v>4</v>
      </c>
      <c r="D124" s="808">
        <f t="shared" si="119"/>
        <v>2629623.4906913135</v>
      </c>
      <c r="E124" s="858">
        <f>IF('Modelo Tarifário'!$C84="Não",0,E99+E111)</f>
        <v>581868.39826622256</v>
      </c>
      <c r="F124" s="858">
        <f>IF('Modelo Tarifário'!$C84="Não",0,F99+F111)</f>
        <v>0</v>
      </c>
      <c r="G124" s="858">
        <f>IF('Modelo Tarifário'!$C84="Não",0,G99+G111)</f>
        <v>0</v>
      </c>
      <c r="H124" s="858">
        <f>IF('Modelo Tarifário'!$C84="Não",0,H99+H111)</f>
        <v>0</v>
      </c>
      <c r="I124" s="858">
        <f>IF('Modelo Tarifário'!$C84="Não",0,I99+I111)</f>
        <v>0</v>
      </c>
      <c r="J124" s="858">
        <f>IF('Modelo Tarifário'!$C84="Não",0,J99+J111)</f>
        <v>8831.4519528721885</v>
      </c>
      <c r="K124" s="858">
        <f>IF('Modelo Tarifário'!$C84="Não",0,K99+K111)</f>
        <v>94828.997906892968</v>
      </c>
      <c r="L124" s="858">
        <f>IF('Modelo Tarifário'!$C84="Não",0,L99+L111)</f>
        <v>2342.5679703704996</v>
      </c>
      <c r="M124" s="858">
        <f>IF('Modelo Tarifário'!$C84="Não",0,M99+M111)</f>
        <v>570694.37834297994</v>
      </c>
      <c r="N124" s="858">
        <f>IF('Modelo Tarifário'!$C84="Não",0,N99+N111)</f>
        <v>0</v>
      </c>
      <c r="O124" s="858">
        <f>IF('Modelo Tarifário'!$C84="Não",0,O99+O111)</f>
        <v>8831.4519528721885</v>
      </c>
      <c r="P124" s="858">
        <f>IF('Modelo Tarifário'!$C84="Não",0,P99+P111)</f>
        <v>0</v>
      </c>
      <c r="Q124" s="858">
        <f>IF('Modelo Tarifário'!$C84="Não",0,Q99+Q111)</f>
        <v>0</v>
      </c>
      <c r="R124" s="858">
        <f>IF('Modelo Tarifário'!$C84="Não",0,R99+R111)</f>
        <v>0</v>
      </c>
      <c r="S124" s="858">
        <f>IF('Modelo Tarifário'!$C84="Não",0,S99+S111)</f>
        <v>94828.997906892968</v>
      </c>
      <c r="T124" s="858">
        <f>IF('Modelo Tarifário'!$C84="Não",0,T99+T111)</f>
        <v>11174.019923242688</v>
      </c>
      <c r="U124" s="858">
        <f>IF('Modelo Tarifário'!$C84="Não",0,U99+U111)</f>
        <v>570694.37834297994</v>
      </c>
      <c r="V124" s="858">
        <f>IF('Modelo Tarifário'!$C84="Não",0,V99+V111)</f>
        <v>0</v>
      </c>
      <c r="W124" s="858">
        <f>IF('Modelo Tarifário'!$C84="Não",0,W99+W111)</f>
        <v>0</v>
      </c>
      <c r="X124" s="858">
        <f>IF('Modelo Tarifário'!$C84="Não",0,X99+X111)</f>
        <v>0</v>
      </c>
      <c r="Y124" s="858">
        <f>IF('Modelo Tarifário'!$C84="Não",0,Y99+Y111)</f>
        <v>8831.4519528721885</v>
      </c>
      <c r="Z124" s="858">
        <f>IF('Modelo Tarifário'!$C84="Não",0,Z99+Z111)</f>
        <v>0</v>
      </c>
      <c r="AA124" s="858">
        <f>IF('Modelo Tarifário'!$C84="Não",0,AA99+AA111)</f>
        <v>94828.997906892968</v>
      </c>
      <c r="AB124" s="858">
        <f>IF('Modelo Tarifário'!$C84="Não",0,AB99+AB111)</f>
        <v>2342.5679703704996</v>
      </c>
      <c r="AC124" s="858">
        <f>IF('Modelo Tarifário'!$C84="Não",0,AC99+AC111)</f>
        <v>570694.37834297994</v>
      </c>
      <c r="AD124" s="858">
        <f>IF('Modelo Tarifário'!$C84="Não",0,AD99+AD111)</f>
        <v>8831.4519528721885</v>
      </c>
      <c r="AE124" s="858">
        <f>IF('Modelo Tarifário'!$C84="Não",0,AE99+AE111)</f>
        <v>0</v>
      </c>
      <c r="AF124" s="858">
        <f>IF('Modelo Tarifário'!$C84="Não",0,AF99+AF111)</f>
        <v>0</v>
      </c>
      <c r="AG124" s="858">
        <f>IF('Modelo Tarifário'!$C84="Não",0,AG99+AG111)</f>
        <v>0</v>
      </c>
      <c r="AH124" s="858">
        <f>IF('Modelo Tarifário'!$C84="Não",0,AH99+AH111)</f>
        <v>0</v>
      </c>
    </row>
    <row r="125" spans="3:34" x14ac:dyDescent="0.35">
      <c r="C125" s="856" t="s">
        <v>5</v>
      </c>
      <c r="D125" s="808">
        <f t="shared" si="119"/>
        <v>3969097.7635267675</v>
      </c>
      <c r="E125" s="858">
        <f>IF('Modelo Tarifário'!$C85="Não",0,E103+E112)</f>
        <v>879665.99671594682</v>
      </c>
      <c r="F125" s="858">
        <f>IF('Modelo Tarifário'!$C85="Não",0,F103+F112)</f>
        <v>0</v>
      </c>
      <c r="G125" s="858">
        <f>IF('Modelo Tarifário'!$C85="Não",0,G103+G112)</f>
        <v>0</v>
      </c>
      <c r="H125" s="858">
        <f>IF('Modelo Tarifário'!$C85="Não",0,H103+H112)</f>
        <v>0</v>
      </c>
      <c r="I125" s="858">
        <f>IF('Modelo Tarifário'!$C85="Não",0,I103+I112)</f>
        <v>0</v>
      </c>
      <c r="J125" s="858">
        <f>IF('Modelo Tarifário'!$C85="Não",0,J103+J112)</f>
        <v>6239.1359718927761</v>
      </c>
      <c r="K125" s="858">
        <f>IF('Modelo Tarifário'!$C85="Não",0,K103+K112)</f>
        <v>203519.83869597517</v>
      </c>
      <c r="L125" s="858">
        <f>IF('Modelo Tarifário'!$C85="Não",0,L103+L112)</f>
        <v>5027.5661030633664</v>
      </c>
      <c r="M125" s="858">
        <f>IF('Modelo Tarifário'!$C85="Não",0,M103+M112)</f>
        <v>810864.62418474699</v>
      </c>
      <c r="N125" s="858">
        <f>IF('Modelo Tarifário'!$C85="Não",0,N103+N112)</f>
        <v>0</v>
      </c>
      <c r="O125" s="858">
        <f>IF('Modelo Tarifário'!$C85="Não",0,O103+O112)</f>
        <v>6239.1359718927761</v>
      </c>
      <c r="P125" s="858">
        <f>IF('Modelo Tarifário'!$C85="Não",0,P103+P112)</f>
        <v>0</v>
      </c>
      <c r="Q125" s="858">
        <f>IF('Modelo Tarifário'!$C85="Não",0,Q103+Q112)</f>
        <v>0</v>
      </c>
      <c r="R125" s="858">
        <f>IF('Modelo Tarifário'!$C85="Não",0,R103+R112)</f>
        <v>0</v>
      </c>
      <c r="S125" s="858">
        <f>IF('Modelo Tarifário'!$C85="Não",0,S103+S112)</f>
        <v>203519.83869597517</v>
      </c>
      <c r="T125" s="858">
        <f>IF('Modelo Tarifário'!$C85="Não",0,T103+T112)</f>
        <v>11266.702074956142</v>
      </c>
      <c r="U125" s="858">
        <f>IF('Modelo Tarifário'!$C85="Não",0,U103+U112)</f>
        <v>810864.62418474699</v>
      </c>
      <c r="V125" s="858">
        <f>IF('Modelo Tarifário'!$C85="Não",0,V103+V112)</f>
        <v>0</v>
      </c>
      <c r="W125" s="858">
        <f>IF('Modelo Tarifário'!$C85="Não",0,W103+W112)</f>
        <v>0</v>
      </c>
      <c r="X125" s="858">
        <f>IF('Modelo Tarifário'!$C85="Não",0,X103+X112)</f>
        <v>0</v>
      </c>
      <c r="Y125" s="858">
        <f>IF('Modelo Tarifário'!$C85="Não",0,Y103+Y112)</f>
        <v>6239.1359718927761</v>
      </c>
      <c r="Z125" s="858">
        <f>IF('Modelo Tarifário'!$C85="Não",0,Z103+Z112)</f>
        <v>0</v>
      </c>
      <c r="AA125" s="858">
        <f>IF('Modelo Tarifário'!$C85="Não",0,AA103+AA112)</f>
        <v>203519.83869597517</v>
      </c>
      <c r="AB125" s="858">
        <f>IF('Modelo Tarifário'!$C85="Não",0,AB103+AB112)</f>
        <v>5027.5661030633664</v>
      </c>
      <c r="AC125" s="858">
        <f>IF('Modelo Tarifário'!$C85="Não",0,AC103+AC112)</f>
        <v>810864.62418474699</v>
      </c>
      <c r="AD125" s="858">
        <f>IF('Modelo Tarifário'!$C85="Não",0,AD103+AD112)</f>
        <v>6239.1359718927761</v>
      </c>
      <c r="AE125" s="858">
        <f>IF('Modelo Tarifário'!$C85="Não",0,AE103+AE112)</f>
        <v>0</v>
      </c>
      <c r="AF125" s="858">
        <f>IF('Modelo Tarifário'!$C85="Não",0,AF103+AF112)</f>
        <v>0</v>
      </c>
      <c r="AG125" s="858">
        <f>IF('Modelo Tarifário'!$C85="Não",0,AG103+AG112)</f>
        <v>0</v>
      </c>
      <c r="AH125" s="858">
        <f>IF('Modelo Tarifário'!$C85="Não",0,AH103+AH112)</f>
        <v>0</v>
      </c>
    </row>
    <row r="126" spans="3:34" x14ac:dyDescent="0.35">
      <c r="C126" s="856" t="s">
        <v>6</v>
      </c>
      <c r="D126" s="808">
        <f t="shared" si="119"/>
        <v>44025015.069242671</v>
      </c>
      <c r="E126" s="858">
        <f>IF('Modelo Tarifário'!$C86="Não",0,E102+E113)</f>
        <v>9749800.7064840421</v>
      </c>
      <c r="F126" s="858">
        <f>IF('Modelo Tarifário'!$C86="Não",0,F102+F113)</f>
        <v>0</v>
      </c>
      <c r="G126" s="858">
        <f>IF('Modelo Tarifário'!$C86="Não",0,G102+G113)</f>
        <v>0</v>
      </c>
      <c r="H126" s="858">
        <f>IF('Modelo Tarifário'!$C86="Não",0,H102+H113)</f>
        <v>0</v>
      </c>
      <c r="I126" s="858">
        <f>IF('Modelo Tarifário'!$C86="Não",0,I102+I113)</f>
        <v>0</v>
      </c>
      <c r="J126" s="858">
        <f>IF('Modelo Tarifário'!$C86="Não",0,J102+J113)</f>
        <v>69066.144028107228</v>
      </c>
      <c r="K126" s="858">
        <f>IF('Modelo Tarifário'!$C86="Não",0,K102+K113)</f>
        <v>2266125.3912938512</v>
      </c>
      <c r="L126" s="858">
        <f>IF('Modelo Tarifário'!$C86="Não",0,L102+L113)</f>
        <v>55980.268437513689</v>
      </c>
      <c r="M126" s="858">
        <f>IF('Modelo Tarifário'!$C86="Não",0,M102+M113)</f>
        <v>8987855.5544746667</v>
      </c>
      <c r="N126" s="858">
        <f>IF('Modelo Tarifário'!$C86="Não",0,N102+N113)</f>
        <v>0</v>
      </c>
      <c r="O126" s="858">
        <f>IF('Modelo Tarifário'!$C86="Não",0,O102+O113)</f>
        <v>69066.144028107228</v>
      </c>
      <c r="P126" s="858">
        <f>IF('Modelo Tarifário'!$C86="Não",0,P102+P113)</f>
        <v>0</v>
      </c>
      <c r="Q126" s="858">
        <f>IF('Modelo Tarifário'!$C86="Não",0,Q102+Q113)</f>
        <v>0</v>
      </c>
      <c r="R126" s="858">
        <f>IF('Modelo Tarifário'!$C86="Não",0,R102+R113)</f>
        <v>0</v>
      </c>
      <c r="S126" s="858">
        <f>IF('Modelo Tarifário'!$C86="Não",0,S102+S113)</f>
        <v>2266125.3912938512</v>
      </c>
      <c r="T126" s="858">
        <f>IF('Modelo Tarifário'!$C86="Não",0,T102+T113)</f>
        <v>125046.41246562092</v>
      </c>
      <c r="U126" s="858">
        <f>IF('Modelo Tarifário'!$C86="Não",0,U102+U113)</f>
        <v>8987855.5544746667</v>
      </c>
      <c r="V126" s="858">
        <f>IF('Modelo Tarifário'!$C86="Não",0,V102+V113)</f>
        <v>0</v>
      </c>
      <c r="W126" s="858">
        <f>IF('Modelo Tarifário'!$C86="Não",0,W102+W113)</f>
        <v>0</v>
      </c>
      <c r="X126" s="858">
        <f>IF('Modelo Tarifário'!$C86="Não",0,X102+X113)</f>
        <v>0</v>
      </c>
      <c r="Y126" s="858">
        <f>IF('Modelo Tarifário'!$C86="Não",0,Y102+Y113)</f>
        <v>69066.144028107228</v>
      </c>
      <c r="Z126" s="858">
        <f>IF('Modelo Tarifário'!$C86="Não",0,Z102+Z113)</f>
        <v>0</v>
      </c>
      <c r="AA126" s="858">
        <f>IF('Modelo Tarifário'!$C86="Não",0,AA102+AA113)</f>
        <v>2266125.3912938512</v>
      </c>
      <c r="AB126" s="858">
        <f>IF('Modelo Tarifário'!$C86="Não",0,AB102+AB113)</f>
        <v>55980.268437513689</v>
      </c>
      <c r="AC126" s="858">
        <f>IF('Modelo Tarifário'!$C86="Não",0,AC102+AC113)</f>
        <v>8987855.5544746667</v>
      </c>
      <c r="AD126" s="858">
        <f>IF('Modelo Tarifário'!$C86="Não",0,AD102+AD113)</f>
        <v>69066.144028107228</v>
      </c>
      <c r="AE126" s="858">
        <f>IF('Modelo Tarifário'!$C86="Não",0,AE102+AE113)</f>
        <v>0</v>
      </c>
      <c r="AF126" s="858">
        <f>IF('Modelo Tarifário'!$C86="Não",0,AF102+AF113)</f>
        <v>0</v>
      </c>
      <c r="AG126" s="858">
        <f>IF('Modelo Tarifário'!$C86="Não",0,AG102+AG113)</f>
        <v>0</v>
      </c>
      <c r="AH126" s="858">
        <f>IF('Modelo Tarifário'!$C86="Não",0,AH102+AH113)</f>
        <v>0</v>
      </c>
    </row>
    <row r="127" spans="3:34" x14ac:dyDescent="0.35">
      <c r="C127" s="856" t="s">
        <v>7</v>
      </c>
      <c r="D127" s="808">
        <f t="shared" si="119"/>
        <v>0</v>
      </c>
      <c r="E127" s="858">
        <f>IF('Modelo Tarifário'!$C87="Não",0,E101+E114)</f>
        <v>0</v>
      </c>
      <c r="F127" s="858">
        <f>IF('Modelo Tarifário'!$C87="Não",0,F101+F114)</f>
        <v>0</v>
      </c>
      <c r="G127" s="858">
        <f>IF('Modelo Tarifário'!$C87="Não",0,G101+G114)</f>
        <v>0</v>
      </c>
      <c r="H127" s="858">
        <f>IF('Modelo Tarifário'!$C87="Não",0,H101+H114)</f>
        <v>0</v>
      </c>
      <c r="I127" s="858">
        <f>IF('Modelo Tarifário'!$C87="Não",0,I101+I114)</f>
        <v>0</v>
      </c>
      <c r="J127" s="858">
        <f>IF('Modelo Tarifário'!$C87="Não",0,J101+J114)</f>
        <v>0</v>
      </c>
      <c r="K127" s="858">
        <f>IF('Modelo Tarifário'!$C87="Não",0,K101+K114)</f>
        <v>0</v>
      </c>
      <c r="L127" s="858">
        <f>IF('Modelo Tarifário'!$C87="Não",0,L101+L114)</f>
        <v>0</v>
      </c>
      <c r="M127" s="858">
        <f>IF('Modelo Tarifário'!$C87="Não",0,M101+M114)</f>
        <v>0</v>
      </c>
      <c r="N127" s="858">
        <f>IF('Modelo Tarifário'!$C87="Não",0,N101+N114)</f>
        <v>0</v>
      </c>
      <c r="O127" s="858">
        <f>IF('Modelo Tarifário'!$C87="Não",0,O101+O114)</f>
        <v>0</v>
      </c>
      <c r="P127" s="858">
        <f>IF('Modelo Tarifário'!$C87="Não",0,P101+P114)</f>
        <v>0</v>
      </c>
      <c r="Q127" s="858">
        <f>IF('Modelo Tarifário'!$C87="Não",0,Q101+Q114)</f>
        <v>0</v>
      </c>
      <c r="R127" s="858">
        <f>IF('Modelo Tarifário'!$C87="Não",0,R101+R114)</f>
        <v>0</v>
      </c>
      <c r="S127" s="858">
        <f>IF('Modelo Tarifário'!$C87="Não",0,S101+S114)</f>
        <v>0</v>
      </c>
      <c r="T127" s="858">
        <f>IF('Modelo Tarifário'!$C87="Não",0,T101+T114)</f>
        <v>0</v>
      </c>
      <c r="U127" s="858">
        <f>IF('Modelo Tarifário'!$C87="Não",0,U101+U114)</f>
        <v>0</v>
      </c>
      <c r="V127" s="858">
        <f>IF('Modelo Tarifário'!$C87="Não",0,V101+V114)</f>
        <v>0</v>
      </c>
      <c r="W127" s="858">
        <f>IF('Modelo Tarifário'!$C87="Não",0,W101+W114)</f>
        <v>0</v>
      </c>
      <c r="X127" s="858">
        <f>IF('Modelo Tarifário'!$C87="Não",0,X101+X114)</f>
        <v>0</v>
      </c>
      <c r="Y127" s="858">
        <f>IF('Modelo Tarifário'!$C87="Não",0,Y101+Y114)</f>
        <v>0</v>
      </c>
      <c r="Z127" s="858">
        <f>IF('Modelo Tarifário'!$C87="Não",0,Z101+Z114)</f>
        <v>0</v>
      </c>
      <c r="AA127" s="858">
        <f>IF('Modelo Tarifário'!$C87="Não",0,AA101+AA114)</f>
        <v>0</v>
      </c>
      <c r="AB127" s="858">
        <f>IF('Modelo Tarifário'!$C87="Não",0,AB101+AB114)</f>
        <v>0</v>
      </c>
      <c r="AC127" s="858">
        <f>IF('Modelo Tarifário'!$C87="Não",0,AC101+AC114)</f>
        <v>0</v>
      </c>
      <c r="AD127" s="858">
        <f>IF('Modelo Tarifário'!$C87="Não",0,AD101+AD114)</f>
        <v>0</v>
      </c>
      <c r="AE127" s="858">
        <f>IF('Modelo Tarifário'!$C87="Não",0,AE101+AE114)</f>
        <v>0</v>
      </c>
      <c r="AF127" s="858">
        <f>IF('Modelo Tarifário'!$C87="Não",0,AF101+AF114)</f>
        <v>0</v>
      </c>
      <c r="AG127" s="858">
        <f>IF('Modelo Tarifário'!$C87="Não",0,AG101+AG114)</f>
        <v>0</v>
      </c>
      <c r="AH127" s="858">
        <f>IF('Modelo Tarifário'!$C87="Não",0,AH101+AH114)</f>
        <v>0</v>
      </c>
    </row>
    <row r="128" spans="3:34" x14ac:dyDescent="0.35">
      <c r="C128" s="856" t="s">
        <v>8</v>
      </c>
      <c r="D128" s="808">
        <f t="shared" si="119"/>
        <v>3704981.514882559</v>
      </c>
      <c r="E128" s="858">
        <f>IF('Modelo Tarifário'!$C88="Não",0,E96+E115)</f>
        <v>785634.36025587528</v>
      </c>
      <c r="F128" s="858">
        <f>IF('Modelo Tarifário'!$C88="Não",0,F96+F115)</f>
        <v>0</v>
      </c>
      <c r="G128" s="858">
        <f>IF('Modelo Tarifário'!$C88="Não",0,G96+G115)</f>
        <v>0</v>
      </c>
      <c r="H128" s="858">
        <f>IF('Modelo Tarifário'!$C88="Não",0,H96+H115)</f>
        <v>0</v>
      </c>
      <c r="I128" s="858">
        <f>IF('Modelo Tarifário'!$C88="Não",0,I96+I115)</f>
        <v>0</v>
      </c>
      <c r="J128" s="858">
        <f>IF('Modelo Tarifário'!$C88="Não",0,J96+J115)</f>
        <v>17920.083328702334</v>
      </c>
      <c r="K128" s="858">
        <f>IF('Modelo Tarifário'!$C88="Não",0,K96+K115)</f>
        <v>175534.63573388424</v>
      </c>
      <c r="L128" s="858">
        <f>IF('Modelo Tarifário'!$C88="Não",0,L96+L115)</f>
        <v>4336.2454991308159</v>
      </c>
      <c r="M128" s="858">
        <f>IF('Modelo Tarifário'!$C88="Não",0,M96+M115)</f>
        <v>763378.0314280421</v>
      </c>
      <c r="N128" s="858">
        <f>IF('Modelo Tarifário'!$C88="Não",0,N96+N115)</f>
        <v>0</v>
      </c>
      <c r="O128" s="858">
        <f>IF('Modelo Tarifário'!$C88="Não",0,O96+O115)</f>
        <v>17920.083328702334</v>
      </c>
      <c r="P128" s="858">
        <f>IF('Modelo Tarifário'!$C88="Não",0,P96+P115)</f>
        <v>0</v>
      </c>
      <c r="Q128" s="858">
        <f>IF('Modelo Tarifário'!$C88="Não",0,Q96+Q115)</f>
        <v>0</v>
      </c>
      <c r="R128" s="858">
        <f>IF('Modelo Tarifário'!$C88="Não",0,R96+R115)</f>
        <v>0</v>
      </c>
      <c r="S128" s="858">
        <f>IF('Modelo Tarifário'!$C88="Não",0,S96+S115)</f>
        <v>175534.63573388424</v>
      </c>
      <c r="T128" s="858">
        <f>IF('Modelo Tarifário'!$C88="Não",0,T96+T115)</f>
        <v>22256.328827833149</v>
      </c>
      <c r="U128" s="858">
        <f>IF('Modelo Tarifário'!$C88="Não",0,U96+U115)</f>
        <v>763378.0314280421</v>
      </c>
      <c r="V128" s="858">
        <f>IF('Modelo Tarifário'!$C88="Não",0,V96+V115)</f>
        <v>0</v>
      </c>
      <c r="W128" s="858">
        <f>IF('Modelo Tarifário'!$C88="Não",0,W96+W115)</f>
        <v>0</v>
      </c>
      <c r="X128" s="858">
        <f>IF('Modelo Tarifário'!$C88="Não",0,X96+X115)</f>
        <v>0</v>
      </c>
      <c r="Y128" s="858">
        <f>IF('Modelo Tarifário'!$C88="Não",0,Y96+Y115)</f>
        <v>17920.083328702334</v>
      </c>
      <c r="Z128" s="858">
        <f>IF('Modelo Tarifário'!$C88="Não",0,Z96+Z115)</f>
        <v>0</v>
      </c>
      <c r="AA128" s="858">
        <f>IF('Modelo Tarifário'!$C88="Não",0,AA96+AA115)</f>
        <v>175534.63573388424</v>
      </c>
      <c r="AB128" s="858">
        <f>IF('Modelo Tarifário'!$C88="Não",0,AB96+AB115)</f>
        <v>4336.2454991308159</v>
      </c>
      <c r="AC128" s="858">
        <f>IF('Modelo Tarifário'!$C88="Não",0,AC96+AC115)</f>
        <v>763378.0314280421</v>
      </c>
      <c r="AD128" s="858">
        <f>IF('Modelo Tarifário'!$C88="Não",0,AD96+AD115)</f>
        <v>17920.083328702334</v>
      </c>
      <c r="AE128" s="858">
        <f>IF('Modelo Tarifário'!$C88="Não",0,AE96+AE115)</f>
        <v>0</v>
      </c>
      <c r="AF128" s="858">
        <f>IF('Modelo Tarifário'!$C88="Não",0,AF96+AF115)</f>
        <v>0</v>
      </c>
      <c r="AG128" s="858">
        <f>IF('Modelo Tarifário'!$C88="Não",0,AG96+AG115)</f>
        <v>0</v>
      </c>
      <c r="AH128" s="858">
        <f>IF('Modelo Tarifário'!$C88="Não",0,AH96+AH115)</f>
        <v>0</v>
      </c>
    </row>
    <row r="129" spans="3:40" x14ac:dyDescent="0.35">
      <c r="C129" s="856" t="s">
        <v>9</v>
      </c>
      <c r="D129" s="811">
        <f t="shared" si="119"/>
        <v>3857584.7530423463</v>
      </c>
      <c r="E129" s="858">
        <f>IF('Modelo Tarifário'!$C89="Não",0,E100+E116)</f>
        <v>853709.78844886669</v>
      </c>
      <c r="F129" s="858">
        <f>IF('Modelo Tarifário'!$C89="Não",0,F100+F116)</f>
        <v>0</v>
      </c>
      <c r="G129" s="858">
        <f>IF('Modelo Tarifário'!$C89="Não",0,G100+G116)</f>
        <v>0</v>
      </c>
      <c r="H129" s="858">
        <f>IF('Modelo Tarifário'!$C89="Não",0,H100+H116)</f>
        <v>0</v>
      </c>
      <c r="I129" s="858">
        <f>IF('Modelo Tarifário'!$C89="Não",0,I100+I116)</f>
        <v>0</v>
      </c>
      <c r="J129" s="858">
        <f>IF('Modelo Tarifário'!$C89="Não",0,J100+J116)</f>
        <v>12960.491870052303</v>
      </c>
      <c r="K129" s="858">
        <f>IF('Modelo Tarifário'!$C89="Não",0,K100+K116)</f>
        <v>138941.53850225807</v>
      </c>
      <c r="L129" s="858">
        <f>IF('Modelo Tarifário'!$C89="Não",0,L100+L116)</f>
        <v>3432.2834263097357</v>
      </c>
      <c r="M129" s="858">
        <f>IF('Modelo Tarifário'!$C89="Não",0,M100+M116)</f>
        <v>837317.01315250469</v>
      </c>
      <c r="N129" s="858">
        <f>IF('Modelo Tarifário'!$C89="Não",0,N100+N116)</f>
        <v>0</v>
      </c>
      <c r="O129" s="858">
        <f>IF('Modelo Tarifário'!$C89="Não",0,O100+O116)</f>
        <v>12960.491870052303</v>
      </c>
      <c r="P129" s="858">
        <f>IF('Modelo Tarifário'!$C89="Não",0,P100+P116)</f>
        <v>0</v>
      </c>
      <c r="Q129" s="858">
        <f>IF('Modelo Tarifário'!$C89="Não",0,Q100+Q116)</f>
        <v>0</v>
      </c>
      <c r="R129" s="858">
        <f>IF('Modelo Tarifário'!$C89="Não",0,R100+R116)</f>
        <v>0</v>
      </c>
      <c r="S129" s="858">
        <f>IF('Modelo Tarifário'!$C89="Não",0,S100+S116)</f>
        <v>138941.53850225807</v>
      </c>
      <c r="T129" s="858">
        <f>IF('Modelo Tarifário'!$C89="Não",0,T100+T116)</f>
        <v>16392.775296362037</v>
      </c>
      <c r="U129" s="858">
        <f>IF('Modelo Tarifário'!$C89="Não",0,U100+U116)</f>
        <v>837317.01315250469</v>
      </c>
      <c r="V129" s="858">
        <f>IF('Modelo Tarifário'!$C89="Não",0,V100+V116)</f>
        <v>0</v>
      </c>
      <c r="W129" s="858">
        <f>IF('Modelo Tarifário'!$C89="Não",0,W100+W116)</f>
        <v>0</v>
      </c>
      <c r="X129" s="858">
        <f>IF('Modelo Tarifário'!$C89="Não",0,X100+X116)</f>
        <v>0</v>
      </c>
      <c r="Y129" s="858">
        <f>IF('Modelo Tarifário'!$C89="Não",0,Y100+Y116)</f>
        <v>12960.491870052303</v>
      </c>
      <c r="Z129" s="858">
        <f>IF('Modelo Tarifário'!$C89="Não",0,Z100+Z116)</f>
        <v>0</v>
      </c>
      <c r="AA129" s="858">
        <f>IF('Modelo Tarifário'!$C89="Não",0,AA100+AA116)</f>
        <v>138941.53850225807</v>
      </c>
      <c r="AB129" s="858">
        <f>IF('Modelo Tarifário'!$C89="Não",0,AB100+AB116)</f>
        <v>3432.2834263097357</v>
      </c>
      <c r="AC129" s="858">
        <f>IF('Modelo Tarifário'!$C89="Não",0,AC100+AC116)</f>
        <v>837317.01315250469</v>
      </c>
      <c r="AD129" s="858">
        <f>IF('Modelo Tarifário'!$C89="Não",0,AD100+AD116)</f>
        <v>12960.491870052303</v>
      </c>
      <c r="AE129" s="858">
        <f>IF('Modelo Tarifário'!$C89="Não",0,AE100+AE116)</f>
        <v>0</v>
      </c>
      <c r="AF129" s="858">
        <f>IF('Modelo Tarifário'!$C89="Não",0,AF100+AF116)</f>
        <v>0</v>
      </c>
      <c r="AG129" s="858">
        <f>IF('Modelo Tarifário'!$C89="Não",0,AG100+AG116)</f>
        <v>0</v>
      </c>
      <c r="AH129" s="858">
        <f>IF('Modelo Tarifário'!$C89="Não",0,AH100+AH116)</f>
        <v>0</v>
      </c>
    </row>
    <row r="130" spans="3:40" x14ac:dyDescent="0.35">
      <c r="C130" s="800" t="s">
        <v>455</v>
      </c>
      <c r="D130" s="801">
        <f t="shared" ref="D130:AH130" si="120">SUM(D121:D129)</f>
        <v>67352434.409999996</v>
      </c>
      <c r="E130" s="801">
        <f t="shared" si="120"/>
        <v>14857558.729999997</v>
      </c>
      <c r="F130" s="801">
        <f t="shared" si="120"/>
        <v>0</v>
      </c>
      <c r="G130" s="801">
        <f t="shared" si="120"/>
        <v>0</v>
      </c>
      <c r="H130" s="801">
        <f t="shared" si="120"/>
        <v>0</v>
      </c>
      <c r="I130" s="801">
        <f t="shared" si="120"/>
        <v>0</v>
      </c>
      <c r="J130" s="801">
        <f t="shared" si="120"/>
        <v>144335.12</v>
      </c>
      <c r="K130" s="801">
        <f t="shared" si="120"/>
        <v>3238943.16</v>
      </c>
      <c r="L130" s="801">
        <f t="shared" si="120"/>
        <v>80011.86</v>
      </c>
      <c r="M130" s="801">
        <f t="shared" si="120"/>
        <v>13938778.340000002</v>
      </c>
      <c r="N130" s="801">
        <f t="shared" si="120"/>
        <v>0</v>
      </c>
      <c r="O130" s="801">
        <f t="shared" si="120"/>
        <v>144335.12</v>
      </c>
      <c r="P130" s="801">
        <f t="shared" si="120"/>
        <v>0</v>
      </c>
      <c r="Q130" s="801">
        <f t="shared" si="120"/>
        <v>0</v>
      </c>
      <c r="R130" s="801">
        <f t="shared" si="120"/>
        <v>0</v>
      </c>
      <c r="S130" s="801">
        <f t="shared" si="120"/>
        <v>3238943.16</v>
      </c>
      <c r="T130" s="801">
        <f t="shared" si="120"/>
        <v>224346.97999999998</v>
      </c>
      <c r="U130" s="801">
        <f t="shared" si="120"/>
        <v>13938778.340000002</v>
      </c>
      <c r="V130" s="801">
        <f t="shared" si="120"/>
        <v>0</v>
      </c>
      <c r="W130" s="801">
        <f t="shared" si="120"/>
        <v>0</v>
      </c>
      <c r="X130" s="801">
        <f t="shared" si="120"/>
        <v>0</v>
      </c>
      <c r="Y130" s="801">
        <f t="shared" si="120"/>
        <v>144335.12</v>
      </c>
      <c r="Z130" s="801">
        <f t="shared" si="120"/>
        <v>0</v>
      </c>
      <c r="AA130" s="801">
        <f t="shared" si="120"/>
        <v>3238943.16</v>
      </c>
      <c r="AB130" s="801">
        <f t="shared" si="120"/>
        <v>80011.86</v>
      </c>
      <c r="AC130" s="801">
        <f t="shared" si="120"/>
        <v>13938778.340000002</v>
      </c>
      <c r="AD130" s="801">
        <f t="shared" si="120"/>
        <v>144335.12</v>
      </c>
      <c r="AE130" s="801">
        <f t="shared" si="120"/>
        <v>0</v>
      </c>
      <c r="AF130" s="801">
        <f t="shared" si="120"/>
        <v>0</v>
      </c>
      <c r="AG130" s="801">
        <f t="shared" si="120"/>
        <v>0</v>
      </c>
      <c r="AH130" s="801">
        <f t="shared" si="120"/>
        <v>0</v>
      </c>
    </row>
    <row r="131" spans="3:40" x14ac:dyDescent="0.35">
      <c r="C131" s="77"/>
      <c r="D131" s="97"/>
    </row>
    <row r="132" spans="3:40" x14ac:dyDescent="0.35">
      <c r="C132" s="77"/>
    </row>
    <row r="133" spans="3:40" x14ac:dyDescent="0.35">
      <c r="C133" s="77" t="s">
        <v>771</v>
      </c>
    </row>
    <row r="134" spans="3:40" ht="26" x14ac:dyDescent="0.35">
      <c r="C134" s="803"/>
      <c r="D134" s="862" t="s">
        <v>68</v>
      </c>
      <c r="E134" s="1012" t="s">
        <v>772</v>
      </c>
      <c r="F134" s="1012" t="s">
        <v>773</v>
      </c>
      <c r="G134" s="1767" t="s">
        <v>774</v>
      </c>
      <c r="H134" s="1014"/>
      <c r="I134" s="1014"/>
      <c r="J134" s="1014"/>
      <c r="K134" s="1014"/>
      <c r="L134" s="1014"/>
      <c r="M134" s="1014"/>
      <c r="N134" s="1014"/>
      <c r="O134" s="1014"/>
      <c r="P134" s="1014"/>
      <c r="Q134" s="1014"/>
      <c r="R134" s="1014"/>
      <c r="S134" s="1014"/>
      <c r="T134" s="1014"/>
      <c r="U134" s="1014"/>
      <c r="V134" s="1014"/>
      <c r="W134" s="1014"/>
      <c r="X134" s="1014"/>
      <c r="Y134" s="1014"/>
      <c r="Z134" s="1014"/>
      <c r="AA134" s="1014"/>
      <c r="AB134" s="1014"/>
      <c r="AC134" s="1014"/>
      <c r="AD134" s="1014"/>
      <c r="AE134" s="1014"/>
      <c r="AF134" s="1014"/>
      <c r="AG134" s="1014"/>
      <c r="AH134" s="1014"/>
      <c r="AN134" s="1014"/>
    </row>
    <row r="135" spans="3:40" x14ac:dyDescent="0.35">
      <c r="C135" s="1966" t="s">
        <v>775</v>
      </c>
      <c r="D135" s="863" t="s">
        <v>1</v>
      </c>
      <c r="E135" s="818" t="str">
        <f>'Modelo Tarifário'!$C$81</f>
        <v>Sim</v>
      </c>
      <c r="F135" s="818">
        <f>G135/G144</f>
        <v>7.2188365718683783E-3</v>
      </c>
      <c r="G135" s="818">
        <f>IF(E135="sim",'Premissas Gerais'!$G$165,0)</f>
        <v>6.8271733926195486E-3</v>
      </c>
      <c r="H135" s="1016"/>
      <c r="I135" s="1016"/>
      <c r="J135" s="1016"/>
      <c r="K135" s="1016"/>
      <c r="L135" s="1016"/>
      <c r="M135" s="1016"/>
      <c r="N135" s="1016"/>
      <c r="O135" s="1016"/>
      <c r="P135" s="1016"/>
      <c r="Q135" s="1016"/>
      <c r="R135" s="1016"/>
      <c r="S135" s="1016"/>
      <c r="T135" s="1016"/>
      <c r="U135" s="1016"/>
      <c r="V135" s="1016"/>
      <c r="W135" s="1016"/>
      <c r="X135" s="1016"/>
      <c r="Y135" s="1016"/>
      <c r="Z135" s="1016"/>
      <c r="AA135" s="1016"/>
      <c r="AB135" s="1016"/>
      <c r="AC135" s="1016"/>
      <c r="AD135" s="1016"/>
      <c r="AE135" s="1016"/>
      <c r="AF135" s="1016"/>
      <c r="AG135" s="1016"/>
      <c r="AH135" s="1016"/>
      <c r="AN135" s="1016"/>
    </row>
    <row r="136" spans="3:40" x14ac:dyDescent="0.35">
      <c r="C136" s="1967"/>
      <c r="D136" s="1666" t="s">
        <v>8</v>
      </c>
      <c r="E136" s="1538" t="str">
        <f>'Modelo Tarifário'!$C$88</f>
        <v>Sim</v>
      </c>
      <c r="F136" s="1538">
        <f>G136/G144</f>
        <v>5.2265495083205028E-2</v>
      </c>
      <c r="G136" s="1538">
        <f>IF(E136="sim",'Premissas Gerais'!$G$172,0)</f>
        <v>4.9429792991115142E-2</v>
      </c>
      <c r="H136" s="1016"/>
      <c r="I136" s="1016"/>
      <c r="J136" s="1016"/>
      <c r="K136" s="1016"/>
      <c r="L136" s="1016"/>
      <c r="M136" s="1016"/>
      <c r="N136" s="1016"/>
      <c r="O136" s="1016"/>
      <c r="P136" s="1016"/>
      <c r="Q136" s="1016"/>
      <c r="R136" s="1016"/>
      <c r="S136" s="1016"/>
      <c r="T136" s="1016"/>
      <c r="U136" s="1016"/>
      <c r="V136" s="1016"/>
      <c r="W136" s="1016"/>
      <c r="X136" s="1016"/>
      <c r="Y136" s="1016"/>
      <c r="Z136" s="1016"/>
      <c r="AA136" s="1016"/>
      <c r="AB136" s="1016"/>
      <c r="AC136" s="1016"/>
      <c r="AD136" s="1016"/>
      <c r="AE136" s="1016"/>
      <c r="AF136" s="1016"/>
      <c r="AG136" s="1016"/>
      <c r="AH136" s="1016"/>
      <c r="AN136" s="1016"/>
    </row>
    <row r="137" spans="3:40" x14ac:dyDescent="0.35">
      <c r="C137" s="795" t="s">
        <v>730</v>
      </c>
      <c r="D137" s="868" t="s">
        <v>2</v>
      </c>
      <c r="E137" s="822" t="str">
        <f>'Modelo Tarifário'!$C$82</f>
        <v>Sim</v>
      </c>
      <c r="F137" s="822">
        <f>G137/G144</f>
        <v>9.1423980366283367E-2</v>
      </c>
      <c r="G137" s="822">
        <f>IF(E137="sim",'Premissas Gerais'!$G$166,0)</f>
        <v>8.6463706442174645E-2</v>
      </c>
      <c r="H137" s="1016"/>
      <c r="I137" s="1016"/>
      <c r="J137" s="1016"/>
      <c r="K137" s="1016"/>
      <c r="L137" s="1016"/>
      <c r="M137" s="1016"/>
      <c r="N137" s="1016"/>
      <c r="O137" s="1016"/>
      <c r="P137" s="1016"/>
      <c r="Q137" s="1016"/>
      <c r="R137" s="1016"/>
      <c r="S137" s="1016"/>
      <c r="T137" s="1016"/>
      <c r="U137" s="1016"/>
      <c r="V137" s="1016"/>
      <c r="W137" s="1016"/>
      <c r="X137" s="1016"/>
      <c r="Y137" s="1016"/>
      <c r="Z137" s="1016"/>
      <c r="AA137" s="1016"/>
      <c r="AB137" s="1016"/>
      <c r="AC137" s="1016"/>
      <c r="AD137" s="1016"/>
      <c r="AE137" s="1016"/>
      <c r="AF137" s="1016"/>
      <c r="AG137" s="1016"/>
      <c r="AH137" s="1016"/>
      <c r="AN137" s="1016"/>
    </row>
    <row r="138" spans="3:40" x14ac:dyDescent="0.35">
      <c r="C138" s="1968" t="s">
        <v>776</v>
      </c>
      <c r="D138" s="1096" t="s">
        <v>3</v>
      </c>
      <c r="E138" s="1004" t="str">
        <f>'Modelo Tarifário'!$C$83</f>
        <v>Sim</v>
      </c>
      <c r="F138" s="1004">
        <f>G138/G144</f>
        <v>1.0952017749373608E-2</v>
      </c>
      <c r="G138" s="1004">
        <f>IF(E138="sim",'Premissas Gerais'!$G$167,0)</f>
        <v>1.0357808135649236E-2</v>
      </c>
      <c r="H138" s="1016"/>
      <c r="I138" s="1016"/>
      <c r="J138" s="1016"/>
      <c r="K138" s="1016"/>
      <c r="L138" s="1016"/>
      <c r="M138" s="1016"/>
      <c r="N138" s="1016"/>
      <c r="O138" s="1016"/>
      <c r="P138" s="1016"/>
      <c r="Q138" s="1016"/>
      <c r="R138" s="1016"/>
      <c r="S138" s="1016"/>
      <c r="T138" s="1016"/>
      <c r="U138" s="1016"/>
      <c r="V138" s="1016"/>
      <c r="W138" s="1016"/>
      <c r="X138" s="1016"/>
      <c r="Y138" s="1016"/>
      <c r="Z138" s="1016"/>
      <c r="AA138" s="1016"/>
      <c r="AB138" s="1016"/>
      <c r="AC138" s="1016"/>
      <c r="AD138" s="1016"/>
      <c r="AE138" s="1016"/>
      <c r="AF138" s="1016"/>
      <c r="AG138" s="1016"/>
      <c r="AH138" s="1016"/>
      <c r="AN138" s="1016"/>
    </row>
    <row r="139" spans="3:40" x14ac:dyDescent="0.35">
      <c r="C139" s="1969"/>
      <c r="D139" s="864" t="s">
        <v>4</v>
      </c>
      <c r="E139" s="819" t="str">
        <f>'Modelo Tarifário'!$C$84</f>
        <v>Sim</v>
      </c>
      <c r="F139" s="819">
        <f>G139/G144</f>
        <v>2.9222836969169202E-2</v>
      </c>
      <c r="G139" s="819">
        <f>IF(E139="sim",'Premissas Gerais'!$G$168,0)</f>
        <v>2.7637330894877687E-2</v>
      </c>
      <c r="H139" s="1016"/>
      <c r="I139" s="1016"/>
      <c r="J139" s="1016"/>
      <c r="K139" s="1016"/>
      <c r="L139" s="1016"/>
      <c r="M139" s="1016"/>
      <c r="N139" s="1016"/>
      <c r="O139" s="1016"/>
      <c r="P139" s="1016"/>
      <c r="Q139" s="1016"/>
      <c r="R139" s="1016"/>
      <c r="S139" s="1016"/>
      <c r="T139" s="1016"/>
      <c r="U139" s="1016"/>
      <c r="V139" s="1016"/>
      <c r="W139" s="1016"/>
      <c r="X139" s="1016"/>
      <c r="Y139" s="1016"/>
      <c r="Z139" s="1016"/>
      <c r="AA139" s="1016"/>
      <c r="AB139" s="1016"/>
      <c r="AC139" s="1016"/>
      <c r="AD139" s="1016"/>
      <c r="AE139" s="1016"/>
      <c r="AF139" s="1016"/>
      <c r="AG139" s="1016"/>
      <c r="AH139" s="1016"/>
      <c r="AN139" s="1016"/>
    </row>
    <row r="140" spans="3:40" x14ac:dyDescent="0.35">
      <c r="C140" s="1970"/>
      <c r="D140" s="867" t="s">
        <v>9</v>
      </c>
      <c r="E140" s="1005" t="str">
        <f>'Modelo Tarifário'!$C$89</f>
        <v>Sim</v>
      </c>
      <c r="F140" s="1005">
        <f>G140/$G$144</f>
        <v>4.2885625487166436E-2</v>
      </c>
      <c r="G140" s="1005">
        <f>IF(E140="sim",'Premissas Gerais'!$G$173,0)</f>
        <v>4.0558834978037216E-2</v>
      </c>
      <c r="H140" s="1016"/>
      <c r="I140" s="1016"/>
      <c r="J140" s="1016"/>
      <c r="K140" s="1016"/>
      <c r="L140" s="1016"/>
      <c r="M140" s="1016"/>
      <c r="N140" s="1016"/>
      <c r="O140" s="1016"/>
      <c r="P140" s="1016"/>
      <c r="Q140" s="1016"/>
      <c r="R140" s="1016"/>
      <c r="S140" s="1016"/>
      <c r="T140" s="1016"/>
      <c r="U140" s="1016"/>
      <c r="V140" s="1016"/>
      <c r="W140" s="1016"/>
      <c r="X140" s="1016"/>
      <c r="Y140" s="1016"/>
      <c r="Z140" s="1016"/>
      <c r="AA140" s="1016"/>
      <c r="AB140" s="1016"/>
      <c r="AC140" s="1016"/>
      <c r="AD140" s="1016"/>
      <c r="AE140" s="1016"/>
      <c r="AF140" s="1016"/>
      <c r="AG140" s="1016"/>
      <c r="AH140" s="1016"/>
      <c r="AN140" s="1016"/>
    </row>
    <row r="141" spans="3:40" x14ac:dyDescent="0.35">
      <c r="C141" s="1528" t="s">
        <v>732</v>
      </c>
      <c r="D141" s="865" t="s">
        <v>7</v>
      </c>
      <c r="E141" s="820" t="str">
        <f>'Modelo Tarifário'!$C$87</f>
        <v>Não</v>
      </c>
      <c r="F141" s="1005">
        <f t="shared" ref="F141:F143" si="121">G141/$G$144</f>
        <v>0</v>
      </c>
      <c r="G141" s="820">
        <f>IF(E141="sim",'Premissas Gerais'!$G$171,0)</f>
        <v>0</v>
      </c>
      <c r="H141" s="1016"/>
      <c r="I141" s="1016"/>
      <c r="J141" s="1016"/>
      <c r="K141" s="1016"/>
      <c r="L141" s="1016"/>
      <c r="M141" s="1016"/>
      <c r="N141" s="1016"/>
      <c r="O141" s="1016"/>
      <c r="P141" s="1016"/>
      <c r="Q141" s="1016"/>
      <c r="R141" s="1016"/>
      <c r="S141" s="1016"/>
      <c r="T141" s="1016"/>
      <c r="U141" s="1016"/>
      <c r="V141" s="1016"/>
      <c r="W141" s="1016"/>
      <c r="X141" s="1016"/>
      <c r="Y141" s="1016"/>
      <c r="Z141" s="1016"/>
      <c r="AA141" s="1016"/>
      <c r="AB141" s="1016"/>
      <c r="AC141" s="1016"/>
      <c r="AD141" s="1016"/>
      <c r="AE141" s="1016"/>
      <c r="AF141" s="1016"/>
      <c r="AG141" s="1016"/>
      <c r="AH141" s="1016"/>
      <c r="AI141" s="1016"/>
      <c r="AJ141" s="1016"/>
      <c r="AK141" s="1016"/>
      <c r="AL141" s="1016"/>
      <c r="AM141" s="1016"/>
      <c r="AN141" s="1016"/>
    </row>
    <row r="142" spans="3:40" x14ac:dyDescent="0.35">
      <c r="C142" s="795"/>
      <c r="D142" s="868" t="s">
        <v>6</v>
      </c>
      <c r="E142" s="822" t="str">
        <f>'Modelo Tarifário'!$C$86</f>
        <v>Sim</v>
      </c>
      <c r="F142" s="1005">
        <f t="shared" si="121"/>
        <v>0.70256457085174351</v>
      </c>
      <c r="G142" s="822">
        <f>IF(E142="sim",'Premissas Gerais'!$G$170,0)</f>
        <v>0.66444642387502584</v>
      </c>
      <c r="H142" s="1016"/>
      <c r="I142" s="1016"/>
      <c r="J142" s="1016"/>
      <c r="K142" s="1016"/>
      <c r="L142" s="1016"/>
      <c r="M142" s="1016"/>
      <c r="N142" s="1016"/>
      <c r="O142" s="1016"/>
      <c r="P142" s="1016"/>
      <c r="Q142" s="1016"/>
      <c r="R142" s="1016"/>
      <c r="S142" s="1016"/>
      <c r="T142" s="1016"/>
      <c r="U142" s="1016"/>
      <c r="V142" s="1016"/>
      <c r="W142" s="1016"/>
      <c r="X142" s="1016"/>
      <c r="Y142" s="1016"/>
      <c r="Z142" s="1016"/>
      <c r="AA142" s="1016"/>
      <c r="AB142" s="1016"/>
      <c r="AC142" s="1016"/>
      <c r="AD142" s="1016"/>
      <c r="AE142" s="1016"/>
      <c r="AF142" s="1016"/>
      <c r="AG142" s="1016"/>
      <c r="AH142" s="1016"/>
      <c r="AI142" s="1016"/>
      <c r="AJ142" s="1016"/>
      <c r="AK142" s="1016"/>
      <c r="AL142" s="1016"/>
      <c r="AM142" s="1016"/>
      <c r="AN142" s="1016"/>
    </row>
    <row r="143" spans="3:40" x14ac:dyDescent="0.35">
      <c r="C143" s="783"/>
      <c r="D143" s="868" t="s">
        <v>5</v>
      </c>
      <c r="E143" s="822" t="str">
        <f>'Modelo Tarifário'!$C$85</f>
        <v>Sim</v>
      </c>
      <c r="F143" s="1005">
        <f t="shared" si="121"/>
        <v>6.3466636921190395E-2</v>
      </c>
      <c r="G143" s="822">
        <f>IF(E143="sim",'Premissas Gerais'!$G$169,0)</f>
        <v>6.0023208808459072E-2</v>
      </c>
      <c r="H143" s="1016"/>
      <c r="I143" s="1016"/>
      <c r="J143" s="1016"/>
      <c r="K143" s="1016"/>
      <c r="L143" s="1016"/>
      <c r="M143" s="1016"/>
      <c r="N143" s="1016"/>
      <c r="O143" s="1016"/>
      <c r="P143" s="1016"/>
      <c r="Q143" s="1016"/>
      <c r="R143" s="1016"/>
      <c r="S143" s="1016"/>
      <c r="T143" s="1016"/>
      <c r="U143" s="1016"/>
      <c r="V143" s="1016"/>
      <c r="W143" s="1016"/>
      <c r="X143" s="1016"/>
      <c r="Y143" s="1016"/>
      <c r="Z143" s="1016"/>
      <c r="AA143" s="1016"/>
      <c r="AB143" s="1016"/>
      <c r="AC143" s="1016"/>
      <c r="AD143" s="1016"/>
      <c r="AE143" s="1016"/>
      <c r="AF143" s="1016"/>
      <c r="AG143" s="1016"/>
      <c r="AH143" s="1016"/>
      <c r="AI143" s="1016"/>
      <c r="AJ143" s="1016"/>
      <c r="AK143" s="1016"/>
      <c r="AL143" s="1016"/>
      <c r="AM143" s="1016"/>
      <c r="AN143" s="1016"/>
    </row>
    <row r="144" spans="3:40" x14ac:dyDescent="0.35">
      <c r="C144" s="823" t="s">
        <v>200</v>
      </c>
      <c r="D144" s="112"/>
      <c r="E144" s="825"/>
      <c r="F144" s="825">
        <f>SUM(F135:F143)</f>
        <v>0.99999999999999989</v>
      </c>
      <c r="G144" s="825">
        <f>SUM(G135:G143)</f>
        <v>0.94574427951795847</v>
      </c>
      <c r="H144" s="1018"/>
      <c r="I144" s="1018"/>
      <c r="J144" s="1018"/>
      <c r="K144" s="1018"/>
      <c r="L144" s="1018"/>
      <c r="M144" s="1018"/>
      <c r="N144" s="1018"/>
      <c r="O144" s="1018"/>
      <c r="P144" s="1018"/>
      <c r="Q144" s="1018"/>
      <c r="R144" s="1018"/>
      <c r="S144" s="1018"/>
      <c r="T144" s="1018"/>
      <c r="U144" s="1018"/>
      <c r="V144" s="1018"/>
      <c r="W144" s="1018"/>
      <c r="X144" s="1018"/>
      <c r="Y144" s="1018"/>
      <c r="Z144" s="1018"/>
      <c r="AA144" s="1018"/>
      <c r="AB144" s="1018"/>
      <c r="AC144" s="1018"/>
      <c r="AD144" s="1018"/>
      <c r="AE144" s="1018"/>
      <c r="AF144" s="1018"/>
      <c r="AG144" s="1018"/>
      <c r="AH144" s="1018"/>
      <c r="AI144" s="1018"/>
      <c r="AJ144" s="1018"/>
      <c r="AK144" s="1018"/>
      <c r="AL144" s="1018"/>
      <c r="AM144" s="1018"/>
      <c r="AN144" s="1018"/>
    </row>
    <row r="145" spans="3:39" x14ac:dyDescent="0.35">
      <c r="C145" s="162" t="s">
        <v>777</v>
      </c>
    </row>
    <row r="146" spans="3:39" x14ac:dyDescent="0.35">
      <c r="C146" s="162"/>
    </row>
    <row r="147" spans="3:39" x14ac:dyDescent="0.35">
      <c r="C147" s="77" t="s">
        <v>778</v>
      </c>
    </row>
    <row r="148" spans="3:39" ht="26" x14ac:dyDescent="0.35">
      <c r="C148" s="803" t="s">
        <v>717</v>
      </c>
      <c r="D148" s="862" t="s">
        <v>68</v>
      </c>
      <c r="E148" s="1012" t="s">
        <v>772</v>
      </c>
      <c r="F148" s="1012" t="s">
        <v>773</v>
      </c>
      <c r="G148" s="1767" t="s">
        <v>774</v>
      </c>
      <c r="H148" s="1014"/>
      <c r="I148" s="1014"/>
      <c r="J148" s="1014"/>
      <c r="K148" s="1014"/>
      <c r="L148" s="1014"/>
      <c r="M148" s="1014"/>
      <c r="N148" s="1014"/>
      <c r="O148" s="1014"/>
      <c r="P148" s="1014"/>
      <c r="Q148" s="1014"/>
      <c r="R148" s="1014"/>
      <c r="S148" s="1014"/>
      <c r="T148" s="1014"/>
      <c r="U148" s="1014"/>
      <c r="V148" s="1014"/>
      <c r="W148" s="1014"/>
      <c r="X148" s="1014"/>
      <c r="Y148" s="1014"/>
      <c r="Z148" s="1014"/>
      <c r="AA148" s="1014"/>
      <c r="AB148" s="1014"/>
      <c r="AC148" s="1014"/>
      <c r="AD148" s="1014"/>
      <c r="AE148" s="1014"/>
      <c r="AF148" s="1014"/>
      <c r="AG148" s="1014"/>
      <c r="AH148" s="1014"/>
      <c r="AI148" s="1014"/>
      <c r="AJ148" s="1014"/>
      <c r="AK148" s="1014"/>
      <c r="AL148" s="1014"/>
      <c r="AM148" s="1014"/>
    </row>
    <row r="149" spans="3:39" x14ac:dyDescent="0.35">
      <c r="C149" s="1966" t="s">
        <v>775</v>
      </c>
      <c r="D149" s="863" t="s">
        <v>1</v>
      </c>
      <c r="E149" s="818" t="str">
        <f>'Modelo Tarifário'!$C$81</f>
        <v>Sim</v>
      </c>
      <c r="F149" s="818">
        <f>G149/$G$158</f>
        <v>6.9680717879764291E-3</v>
      </c>
      <c r="G149" s="818">
        <f>IF(E149="sim",SUM('Premissas Geração de Resíduos'!D99:AG99)/SUM('Premissas Geração de Resíduos'!$D$109:$AG$109),0)</f>
        <v>6.611956219705872E-3</v>
      </c>
      <c r="H149" s="1016"/>
      <c r="I149" s="1016"/>
      <c r="J149" s="1016"/>
      <c r="K149" s="1016"/>
      <c r="L149" s="1016"/>
      <c r="M149" s="1016"/>
      <c r="N149" s="1016"/>
      <c r="O149" s="1016"/>
      <c r="P149" s="1016"/>
      <c r="Q149" s="1016"/>
      <c r="R149" s="1016"/>
      <c r="S149" s="1016"/>
      <c r="T149" s="1016"/>
      <c r="U149" s="1016"/>
      <c r="V149" s="1016"/>
      <c r="W149" s="1016"/>
      <c r="X149" s="1016"/>
      <c r="Y149" s="1016"/>
      <c r="Z149" s="1016"/>
      <c r="AA149" s="1016"/>
      <c r="AB149" s="1016"/>
      <c r="AC149" s="1016"/>
      <c r="AD149" s="1016"/>
      <c r="AE149" s="1016"/>
      <c r="AF149" s="1016"/>
      <c r="AG149" s="1016"/>
      <c r="AH149" s="1016"/>
      <c r="AI149" s="1016"/>
      <c r="AJ149" s="1016"/>
      <c r="AK149" s="1016"/>
      <c r="AL149" s="1016"/>
      <c r="AM149" s="1016"/>
    </row>
    <row r="150" spans="3:39" x14ac:dyDescent="0.35">
      <c r="C150" s="1967"/>
      <c r="D150" s="1666" t="s">
        <v>8</v>
      </c>
      <c r="E150" s="1538" t="str">
        <f>'Modelo Tarifário'!$C$88</f>
        <v>Sim</v>
      </c>
      <c r="F150" s="1538">
        <f t="shared" ref="F150:F157" si="122">G150/$G$158</f>
        <v>5.4195034325296473E-2</v>
      </c>
      <c r="G150" s="1538">
        <f>IF(E150="sim",SUM('Premissas Geração de Resíduos'!D106:AG106)/SUM('Premissas Geração de Resíduos'!$D$109:$AG$109),0)</f>
        <v>5.1425301745976981E-2</v>
      </c>
      <c r="H150" s="1016"/>
      <c r="I150" s="1016"/>
      <c r="J150" s="1016"/>
      <c r="K150" s="1016"/>
      <c r="L150" s="1016"/>
      <c r="M150" s="1016"/>
      <c r="N150" s="1016"/>
      <c r="O150" s="1016"/>
      <c r="P150" s="1016"/>
      <c r="Q150" s="1016"/>
      <c r="R150" s="1016"/>
      <c r="S150" s="1016"/>
      <c r="T150" s="1016"/>
      <c r="U150" s="1016"/>
      <c r="V150" s="1016"/>
      <c r="W150" s="1016"/>
      <c r="X150" s="1016"/>
      <c r="Y150" s="1016"/>
      <c r="Z150" s="1016"/>
      <c r="AA150" s="1016"/>
      <c r="AB150" s="1016"/>
      <c r="AC150" s="1016"/>
      <c r="AD150" s="1016"/>
      <c r="AE150" s="1016"/>
      <c r="AF150" s="1016"/>
      <c r="AG150" s="1016"/>
      <c r="AH150" s="1016"/>
      <c r="AI150" s="1016"/>
      <c r="AJ150" s="1016"/>
      <c r="AK150" s="1016"/>
      <c r="AL150" s="1016"/>
      <c r="AM150" s="1016"/>
    </row>
    <row r="151" spans="3:39" x14ac:dyDescent="0.35">
      <c r="C151" s="795" t="s">
        <v>730</v>
      </c>
      <c r="D151" s="868" t="s">
        <v>2</v>
      </c>
      <c r="E151" s="822" t="str">
        <f>'Modelo Tarifário'!$C$82</f>
        <v>Sim</v>
      </c>
      <c r="F151" s="822">
        <f t="shared" si="122"/>
        <v>9.3412952388465739E-2</v>
      </c>
      <c r="G151" s="822">
        <f>IF(E151="sim",SUM('Premissas Geração de Resíduos'!D100:AG100)/SUM('Premissas Geração de Resíduos'!$D$109:$AG$109),0)</f>
        <v>8.863891910697029E-2</v>
      </c>
      <c r="H151" s="1016"/>
      <c r="I151" s="1016"/>
      <c r="J151" s="1016"/>
      <c r="K151" s="1016"/>
      <c r="L151" s="1016"/>
      <c r="M151" s="1016"/>
      <c r="N151" s="1016"/>
      <c r="O151" s="1016"/>
      <c r="P151" s="1016"/>
      <c r="Q151" s="1016"/>
      <c r="R151" s="1016"/>
      <c r="S151" s="1016"/>
      <c r="T151" s="1016"/>
      <c r="U151" s="1016"/>
      <c r="V151" s="1016"/>
      <c r="W151" s="1016"/>
      <c r="X151" s="1016"/>
      <c r="Y151" s="1016"/>
      <c r="Z151" s="1016"/>
      <c r="AA151" s="1016"/>
      <c r="AB151" s="1016"/>
      <c r="AC151" s="1016"/>
      <c r="AD151" s="1016"/>
      <c r="AE151" s="1016"/>
      <c r="AF151" s="1016"/>
      <c r="AG151" s="1016"/>
      <c r="AH151" s="1016"/>
      <c r="AI151" s="1016"/>
      <c r="AJ151" s="1016"/>
      <c r="AK151" s="1016"/>
      <c r="AL151" s="1016"/>
      <c r="AM151" s="1016"/>
    </row>
    <row r="152" spans="3:39" x14ac:dyDescent="0.35">
      <c r="C152" s="1968" t="s">
        <v>776</v>
      </c>
      <c r="D152" s="1096" t="s">
        <v>3</v>
      </c>
      <c r="E152" s="1004" t="str">
        <f>'Modelo Tarifário'!$C$83</f>
        <v>Sim</v>
      </c>
      <c r="F152" s="1004">
        <f t="shared" si="122"/>
        <v>1.0764105603216678E-2</v>
      </c>
      <c r="G152" s="1004">
        <f>IF(E152="sim",SUM('Premissas Geração de Resíduos'!D101:AG101)/SUM('Premissas Geração de Resíduos'!$D$109:$AG$109),0)</f>
        <v>1.0213987048119672E-2</v>
      </c>
      <c r="H152" s="1016"/>
      <c r="I152" s="1016"/>
      <c r="J152" s="1016"/>
      <c r="K152" s="1016"/>
      <c r="L152" s="1016"/>
      <c r="M152" s="1016"/>
      <c r="N152" s="1016"/>
      <c r="O152" s="1016"/>
      <c r="P152" s="1016"/>
      <c r="Q152" s="1016"/>
      <c r="R152" s="1016"/>
      <c r="S152" s="1016"/>
      <c r="T152" s="1016"/>
      <c r="U152" s="1016"/>
      <c r="V152" s="1016"/>
      <c r="W152" s="1016"/>
      <c r="X152" s="1016"/>
      <c r="Y152" s="1016"/>
      <c r="Z152" s="1016"/>
      <c r="AA152" s="1016"/>
      <c r="AB152" s="1016"/>
      <c r="AC152" s="1016"/>
      <c r="AD152" s="1016"/>
      <c r="AE152" s="1016"/>
      <c r="AF152" s="1016"/>
      <c r="AG152" s="1016"/>
      <c r="AH152" s="1016"/>
      <c r="AI152" s="1016"/>
      <c r="AJ152" s="1016"/>
      <c r="AK152" s="1016"/>
      <c r="AL152" s="1016"/>
      <c r="AM152" s="1016"/>
    </row>
    <row r="153" spans="3:39" x14ac:dyDescent="0.35">
      <c r="C153" s="1969"/>
      <c r="D153" s="864" t="s">
        <v>4</v>
      </c>
      <c r="E153" s="819" t="str">
        <f>'Modelo Tarifário'!$C$84</f>
        <v>Sim</v>
      </c>
      <c r="F153" s="819">
        <f t="shared" si="122"/>
        <v>2.9277759201829574E-2</v>
      </c>
      <c r="G153" s="819">
        <f>IF(E153="sim",SUM('Premissas Geração de Resíduos'!D102:AG102)/SUM('Premissas Geração de Resíduos'!$D$109:$AG$109),0)</f>
        <v>2.7781467806864493E-2</v>
      </c>
      <c r="H153" s="1016"/>
      <c r="I153" s="1016"/>
      <c r="J153" s="1016"/>
      <c r="K153" s="1016"/>
      <c r="L153" s="1016"/>
      <c r="M153" s="1016"/>
      <c r="N153" s="1016"/>
      <c r="O153" s="1016"/>
      <c r="P153" s="1016"/>
      <c r="Q153" s="1016"/>
      <c r="R153" s="1016"/>
      <c r="S153" s="1016"/>
      <c r="T153" s="1016"/>
      <c r="U153" s="1016"/>
      <c r="V153" s="1016"/>
      <c r="W153" s="1016"/>
      <c r="X153" s="1016"/>
      <c r="Y153" s="1016"/>
      <c r="Z153" s="1016"/>
      <c r="AA153" s="1016"/>
      <c r="AB153" s="1016"/>
      <c r="AC153" s="1016"/>
      <c r="AD153" s="1016"/>
      <c r="AE153" s="1016"/>
      <c r="AF153" s="1016"/>
      <c r="AG153" s="1016"/>
      <c r="AH153" s="1016"/>
      <c r="AI153" s="1016"/>
      <c r="AJ153" s="1016"/>
      <c r="AK153" s="1016"/>
      <c r="AL153" s="1016"/>
      <c r="AM153" s="1016"/>
    </row>
    <row r="154" spans="3:39" x14ac:dyDescent="0.35">
      <c r="C154" s="1970"/>
      <c r="D154" s="867" t="s">
        <v>9</v>
      </c>
      <c r="E154" s="1005" t="str">
        <f>'Modelo Tarifário'!$C$89</f>
        <v>Sim</v>
      </c>
      <c r="F154" s="1005">
        <f t="shared" si="122"/>
        <v>4.2897183321444293E-2</v>
      </c>
      <c r="G154" s="1005">
        <f>IF(E154="sim",SUM('Premissas Geração de Resíduos'!D107:AG107)/SUM('Premissas Geração de Resíduos'!$D$109:$AG$109),0)</f>
        <v>4.0704847294986857E-2</v>
      </c>
      <c r="H154" s="1016"/>
      <c r="I154" s="1016"/>
      <c r="J154" s="1016"/>
      <c r="K154" s="1016"/>
      <c r="L154" s="1016"/>
      <c r="M154" s="1016"/>
      <c r="N154" s="1016"/>
      <c r="O154" s="1016"/>
      <c r="P154" s="1016"/>
      <c r="Q154" s="1016"/>
      <c r="R154" s="1016"/>
      <c r="S154" s="1016"/>
      <c r="T154" s="1016"/>
      <c r="U154" s="1016"/>
      <c r="V154" s="1016"/>
      <c r="W154" s="1016"/>
      <c r="X154" s="1016"/>
      <c r="Y154" s="1016"/>
      <c r="Z154" s="1016"/>
      <c r="AA154" s="1016"/>
      <c r="AB154" s="1016"/>
      <c r="AC154" s="1016"/>
      <c r="AD154" s="1016"/>
      <c r="AE154" s="1016"/>
      <c r="AF154" s="1016"/>
      <c r="AG154" s="1016"/>
      <c r="AH154" s="1016"/>
      <c r="AI154" s="1016"/>
      <c r="AJ154" s="1016"/>
      <c r="AK154" s="1016"/>
      <c r="AL154" s="1016"/>
      <c r="AM154" s="1016"/>
    </row>
    <row r="155" spans="3:39" x14ac:dyDescent="0.35">
      <c r="C155" s="1528" t="s">
        <v>732</v>
      </c>
      <c r="D155" s="865" t="s">
        <v>7</v>
      </c>
      <c r="E155" s="820" t="str">
        <f>'Modelo Tarifário'!$C$87</f>
        <v>Não</v>
      </c>
      <c r="F155" s="820">
        <f t="shared" si="122"/>
        <v>0</v>
      </c>
      <c r="G155" s="820">
        <f>IF(E155="sim",SUM('Premissas Geração de Resíduos'!D105:AG105)/SUM('Premissas Geração de Resíduos'!$D$109:$AG$109),0)</f>
        <v>0</v>
      </c>
      <c r="H155" s="1016"/>
      <c r="I155" s="1016"/>
      <c r="J155" s="1016"/>
      <c r="K155" s="1016"/>
      <c r="L155" s="1016"/>
      <c r="M155" s="1016"/>
      <c r="N155" s="1016"/>
      <c r="O155" s="1016"/>
      <c r="P155" s="1016"/>
      <c r="Q155" s="1016"/>
      <c r="R155" s="1016"/>
      <c r="S155" s="1016"/>
      <c r="T155" s="1016"/>
      <c r="U155" s="1016"/>
      <c r="V155" s="1016"/>
      <c r="W155" s="1016"/>
      <c r="X155" s="1016"/>
      <c r="Y155" s="1016"/>
      <c r="Z155" s="1016"/>
      <c r="AA155" s="1016"/>
      <c r="AB155" s="1016"/>
      <c r="AC155" s="1016"/>
      <c r="AD155" s="1016"/>
      <c r="AE155" s="1016"/>
      <c r="AF155" s="1016"/>
      <c r="AG155" s="1016"/>
      <c r="AH155" s="1016"/>
      <c r="AI155" s="1016"/>
      <c r="AJ155" s="1016"/>
      <c r="AK155" s="1016"/>
      <c r="AL155" s="1016"/>
      <c r="AM155" s="1016"/>
    </row>
    <row r="156" spans="3:39" x14ac:dyDescent="0.35">
      <c r="C156" s="795"/>
      <c r="D156" s="868" t="s">
        <v>6</v>
      </c>
      <c r="E156" s="822" t="str">
        <f>'Modelo Tarifário'!$C$86</f>
        <v>Sim</v>
      </c>
      <c r="F156" s="822">
        <f t="shared" si="122"/>
        <v>0.69964963241091616</v>
      </c>
      <c r="G156" s="822">
        <f>IF(E156="sim",SUM('Premissas Geração de Resíduos'!D104:AG104)/SUM('Premissas Geração de Resíduos'!$D$109:$AG$109),0)</f>
        <v>0.66389280699097364</v>
      </c>
      <c r="H156" s="1016"/>
      <c r="I156" s="1016"/>
      <c r="J156" s="1016"/>
      <c r="K156" s="1016"/>
      <c r="L156" s="1016"/>
      <c r="M156" s="1016"/>
      <c r="N156" s="1016"/>
      <c r="O156" s="1016"/>
      <c r="P156" s="1016"/>
      <c r="Q156" s="1016"/>
      <c r="R156" s="1016"/>
      <c r="S156" s="1016"/>
      <c r="T156" s="1016"/>
      <c r="U156" s="1016"/>
      <c r="V156" s="1016"/>
      <c r="W156" s="1016"/>
      <c r="X156" s="1016"/>
      <c r="Y156" s="1016"/>
      <c r="Z156" s="1016"/>
      <c r="AA156" s="1016"/>
      <c r="AB156" s="1016"/>
      <c r="AC156" s="1016"/>
      <c r="AD156" s="1016"/>
      <c r="AE156" s="1016"/>
      <c r="AF156" s="1016"/>
      <c r="AG156" s="1016"/>
      <c r="AH156" s="1016"/>
      <c r="AI156" s="1016"/>
      <c r="AJ156" s="1016"/>
      <c r="AK156" s="1016"/>
      <c r="AL156" s="1016"/>
      <c r="AM156" s="1016"/>
    </row>
    <row r="157" spans="3:39" x14ac:dyDescent="0.35">
      <c r="C157" s="783"/>
      <c r="D157" s="868" t="s">
        <v>5</v>
      </c>
      <c r="E157" s="822" t="str">
        <f>'Modelo Tarifário'!$C$85</f>
        <v>Sim</v>
      </c>
      <c r="F157" s="822">
        <f t="shared" si="122"/>
        <v>6.2835260960854636E-2</v>
      </c>
      <c r="G157" s="822">
        <f>IF(E157="sim",SUM('Premissas Geração de Resíduos'!D103:AG103)/SUM('Premissas Geração de Resíduos'!$D$109:$AG$109),0)</f>
        <v>5.9623954397808758E-2</v>
      </c>
      <c r="H157" s="1016"/>
      <c r="I157" s="1016"/>
      <c r="J157" s="1016"/>
      <c r="K157" s="1016"/>
      <c r="L157" s="1016"/>
      <c r="M157" s="1016"/>
      <c r="N157" s="1016"/>
      <c r="O157" s="1016"/>
      <c r="P157" s="1016"/>
      <c r="Q157" s="1016"/>
      <c r="R157" s="1016"/>
      <c r="S157" s="1016"/>
      <c r="T157" s="1016"/>
      <c r="U157" s="1016"/>
      <c r="V157" s="1016"/>
      <c r="W157" s="1016"/>
      <c r="X157" s="1016"/>
      <c r="Y157" s="1016"/>
      <c r="Z157" s="1016"/>
      <c r="AA157" s="1016"/>
      <c r="AB157" s="1016"/>
      <c r="AC157" s="1016"/>
      <c r="AD157" s="1016"/>
      <c r="AE157" s="1016"/>
      <c r="AF157" s="1016"/>
      <c r="AG157" s="1016"/>
      <c r="AH157" s="1016"/>
      <c r="AI157" s="1016"/>
      <c r="AJ157" s="1016"/>
      <c r="AK157" s="1016"/>
      <c r="AL157" s="1016"/>
      <c r="AM157" s="1016"/>
    </row>
    <row r="158" spans="3:39" x14ac:dyDescent="0.35">
      <c r="C158" s="823" t="s">
        <v>200</v>
      </c>
      <c r="D158" s="112"/>
      <c r="E158" s="825"/>
      <c r="F158" s="825">
        <f>SUM(F149:F157)</f>
        <v>1</v>
      </c>
      <c r="G158" s="825">
        <f>SUM(G149:G157)</f>
        <v>0.94889324061140656</v>
      </c>
      <c r="H158" s="1018"/>
      <c r="I158" s="1018"/>
      <c r="J158" s="1018"/>
      <c r="K158" s="1018"/>
      <c r="L158" s="1018"/>
      <c r="M158" s="1018"/>
      <c r="N158" s="1018"/>
      <c r="O158" s="1018"/>
      <c r="P158" s="1018"/>
      <c r="Q158" s="1018"/>
      <c r="R158" s="1018"/>
      <c r="S158" s="1018"/>
      <c r="T158" s="1018"/>
      <c r="U158" s="1018"/>
      <c r="V158" s="1018"/>
      <c r="W158" s="1018"/>
      <c r="X158" s="1018"/>
      <c r="Y158" s="1018"/>
      <c r="Z158" s="1018"/>
      <c r="AA158" s="1018"/>
      <c r="AB158" s="1018"/>
      <c r="AC158" s="1018"/>
      <c r="AD158" s="1018"/>
      <c r="AE158" s="1018"/>
      <c r="AF158" s="1018"/>
      <c r="AG158" s="1018"/>
      <c r="AH158" s="1018"/>
      <c r="AI158" s="1018"/>
      <c r="AJ158" s="1018"/>
      <c r="AK158" s="1018"/>
      <c r="AL158" s="1018"/>
      <c r="AM158" s="1018"/>
    </row>
    <row r="159" spans="3:39" x14ac:dyDescent="0.35">
      <c r="C159" s="162" t="s">
        <v>777</v>
      </c>
    </row>
  </sheetData>
  <sheetProtection algorithmName="SHA-512" hashValue="hCx78Of25nStQi38GCK9knsxhuiBY1wy9I3LdT8rsAKgZ+JA/S7aq10GckoGbz9rpZQKNvttZfeLwegc934/Mg==" saltValue="BPs1hzOK8arR6kQmOKyqdA==" spinCount="100000" sheet="1" objects="1" scenarios="1"/>
  <protectedRanges>
    <protectedRange sqref="E9:G18 K9:M18 E21:G22 K21:M22 C26 D42:E43 E58:F59" name="Intervalo2"/>
    <protectedRange sqref="E9:G18 K9:M18 E21:G22 K21:M22 C26 D42:E43 E58:F59" name="Intervalo1"/>
  </protectedRanges>
  <mergeCells count="9">
    <mergeCell ref="C149:C150"/>
    <mergeCell ref="C152:C154"/>
    <mergeCell ref="C135:C136"/>
    <mergeCell ref="C138:C140"/>
    <mergeCell ref="K6:P6"/>
    <mergeCell ref="E6:J6"/>
    <mergeCell ref="C6:C7"/>
    <mergeCell ref="D6:D7"/>
    <mergeCell ref="D12:D14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0225-8D1D-4CB8-BD63-62AB73F3CC0D}">
  <sheetPr codeName="Planilha11"/>
  <dimension ref="B2:AO161"/>
  <sheetViews>
    <sheetView showGridLines="0" zoomScale="80" zoomScaleNormal="80" workbookViewId="0">
      <selection activeCell="E67" sqref="E67"/>
    </sheetView>
  </sheetViews>
  <sheetFormatPr defaultColWidth="8.81640625" defaultRowHeight="14.5" x14ac:dyDescent="0.35"/>
  <cols>
    <col min="1" max="1" width="3" customWidth="1"/>
    <col min="2" max="2" width="2.453125" customWidth="1"/>
    <col min="3" max="3" width="22.453125" customWidth="1"/>
    <col min="4" max="4" width="24.08984375" customWidth="1"/>
    <col min="5" max="5" width="18" customWidth="1"/>
    <col min="6" max="6" width="18.81640625" customWidth="1"/>
    <col min="7" max="7" width="16.36328125" bestFit="1" customWidth="1"/>
    <col min="8" max="8" width="14.36328125" bestFit="1" customWidth="1"/>
    <col min="9" max="9" width="17" bestFit="1" customWidth="1"/>
    <col min="10" max="10" width="13.36328125" bestFit="1" customWidth="1"/>
    <col min="11" max="11" width="13.453125" bestFit="1" customWidth="1"/>
    <col min="12" max="12" width="14.453125" customWidth="1"/>
    <col min="13" max="13" width="13.453125" bestFit="1" customWidth="1"/>
    <col min="14" max="14" width="15.36328125" customWidth="1"/>
    <col min="15" max="16" width="16.36328125" bestFit="1" customWidth="1"/>
    <col min="19" max="19" width="13.453125" bestFit="1" customWidth="1"/>
    <col min="20" max="20" width="13.36328125" bestFit="1" customWidth="1"/>
    <col min="21" max="21" width="13.453125" bestFit="1" customWidth="1"/>
    <col min="24" max="24" width="7.453125" bestFit="1" customWidth="1"/>
    <col min="25" max="26" width="16.36328125" bestFit="1" customWidth="1"/>
    <col min="29" max="29" width="13.453125" bestFit="1" customWidth="1"/>
    <col min="30" max="30" width="13.36328125" bestFit="1" customWidth="1"/>
  </cols>
  <sheetData>
    <row r="2" spans="2:39" ht="21" x14ac:dyDescent="0.5">
      <c r="B2" s="98"/>
      <c r="C2" s="98" t="s">
        <v>779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x14ac:dyDescent="0.35">
      <c r="B3" s="549"/>
      <c r="C3" s="549"/>
      <c r="D3" s="549"/>
      <c r="E3" s="549"/>
      <c r="F3" s="549"/>
      <c r="G3" s="549"/>
      <c r="H3" s="549"/>
      <c r="I3" s="549"/>
      <c r="J3" s="549"/>
      <c r="K3" s="549"/>
      <c r="L3" s="549"/>
      <c r="M3" s="549"/>
      <c r="N3" s="549"/>
      <c r="O3" s="549"/>
    </row>
    <row r="4" spans="2:39" ht="18.5" x14ac:dyDescent="0.45">
      <c r="B4" s="549"/>
      <c r="C4" s="846" t="s">
        <v>780</v>
      </c>
      <c r="D4" s="549"/>
      <c r="E4" s="549"/>
      <c r="F4" s="549"/>
      <c r="G4" s="549"/>
      <c r="H4" s="549"/>
      <c r="I4" s="549"/>
      <c r="J4" s="549"/>
      <c r="K4" s="549"/>
      <c r="L4" s="549"/>
      <c r="M4" s="549"/>
      <c r="N4" s="549"/>
      <c r="O4" s="549"/>
    </row>
    <row r="5" spans="2:39" ht="4.5" customHeight="1" x14ac:dyDescent="0.45">
      <c r="B5" s="549"/>
      <c r="C5" s="846"/>
      <c r="D5" s="549"/>
      <c r="E5" s="549"/>
      <c r="F5" s="549"/>
      <c r="G5" s="549"/>
      <c r="H5" s="549"/>
      <c r="I5" s="549"/>
      <c r="J5" s="549"/>
      <c r="K5" s="549"/>
      <c r="L5" s="549"/>
      <c r="M5" s="549"/>
      <c r="N5" s="549"/>
      <c r="O5" s="549"/>
    </row>
    <row r="6" spans="2:39" ht="15" thickBot="1" x14ac:dyDescent="0.4">
      <c r="B6" s="549"/>
      <c r="C6" s="548" t="s">
        <v>781</v>
      </c>
      <c r="D6" s="549"/>
      <c r="E6" s="549"/>
      <c r="F6" s="549"/>
      <c r="G6" s="549"/>
      <c r="H6" s="549"/>
      <c r="I6" s="549"/>
      <c r="J6" s="549"/>
      <c r="K6" s="549"/>
      <c r="L6" s="549"/>
      <c r="M6" s="549"/>
      <c r="N6" s="549"/>
      <c r="O6" s="549"/>
    </row>
    <row r="7" spans="2:39" ht="29.5" thickBot="1" x14ac:dyDescent="0.4">
      <c r="B7" s="549"/>
      <c r="C7" s="840" t="s">
        <v>68</v>
      </c>
      <c r="D7" s="840" t="s">
        <v>782</v>
      </c>
      <c r="E7" s="840" t="s">
        <v>783</v>
      </c>
      <c r="F7" s="840" t="s">
        <v>752</v>
      </c>
      <c r="G7" s="840" t="s">
        <v>784</v>
      </c>
      <c r="H7" s="549"/>
      <c r="I7" s="549"/>
      <c r="J7" s="549"/>
      <c r="K7" s="549"/>
      <c r="L7" s="549"/>
      <c r="M7" s="549"/>
      <c r="N7" s="549"/>
      <c r="O7" s="549"/>
    </row>
    <row r="8" spans="2:39" ht="39.5" thickBot="1" x14ac:dyDescent="0.4">
      <c r="B8" s="549"/>
      <c r="C8" s="626">
        <v>5</v>
      </c>
      <c r="D8" s="828" t="s">
        <v>785</v>
      </c>
      <c r="E8" s="842">
        <v>1</v>
      </c>
      <c r="F8" s="993">
        <v>587796.35</v>
      </c>
      <c r="G8" s="841">
        <f>F8*C8</f>
        <v>2938981.75</v>
      </c>
      <c r="H8" s="549"/>
      <c r="I8" s="549"/>
      <c r="J8" s="549"/>
      <c r="K8" s="549"/>
      <c r="L8" s="549"/>
      <c r="M8" s="549"/>
      <c r="N8" s="549"/>
      <c r="O8" s="549"/>
    </row>
    <row r="9" spans="2:39" ht="9.75" customHeight="1" thickBot="1" x14ac:dyDescent="0.4">
      <c r="B9" s="549"/>
      <c r="C9" s="549"/>
      <c r="D9" s="549"/>
      <c r="E9" s="549"/>
      <c r="F9" s="549"/>
      <c r="G9" s="549"/>
      <c r="H9" s="549"/>
      <c r="I9" s="549"/>
      <c r="J9" s="549"/>
      <c r="K9" s="549"/>
      <c r="L9" s="549"/>
      <c r="M9" s="549"/>
      <c r="N9" s="549"/>
      <c r="O9" s="549"/>
    </row>
    <row r="10" spans="2:39" ht="15" thickBot="1" x14ac:dyDescent="0.4">
      <c r="B10" s="549"/>
      <c r="C10" s="843" t="s">
        <v>200</v>
      </c>
      <c r="D10" s="845"/>
      <c r="E10" s="845"/>
      <c r="F10" s="845"/>
      <c r="G10" s="988">
        <f>SUM(G8:G9)</f>
        <v>2938981.75</v>
      </c>
      <c r="H10" s="549"/>
      <c r="I10" s="549"/>
      <c r="J10" s="549"/>
      <c r="K10" s="549"/>
      <c r="L10" s="549"/>
      <c r="M10" s="549"/>
      <c r="N10" s="549"/>
      <c r="O10" s="549"/>
    </row>
    <row r="11" spans="2:39" ht="4.5" customHeight="1" thickBot="1" x14ac:dyDescent="0.4">
      <c r="B11" s="549"/>
      <c r="C11" s="549"/>
      <c r="D11" s="549"/>
      <c r="E11" s="549"/>
      <c r="F11" s="549"/>
      <c r="G11" s="549"/>
      <c r="H11" s="549"/>
      <c r="I11" s="549"/>
      <c r="J11" s="549"/>
      <c r="K11" s="549"/>
      <c r="L11" s="549"/>
      <c r="M11" s="549"/>
      <c r="N11" s="549"/>
      <c r="O11" s="549"/>
    </row>
    <row r="12" spans="2:39" ht="15" thickBot="1" x14ac:dyDescent="0.4">
      <c r="B12" s="549"/>
      <c r="C12" s="843" t="s">
        <v>96</v>
      </c>
      <c r="D12" s="850"/>
      <c r="E12" s="840" t="s">
        <v>715</v>
      </c>
      <c r="F12" s="549"/>
      <c r="G12" s="549"/>
      <c r="H12" s="549"/>
      <c r="I12" s="549"/>
      <c r="J12" s="549"/>
      <c r="K12" s="549"/>
      <c r="L12" s="549"/>
      <c r="M12" s="549"/>
      <c r="N12" s="549"/>
      <c r="O12" s="549"/>
    </row>
    <row r="13" spans="2:39" ht="15" thickBot="1" x14ac:dyDescent="0.4">
      <c r="B13" s="549"/>
      <c r="C13" s="1745">
        <v>1</v>
      </c>
      <c r="D13" s="1746"/>
      <c r="E13" s="841">
        <f>G10</f>
        <v>2938981.75</v>
      </c>
      <c r="F13" s="549" t="s">
        <v>786</v>
      </c>
      <c r="G13" s="549"/>
      <c r="H13" s="549"/>
      <c r="I13" s="549"/>
      <c r="J13" s="549"/>
      <c r="K13" s="549"/>
      <c r="L13" s="549"/>
      <c r="M13" s="549"/>
      <c r="N13" s="549"/>
      <c r="O13" s="549"/>
    </row>
    <row r="14" spans="2:39" ht="15" thickBot="1" x14ac:dyDescent="0.4">
      <c r="B14" s="549"/>
      <c r="C14" s="1745">
        <v>10</v>
      </c>
      <c r="D14" s="1746"/>
      <c r="E14" s="841">
        <v>347975.44</v>
      </c>
      <c r="F14" s="549" t="s">
        <v>787</v>
      </c>
      <c r="G14" s="549"/>
      <c r="H14" s="549"/>
      <c r="I14" s="549"/>
      <c r="J14" s="1535">
        <f>E15/E13</f>
        <v>0.11840000027220313</v>
      </c>
      <c r="K14" s="549"/>
      <c r="L14" s="549"/>
      <c r="M14" s="549"/>
      <c r="N14" s="549"/>
      <c r="O14" s="549"/>
    </row>
    <row r="15" spans="2:39" ht="15" thickBot="1" x14ac:dyDescent="0.4">
      <c r="B15" s="549"/>
      <c r="C15" s="1745">
        <v>20</v>
      </c>
      <c r="D15" s="1746"/>
      <c r="E15" s="841">
        <v>347975.44</v>
      </c>
      <c r="F15" s="549" t="s">
        <v>787</v>
      </c>
      <c r="G15" s="549"/>
      <c r="H15" s="549"/>
      <c r="I15" s="549"/>
      <c r="J15" s="549"/>
      <c r="K15" s="549"/>
      <c r="L15" s="549"/>
      <c r="M15" s="549"/>
      <c r="N15" s="549"/>
      <c r="O15" s="549"/>
    </row>
    <row r="16" spans="2:39" x14ac:dyDescent="0.35">
      <c r="B16" s="549"/>
      <c r="C16" s="847"/>
      <c r="D16" s="549"/>
      <c r="E16" s="1780"/>
      <c r="F16" s="549"/>
      <c r="G16" s="549"/>
      <c r="H16" s="549"/>
      <c r="I16" s="549"/>
      <c r="J16" s="549"/>
      <c r="K16" s="549"/>
      <c r="L16" s="549"/>
      <c r="M16" s="549"/>
      <c r="N16" s="549"/>
      <c r="O16" s="549"/>
    </row>
    <row r="17" spans="2:15" ht="3.75" customHeight="1" x14ac:dyDescent="0.35"/>
    <row r="18" spans="2:15" ht="19" thickBot="1" x14ac:dyDescent="0.5">
      <c r="B18" s="549"/>
      <c r="C18" s="846" t="s">
        <v>788</v>
      </c>
      <c r="D18" s="549"/>
      <c r="E18" s="549"/>
      <c r="F18" s="549"/>
      <c r="G18" s="549"/>
      <c r="H18" s="549"/>
      <c r="I18" s="549"/>
      <c r="J18" s="549"/>
      <c r="K18" s="549"/>
      <c r="L18" s="549"/>
      <c r="M18" s="549"/>
      <c r="N18" s="549"/>
      <c r="O18" s="549"/>
    </row>
    <row r="19" spans="2:15" ht="15" thickBot="1" x14ac:dyDescent="0.4">
      <c r="B19" s="549"/>
      <c r="C19" s="1974" t="s">
        <v>68</v>
      </c>
      <c r="D19" s="1992" t="s">
        <v>717</v>
      </c>
      <c r="E19" s="1993"/>
      <c r="F19" s="1971" t="s">
        <v>77</v>
      </c>
      <c r="G19" s="1972"/>
      <c r="H19" s="1973"/>
      <c r="I19" s="1971" t="s">
        <v>37</v>
      </c>
      <c r="J19" s="1972"/>
      <c r="K19" s="1973"/>
      <c r="L19" s="1971" t="s">
        <v>789</v>
      </c>
      <c r="M19" s="1972"/>
      <c r="N19" s="1973"/>
      <c r="O19" s="549"/>
    </row>
    <row r="20" spans="2:15" ht="29.5" thickBot="1" x14ac:dyDescent="0.4">
      <c r="B20" s="549"/>
      <c r="C20" s="1975"/>
      <c r="D20" s="1994"/>
      <c r="E20" s="1995"/>
      <c r="F20" s="840" t="s">
        <v>790</v>
      </c>
      <c r="G20" s="840" t="s">
        <v>791</v>
      </c>
      <c r="H20" s="840" t="s">
        <v>792</v>
      </c>
      <c r="I20" s="840" t="s">
        <v>793</v>
      </c>
      <c r="J20" s="840" t="s">
        <v>791</v>
      </c>
      <c r="K20" s="840" t="s">
        <v>792</v>
      </c>
      <c r="L20" s="840" t="s">
        <v>793</v>
      </c>
      <c r="M20" s="840" t="s">
        <v>791</v>
      </c>
      <c r="N20" s="840" t="s">
        <v>792</v>
      </c>
      <c r="O20" s="549"/>
    </row>
    <row r="21" spans="2:15" ht="15" thickBot="1" x14ac:dyDescent="0.4">
      <c r="B21" s="549"/>
      <c r="C21" s="833"/>
      <c r="D21" s="834"/>
      <c r="E21" s="834"/>
      <c r="F21" s="834"/>
      <c r="G21" s="834"/>
      <c r="H21" s="834"/>
      <c r="I21" s="834"/>
      <c r="J21" s="834"/>
      <c r="K21" s="834"/>
      <c r="L21" s="834"/>
      <c r="M21" s="834"/>
      <c r="N21" s="834"/>
      <c r="O21" s="549"/>
    </row>
    <row r="22" spans="2:15" x14ac:dyDescent="0.35">
      <c r="B22" s="549"/>
      <c r="C22" s="828" t="s">
        <v>1</v>
      </c>
      <c r="D22" s="1996" t="s">
        <v>729</v>
      </c>
      <c r="E22" s="1997"/>
      <c r="F22" s="1500">
        <v>1</v>
      </c>
      <c r="G22" s="1500">
        <v>1</v>
      </c>
      <c r="H22" s="1501">
        <v>1</v>
      </c>
      <c r="I22" s="1512"/>
      <c r="J22" s="1513"/>
      <c r="K22" s="1529">
        <v>1</v>
      </c>
      <c r="L22" s="1512"/>
      <c r="M22" s="1513"/>
      <c r="N22" s="2008">
        <v>1</v>
      </c>
      <c r="O22" s="549"/>
    </row>
    <row r="23" spans="2:15" ht="15" thickBot="1" x14ac:dyDescent="0.4">
      <c r="B23" s="549"/>
      <c r="C23" s="829" t="s">
        <v>8</v>
      </c>
      <c r="D23" s="1998"/>
      <c r="E23" s="1999"/>
      <c r="F23" s="1497"/>
      <c r="G23" s="1497"/>
      <c r="H23" s="1514"/>
      <c r="I23" s="1510"/>
      <c r="J23" s="1502"/>
      <c r="K23" s="1498"/>
      <c r="L23" s="1510"/>
      <c r="M23" s="1502"/>
      <c r="N23" s="2009"/>
      <c r="O23" s="549"/>
    </row>
    <row r="24" spans="2:15" ht="15" thickBot="1" x14ac:dyDescent="0.4">
      <c r="B24" s="549"/>
      <c r="C24" s="826" t="s">
        <v>2</v>
      </c>
      <c r="D24" s="2000" t="s">
        <v>730</v>
      </c>
      <c r="E24" s="2001"/>
      <c r="F24" s="1500">
        <v>2</v>
      </c>
      <c r="G24" s="1500">
        <v>2</v>
      </c>
      <c r="H24" s="1501">
        <v>2</v>
      </c>
      <c r="I24" s="1497"/>
      <c r="J24" s="1502"/>
      <c r="K24" s="1501">
        <v>1</v>
      </c>
      <c r="L24" s="1497"/>
      <c r="M24" s="1502"/>
      <c r="N24" s="1501">
        <v>1</v>
      </c>
      <c r="O24" s="549"/>
    </row>
    <row r="25" spans="2:15" x14ac:dyDescent="0.35">
      <c r="B25" s="549"/>
      <c r="C25" s="831" t="s">
        <v>3</v>
      </c>
      <c r="D25" s="2002" t="s">
        <v>794</v>
      </c>
      <c r="E25" s="2003"/>
      <c r="F25" s="1500">
        <v>2</v>
      </c>
      <c r="G25" s="1500">
        <v>2</v>
      </c>
      <c r="H25" s="1501">
        <v>2</v>
      </c>
      <c r="I25" s="1497"/>
      <c r="J25" s="1502"/>
      <c r="K25" s="1501">
        <v>1</v>
      </c>
      <c r="L25" s="1497"/>
      <c r="M25" s="1502"/>
      <c r="N25" s="1501">
        <v>1</v>
      </c>
      <c r="O25" s="549"/>
    </row>
    <row r="26" spans="2:15" x14ac:dyDescent="0.35">
      <c r="B26" s="549"/>
      <c r="C26" s="1000" t="s">
        <v>4</v>
      </c>
      <c r="D26" s="2004"/>
      <c r="E26" s="2005"/>
      <c r="F26" s="1497"/>
      <c r="G26" s="1497"/>
      <c r="H26" s="1498"/>
      <c r="I26" s="1510"/>
      <c r="J26" s="1502"/>
      <c r="K26" s="1498"/>
      <c r="L26" s="1510"/>
      <c r="M26" s="1502"/>
      <c r="N26" s="1498"/>
      <c r="O26" s="549"/>
    </row>
    <row r="27" spans="2:15" ht="15" thickBot="1" x14ac:dyDescent="0.4">
      <c r="B27" s="549"/>
      <c r="C27" s="1653" t="s">
        <v>9</v>
      </c>
      <c r="D27" s="2004"/>
      <c r="E27" s="2005"/>
      <c r="F27" s="1497"/>
      <c r="G27" s="1497"/>
      <c r="H27" s="1498"/>
      <c r="I27" s="1510"/>
      <c r="J27" s="1502"/>
      <c r="K27" s="1498"/>
      <c r="L27" s="1510"/>
      <c r="M27" s="1502"/>
      <c r="N27" s="1498"/>
      <c r="O27" s="549"/>
    </row>
    <row r="28" spans="2:15" ht="15" customHeight="1" thickBot="1" x14ac:dyDescent="0.4">
      <c r="B28" s="549"/>
      <c r="C28" s="831" t="s">
        <v>7</v>
      </c>
      <c r="D28" s="2002" t="s">
        <v>732</v>
      </c>
      <c r="E28" s="2003"/>
      <c r="F28" s="1500">
        <v>2</v>
      </c>
      <c r="G28" s="1500">
        <v>2</v>
      </c>
      <c r="H28" s="1501">
        <v>1</v>
      </c>
      <c r="I28" s="2010"/>
      <c r="J28" s="1502"/>
      <c r="K28" s="1501">
        <v>1</v>
      </c>
      <c r="L28" s="2010"/>
      <c r="M28" s="1502"/>
      <c r="N28" s="1501">
        <v>1</v>
      </c>
      <c r="O28" s="549"/>
    </row>
    <row r="29" spans="2:15" x14ac:dyDescent="0.35">
      <c r="B29" s="549"/>
      <c r="C29" s="1000" t="s">
        <v>5</v>
      </c>
      <c r="D29" s="2002" t="s">
        <v>6</v>
      </c>
      <c r="E29" s="2003"/>
      <c r="F29" s="1500">
        <v>16</v>
      </c>
      <c r="G29" s="1500">
        <v>16</v>
      </c>
      <c r="H29" s="1501">
        <v>11</v>
      </c>
      <c r="I29" s="2010"/>
      <c r="J29" s="1502"/>
      <c r="K29" s="1501">
        <v>3</v>
      </c>
      <c r="L29" s="2010"/>
      <c r="M29" s="1502"/>
      <c r="N29" s="1501">
        <v>1</v>
      </c>
      <c r="O29" s="549"/>
    </row>
    <row r="30" spans="2:15" ht="15" thickBot="1" x14ac:dyDescent="0.4">
      <c r="B30" s="549"/>
      <c r="C30" s="1653" t="s">
        <v>6</v>
      </c>
      <c r="D30" s="2006"/>
      <c r="E30" s="2007"/>
      <c r="F30" s="1509"/>
      <c r="G30" s="1532"/>
      <c r="H30" s="1499"/>
      <c r="I30" s="2010"/>
      <c r="J30" s="1502"/>
      <c r="K30" s="1498"/>
      <c r="L30" s="2010"/>
      <c r="M30" s="1502"/>
      <c r="N30" s="1498"/>
      <c r="O30" s="549"/>
    </row>
    <row r="31" spans="2:15" ht="15" thickBot="1" x14ac:dyDescent="0.4">
      <c r="B31" s="549"/>
      <c r="C31" s="1003" t="s">
        <v>734</v>
      </c>
      <c r="D31" s="835"/>
      <c r="E31" s="676"/>
      <c r="F31" s="1503">
        <v>0</v>
      </c>
      <c r="G31" s="1503">
        <v>0</v>
      </c>
      <c r="H31" s="1505">
        <v>0</v>
      </c>
      <c r="I31" s="1503">
        <v>0</v>
      </c>
      <c r="J31" s="1504">
        <v>0</v>
      </c>
      <c r="K31" s="1505">
        <v>0</v>
      </c>
      <c r="L31" s="1503">
        <v>0</v>
      </c>
      <c r="M31" s="1504">
        <v>0</v>
      </c>
      <c r="N31" s="1505">
        <v>0</v>
      </c>
      <c r="O31" s="549"/>
    </row>
    <row r="32" spans="2:15" ht="15" thickBot="1" x14ac:dyDescent="0.4">
      <c r="B32" s="549"/>
      <c r="C32" s="836" t="s">
        <v>200</v>
      </c>
      <c r="D32" s="837"/>
      <c r="E32" s="837"/>
      <c r="F32" s="1506">
        <f t="shared" ref="F32:N32" si="0">SUM(F22:F31)</f>
        <v>23</v>
      </c>
      <c r="G32" s="1507">
        <f t="shared" si="0"/>
        <v>23</v>
      </c>
      <c r="H32" s="1508">
        <f t="shared" si="0"/>
        <v>17</v>
      </c>
      <c r="I32" s="1506">
        <f t="shared" si="0"/>
        <v>0</v>
      </c>
      <c r="J32" s="1507">
        <f t="shared" si="0"/>
        <v>0</v>
      </c>
      <c r="K32" s="1508">
        <f t="shared" si="0"/>
        <v>7</v>
      </c>
      <c r="L32" s="1506">
        <f t="shared" si="0"/>
        <v>0</v>
      </c>
      <c r="M32" s="1507">
        <f t="shared" si="0"/>
        <v>0</v>
      </c>
      <c r="N32" s="1508">
        <f t="shared" si="0"/>
        <v>5</v>
      </c>
      <c r="O32" s="549"/>
    </row>
    <row r="33" spans="2:15" ht="3.75" customHeight="1" thickBot="1" x14ac:dyDescent="0.4">
      <c r="B33" s="549"/>
      <c r="C33" s="549"/>
      <c r="D33" s="549"/>
      <c r="E33" s="549"/>
      <c r="F33" s="549"/>
      <c r="G33" s="549"/>
      <c r="H33" s="549"/>
      <c r="I33" s="549"/>
      <c r="J33" s="549"/>
      <c r="K33" s="549"/>
      <c r="L33" s="549"/>
      <c r="M33" s="549"/>
      <c r="N33" s="549"/>
      <c r="O33" s="549"/>
    </row>
    <row r="34" spans="2:15" ht="29.5" thickBot="1" x14ac:dyDescent="0.4">
      <c r="B34" s="549"/>
      <c r="C34" s="1971" t="s">
        <v>750</v>
      </c>
      <c r="D34" s="1972"/>
      <c r="E34" s="1973"/>
      <c r="F34" s="840" t="s">
        <v>751</v>
      </c>
      <c r="G34" s="840" t="s">
        <v>752</v>
      </c>
      <c r="H34" s="840" t="s">
        <v>784</v>
      </c>
      <c r="I34" s="840" t="s">
        <v>751</v>
      </c>
      <c r="J34" s="840" t="s">
        <v>752</v>
      </c>
      <c r="K34" s="840" t="s">
        <v>784</v>
      </c>
      <c r="L34" s="840" t="s">
        <v>751</v>
      </c>
      <c r="M34" s="840" t="s">
        <v>752</v>
      </c>
      <c r="N34" s="840" t="s">
        <v>784</v>
      </c>
      <c r="O34" s="549"/>
    </row>
    <row r="35" spans="2:15" ht="21" customHeight="1" thickBot="1" x14ac:dyDescent="0.4">
      <c r="B35" s="549"/>
      <c r="C35" s="1989" t="s">
        <v>795</v>
      </c>
      <c r="D35" s="1990"/>
      <c r="E35" s="1991"/>
      <c r="F35" s="1179">
        <v>23</v>
      </c>
      <c r="G35" s="993">
        <v>608434.67000000004</v>
      </c>
      <c r="H35" s="1180">
        <f>F35*G35</f>
        <v>13993997.41</v>
      </c>
      <c r="I35" s="1179">
        <v>0</v>
      </c>
      <c r="J35" s="993">
        <v>0</v>
      </c>
      <c r="K35" s="1180">
        <f>I35*J35</f>
        <v>0</v>
      </c>
      <c r="L35" s="1179">
        <v>0</v>
      </c>
      <c r="M35" s="993">
        <v>0</v>
      </c>
      <c r="N35" s="1180">
        <f>L35*M35</f>
        <v>0</v>
      </c>
      <c r="O35" s="549"/>
    </row>
    <row r="36" spans="2:15" ht="21" customHeight="1" thickBot="1" x14ac:dyDescent="0.4">
      <c r="B36" s="549"/>
      <c r="C36" s="1989" t="s">
        <v>796</v>
      </c>
      <c r="D36" s="1990"/>
      <c r="E36" s="1991"/>
      <c r="F36" s="1179">
        <v>23</v>
      </c>
      <c r="G36" s="993">
        <v>133244.04999999999</v>
      </c>
      <c r="H36" s="1180">
        <f>G36*F36</f>
        <v>3064613.15</v>
      </c>
      <c r="I36" s="1179">
        <v>0</v>
      </c>
      <c r="J36" s="993">
        <v>0</v>
      </c>
      <c r="K36" s="1180">
        <f>J36*I36</f>
        <v>0</v>
      </c>
      <c r="L36" s="1179">
        <v>0</v>
      </c>
      <c r="M36" s="993">
        <v>0</v>
      </c>
      <c r="N36" s="1180">
        <f>M36*L36</f>
        <v>0</v>
      </c>
      <c r="O36" s="549"/>
    </row>
    <row r="37" spans="2:15" ht="39.75" customHeight="1" thickBot="1" x14ac:dyDescent="0.4">
      <c r="B37" s="549"/>
      <c r="C37" s="1989" t="s">
        <v>797</v>
      </c>
      <c r="D37" s="1990"/>
      <c r="E37" s="1991"/>
      <c r="F37" s="1179">
        <v>17</v>
      </c>
      <c r="G37" s="993">
        <v>40193.449999999997</v>
      </c>
      <c r="H37" s="1180">
        <f>G37*F37</f>
        <v>683288.64999999991</v>
      </c>
      <c r="I37" s="1179">
        <f>K32</f>
        <v>7</v>
      </c>
      <c r="J37" s="993">
        <v>40193.449999999997</v>
      </c>
      <c r="K37" s="1180">
        <f>J37*I37</f>
        <v>281354.14999999997</v>
      </c>
      <c r="L37" s="1179">
        <v>5</v>
      </c>
      <c r="M37" s="993">
        <v>40193.449999999997</v>
      </c>
      <c r="N37" s="1180">
        <f>M37*L37</f>
        <v>200967.25</v>
      </c>
      <c r="O37" s="549"/>
    </row>
    <row r="38" spans="2:15" ht="15" thickBot="1" x14ac:dyDescent="0.4">
      <c r="B38" s="549"/>
      <c r="C38" s="1971" t="s">
        <v>200</v>
      </c>
      <c r="D38" s="1972"/>
      <c r="E38" s="1972"/>
      <c r="F38" s="845"/>
      <c r="G38" s="845"/>
      <c r="H38" s="844">
        <f>SUM(H35:H37)</f>
        <v>17741899.209999997</v>
      </c>
      <c r="I38" s="845"/>
      <c r="J38" s="845"/>
      <c r="K38" s="844">
        <f>SUM(K35:K37)</f>
        <v>281354.14999999997</v>
      </c>
      <c r="L38" s="845"/>
      <c r="M38" s="845"/>
      <c r="N38" s="844">
        <f>SUM(N35:N37)</f>
        <v>200967.25</v>
      </c>
      <c r="O38" s="549"/>
    </row>
    <row r="39" spans="2:15" ht="4.5" customHeight="1" x14ac:dyDescent="0.35">
      <c r="B39" s="549"/>
      <c r="C39" s="549"/>
      <c r="D39" s="549"/>
      <c r="E39" s="549"/>
      <c r="F39" s="549"/>
      <c r="G39" s="549"/>
      <c r="H39" s="549"/>
      <c r="I39" s="549"/>
      <c r="J39" s="549"/>
      <c r="K39" s="549"/>
      <c r="L39" s="549"/>
      <c r="M39" s="549"/>
      <c r="N39" s="549"/>
      <c r="O39" s="549"/>
    </row>
    <row r="40" spans="2:15" ht="15" thickBot="1" x14ac:dyDescent="0.4">
      <c r="B40" s="549"/>
      <c r="C40" s="548" t="s">
        <v>798</v>
      </c>
      <c r="D40" s="549"/>
      <c r="E40" s="549"/>
      <c r="F40" s="549"/>
      <c r="G40" s="549"/>
      <c r="H40" s="549"/>
      <c r="I40" s="549"/>
      <c r="J40" s="549"/>
      <c r="K40" s="549"/>
      <c r="L40" s="549"/>
      <c r="M40" s="549"/>
      <c r="N40" s="549"/>
      <c r="O40" s="549"/>
    </row>
    <row r="41" spans="2:15" ht="29.5" thickBot="1" x14ac:dyDescent="0.4">
      <c r="B41" s="549"/>
      <c r="C41" s="1971" t="s">
        <v>750</v>
      </c>
      <c r="D41" s="1972"/>
      <c r="E41" s="1973"/>
      <c r="F41" s="840" t="s">
        <v>751</v>
      </c>
      <c r="G41" s="840" t="s">
        <v>752</v>
      </c>
      <c r="H41" s="840" t="s">
        <v>784</v>
      </c>
      <c r="I41" s="840" t="s">
        <v>751</v>
      </c>
      <c r="J41" s="840" t="s">
        <v>752</v>
      </c>
      <c r="K41" s="840" t="s">
        <v>784</v>
      </c>
      <c r="L41" s="840" t="s">
        <v>751</v>
      </c>
      <c r="M41" s="840" t="s">
        <v>752</v>
      </c>
      <c r="N41" s="840" t="s">
        <v>784</v>
      </c>
      <c r="O41" s="549"/>
    </row>
    <row r="42" spans="2:15" ht="15" thickBot="1" x14ac:dyDescent="0.4">
      <c r="B42" s="549"/>
      <c r="C42" s="1989" t="s">
        <v>799</v>
      </c>
      <c r="D42" s="1990"/>
      <c r="E42" s="1991"/>
      <c r="F42" s="1179">
        <v>5</v>
      </c>
      <c r="G42" s="993">
        <v>608434.67000000004</v>
      </c>
      <c r="H42" s="1180">
        <f>F42*G42</f>
        <v>3042173.35</v>
      </c>
      <c r="I42" s="1179">
        <v>0</v>
      </c>
      <c r="J42" s="993">
        <v>0</v>
      </c>
      <c r="K42" s="1180">
        <f>I42*J42</f>
        <v>0</v>
      </c>
      <c r="L42" s="1179">
        <v>0</v>
      </c>
      <c r="M42" s="993">
        <v>0</v>
      </c>
      <c r="N42" s="1180">
        <f>L42*M42</f>
        <v>0</v>
      </c>
      <c r="O42" s="549"/>
    </row>
    <row r="43" spans="2:15" ht="15" thickBot="1" x14ac:dyDescent="0.4">
      <c r="B43" s="549"/>
      <c r="C43" s="1989" t="s">
        <v>796</v>
      </c>
      <c r="D43" s="1990"/>
      <c r="E43" s="1991"/>
      <c r="F43" s="1179">
        <v>5</v>
      </c>
      <c r="G43" s="993">
        <v>133244.04999999999</v>
      </c>
      <c r="H43" s="1180">
        <f>G43*F43</f>
        <v>666220.25</v>
      </c>
      <c r="I43" s="1179">
        <v>0</v>
      </c>
      <c r="J43" s="993">
        <v>0</v>
      </c>
      <c r="K43" s="1180">
        <f>J43*I43</f>
        <v>0</v>
      </c>
      <c r="L43" s="1179">
        <v>0</v>
      </c>
      <c r="M43" s="993">
        <v>0</v>
      </c>
      <c r="N43" s="1180">
        <f>M43*L43</f>
        <v>0</v>
      </c>
      <c r="O43" s="549"/>
    </row>
    <row r="44" spans="2:15" ht="30.75" customHeight="1" thickBot="1" x14ac:dyDescent="0.4">
      <c r="B44" s="549"/>
      <c r="C44" s="1989" t="s">
        <v>797</v>
      </c>
      <c r="D44" s="1990"/>
      <c r="E44" s="1991"/>
      <c r="F44" s="1179">
        <v>7</v>
      </c>
      <c r="G44" s="993">
        <v>40193.449999999997</v>
      </c>
      <c r="H44" s="1180">
        <f>G44*F44</f>
        <v>281354.14999999997</v>
      </c>
      <c r="I44" s="1179">
        <v>5</v>
      </c>
      <c r="J44" s="993">
        <v>40193.449999999997</v>
      </c>
      <c r="K44" s="1180">
        <f>J44*I44</f>
        <v>200967.25</v>
      </c>
      <c r="L44" s="1179">
        <v>4</v>
      </c>
      <c r="M44" s="993">
        <v>40193.449999999997</v>
      </c>
      <c r="N44" s="1180">
        <f>M44*L44</f>
        <v>160773.79999999999</v>
      </c>
      <c r="O44" s="549"/>
    </row>
    <row r="45" spans="2:15" ht="15" thickBot="1" x14ac:dyDescent="0.4">
      <c r="B45" s="549"/>
      <c r="C45" s="1971" t="s">
        <v>200</v>
      </c>
      <c r="D45" s="1972"/>
      <c r="E45" s="1972"/>
      <c r="F45" s="845"/>
      <c r="G45" s="845"/>
      <c r="H45" s="844">
        <f>SUM(H42:H44)</f>
        <v>3989747.75</v>
      </c>
      <c r="I45" s="845"/>
      <c r="J45" s="845"/>
      <c r="K45" s="844">
        <f>SUM(K42:K44)</f>
        <v>200967.25</v>
      </c>
      <c r="L45" s="845"/>
      <c r="M45" s="845"/>
      <c r="N45" s="844">
        <f>SUM(N42:N44)</f>
        <v>160773.79999999999</v>
      </c>
      <c r="O45" s="549"/>
    </row>
    <row r="46" spans="2:15" ht="15" thickBot="1" x14ac:dyDescent="0.4">
      <c r="B46" s="549"/>
      <c r="C46" s="549"/>
      <c r="D46" s="549"/>
      <c r="E46" s="549"/>
      <c r="F46" s="549"/>
      <c r="G46" s="549"/>
      <c r="H46" s="549"/>
      <c r="I46" s="549"/>
      <c r="J46" s="549"/>
      <c r="K46" s="549"/>
      <c r="L46" s="549"/>
      <c r="M46" s="549"/>
      <c r="N46" s="549"/>
      <c r="O46" s="549"/>
    </row>
    <row r="47" spans="2:15" ht="15" thickBot="1" x14ac:dyDescent="0.4">
      <c r="B47" s="549"/>
      <c r="C47" s="1987" t="s">
        <v>800</v>
      </c>
      <c r="D47" s="1988"/>
      <c r="E47" s="994">
        <v>10</v>
      </c>
      <c r="F47" s="239" t="s">
        <v>43</v>
      </c>
      <c r="G47" s="549"/>
      <c r="H47" s="874"/>
      <c r="I47" s="239"/>
      <c r="J47" s="549"/>
      <c r="K47" s="874"/>
      <c r="L47" s="549"/>
      <c r="M47" s="549"/>
      <c r="N47" s="549"/>
      <c r="O47" s="549"/>
    </row>
    <row r="48" spans="2:15" ht="15" thickBot="1" x14ac:dyDescent="0.4">
      <c r="B48" s="549"/>
      <c r="C48" s="549"/>
      <c r="D48" s="549"/>
      <c r="E48" s="549"/>
      <c r="F48" s="549"/>
      <c r="G48" s="549"/>
      <c r="H48" s="549"/>
      <c r="I48" s="549"/>
      <c r="J48" s="549"/>
      <c r="K48" s="549"/>
      <c r="L48" s="549"/>
      <c r="M48" s="549"/>
      <c r="N48" s="549"/>
      <c r="O48" s="549"/>
    </row>
    <row r="49" spans="2:41" ht="15" thickBot="1" x14ac:dyDescent="0.4">
      <c r="B49" s="549"/>
      <c r="C49" s="549"/>
      <c r="D49" s="549"/>
      <c r="E49" s="549"/>
      <c r="F49" s="840" t="s">
        <v>96</v>
      </c>
      <c r="G49" s="840" t="s">
        <v>715</v>
      </c>
      <c r="H49" s="549"/>
      <c r="I49" s="840" t="s">
        <v>96</v>
      </c>
      <c r="J49" s="840" t="s">
        <v>715</v>
      </c>
      <c r="K49" s="549"/>
      <c r="L49" s="840" t="s">
        <v>96</v>
      </c>
      <c r="M49" s="840" t="s">
        <v>715</v>
      </c>
      <c r="N49" s="549"/>
      <c r="O49" s="549"/>
    </row>
    <row r="50" spans="2:41" ht="15" thickBot="1" x14ac:dyDescent="0.4">
      <c r="B50" s="549"/>
      <c r="C50" s="549"/>
      <c r="D50" s="549"/>
      <c r="E50" s="549"/>
      <c r="F50" s="1181">
        <v>1</v>
      </c>
      <c r="G50" s="1180">
        <f>H38</f>
        <v>17741899.209999997</v>
      </c>
      <c r="H50" s="549"/>
      <c r="I50" s="1181">
        <v>1</v>
      </c>
      <c r="J50" s="1180">
        <f>K38</f>
        <v>281354.14999999997</v>
      </c>
      <c r="K50" s="549"/>
      <c r="L50" s="1181">
        <v>3</v>
      </c>
      <c r="M50" s="1180">
        <f>N38</f>
        <v>200967.25</v>
      </c>
      <c r="N50" s="549"/>
      <c r="O50" s="549"/>
    </row>
    <row r="51" spans="2:41" ht="15" thickBot="1" x14ac:dyDescent="0.4">
      <c r="B51" s="549"/>
      <c r="C51" s="549"/>
      <c r="D51" s="549"/>
      <c r="E51" s="549"/>
      <c r="F51" s="1182">
        <f>F50+$E$47</f>
        <v>11</v>
      </c>
      <c r="G51" s="1180">
        <f>H45</f>
        <v>3989747.75</v>
      </c>
      <c r="H51" s="1534"/>
      <c r="I51" s="1182">
        <f>I50+$E$47</f>
        <v>11</v>
      </c>
      <c r="J51" s="1180">
        <f>K45</f>
        <v>200967.25</v>
      </c>
      <c r="K51" s="1535"/>
      <c r="L51" s="1182">
        <v>14</v>
      </c>
      <c r="M51" s="1180">
        <f>N45</f>
        <v>160773.79999999999</v>
      </c>
      <c r="N51" s="1724">
        <f>G51+J51+M51</f>
        <v>4351488.8</v>
      </c>
      <c r="O51" s="549"/>
    </row>
    <row r="52" spans="2:41" ht="15" thickBot="1" x14ac:dyDescent="0.4">
      <c r="B52" s="549"/>
      <c r="C52" s="549"/>
      <c r="D52" s="549"/>
      <c r="E52" s="549"/>
      <c r="F52" s="1182">
        <f>F51+$E$47</f>
        <v>21</v>
      </c>
      <c r="G52" s="1180">
        <f>G51</f>
        <v>3989747.75</v>
      </c>
      <c r="H52" s="549"/>
      <c r="I52" s="1182">
        <f>I51+$E$47</f>
        <v>21</v>
      </c>
      <c r="J52" s="1180">
        <f>J51</f>
        <v>200967.25</v>
      </c>
      <c r="K52" s="549"/>
      <c r="L52" s="1182">
        <f>L51+$E$47</f>
        <v>24</v>
      </c>
      <c r="M52" s="1180">
        <f>M51</f>
        <v>160773.79999999999</v>
      </c>
      <c r="N52" s="549"/>
      <c r="O52" s="549"/>
    </row>
    <row r="53" spans="2:41" ht="15" thickBot="1" x14ac:dyDescent="0.4">
      <c r="B53" s="549"/>
      <c r="C53" s="549"/>
      <c r="D53" s="549"/>
      <c r="E53" s="549"/>
      <c r="F53" s="1182"/>
      <c r="G53" s="1180"/>
      <c r="H53" s="849"/>
      <c r="I53" s="1182"/>
      <c r="J53" s="1180"/>
      <c r="K53" s="912"/>
      <c r="L53" s="1182"/>
      <c r="M53" s="1180"/>
      <c r="N53" s="549"/>
      <c r="O53" s="549"/>
    </row>
    <row r="54" spans="2:41" x14ac:dyDescent="0.35">
      <c r="B54" s="549"/>
      <c r="C54" s="847"/>
      <c r="D54" s="549"/>
      <c r="E54" s="549"/>
      <c r="F54" s="912"/>
      <c r="G54" s="549"/>
      <c r="H54" s="549"/>
      <c r="I54" s="549"/>
      <c r="J54" s="549"/>
      <c r="K54" s="549"/>
      <c r="L54" s="549"/>
      <c r="M54" s="549"/>
      <c r="N54" s="549"/>
      <c r="O54" s="549"/>
    </row>
    <row r="55" spans="2:41" x14ac:dyDescent="0.35">
      <c r="B55" s="549"/>
      <c r="C55" s="847"/>
      <c r="D55" s="549"/>
      <c r="E55" s="549"/>
      <c r="F55" s="912"/>
      <c r="G55" s="873">
        <f>SUM(G50:G53)</f>
        <v>25721394.709999997</v>
      </c>
      <c r="H55" s="549"/>
      <c r="I55" s="549"/>
      <c r="J55" s="873">
        <f>SUM(J50:J53)</f>
        <v>683288.64999999991</v>
      </c>
      <c r="K55" s="549"/>
      <c r="L55" s="549"/>
      <c r="M55" s="873">
        <f>SUM(M50:M53)</f>
        <v>522514.85</v>
      </c>
      <c r="N55" s="549"/>
      <c r="O55" s="549"/>
    </row>
    <row r="56" spans="2:41" x14ac:dyDescent="0.35">
      <c r="B56" s="549"/>
      <c r="C56" s="847"/>
      <c r="D56" s="549"/>
      <c r="E56" s="549"/>
      <c r="F56" s="912"/>
      <c r="G56" s="549"/>
      <c r="H56" s="549"/>
      <c r="I56" s="549"/>
      <c r="J56" s="549"/>
      <c r="K56" s="549"/>
      <c r="L56" s="549"/>
      <c r="M56" s="549"/>
      <c r="N56" s="549"/>
      <c r="O56" s="549"/>
    </row>
    <row r="57" spans="2:41" x14ac:dyDescent="0.35">
      <c r="B57" s="549"/>
      <c r="C57" s="847"/>
      <c r="D57" s="549"/>
      <c r="E57" s="549"/>
      <c r="F57" s="912"/>
      <c r="G57" s="549"/>
      <c r="H57" s="549"/>
      <c r="I57" s="549"/>
      <c r="J57" s="549"/>
      <c r="K57" s="549"/>
      <c r="L57" s="549"/>
      <c r="M57" s="549"/>
      <c r="N57" s="549"/>
      <c r="O57" s="549"/>
    </row>
    <row r="58" spans="2:41" ht="15" thickBot="1" x14ac:dyDescent="0.4">
      <c r="C58" s="77"/>
      <c r="D58" s="105"/>
    </row>
    <row r="59" spans="2:41" x14ac:dyDescent="0.35">
      <c r="B59" s="5"/>
      <c r="C59" s="6"/>
      <c r="D59" s="6"/>
      <c r="E59" s="1747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8"/>
    </row>
    <row r="60" spans="2:41" x14ac:dyDescent="0.35">
      <c r="B60" s="9"/>
      <c r="C60" s="77" t="s">
        <v>801</v>
      </c>
      <c r="AO60" s="16"/>
    </row>
    <row r="61" spans="2:41" x14ac:dyDescent="0.35">
      <c r="B61" s="9"/>
      <c r="C61" s="87"/>
      <c r="D61" s="87"/>
      <c r="E61" s="793" t="s">
        <v>455</v>
      </c>
      <c r="F61" s="995">
        <v>1</v>
      </c>
      <c r="G61" s="89">
        <f>F61+1</f>
        <v>2</v>
      </c>
      <c r="H61" s="89">
        <f t="shared" ref="H61:AN61" si="1">G61+1</f>
        <v>3</v>
      </c>
      <c r="I61" s="89">
        <f t="shared" si="1"/>
        <v>4</v>
      </c>
      <c r="J61" s="89">
        <f t="shared" si="1"/>
        <v>5</v>
      </c>
      <c r="K61" s="89">
        <f t="shared" si="1"/>
        <v>6</v>
      </c>
      <c r="L61" s="89">
        <f t="shared" si="1"/>
        <v>7</v>
      </c>
      <c r="M61" s="89">
        <f t="shared" si="1"/>
        <v>8</v>
      </c>
      <c r="N61" s="89">
        <f t="shared" si="1"/>
        <v>9</v>
      </c>
      <c r="O61" s="89">
        <f t="shared" si="1"/>
        <v>10</v>
      </c>
      <c r="P61" s="89">
        <f t="shared" si="1"/>
        <v>11</v>
      </c>
      <c r="Q61" s="89">
        <f t="shared" si="1"/>
        <v>12</v>
      </c>
      <c r="R61" s="89">
        <f t="shared" si="1"/>
        <v>13</v>
      </c>
      <c r="S61" s="89">
        <f t="shared" si="1"/>
        <v>14</v>
      </c>
      <c r="T61" s="89">
        <f t="shared" si="1"/>
        <v>15</v>
      </c>
      <c r="U61" s="89">
        <f t="shared" si="1"/>
        <v>16</v>
      </c>
      <c r="V61" s="89">
        <f t="shared" si="1"/>
        <v>17</v>
      </c>
      <c r="W61" s="89">
        <f t="shared" si="1"/>
        <v>18</v>
      </c>
      <c r="X61" s="89">
        <f t="shared" si="1"/>
        <v>19</v>
      </c>
      <c r="Y61" s="89">
        <f t="shared" si="1"/>
        <v>20</v>
      </c>
      <c r="Z61" s="89">
        <f t="shared" si="1"/>
        <v>21</v>
      </c>
      <c r="AA61" s="89">
        <f t="shared" si="1"/>
        <v>22</v>
      </c>
      <c r="AB61" s="89">
        <f t="shared" si="1"/>
        <v>23</v>
      </c>
      <c r="AC61" s="89">
        <f t="shared" si="1"/>
        <v>24</v>
      </c>
      <c r="AD61" s="89">
        <f t="shared" si="1"/>
        <v>25</v>
      </c>
      <c r="AE61" s="89">
        <f t="shared" si="1"/>
        <v>26</v>
      </c>
      <c r="AF61" s="89">
        <f t="shared" si="1"/>
        <v>27</v>
      </c>
      <c r="AG61" s="89">
        <f t="shared" si="1"/>
        <v>28</v>
      </c>
      <c r="AH61" s="89">
        <f t="shared" si="1"/>
        <v>29</v>
      </c>
      <c r="AI61" s="89">
        <f t="shared" si="1"/>
        <v>30</v>
      </c>
      <c r="AJ61" s="89">
        <f t="shared" si="1"/>
        <v>31</v>
      </c>
      <c r="AK61" s="89">
        <f t="shared" si="1"/>
        <v>32</v>
      </c>
      <c r="AL61" s="89">
        <f t="shared" si="1"/>
        <v>33</v>
      </c>
      <c r="AM61" s="89">
        <f t="shared" si="1"/>
        <v>34</v>
      </c>
      <c r="AN61" s="89">
        <f t="shared" si="1"/>
        <v>35</v>
      </c>
      <c r="AO61" s="16"/>
    </row>
    <row r="62" spans="2:41" x14ac:dyDescent="0.35">
      <c r="B62" s="9"/>
      <c r="C62" s="1986" t="s">
        <v>780</v>
      </c>
      <c r="D62" s="1986"/>
      <c r="E62" s="906">
        <f>SUM(F62:AN62)</f>
        <v>3634932.63</v>
      </c>
      <c r="F62" s="998">
        <f>IF(F61&gt;'Premissas Gerais'!$E$7,0,IFERROR(VLOOKUP(F61,CAPEX_Transbordo!$C$13:$E$15,3,FALSE),0))</f>
        <v>2938981.75</v>
      </c>
      <c r="G62" s="999">
        <f>IF(G61&gt;'Premissas Gerais'!$E$7,0,IFERROR(VLOOKUP(G61,CAPEX_Transbordo!$C$13:$E$15,3,FALSE),0))</f>
        <v>0</v>
      </c>
      <c r="H62" s="999">
        <f>IF(H61&gt;'Premissas Gerais'!$E$7,0,IFERROR(VLOOKUP(H61,CAPEX_Transbordo!$C$13:$E$15,3,FALSE),0))</f>
        <v>0</v>
      </c>
      <c r="I62" s="999">
        <f>IF(I61&gt;'Premissas Gerais'!$E$7,0,IFERROR(VLOOKUP(I61,CAPEX_Transbordo!$C$13:$E$15,3,FALSE),0))</f>
        <v>0</v>
      </c>
      <c r="J62" s="999">
        <f>IF(J61&gt;'Premissas Gerais'!$E$7,0,IFERROR(VLOOKUP(J61,CAPEX_Transbordo!$C$13:$E$15,3,FALSE),0))</f>
        <v>0</v>
      </c>
      <c r="K62" s="999">
        <f>IF(K61&gt;'Premissas Gerais'!$E$7,0,IFERROR(VLOOKUP(K61,CAPEX_Transbordo!$C$13:$E$15,3,FALSE),0))</f>
        <v>0</v>
      </c>
      <c r="L62" s="999">
        <f>IF(L61&gt;'Premissas Gerais'!$E$7,0,IFERROR(VLOOKUP(L61,CAPEX_Transbordo!$C$13:$E$15,3,FALSE),0))</f>
        <v>0</v>
      </c>
      <c r="M62" s="999">
        <f>IF(M61&gt;'Premissas Gerais'!$E$7,0,IFERROR(VLOOKUP(M61,CAPEX_Transbordo!$C$13:$E$15,3,FALSE),0))</f>
        <v>0</v>
      </c>
      <c r="N62" s="999">
        <f>IF(N61&gt;'Premissas Gerais'!$E$7,0,IFERROR(VLOOKUP(N61,CAPEX_Transbordo!$C$13:$E$15,3,FALSE),0))</f>
        <v>0</v>
      </c>
      <c r="O62" s="999">
        <f>IF(O61&gt;'Premissas Gerais'!$E$7,0,IFERROR(VLOOKUP(O61,CAPEX_Transbordo!$C$13:$E$15,3,FALSE),0))</f>
        <v>347975.44</v>
      </c>
      <c r="P62" s="999">
        <f>IF(P61&gt;'Premissas Gerais'!$E$7,0,IFERROR(VLOOKUP(P61,CAPEX_Transbordo!$C$13:$E$15,3,FALSE),0))</f>
        <v>0</v>
      </c>
      <c r="Q62" s="999">
        <f>IF(Q61&gt;'Premissas Gerais'!$E$7,0,IFERROR(VLOOKUP(Q61,CAPEX_Transbordo!$C$13:$E$15,3,FALSE),0))</f>
        <v>0</v>
      </c>
      <c r="R62" s="999">
        <f>IF(R61&gt;'Premissas Gerais'!$E$7,0,IFERROR(VLOOKUP(R61,CAPEX_Transbordo!$C$13:$E$15,3,FALSE),0))</f>
        <v>0</v>
      </c>
      <c r="S62" s="999">
        <f>IF(S61&gt;'Premissas Gerais'!$E$7,0,IFERROR(VLOOKUP(S61,CAPEX_Transbordo!$C$13:$E$15,3,FALSE),0))</f>
        <v>0</v>
      </c>
      <c r="T62" s="999">
        <f>IF(T61&gt;'Premissas Gerais'!$E$7,0,IFERROR(VLOOKUP(T61,CAPEX_Transbordo!$C$13:$E$15,3,FALSE),0))</f>
        <v>0</v>
      </c>
      <c r="U62" s="999">
        <f>IF(U61&gt;'Premissas Gerais'!$E$7,0,IFERROR(VLOOKUP(U61,CAPEX_Transbordo!$C$13:$E$15,3,FALSE),0))</f>
        <v>0</v>
      </c>
      <c r="V62" s="999">
        <f>IF(V61&gt;'Premissas Gerais'!$E$7,0,IFERROR(VLOOKUP(V61,CAPEX_Transbordo!$C$13:$E$15,3,FALSE),0))</f>
        <v>0</v>
      </c>
      <c r="W62" s="999">
        <f>IF(W61&gt;'Premissas Gerais'!$E$7,0,IFERROR(VLOOKUP(W61,CAPEX_Transbordo!$C$13:$E$15,3,FALSE),0))</f>
        <v>0</v>
      </c>
      <c r="X62" s="999">
        <f>IF(X61&gt;'Premissas Gerais'!$E$7,0,IFERROR(VLOOKUP(X61,CAPEX_Transbordo!$C$13:$E$15,3,FALSE),0))</f>
        <v>0</v>
      </c>
      <c r="Y62" s="999">
        <f>IF(Y61&gt;'Premissas Gerais'!$E$7,0,IFERROR(VLOOKUP(Y61,CAPEX_Transbordo!$C$13:$E$15,3,FALSE),0))</f>
        <v>347975.44</v>
      </c>
      <c r="Z62" s="999">
        <f>IF(Z61&gt;'Premissas Gerais'!$E$7,0,IFERROR(VLOOKUP(Z61,CAPEX_Transbordo!$C$13:$E$15,3,FALSE),0))</f>
        <v>0</v>
      </c>
      <c r="AA62" s="999">
        <f>IF(AA61&gt;'Premissas Gerais'!$E$7,0,IFERROR(VLOOKUP(AA61,CAPEX_Transbordo!$C$13:$E$15,3,FALSE),0))</f>
        <v>0</v>
      </c>
      <c r="AB62" s="999">
        <f>IF(AB61&gt;'Premissas Gerais'!$E$7,0,IFERROR(VLOOKUP(AB61,CAPEX_Transbordo!$C$13:$E$15,3,FALSE),0))</f>
        <v>0</v>
      </c>
      <c r="AC62" s="999">
        <f>IF(AC61&gt;'Premissas Gerais'!$E$7,0,IFERROR(VLOOKUP(AC61,CAPEX_Transbordo!$C$13:$E$15,3,FALSE),0))</f>
        <v>0</v>
      </c>
      <c r="AD62" s="999">
        <f>IF(AD61&gt;'Premissas Gerais'!$E$7,0,IFERROR(VLOOKUP(AD61,CAPEX_Transbordo!$C$13:$E$15,3,FALSE),0))</f>
        <v>0</v>
      </c>
      <c r="AE62" s="999">
        <f>IF(AE61&gt;'Premissas Gerais'!$E$7,0,IFERROR(VLOOKUP(AE61,CAPEX_Transbordo!$C$13:$E$15,3,FALSE),0))</f>
        <v>0</v>
      </c>
      <c r="AF62" s="999">
        <f>IF(AF61&gt;'Premissas Gerais'!$E$7,0,IFERROR(VLOOKUP(AF61,CAPEX_Transbordo!$C$13:$E$15,3,FALSE),0))</f>
        <v>0</v>
      </c>
      <c r="AG62" s="999">
        <f>IF(AG61&gt;'Premissas Gerais'!$E$7,0,IFERROR(VLOOKUP(AG61,CAPEX_Transbordo!$C$13:$E$15,3,FALSE),0))</f>
        <v>0</v>
      </c>
      <c r="AH62" s="999">
        <f>IF(AH61&gt;'Premissas Gerais'!$E$7,0,IFERROR(VLOOKUP(AH61,CAPEX_Transbordo!$C$13:$E$15,3,FALSE),0))</f>
        <v>0</v>
      </c>
      <c r="AI62" s="999">
        <f>IF(AI61&gt;'Premissas Gerais'!$E$7,0,IFERROR(VLOOKUP(AI61,CAPEX_Transbordo!$C$13:$E$15,3,FALSE),0))</f>
        <v>0</v>
      </c>
      <c r="AJ62" s="999">
        <f>IF(AJ61&gt;'Premissas Gerais'!$E$7,0,IFERROR(VLOOKUP(AJ61,CAPEX_Transbordo!$C$13:$E$15,3,FALSE),0))</f>
        <v>0</v>
      </c>
      <c r="AK62" s="999">
        <f>IF(AK61&gt;'Premissas Gerais'!$E$7,0,IFERROR(VLOOKUP(AK61,CAPEX_Transbordo!$C$13:$E$15,3,FALSE),0))</f>
        <v>0</v>
      </c>
      <c r="AL62" s="999">
        <f>IF(AL61&gt;'Premissas Gerais'!$E$7,0,IFERROR(VLOOKUP(AL61,CAPEX_Transbordo!$C$13:$E$15,3,FALSE),0))</f>
        <v>0</v>
      </c>
      <c r="AM62" s="999">
        <f>IF(AM61&gt;'Premissas Gerais'!$E$7,0,IFERROR(VLOOKUP(AM61,CAPEX_Transbordo!$C$13:$E$15,3,FALSE),0))</f>
        <v>0</v>
      </c>
      <c r="AN62" s="999">
        <f>IF(AN61&gt;'Premissas Gerais'!$E$7,0,IFERROR(VLOOKUP(AN61,CAPEX_Transbordo!$C$13:$E$15,3,FALSE),0))</f>
        <v>0</v>
      </c>
      <c r="AO62" s="16"/>
    </row>
    <row r="63" spans="2:41" x14ac:dyDescent="0.35">
      <c r="B63" s="9"/>
      <c r="C63" s="1985" t="s">
        <v>802</v>
      </c>
      <c r="D63" s="1985"/>
      <c r="E63" s="909">
        <f>SUM(F63:AN63)</f>
        <v>25721394.709999997</v>
      </c>
      <c r="F63" s="996">
        <f>IF(F61&gt;'Premissas Gerais'!$E$7,0,IFERROR(VLOOKUP(F61,CAPEX_Transbordo!$F$50:$G$53,2,FALSE),0))</f>
        <v>17741899.209999997</v>
      </c>
      <c r="G63" s="563">
        <f>IF(G61&gt;'Premissas Gerais'!$E$7,0,IFERROR(VLOOKUP(G61,CAPEX_Transbordo!$F$50:$G$53,2,FALSE),0))</f>
        <v>0</v>
      </c>
      <c r="H63" s="563">
        <f>IF(H61&gt;'Premissas Gerais'!$E$7,0,IFERROR(VLOOKUP(H61,CAPEX_Transbordo!$F$50:$G$53,2,FALSE),0))</f>
        <v>0</v>
      </c>
      <c r="I63" s="563">
        <f>IF(I61&gt;'Premissas Gerais'!$E$7,0,IFERROR(VLOOKUP(I61,CAPEX_Transbordo!$F$50:$G$53,2,FALSE),0))</f>
        <v>0</v>
      </c>
      <c r="J63" s="563">
        <f>IF(J61&gt;'Premissas Gerais'!$E$7,0,IFERROR(VLOOKUP(J61,CAPEX_Transbordo!$F$50:$G$53,2,FALSE),0))</f>
        <v>0</v>
      </c>
      <c r="K63" s="563">
        <f>IF(K61&gt;'Premissas Gerais'!$E$7,0,IFERROR(VLOOKUP(K61,CAPEX_Transbordo!$F$50:$G$53,2,FALSE),0))</f>
        <v>0</v>
      </c>
      <c r="L63" s="563">
        <f>IF(L61&gt;'Premissas Gerais'!$E$7,0,IFERROR(VLOOKUP(L61,CAPEX_Transbordo!$F$50:$G$53,2,FALSE),0))</f>
        <v>0</v>
      </c>
      <c r="M63" s="563">
        <f>IF(M61&gt;'Premissas Gerais'!$E$7,0,IFERROR(VLOOKUP(M61,CAPEX_Transbordo!$F$50:$G$53,2,FALSE),0))</f>
        <v>0</v>
      </c>
      <c r="N63" s="563">
        <f>IF(N61&gt;'Premissas Gerais'!$E$7,0,IFERROR(VLOOKUP(N61,CAPEX_Transbordo!$F$50:$G$53,2,FALSE),0))</f>
        <v>0</v>
      </c>
      <c r="O63" s="563">
        <f>IF(O61&gt;'Premissas Gerais'!$E$7,0,IFERROR(VLOOKUP(O61,CAPEX_Transbordo!$F$50:$G$53,2,FALSE),0))</f>
        <v>0</v>
      </c>
      <c r="P63" s="563">
        <f>IF(P61&gt;'Premissas Gerais'!$E$7,0,IFERROR(VLOOKUP(P61,CAPEX_Transbordo!$F$50:$G$53,2,FALSE),0))</f>
        <v>3989747.75</v>
      </c>
      <c r="Q63" s="563">
        <f>IF(Q61&gt;'Premissas Gerais'!$E$7,0,IFERROR(VLOOKUP(Q61,CAPEX_Transbordo!$F$50:$G$53,2,FALSE),0))</f>
        <v>0</v>
      </c>
      <c r="R63" s="563">
        <f>IF(R61&gt;'Premissas Gerais'!$E$7,0,IFERROR(VLOOKUP(R61,CAPEX_Transbordo!$F$50:$G$53,2,FALSE),0))</f>
        <v>0</v>
      </c>
      <c r="S63" s="563">
        <f>IF(S61&gt;'Premissas Gerais'!$E$7,0,IFERROR(VLOOKUP(S61,CAPEX_Transbordo!$F$50:$G$53,2,FALSE),0))</f>
        <v>0</v>
      </c>
      <c r="T63" s="563">
        <f>IF(T61&gt;'Premissas Gerais'!$E$7,0,IFERROR(VLOOKUP(T61,CAPEX_Transbordo!$F$50:$G$53,2,FALSE),0))</f>
        <v>0</v>
      </c>
      <c r="U63" s="563">
        <f>IF(U61&gt;'Premissas Gerais'!$E$7,0,IFERROR(VLOOKUP(U61,CAPEX_Transbordo!$F$50:$G$53,2,FALSE),0))</f>
        <v>0</v>
      </c>
      <c r="V63" s="563">
        <f>IF(V61&gt;'Premissas Gerais'!$E$7,0,IFERROR(VLOOKUP(V61,CAPEX_Transbordo!$F$50:$G$53,2,FALSE),0))</f>
        <v>0</v>
      </c>
      <c r="W63" s="563">
        <f>IF(W61&gt;'Premissas Gerais'!$E$7,0,IFERROR(VLOOKUP(W61,CAPEX_Transbordo!$F$50:$G$53,2,FALSE),0))</f>
        <v>0</v>
      </c>
      <c r="X63" s="563">
        <f>IF(X61&gt;'Premissas Gerais'!$E$7,0,IFERROR(VLOOKUP(X61,CAPEX_Transbordo!$F$50:$G$53,2,FALSE),0))</f>
        <v>0</v>
      </c>
      <c r="Y63" s="563">
        <f>IF(Y61&gt;'Premissas Gerais'!$E$7,0,IFERROR(VLOOKUP(Y61,CAPEX_Transbordo!$F$50:$G$53,2,FALSE),0))</f>
        <v>0</v>
      </c>
      <c r="Z63" s="563">
        <f>IF(Z61&gt;'Premissas Gerais'!$E$7,0,IFERROR(VLOOKUP(Z61,CAPEX_Transbordo!$F$50:$G$53,2,FALSE),0))</f>
        <v>3989747.75</v>
      </c>
      <c r="AA63" s="563">
        <f>IF(AA61&gt;'Premissas Gerais'!$E$7,0,IFERROR(VLOOKUP(AA61,CAPEX_Transbordo!$F$50:$G$53,2,FALSE),0))</f>
        <v>0</v>
      </c>
      <c r="AB63" s="563">
        <f>IF(AB61&gt;'Premissas Gerais'!$E$7,0,IFERROR(VLOOKUP(AB61,CAPEX_Transbordo!$F$50:$G$53,2,FALSE),0))</f>
        <v>0</v>
      </c>
      <c r="AC63" s="563">
        <f>IF(AC61&gt;'Premissas Gerais'!$E$7,0,IFERROR(VLOOKUP(AC61,CAPEX_Transbordo!$F$50:$G$53,2,FALSE),0))</f>
        <v>0</v>
      </c>
      <c r="AD63" s="563">
        <f>IF(AD61&gt;'Premissas Gerais'!$E$7,0,IFERROR(VLOOKUP(AD61,CAPEX_Transbordo!$F$50:$G$53,2,FALSE),0))</f>
        <v>0</v>
      </c>
      <c r="AE63" s="563">
        <f>IF(AE61&gt;'Premissas Gerais'!$E$7,0,IFERROR(VLOOKUP(AE61,CAPEX_Transbordo!$F$50:$G$53,2,FALSE),0))</f>
        <v>0</v>
      </c>
      <c r="AF63" s="563">
        <f>IF(AF61&gt;'Premissas Gerais'!$E$7,0,IFERROR(VLOOKUP(AF61,CAPEX_Transbordo!$F$50:$G$53,2,FALSE),0))</f>
        <v>0</v>
      </c>
      <c r="AG63" s="563">
        <f>IF(AG61&gt;'Premissas Gerais'!$E$7,0,IFERROR(VLOOKUP(AG61,CAPEX_Transbordo!$F$50:$G$53,2,FALSE),0))</f>
        <v>0</v>
      </c>
      <c r="AH63" s="563">
        <f>IF(AH61&gt;'Premissas Gerais'!$E$7,0,IFERROR(VLOOKUP(AH61,CAPEX_Transbordo!$F$50:$G$53,2,FALSE),0))</f>
        <v>0</v>
      </c>
      <c r="AI63" s="563">
        <f>IF(AI61&gt;'Premissas Gerais'!$E$7,0,IFERROR(VLOOKUP(AI61,CAPEX_Transbordo!$F$50:$G$53,2,FALSE),0))</f>
        <v>0</v>
      </c>
      <c r="AJ63" s="563">
        <f>IF(AJ61&gt;'Premissas Gerais'!$E$7,0,IFERROR(VLOOKUP(AJ61,CAPEX_Transbordo!$F$50:$G$53,2,FALSE),0))</f>
        <v>0</v>
      </c>
      <c r="AK63" s="563">
        <f>IF(AK61&gt;'Premissas Gerais'!$E$7,0,IFERROR(VLOOKUP(AK61,CAPEX_Transbordo!$F$50:$G$53,2,FALSE),0))</f>
        <v>0</v>
      </c>
      <c r="AL63" s="563">
        <f>IF(AL61&gt;'Premissas Gerais'!$E$7,0,IFERROR(VLOOKUP(AL61,CAPEX_Transbordo!$F$50:$G$53,2,FALSE),0))</f>
        <v>0</v>
      </c>
      <c r="AM63" s="563">
        <f>IF(AM61&gt;'Premissas Gerais'!$E$7,0,IFERROR(VLOOKUP(AM61,CAPEX_Transbordo!$F$50:$G$53,2,FALSE),0))</f>
        <v>0</v>
      </c>
      <c r="AN63" s="563">
        <f>IF(AN61&gt;'Premissas Gerais'!$E$7,0,IFERROR(VLOOKUP(AN61,CAPEX_Transbordo!$F$50:$G$53,2,FALSE),0))</f>
        <v>0</v>
      </c>
      <c r="AO63" s="16"/>
    </row>
    <row r="64" spans="2:41" x14ac:dyDescent="0.35">
      <c r="B64" s="9"/>
      <c r="C64" s="1985" t="s">
        <v>803</v>
      </c>
      <c r="D64" s="1985"/>
      <c r="E64" s="909">
        <f>SUM(F64:AN64)</f>
        <v>683288.64999999991</v>
      </c>
      <c r="F64" s="996">
        <f>IF(F61&gt;'Premissas Gerais'!$E$7,0,IFERROR(VLOOKUP(F61,CAPEX_Transbordo!$I$50:$J$53,2,FALSE),0))</f>
        <v>281354.14999999997</v>
      </c>
      <c r="G64" s="563">
        <f>IF(G61&gt;'Premissas Gerais'!$E$7,0,IFERROR(VLOOKUP(G61,CAPEX_Transbordo!$I$50:$J$53,2,FALSE),0))</f>
        <v>0</v>
      </c>
      <c r="H64" s="563">
        <f>IF(H61&gt;'Premissas Gerais'!$E$7,0,IFERROR(VLOOKUP(H61,CAPEX_Transbordo!$I$50:$J$53,2,FALSE),0))</f>
        <v>0</v>
      </c>
      <c r="I64" s="563">
        <f>IF(I61&gt;'Premissas Gerais'!$E$7,0,IFERROR(VLOOKUP(I61,CAPEX_Transbordo!$I$50:$J$53,2,FALSE),0))</f>
        <v>0</v>
      </c>
      <c r="J64" s="563">
        <f>IF(J61&gt;'Premissas Gerais'!$E$7,0,IFERROR(VLOOKUP(J61,CAPEX_Transbordo!$I$50:$J$53,2,FALSE),0))</f>
        <v>0</v>
      </c>
      <c r="K64" s="563">
        <f>IF(K61&gt;'Premissas Gerais'!$E$7,0,IFERROR(VLOOKUP(K61,CAPEX_Transbordo!$I$50:$J$53,2,FALSE),0))</f>
        <v>0</v>
      </c>
      <c r="L64" s="563">
        <f>IF(L61&gt;'Premissas Gerais'!$E$7,0,IFERROR(VLOOKUP(L61,CAPEX_Transbordo!$I$50:$J$53,2,FALSE),0))</f>
        <v>0</v>
      </c>
      <c r="M64" s="563">
        <f>IF(M61&gt;'Premissas Gerais'!$E$7,0,IFERROR(VLOOKUP(M61,CAPEX_Transbordo!$I$50:$J$53,2,FALSE),0))</f>
        <v>0</v>
      </c>
      <c r="N64" s="563">
        <f>IF(N61&gt;'Premissas Gerais'!$E$7,0,IFERROR(VLOOKUP(N61,CAPEX_Transbordo!$I$50:$J$53,2,FALSE),0))</f>
        <v>0</v>
      </c>
      <c r="O64" s="563">
        <f>IF(O61&gt;'Premissas Gerais'!$E$7,0,IFERROR(VLOOKUP(O61,CAPEX_Transbordo!$I$50:$J$53,2,FALSE),0))</f>
        <v>0</v>
      </c>
      <c r="P64" s="563">
        <f>IF(P61&gt;'Premissas Gerais'!$E$7,0,IFERROR(VLOOKUP(P61,CAPEX_Transbordo!$I$50:$J$53,2,FALSE),0))</f>
        <v>200967.25</v>
      </c>
      <c r="Q64" s="563">
        <f>IF(Q61&gt;'Premissas Gerais'!$E$7,0,IFERROR(VLOOKUP(Q61,CAPEX_Transbordo!$I$50:$J$53,2,FALSE),0))</f>
        <v>0</v>
      </c>
      <c r="R64" s="563">
        <f>IF(R61&gt;'Premissas Gerais'!$E$7,0,IFERROR(VLOOKUP(R61,CAPEX_Transbordo!$I$50:$J$53,2,FALSE),0))</f>
        <v>0</v>
      </c>
      <c r="S64" s="563">
        <f>IF(S61&gt;'Premissas Gerais'!$E$7,0,IFERROR(VLOOKUP(S61,CAPEX_Transbordo!$I$50:$J$53,2,FALSE),0))</f>
        <v>0</v>
      </c>
      <c r="T64" s="563">
        <f>IF(T61&gt;'Premissas Gerais'!$E$7,0,IFERROR(VLOOKUP(T61,CAPEX_Transbordo!$I$50:$J$53,2,FALSE),0))</f>
        <v>0</v>
      </c>
      <c r="U64" s="563">
        <f>IF(U61&gt;'Premissas Gerais'!$E$7,0,IFERROR(VLOOKUP(U61,CAPEX_Transbordo!$I$50:$J$53,2,FALSE),0))</f>
        <v>0</v>
      </c>
      <c r="V64" s="563">
        <f>IF(V61&gt;'Premissas Gerais'!$E$7,0,IFERROR(VLOOKUP(V61,CAPEX_Transbordo!$I$50:$J$53,2,FALSE),0))</f>
        <v>0</v>
      </c>
      <c r="W64" s="563">
        <f>IF(W61&gt;'Premissas Gerais'!$E$7,0,IFERROR(VLOOKUP(W61,CAPEX_Transbordo!$I$50:$J$53,2,FALSE),0))</f>
        <v>0</v>
      </c>
      <c r="X64" s="563">
        <f>IF(X61&gt;'Premissas Gerais'!$E$7,0,IFERROR(VLOOKUP(X61,CAPEX_Transbordo!$I$50:$J$53,2,FALSE),0))</f>
        <v>0</v>
      </c>
      <c r="Y64" s="563">
        <f>IF(Y61&gt;'Premissas Gerais'!$E$7,0,IFERROR(VLOOKUP(Y61,CAPEX_Transbordo!$I$50:$J$53,2,FALSE),0))</f>
        <v>0</v>
      </c>
      <c r="Z64" s="563">
        <f>IF(Z61&gt;'Premissas Gerais'!$E$7,0,IFERROR(VLOOKUP(Z61,CAPEX_Transbordo!$I$50:$J$53,2,FALSE),0))</f>
        <v>200967.25</v>
      </c>
      <c r="AA64" s="563">
        <f>IF(AA61&gt;'Premissas Gerais'!$E$7,0,IFERROR(VLOOKUP(AA61,CAPEX_Transbordo!$I$50:$J$53,2,FALSE),0))</f>
        <v>0</v>
      </c>
      <c r="AB64" s="563">
        <f>IF(AB61&gt;'Premissas Gerais'!$E$7,0,IFERROR(VLOOKUP(AB61,CAPEX_Transbordo!$I$50:$J$53,2,FALSE),0))</f>
        <v>0</v>
      </c>
      <c r="AC64" s="563">
        <f>IF(AC61&gt;'Premissas Gerais'!$E$7,0,IFERROR(VLOOKUP(AC61,CAPEX_Transbordo!$I$50:$J$53,2,FALSE),0))</f>
        <v>0</v>
      </c>
      <c r="AD64" s="563">
        <f>IF(AD61&gt;'Premissas Gerais'!$E$7,0,IFERROR(VLOOKUP(AD61,CAPEX_Transbordo!$I$50:$J$53,2,FALSE),0))</f>
        <v>0</v>
      </c>
      <c r="AE64" s="563">
        <f>IF(AE61&gt;'Premissas Gerais'!$E$7,0,IFERROR(VLOOKUP(AE61,CAPEX_Transbordo!$I$50:$J$53,2,FALSE),0))</f>
        <v>0</v>
      </c>
      <c r="AF64" s="563">
        <f>IF(AF61&gt;'Premissas Gerais'!$E$7,0,IFERROR(VLOOKUP(AF61,CAPEX_Transbordo!$I$50:$J$53,2,FALSE),0))</f>
        <v>0</v>
      </c>
      <c r="AG64" s="563">
        <f>IF(AG61&gt;'Premissas Gerais'!$E$7,0,IFERROR(VLOOKUP(AG61,CAPEX_Transbordo!$I$50:$J$53,2,FALSE),0))</f>
        <v>0</v>
      </c>
      <c r="AH64" s="563">
        <f>IF(AH61&gt;'Premissas Gerais'!$E$7,0,IFERROR(VLOOKUP(AH61,CAPEX_Transbordo!$I$50:$J$53,2,FALSE),0))</f>
        <v>0</v>
      </c>
      <c r="AI64" s="563">
        <f>IF(AI61&gt;'Premissas Gerais'!$E$7,0,IFERROR(VLOOKUP(AI61,CAPEX_Transbordo!$I$50:$J$53,2,FALSE),0))</f>
        <v>0</v>
      </c>
      <c r="AJ64" s="563">
        <f>IF(AJ61&gt;'Premissas Gerais'!$E$7,0,IFERROR(VLOOKUP(AJ61,CAPEX_Transbordo!$I$50:$J$53,2,FALSE),0))</f>
        <v>0</v>
      </c>
      <c r="AK64" s="563">
        <f>IF(AK61&gt;'Premissas Gerais'!$E$7,0,IFERROR(VLOOKUP(AK61,CAPEX_Transbordo!$I$50:$J$53,2,FALSE),0))</f>
        <v>0</v>
      </c>
      <c r="AL64" s="563">
        <f>IF(AL61&gt;'Premissas Gerais'!$E$7,0,IFERROR(VLOOKUP(AL61,CAPEX_Transbordo!$I$50:$J$53,2,FALSE),0))</f>
        <v>0</v>
      </c>
      <c r="AM64" s="563">
        <f>IF(AM61&gt;'Premissas Gerais'!$E$7,0,IFERROR(VLOOKUP(AM61,CAPEX_Transbordo!$I$50:$J$53,2,FALSE),0))</f>
        <v>0</v>
      </c>
      <c r="AN64" s="563">
        <f>IF(AN61&gt;'Premissas Gerais'!$E$7,0,IFERROR(VLOOKUP(AN61,CAPEX_Transbordo!$I$50:$J$53,2,FALSE),0))</f>
        <v>0</v>
      </c>
      <c r="AO64" s="16"/>
    </row>
    <row r="65" spans="2:41" x14ac:dyDescent="0.35">
      <c r="B65" s="9"/>
      <c r="C65" s="1985" t="s">
        <v>804</v>
      </c>
      <c r="D65" s="1985"/>
      <c r="E65" s="909">
        <f>SUM(F65:AN65)</f>
        <v>522514.85</v>
      </c>
      <c r="F65" s="996">
        <f>IF(F61&gt;'Premissas Gerais'!$E$7,0,IFERROR(VLOOKUP(F61,CAPEX_Transbordo!$L$50:$M$53,2,FALSE),0))</f>
        <v>0</v>
      </c>
      <c r="G65" s="563">
        <f>IF(G61&gt;'Premissas Gerais'!$E$7,0,IFERROR(VLOOKUP(G61,CAPEX_Transbordo!$L$50:$M$53,2,FALSE),0))</f>
        <v>0</v>
      </c>
      <c r="H65" s="563">
        <f>IF(H61&gt;'Premissas Gerais'!$E$7,0,IFERROR(VLOOKUP(H61,CAPEX_Transbordo!$L$50:$M$53,2,FALSE),0))</f>
        <v>200967.25</v>
      </c>
      <c r="I65" s="563">
        <f>IF(I61&gt;'Premissas Gerais'!$E$7,0,IFERROR(VLOOKUP(I61,CAPEX_Transbordo!$L$50:$M$53,2,FALSE),0))</f>
        <v>0</v>
      </c>
      <c r="J65" s="563">
        <f>IF(J61&gt;'Premissas Gerais'!$E$7,0,IFERROR(VLOOKUP(J61,CAPEX_Transbordo!$L$50:$M$53,2,FALSE),0))</f>
        <v>0</v>
      </c>
      <c r="K65" s="563">
        <f>IF(K61&gt;'Premissas Gerais'!$E$7,0,IFERROR(VLOOKUP(K61,CAPEX_Transbordo!$L$50:$M$53,2,FALSE),0))</f>
        <v>0</v>
      </c>
      <c r="L65" s="563">
        <f>IF(L61&gt;'Premissas Gerais'!$E$7,0,IFERROR(VLOOKUP(L61,CAPEX_Transbordo!$L$50:$M$53,2,FALSE),0))</f>
        <v>0</v>
      </c>
      <c r="M65" s="563">
        <f>IF(M61&gt;'Premissas Gerais'!$E$7,0,IFERROR(VLOOKUP(M61,CAPEX_Transbordo!$L$50:$M$53,2,FALSE),0))</f>
        <v>0</v>
      </c>
      <c r="N65" s="563">
        <f>IF(N61&gt;'Premissas Gerais'!$E$7,0,IFERROR(VLOOKUP(N61,CAPEX_Transbordo!$L$50:$M$53,2,FALSE),0))</f>
        <v>0</v>
      </c>
      <c r="O65" s="563">
        <f>IF(O61&gt;'Premissas Gerais'!$E$7,0,IFERROR(VLOOKUP(O61,CAPEX_Transbordo!$L$50:$M$53,2,FALSE),0))</f>
        <v>0</v>
      </c>
      <c r="P65" s="563">
        <f>IF(P61&gt;'Premissas Gerais'!$E$7,0,IFERROR(VLOOKUP(P61,CAPEX_Transbordo!$L$50:$M$53,2,FALSE),0))</f>
        <v>0</v>
      </c>
      <c r="Q65" s="563">
        <f>IF(Q61&gt;'Premissas Gerais'!$E$7,0,IFERROR(VLOOKUP(Q61,CAPEX_Transbordo!$L$50:$M$53,2,FALSE),0))</f>
        <v>0</v>
      </c>
      <c r="R65" s="563">
        <f>IF(R61&gt;'Premissas Gerais'!$E$7,0,IFERROR(VLOOKUP(R61,CAPEX_Transbordo!$L$50:$M$53,2,FALSE),0))</f>
        <v>0</v>
      </c>
      <c r="S65" s="563">
        <f>IF(S61&gt;'Premissas Gerais'!$E$7,0,IFERROR(VLOOKUP(S61,CAPEX_Transbordo!$L$50:$M$53,2,FALSE),0))</f>
        <v>160773.79999999999</v>
      </c>
      <c r="T65" s="563">
        <f>IF(T61&gt;'Premissas Gerais'!$E$7,0,IFERROR(VLOOKUP(T61,CAPEX_Transbordo!$L$50:$M$53,2,FALSE),0))</f>
        <v>0</v>
      </c>
      <c r="U65" s="563">
        <f>IF(U61&gt;'Premissas Gerais'!$E$7,0,IFERROR(VLOOKUP(U61,CAPEX_Transbordo!$L$50:$M$53,2,FALSE),0))</f>
        <v>0</v>
      </c>
      <c r="V65" s="563">
        <f>IF(V61&gt;'Premissas Gerais'!$E$7,0,IFERROR(VLOOKUP(V61,CAPEX_Transbordo!$L$50:$M$53,2,FALSE),0))</f>
        <v>0</v>
      </c>
      <c r="W65" s="563">
        <f>IF(W61&gt;'Premissas Gerais'!$E$7,0,IFERROR(VLOOKUP(W61,CAPEX_Transbordo!$L$50:$M$53,2,FALSE),0))</f>
        <v>0</v>
      </c>
      <c r="X65" s="563">
        <f>IF(X61&gt;'Premissas Gerais'!$E$7,0,IFERROR(VLOOKUP(X61,CAPEX_Transbordo!$L$50:$M$53,2,FALSE),0))</f>
        <v>0</v>
      </c>
      <c r="Y65" s="563">
        <f>IF(Y61&gt;'Premissas Gerais'!$E$7,0,IFERROR(VLOOKUP(Y61,CAPEX_Transbordo!$L$50:$M$53,2,FALSE),0))</f>
        <v>0</v>
      </c>
      <c r="Z65" s="563">
        <f>IF(Z61&gt;'Premissas Gerais'!$E$7,0,IFERROR(VLOOKUP(Z61,CAPEX_Transbordo!$L$50:$M$53,2,FALSE),0))</f>
        <v>0</v>
      </c>
      <c r="AA65" s="563">
        <f>IF(AA61&gt;'Premissas Gerais'!$E$7,0,IFERROR(VLOOKUP(AA61,CAPEX_Transbordo!$L$50:$M$53,2,FALSE),0))</f>
        <v>0</v>
      </c>
      <c r="AB65" s="563">
        <f>IF(AB61&gt;'Premissas Gerais'!$E$7,0,IFERROR(VLOOKUP(AB61,CAPEX_Transbordo!$L$50:$M$53,2,FALSE),0))</f>
        <v>0</v>
      </c>
      <c r="AC65" s="563">
        <f>IF(AC61&gt;'Premissas Gerais'!$E$7,0,IFERROR(VLOOKUP(AC61,CAPEX_Transbordo!$L$50:$M$53,2,FALSE),0))</f>
        <v>160773.79999999999</v>
      </c>
      <c r="AD65" s="563">
        <f>IF(AD61&gt;'Premissas Gerais'!$E$7,0,IFERROR(VLOOKUP(AD61,CAPEX_Transbordo!$L$50:$M$53,2,FALSE),0))</f>
        <v>0</v>
      </c>
      <c r="AE65" s="563">
        <f>IF(AE61&gt;'Premissas Gerais'!$E$7,0,IFERROR(VLOOKUP(AE61,CAPEX_Transbordo!$L$50:$M$53,2,FALSE),0))</f>
        <v>0</v>
      </c>
      <c r="AF65" s="563">
        <f>IF(AF61&gt;'Premissas Gerais'!$E$7,0,IFERROR(VLOOKUP(AF61,CAPEX_Transbordo!$L$50:$M$53,2,FALSE),0))</f>
        <v>0</v>
      </c>
      <c r="AG65" s="563">
        <f>IF(AG61&gt;'Premissas Gerais'!$E$7,0,IFERROR(VLOOKUP(AG61,CAPEX_Transbordo!$L$50:$M$53,2,FALSE),0))</f>
        <v>0</v>
      </c>
      <c r="AH65" s="563">
        <f>IF(AH61&gt;'Premissas Gerais'!$E$7,0,IFERROR(VLOOKUP(AH61,CAPEX_Transbordo!$L$50:$M$53,2,FALSE),0))</f>
        <v>0</v>
      </c>
      <c r="AI65" s="563">
        <f>IF(AI61&gt;'Premissas Gerais'!$E$7,0,IFERROR(VLOOKUP(AI61,CAPEX_Transbordo!$L$50:$M$53,2,FALSE),0))</f>
        <v>0</v>
      </c>
      <c r="AJ65" s="563">
        <f>IF(AJ61&gt;'Premissas Gerais'!$E$7,0,IFERROR(VLOOKUP(AJ61,CAPEX_Transbordo!$L$50:$M$53,2,FALSE),0))</f>
        <v>0</v>
      </c>
      <c r="AK65" s="563">
        <f>IF(AK61&gt;'Premissas Gerais'!$E$7,0,IFERROR(VLOOKUP(AK61,CAPEX_Transbordo!$L$50:$M$53,2,FALSE),0))</f>
        <v>0</v>
      </c>
      <c r="AL65" s="563">
        <f>IF(AL61&gt;'Premissas Gerais'!$E$7,0,IFERROR(VLOOKUP(AL61,CAPEX_Transbordo!$L$50:$M$53,2,FALSE),0))</f>
        <v>0</v>
      </c>
      <c r="AM65" s="563">
        <f>IF(AM61&gt;'Premissas Gerais'!$E$7,0,IFERROR(VLOOKUP(AM61,CAPEX_Transbordo!$L$50:$M$53,2,FALSE),0))</f>
        <v>0</v>
      </c>
      <c r="AN65" s="563">
        <f>IF(AN61&gt;'Premissas Gerais'!$E$7,0,IFERROR(VLOOKUP(AN61,CAPEX_Transbordo!$L$50:$M$53,2,FALSE),0))</f>
        <v>0</v>
      </c>
      <c r="AO65" s="16"/>
    </row>
    <row r="66" spans="2:41" x14ac:dyDescent="0.35">
      <c r="B66" s="9"/>
      <c r="C66" s="230" t="s">
        <v>200</v>
      </c>
      <c r="D66" s="231"/>
      <c r="E66" s="487">
        <f t="shared" ref="E66:AN66" si="2">SUM(E62:E65)</f>
        <v>30562130.839999996</v>
      </c>
      <c r="F66" s="997">
        <f t="shared" si="2"/>
        <v>20962235.109999996</v>
      </c>
      <c r="G66" s="561">
        <f t="shared" si="2"/>
        <v>0</v>
      </c>
      <c r="H66" s="561">
        <f t="shared" si="2"/>
        <v>200967.25</v>
      </c>
      <c r="I66" s="561">
        <f t="shared" si="2"/>
        <v>0</v>
      </c>
      <c r="J66" s="561">
        <f t="shared" si="2"/>
        <v>0</v>
      </c>
      <c r="K66" s="561">
        <f t="shared" si="2"/>
        <v>0</v>
      </c>
      <c r="L66" s="561">
        <f t="shared" si="2"/>
        <v>0</v>
      </c>
      <c r="M66" s="561">
        <f t="shared" si="2"/>
        <v>0</v>
      </c>
      <c r="N66" s="561">
        <f t="shared" si="2"/>
        <v>0</v>
      </c>
      <c r="O66" s="561">
        <f t="shared" si="2"/>
        <v>347975.44</v>
      </c>
      <c r="P66" s="561">
        <f t="shared" si="2"/>
        <v>4190715</v>
      </c>
      <c r="Q66" s="561">
        <f t="shared" si="2"/>
        <v>0</v>
      </c>
      <c r="R66" s="561">
        <f t="shared" si="2"/>
        <v>0</v>
      </c>
      <c r="S66" s="561">
        <f t="shared" si="2"/>
        <v>160773.79999999999</v>
      </c>
      <c r="T66" s="561">
        <f t="shared" si="2"/>
        <v>0</v>
      </c>
      <c r="U66" s="561">
        <f t="shared" si="2"/>
        <v>0</v>
      </c>
      <c r="V66" s="561">
        <f t="shared" si="2"/>
        <v>0</v>
      </c>
      <c r="W66" s="561">
        <f t="shared" si="2"/>
        <v>0</v>
      </c>
      <c r="X66" s="561">
        <f t="shared" si="2"/>
        <v>0</v>
      </c>
      <c r="Y66" s="561">
        <f t="shared" si="2"/>
        <v>347975.44</v>
      </c>
      <c r="Z66" s="561">
        <f t="shared" si="2"/>
        <v>4190715</v>
      </c>
      <c r="AA66" s="561">
        <f t="shared" si="2"/>
        <v>0</v>
      </c>
      <c r="AB66" s="561">
        <f t="shared" si="2"/>
        <v>0</v>
      </c>
      <c r="AC66" s="561">
        <f t="shared" si="2"/>
        <v>160773.79999999999</v>
      </c>
      <c r="AD66" s="561">
        <f t="shared" si="2"/>
        <v>0</v>
      </c>
      <c r="AE66" s="561">
        <f t="shared" si="2"/>
        <v>0</v>
      </c>
      <c r="AF66" s="561">
        <f t="shared" si="2"/>
        <v>0</v>
      </c>
      <c r="AG66" s="561">
        <f t="shared" si="2"/>
        <v>0</v>
      </c>
      <c r="AH66" s="561">
        <f t="shared" si="2"/>
        <v>0</v>
      </c>
      <c r="AI66" s="561">
        <f t="shared" si="2"/>
        <v>0</v>
      </c>
      <c r="AJ66" s="561">
        <f t="shared" si="2"/>
        <v>0</v>
      </c>
      <c r="AK66" s="561">
        <f t="shared" si="2"/>
        <v>0</v>
      </c>
      <c r="AL66" s="561">
        <f t="shared" si="2"/>
        <v>0</v>
      </c>
      <c r="AM66" s="561">
        <f t="shared" si="2"/>
        <v>0</v>
      </c>
      <c r="AN66" s="561">
        <f t="shared" si="2"/>
        <v>0</v>
      </c>
      <c r="AO66" s="16"/>
    </row>
    <row r="67" spans="2:41" ht="15" thickBot="1" x14ac:dyDescent="0.4">
      <c r="B67" s="38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  <c r="AD67" s="59"/>
      <c r="AE67" s="59"/>
      <c r="AF67" s="59"/>
      <c r="AG67" s="59"/>
      <c r="AH67" s="59"/>
      <c r="AI67" s="59"/>
      <c r="AJ67" s="59"/>
      <c r="AK67" s="59"/>
      <c r="AL67" s="59"/>
      <c r="AM67" s="59"/>
      <c r="AN67" s="59"/>
      <c r="AO67" s="69"/>
    </row>
    <row r="69" spans="2:41" x14ac:dyDescent="0.35">
      <c r="C69" s="823" t="s">
        <v>805</v>
      </c>
      <c r="D69" s="112"/>
      <c r="E69" s="112"/>
      <c r="F69" s="112"/>
      <c r="G69" s="112"/>
      <c r="H69" s="112"/>
      <c r="I69" s="112"/>
      <c r="J69" s="112"/>
      <c r="K69" s="112"/>
      <c r="L69" s="112"/>
      <c r="M69" s="112"/>
      <c r="N69" s="112"/>
      <c r="O69" s="112"/>
      <c r="P69" s="112"/>
      <c r="Q69" s="112"/>
      <c r="R69" s="112"/>
      <c r="S69" s="112"/>
      <c r="T69" s="112"/>
      <c r="U69" s="112"/>
      <c r="V69" s="112"/>
      <c r="W69" s="112"/>
      <c r="X69" s="112"/>
      <c r="Y69" s="112"/>
      <c r="Z69" s="112"/>
      <c r="AA69" s="112"/>
      <c r="AB69" s="112"/>
      <c r="AC69" s="112"/>
      <c r="AD69" s="112"/>
      <c r="AE69" s="112"/>
      <c r="AF69" s="112"/>
      <c r="AG69" s="112"/>
      <c r="AH69" s="112"/>
      <c r="AI69" s="112"/>
      <c r="AJ69" s="112"/>
      <c r="AK69" s="112"/>
      <c r="AL69" s="112"/>
      <c r="AM69" s="112"/>
      <c r="AN69" s="824"/>
    </row>
    <row r="70" spans="2:41" x14ac:dyDescent="0.35">
      <c r="C70" s="803" t="s">
        <v>717</v>
      </c>
      <c r="D70" s="803" t="s">
        <v>68</v>
      </c>
      <c r="E70" s="229" t="s">
        <v>455</v>
      </c>
      <c r="F70" s="793">
        <v>1</v>
      </c>
      <c r="G70" s="793">
        <f>F70+1</f>
        <v>2</v>
      </c>
      <c r="H70" s="793">
        <f t="shared" ref="H70" si="3">G70+1</f>
        <v>3</v>
      </c>
      <c r="I70" s="793">
        <f t="shared" ref="I70" si="4">H70+1</f>
        <v>4</v>
      </c>
      <c r="J70" s="793">
        <f t="shared" ref="J70" si="5">I70+1</f>
        <v>5</v>
      </c>
      <c r="K70" s="793">
        <f t="shared" ref="K70" si="6">J70+1</f>
        <v>6</v>
      </c>
      <c r="L70" s="793">
        <f t="shared" ref="L70" si="7">K70+1</f>
        <v>7</v>
      </c>
      <c r="M70" s="793">
        <f t="shared" ref="M70" si="8">L70+1</f>
        <v>8</v>
      </c>
      <c r="N70" s="793">
        <f t="shared" ref="N70" si="9">M70+1</f>
        <v>9</v>
      </c>
      <c r="O70" s="793">
        <f t="shared" ref="O70" si="10">N70+1</f>
        <v>10</v>
      </c>
      <c r="P70" s="793">
        <f t="shared" ref="P70" si="11">O70+1</f>
        <v>11</v>
      </c>
      <c r="Q70" s="793">
        <f t="shared" ref="Q70" si="12">P70+1</f>
        <v>12</v>
      </c>
      <c r="R70" s="793">
        <f t="shared" ref="R70" si="13">Q70+1</f>
        <v>13</v>
      </c>
      <c r="S70" s="793">
        <f t="shared" ref="S70" si="14">R70+1</f>
        <v>14</v>
      </c>
      <c r="T70" s="793">
        <f t="shared" ref="T70" si="15">S70+1</f>
        <v>15</v>
      </c>
      <c r="U70" s="793">
        <f t="shared" ref="U70" si="16">T70+1</f>
        <v>16</v>
      </c>
      <c r="V70" s="793">
        <f t="shared" ref="V70" si="17">U70+1</f>
        <v>17</v>
      </c>
      <c r="W70" s="793">
        <f t="shared" ref="W70" si="18">V70+1</f>
        <v>18</v>
      </c>
      <c r="X70" s="793">
        <f t="shared" ref="X70" si="19">W70+1</f>
        <v>19</v>
      </c>
      <c r="Y70" s="793">
        <f t="shared" ref="Y70" si="20">X70+1</f>
        <v>20</v>
      </c>
      <c r="Z70" s="793">
        <f t="shared" ref="Z70" si="21">Y70+1</f>
        <v>21</v>
      </c>
      <c r="AA70" s="793">
        <f t="shared" ref="AA70" si="22">Z70+1</f>
        <v>22</v>
      </c>
      <c r="AB70" s="793">
        <f t="shared" ref="AB70" si="23">AA70+1</f>
        <v>23</v>
      </c>
      <c r="AC70" s="793">
        <f t="shared" ref="AC70" si="24">AB70+1</f>
        <v>24</v>
      </c>
      <c r="AD70" s="793">
        <f t="shared" ref="AD70" si="25">AC70+1</f>
        <v>25</v>
      </c>
      <c r="AE70" s="793">
        <f t="shared" ref="AE70" si="26">AD70+1</f>
        <v>26</v>
      </c>
      <c r="AF70" s="793">
        <f t="shared" ref="AF70" si="27">AE70+1</f>
        <v>27</v>
      </c>
      <c r="AG70" s="793">
        <f t="shared" ref="AG70" si="28">AF70+1</f>
        <v>28</v>
      </c>
      <c r="AH70" s="793">
        <f t="shared" ref="AH70" si="29">AG70+1</f>
        <v>29</v>
      </c>
      <c r="AI70" s="793">
        <f t="shared" ref="AI70" si="30">AH70+1</f>
        <v>30</v>
      </c>
      <c r="AJ70" s="793">
        <f t="shared" ref="AJ70" si="31">AI70+1</f>
        <v>31</v>
      </c>
      <c r="AK70" s="793">
        <f t="shared" ref="AK70" si="32">AJ70+1</f>
        <v>32</v>
      </c>
      <c r="AL70" s="793">
        <f t="shared" ref="AL70" si="33">AK70+1</f>
        <v>33</v>
      </c>
      <c r="AM70" s="793">
        <f t="shared" ref="AM70" si="34">AL70+1</f>
        <v>34</v>
      </c>
      <c r="AN70" s="793">
        <f t="shared" ref="AN70" si="35">AM70+1</f>
        <v>35</v>
      </c>
    </row>
    <row r="71" spans="2:41" x14ac:dyDescent="0.35">
      <c r="C71" s="1983" t="s">
        <v>1</v>
      </c>
      <c r="D71" s="787" t="s">
        <v>1</v>
      </c>
      <c r="E71" s="1197">
        <f>SUM(F71:AN71)</f>
        <v>88224.861490845055</v>
      </c>
      <c r="F71" s="810">
        <f>(F137/SUM(F137:F138))*$F$8</f>
        <v>71333.167409452479</v>
      </c>
      <c r="G71" s="810">
        <v>0</v>
      </c>
      <c r="H71" s="810">
        <v>0</v>
      </c>
      <c r="I71" s="810">
        <v>0</v>
      </c>
      <c r="J71" s="810">
        <v>0</v>
      </c>
      <c r="K71" s="810">
        <v>0</v>
      </c>
      <c r="L71" s="810">
        <v>0</v>
      </c>
      <c r="M71" s="810">
        <v>0</v>
      </c>
      <c r="N71" s="810">
        <v>0</v>
      </c>
      <c r="O71" s="810">
        <f>F71*$J$14</f>
        <v>8445.8470406962842</v>
      </c>
      <c r="P71" s="810">
        <v>0</v>
      </c>
      <c r="Q71" s="810">
        <v>0</v>
      </c>
      <c r="R71" s="810">
        <v>0</v>
      </c>
      <c r="S71" s="810">
        <v>0</v>
      </c>
      <c r="T71" s="810">
        <v>0</v>
      </c>
      <c r="U71" s="810">
        <v>0</v>
      </c>
      <c r="V71" s="810">
        <v>0</v>
      </c>
      <c r="W71" s="810">
        <v>0</v>
      </c>
      <c r="X71" s="810">
        <v>0</v>
      </c>
      <c r="Y71" s="810">
        <f>F71*$J$14</f>
        <v>8445.8470406962842</v>
      </c>
      <c r="Z71" s="810">
        <v>0</v>
      </c>
      <c r="AA71" s="810">
        <v>0</v>
      </c>
      <c r="AB71" s="810">
        <v>0</v>
      </c>
      <c r="AC71" s="810">
        <v>0</v>
      </c>
      <c r="AD71" s="810">
        <v>0</v>
      </c>
      <c r="AE71" s="810">
        <v>0</v>
      </c>
      <c r="AF71" s="810">
        <v>0</v>
      </c>
      <c r="AG71" s="810">
        <v>0</v>
      </c>
      <c r="AH71" s="810">
        <v>0</v>
      </c>
      <c r="AI71" s="810">
        <v>0</v>
      </c>
      <c r="AJ71" s="810">
        <v>0</v>
      </c>
      <c r="AK71" s="810">
        <v>0</v>
      </c>
      <c r="AL71" s="810">
        <v>0</v>
      </c>
      <c r="AM71" s="810">
        <v>0</v>
      </c>
      <c r="AN71" s="810">
        <v>0</v>
      </c>
    </row>
    <row r="72" spans="2:41" x14ac:dyDescent="0.35">
      <c r="C72" s="1984"/>
      <c r="D72" s="1665" t="s">
        <v>8</v>
      </c>
      <c r="E72" s="1664">
        <f t="shared" ref="E72:E74" si="36">SUM(F72:AN72)</f>
        <v>638761.66450915486</v>
      </c>
      <c r="F72" s="815">
        <f>(F138/SUM(F137:F138))*$F$8</f>
        <v>516463.18259054748</v>
      </c>
      <c r="G72" s="815">
        <v>0</v>
      </c>
      <c r="H72" s="815">
        <v>0</v>
      </c>
      <c r="I72" s="815">
        <v>0</v>
      </c>
      <c r="J72" s="815">
        <v>0</v>
      </c>
      <c r="K72" s="815">
        <v>0</v>
      </c>
      <c r="L72" s="815">
        <v>0</v>
      </c>
      <c r="M72" s="815">
        <v>0</v>
      </c>
      <c r="N72" s="815">
        <v>0</v>
      </c>
      <c r="O72" s="815">
        <f t="shared" ref="O72:O79" si="37">F72*$J$14</f>
        <v>61149.240959303715</v>
      </c>
      <c r="P72" s="815">
        <v>0</v>
      </c>
      <c r="Q72" s="815">
        <v>0</v>
      </c>
      <c r="R72" s="815">
        <v>0</v>
      </c>
      <c r="S72" s="815">
        <v>0</v>
      </c>
      <c r="T72" s="815">
        <v>0</v>
      </c>
      <c r="U72" s="815">
        <v>0</v>
      </c>
      <c r="V72" s="815">
        <v>0</v>
      </c>
      <c r="W72" s="815">
        <v>0</v>
      </c>
      <c r="X72" s="815">
        <v>0</v>
      </c>
      <c r="Y72" s="815">
        <f t="shared" ref="Y72:Y79" si="38">F72*$J$14</f>
        <v>61149.240959303715</v>
      </c>
      <c r="Z72" s="815">
        <v>0</v>
      </c>
      <c r="AA72" s="815">
        <v>0</v>
      </c>
      <c r="AB72" s="815">
        <v>0</v>
      </c>
      <c r="AC72" s="815">
        <v>0</v>
      </c>
      <c r="AD72" s="815">
        <v>0</v>
      </c>
      <c r="AE72" s="815">
        <v>0</v>
      </c>
      <c r="AF72" s="815">
        <v>0</v>
      </c>
      <c r="AG72" s="815">
        <v>0</v>
      </c>
      <c r="AH72" s="815">
        <v>0</v>
      </c>
      <c r="AI72" s="815">
        <v>0</v>
      </c>
      <c r="AJ72" s="815">
        <v>0</v>
      </c>
      <c r="AK72" s="815">
        <v>0</v>
      </c>
      <c r="AL72" s="815">
        <v>0</v>
      </c>
      <c r="AM72" s="815">
        <v>0</v>
      </c>
      <c r="AN72" s="815">
        <v>0</v>
      </c>
    </row>
    <row r="73" spans="2:41" x14ac:dyDescent="0.35">
      <c r="C73" s="805" t="s">
        <v>2</v>
      </c>
      <c r="D73" s="1774" t="s">
        <v>2</v>
      </c>
      <c r="E73" s="1773">
        <f t="shared" si="36"/>
        <v>726986.52599999995</v>
      </c>
      <c r="F73" s="1542">
        <f>F8</f>
        <v>587796.35</v>
      </c>
      <c r="G73" s="1542">
        <v>0</v>
      </c>
      <c r="H73" s="1542">
        <v>0</v>
      </c>
      <c r="I73" s="1542">
        <v>0</v>
      </c>
      <c r="J73" s="1542">
        <v>0</v>
      </c>
      <c r="K73" s="1542">
        <v>0</v>
      </c>
      <c r="L73" s="1542">
        <v>0</v>
      </c>
      <c r="M73" s="1542">
        <v>0</v>
      </c>
      <c r="N73" s="1542">
        <v>0</v>
      </c>
      <c r="O73" s="1542">
        <f t="shared" si="37"/>
        <v>69595.088000000003</v>
      </c>
      <c r="P73" s="1542">
        <v>0</v>
      </c>
      <c r="Q73" s="1542">
        <v>0</v>
      </c>
      <c r="R73" s="1542">
        <v>0</v>
      </c>
      <c r="S73" s="1542">
        <v>0</v>
      </c>
      <c r="T73" s="1542">
        <v>0</v>
      </c>
      <c r="U73" s="1542">
        <v>0</v>
      </c>
      <c r="V73" s="1542">
        <v>0</v>
      </c>
      <c r="W73" s="1542">
        <v>0</v>
      </c>
      <c r="X73" s="1542">
        <v>0</v>
      </c>
      <c r="Y73" s="1542">
        <f t="shared" si="38"/>
        <v>69595.088000000003</v>
      </c>
      <c r="Z73" s="1542">
        <v>0</v>
      </c>
      <c r="AA73" s="1542">
        <v>0</v>
      </c>
      <c r="AB73" s="1542">
        <v>0</v>
      </c>
      <c r="AC73" s="1542">
        <v>0</v>
      </c>
      <c r="AD73" s="1542">
        <v>0</v>
      </c>
      <c r="AE73" s="1542">
        <v>0</v>
      </c>
      <c r="AF73" s="1542">
        <v>0</v>
      </c>
      <c r="AG73" s="1542">
        <v>0</v>
      </c>
      <c r="AH73" s="1542">
        <v>0</v>
      </c>
      <c r="AI73" s="1542">
        <v>0</v>
      </c>
      <c r="AJ73" s="1542">
        <v>0</v>
      </c>
      <c r="AK73" s="1542">
        <v>0</v>
      </c>
      <c r="AL73" s="1542">
        <v>0</v>
      </c>
      <c r="AM73" s="1542">
        <v>0</v>
      </c>
      <c r="AN73" s="1542">
        <v>0</v>
      </c>
    </row>
    <row r="74" spans="2:41" x14ac:dyDescent="0.35">
      <c r="C74" s="1979" t="s">
        <v>4</v>
      </c>
      <c r="D74" s="787" t="s">
        <v>3</v>
      </c>
      <c r="E74" s="1197">
        <f t="shared" si="36"/>
        <v>95857.492234437916</v>
      </c>
      <c r="F74" s="815">
        <f>(F140/SUM(F140:F142))*F8</f>
        <v>77504.440647027819</v>
      </c>
      <c r="G74" s="815">
        <v>0</v>
      </c>
      <c r="H74" s="815">
        <v>0</v>
      </c>
      <c r="I74" s="815">
        <v>0</v>
      </c>
      <c r="J74" s="815">
        <v>0</v>
      </c>
      <c r="K74" s="815">
        <v>0</v>
      </c>
      <c r="L74" s="815">
        <v>0</v>
      </c>
      <c r="M74" s="815">
        <v>0</v>
      </c>
      <c r="N74" s="815">
        <v>0</v>
      </c>
      <c r="O74" s="815">
        <f t="shared" si="37"/>
        <v>9176.5257937050446</v>
      </c>
      <c r="P74" s="815">
        <v>0</v>
      </c>
      <c r="Q74" s="815">
        <v>0</v>
      </c>
      <c r="R74" s="815">
        <v>0</v>
      </c>
      <c r="S74" s="815">
        <v>0</v>
      </c>
      <c r="T74" s="815">
        <v>0</v>
      </c>
      <c r="U74" s="815">
        <v>0</v>
      </c>
      <c r="V74" s="815">
        <v>0</v>
      </c>
      <c r="W74" s="815">
        <v>0</v>
      </c>
      <c r="X74" s="815">
        <v>0</v>
      </c>
      <c r="Y74" s="815">
        <f t="shared" si="38"/>
        <v>9176.5257937050446</v>
      </c>
      <c r="Z74" s="815">
        <v>0</v>
      </c>
      <c r="AA74" s="815">
        <v>0</v>
      </c>
      <c r="AB74" s="815">
        <v>0</v>
      </c>
      <c r="AC74" s="815">
        <v>0</v>
      </c>
      <c r="AD74" s="815">
        <v>0</v>
      </c>
      <c r="AE74" s="815">
        <v>0</v>
      </c>
      <c r="AF74" s="815">
        <v>0</v>
      </c>
      <c r="AG74" s="815">
        <v>0</v>
      </c>
      <c r="AH74" s="815">
        <v>0</v>
      </c>
      <c r="AI74" s="815">
        <v>0</v>
      </c>
      <c r="AJ74" s="815">
        <v>0</v>
      </c>
      <c r="AK74" s="815">
        <v>0</v>
      </c>
      <c r="AL74" s="815">
        <v>0</v>
      </c>
      <c r="AM74" s="815">
        <v>0</v>
      </c>
      <c r="AN74" s="815">
        <v>0</v>
      </c>
    </row>
    <row r="75" spans="2:41" x14ac:dyDescent="0.35">
      <c r="C75" s="1981"/>
      <c r="D75" s="788" t="s">
        <v>4</v>
      </c>
      <c r="E75" s="1198">
        <f>SUM(F75:AN75)</f>
        <v>255772.76552538422</v>
      </c>
      <c r="F75" s="812">
        <f>(F141/SUM(F140:F142))*F8</f>
        <v>206802.04189262603</v>
      </c>
      <c r="G75" s="812">
        <v>0</v>
      </c>
      <c r="H75" s="812">
        <v>0</v>
      </c>
      <c r="I75" s="812">
        <v>0</v>
      </c>
      <c r="J75" s="812">
        <v>0</v>
      </c>
      <c r="K75" s="812">
        <v>0</v>
      </c>
      <c r="L75" s="812">
        <v>0</v>
      </c>
      <c r="M75" s="812">
        <v>0</v>
      </c>
      <c r="N75" s="812">
        <v>0</v>
      </c>
      <c r="O75" s="812">
        <f t="shared" si="37"/>
        <v>24485.361816379085</v>
      </c>
      <c r="P75" s="812">
        <v>0</v>
      </c>
      <c r="Q75" s="812">
        <v>0</v>
      </c>
      <c r="R75" s="812">
        <v>0</v>
      </c>
      <c r="S75" s="812">
        <v>0</v>
      </c>
      <c r="T75" s="812">
        <v>0</v>
      </c>
      <c r="U75" s="812">
        <v>0</v>
      </c>
      <c r="V75" s="812">
        <v>0</v>
      </c>
      <c r="W75" s="812">
        <v>0</v>
      </c>
      <c r="X75" s="812">
        <v>0</v>
      </c>
      <c r="Y75" s="812">
        <f t="shared" si="38"/>
        <v>24485.361816379085</v>
      </c>
      <c r="Z75" s="812">
        <v>0</v>
      </c>
      <c r="AA75" s="812">
        <v>0</v>
      </c>
      <c r="AB75" s="812">
        <v>0</v>
      </c>
      <c r="AC75" s="812">
        <v>0</v>
      </c>
      <c r="AD75" s="812">
        <v>0</v>
      </c>
      <c r="AE75" s="812">
        <v>0</v>
      </c>
      <c r="AF75" s="812">
        <v>0</v>
      </c>
      <c r="AG75" s="812">
        <v>0</v>
      </c>
      <c r="AH75" s="812">
        <v>0</v>
      </c>
      <c r="AI75" s="812">
        <v>0</v>
      </c>
      <c r="AJ75" s="812">
        <v>0</v>
      </c>
      <c r="AK75" s="812">
        <v>0</v>
      </c>
      <c r="AL75" s="812">
        <v>0</v>
      </c>
      <c r="AM75" s="812">
        <v>0</v>
      </c>
      <c r="AN75" s="812">
        <v>0</v>
      </c>
    </row>
    <row r="76" spans="2:41" x14ac:dyDescent="0.35">
      <c r="C76" s="1981"/>
      <c r="D76" s="806" t="s">
        <v>9</v>
      </c>
      <c r="E76" s="1199">
        <f>SUM(F76:AN76)</f>
        <v>375356.26824017777</v>
      </c>
      <c r="F76" s="1654">
        <f>(F142/SUM(F140:F142))*F8</f>
        <v>303489.86746034608</v>
      </c>
      <c r="G76" s="1654">
        <v>0</v>
      </c>
      <c r="H76" s="1654">
        <v>0</v>
      </c>
      <c r="I76" s="1654">
        <v>0</v>
      </c>
      <c r="J76" s="1654">
        <v>0</v>
      </c>
      <c r="K76" s="1654">
        <v>0</v>
      </c>
      <c r="L76" s="1654">
        <v>0</v>
      </c>
      <c r="M76" s="1654">
        <v>0</v>
      </c>
      <c r="N76" s="1654">
        <v>0</v>
      </c>
      <c r="O76" s="1654">
        <f t="shared" si="37"/>
        <v>35933.200389915866</v>
      </c>
      <c r="P76" s="1654">
        <v>0</v>
      </c>
      <c r="Q76" s="1654">
        <v>0</v>
      </c>
      <c r="R76" s="1654">
        <v>0</v>
      </c>
      <c r="S76" s="1654">
        <v>0</v>
      </c>
      <c r="T76" s="1654">
        <v>0</v>
      </c>
      <c r="U76" s="1654">
        <v>0</v>
      </c>
      <c r="V76" s="1654">
        <v>0</v>
      </c>
      <c r="W76" s="1654">
        <v>0</v>
      </c>
      <c r="X76" s="1654">
        <v>0</v>
      </c>
      <c r="Y76" s="1654">
        <f t="shared" si="38"/>
        <v>35933.200389915866</v>
      </c>
      <c r="Z76" s="1654">
        <v>0</v>
      </c>
      <c r="AA76" s="1654">
        <v>0</v>
      </c>
      <c r="AB76" s="1654">
        <v>0</v>
      </c>
      <c r="AC76" s="1654">
        <v>0</v>
      </c>
      <c r="AD76" s="1654">
        <v>0</v>
      </c>
      <c r="AE76" s="1654">
        <v>0</v>
      </c>
      <c r="AF76" s="1654">
        <v>0</v>
      </c>
      <c r="AG76" s="1654">
        <v>0</v>
      </c>
      <c r="AH76" s="1654">
        <v>0</v>
      </c>
      <c r="AI76" s="1654">
        <v>0</v>
      </c>
      <c r="AJ76" s="1654">
        <v>0</v>
      </c>
      <c r="AK76" s="1654">
        <v>0</v>
      </c>
      <c r="AL76" s="1654">
        <v>0</v>
      </c>
      <c r="AM76" s="1654">
        <v>0</v>
      </c>
      <c r="AN76" s="1654">
        <v>0</v>
      </c>
    </row>
    <row r="77" spans="2:41" x14ac:dyDescent="0.35">
      <c r="C77" s="786" t="s">
        <v>7</v>
      </c>
      <c r="D77" s="1774" t="s">
        <v>7</v>
      </c>
      <c r="E77" s="1773">
        <f>SUM(F77:AN77)</f>
        <v>726986.52599999995</v>
      </c>
      <c r="F77" s="1542">
        <f>F8</f>
        <v>587796.35</v>
      </c>
      <c r="G77" s="1542">
        <v>0</v>
      </c>
      <c r="H77" s="1542">
        <v>0</v>
      </c>
      <c r="I77" s="1542">
        <v>0</v>
      </c>
      <c r="J77" s="1542">
        <v>0</v>
      </c>
      <c r="K77" s="1542">
        <v>0</v>
      </c>
      <c r="L77" s="1542">
        <v>0</v>
      </c>
      <c r="M77" s="1542">
        <v>0</v>
      </c>
      <c r="N77" s="1542">
        <v>0</v>
      </c>
      <c r="O77" s="1542">
        <f t="shared" si="37"/>
        <v>69595.088000000003</v>
      </c>
      <c r="P77" s="1542">
        <v>0</v>
      </c>
      <c r="Q77" s="1542">
        <v>0</v>
      </c>
      <c r="R77" s="1542">
        <v>0</v>
      </c>
      <c r="S77" s="1542">
        <v>0</v>
      </c>
      <c r="T77" s="1542">
        <v>0</v>
      </c>
      <c r="U77" s="1542">
        <v>0</v>
      </c>
      <c r="V77" s="1542">
        <v>0</v>
      </c>
      <c r="W77" s="1542">
        <v>0</v>
      </c>
      <c r="X77" s="1542">
        <v>0</v>
      </c>
      <c r="Y77" s="1542">
        <f t="shared" si="38"/>
        <v>69595.088000000003</v>
      </c>
      <c r="Z77" s="1542">
        <v>0</v>
      </c>
      <c r="AA77" s="1542">
        <v>0</v>
      </c>
      <c r="AB77" s="1542">
        <v>0</v>
      </c>
      <c r="AC77" s="1542">
        <v>0</v>
      </c>
      <c r="AD77" s="1542">
        <v>0</v>
      </c>
      <c r="AE77" s="1542">
        <v>0</v>
      </c>
      <c r="AF77" s="1542">
        <v>0</v>
      </c>
      <c r="AG77" s="1542">
        <v>0</v>
      </c>
      <c r="AH77" s="1542">
        <v>0</v>
      </c>
      <c r="AI77" s="1542">
        <v>0</v>
      </c>
      <c r="AJ77" s="1542">
        <v>0</v>
      </c>
      <c r="AK77" s="1542">
        <v>0</v>
      </c>
      <c r="AL77" s="1542">
        <v>0</v>
      </c>
      <c r="AM77" s="1542">
        <v>0</v>
      </c>
      <c r="AN77" s="1542">
        <v>0</v>
      </c>
    </row>
    <row r="78" spans="2:41" x14ac:dyDescent="0.35">
      <c r="C78" s="1979" t="s">
        <v>6</v>
      </c>
      <c r="D78" s="1778" t="s">
        <v>5</v>
      </c>
      <c r="E78" s="1769">
        <f>SUM(F78:AN78)</f>
        <v>60231.736545537868</v>
      </c>
      <c r="F78" s="1779">
        <f>(F144/SUM(F144:F145))*F8</f>
        <v>48699.657599470789</v>
      </c>
      <c r="G78" s="1779">
        <v>0</v>
      </c>
      <c r="H78" s="1779">
        <v>0</v>
      </c>
      <c r="I78" s="1779">
        <v>0</v>
      </c>
      <c r="J78" s="1779">
        <v>0</v>
      </c>
      <c r="K78" s="1779">
        <v>0</v>
      </c>
      <c r="L78" s="1779">
        <v>0</v>
      </c>
      <c r="M78" s="1779">
        <v>0</v>
      </c>
      <c r="N78" s="1779">
        <v>0</v>
      </c>
      <c r="O78" s="1779">
        <f t="shared" si="37"/>
        <v>5766.0394730335402</v>
      </c>
      <c r="P78" s="1779">
        <v>0</v>
      </c>
      <c r="Q78" s="1779">
        <v>0</v>
      </c>
      <c r="R78" s="1779">
        <v>0</v>
      </c>
      <c r="S78" s="1779">
        <v>0</v>
      </c>
      <c r="T78" s="1779">
        <v>0</v>
      </c>
      <c r="U78" s="1779">
        <v>0</v>
      </c>
      <c r="V78" s="1779">
        <v>0</v>
      </c>
      <c r="W78" s="1779">
        <v>0</v>
      </c>
      <c r="X78" s="1779">
        <v>0</v>
      </c>
      <c r="Y78" s="1779">
        <f t="shared" si="38"/>
        <v>5766.0394730335402</v>
      </c>
      <c r="Z78" s="1779">
        <v>0</v>
      </c>
      <c r="AA78" s="1779">
        <v>0</v>
      </c>
      <c r="AB78" s="1779">
        <v>0</v>
      </c>
      <c r="AC78" s="1779">
        <v>0</v>
      </c>
      <c r="AD78" s="1779">
        <v>0</v>
      </c>
      <c r="AE78" s="1779">
        <v>0</v>
      </c>
      <c r="AF78" s="1779">
        <v>0</v>
      </c>
      <c r="AG78" s="1779">
        <v>0</v>
      </c>
      <c r="AH78" s="1779">
        <v>0</v>
      </c>
      <c r="AI78" s="1779">
        <v>0</v>
      </c>
      <c r="AJ78" s="1779">
        <v>0</v>
      </c>
      <c r="AK78" s="1779">
        <v>0</v>
      </c>
      <c r="AL78" s="1779">
        <v>0</v>
      </c>
      <c r="AM78" s="1779">
        <v>0</v>
      </c>
      <c r="AN78" s="1779">
        <v>0</v>
      </c>
    </row>
    <row r="79" spans="2:41" x14ac:dyDescent="0.35">
      <c r="C79" s="1980"/>
      <c r="D79" s="1665" t="s">
        <v>6</v>
      </c>
      <c r="E79" s="1664">
        <f>SUM(F79:AN79)</f>
        <v>666754.78945446212</v>
      </c>
      <c r="F79" s="815">
        <f>(F145/SUM(F144:F145))*F8</f>
        <v>539096.69240052917</v>
      </c>
      <c r="G79" s="815">
        <v>0</v>
      </c>
      <c r="H79" s="815">
        <v>0</v>
      </c>
      <c r="I79" s="815">
        <v>0</v>
      </c>
      <c r="J79" s="815">
        <v>0</v>
      </c>
      <c r="K79" s="815">
        <v>0</v>
      </c>
      <c r="L79" s="815">
        <v>0</v>
      </c>
      <c r="M79" s="815">
        <v>0</v>
      </c>
      <c r="N79" s="815">
        <v>0</v>
      </c>
      <c r="O79" s="815">
        <f t="shared" si="37"/>
        <v>63829.048526966457</v>
      </c>
      <c r="P79" s="815">
        <v>0</v>
      </c>
      <c r="Q79" s="815">
        <v>0</v>
      </c>
      <c r="R79" s="815">
        <v>0</v>
      </c>
      <c r="S79" s="815">
        <v>0</v>
      </c>
      <c r="T79" s="815">
        <v>0</v>
      </c>
      <c r="U79" s="815">
        <v>0</v>
      </c>
      <c r="V79" s="815">
        <v>0</v>
      </c>
      <c r="W79" s="815">
        <v>0</v>
      </c>
      <c r="X79" s="815">
        <v>0</v>
      </c>
      <c r="Y79" s="815">
        <f t="shared" si="38"/>
        <v>63829.048526966457</v>
      </c>
      <c r="Z79" s="815">
        <v>0</v>
      </c>
      <c r="AA79" s="815">
        <v>0</v>
      </c>
      <c r="AB79" s="815">
        <v>0</v>
      </c>
      <c r="AC79" s="815">
        <v>0</v>
      </c>
      <c r="AD79" s="815">
        <v>0</v>
      </c>
      <c r="AE79" s="815">
        <v>0</v>
      </c>
      <c r="AF79" s="815">
        <v>0</v>
      </c>
      <c r="AG79" s="815">
        <v>0</v>
      </c>
      <c r="AH79" s="815">
        <v>0</v>
      </c>
      <c r="AI79" s="815">
        <v>0</v>
      </c>
      <c r="AJ79" s="815">
        <v>0</v>
      </c>
      <c r="AK79" s="815">
        <v>0</v>
      </c>
      <c r="AL79" s="815">
        <v>0</v>
      </c>
      <c r="AM79" s="815">
        <v>0</v>
      </c>
      <c r="AN79" s="815">
        <v>0</v>
      </c>
    </row>
    <row r="80" spans="2:41" x14ac:dyDescent="0.35">
      <c r="C80" s="854" t="s">
        <v>200</v>
      </c>
      <c r="D80" s="852"/>
      <c r="E80" s="1200">
        <f t="shared" ref="E80:AN80" si="39">SUM(E71:E79)</f>
        <v>3634932.63</v>
      </c>
      <c r="F80" s="1200">
        <f t="shared" si="39"/>
        <v>2938981.7499999995</v>
      </c>
      <c r="G80" s="853">
        <f t="shared" si="39"/>
        <v>0</v>
      </c>
      <c r="H80" s="853">
        <f t="shared" si="39"/>
        <v>0</v>
      </c>
      <c r="I80" s="853">
        <f t="shared" si="39"/>
        <v>0</v>
      </c>
      <c r="J80" s="853">
        <f t="shared" si="39"/>
        <v>0</v>
      </c>
      <c r="K80" s="853">
        <f t="shared" si="39"/>
        <v>0</v>
      </c>
      <c r="L80" s="853">
        <f t="shared" si="39"/>
        <v>0</v>
      </c>
      <c r="M80" s="853">
        <f t="shared" si="39"/>
        <v>0</v>
      </c>
      <c r="N80" s="853">
        <f t="shared" si="39"/>
        <v>0</v>
      </c>
      <c r="O80" s="853">
        <f t="shared" si="39"/>
        <v>347975.44000000006</v>
      </c>
      <c r="P80" s="853">
        <f t="shared" si="39"/>
        <v>0</v>
      </c>
      <c r="Q80" s="853">
        <f t="shared" si="39"/>
        <v>0</v>
      </c>
      <c r="R80" s="853">
        <f t="shared" si="39"/>
        <v>0</v>
      </c>
      <c r="S80" s="853">
        <f t="shared" si="39"/>
        <v>0</v>
      </c>
      <c r="T80" s="853">
        <f t="shared" si="39"/>
        <v>0</v>
      </c>
      <c r="U80" s="853">
        <f t="shared" si="39"/>
        <v>0</v>
      </c>
      <c r="V80" s="853">
        <f t="shared" si="39"/>
        <v>0</v>
      </c>
      <c r="W80" s="853">
        <f t="shared" si="39"/>
        <v>0</v>
      </c>
      <c r="X80" s="853">
        <f t="shared" si="39"/>
        <v>0</v>
      </c>
      <c r="Y80" s="853">
        <f t="shared" si="39"/>
        <v>347975.44000000006</v>
      </c>
      <c r="Z80" s="853">
        <f t="shared" si="39"/>
        <v>0</v>
      </c>
      <c r="AA80" s="853">
        <f t="shared" si="39"/>
        <v>0</v>
      </c>
      <c r="AB80" s="853">
        <f t="shared" si="39"/>
        <v>0</v>
      </c>
      <c r="AC80" s="853">
        <f t="shared" si="39"/>
        <v>0</v>
      </c>
      <c r="AD80" s="853">
        <f t="shared" si="39"/>
        <v>0</v>
      </c>
      <c r="AE80" s="853">
        <f t="shared" si="39"/>
        <v>0</v>
      </c>
      <c r="AF80" s="853">
        <f t="shared" si="39"/>
        <v>0</v>
      </c>
      <c r="AG80" s="853">
        <f t="shared" si="39"/>
        <v>0</v>
      </c>
      <c r="AH80" s="853">
        <f t="shared" si="39"/>
        <v>0</v>
      </c>
      <c r="AI80" s="853">
        <f t="shared" si="39"/>
        <v>0</v>
      </c>
      <c r="AJ80" s="853">
        <f t="shared" si="39"/>
        <v>0</v>
      </c>
      <c r="AK80" s="853">
        <f t="shared" si="39"/>
        <v>0</v>
      </c>
      <c r="AL80" s="853">
        <f t="shared" si="39"/>
        <v>0</v>
      </c>
      <c r="AM80" s="853">
        <f t="shared" si="39"/>
        <v>0</v>
      </c>
      <c r="AN80" s="853">
        <f t="shared" si="39"/>
        <v>0</v>
      </c>
    </row>
    <row r="81" spans="3:40" x14ac:dyDescent="0.35">
      <c r="C81" s="823" t="s">
        <v>806</v>
      </c>
      <c r="D81" s="112"/>
      <c r="E81" s="1201"/>
      <c r="F81" s="1511"/>
      <c r="G81" s="112"/>
      <c r="H81" s="112"/>
      <c r="I81" s="112"/>
      <c r="J81" s="112"/>
      <c r="K81" s="112"/>
      <c r="L81" s="112"/>
      <c r="M81" s="112"/>
      <c r="N81" s="112"/>
      <c r="O81" s="112"/>
      <c r="P81" s="112"/>
      <c r="Q81" s="112"/>
      <c r="R81" s="112"/>
      <c r="S81" s="112"/>
      <c r="T81" s="112"/>
      <c r="U81" s="112"/>
      <c r="V81" s="112"/>
      <c r="W81" s="112"/>
      <c r="X81" s="112"/>
      <c r="Y81" s="112"/>
      <c r="Z81" s="112"/>
      <c r="AA81" s="112"/>
      <c r="AB81" s="112"/>
      <c r="AC81" s="112"/>
      <c r="AD81" s="112"/>
      <c r="AE81" s="112"/>
      <c r="AF81" s="112"/>
      <c r="AG81" s="112"/>
      <c r="AH81" s="112"/>
      <c r="AI81" s="112"/>
      <c r="AJ81" s="112"/>
      <c r="AK81" s="112"/>
      <c r="AL81" s="112"/>
      <c r="AM81" s="112"/>
      <c r="AN81" s="824"/>
    </row>
    <row r="82" spans="3:40" x14ac:dyDescent="0.35">
      <c r="C82" s="803" t="s">
        <v>717</v>
      </c>
      <c r="D82" s="803" t="s">
        <v>68</v>
      </c>
      <c r="E82" s="1515" t="s">
        <v>455</v>
      </c>
      <c r="F82" s="1516">
        <v>1</v>
      </c>
      <c r="G82" s="793">
        <f>F82+1</f>
        <v>2</v>
      </c>
      <c r="H82" s="793">
        <f t="shared" ref="H82" si="40">G82+1</f>
        <v>3</v>
      </c>
      <c r="I82" s="793">
        <f t="shared" ref="I82" si="41">H82+1</f>
        <v>4</v>
      </c>
      <c r="J82" s="793">
        <f t="shared" ref="J82" si="42">I82+1</f>
        <v>5</v>
      </c>
      <c r="K82" s="793">
        <f t="shared" ref="K82" si="43">J82+1</f>
        <v>6</v>
      </c>
      <c r="L82" s="793">
        <f t="shared" ref="L82" si="44">K82+1</f>
        <v>7</v>
      </c>
      <c r="M82" s="793">
        <f t="shared" ref="M82" si="45">L82+1</f>
        <v>8</v>
      </c>
      <c r="N82" s="793">
        <f t="shared" ref="N82" si="46">M82+1</f>
        <v>9</v>
      </c>
      <c r="O82" s="793">
        <f t="shared" ref="O82" si="47">N82+1</f>
        <v>10</v>
      </c>
      <c r="P82" s="793">
        <f t="shared" ref="P82" si="48">O82+1</f>
        <v>11</v>
      </c>
      <c r="Q82" s="793">
        <f t="shared" ref="Q82" si="49">P82+1</f>
        <v>12</v>
      </c>
      <c r="R82" s="793">
        <f t="shared" ref="R82" si="50">Q82+1</f>
        <v>13</v>
      </c>
      <c r="S82" s="793">
        <f t="shared" ref="S82" si="51">R82+1</f>
        <v>14</v>
      </c>
      <c r="T82" s="793">
        <f t="shared" ref="T82" si="52">S82+1</f>
        <v>15</v>
      </c>
      <c r="U82" s="793">
        <f t="shared" ref="U82" si="53">T82+1</f>
        <v>16</v>
      </c>
      <c r="V82" s="793">
        <f t="shared" ref="V82" si="54">U82+1</f>
        <v>17</v>
      </c>
      <c r="W82" s="793">
        <f t="shared" ref="W82" si="55">V82+1</f>
        <v>18</v>
      </c>
      <c r="X82" s="793">
        <f t="shared" ref="X82" si="56">W82+1</f>
        <v>19</v>
      </c>
      <c r="Y82" s="793">
        <f t="shared" ref="Y82" si="57">X82+1</f>
        <v>20</v>
      </c>
      <c r="Z82" s="793">
        <f t="shared" ref="Z82" si="58">Y82+1</f>
        <v>21</v>
      </c>
      <c r="AA82" s="793">
        <f t="shared" ref="AA82" si="59">Z82+1</f>
        <v>22</v>
      </c>
      <c r="AB82" s="793">
        <f t="shared" ref="AB82" si="60">AA82+1</f>
        <v>23</v>
      </c>
      <c r="AC82" s="793">
        <f t="shared" ref="AC82" si="61">AB82+1</f>
        <v>24</v>
      </c>
      <c r="AD82" s="793">
        <f t="shared" ref="AD82" si="62">AC82+1</f>
        <v>25</v>
      </c>
      <c r="AE82" s="793">
        <f t="shared" ref="AE82" si="63">AD82+1</f>
        <v>26</v>
      </c>
      <c r="AF82" s="793">
        <f t="shared" ref="AF82" si="64">AE82+1</f>
        <v>27</v>
      </c>
      <c r="AG82" s="793">
        <f t="shared" ref="AG82" si="65">AF82+1</f>
        <v>28</v>
      </c>
      <c r="AH82" s="793">
        <f t="shared" ref="AH82" si="66">AG82+1</f>
        <v>29</v>
      </c>
      <c r="AI82" s="793">
        <f t="shared" ref="AI82" si="67">AH82+1</f>
        <v>30</v>
      </c>
      <c r="AJ82" s="793">
        <f t="shared" ref="AJ82" si="68">AI82+1</f>
        <v>31</v>
      </c>
      <c r="AK82" s="793">
        <f t="shared" ref="AK82" si="69">AJ82+1</f>
        <v>32</v>
      </c>
      <c r="AL82" s="793">
        <f t="shared" ref="AL82" si="70">AK82+1</f>
        <v>33</v>
      </c>
      <c r="AM82" s="793">
        <f t="shared" ref="AM82" si="71">AL82+1</f>
        <v>34</v>
      </c>
      <c r="AN82" s="793">
        <f t="shared" ref="AN82" si="72">AM82+1</f>
        <v>35</v>
      </c>
    </row>
    <row r="83" spans="3:40" x14ac:dyDescent="0.35">
      <c r="C83" s="1983" t="s">
        <v>1</v>
      </c>
      <c r="D83" s="787" t="s">
        <v>1</v>
      </c>
      <c r="E83" s="1197">
        <f>SUM(F83:AN83)</f>
        <v>137560.82913853438</v>
      </c>
      <c r="F83" s="810">
        <f>$G$137*F63</f>
        <v>94885.615392817403</v>
      </c>
      <c r="G83" s="810">
        <f t="shared" ref="G83:AN83" si="73">$G$137*G63</f>
        <v>0</v>
      </c>
      <c r="H83" s="810">
        <f t="shared" si="73"/>
        <v>0</v>
      </c>
      <c r="I83" s="810">
        <f t="shared" si="73"/>
        <v>0</v>
      </c>
      <c r="J83" s="810">
        <f t="shared" si="73"/>
        <v>0</v>
      </c>
      <c r="K83" s="810">
        <f t="shared" si="73"/>
        <v>0</v>
      </c>
      <c r="L83" s="810">
        <f t="shared" si="73"/>
        <v>0</v>
      </c>
      <c r="M83" s="810">
        <f t="shared" si="73"/>
        <v>0</v>
      </c>
      <c r="N83" s="810">
        <f t="shared" si="73"/>
        <v>0</v>
      </c>
      <c r="O83" s="810">
        <f t="shared" si="73"/>
        <v>0</v>
      </c>
      <c r="P83" s="810">
        <f t="shared" si="73"/>
        <v>21337.606872858494</v>
      </c>
      <c r="Q83" s="810">
        <f t="shared" si="73"/>
        <v>0</v>
      </c>
      <c r="R83" s="810">
        <f t="shared" si="73"/>
        <v>0</v>
      </c>
      <c r="S83" s="810">
        <f t="shared" si="73"/>
        <v>0</v>
      </c>
      <c r="T83" s="810">
        <f t="shared" si="73"/>
        <v>0</v>
      </c>
      <c r="U83" s="810">
        <f t="shared" si="73"/>
        <v>0</v>
      </c>
      <c r="V83" s="810">
        <f t="shared" si="73"/>
        <v>0</v>
      </c>
      <c r="W83" s="810">
        <f t="shared" si="73"/>
        <v>0</v>
      </c>
      <c r="X83" s="810">
        <f t="shared" si="73"/>
        <v>0</v>
      </c>
      <c r="Y83" s="810">
        <f t="shared" si="73"/>
        <v>0</v>
      </c>
      <c r="Z83" s="810">
        <f t="shared" si="73"/>
        <v>21337.606872858494</v>
      </c>
      <c r="AA83" s="810">
        <f t="shared" si="73"/>
        <v>0</v>
      </c>
      <c r="AB83" s="810">
        <f t="shared" si="73"/>
        <v>0</v>
      </c>
      <c r="AC83" s="810">
        <f t="shared" si="73"/>
        <v>0</v>
      </c>
      <c r="AD83" s="810">
        <f t="shared" si="73"/>
        <v>0</v>
      </c>
      <c r="AE83" s="810">
        <f t="shared" si="73"/>
        <v>0</v>
      </c>
      <c r="AF83" s="810">
        <f t="shared" si="73"/>
        <v>0</v>
      </c>
      <c r="AG83" s="810">
        <f t="shared" si="73"/>
        <v>0</v>
      </c>
      <c r="AH83" s="810">
        <f t="shared" si="73"/>
        <v>0</v>
      </c>
      <c r="AI83" s="810">
        <f t="shared" si="73"/>
        <v>0</v>
      </c>
      <c r="AJ83" s="810">
        <f t="shared" si="73"/>
        <v>0</v>
      </c>
      <c r="AK83" s="810">
        <f t="shared" si="73"/>
        <v>0</v>
      </c>
      <c r="AL83" s="810">
        <f t="shared" si="73"/>
        <v>0</v>
      </c>
      <c r="AM83" s="810">
        <f t="shared" si="73"/>
        <v>0</v>
      </c>
      <c r="AN83" s="810">
        <f t="shared" si="73"/>
        <v>0</v>
      </c>
    </row>
    <row r="84" spans="3:40" x14ac:dyDescent="0.35">
      <c r="C84" s="1984"/>
      <c r="D84" s="1665" t="s">
        <v>8</v>
      </c>
      <c r="E84" s="1664">
        <f t="shared" ref="E84:E89" si="74">SUM(F84:AN84)</f>
        <v>995961.71313805552</v>
      </c>
      <c r="F84" s="815">
        <f>$G$138*F63</f>
        <v>686986.55460718262</v>
      </c>
      <c r="G84" s="815">
        <f t="shared" ref="G84:AN84" si="75">$G$138*G63</f>
        <v>0</v>
      </c>
      <c r="H84" s="815">
        <f t="shared" si="75"/>
        <v>0</v>
      </c>
      <c r="I84" s="815">
        <f t="shared" si="75"/>
        <v>0</v>
      </c>
      <c r="J84" s="815">
        <f t="shared" si="75"/>
        <v>0</v>
      </c>
      <c r="K84" s="815">
        <f t="shared" si="75"/>
        <v>0</v>
      </c>
      <c r="L84" s="815">
        <f t="shared" si="75"/>
        <v>0</v>
      </c>
      <c r="M84" s="815">
        <f t="shared" si="75"/>
        <v>0</v>
      </c>
      <c r="N84" s="815">
        <f t="shared" si="75"/>
        <v>0</v>
      </c>
      <c r="O84" s="815">
        <f t="shared" si="75"/>
        <v>0</v>
      </c>
      <c r="P84" s="815">
        <f t="shared" si="75"/>
        <v>154487.57926543645</v>
      </c>
      <c r="Q84" s="815">
        <f t="shared" si="75"/>
        <v>0</v>
      </c>
      <c r="R84" s="815">
        <f t="shared" si="75"/>
        <v>0</v>
      </c>
      <c r="S84" s="815">
        <f t="shared" si="75"/>
        <v>0</v>
      </c>
      <c r="T84" s="815">
        <f t="shared" si="75"/>
        <v>0</v>
      </c>
      <c r="U84" s="815">
        <f t="shared" si="75"/>
        <v>0</v>
      </c>
      <c r="V84" s="815">
        <f t="shared" si="75"/>
        <v>0</v>
      </c>
      <c r="W84" s="815">
        <f t="shared" si="75"/>
        <v>0</v>
      </c>
      <c r="X84" s="815">
        <f t="shared" si="75"/>
        <v>0</v>
      </c>
      <c r="Y84" s="815">
        <f t="shared" si="75"/>
        <v>0</v>
      </c>
      <c r="Z84" s="815">
        <f t="shared" si="75"/>
        <v>154487.57926543645</v>
      </c>
      <c r="AA84" s="815">
        <f t="shared" si="75"/>
        <v>0</v>
      </c>
      <c r="AB84" s="815">
        <f t="shared" si="75"/>
        <v>0</v>
      </c>
      <c r="AC84" s="815">
        <f t="shared" si="75"/>
        <v>0</v>
      </c>
      <c r="AD84" s="815">
        <f t="shared" si="75"/>
        <v>0</v>
      </c>
      <c r="AE84" s="815">
        <f t="shared" si="75"/>
        <v>0</v>
      </c>
      <c r="AF84" s="815">
        <f t="shared" si="75"/>
        <v>0</v>
      </c>
      <c r="AG84" s="815">
        <f t="shared" si="75"/>
        <v>0</v>
      </c>
      <c r="AH84" s="815">
        <f t="shared" si="75"/>
        <v>0</v>
      </c>
      <c r="AI84" s="815">
        <f t="shared" si="75"/>
        <v>0</v>
      </c>
      <c r="AJ84" s="815">
        <f t="shared" si="75"/>
        <v>0</v>
      </c>
      <c r="AK84" s="815">
        <f t="shared" si="75"/>
        <v>0</v>
      </c>
      <c r="AL84" s="815">
        <f t="shared" si="75"/>
        <v>0</v>
      </c>
      <c r="AM84" s="815">
        <f t="shared" si="75"/>
        <v>0</v>
      </c>
      <c r="AN84" s="815">
        <f t="shared" si="75"/>
        <v>0</v>
      </c>
    </row>
    <row r="85" spans="3:40" x14ac:dyDescent="0.35">
      <c r="C85" s="805" t="s">
        <v>2</v>
      </c>
      <c r="D85" s="1774" t="s">
        <v>2</v>
      </c>
      <c r="E85" s="1773">
        <f t="shared" si="74"/>
        <v>2267045.0845531793</v>
      </c>
      <c r="F85" s="1542">
        <f>$G$139*F63</f>
        <v>1563744.3399999999</v>
      </c>
      <c r="G85" s="1542">
        <f t="shared" ref="G85:AN85" si="76">$G$139*G63</f>
        <v>0</v>
      </c>
      <c r="H85" s="1542">
        <f t="shared" si="76"/>
        <v>0</v>
      </c>
      <c r="I85" s="1542">
        <f t="shared" si="76"/>
        <v>0</v>
      </c>
      <c r="J85" s="1542">
        <f t="shared" si="76"/>
        <v>0</v>
      </c>
      <c r="K85" s="1542">
        <f t="shared" si="76"/>
        <v>0</v>
      </c>
      <c r="L85" s="1542">
        <f t="shared" si="76"/>
        <v>0</v>
      </c>
      <c r="M85" s="1542">
        <f t="shared" si="76"/>
        <v>0</v>
      </c>
      <c r="N85" s="1542">
        <f t="shared" si="76"/>
        <v>0</v>
      </c>
      <c r="O85" s="1542">
        <f t="shared" si="76"/>
        <v>0</v>
      </c>
      <c r="P85" s="1542">
        <f t="shared" si="76"/>
        <v>351650.37227658986</v>
      </c>
      <c r="Q85" s="1542">
        <f t="shared" si="76"/>
        <v>0</v>
      </c>
      <c r="R85" s="1542">
        <f t="shared" si="76"/>
        <v>0</v>
      </c>
      <c r="S85" s="1542">
        <f t="shared" si="76"/>
        <v>0</v>
      </c>
      <c r="T85" s="1542">
        <f t="shared" si="76"/>
        <v>0</v>
      </c>
      <c r="U85" s="1542">
        <f t="shared" si="76"/>
        <v>0</v>
      </c>
      <c r="V85" s="1542">
        <f t="shared" si="76"/>
        <v>0</v>
      </c>
      <c r="W85" s="1542">
        <f t="shared" si="76"/>
        <v>0</v>
      </c>
      <c r="X85" s="1542">
        <f t="shared" si="76"/>
        <v>0</v>
      </c>
      <c r="Y85" s="1542">
        <f t="shared" si="76"/>
        <v>0</v>
      </c>
      <c r="Z85" s="1542">
        <f t="shared" si="76"/>
        <v>351650.37227658986</v>
      </c>
      <c r="AA85" s="1542">
        <f t="shared" si="76"/>
        <v>0</v>
      </c>
      <c r="AB85" s="1542">
        <f t="shared" si="76"/>
        <v>0</v>
      </c>
      <c r="AC85" s="1542">
        <f t="shared" si="76"/>
        <v>0</v>
      </c>
      <c r="AD85" s="1542">
        <f t="shared" si="76"/>
        <v>0</v>
      </c>
      <c r="AE85" s="1542">
        <f t="shared" si="76"/>
        <v>0</v>
      </c>
      <c r="AF85" s="1542">
        <f t="shared" si="76"/>
        <v>0</v>
      </c>
      <c r="AG85" s="1542">
        <f t="shared" si="76"/>
        <v>0</v>
      </c>
      <c r="AH85" s="1542">
        <f t="shared" si="76"/>
        <v>0</v>
      </c>
      <c r="AI85" s="1542">
        <f t="shared" si="76"/>
        <v>0</v>
      </c>
      <c r="AJ85" s="1542">
        <f t="shared" si="76"/>
        <v>0</v>
      </c>
      <c r="AK85" s="1542">
        <f t="shared" si="76"/>
        <v>0</v>
      </c>
      <c r="AL85" s="1542">
        <f t="shared" si="76"/>
        <v>0</v>
      </c>
      <c r="AM85" s="1542">
        <f t="shared" si="76"/>
        <v>0</v>
      </c>
      <c r="AN85" s="1542">
        <f t="shared" si="76"/>
        <v>0</v>
      </c>
    </row>
    <row r="86" spans="3:40" x14ac:dyDescent="0.35">
      <c r="C86" s="1979" t="s">
        <v>4</v>
      </c>
      <c r="D86" s="787" t="s">
        <v>3</v>
      </c>
      <c r="E86" s="1197">
        <f t="shared" si="74"/>
        <v>298923.36214726081</v>
      </c>
      <c r="F86" s="815">
        <f>$G$140*F63</f>
        <v>206188.98090581148</v>
      </c>
      <c r="G86" s="815">
        <f t="shared" ref="G86:AN86" si="77">$G$140*G63</f>
        <v>0</v>
      </c>
      <c r="H86" s="815">
        <f t="shared" si="77"/>
        <v>0</v>
      </c>
      <c r="I86" s="815">
        <f t="shared" si="77"/>
        <v>0</v>
      </c>
      <c r="J86" s="815">
        <f t="shared" si="77"/>
        <v>0</v>
      </c>
      <c r="K86" s="815">
        <f t="shared" si="77"/>
        <v>0</v>
      </c>
      <c r="L86" s="815">
        <f t="shared" si="77"/>
        <v>0</v>
      </c>
      <c r="M86" s="815">
        <f t="shared" si="77"/>
        <v>0</v>
      </c>
      <c r="N86" s="815">
        <f t="shared" si="77"/>
        <v>0</v>
      </c>
      <c r="O86" s="815">
        <f t="shared" si="77"/>
        <v>0</v>
      </c>
      <c r="P86" s="815">
        <f t="shared" si="77"/>
        <v>46367.190620724672</v>
      </c>
      <c r="Q86" s="815">
        <f t="shared" si="77"/>
        <v>0</v>
      </c>
      <c r="R86" s="815">
        <f t="shared" si="77"/>
        <v>0</v>
      </c>
      <c r="S86" s="815">
        <f t="shared" si="77"/>
        <v>0</v>
      </c>
      <c r="T86" s="815">
        <f t="shared" si="77"/>
        <v>0</v>
      </c>
      <c r="U86" s="815">
        <f t="shared" si="77"/>
        <v>0</v>
      </c>
      <c r="V86" s="815">
        <f t="shared" si="77"/>
        <v>0</v>
      </c>
      <c r="W86" s="815">
        <f t="shared" si="77"/>
        <v>0</v>
      </c>
      <c r="X86" s="815">
        <f t="shared" si="77"/>
        <v>0</v>
      </c>
      <c r="Y86" s="815">
        <f t="shared" si="77"/>
        <v>0</v>
      </c>
      <c r="Z86" s="815">
        <f t="shared" si="77"/>
        <v>46367.190620724672</v>
      </c>
      <c r="AA86" s="815">
        <f t="shared" si="77"/>
        <v>0</v>
      </c>
      <c r="AB86" s="815">
        <f t="shared" si="77"/>
        <v>0</v>
      </c>
      <c r="AC86" s="815">
        <f t="shared" si="77"/>
        <v>0</v>
      </c>
      <c r="AD86" s="815">
        <f t="shared" si="77"/>
        <v>0</v>
      </c>
      <c r="AE86" s="815">
        <f t="shared" si="77"/>
        <v>0</v>
      </c>
      <c r="AF86" s="815">
        <f t="shared" si="77"/>
        <v>0</v>
      </c>
      <c r="AG86" s="815">
        <f t="shared" si="77"/>
        <v>0</v>
      </c>
      <c r="AH86" s="815">
        <f t="shared" si="77"/>
        <v>0</v>
      </c>
      <c r="AI86" s="815">
        <f t="shared" si="77"/>
        <v>0</v>
      </c>
      <c r="AJ86" s="815">
        <f t="shared" si="77"/>
        <v>0</v>
      </c>
      <c r="AK86" s="815">
        <f t="shared" si="77"/>
        <v>0</v>
      </c>
      <c r="AL86" s="815">
        <f t="shared" si="77"/>
        <v>0</v>
      </c>
      <c r="AM86" s="815">
        <f t="shared" si="77"/>
        <v>0</v>
      </c>
      <c r="AN86" s="815">
        <f t="shared" si="77"/>
        <v>0</v>
      </c>
    </row>
    <row r="87" spans="3:40" x14ac:dyDescent="0.35">
      <c r="C87" s="1981"/>
      <c r="D87" s="806" t="s">
        <v>4</v>
      </c>
      <c r="E87" s="1198">
        <f>SUM(F87:AN87)</f>
        <v>797605.41648181132</v>
      </c>
      <c r="F87" s="812">
        <f>$G$141*F63</f>
        <v>550165.92483100109</v>
      </c>
      <c r="G87" s="812">
        <f t="shared" ref="G87:AN87" si="78">$G$141*G63</f>
        <v>0</v>
      </c>
      <c r="H87" s="812">
        <f t="shared" si="78"/>
        <v>0</v>
      </c>
      <c r="I87" s="812">
        <f t="shared" si="78"/>
        <v>0</v>
      </c>
      <c r="J87" s="812">
        <f t="shared" si="78"/>
        <v>0</v>
      </c>
      <c r="K87" s="812">
        <f t="shared" si="78"/>
        <v>0</v>
      </c>
      <c r="L87" s="812">
        <f t="shared" si="78"/>
        <v>0</v>
      </c>
      <c r="M87" s="812">
        <f t="shared" si="78"/>
        <v>0</v>
      </c>
      <c r="N87" s="812">
        <f t="shared" si="78"/>
        <v>0</v>
      </c>
      <c r="O87" s="812">
        <f t="shared" si="78"/>
        <v>0</v>
      </c>
      <c r="P87" s="812">
        <f t="shared" si="78"/>
        <v>123719.74582540515</v>
      </c>
      <c r="Q87" s="812">
        <f t="shared" si="78"/>
        <v>0</v>
      </c>
      <c r="R87" s="812">
        <f t="shared" si="78"/>
        <v>0</v>
      </c>
      <c r="S87" s="812">
        <f t="shared" si="78"/>
        <v>0</v>
      </c>
      <c r="T87" s="812">
        <f t="shared" si="78"/>
        <v>0</v>
      </c>
      <c r="U87" s="812">
        <f t="shared" si="78"/>
        <v>0</v>
      </c>
      <c r="V87" s="812">
        <f t="shared" si="78"/>
        <v>0</v>
      </c>
      <c r="W87" s="812">
        <f t="shared" si="78"/>
        <v>0</v>
      </c>
      <c r="X87" s="812">
        <f t="shared" si="78"/>
        <v>0</v>
      </c>
      <c r="Y87" s="812">
        <f t="shared" si="78"/>
        <v>0</v>
      </c>
      <c r="Z87" s="812">
        <f t="shared" si="78"/>
        <v>123719.74582540515</v>
      </c>
      <c r="AA87" s="812">
        <f t="shared" si="78"/>
        <v>0</v>
      </c>
      <c r="AB87" s="812">
        <f t="shared" si="78"/>
        <v>0</v>
      </c>
      <c r="AC87" s="812">
        <f t="shared" si="78"/>
        <v>0</v>
      </c>
      <c r="AD87" s="812">
        <f t="shared" si="78"/>
        <v>0</v>
      </c>
      <c r="AE87" s="812">
        <f t="shared" si="78"/>
        <v>0</v>
      </c>
      <c r="AF87" s="812">
        <f t="shared" si="78"/>
        <v>0</v>
      </c>
      <c r="AG87" s="812">
        <f t="shared" si="78"/>
        <v>0</v>
      </c>
      <c r="AH87" s="812">
        <f t="shared" si="78"/>
        <v>0</v>
      </c>
      <c r="AI87" s="812">
        <f t="shared" si="78"/>
        <v>0</v>
      </c>
      <c r="AJ87" s="812">
        <f t="shared" si="78"/>
        <v>0</v>
      </c>
      <c r="AK87" s="812">
        <f t="shared" si="78"/>
        <v>0</v>
      </c>
      <c r="AL87" s="812">
        <f t="shared" si="78"/>
        <v>0</v>
      </c>
      <c r="AM87" s="812">
        <f t="shared" si="78"/>
        <v>0</v>
      </c>
      <c r="AN87" s="812">
        <f t="shared" si="78"/>
        <v>0</v>
      </c>
    </row>
    <row r="88" spans="3:40" x14ac:dyDescent="0.35">
      <c r="C88" s="1981"/>
      <c r="D88" s="1665" t="s">
        <v>9</v>
      </c>
      <c r="E88" s="1664">
        <f>SUM(F88:AN88)</f>
        <v>1170516.3059241071</v>
      </c>
      <c r="F88" s="1654">
        <f>$G$142*F63</f>
        <v>807389.43426318711</v>
      </c>
      <c r="G88" s="1654">
        <f t="shared" ref="G88:AN88" si="79">$G$142*G63</f>
        <v>0</v>
      </c>
      <c r="H88" s="1654">
        <f t="shared" si="79"/>
        <v>0</v>
      </c>
      <c r="I88" s="1654">
        <f t="shared" si="79"/>
        <v>0</v>
      </c>
      <c r="J88" s="1654">
        <f t="shared" si="79"/>
        <v>0</v>
      </c>
      <c r="K88" s="1654">
        <f t="shared" si="79"/>
        <v>0</v>
      </c>
      <c r="L88" s="1654">
        <f t="shared" si="79"/>
        <v>0</v>
      </c>
      <c r="M88" s="1654">
        <f t="shared" si="79"/>
        <v>0</v>
      </c>
      <c r="N88" s="1654">
        <f t="shared" si="79"/>
        <v>0</v>
      </c>
      <c r="O88" s="1654">
        <f t="shared" si="79"/>
        <v>0</v>
      </c>
      <c r="P88" s="1654">
        <f t="shared" si="79"/>
        <v>181563.43583046002</v>
      </c>
      <c r="Q88" s="1654">
        <f t="shared" si="79"/>
        <v>0</v>
      </c>
      <c r="R88" s="1654">
        <f t="shared" si="79"/>
        <v>0</v>
      </c>
      <c r="S88" s="1654">
        <f t="shared" si="79"/>
        <v>0</v>
      </c>
      <c r="T88" s="1654">
        <f t="shared" si="79"/>
        <v>0</v>
      </c>
      <c r="U88" s="1654">
        <f t="shared" si="79"/>
        <v>0</v>
      </c>
      <c r="V88" s="1654">
        <f t="shared" si="79"/>
        <v>0</v>
      </c>
      <c r="W88" s="1654">
        <f t="shared" si="79"/>
        <v>0</v>
      </c>
      <c r="X88" s="1654">
        <f t="shared" si="79"/>
        <v>0</v>
      </c>
      <c r="Y88" s="1654">
        <f t="shared" si="79"/>
        <v>0</v>
      </c>
      <c r="Z88" s="1654">
        <f t="shared" si="79"/>
        <v>181563.43583046002</v>
      </c>
      <c r="AA88" s="1654">
        <f t="shared" si="79"/>
        <v>0</v>
      </c>
      <c r="AB88" s="1654">
        <f t="shared" si="79"/>
        <v>0</v>
      </c>
      <c r="AC88" s="1654">
        <f t="shared" si="79"/>
        <v>0</v>
      </c>
      <c r="AD88" s="1654">
        <f t="shared" si="79"/>
        <v>0</v>
      </c>
      <c r="AE88" s="1654">
        <f t="shared" si="79"/>
        <v>0</v>
      </c>
      <c r="AF88" s="1654">
        <f t="shared" si="79"/>
        <v>0</v>
      </c>
      <c r="AG88" s="1654">
        <f t="shared" si="79"/>
        <v>0</v>
      </c>
      <c r="AH88" s="1654">
        <f t="shared" si="79"/>
        <v>0</v>
      </c>
      <c r="AI88" s="1654">
        <f t="shared" si="79"/>
        <v>0</v>
      </c>
      <c r="AJ88" s="1654">
        <f t="shared" si="79"/>
        <v>0</v>
      </c>
      <c r="AK88" s="1654">
        <f t="shared" si="79"/>
        <v>0</v>
      </c>
      <c r="AL88" s="1654">
        <f t="shared" si="79"/>
        <v>0</v>
      </c>
      <c r="AM88" s="1654">
        <f t="shared" si="79"/>
        <v>0</v>
      </c>
      <c r="AN88" s="1654">
        <f t="shared" si="79"/>
        <v>0</v>
      </c>
    </row>
    <row r="89" spans="3:40" x14ac:dyDescent="0.35">
      <c r="C89" s="1771" t="s">
        <v>7</v>
      </c>
      <c r="D89" s="1774" t="s">
        <v>7</v>
      </c>
      <c r="E89" s="1773">
        <f t="shared" si="74"/>
        <v>2208774.4574929187</v>
      </c>
      <c r="F89" s="1542">
        <f>$G$143*F63</f>
        <v>1523550.89</v>
      </c>
      <c r="G89" s="1542">
        <f t="shared" ref="G89:AN89" si="80">$G$143*G63</f>
        <v>0</v>
      </c>
      <c r="H89" s="1542">
        <f t="shared" si="80"/>
        <v>0</v>
      </c>
      <c r="I89" s="1542">
        <f t="shared" si="80"/>
        <v>0</v>
      </c>
      <c r="J89" s="1542">
        <f t="shared" si="80"/>
        <v>0</v>
      </c>
      <c r="K89" s="1542">
        <f t="shared" si="80"/>
        <v>0</v>
      </c>
      <c r="L89" s="1542">
        <f t="shared" si="80"/>
        <v>0</v>
      </c>
      <c r="M89" s="1542">
        <f t="shared" si="80"/>
        <v>0</v>
      </c>
      <c r="N89" s="1542">
        <f t="shared" si="80"/>
        <v>0</v>
      </c>
      <c r="O89" s="1542">
        <f t="shared" si="80"/>
        <v>0</v>
      </c>
      <c r="P89" s="1542">
        <f t="shared" si="80"/>
        <v>342611.78374645935</v>
      </c>
      <c r="Q89" s="1542">
        <f t="shared" si="80"/>
        <v>0</v>
      </c>
      <c r="R89" s="1542">
        <f t="shared" si="80"/>
        <v>0</v>
      </c>
      <c r="S89" s="1542">
        <f t="shared" si="80"/>
        <v>0</v>
      </c>
      <c r="T89" s="1542">
        <f t="shared" si="80"/>
        <v>0</v>
      </c>
      <c r="U89" s="1542">
        <f t="shared" si="80"/>
        <v>0</v>
      </c>
      <c r="V89" s="1542">
        <f t="shared" si="80"/>
        <v>0</v>
      </c>
      <c r="W89" s="1542">
        <f t="shared" si="80"/>
        <v>0</v>
      </c>
      <c r="X89" s="1542">
        <f t="shared" si="80"/>
        <v>0</v>
      </c>
      <c r="Y89" s="1542">
        <f t="shared" si="80"/>
        <v>0</v>
      </c>
      <c r="Z89" s="1542">
        <f t="shared" si="80"/>
        <v>342611.78374645935</v>
      </c>
      <c r="AA89" s="1542">
        <f t="shared" si="80"/>
        <v>0</v>
      </c>
      <c r="AB89" s="1542">
        <f t="shared" si="80"/>
        <v>0</v>
      </c>
      <c r="AC89" s="1542">
        <f t="shared" si="80"/>
        <v>0</v>
      </c>
      <c r="AD89" s="1542">
        <f t="shared" si="80"/>
        <v>0</v>
      </c>
      <c r="AE89" s="1542">
        <f t="shared" si="80"/>
        <v>0</v>
      </c>
      <c r="AF89" s="1542">
        <f t="shared" si="80"/>
        <v>0</v>
      </c>
      <c r="AG89" s="1542">
        <f t="shared" si="80"/>
        <v>0</v>
      </c>
      <c r="AH89" s="1542">
        <f t="shared" si="80"/>
        <v>0</v>
      </c>
      <c r="AI89" s="1542">
        <f t="shared" si="80"/>
        <v>0</v>
      </c>
      <c r="AJ89" s="1542">
        <f t="shared" si="80"/>
        <v>0</v>
      </c>
      <c r="AK89" s="1542">
        <f t="shared" si="80"/>
        <v>0</v>
      </c>
      <c r="AL89" s="1542">
        <f t="shared" si="80"/>
        <v>0</v>
      </c>
      <c r="AM89" s="1542">
        <f t="shared" si="80"/>
        <v>0</v>
      </c>
      <c r="AN89" s="1542">
        <f t="shared" si="80"/>
        <v>0</v>
      </c>
    </row>
    <row r="90" spans="3:40" x14ac:dyDescent="0.35">
      <c r="C90" s="1979" t="s">
        <v>6</v>
      </c>
      <c r="D90" s="1778" t="s">
        <v>5</v>
      </c>
      <c r="E90" s="1769">
        <f>SUM(F90:AN90)</f>
        <v>1478481.0370338627</v>
      </c>
      <c r="F90" s="1779">
        <f>$G$144*F63</f>
        <v>1019814.8987913521</v>
      </c>
      <c r="G90" s="1779">
        <f t="shared" ref="G90:AN90" si="81">$G$144*G63</f>
        <v>0</v>
      </c>
      <c r="H90" s="1779">
        <f t="shared" si="81"/>
        <v>0</v>
      </c>
      <c r="I90" s="1779">
        <f t="shared" si="81"/>
        <v>0</v>
      </c>
      <c r="J90" s="1779">
        <f t="shared" si="81"/>
        <v>0</v>
      </c>
      <c r="K90" s="1779">
        <f t="shared" si="81"/>
        <v>0</v>
      </c>
      <c r="L90" s="1779">
        <f t="shared" si="81"/>
        <v>0</v>
      </c>
      <c r="M90" s="1779">
        <f t="shared" si="81"/>
        <v>0</v>
      </c>
      <c r="N90" s="1779">
        <f t="shared" si="81"/>
        <v>0</v>
      </c>
      <c r="O90" s="1779">
        <f t="shared" si="81"/>
        <v>0</v>
      </c>
      <c r="P90" s="1779">
        <f t="shared" si="81"/>
        <v>229333.06912125531</v>
      </c>
      <c r="Q90" s="1779">
        <f t="shared" si="81"/>
        <v>0</v>
      </c>
      <c r="R90" s="1779">
        <f t="shared" si="81"/>
        <v>0</v>
      </c>
      <c r="S90" s="1779">
        <f t="shared" si="81"/>
        <v>0</v>
      </c>
      <c r="T90" s="1779">
        <f t="shared" si="81"/>
        <v>0</v>
      </c>
      <c r="U90" s="1779">
        <f t="shared" si="81"/>
        <v>0</v>
      </c>
      <c r="V90" s="1779">
        <f t="shared" si="81"/>
        <v>0</v>
      </c>
      <c r="W90" s="1779">
        <f t="shared" si="81"/>
        <v>0</v>
      </c>
      <c r="X90" s="1779">
        <f t="shared" si="81"/>
        <v>0</v>
      </c>
      <c r="Y90" s="1779">
        <f t="shared" si="81"/>
        <v>0</v>
      </c>
      <c r="Z90" s="1779">
        <f t="shared" si="81"/>
        <v>229333.06912125531</v>
      </c>
      <c r="AA90" s="1779">
        <f t="shared" si="81"/>
        <v>0</v>
      </c>
      <c r="AB90" s="1779">
        <f t="shared" si="81"/>
        <v>0</v>
      </c>
      <c r="AC90" s="1779">
        <f t="shared" si="81"/>
        <v>0</v>
      </c>
      <c r="AD90" s="1779">
        <f t="shared" si="81"/>
        <v>0</v>
      </c>
      <c r="AE90" s="1779">
        <f t="shared" si="81"/>
        <v>0</v>
      </c>
      <c r="AF90" s="1779">
        <f t="shared" si="81"/>
        <v>0</v>
      </c>
      <c r="AG90" s="1779">
        <f t="shared" si="81"/>
        <v>0</v>
      </c>
      <c r="AH90" s="1779">
        <f t="shared" si="81"/>
        <v>0</v>
      </c>
      <c r="AI90" s="1779">
        <f t="shared" si="81"/>
        <v>0</v>
      </c>
      <c r="AJ90" s="1779">
        <f t="shared" si="81"/>
        <v>0</v>
      </c>
      <c r="AK90" s="1779">
        <f t="shared" si="81"/>
        <v>0</v>
      </c>
      <c r="AL90" s="1779">
        <f t="shared" si="81"/>
        <v>0</v>
      </c>
      <c r="AM90" s="1779">
        <f t="shared" si="81"/>
        <v>0</v>
      </c>
      <c r="AN90" s="1779">
        <f t="shared" si="81"/>
        <v>0</v>
      </c>
    </row>
    <row r="91" spans="3:40" x14ac:dyDescent="0.35">
      <c r="C91" s="1980"/>
      <c r="D91" s="1665" t="s">
        <v>6</v>
      </c>
      <c r="E91" s="1664">
        <f>SUM(F91:AN91)</f>
        <v>16366526.504090268</v>
      </c>
      <c r="F91" s="815">
        <f>$G$145*F63</f>
        <v>11289172.571208647</v>
      </c>
      <c r="G91" s="815">
        <f t="shared" ref="G91:AN91" si="82">$G$145*G63</f>
        <v>0</v>
      </c>
      <c r="H91" s="815">
        <f t="shared" si="82"/>
        <v>0</v>
      </c>
      <c r="I91" s="815">
        <f t="shared" si="82"/>
        <v>0</v>
      </c>
      <c r="J91" s="815">
        <f t="shared" si="82"/>
        <v>0</v>
      </c>
      <c r="K91" s="815">
        <f t="shared" si="82"/>
        <v>0</v>
      </c>
      <c r="L91" s="815">
        <f t="shared" si="82"/>
        <v>0</v>
      </c>
      <c r="M91" s="815">
        <f t="shared" si="82"/>
        <v>0</v>
      </c>
      <c r="N91" s="815">
        <f t="shared" si="82"/>
        <v>0</v>
      </c>
      <c r="O91" s="815">
        <f t="shared" si="82"/>
        <v>0</v>
      </c>
      <c r="P91" s="815">
        <f t="shared" si="82"/>
        <v>2538676.9664408108</v>
      </c>
      <c r="Q91" s="815">
        <f t="shared" si="82"/>
        <v>0</v>
      </c>
      <c r="R91" s="815">
        <f t="shared" si="82"/>
        <v>0</v>
      </c>
      <c r="S91" s="815">
        <f t="shared" si="82"/>
        <v>0</v>
      </c>
      <c r="T91" s="815">
        <f t="shared" si="82"/>
        <v>0</v>
      </c>
      <c r="U91" s="815">
        <f t="shared" si="82"/>
        <v>0</v>
      </c>
      <c r="V91" s="815">
        <f t="shared" si="82"/>
        <v>0</v>
      </c>
      <c r="W91" s="815">
        <f t="shared" si="82"/>
        <v>0</v>
      </c>
      <c r="X91" s="815">
        <f t="shared" si="82"/>
        <v>0</v>
      </c>
      <c r="Y91" s="815">
        <f t="shared" si="82"/>
        <v>0</v>
      </c>
      <c r="Z91" s="815">
        <f t="shared" si="82"/>
        <v>2538676.9664408108</v>
      </c>
      <c r="AA91" s="815">
        <f t="shared" si="82"/>
        <v>0</v>
      </c>
      <c r="AB91" s="815">
        <f t="shared" si="82"/>
        <v>0</v>
      </c>
      <c r="AC91" s="815">
        <f t="shared" si="82"/>
        <v>0</v>
      </c>
      <c r="AD91" s="815">
        <f t="shared" si="82"/>
        <v>0</v>
      </c>
      <c r="AE91" s="815">
        <f t="shared" si="82"/>
        <v>0</v>
      </c>
      <c r="AF91" s="815">
        <f t="shared" si="82"/>
        <v>0</v>
      </c>
      <c r="AG91" s="815">
        <f t="shared" si="82"/>
        <v>0</v>
      </c>
      <c r="AH91" s="815">
        <f t="shared" si="82"/>
        <v>0</v>
      </c>
      <c r="AI91" s="815">
        <f t="shared" si="82"/>
        <v>0</v>
      </c>
      <c r="AJ91" s="815">
        <f t="shared" si="82"/>
        <v>0</v>
      </c>
      <c r="AK91" s="815">
        <f t="shared" si="82"/>
        <v>0</v>
      </c>
      <c r="AL91" s="815">
        <f t="shared" si="82"/>
        <v>0</v>
      </c>
      <c r="AM91" s="815">
        <f t="shared" si="82"/>
        <v>0</v>
      </c>
      <c r="AN91" s="815">
        <f t="shared" si="82"/>
        <v>0</v>
      </c>
    </row>
    <row r="92" spans="3:40" x14ac:dyDescent="0.35">
      <c r="C92" s="854" t="s">
        <v>200</v>
      </c>
      <c r="D92" s="852"/>
      <c r="E92" s="1200">
        <f t="shared" ref="E92:AN92" si="83">SUM(E83:E91)</f>
        <v>25721394.710000001</v>
      </c>
      <c r="F92" s="1200">
        <f t="shared" si="83"/>
        <v>17741899.209999997</v>
      </c>
      <c r="G92" s="853">
        <f t="shared" si="83"/>
        <v>0</v>
      </c>
      <c r="H92" s="853">
        <f t="shared" si="83"/>
        <v>0</v>
      </c>
      <c r="I92" s="853">
        <f t="shared" si="83"/>
        <v>0</v>
      </c>
      <c r="J92" s="853">
        <f t="shared" si="83"/>
        <v>0</v>
      </c>
      <c r="K92" s="853">
        <f t="shared" si="83"/>
        <v>0</v>
      </c>
      <c r="L92" s="853">
        <f t="shared" si="83"/>
        <v>0</v>
      </c>
      <c r="M92" s="853">
        <f t="shared" si="83"/>
        <v>0</v>
      </c>
      <c r="N92" s="853">
        <f t="shared" si="83"/>
        <v>0</v>
      </c>
      <c r="O92" s="853">
        <f t="shared" si="83"/>
        <v>0</v>
      </c>
      <c r="P92" s="853">
        <f t="shared" si="83"/>
        <v>3989747.75</v>
      </c>
      <c r="Q92" s="853">
        <f t="shared" si="83"/>
        <v>0</v>
      </c>
      <c r="R92" s="853">
        <f t="shared" si="83"/>
        <v>0</v>
      </c>
      <c r="S92" s="853">
        <f t="shared" si="83"/>
        <v>0</v>
      </c>
      <c r="T92" s="853">
        <f t="shared" si="83"/>
        <v>0</v>
      </c>
      <c r="U92" s="853">
        <f t="shared" si="83"/>
        <v>0</v>
      </c>
      <c r="V92" s="853">
        <f t="shared" si="83"/>
        <v>0</v>
      </c>
      <c r="W92" s="853">
        <f t="shared" si="83"/>
        <v>0</v>
      </c>
      <c r="X92" s="853">
        <f t="shared" si="83"/>
        <v>0</v>
      </c>
      <c r="Y92" s="853">
        <f t="shared" si="83"/>
        <v>0</v>
      </c>
      <c r="Z92" s="853">
        <f t="shared" si="83"/>
        <v>3989747.75</v>
      </c>
      <c r="AA92" s="853">
        <f t="shared" si="83"/>
        <v>0</v>
      </c>
      <c r="AB92" s="853">
        <f t="shared" si="83"/>
        <v>0</v>
      </c>
      <c r="AC92" s="853">
        <f t="shared" si="83"/>
        <v>0</v>
      </c>
      <c r="AD92" s="853">
        <f t="shared" si="83"/>
        <v>0</v>
      </c>
      <c r="AE92" s="853">
        <f t="shared" si="83"/>
        <v>0</v>
      </c>
      <c r="AF92" s="853">
        <f t="shared" si="83"/>
        <v>0</v>
      </c>
      <c r="AG92" s="853">
        <f t="shared" si="83"/>
        <v>0</v>
      </c>
      <c r="AH92" s="853">
        <f t="shared" si="83"/>
        <v>0</v>
      </c>
      <c r="AI92" s="853">
        <f t="shared" si="83"/>
        <v>0</v>
      </c>
      <c r="AJ92" s="853">
        <f t="shared" si="83"/>
        <v>0</v>
      </c>
      <c r="AK92" s="853">
        <f t="shared" si="83"/>
        <v>0</v>
      </c>
      <c r="AL92" s="853">
        <f t="shared" si="83"/>
        <v>0</v>
      </c>
      <c r="AM92" s="853">
        <f t="shared" si="83"/>
        <v>0</v>
      </c>
      <c r="AN92" s="853">
        <f t="shared" si="83"/>
        <v>0</v>
      </c>
    </row>
    <row r="93" spans="3:40" x14ac:dyDescent="0.35">
      <c r="C93" s="800"/>
      <c r="D93" s="861"/>
      <c r="E93" s="801"/>
      <c r="F93" s="801"/>
      <c r="G93" s="801">
        <f t="shared" ref="G93:AN93" si="84">G80+G92</f>
        <v>0</v>
      </c>
      <c r="H93" s="801">
        <f t="shared" si="84"/>
        <v>0</v>
      </c>
      <c r="I93" s="801">
        <f t="shared" si="84"/>
        <v>0</v>
      </c>
      <c r="J93" s="801">
        <f t="shared" si="84"/>
        <v>0</v>
      </c>
      <c r="K93" s="801">
        <f t="shared" si="84"/>
        <v>0</v>
      </c>
      <c r="L93" s="801">
        <f t="shared" si="84"/>
        <v>0</v>
      </c>
      <c r="M93" s="801">
        <f t="shared" si="84"/>
        <v>0</v>
      </c>
      <c r="N93" s="801">
        <f t="shared" si="84"/>
        <v>0</v>
      </c>
      <c r="O93" s="801">
        <f t="shared" si="84"/>
        <v>347975.44000000006</v>
      </c>
      <c r="P93" s="801">
        <f t="shared" si="84"/>
        <v>3989747.75</v>
      </c>
      <c r="Q93" s="801">
        <f t="shared" si="84"/>
        <v>0</v>
      </c>
      <c r="R93" s="801">
        <f t="shared" si="84"/>
        <v>0</v>
      </c>
      <c r="S93" s="801">
        <f t="shared" si="84"/>
        <v>0</v>
      </c>
      <c r="T93" s="801">
        <f t="shared" si="84"/>
        <v>0</v>
      </c>
      <c r="U93" s="801">
        <f t="shared" si="84"/>
        <v>0</v>
      </c>
      <c r="V93" s="801">
        <f t="shared" si="84"/>
        <v>0</v>
      </c>
      <c r="W93" s="801">
        <f t="shared" si="84"/>
        <v>0</v>
      </c>
      <c r="X93" s="801">
        <f t="shared" si="84"/>
        <v>0</v>
      </c>
      <c r="Y93" s="801">
        <f t="shared" si="84"/>
        <v>347975.44000000006</v>
      </c>
      <c r="Z93" s="801">
        <f t="shared" si="84"/>
        <v>3989747.75</v>
      </c>
      <c r="AA93" s="801">
        <f t="shared" si="84"/>
        <v>0</v>
      </c>
      <c r="AB93" s="801">
        <f t="shared" si="84"/>
        <v>0</v>
      </c>
      <c r="AC93" s="801">
        <f t="shared" si="84"/>
        <v>0</v>
      </c>
      <c r="AD93" s="801">
        <f t="shared" si="84"/>
        <v>0</v>
      </c>
      <c r="AE93" s="801">
        <f t="shared" si="84"/>
        <v>0</v>
      </c>
      <c r="AF93" s="801">
        <f t="shared" si="84"/>
        <v>0</v>
      </c>
      <c r="AG93" s="801">
        <f t="shared" si="84"/>
        <v>0</v>
      </c>
      <c r="AH93" s="801">
        <f t="shared" si="84"/>
        <v>0</v>
      </c>
      <c r="AI93" s="801">
        <f t="shared" si="84"/>
        <v>0</v>
      </c>
      <c r="AJ93" s="801">
        <f t="shared" si="84"/>
        <v>0</v>
      </c>
      <c r="AK93" s="801">
        <f t="shared" si="84"/>
        <v>0</v>
      </c>
      <c r="AL93" s="801">
        <f t="shared" si="84"/>
        <v>0</v>
      </c>
      <c r="AM93" s="801">
        <f t="shared" si="84"/>
        <v>0</v>
      </c>
      <c r="AN93" s="801">
        <f t="shared" si="84"/>
        <v>0</v>
      </c>
    </row>
    <row r="94" spans="3:40" x14ac:dyDescent="0.35">
      <c r="C94" s="823" t="s">
        <v>807</v>
      </c>
      <c r="D94" s="112"/>
      <c r="E94" s="1201"/>
      <c r="F94" s="1201"/>
      <c r="G94" s="112"/>
      <c r="H94" s="112"/>
      <c r="I94" s="112"/>
      <c r="J94" s="112"/>
      <c r="K94" s="112"/>
      <c r="L94" s="112"/>
      <c r="M94" s="112"/>
      <c r="N94" s="112"/>
      <c r="O94" s="112"/>
      <c r="P94" s="112"/>
      <c r="Q94" s="112"/>
      <c r="R94" s="112"/>
      <c r="S94" s="112"/>
      <c r="T94" s="112"/>
      <c r="U94" s="112"/>
      <c r="V94" s="112"/>
      <c r="W94" s="112"/>
      <c r="X94" s="112"/>
      <c r="Y94" s="112"/>
      <c r="Z94" s="112"/>
      <c r="AA94" s="112"/>
      <c r="AB94" s="112"/>
      <c r="AC94" s="112"/>
      <c r="AD94" s="112"/>
      <c r="AE94" s="112"/>
      <c r="AF94" s="112"/>
      <c r="AG94" s="112"/>
      <c r="AH94" s="112"/>
      <c r="AI94" s="112"/>
      <c r="AJ94" s="112"/>
      <c r="AK94" s="112"/>
      <c r="AL94" s="112"/>
      <c r="AM94" s="112"/>
      <c r="AN94" s="824"/>
    </row>
    <row r="95" spans="3:40" x14ac:dyDescent="0.35">
      <c r="C95" s="803" t="s">
        <v>717</v>
      </c>
      <c r="D95" s="803" t="s">
        <v>68</v>
      </c>
      <c r="E95" s="1515" t="s">
        <v>455</v>
      </c>
      <c r="F95" s="1516">
        <v>1</v>
      </c>
      <c r="G95" s="793">
        <f>F95+1</f>
        <v>2</v>
      </c>
      <c r="H95" s="793">
        <f t="shared" ref="H95" si="85">G95+1</f>
        <v>3</v>
      </c>
      <c r="I95" s="793">
        <f t="shared" ref="I95" si="86">H95+1</f>
        <v>4</v>
      </c>
      <c r="J95" s="793">
        <f t="shared" ref="J95" si="87">I95+1</f>
        <v>5</v>
      </c>
      <c r="K95" s="793">
        <f t="shared" ref="K95" si="88">J95+1</f>
        <v>6</v>
      </c>
      <c r="L95" s="793">
        <f t="shared" ref="L95" si="89">K95+1</f>
        <v>7</v>
      </c>
      <c r="M95" s="793">
        <f t="shared" ref="M95" si="90">L95+1</f>
        <v>8</v>
      </c>
      <c r="N95" s="793">
        <f t="shared" ref="N95" si="91">M95+1</f>
        <v>9</v>
      </c>
      <c r="O95" s="793">
        <f t="shared" ref="O95" si="92">N95+1</f>
        <v>10</v>
      </c>
      <c r="P95" s="793">
        <f t="shared" ref="P95" si="93">O95+1</f>
        <v>11</v>
      </c>
      <c r="Q95" s="793">
        <f t="shared" ref="Q95" si="94">P95+1</f>
        <v>12</v>
      </c>
      <c r="R95" s="793">
        <f t="shared" ref="R95" si="95">Q95+1</f>
        <v>13</v>
      </c>
      <c r="S95" s="793">
        <f t="shared" ref="S95" si="96">R95+1</f>
        <v>14</v>
      </c>
      <c r="T95" s="793">
        <f t="shared" ref="T95" si="97">S95+1</f>
        <v>15</v>
      </c>
      <c r="U95" s="793">
        <f t="shared" ref="U95" si="98">T95+1</f>
        <v>16</v>
      </c>
      <c r="V95" s="793">
        <f t="shared" ref="V95" si="99">U95+1</f>
        <v>17</v>
      </c>
      <c r="W95" s="793">
        <f t="shared" ref="W95" si="100">V95+1</f>
        <v>18</v>
      </c>
      <c r="X95" s="793">
        <f t="shared" ref="X95" si="101">W95+1</f>
        <v>19</v>
      </c>
      <c r="Y95" s="793">
        <f t="shared" ref="Y95" si="102">X95+1</f>
        <v>20</v>
      </c>
      <c r="Z95" s="793">
        <f t="shared" ref="Z95" si="103">Y95+1</f>
        <v>21</v>
      </c>
      <c r="AA95" s="793">
        <f t="shared" ref="AA95" si="104">Z95+1</f>
        <v>22</v>
      </c>
      <c r="AB95" s="793">
        <f t="shared" ref="AB95" si="105">AA95+1</f>
        <v>23</v>
      </c>
      <c r="AC95" s="793">
        <f t="shared" ref="AC95" si="106">AB95+1</f>
        <v>24</v>
      </c>
      <c r="AD95" s="793">
        <f t="shared" ref="AD95" si="107">AC95+1</f>
        <v>25</v>
      </c>
      <c r="AE95" s="793">
        <f t="shared" ref="AE95" si="108">AD95+1</f>
        <v>26</v>
      </c>
      <c r="AF95" s="793">
        <f t="shared" ref="AF95" si="109">AE95+1</f>
        <v>27</v>
      </c>
      <c r="AG95" s="793">
        <f t="shared" ref="AG95" si="110">AF95+1</f>
        <v>28</v>
      </c>
      <c r="AH95" s="793">
        <f t="shared" ref="AH95" si="111">AG95+1</f>
        <v>29</v>
      </c>
      <c r="AI95" s="793">
        <f t="shared" ref="AI95" si="112">AH95+1</f>
        <v>30</v>
      </c>
      <c r="AJ95" s="793">
        <f t="shared" ref="AJ95" si="113">AI95+1</f>
        <v>31</v>
      </c>
      <c r="AK95" s="793">
        <f t="shared" ref="AK95" si="114">AJ95+1</f>
        <v>32</v>
      </c>
      <c r="AL95" s="793">
        <f t="shared" ref="AL95" si="115">AK95+1</f>
        <v>33</v>
      </c>
      <c r="AM95" s="793">
        <f t="shared" ref="AM95" si="116">AL95+1</f>
        <v>34</v>
      </c>
      <c r="AN95" s="793">
        <f t="shared" ref="AN95" si="117">AM95+1</f>
        <v>35</v>
      </c>
    </row>
    <row r="96" spans="3:40" x14ac:dyDescent="0.35">
      <c r="C96" s="1983" t="s">
        <v>1</v>
      </c>
      <c r="D96" s="787" t="s">
        <v>1</v>
      </c>
      <c r="E96" s="1197">
        <f>SUM(F96:AN96)</f>
        <v>11845.974414056063</v>
      </c>
      <c r="F96" s="810">
        <f>F64*$H$137</f>
        <v>4877.7541704936721</v>
      </c>
      <c r="G96" s="810">
        <f t="shared" ref="G96:AN96" si="118">G64*$H$137</f>
        <v>0</v>
      </c>
      <c r="H96" s="810">
        <f t="shared" si="118"/>
        <v>0</v>
      </c>
      <c r="I96" s="810">
        <f t="shared" si="118"/>
        <v>0</v>
      </c>
      <c r="J96" s="810">
        <f t="shared" si="118"/>
        <v>0</v>
      </c>
      <c r="K96" s="810">
        <f t="shared" si="118"/>
        <v>0</v>
      </c>
      <c r="L96" s="810">
        <f t="shared" si="118"/>
        <v>0</v>
      </c>
      <c r="M96" s="810">
        <f t="shared" si="118"/>
        <v>0</v>
      </c>
      <c r="N96" s="810">
        <f t="shared" si="118"/>
        <v>0</v>
      </c>
      <c r="O96" s="810">
        <f t="shared" si="118"/>
        <v>0</v>
      </c>
      <c r="P96" s="810">
        <f t="shared" si="118"/>
        <v>3484.1101217811952</v>
      </c>
      <c r="Q96" s="810">
        <f t="shared" si="118"/>
        <v>0</v>
      </c>
      <c r="R96" s="810">
        <f t="shared" si="118"/>
        <v>0</v>
      </c>
      <c r="S96" s="810">
        <f t="shared" si="118"/>
        <v>0</v>
      </c>
      <c r="T96" s="810">
        <f t="shared" si="118"/>
        <v>0</v>
      </c>
      <c r="U96" s="810">
        <f t="shared" si="118"/>
        <v>0</v>
      </c>
      <c r="V96" s="810">
        <f t="shared" si="118"/>
        <v>0</v>
      </c>
      <c r="W96" s="810">
        <f t="shared" si="118"/>
        <v>0</v>
      </c>
      <c r="X96" s="810">
        <f t="shared" si="118"/>
        <v>0</v>
      </c>
      <c r="Y96" s="810">
        <f t="shared" si="118"/>
        <v>0</v>
      </c>
      <c r="Z96" s="810">
        <f t="shared" si="118"/>
        <v>3484.1101217811952</v>
      </c>
      <c r="AA96" s="810">
        <f t="shared" si="118"/>
        <v>0</v>
      </c>
      <c r="AB96" s="810">
        <f t="shared" si="118"/>
        <v>0</v>
      </c>
      <c r="AC96" s="810">
        <f t="shared" si="118"/>
        <v>0</v>
      </c>
      <c r="AD96" s="810">
        <f t="shared" si="118"/>
        <v>0</v>
      </c>
      <c r="AE96" s="810">
        <f t="shared" si="118"/>
        <v>0</v>
      </c>
      <c r="AF96" s="810">
        <f t="shared" si="118"/>
        <v>0</v>
      </c>
      <c r="AG96" s="810">
        <f t="shared" si="118"/>
        <v>0</v>
      </c>
      <c r="AH96" s="810">
        <f t="shared" si="118"/>
        <v>0</v>
      </c>
      <c r="AI96" s="810">
        <f t="shared" si="118"/>
        <v>0</v>
      </c>
      <c r="AJ96" s="810">
        <f t="shared" si="118"/>
        <v>0</v>
      </c>
      <c r="AK96" s="810">
        <f t="shared" si="118"/>
        <v>0</v>
      </c>
      <c r="AL96" s="810">
        <f t="shared" si="118"/>
        <v>0</v>
      </c>
      <c r="AM96" s="810">
        <f t="shared" si="118"/>
        <v>0</v>
      </c>
      <c r="AN96" s="810">
        <f t="shared" si="118"/>
        <v>0</v>
      </c>
    </row>
    <row r="97" spans="3:40" x14ac:dyDescent="0.35">
      <c r="C97" s="1984"/>
      <c r="D97" s="1665" t="s">
        <v>8</v>
      </c>
      <c r="E97" s="1664">
        <f t="shared" ref="E97:E99" si="119">SUM(F97:AN97)</f>
        <v>85766.689871658222</v>
      </c>
      <c r="F97" s="815">
        <f>F64*$H$138</f>
        <v>35315.695829506323</v>
      </c>
      <c r="G97" s="815">
        <f t="shared" ref="G97:AN97" si="120">G64*$H$138</f>
        <v>0</v>
      </c>
      <c r="H97" s="815">
        <f t="shared" si="120"/>
        <v>0</v>
      </c>
      <c r="I97" s="815">
        <f t="shared" si="120"/>
        <v>0</v>
      </c>
      <c r="J97" s="815">
        <f t="shared" si="120"/>
        <v>0</v>
      </c>
      <c r="K97" s="815">
        <f t="shared" si="120"/>
        <v>0</v>
      </c>
      <c r="L97" s="815">
        <f t="shared" si="120"/>
        <v>0</v>
      </c>
      <c r="M97" s="815">
        <f t="shared" si="120"/>
        <v>0</v>
      </c>
      <c r="N97" s="815">
        <f t="shared" si="120"/>
        <v>0</v>
      </c>
      <c r="O97" s="815">
        <f t="shared" si="120"/>
        <v>0</v>
      </c>
      <c r="P97" s="815">
        <f t="shared" si="120"/>
        <v>25225.497021075949</v>
      </c>
      <c r="Q97" s="815">
        <f t="shared" si="120"/>
        <v>0</v>
      </c>
      <c r="R97" s="815">
        <f t="shared" si="120"/>
        <v>0</v>
      </c>
      <c r="S97" s="815">
        <f t="shared" si="120"/>
        <v>0</v>
      </c>
      <c r="T97" s="815">
        <f t="shared" si="120"/>
        <v>0</v>
      </c>
      <c r="U97" s="815">
        <f t="shared" si="120"/>
        <v>0</v>
      </c>
      <c r="V97" s="815">
        <f t="shared" si="120"/>
        <v>0</v>
      </c>
      <c r="W97" s="815">
        <f t="shared" si="120"/>
        <v>0</v>
      </c>
      <c r="X97" s="815">
        <f t="shared" si="120"/>
        <v>0</v>
      </c>
      <c r="Y97" s="815">
        <f t="shared" si="120"/>
        <v>0</v>
      </c>
      <c r="Z97" s="815">
        <f t="shared" si="120"/>
        <v>25225.497021075949</v>
      </c>
      <c r="AA97" s="815">
        <f t="shared" si="120"/>
        <v>0</v>
      </c>
      <c r="AB97" s="815">
        <f t="shared" si="120"/>
        <v>0</v>
      </c>
      <c r="AC97" s="815">
        <f t="shared" si="120"/>
        <v>0</v>
      </c>
      <c r="AD97" s="815">
        <f t="shared" si="120"/>
        <v>0</v>
      </c>
      <c r="AE97" s="815">
        <f t="shared" si="120"/>
        <v>0</v>
      </c>
      <c r="AF97" s="815">
        <f t="shared" si="120"/>
        <v>0</v>
      </c>
      <c r="AG97" s="815">
        <f t="shared" si="120"/>
        <v>0</v>
      </c>
      <c r="AH97" s="815">
        <f t="shared" si="120"/>
        <v>0</v>
      </c>
      <c r="AI97" s="815">
        <f t="shared" si="120"/>
        <v>0</v>
      </c>
      <c r="AJ97" s="815">
        <f t="shared" si="120"/>
        <v>0</v>
      </c>
      <c r="AK97" s="815">
        <f t="shared" si="120"/>
        <v>0</v>
      </c>
      <c r="AL97" s="815">
        <f t="shared" si="120"/>
        <v>0</v>
      </c>
      <c r="AM97" s="815">
        <f t="shared" si="120"/>
        <v>0</v>
      </c>
      <c r="AN97" s="815">
        <f t="shared" si="120"/>
        <v>0</v>
      </c>
    </row>
    <row r="98" spans="3:40" x14ac:dyDescent="0.35">
      <c r="C98" s="805" t="s">
        <v>2</v>
      </c>
      <c r="D98" s="1774" t="s">
        <v>2</v>
      </c>
      <c r="E98" s="1773">
        <f t="shared" si="119"/>
        <v>97612.664285714287</v>
      </c>
      <c r="F98" s="1542">
        <f>F64*$H$139</f>
        <v>40193.449999999997</v>
      </c>
      <c r="G98" s="1542">
        <f t="shared" ref="G98:AN98" si="121">G64*$H$139</f>
        <v>0</v>
      </c>
      <c r="H98" s="1542">
        <f t="shared" si="121"/>
        <v>0</v>
      </c>
      <c r="I98" s="1542">
        <f t="shared" si="121"/>
        <v>0</v>
      </c>
      <c r="J98" s="1542">
        <f t="shared" si="121"/>
        <v>0</v>
      </c>
      <c r="K98" s="1542">
        <f t="shared" si="121"/>
        <v>0</v>
      </c>
      <c r="L98" s="1542">
        <f t="shared" si="121"/>
        <v>0</v>
      </c>
      <c r="M98" s="1542">
        <f t="shared" si="121"/>
        <v>0</v>
      </c>
      <c r="N98" s="1542">
        <f t="shared" si="121"/>
        <v>0</v>
      </c>
      <c r="O98" s="1542">
        <f t="shared" si="121"/>
        <v>0</v>
      </c>
      <c r="P98" s="1542">
        <f t="shared" si="121"/>
        <v>28709.607142857149</v>
      </c>
      <c r="Q98" s="1542">
        <f t="shared" si="121"/>
        <v>0</v>
      </c>
      <c r="R98" s="1542">
        <f t="shared" si="121"/>
        <v>0</v>
      </c>
      <c r="S98" s="1542">
        <f t="shared" si="121"/>
        <v>0</v>
      </c>
      <c r="T98" s="1542">
        <f t="shared" si="121"/>
        <v>0</v>
      </c>
      <c r="U98" s="1542">
        <f t="shared" si="121"/>
        <v>0</v>
      </c>
      <c r="V98" s="1542">
        <f t="shared" si="121"/>
        <v>0</v>
      </c>
      <c r="W98" s="1542">
        <f t="shared" si="121"/>
        <v>0</v>
      </c>
      <c r="X98" s="1542">
        <f t="shared" si="121"/>
        <v>0</v>
      </c>
      <c r="Y98" s="1542">
        <f t="shared" si="121"/>
        <v>0</v>
      </c>
      <c r="Z98" s="1542">
        <f t="shared" si="121"/>
        <v>28709.607142857149</v>
      </c>
      <c r="AA98" s="1542">
        <f t="shared" si="121"/>
        <v>0</v>
      </c>
      <c r="AB98" s="1542">
        <f t="shared" si="121"/>
        <v>0</v>
      </c>
      <c r="AC98" s="1542">
        <f t="shared" si="121"/>
        <v>0</v>
      </c>
      <c r="AD98" s="1542">
        <f t="shared" si="121"/>
        <v>0</v>
      </c>
      <c r="AE98" s="1542">
        <f t="shared" si="121"/>
        <v>0</v>
      </c>
      <c r="AF98" s="1542">
        <f t="shared" si="121"/>
        <v>0</v>
      </c>
      <c r="AG98" s="1542">
        <f t="shared" si="121"/>
        <v>0</v>
      </c>
      <c r="AH98" s="1542">
        <f t="shared" si="121"/>
        <v>0</v>
      </c>
      <c r="AI98" s="1542">
        <f t="shared" si="121"/>
        <v>0</v>
      </c>
      <c r="AJ98" s="1542">
        <f t="shared" si="121"/>
        <v>0</v>
      </c>
      <c r="AK98" s="1542">
        <f t="shared" si="121"/>
        <v>0</v>
      </c>
      <c r="AL98" s="1542">
        <f t="shared" si="121"/>
        <v>0</v>
      </c>
      <c r="AM98" s="1542">
        <f t="shared" si="121"/>
        <v>0</v>
      </c>
      <c r="AN98" s="1542">
        <f t="shared" si="121"/>
        <v>0</v>
      </c>
    </row>
    <row r="99" spans="3:40" x14ac:dyDescent="0.35">
      <c r="C99" s="1979" t="s">
        <v>4</v>
      </c>
      <c r="D99" s="787" t="s">
        <v>3</v>
      </c>
      <c r="E99" s="1197">
        <f t="shared" si="119"/>
        <v>12870.809669931423</v>
      </c>
      <c r="F99" s="815">
        <f>F64*$H$140</f>
        <v>5299.7451582070562</v>
      </c>
      <c r="G99" s="815">
        <f t="shared" ref="G99:AN99" si="122">G64*$H$140</f>
        <v>0</v>
      </c>
      <c r="H99" s="815">
        <f t="shared" si="122"/>
        <v>0</v>
      </c>
      <c r="I99" s="815">
        <f t="shared" si="122"/>
        <v>0</v>
      </c>
      <c r="J99" s="815">
        <f t="shared" si="122"/>
        <v>0</v>
      </c>
      <c r="K99" s="815">
        <f t="shared" si="122"/>
        <v>0</v>
      </c>
      <c r="L99" s="815">
        <f t="shared" si="122"/>
        <v>0</v>
      </c>
      <c r="M99" s="815">
        <f t="shared" si="122"/>
        <v>0</v>
      </c>
      <c r="N99" s="815">
        <f t="shared" si="122"/>
        <v>0</v>
      </c>
      <c r="O99" s="815">
        <f t="shared" si="122"/>
        <v>0</v>
      </c>
      <c r="P99" s="815">
        <f t="shared" si="122"/>
        <v>3785.5322558621838</v>
      </c>
      <c r="Q99" s="815">
        <f t="shared" si="122"/>
        <v>0</v>
      </c>
      <c r="R99" s="815">
        <f t="shared" si="122"/>
        <v>0</v>
      </c>
      <c r="S99" s="815">
        <f t="shared" si="122"/>
        <v>0</v>
      </c>
      <c r="T99" s="815">
        <f t="shared" si="122"/>
        <v>0</v>
      </c>
      <c r="U99" s="815">
        <f t="shared" si="122"/>
        <v>0</v>
      </c>
      <c r="V99" s="815">
        <f t="shared" si="122"/>
        <v>0</v>
      </c>
      <c r="W99" s="815">
        <f t="shared" si="122"/>
        <v>0</v>
      </c>
      <c r="X99" s="815">
        <f t="shared" si="122"/>
        <v>0</v>
      </c>
      <c r="Y99" s="815">
        <f t="shared" si="122"/>
        <v>0</v>
      </c>
      <c r="Z99" s="815">
        <f t="shared" si="122"/>
        <v>3785.5322558621838</v>
      </c>
      <c r="AA99" s="815">
        <f t="shared" si="122"/>
        <v>0</v>
      </c>
      <c r="AB99" s="815">
        <f t="shared" si="122"/>
        <v>0</v>
      </c>
      <c r="AC99" s="815">
        <f t="shared" si="122"/>
        <v>0</v>
      </c>
      <c r="AD99" s="815">
        <f t="shared" si="122"/>
        <v>0</v>
      </c>
      <c r="AE99" s="815">
        <f t="shared" si="122"/>
        <v>0</v>
      </c>
      <c r="AF99" s="815">
        <f t="shared" si="122"/>
        <v>0</v>
      </c>
      <c r="AG99" s="815">
        <f t="shared" si="122"/>
        <v>0</v>
      </c>
      <c r="AH99" s="815">
        <f t="shared" si="122"/>
        <v>0</v>
      </c>
      <c r="AI99" s="815">
        <f t="shared" si="122"/>
        <v>0</v>
      </c>
      <c r="AJ99" s="815">
        <f t="shared" si="122"/>
        <v>0</v>
      </c>
      <c r="AK99" s="815">
        <f t="shared" si="122"/>
        <v>0</v>
      </c>
      <c r="AL99" s="815">
        <f t="shared" si="122"/>
        <v>0</v>
      </c>
      <c r="AM99" s="815">
        <f t="shared" si="122"/>
        <v>0</v>
      </c>
      <c r="AN99" s="815">
        <f t="shared" si="122"/>
        <v>0</v>
      </c>
    </row>
    <row r="100" spans="3:40" x14ac:dyDescent="0.35">
      <c r="C100" s="1981"/>
      <c r="D100" s="806" t="s">
        <v>4</v>
      </c>
      <c r="E100" s="1198">
        <f>SUM(F100:AN100)</f>
        <v>34342.673765948231</v>
      </c>
      <c r="F100" s="812">
        <f>F64*$H$141</f>
        <v>14141.100962449273</v>
      </c>
      <c r="G100" s="812">
        <f t="shared" ref="G100:AN100" si="123">G64*$H$141</f>
        <v>0</v>
      </c>
      <c r="H100" s="812">
        <f t="shared" si="123"/>
        <v>0</v>
      </c>
      <c r="I100" s="812">
        <f t="shared" si="123"/>
        <v>0</v>
      </c>
      <c r="J100" s="812">
        <f t="shared" si="123"/>
        <v>0</v>
      </c>
      <c r="K100" s="812">
        <f t="shared" si="123"/>
        <v>0</v>
      </c>
      <c r="L100" s="812">
        <f t="shared" si="123"/>
        <v>0</v>
      </c>
      <c r="M100" s="812">
        <f t="shared" si="123"/>
        <v>0</v>
      </c>
      <c r="N100" s="812">
        <f t="shared" si="123"/>
        <v>0</v>
      </c>
      <c r="O100" s="812">
        <f t="shared" si="123"/>
        <v>0</v>
      </c>
      <c r="P100" s="812">
        <f t="shared" si="123"/>
        <v>10100.786401749481</v>
      </c>
      <c r="Q100" s="812">
        <f t="shared" si="123"/>
        <v>0</v>
      </c>
      <c r="R100" s="812">
        <f t="shared" si="123"/>
        <v>0</v>
      </c>
      <c r="S100" s="812">
        <f t="shared" si="123"/>
        <v>0</v>
      </c>
      <c r="T100" s="812">
        <f t="shared" si="123"/>
        <v>0</v>
      </c>
      <c r="U100" s="812">
        <f t="shared" si="123"/>
        <v>0</v>
      </c>
      <c r="V100" s="812">
        <f t="shared" si="123"/>
        <v>0</v>
      </c>
      <c r="W100" s="812">
        <f t="shared" si="123"/>
        <v>0</v>
      </c>
      <c r="X100" s="812">
        <f t="shared" si="123"/>
        <v>0</v>
      </c>
      <c r="Y100" s="812">
        <f t="shared" si="123"/>
        <v>0</v>
      </c>
      <c r="Z100" s="812">
        <f t="shared" si="123"/>
        <v>10100.786401749481</v>
      </c>
      <c r="AA100" s="812">
        <f t="shared" si="123"/>
        <v>0</v>
      </c>
      <c r="AB100" s="812">
        <f t="shared" si="123"/>
        <v>0</v>
      </c>
      <c r="AC100" s="812">
        <f t="shared" si="123"/>
        <v>0</v>
      </c>
      <c r="AD100" s="812">
        <f t="shared" si="123"/>
        <v>0</v>
      </c>
      <c r="AE100" s="812">
        <f t="shared" si="123"/>
        <v>0</v>
      </c>
      <c r="AF100" s="812">
        <f t="shared" si="123"/>
        <v>0</v>
      </c>
      <c r="AG100" s="812">
        <f t="shared" si="123"/>
        <v>0</v>
      </c>
      <c r="AH100" s="812">
        <f t="shared" si="123"/>
        <v>0</v>
      </c>
      <c r="AI100" s="812">
        <f t="shared" si="123"/>
        <v>0</v>
      </c>
      <c r="AJ100" s="812">
        <f t="shared" si="123"/>
        <v>0</v>
      </c>
      <c r="AK100" s="812">
        <f t="shared" si="123"/>
        <v>0</v>
      </c>
      <c r="AL100" s="812">
        <f t="shared" si="123"/>
        <v>0</v>
      </c>
      <c r="AM100" s="812">
        <f t="shared" si="123"/>
        <v>0</v>
      </c>
      <c r="AN100" s="812">
        <f t="shared" si="123"/>
        <v>0</v>
      </c>
    </row>
    <row r="101" spans="3:40" x14ac:dyDescent="0.35">
      <c r="C101" s="1981"/>
      <c r="D101" s="1665" t="s">
        <v>9</v>
      </c>
      <c r="E101" s="1664">
        <f>SUM(F101:AN101)</f>
        <v>50399.180849834614</v>
      </c>
      <c r="F101" s="1654">
        <f>F64*$H$142</f>
        <v>20752.603879343664</v>
      </c>
      <c r="G101" s="1654">
        <f t="shared" ref="G101:AN101" si="124">G64*$H$142</f>
        <v>0</v>
      </c>
      <c r="H101" s="1654">
        <f t="shared" si="124"/>
        <v>0</v>
      </c>
      <c r="I101" s="1654">
        <f t="shared" si="124"/>
        <v>0</v>
      </c>
      <c r="J101" s="1654">
        <f t="shared" si="124"/>
        <v>0</v>
      </c>
      <c r="K101" s="1654">
        <f t="shared" si="124"/>
        <v>0</v>
      </c>
      <c r="L101" s="1654">
        <f t="shared" si="124"/>
        <v>0</v>
      </c>
      <c r="M101" s="1654">
        <f t="shared" si="124"/>
        <v>0</v>
      </c>
      <c r="N101" s="1654">
        <f t="shared" si="124"/>
        <v>0</v>
      </c>
      <c r="O101" s="1654">
        <f t="shared" si="124"/>
        <v>0</v>
      </c>
      <c r="P101" s="1654">
        <f t="shared" si="124"/>
        <v>14823.288485245475</v>
      </c>
      <c r="Q101" s="1654">
        <f t="shared" si="124"/>
        <v>0</v>
      </c>
      <c r="R101" s="1654">
        <f t="shared" si="124"/>
        <v>0</v>
      </c>
      <c r="S101" s="1654">
        <f t="shared" si="124"/>
        <v>0</v>
      </c>
      <c r="T101" s="1654">
        <f t="shared" si="124"/>
        <v>0</v>
      </c>
      <c r="U101" s="1654">
        <f t="shared" si="124"/>
        <v>0</v>
      </c>
      <c r="V101" s="1654">
        <f t="shared" si="124"/>
        <v>0</v>
      </c>
      <c r="W101" s="1654">
        <f t="shared" si="124"/>
        <v>0</v>
      </c>
      <c r="X101" s="1654">
        <f t="shared" si="124"/>
        <v>0</v>
      </c>
      <c r="Y101" s="1654">
        <f t="shared" si="124"/>
        <v>0</v>
      </c>
      <c r="Z101" s="1654">
        <f t="shared" si="124"/>
        <v>14823.288485245475</v>
      </c>
      <c r="AA101" s="1654">
        <f t="shared" si="124"/>
        <v>0</v>
      </c>
      <c r="AB101" s="1654">
        <f t="shared" si="124"/>
        <v>0</v>
      </c>
      <c r="AC101" s="1654">
        <f t="shared" si="124"/>
        <v>0</v>
      </c>
      <c r="AD101" s="1654">
        <f t="shared" si="124"/>
        <v>0</v>
      </c>
      <c r="AE101" s="1654">
        <f t="shared" si="124"/>
        <v>0</v>
      </c>
      <c r="AF101" s="1654">
        <f t="shared" si="124"/>
        <v>0</v>
      </c>
      <c r="AG101" s="1654">
        <f t="shared" si="124"/>
        <v>0</v>
      </c>
      <c r="AH101" s="1654">
        <f t="shared" si="124"/>
        <v>0</v>
      </c>
      <c r="AI101" s="1654">
        <f t="shared" si="124"/>
        <v>0</v>
      </c>
      <c r="AJ101" s="1654">
        <f t="shared" si="124"/>
        <v>0</v>
      </c>
      <c r="AK101" s="1654">
        <f t="shared" si="124"/>
        <v>0</v>
      </c>
      <c r="AL101" s="1654">
        <f t="shared" si="124"/>
        <v>0</v>
      </c>
      <c r="AM101" s="1654">
        <f t="shared" si="124"/>
        <v>0</v>
      </c>
      <c r="AN101" s="1654">
        <f t="shared" si="124"/>
        <v>0</v>
      </c>
    </row>
    <row r="102" spans="3:40" x14ac:dyDescent="0.35">
      <c r="C102" s="786" t="s">
        <v>7</v>
      </c>
      <c r="D102" s="1774" t="s">
        <v>7</v>
      </c>
      <c r="E102" s="1773">
        <f t="shared" ref="E102" si="125">SUM(F102:AN102)</f>
        <v>97612.664285714287</v>
      </c>
      <c r="F102" s="1542">
        <f>F64*$H$143</f>
        <v>40193.449999999997</v>
      </c>
      <c r="G102" s="1542">
        <f t="shared" ref="G102:AN102" si="126">G64*$H$143</f>
        <v>0</v>
      </c>
      <c r="H102" s="1542">
        <f t="shared" si="126"/>
        <v>0</v>
      </c>
      <c r="I102" s="1542">
        <f t="shared" si="126"/>
        <v>0</v>
      </c>
      <c r="J102" s="1542">
        <f t="shared" si="126"/>
        <v>0</v>
      </c>
      <c r="K102" s="1542">
        <f t="shared" si="126"/>
        <v>0</v>
      </c>
      <c r="L102" s="1542">
        <f t="shared" si="126"/>
        <v>0</v>
      </c>
      <c r="M102" s="1542">
        <f t="shared" si="126"/>
        <v>0</v>
      </c>
      <c r="N102" s="1542">
        <f t="shared" si="126"/>
        <v>0</v>
      </c>
      <c r="O102" s="1542">
        <f t="shared" si="126"/>
        <v>0</v>
      </c>
      <c r="P102" s="1542">
        <f t="shared" si="126"/>
        <v>28709.607142857149</v>
      </c>
      <c r="Q102" s="1542">
        <f t="shared" si="126"/>
        <v>0</v>
      </c>
      <c r="R102" s="1542">
        <f t="shared" si="126"/>
        <v>0</v>
      </c>
      <c r="S102" s="1542">
        <f t="shared" si="126"/>
        <v>0</v>
      </c>
      <c r="T102" s="1542">
        <f t="shared" si="126"/>
        <v>0</v>
      </c>
      <c r="U102" s="1542">
        <f t="shared" si="126"/>
        <v>0</v>
      </c>
      <c r="V102" s="1542">
        <f t="shared" si="126"/>
        <v>0</v>
      </c>
      <c r="W102" s="1542">
        <f t="shared" si="126"/>
        <v>0</v>
      </c>
      <c r="X102" s="1542">
        <f t="shared" si="126"/>
        <v>0</v>
      </c>
      <c r="Y102" s="1542">
        <f t="shared" si="126"/>
        <v>0</v>
      </c>
      <c r="Z102" s="1542">
        <f t="shared" si="126"/>
        <v>28709.607142857149</v>
      </c>
      <c r="AA102" s="1542">
        <f t="shared" si="126"/>
        <v>0</v>
      </c>
      <c r="AB102" s="1542">
        <f t="shared" si="126"/>
        <v>0</v>
      </c>
      <c r="AC102" s="1542">
        <f t="shared" si="126"/>
        <v>0</v>
      </c>
      <c r="AD102" s="1542">
        <f t="shared" si="126"/>
        <v>0</v>
      </c>
      <c r="AE102" s="1542">
        <f t="shared" si="126"/>
        <v>0</v>
      </c>
      <c r="AF102" s="1542">
        <f t="shared" si="126"/>
        <v>0</v>
      </c>
      <c r="AG102" s="1542">
        <f t="shared" si="126"/>
        <v>0</v>
      </c>
      <c r="AH102" s="1542">
        <f t="shared" si="126"/>
        <v>0</v>
      </c>
      <c r="AI102" s="1542">
        <f t="shared" si="126"/>
        <v>0</v>
      </c>
      <c r="AJ102" s="1542">
        <f t="shared" si="126"/>
        <v>0</v>
      </c>
      <c r="AK102" s="1542">
        <f t="shared" si="126"/>
        <v>0</v>
      </c>
      <c r="AL102" s="1542">
        <f t="shared" si="126"/>
        <v>0</v>
      </c>
      <c r="AM102" s="1542">
        <f t="shared" si="126"/>
        <v>0</v>
      </c>
      <c r="AN102" s="1542">
        <f t="shared" si="126"/>
        <v>0</v>
      </c>
    </row>
    <row r="103" spans="3:40" x14ac:dyDescent="0.35">
      <c r="C103" s="1979" t="s">
        <v>6</v>
      </c>
      <c r="D103" s="1778" t="s">
        <v>5</v>
      </c>
      <c r="E103" s="1769">
        <f>SUM(F103:AN103)</f>
        <v>24261.991392527583</v>
      </c>
      <c r="F103" s="1779">
        <f>F64*$H$144</f>
        <v>9990.2317498642988</v>
      </c>
      <c r="G103" s="1779">
        <f t="shared" ref="G103:AN103" si="127">G64*$H$144</f>
        <v>0</v>
      </c>
      <c r="H103" s="1779">
        <f t="shared" si="127"/>
        <v>0</v>
      </c>
      <c r="I103" s="1779">
        <f t="shared" si="127"/>
        <v>0</v>
      </c>
      <c r="J103" s="1779">
        <f t="shared" si="127"/>
        <v>0</v>
      </c>
      <c r="K103" s="1779">
        <f t="shared" si="127"/>
        <v>0</v>
      </c>
      <c r="L103" s="1779">
        <f t="shared" si="127"/>
        <v>0</v>
      </c>
      <c r="M103" s="1779">
        <f t="shared" si="127"/>
        <v>0</v>
      </c>
      <c r="N103" s="1779">
        <f t="shared" si="127"/>
        <v>0</v>
      </c>
      <c r="O103" s="1779">
        <f t="shared" si="127"/>
        <v>0</v>
      </c>
      <c r="P103" s="1779">
        <f t="shared" si="127"/>
        <v>7135.8798213316422</v>
      </c>
      <c r="Q103" s="1779">
        <f t="shared" si="127"/>
        <v>0</v>
      </c>
      <c r="R103" s="1779">
        <f t="shared" si="127"/>
        <v>0</v>
      </c>
      <c r="S103" s="1779">
        <f t="shared" si="127"/>
        <v>0</v>
      </c>
      <c r="T103" s="1779">
        <f t="shared" si="127"/>
        <v>0</v>
      </c>
      <c r="U103" s="1779">
        <f t="shared" si="127"/>
        <v>0</v>
      </c>
      <c r="V103" s="1779">
        <f t="shared" si="127"/>
        <v>0</v>
      </c>
      <c r="W103" s="1779">
        <f t="shared" si="127"/>
        <v>0</v>
      </c>
      <c r="X103" s="1779">
        <f t="shared" si="127"/>
        <v>0</v>
      </c>
      <c r="Y103" s="1779">
        <f t="shared" si="127"/>
        <v>0</v>
      </c>
      <c r="Z103" s="1779">
        <f t="shared" si="127"/>
        <v>7135.8798213316422</v>
      </c>
      <c r="AA103" s="1779">
        <f t="shared" si="127"/>
        <v>0</v>
      </c>
      <c r="AB103" s="1779">
        <f t="shared" si="127"/>
        <v>0</v>
      </c>
      <c r="AC103" s="1779">
        <f t="shared" si="127"/>
        <v>0</v>
      </c>
      <c r="AD103" s="1779">
        <f t="shared" si="127"/>
        <v>0</v>
      </c>
      <c r="AE103" s="1779">
        <f t="shared" si="127"/>
        <v>0</v>
      </c>
      <c r="AF103" s="1779">
        <f t="shared" si="127"/>
        <v>0</v>
      </c>
      <c r="AG103" s="1779">
        <f t="shared" si="127"/>
        <v>0</v>
      </c>
      <c r="AH103" s="1779">
        <f t="shared" si="127"/>
        <v>0</v>
      </c>
      <c r="AI103" s="1779">
        <f t="shared" si="127"/>
        <v>0</v>
      </c>
      <c r="AJ103" s="1779">
        <f t="shared" si="127"/>
        <v>0</v>
      </c>
      <c r="AK103" s="1779">
        <f t="shared" si="127"/>
        <v>0</v>
      </c>
      <c r="AL103" s="1779">
        <f t="shared" si="127"/>
        <v>0</v>
      </c>
      <c r="AM103" s="1779">
        <f t="shared" si="127"/>
        <v>0</v>
      </c>
      <c r="AN103" s="1779">
        <f t="shared" si="127"/>
        <v>0</v>
      </c>
    </row>
    <row r="104" spans="3:40" x14ac:dyDescent="0.35">
      <c r="C104" s="1980"/>
      <c r="D104" s="1665" t="s">
        <v>6</v>
      </c>
      <c r="E104" s="1664">
        <f>SUM(F104:AN104)</f>
        <v>268576.00146461528</v>
      </c>
      <c r="F104" s="815">
        <f>F64*$H$145</f>
        <v>110590.1182501357</v>
      </c>
      <c r="G104" s="815">
        <f t="shared" ref="G104:AN104" si="128">G64*$H$145</f>
        <v>0</v>
      </c>
      <c r="H104" s="815">
        <f t="shared" si="128"/>
        <v>0</v>
      </c>
      <c r="I104" s="815">
        <f t="shared" si="128"/>
        <v>0</v>
      </c>
      <c r="J104" s="815">
        <f t="shared" si="128"/>
        <v>0</v>
      </c>
      <c r="K104" s="815">
        <f t="shared" si="128"/>
        <v>0</v>
      </c>
      <c r="L104" s="815">
        <f t="shared" si="128"/>
        <v>0</v>
      </c>
      <c r="M104" s="815">
        <f t="shared" si="128"/>
        <v>0</v>
      </c>
      <c r="N104" s="815">
        <f t="shared" si="128"/>
        <v>0</v>
      </c>
      <c r="O104" s="815">
        <f t="shared" si="128"/>
        <v>0</v>
      </c>
      <c r="P104" s="815">
        <f t="shared" si="128"/>
        <v>78992.941607239787</v>
      </c>
      <c r="Q104" s="815">
        <f t="shared" si="128"/>
        <v>0</v>
      </c>
      <c r="R104" s="815">
        <f t="shared" si="128"/>
        <v>0</v>
      </c>
      <c r="S104" s="815">
        <f t="shared" si="128"/>
        <v>0</v>
      </c>
      <c r="T104" s="815">
        <f t="shared" si="128"/>
        <v>0</v>
      </c>
      <c r="U104" s="815">
        <f t="shared" si="128"/>
        <v>0</v>
      </c>
      <c r="V104" s="815">
        <f t="shared" si="128"/>
        <v>0</v>
      </c>
      <c r="W104" s="815">
        <f t="shared" si="128"/>
        <v>0</v>
      </c>
      <c r="X104" s="815">
        <f t="shared" si="128"/>
        <v>0</v>
      </c>
      <c r="Y104" s="815">
        <f t="shared" si="128"/>
        <v>0</v>
      </c>
      <c r="Z104" s="815">
        <f t="shared" si="128"/>
        <v>78992.941607239787</v>
      </c>
      <c r="AA104" s="815">
        <f t="shared" si="128"/>
        <v>0</v>
      </c>
      <c r="AB104" s="815">
        <f t="shared" si="128"/>
        <v>0</v>
      </c>
      <c r="AC104" s="815">
        <f t="shared" si="128"/>
        <v>0</v>
      </c>
      <c r="AD104" s="815">
        <f t="shared" si="128"/>
        <v>0</v>
      </c>
      <c r="AE104" s="815">
        <f t="shared" si="128"/>
        <v>0</v>
      </c>
      <c r="AF104" s="815">
        <f t="shared" si="128"/>
        <v>0</v>
      </c>
      <c r="AG104" s="815">
        <f t="shared" si="128"/>
        <v>0</v>
      </c>
      <c r="AH104" s="815">
        <f t="shared" si="128"/>
        <v>0</v>
      </c>
      <c r="AI104" s="815">
        <f t="shared" si="128"/>
        <v>0</v>
      </c>
      <c r="AJ104" s="815">
        <f t="shared" si="128"/>
        <v>0</v>
      </c>
      <c r="AK104" s="815">
        <f t="shared" si="128"/>
        <v>0</v>
      </c>
      <c r="AL104" s="815">
        <f t="shared" si="128"/>
        <v>0</v>
      </c>
      <c r="AM104" s="815">
        <f t="shared" si="128"/>
        <v>0</v>
      </c>
      <c r="AN104" s="815">
        <f t="shared" si="128"/>
        <v>0</v>
      </c>
    </row>
    <row r="105" spans="3:40" x14ac:dyDescent="0.35">
      <c r="C105" s="854" t="s">
        <v>200</v>
      </c>
      <c r="D105" s="852"/>
      <c r="E105" s="1200">
        <f t="shared" ref="E105:AN105" si="129">SUM(E96:E104)</f>
        <v>683288.65</v>
      </c>
      <c r="F105" s="1200">
        <f t="shared" si="129"/>
        <v>281354.14999999997</v>
      </c>
      <c r="G105" s="853">
        <f t="shared" si="129"/>
        <v>0</v>
      </c>
      <c r="H105" s="853">
        <f t="shared" si="129"/>
        <v>0</v>
      </c>
      <c r="I105" s="853">
        <f t="shared" si="129"/>
        <v>0</v>
      </c>
      <c r="J105" s="853">
        <f t="shared" si="129"/>
        <v>0</v>
      </c>
      <c r="K105" s="853">
        <f t="shared" si="129"/>
        <v>0</v>
      </c>
      <c r="L105" s="853">
        <f t="shared" si="129"/>
        <v>0</v>
      </c>
      <c r="M105" s="853">
        <f t="shared" si="129"/>
        <v>0</v>
      </c>
      <c r="N105" s="853">
        <f t="shared" si="129"/>
        <v>0</v>
      </c>
      <c r="O105" s="853">
        <f t="shared" si="129"/>
        <v>0</v>
      </c>
      <c r="P105" s="853">
        <f t="shared" si="129"/>
        <v>200967.25</v>
      </c>
      <c r="Q105" s="853">
        <f t="shared" si="129"/>
        <v>0</v>
      </c>
      <c r="R105" s="853">
        <f t="shared" si="129"/>
        <v>0</v>
      </c>
      <c r="S105" s="853">
        <f t="shared" si="129"/>
        <v>0</v>
      </c>
      <c r="T105" s="853">
        <f t="shared" si="129"/>
        <v>0</v>
      </c>
      <c r="U105" s="853">
        <f t="shared" si="129"/>
        <v>0</v>
      </c>
      <c r="V105" s="853">
        <f t="shared" si="129"/>
        <v>0</v>
      </c>
      <c r="W105" s="853">
        <f t="shared" si="129"/>
        <v>0</v>
      </c>
      <c r="X105" s="853">
        <f t="shared" si="129"/>
        <v>0</v>
      </c>
      <c r="Y105" s="853">
        <f t="shared" si="129"/>
        <v>0</v>
      </c>
      <c r="Z105" s="853">
        <f t="shared" si="129"/>
        <v>200967.25</v>
      </c>
      <c r="AA105" s="853">
        <f t="shared" si="129"/>
        <v>0</v>
      </c>
      <c r="AB105" s="853">
        <f t="shared" si="129"/>
        <v>0</v>
      </c>
      <c r="AC105" s="853">
        <f t="shared" si="129"/>
        <v>0</v>
      </c>
      <c r="AD105" s="853">
        <f t="shared" si="129"/>
        <v>0</v>
      </c>
      <c r="AE105" s="853">
        <f t="shared" si="129"/>
        <v>0</v>
      </c>
      <c r="AF105" s="853">
        <f t="shared" si="129"/>
        <v>0</v>
      </c>
      <c r="AG105" s="853">
        <f t="shared" si="129"/>
        <v>0</v>
      </c>
      <c r="AH105" s="853">
        <f t="shared" si="129"/>
        <v>0</v>
      </c>
      <c r="AI105" s="853">
        <f t="shared" si="129"/>
        <v>0</v>
      </c>
      <c r="AJ105" s="853">
        <f t="shared" si="129"/>
        <v>0</v>
      </c>
      <c r="AK105" s="853">
        <f t="shared" si="129"/>
        <v>0</v>
      </c>
      <c r="AL105" s="853">
        <f t="shared" si="129"/>
        <v>0</v>
      </c>
      <c r="AM105" s="853">
        <f t="shared" si="129"/>
        <v>0</v>
      </c>
      <c r="AN105" s="853">
        <f t="shared" si="129"/>
        <v>0</v>
      </c>
    </row>
    <row r="106" spans="3:40" x14ac:dyDescent="0.35">
      <c r="C106" s="800"/>
      <c r="D106" s="861"/>
      <c r="E106" s="801"/>
      <c r="F106" s="801"/>
      <c r="G106" s="801">
        <f t="shared" ref="G106:AN106" si="130">G93+G105</f>
        <v>0</v>
      </c>
      <c r="H106" s="801">
        <f t="shared" si="130"/>
        <v>0</v>
      </c>
      <c r="I106" s="801">
        <f t="shared" si="130"/>
        <v>0</v>
      </c>
      <c r="J106" s="801">
        <f t="shared" si="130"/>
        <v>0</v>
      </c>
      <c r="K106" s="801">
        <f t="shared" si="130"/>
        <v>0</v>
      </c>
      <c r="L106" s="801">
        <f t="shared" si="130"/>
        <v>0</v>
      </c>
      <c r="M106" s="801">
        <f t="shared" si="130"/>
        <v>0</v>
      </c>
      <c r="N106" s="801">
        <f t="shared" si="130"/>
        <v>0</v>
      </c>
      <c r="O106" s="801">
        <f t="shared" si="130"/>
        <v>347975.44000000006</v>
      </c>
      <c r="P106" s="801">
        <f t="shared" si="130"/>
        <v>4190715</v>
      </c>
      <c r="Q106" s="801">
        <f t="shared" si="130"/>
        <v>0</v>
      </c>
      <c r="R106" s="801">
        <f t="shared" si="130"/>
        <v>0</v>
      </c>
      <c r="S106" s="801">
        <f t="shared" si="130"/>
        <v>0</v>
      </c>
      <c r="T106" s="801">
        <f t="shared" si="130"/>
        <v>0</v>
      </c>
      <c r="U106" s="801">
        <f t="shared" si="130"/>
        <v>0</v>
      </c>
      <c r="V106" s="801">
        <f t="shared" si="130"/>
        <v>0</v>
      </c>
      <c r="W106" s="801">
        <f t="shared" si="130"/>
        <v>0</v>
      </c>
      <c r="X106" s="801">
        <f t="shared" si="130"/>
        <v>0</v>
      </c>
      <c r="Y106" s="801">
        <f t="shared" si="130"/>
        <v>347975.44000000006</v>
      </c>
      <c r="Z106" s="801">
        <f t="shared" si="130"/>
        <v>4190715</v>
      </c>
      <c r="AA106" s="801">
        <f t="shared" si="130"/>
        <v>0</v>
      </c>
      <c r="AB106" s="801">
        <f t="shared" si="130"/>
        <v>0</v>
      </c>
      <c r="AC106" s="801">
        <f t="shared" si="130"/>
        <v>0</v>
      </c>
      <c r="AD106" s="801">
        <f t="shared" si="130"/>
        <v>0</v>
      </c>
      <c r="AE106" s="801">
        <f t="shared" si="130"/>
        <v>0</v>
      </c>
      <c r="AF106" s="801">
        <f t="shared" si="130"/>
        <v>0</v>
      </c>
      <c r="AG106" s="801">
        <f t="shared" si="130"/>
        <v>0</v>
      </c>
      <c r="AH106" s="801">
        <f t="shared" si="130"/>
        <v>0</v>
      </c>
      <c r="AI106" s="801">
        <f t="shared" si="130"/>
        <v>0</v>
      </c>
      <c r="AJ106" s="801">
        <f t="shared" si="130"/>
        <v>0</v>
      </c>
      <c r="AK106" s="801">
        <f t="shared" si="130"/>
        <v>0</v>
      </c>
      <c r="AL106" s="801">
        <f t="shared" si="130"/>
        <v>0</v>
      </c>
      <c r="AM106" s="801">
        <f t="shared" si="130"/>
        <v>0</v>
      </c>
      <c r="AN106" s="801">
        <f t="shared" si="130"/>
        <v>0</v>
      </c>
    </row>
    <row r="107" spans="3:40" x14ac:dyDescent="0.35">
      <c r="C107" s="823" t="s">
        <v>808</v>
      </c>
      <c r="D107" s="112"/>
      <c r="E107" s="1201"/>
      <c r="F107" s="1201"/>
      <c r="G107" s="112"/>
      <c r="H107" s="112"/>
      <c r="I107" s="112"/>
      <c r="J107" s="112"/>
      <c r="K107" s="112"/>
      <c r="L107" s="112"/>
      <c r="M107" s="112"/>
      <c r="N107" s="112"/>
      <c r="O107" s="112"/>
      <c r="P107" s="112"/>
      <c r="Q107" s="112"/>
      <c r="R107" s="112"/>
      <c r="S107" s="112"/>
      <c r="T107" s="112"/>
      <c r="U107" s="112"/>
      <c r="V107" s="112"/>
      <c r="W107" s="112"/>
      <c r="X107" s="112"/>
      <c r="Y107" s="112"/>
      <c r="Z107" s="112"/>
      <c r="AA107" s="112"/>
      <c r="AB107" s="112"/>
      <c r="AC107" s="112"/>
      <c r="AD107" s="112"/>
      <c r="AE107" s="112"/>
      <c r="AF107" s="112"/>
      <c r="AG107" s="112"/>
      <c r="AH107" s="112"/>
      <c r="AI107" s="112"/>
      <c r="AJ107" s="112"/>
      <c r="AK107" s="112"/>
      <c r="AL107" s="112"/>
      <c r="AM107" s="112"/>
      <c r="AN107" s="824"/>
    </row>
    <row r="108" spans="3:40" x14ac:dyDescent="0.35">
      <c r="C108" s="803" t="s">
        <v>717</v>
      </c>
      <c r="D108" s="803" t="s">
        <v>68</v>
      </c>
      <c r="E108" s="1515" t="s">
        <v>455</v>
      </c>
      <c r="F108" s="1516">
        <v>1</v>
      </c>
      <c r="G108" s="793">
        <f>F108+1</f>
        <v>2</v>
      </c>
      <c r="H108" s="793">
        <f t="shared" ref="H108" si="131">G108+1</f>
        <v>3</v>
      </c>
      <c r="I108" s="793">
        <f t="shared" ref="I108" si="132">H108+1</f>
        <v>4</v>
      </c>
      <c r="J108" s="793">
        <f t="shared" ref="J108" si="133">I108+1</f>
        <v>5</v>
      </c>
      <c r="K108" s="793">
        <f t="shared" ref="K108" si="134">J108+1</f>
        <v>6</v>
      </c>
      <c r="L108" s="793">
        <f t="shared" ref="L108" si="135">K108+1</f>
        <v>7</v>
      </c>
      <c r="M108" s="793">
        <f t="shared" ref="M108" si="136">L108+1</f>
        <v>8</v>
      </c>
      <c r="N108" s="793">
        <f t="shared" ref="N108" si="137">M108+1</f>
        <v>9</v>
      </c>
      <c r="O108" s="793">
        <f t="shared" ref="O108" si="138">N108+1</f>
        <v>10</v>
      </c>
      <c r="P108" s="793">
        <f t="shared" ref="P108" si="139">O108+1</f>
        <v>11</v>
      </c>
      <c r="Q108" s="793">
        <f t="shared" ref="Q108" si="140">P108+1</f>
        <v>12</v>
      </c>
      <c r="R108" s="793">
        <f t="shared" ref="R108" si="141">Q108+1</f>
        <v>13</v>
      </c>
      <c r="S108" s="793">
        <f t="shared" ref="S108" si="142">R108+1</f>
        <v>14</v>
      </c>
      <c r="T108" s="793">
        <f t="shared" ref="T108" si="143">S108+1</f>
        <v>15</v>
      </c>
      <c r="U108" s="793">
        <f t="shared" ref="U108" si="144">T108+1</f>
        <v>16</v>
      </c>
      <c r="V108" s="793">
        <f t="shared" ref="V108" si="145">U108+1</f>
        <v>17</v>
      </c>
      <c r="W108" s="793">
        <f t="shared" ref="W108" si="146">V108+1</f>
        <v>18</v>
      </c>
      <c r="X108" s="793">
        <f t="shared" ref="X108" si="147">W108+1</f>
        <v>19</v>
      </c>
      <c r="Y108" s="793">
        <f t="shared" ref="Y108" si="148">X108+1</f>
        <v>20</v>
      </c>
      <c r="Z108" s="793">
        <f t="shared" ref="Z108" si="149">Y108+1</f>
        <v>21</v>
      </c>
      <c r="AA108" s="793">
        <f t="shared" ref="AA108" si="150">Z108+1</f>
        <v>22</v>
      </c>
      <c r="AB108" s="793">
        <f t="shared" ref="AB108" si="151">AA108+1</f>
        <v>23</v>
      </c>
      <c r="AC108" s="793">
        <f t="shared" ref="AC108" si="152">AB108+1</f>
        <v>24</v>
      </c>
      <c r="AD108" s="793">
        <f t="shared" ref="AD108" si="153">AC108+1</f>
        <v>25</v>
      </c>
      <c r="AE108" s="793">
        <f t="shared" ref="AE108" si="154">AD108+1</f>
        <v>26</v>
      </c>
      <c r="AF108" s="793">
        <f t="shared" ref="AF108" si="155">AE108+1</f>
        <v>27</v>
      </c>
      <c r="AG108" s="793">
        <f t="shared" ref="AG108" si="156">AF108+1</f>
        <v>28</v>
      </c>
      <c r="AH108" s="793">
        <f t="shared" ref="AH108" si="157">AG108+1</f>
        <v>29</v>
      </c>
      <c r="AI108" s="793">
        <f t="shared" ref="AI108" si="158">AH108+1</f>
        <v>30</v>
      </c>
      <c r="AJ108" s="793">
        <f t="shared" ref="AJ108" si="159">AI108+1</f>
        <v>31</v>
      </c>
      <c r="AK108" s="793">
        <f t="shared" ref="AK108" si="160">AJ108+1</f>
        <v>32</v>
      </c>
      <c r="AL108" s="793">
        <f t="shared" ref="AL108" si="161">AK108+1</f>
        <v>33</v>
      </c>
      <c r="AM108" s="793">
        <f t="shared" ref="AM108" si="162">AL108+1</f>
        <v>34</v>
      </c>
      <c r="AN108" s="793">
        <f t="shared" ref="AN108" si="163">AM108+1</f>
        <v>35</v>
      </c>
    </row>
    <row r="109" spans="3:40" x14ac:dyDescent="0.35">
      <c r="C109" s="1983" t="s">
        <v>1</v>
      </c>
      <c r="D109" s="787" t="s">
        <v>1</v>
      </c>
      <c r="E109" s="1197">
        <f>SUM(F109:AN109)</f>
        <v>12682.160843283547</v>
      </c>
      <c r="F109" s="810">
        <f>F65*$I$137</f>
        <v>0</v>
      </c>
      <c r="G109" s="810">
        <f t="shared" ref="G109:AN109" si="164">G65*$I$137</f>
        <v>0</v>
      </c>
      <c r="H109" s="810">
        <f t="shared" si="164"/>
        <v>4877.7541704936721</v>
      </c>
      <c r="I109" s="810">
        <f t="shared" si="164"/>
        <v>0</v>
      </c>
      <c r="J109" s="810">
        <f t="shared" si="164"/>
        <v>0</v>
      </c>
      <c r="K109" s="810">
        <f t="shared" si="164"/>
        <v>0</v>
      </c>
      <c r="L109" s="810">
        <f t="shared" si="164"/>
        <v>0</v>
      </c>
      <c r="M109" s="810">
        <f t="shared" si="164"/>
        <v>0</v>
      </c>
      <c r="N109" s="810">
        <f t="shared" si="164"/>
        <v>0</v>
      </c>
      <c r="O109" s="810">
        <f t="shared" si="164"/>
        <v>0</v>
      </c>
      <c r="P109" s="810">
        <f t="shared" si="164"/>
        <v>0</v>
      </c>
      <c r="Q109" s="810">
        <f t="shared" si="164"/>
        <v>0</v>
      </c>
      <c r="R109" s="810">
        <f t="shared" si="164"/>
        <v>0</v>
      </c>
      <c r="S109" s="810">
        <f t="shared" si="164"/>
        <v>3902.2033363949372</v>
      </c>
      <c r="T109" s="810">
        <f t="shared" si="164"/>
        <v>0</v>
      </c>
      <c r="U109" s="810">
        <f t="shared" si="164"/>
        <v>0</v>
      </c>
      <c r="V109" s="810">
        <f t="shared" si="164"/>
        <v>0</v>
      </c>
      <c r="W109" s="810">
        <f t="shared" si="164"/>
        <v>0</v>
      </c>
      <c r="X109" s="810">
        <f t="shared" si="164"/>
        <v>0</v>
      </c>
      <c r="Y109" s="810">
        <f t="shared" si="164"/>
        <v>0</v>
      </c>
      <c r="Z109" s="810">
        <f t="shared" si="164"/>
        <v>0</v>
      </c>
      <c r="AA109" s="810">
        <f t="shared" si="164"/>
        <v>0</v>
      </c>
      <c r="AB109" s="810">
        <f t="shared" si="164"/>
        <v>0</v>
      </c>
      <c r="AC109" s="810">
        <f t="shared" si="164"/>
        <v>3902.2033363949372</v>
      </c>
      <c r="AD109" s="810">
        <f t="shared" si="164"/>
        <v>0</v>
      </c>
      <c r="AE109" s="810">
        <f t="shared" si="164"/>
        <v>0</v>
      </c>
      <c r="AF109" s="810">
        <f t="shared" si="164"/>
        <v>0</v>
      </c>
      <c r="AG109" s="810">
        <f t="shared" si="164"/>
        <v>0</v>
      </c>
      <c r="AH109" s="810">
        <f t="shared" si="164"/>
        <v>0</v>
      </c>
      <c r="AI109" s="810">
        <f t="shared" si="164"/>
        <v>0</v>
      </c>
      <c r="AJ109" s="810">
        <f t="shared" si="164"/>
        <v>0</v>
      </c>
      <c r="AK109" s="810">
        <f t="shared" si="164"/>
        <v>0</v>
      </c>
      <c r="AL109" s="810">
        <f t="shared" si="164"/>
        <v>0</v>
      </c>
      <c r="AM109" s="810">
        <f t="shared" si="164"/>
        <v>0</v>
      </c>
      <c r="AN109" s="810">
        <f t="shared" si="164"/>
        <v>0</v>
      </c>
    </row>
    <row r="110" spans="3:40" x14ac:dyDescent="0.35">
      <c r="C110" s="1984"/>
      <c r="D110" s="788" t="s">
        <v>8</v>
      </c>
      <c r="E110" s="1198">
        <f t="shared" ref="E110:E112" si="165">SUM(F110:AN110)</f>
        <v>91820.809156716437</v>
      </c>
      <c r="F110" s="815">
        <f>F65*$I$138</f>
        <v>0</v>
      </c>
      <c r="G110" s="815">
        <f t="shared" ref="G110:AN110" si="166">G65*$I$138</f>
        <v>0</v>
      </c>
      <c r="H110" s="815">
        <f t="shared" si="166"/>
        <v>35315.695829506323</v>
      </c>
      <c r="I110" s="815">
        <f t="shared" si="166"/>
        <v>0</v>
      </c>
      <c r="J110" s="815">
        <f t="shared" si="166"/>
        <v>0</v>
      </c>
      <c r="K110" s="815">
        <f t="shared" si="166"/>
        <v>0</v>
      </c>
      <c r="L110" s="815">
        <f t="shared" si="166"/>
        <v>0</v>
      </c>
      <c r="M110" s="815">
        <f t="shared" si="166"/>
        <v>0</v>
      </c>
      <c r="N110" s="815">
        <f t="shared" si="166"/>
        <v>0</v>
      </c>
      <c r="O110" s="815">
        <f t="shared" si="166"/>
        <v>0</v>
      </c>
      <c r="P110" s="815">
        <f t="shared" si="166"/>
        <v>0</v>
      </c>
      <c r="Q110" s="815">
        <f t="shared" si="166"/>
        <v>0</v>
      </c>
      <c r="R110" s="815">
        <f t="shared" si="166"/>
        <v>0</v>
      </c>
      <c r="S110" s="815">
        <f t="shared" si="166"/>
        <v>28252.556663605057</v>
      </c>
      <c r="T110" s="815">
        <f t="shared" si="166"/>
        <v>0</v>
      </c>
      <c r="U110" s="815">
        <f t="shared" si="166"/>
        <v>0</v>
      </c>
      <c r="V110" s="815">
        <f t="shared" si="166"/>
        <v>0</v>
      </c>
      <c r="W110" s="815">
        <f t="shared" si="166"/>
        <v>0</v>
      </c>
      <c r="X110" s="815">
        <f t="shared" si="166"/>
        <v>0</v>
      </c>
      <c r="Y110" s="815">
        <f t="shared" si="166"/>
        <v>0</v>
      </c>
      <c r="Z110" s="815">
        <f t="shared" si="166"/>
        <v>0</v>
      </c>
      <c r="AA110" s="815">
        <f t="shared" si="166"/>
        <v>0</v>
      </c>
      <c r="AB110" s="815">
        <f t="shared" si="166"/>
        <v>0</v>
      </c>
      <c r="AC110" s="815">
        <f t="shared" si="166"/>
        <v>28252.556663605057</v>
      </c>
      <c r="AD110" s="815">
        <f t="shared" si="166"/>
        <v>0</v>
      </c>
      <c r="AE110" s="815">
        <f t="shared" si="166"/>
        <v>0</v>
      </c>
      <c r="AF110" s="815">
        <f t="shared" si="166"/>
        <v>0</v>
      </c>
      <c r="AG110" s="815">
        <f t="shared" si="166"/>
        <v>0</v>
      </c>
      <c r="AH110" s="815">
        <f t="shared" si="166"/>
        <v>0</v>
      </c>
      <c r="AI110" s="815">
        <f t="shared" si="166"/>
        <v>0</v>
      </c>
      <c r="AJ110" s="815">
        <f t="shared" si="166"/>
        <v>0</v>
      </c>
      <c r="AK110" s="815">
        <f t="shared" si="166"/>
        <v>0</v>
      </c>
      <c r="AL110" s="815">
        <f t="shared" si="166"/>
        <v>0</v>
      </c>
      <c r="AM110" s="815">
        <f t="shared" si="166"/>
        <v>0</v>
      </c>
      <c r="AN110" s="815">
        <f t="shared" si="166"/>
        <v>0</v>
      </c>
    </row>
    <row r="111" spans="3:40" x14ac:dyDescent="0.35">
      <c r="C111" s="805" t="s">
        <v>2</v>
      </c>
      <c r="D111" s="806" t="s">
        <v>2</v>
      </c>
      <c r="E111" s="1199">
        <f t="shared" si="165"/>
        <v>104502.96999999999</v>
      </c>
      <c r="F111" s="817">
        <f>F65*$I$139</f>
        <v>0</v>
      </c>
      <c r="G111" s="817">
        <f t="shared" ref="G111:AN111" si="167">G65*$I$139</f>
        <v>0</v>
      </c>
      <c r="H111" s="817">
        <f t="shared" si="167"/>
        <v>40193.449999999997</v>
      </c>
      <c r="I111" s="817">
        <f t="shared" si="167"/>
        <v>0</v>
      </c>
      <c r="J111" s="817">
        <f t="shared" si="167"/>
        <v>0</v>
      </c>
      <c r="K111" s="817">
        <f t="shared" si="167"/>
        <v>0</v>
      </c>
      <c r="L111" s="817">
        <f t="shared" si="167"/>
        <v>0</v>
      </c>
      <c r="M111" s="817">
        <f t="shared" si="167"/>
        <v>0</v>
      </c>
      <c r="N111" s="817">
        <f t="shared" si="167"/>
        <v>0</v>
      </c>
      <c r="O111" s="817">
        <f t="shared" si="167"/>
        <v>0</v>
      </c>
      <c r="P111" s="817">
        <f t="shared" si="167"/>
        <v>0</v>
      </c>
      <c r="Q111" s="817">
        <f t="shared" si="167"/>
        <v>0</v>
      </c>
      <c r="R111" s="817">
        <f t="shared" si="167"/>
        <v>0</v>
      </c>
      <c r="S111" s="817">
        <f t="shared" si="167"/>
        <v>32154.759999999995</v>
      </c>
      <c r="T111" s="817">
        <f t="shared" si="167"/>
        <v>0</v>
      </c>
      <c r="U111" s="817">
        <f t="shared" si="167"/>
        <v>0</v>
      </c>
      <c r="V111" s="817">
        <f t="shared" si="167"/>
        <v>0</v>
      </c>
      <c r="W111" s="817">
        <f t="shared" si="167"/>
        <v>0</v>
      </c>
      <c r="X111" s="817">
        <f t="shared" si="167"/>
        <v>0</v>
      </c>
      <c r="Y111" s="817">
        <f t="shared" si="167"/>
        <v>0</v>
      </c>
      <c r="Z111" s="817">
        <f t="shared" si="167"/>
        <v>0</v>
      </c>
      <c r="AA111" s="817">
        <f t="shared" si="167"/>
        <v>0</v>
      </c>
      <c r="AB111" s="817">
        <f t="shared" si="167"/>
        <v>0</v>
      </c>
      <c r="AC111" s="817">
        <f t="shared" si="167"/>
        <v>32154.759999999995</v>
      </c>
      <c r="AD111" s="817">
        <f t="shared" si="167"/>
        <v>0</v>
      </c>
      <c r="AE111" s="817">
        <f t="shared" si="167"/>
        <v>0</v>
      </c>
      <c r="AF111" s="817">
        <f t="shared" si="167"/>
        <v>0</v>
      </c>
      <c r="AG111" s="817">
        <f t="shared" si="167"/>
        <v>0</v>
      </c>
      <c r="AH111" s="817">
        <f t="shared" si="167"/>
        <v>0</v>
      </c>
      <c r="AI111" s="817">
        <f t="shared" si="167"/>
        <v>0</v>
      </c>
      <c r="AJ111" s="817">
        <f t="shared" si="167"/>
        <v>0</v>
      </c>
      <c r="AK111" s="817">
        <f t="shared" si="167"/>
        <v>0</v>
      </c>
      <c r="AL111" s="817">
        <f t="shared" si="167"/>
        <v>0</v>
      </c>
      <c r="AM111" s="817">
        <f t="shared" si="167"/>
        <v>0</v>
      </c>
      <c r="AN111" s="817">
        <f t="shared" si="167"/>
        <v>0</v>
      </c>
    </row>
    <row r="112" spans="3:40" x14ac:dyDescent="0.35">
      <c r="C112" s="1979" t="s">
        <v>4</v>
      </c>
      <c r="D112" s="787" t="s">
        <v>3</v>
      </c>
      <c r="E112" s="1197">
        <f t="shared" si="165"/>
        <v>13779.337411338347</v>
      </c>
      <c r="F112" s="815">
        <f>F65*$I$140</f>
        <v>0</v>
      </c>
      <c r="G112" s="815">
        <f t="shared" ref="G112:AN112" si="168">G65*$I$140</f>
        <v>0</v>
      </c>
      <c r="H112" s="815">
        <f t="shared" si="168"/>
        <v>5299.7451582070562</v>
      </c>
      <c r="I112" s="815">
        <f t="shared" si="168"/>
        <v>0</v>
      </c>
      <c r="J112" s="815">
        <f t="shared" si="168"/>
        <v>0</v>
      </c>
      <c r="K112" s="815">
        <f t="shared" si="168"/>
        <v>0</v>
      </c>
      <c r="L112" s="815">
        <f t="shared" si="168"/>
        <v>0</v>
      </c>
      <c r="M112" s="815">
        <f t="shared" si="168"/>
        <v>0</v>
      </c>
      <c r="N112" s="815">
        <f t="shared" si="168"/>
        <v>0</v>
      </c>
      <c r="O112" s="815">
        <f t="shared" si="168"/>
        <v>0</v>
      </c>
      <c r="P112" s="815">
        <f t="shared" si="168"/>
        <v>0</v>
      </c>
      <c r="Q112" s="815">
        <f t="shared" si="168"/>
        <v>0</v>
      </c>
      <c r="R112" s="815">
        <f t="shared" si="168"/>
        <v>0</v>
      </c>
      <c r="S112" s="815">
        <f t="shared" si="168"/>
        <v>4239.796126565645</v>
      </c>
      <c r="T112" s="815">
        <f t="shared" si="168"/>
        <v>0</v>
      </c>
      <c r="U112" s="815">
        <f t="shared" si="168"/>
        <v>0</v>
      </c>
      <c r="V112" s="815">
        <f t="shared" si="168"/>
        <v>0</v>
      </c>
      <c r="W112" s="815">
        <f t="shared" si="168"/>
        <v>0</v>
      </c>
      <c r="X112" s="815">
        <f t="shared" si="168"/>
        <v>0</v>
      </c>
      <c r="Y112" s="815">
        <f t="shared" si="168"/>
        <v>0</v>
      </c>
      <c r="Z112" s="815">
        <f t="shared" si="168"/>
        <v>0</v>
      </c>
      <c r="AA112" s="815">
        <f t="shared" si="168"/>
        <v>0</v>
      </c>
      <c r="AB112" s="815">
        <f t="shared" si="168"/>
        <v>0</v>
      </c>
      <c r="AC112" s="815">
        <f t="shared" si="168"/>
        <v>4239.796126565645</v>
      </c>
      <c r="AD112" s="815">
        <f t="shared" si="168"/>
        <v>0</v>
      </c>
      <c r="AE112" s="815">
        <f t="shared" si="168"/>
        <v>0</v>
      </c>
      <c r="AF112" s="815">
        <f t="shared" si="168"/>
        <v>0</v>
      </c>
      <c r="AG112" s="815">
        <f t="shared" si="168"/>
        <v>0</v>
      </c>
      <c r="AH112" s="815">
        <f t="shared" si="168"/>
        <v>0</v>
      </c>
      <c r="AI112" s="815">
        <f t="shared" si="168"/>
        <v>0</v>
      </c>
      <c r="AJ112" s="815">
        <f t="shared" si="168"/>
        <v>0</v>
      </c>
      <c r="AK112" s="815">
        <f t="shared" si="168"/>
        <v>0</v>
      </c>
      <c r="AL112" s="815">
        <f t="shared" si="168"/>
        <v>0</v>
      </c>
      <c r="AM112" s="815">
        <f t="shared" si="168"/>
        <v>0</v>
      </c>
      <c r="AN112" s="815">
        <f t="shared" si="168"/>
        <v>0</v>
      </c>
    </row>
    <row r="113" spans="3:40" x14ac:dyDescent="0.35">
      <c r="C113" s="1981"/>
      <c r="D113" s="806" t="s">
        <v>4</v>
      </c>
      <c r="E113" s="1198">
        <f>SUM(F113:AN113)</f>
        <v>36766.862502368109</v>
      </c>
      <c r="F113" s="812">
        <f>F65*$I$141</f>
        <v>0</v>
      </c>
      <c r="G113" s="812">
        <f t="shared" ref="G113:AN113" si="169">G65*$I$141</f>
        <v>0</v>
      </c>
      <c r="H113" s="812">
        <f t="shared" si="169"/>
        <v>14141.100962449273</v>
      </c>
      <c r="I113" s="812">
        <f t="shared" si="169"/>
        <v>0</v>
      </c>
      <c r="J113" s="812">
        <f t="shared" si="169"/>
        <v>0</v>
      </c>
      <c r="K113" s="812">
        <f t="shared" si="169"/>
        <v>0</v>
      </c>
      <c r="L113" s="812">
        <f t="shared" si="169"/>
        <v>0</v>
      </c>
      <c r="M113" s="812">
        <f t="shared" si="169"/>
        <v>0</v>
      </c>
      <c r="N113" s="812">
        <f t="shared" si="169"/>
        <v>0</v>
      </c>
      <c r="O113" s="812">
        <f t="shared" si="169"/>
        <v>0</v>
      </c>
      <c r="P113" s="812">
        <f t="shared" si="169"/>
        <v>0</v>
      </c>
      <c r="Q113" s="812">
        <f t="shared" si="169"/>
        <v>0</v>
      </c>
      <c r="R113" s="812">
        <f t="shared" si="169"/>
        <v>0</v>
      </c>
      <c r="S113" s="812">
        <f t="shared" si="169"/>
        <v>11312.880769959416</v>
      </c>
      <c r="T113" s="812">
        <f t="shared" si="169"/>
        <v>0</v>
      </c>
      <c r="U113" s="812">
        <f t="shared" si="169"/>
        <v>0</v>
      </c>
      <c r="V113" s="812">
        <f t="shared" si="169"/>
        <v>0</v>
      </c>
      <c r="W113" s="812">
        <f t="shared" si="169"/>
        <v>0</v>
      </c>
      <c r="X113" s="812">
        <f t="shared" si="169"/>
        <v>0</v>
      </c>
      <c r="Y113" s="812">
        <f t="shared" si="169"/>
        <v>0</v>
      </c>
      <c r="Z113" s="812">
        <f t="shared" si="169"/>
        <v>0</v>
      </c>
      <c r="AA113" s="812">
        <f t="shared" si="169"/>
        <v>0</v>
      </c>
      <c r="AB113" s="812">
        <f t="shared" si="169"/>
        <v>0</v>
      </c>
      <c r="AC113" s="812">
        <f t="shared" si="169"/>
        <v>11312.880769959416</v>
      </c>
      <c r="AD113" s="812">
        <f t="shared" si="169"/>
        <v>0</v>
      </c>
      <c r="AE113" s="812">
        <f t="shared" si="169"/>
        <v>0</v>
      </c>
      <c r="AF113" s="812">
        <f t="shared" si="169"/>
        <v>0</v>
      </c>
      <c r="AG113" s="812">
        <f t="shared" si="169"/>
        <v>0</v>
      </c>
      <c r="AH113" s="812">
        <f t="shared" si="169"/>
        <v>0</v>
      </c>
      <c r="AI113" s="812">
        <f t="shared" si="169"/>
        <v>0</v>
      </c>
      <c r="AJ113" s="812">
        <f t="shared" si="169"/>
        <v>0</v>
      </c>
      <c r="AK113" s="812">
        <f t="shared" si="169"/>
        <v>0</v>
      </c>
      <c r="AL113" s="812">
        <f t="shared" si="169"/>
        <v>0</v>
      </c>
      <c r="AM113" s="812">
        <f t="shared" si="169"/>
        <v>0</v>
      </c>
      <c r="AN113" s="812">
        <f t="shared" si="169"/>
        <v>0</v>
      </c>
    </row>
    <row r="114" spans="3:40" x14ac:dyDescent="0.35">
      <c r="C114" s="1981"/>
      <c r="D114" s="1665" t="s">
        <v>9</v>
      </c>
      <c r="E114" s="1664">
        <f>SUM(F114:AN114)</f>
        <v>53956.770086293516</v>
      </c>
      <c r="F114" s="1654">
        <f>F65*$I$142</f>
        <v>0</v>
      </c>
      <c r="G114" s="1654">
        <f t="shared" ref="G114:AN114" si="170">G65*$I$142</f>
        <v>0</v>
      </c>
      <c r="H114" s="1654">
        <f t="shared" si="170"/>
        <v>20752.603879343664</v>
      </c>
      <c r="I114" s="1654">
        <f t="shared" si="170"/>
        <v>0</v>
      </c>
      <c r="J114" s="1654">
        <f t="shared" si="170"/>
        <v>0</v>
      </c>
      <c r="K114" s="1654">
        <f t="shared" si="170"/>
        <v>0</v>
      </c>
      <c r="L114" s="1654">
        <f t="shared" si="170"/>
        <v>0</v>
      </c>
      <c r="M114" s="1654">
        <f t="shared" si="170"/>
        <v>0</v>
      </c>
      <c r="N114" s="1654">
        <f t="shared" si="170"/>
        <v>0</v>
      </c>
      <c r="O114" s="1654">
        <f t="shared" si="170"/>
        <v>0</v>
      </c>
      <c r="P114" s="1654">
        <f t="shared" si="170"/>
        <v>0</v>
      </c>
      <c r="Q114" s="1654">
        <f t="shared" si="170"/>
        <v>0</v>
      </c>
      <c r="R114" s="1654">
        <f t="shared" si="170"/>
        <v>0</v>
      </c>
      <c r="S114" s="1654">
        <f t="shared" si="170"/>
        <v>16602.083103474928</v>
      </c>
      <c r="T114" s="1654">
        <f t="shared" si="170"/>
        <v>0</v>
      </c>
      <c r="U114" s="1654">
        <f t="shared" si="170"/>
        <v>0</v>
      </c>
      <c r="V114" s="1654">
        <f t="shared" si="170"/>
        <v>0</v>
      </c>
      <c r="W114" s="1654">
        <f t="shared" si="170"/>
        <v>0</v>
      </c>
      <c r="X114" s="1654">
        <f t="shared" si="170"/>
        <v>0</v>
      </c>
      <c r="Y114" s="1654">
        <f t="shared" si="170"/>
        <v>0</v>
      </c>
      <c r="Z114" s="1654">
        <f t="shared" si="170"/>
        <v>0</v>
      </c>
      <c r="AA114" s="1654">
        <f t="shared" si="170"/>
        <v>0</v>
      </c>
      <c r="AB114" s="1654">
        <f t="shared" si="170"/>
        <v>0</v>
      </c>
      <c r="AC114" s="1654">
        <f t="shared" si="170"/>
        <v>16602.083103474928</v>
      </c>
      <c r="AD114" s="1654">
        <f t="shared" si="170"/>
        <v>0</v>
      </c>
      <c r="AE114" s="1654">
        <f t="shared" si="170"/>
        <v>0</v>
      </c>
      <c r="AF114" s="1654">
        <f t="shared" si="170"/>
        <v>0</v>
      </c>
      <c r="AG114" s="1654">
        <f t="shared" si="170"/>
        <v>0</v>
      </c>
      <c r="AH114" s="1654">
        <f t="shared" si="170"/>
        <v>0</v>
      </c>
      <c r="AI114" s="1654">
        <f t="shared" si="170"/>
        <v>0</v>
      </c>
      <c r="AJ114" s="1654">
        <f t="shared" si="170"/>
        <v>0</v>
      </c>
      <c r="AK114" s="1654">
        <f t="shared" si="170"/>
        <v>0</v>
      </c>
      <c r="AL114" s="1654">
        <f t="shared" si="170"/>
        <v>0</v>
      </c>
      <c r="AM114" s="1654">
        <f t="shared" si="170"/>
        <v>0</v>
      </c>
      <c r="AN114" s="1654">
        <f t="shared" si="170"/>
        <v>0</v>
      </c>
    </row>
    <row r="115" spans="3:40" x14ac:dyDescent="0.35">
      <c r="C115" s="786" t="s">
        <v>7</v>
      </c>
      <c r="D115" s="787" t="s">
        <v>7</v>
      </c>
      <c r="E115" s="1197">
        <f t="shared" ref="E115" si="171">SUM(F115:AN115)</f>
        <v>104502.96999999999</v>
      </c>
      <c r="F115" s="809">
        <f>F65*$I$143</f>
        <v>0</v>
      </c>
      <c r="G115" s="809">
        <f t="shared" ref="G115:AN115" si="172">G65*$I$143</f>
        <v>0</v>
      </c>
      <c r="H115" s="809">
        <f t="shared" si="172"/>
        <v>40193.449999999997</v>
      </c>
      <c r="I115" s="809">
        <f t="shared" si="172"/>
        <v>0</v>
      </c>
      <c r="J115" s="809">
        <f t="shared" si="172"/>
        <v>0</v>
      </c>
      <c r="K115" s="809">
        <f t="shared" si="172"/>
        <v>0</v>
      </c>
      <c r="L115" s="809">
        <f t="shared" si="172"/>
        <v>0</v>
      </c>
      <c r="M115" s="809">
        <f t="shared" si="172"/>
        <v>0</v>
      </c>
      <c r="N115" s="809">
        <f t="shared" si="172"/>
        <v>0</v>
      </c>
      <c r="O115" s="809">
        <f t="shared" si="172"/>
        <v>0</v>
      </c>
      <c r="P115" s="809">
        <f t="shared" si="172"/>
        <v>0</v>
      </c>
      <c r="Q115" s="809">
        <f t="shared" si="172"/>
        <v>0</v>
      </c>
      <c r="R115" s="809">
        <f t="shared" si="172"/>
        <v>0</v>
      </c>
      <c r="S115" s="809">
        <f t="shared" si="172"/>
        <v>32154.759999999995</v>
      </c>
      <c r="T115" s="809">
        <f t="shared" si="172"/>
        <v>0</v>
      </c>
      <c r="U115" s="809">
        <f t="shared" si="172"/>
        <v>0</v>
      </c>
      <c r="V115" s="809">
        <f t="shared" si="172"/>
        <v>0</v>
      </c>
      <c r="W115" s="809">
        <f t="shared" si="172"/>
        <v>0</v>
      </c>
      <c r="X115" s="809">
        <f t="shared" si="172"/>
        <v>0</v>
      </c>
      <c r="Y115" s="809">
        <f t="shared" si="172"/>
        <v>0</v>
      </c>
      <c r="Z115" s="809">
        <f t="shared" si="172"/>
        <v>0</v>
      </c>
      <c r="AA115" s="809">
        <f t="shared" si="172"/>
        <v>0</v>
      </c>
      <c r="AB115" s="809">
        <f t="shared" si="172"/>
        <v>0</v>
      </c>
      <c r="AC115" s="809">
        <f t="shared" si="172"/>
        <v>32154.759999999995</v>
      </c>
      <c r="AD115" s="809">
        <f t="shared" si="172"/>
        <v>0</v>
      </c>
      <c r="AE115" s="809">
        <f t="shared" si="172"/>
        <v>0</v>
      </c>
      <c r="AF115" s="809">
        <f t="shared" si="172"/>
        <v>0</v>
      </c>
      <c r="AG115" s="809">
        <f t="shared" si="172"/>
        <v>0</v>
      </c>
      <c r="AH115" s="809">
        <f t="shared" si="172"/>
        <v>0</v>
      </c>
      <c r="AI115" s="809">
        <f t="shared" si="172"/>
        <v>0</v>
      </c>
      <c r="AJ115" s="809">
        <f t="shared" si="172"/>
        <v>0</v>
      </c>
      <c r="AK115" s="809">
        <f t="shared" si="172"/>
        <v>0</v>
      </c>
      <c r="AL115" s="809">
        <f t="shared" si="172"/>
        <v>0</v>
      </c>
      <c r="AM115" s="809">
        <f t="shared" si="172"/>
        <v>0</v>
      </c>
      <c r="AN115" s="809">
        <f t="shared" si="172"/>
        <v>0</v>
      </c>
    </row>
    <row r="116" spans="3:40" x14ac:dyDescent="0.35">
      <c r="C116" s="1979" t="s">
        <v>6</v>
      </c>
      <c r="D116" s="788" t="s">
        <v>5</v>
      </c>
      <c r="E116" s="1198">
        <f>SUM(F116:AN116)</f>
        <v>8658.2008498823907</v>
      </c>
      <c r="F116" s="812">
        <f>F65*$I$144</f>
        <v>0</v>
      </c>
      <c r="G116" s="812">
        <f t="shared" ref="G116:AN116" si="173">G65*$I$144</f>
        <v>0</v>
      </c>
      <c r="H116" s="812">
        <f t="shared" si="173"/>
        <v>3330.0772499547656</v>
      </c>
      <c r="I116" s="812">
        <f t="shared" si="173"/>
        <v>0</v>
      </c>
      <c r="J116" s="812">
        <f t="shared" si="173"/>
        <v>0</v>
      </c>
      <c r="K116" s="812">
        <f t="shared" si="173"/>
        <v>0</v>
      </c>
      <c r="L116" s="812">
        <f t="shared" si="173"/>
        <v>0</v>
      </c>
      <c r="M116" s="812">
        <f t="shared" si="173"/>
        <v>0</v>
      </c>
      <c r="N116" s="812">
        <f t="shared" si="173"/>
        <v>0</v>
      </c>
      <c r="O116" s="812">
        <f t="shared" si="173"/>
        <v>0</v>
      </c>
      <c r="P116" s="812">
        <f t="shared" si="173"/>
        <v>0</v>
      </c>
      <c r="Q116" s="812">
        <f t="shared" si="173"/>
        <v>0</v>
      </c>
      <c r="R116" s="812">
        <f t="shared" si="173"/>
        <v>0</v>
      </c>
      <c r="S116" s="812">
        <f t="shared" si="173"/>
        <v>2664.0617999638125</v>
      </c>
      <c r="T116" s="812">
        <f t="shared" si="173"/>
        <v>0</v>
      </c>
      <c r="U116" s="812">
        <f t="shared" si="173"/>
        <v>0</v>
      </c>
      <c r="V116" s="812">
        <f t="shared" si="173"/>
        <v>0</v>
      </c>
      <c r="W116" s="812">
        <f t="shared" si="173"/>
        <v>0</v>
      </c>
      <c r="X116" s="812">
        <f t="shared" si="173"/>
        <v>0</v>
      </c>
      <c r="Y116" s="812">
        <f t="shared" si="173"/>
        <v>0</v>
      </c>
      <c r="Z116" s="812">
        <f t="shared" si="173"/>
        <v>0</v>
      </c>
      <c r="AA116" s="812">
        <f t="shared" si="173"/>
        <v>0</v>
      </c>
      <c r="AB116" s="812">
        <f t="shared" si="173"/>
        <v>0</v>
      </c>
      <c r="AC116" s="812">
        <f t="shared" si="173"/>
        <v>2664.0617999638125</v>
      </c>
      <c r="AD116" s="812">
        <f t="shared" si="173"/>
        <v>0</v>
      </c>
      <c r="AE116" s="812">
        <f t="shared" si="173"/>
        <v>0</v>
      </c>
      <c r="AF116" s="812">
        <f t="shared" si="173"/>
        <v>0</v>
      </c>
      <c r="AG116" s="812">
        <f t="shared" si="173"/>
        <v>0</v>
      </c>
      <c r="AH116" s="812">
        <f t="shared" si="173"/>
        <v>0</v>
      </c>
      <c r="AI116" s="812">
        <f t="shared" si="173"/>
        <v>0</v>
      </c>
      <c r="AJ116" s="812">
        <f t="shared" si="173"/>
        <v>0</v>
      </c>
      <c r="AK116" s="812">
        <f t="shared" si="173"/>
        <v>0</v>
      </c>
      <c r="AL116" s="812">
        <f t="shared" si="173"/>
        <v>0</v>
      </c>
      <c r="AM116" s="812">
        <f t="shared" si="173"/>
        <v>0</v>
      </c>
      <c r="AN116" s="812">
        <f t="shared" si="173"/>
        <v>0</v>
      </c>
    </row>
    <row r="117" spans="3:40" x14ac:dyDescent="0.35">
      <c r="C117" s="1980"/>
      <c r="D117" s="1665" t="s">
        <v>6</v>
      </c>
      <c r="E117" s="1664">
        <f>SUM(F117:AN117)</f>
        <v>95844.769150117587</v>
      </c>
      <c r="F117" s="815">
        <f>F65*$I$145</f>
        <v>0</v>
      </c>
      <c r="G117" s="815">
        <f t="shared" ref="G117:AN117" si="174">G65*$I$145</f>
        <v>0</v>
      </c>
      <c r="H117" s="815">
        <f t="shared" si="174"/>
        <v>36863.37275004523</v>
      </c>
      <c r="I117" s="815">
        <f t="shared" si="174"/>
        <v>0</v>
      </c>
      <c r="J117" s="815">
        <f t="shared" si="174"/>
        <v>0</v>
      </c>
      <c r="K117" s="815">
        <f t="shared" si="174"/>
        <v>0</v>
      </c>
      <c r="L117" s="815">
        <f t="shared" si="174"/>
        <v>0</v>
      </c>
      <c r="M117" s="815">
        <f t="shared" si="174"/>
        <v>0</v>
      </c>
      <c r="N117" s="815">
        <f t="shared" si="174"/>
        <v>0</v>
      </c>
      <c r="O117" s="815">
        <f t="shared" si="174"/>
        <v>0</v>
      </c>
      <c r="P117" s="815">
        <f t="shared" si="174"/>
        <v>0</v>
      </c>
      <c r="Q117" s="815">
        <f t="shared" si="174"/>
        <v>0</v>
      </c>
      <c r="R117" s="815">
        <f t="shared" si="174"/>
        <v>0</v>
      </c>
      <c r="S117" s="815">
        <f t="shared" si="174"/>
        <v>29490.698200036179</v>
      </c>
      <c r="T117" s="815">
        <f t="shared" si="174"/>
        <v>0</v>
      </c>
      <c r="U117" s="815">
        <f t="shared" si="174"/>
        <v>0</v>
      </c>
      <c r="V117" s="815">
        <f t="shared" si="174"/>
        <v>0</v>
      </c>
      <c r="W117" s="815">
        <f t="shared" si="174"/>
        <v>0</v>
      </c>
      <c r="X117" s="815">
        <f t="shared" si="174"/>
        <v>0</v>
      </c>
      <c r="Y117" s="815">
        <f t="shared" si="174"/>
        <v>0</v>
      </c>
      <c r="Z117" s="815">
        <f t="shared" si="174"/>
        <v>0</v>
      </c>
      <c r="AA117" s="815">
        <f t="shared" si="174"/>
        <v>0</v>
      </c>
      <c r="AB117" s="815">
        <f t="shared" si="174"/>
        <v>0</v>
      </c>
      <c r="AC117" s="815">
        <f t="shared" si="174"/>
        <v>29490.698200036179</v>
      </c>
      <c r="AD117" s="815">
        <f t="shared" si="174"/>
        <v>0</v>
      </c>
      <c r="AE117" s="815">
        <f t="shared" si="174"/>
        <v>0</v>
      </c>
      <c r="AF117" s="815">
        <f t="shared" si="174"/>
        <v>0</v>
      </c>
      <c r="AG117" s="815">
        <f t="shared" si="174"/>
        <v>0</v>
      </c>
      <c r="AH117" s="815">
        <f t="shared" si="174"/>
        <v>0</v>
      </c>
      <c r="AI117" s="815">
        <f t="shared" si="174"/>
        <v>0</v>
      </c>
      <c r="AJ117" s="815">
        <f t="shared" si="174"/>
        <v>0</v>
      </c>
      <c r="AK117" s="815">
        <f t="shared" si="174"/>
        <v>0</v>
      </c>
      <c r="AL117" s="815">
        <f t="shared" si="174"/>
        <v>0</v>
      </c>
      <c r="AM117" s="815">
        <f t="shared" si="174"/>
        <v>0</v>
      </c>
      <c r="AN117" s="815">
        <f t="shared" si="174"/>
        <v>0</v>
      </c>
    </row>
    <row r="118" spans="3:40" x14ac:dyDescent="0.35">
      <c r="C118" s="854" t="s">
        <v>200</v>
      </c>
      <c r="D118" s="852"/>
      <c r="E118" s="1200">
        <f t="shared" ref="E118:AN118" si="175">SUM(E109:E117)</f>
        <v>522514.84999999986</v>
      </c>
      <c r="F118" s="1200">
        <f t="shared" si="175"/>
        <v>0</v>
      </c>
      <c r="G118" s="853">
        <f t="shared" si="175"/>
        <v>0</v>
      </c>
      <c r="H118" s="853">
        <f t="shared" si="175"/>
        <v>200967.25</v>
      </c>
      <c r="I118" s="853">
        <f t="shared" si="175"/>
        <v>0</v>
      </c>
      <c r="J118" s="853">
        <f t="shared" si="175"/>
        <v>0</v>
      </c>
      <c r="K118" s="853">
        <f t="shared" si="175"/>
        <v>0</v>
      </c>
      <c r="L118" s="853">
        <f t="shared" si="175"/>
        <v>0</v>
      </c>
      <c r="M118" s="853">
        <f t="shared" si="175"/>
        <v>0</v>
      </c>
      <c r="N118" s="853">
        <f t="shared" si="175"/>
        <v>0</v>
      </c>
      <c r="O118" s="853">
        <f t="shared" si="175"/>
        <v>0</v>
      </c>
      <c r="P118" s="853">
        <f t="shared" si="175"/>
        <v>0</v>
      </c>
      <c r="Q118" s="853">
        <f t="shared" si="175"/>
        <v>0</v>
      </c>
      <c r="R118" s="853">
        <f t="shared" si="175"/>
        <v>0</v>
      </c>
      <c r="S118" s="853">
        <f t="shared" si="175"/>
        <v>160773.79999999999</v>
      </c>
      <c r="T118" s="853">
        <f t="shared" si="175"/>
        <v>0</v>
      </c>
      <c r="U118" s="853">
        <f t="shared" si="175"/>
        <v>0</v>
      </c>
      <c r="V118" s="853">
        <f t="shared" si="175"/>
        <v>0</v>
      </c>
      <c r="W118" s="853">
        <f t="shared" si="175"/>
        <v>0</v>
      </c>
      <c r="X118" s="853">
        <f t="shared" si="175"/>
        <v>0</v>
      </c>
      <c r="Y118" s="853">
        <f t="shared" si="175"/>
        <v>0</v>
      </c>
      <c r="Z118" s="853">
        <f t="shared" si="175"/>
        <v>0</v>
      </c>
      <c r="AA118" s="853">
        <f t="shared" si="175"/>
        <v>0</v>
      </c>
      <c r="AB118" s="853">
        <f t="shared" si="175"/>
        <v>0</v>
      </c>
      <c r="AC118" s="853">
        <f t="shared" si="175"/>
        <v>160773.79999999999</v>
      </c>
      <c r="AD118" s="853">
        <f t="shared" si="175"/>
        <v>0</v>
      </c>
      <c r="AE118" s="853">
        <f t="shared" si="175"/>
        <v>0</v>
      </c>
      <c r="AF118" s="853">
        <f t="shared" si="175"/>
        <v>0</v>
      </c>
      <c r="AG118" s="853">
        <f t="shared" si="175"/>
        <v>0</v>
      </c>
      <c r="AH118" s="853">
        <f t="shared" si="175"/>
        <v>0</v>
      </c>
      <c r="AI118" s="853">
        <f t="shared" si="175"/>
        <v>0</v>
      </c>
      <c r="AJ118" s="853">
        <f t="shared" si="175"/>
        <v>0</v>
      </c>
      <c r="AK118" s="853">
        <f t="shared" si="175"/>
        <v>0</v>
      </c>
      <c r="AL118" s="853">
        <f t="shared" si="175"/>
        <v>0</v>
      </c>
      <c r="AM118" s="853">
        <f t="shared" si="175"/>
        <v>0</v>
      </c>
      <c r="AN118" s="853">
        <f t="shared" si="175"/>
        <v>0</v>
      </c>
    </row>
    <row r="119" spans="3:40" x14ac:dyDescent="0.35">
      <c r="C119" s="800" t="s">
        <v>333</v>
      </c>
      <c r="D119" s="861"/>
      <c r="E119" s="801">
        <f t="shared" ref="E119:AN119" si="176">E80+E92+E105+E118</f>
        <v>30562130.84</v>
      </c>
      <c r="F119" s="801">
        <f t="shared" si="176"/>
        <v>20962235.109999996</v>
      </c>
      <c r="G119" s="801">
        <f t="shared" si="176"/>
        <v>0</v>
      </c>
      <c r="H119" s="801">
        <f t="shared" si="176"/>
        <v>200967.25</v>
      </c>
      <c r="I119" s="801">
        <f t="shared" si="176"/>
        <v>0</v>
      </c>
      <c r="J119" s="801">
        <f t="shared" si="176"/>
        <v>0</v>
      </c>
      <c r="K119" s="801">
        <f t="shared" si="176"/>
        <v>0</v>
      </c>
      <c r="L119" s="801">
        <f t="shared" si="176"/>
        <v>0</v>
      </c>
      <c r="M119" s="801">
        <f t="shared" si="176"/>
        <v>0</v>
      </c>
      <c r="N119" s="801">
        <f t="shared" si="176"/>
        <v>0</v>
      </c>
      <c r="O119" s="801">
        <f t="shared" si="176"/>
        <v>347975.44000000006</v>
      </c>
      <c r="P119" s="801">
        <f t="shared" si="176"/>
        <v>4190715</v>
      </c>
      <c r="Q119" s="801">
        <f t="shared" si="176"/>
        <v>0</v>
      </c>
      <c r="R119" s="801">
        <f t="shared" si="176"/>
        <v>0</v>
      </c>
      <c r="S119" s="801">
        <f t="shared" si="176"/>
        <v>160773.79999999999</v>
      </c>
      <c r="T119" s="801">
        <f t="shared" si="176"/>
        <v>0</v>
      </c>
      <c r="U119" s="801">
        <f t="shared" si="176"/>
        <v>0</v>
      </c>
      <c r="V119" s="801">
        <f t="shared" si="176"/>
        <v>0</v>
      </c>
      <c r="W119" s="801">
        <f t="shared" si="176"/>
        <v>0</v>
      </c>
      <c r="X119" s="801">
        <f t="shared" si="176"/>
        <v>0</v>
      </c>
      <c r="Y119" s="801">
        <f t="shared" si="176"/>
        <v>347975.44000000006</v>
      </c>
      <c r="Z119" s="801">
        <f t="shared" si="176"/>
        <v>4190715</v>
      </c>
      <c r="AA119" s="801">
        <f t="shared" si="176"/>
        <v>0</v>
      </c>
      <c r="AB119" s="801">
        <f t="shared" si="176"/>
        <v>0</v>
      </c>
      <c r="AC119" s="801">
        <f t="shared" si="176"/>
        <v>160773.79999999999</v>
      </c>
      <c r="AD119" s="801">
        <f t="shared" si="176"/>
        <v>0</v>
      </c>
      <c r="AE119" s="801">
        <f t="shared" si="176"/>
        <v>0</v>
      </c>
      <c r="AF119" s="801">
        <f t="shared" si="176"/>
        <v>0</v>
      </c>
      <c r="AG119" s="801">
        <f t="shared" si="176"/>
        <v>0</v>
      </c>
      <c r="AH119" s="801">
        <f t="shared" si="176"/>
        <v>0</v>
      </c>
      <c r="AI119" s="801">
        <f t="shared" si="176"/>
        <v>0</v>
      </c>
      <c r="AJ119" s="801">
        <f t="shared" si="176"/>
        <v>0</v>
      </c>
      <c r="AK119" s="801">
        <f t="shared" si="176"/>
        <v>0</v>
      </c>
      <c r="AL119" s="801">
        <f t="shared" si="176"/>
        <v>0</v>
      </c>
      <c r="AM119" s="801">
        <f t="shared" si="176"/>
        <v>0</v>
      </c>
      <c r="AN119" s="801">
        <f t="shared" si="176"/>
        <v>0</v>
      </c>
    </row>
    <row r="120" spans="3:40" x14ac:dyDescent="0.35">
      <c r="C120" s="280"/>
      <c r="D120" s="280"/>
      <c r="E120" s="527"/>
      <c r="F120" s="527"/>
      <c r="G120" s="527"/>
      <c r="H120" s="527"/>
      <c r="I120" s="527"/>
      <c r="J120" s="527"/>
      <c r="K120" s="527"/>
      <c r="L120" s="527"/>
      <c r="M120" s="527"/>
      <c r="N120" s="527"/>
      <c r="O120" s="527"/>
      <c r="P120" s="527"/>
      <c r="Q120" s="527"/>
      <c r="R120" s="527"/>
      <c r="S120" s="527"/>
      <c r="T120" s="527"/>
      <c r="U120" s="527"/>
      <c r="V120" s="527"/>
      <c r="W120" s="527"/>
      <c r="X120" s="527"/>
      <c r="Y120" s="527"/>
      <c r="Z120" s="527"/>
      <c r="AA120" s="527"/>
      <c r="AB120" s="527"/>
      <c r="AC120" s="527"/>
      <c r="AD120" s="527"/>
      <c r="AE120" s="527"/>
      <c r="AF120" s="527"/>
      <c r="AG120" s="527"/>
      <c r="AH120" s="527"/>
      <c r="AI120" s="527"/>
      <c r="AJ120" s="527"/>
      <c r="AK120" s="527"/>
      <c r="AL120" s="527"/>
      <c r="AM120" s="527"/>
      <c r="AN120" s="527"/>
    </row>
    <row r="121" spans="3:40" x14ac:dyDescent="0.35">
      <c r="C121" s="280"/>
      <c r="D121" s="280"/>
      <c r="E121" s="527"/>
      <c r="F121" s="527"/>
      <c r="G121" s="527"/>
      <c r="H121" s="527"/>
      <c r="I121" s="527"/>
      <c r="J121" s="527"/>
      <c r="K121" s="527"/>
      <c r="L121" s="527"/>
      <c r="M121" s="527"/>
      <c r="N121" s="527"/>
      <c r="O121" s="527"/>
      <c r="P121" s="527"/>
      <c r="Q121" s="527"/>
      <c r="R121" s="527"/>
      <c r="S121" s="527"/>
      <c r="T121" s="527"/>
      <c r="U121" s="527"/>
      <c r="V121" s="527"/>
      <c r="W121" s="527"/>
      <c r="X121" s="527"/>
      <c r="Y121" s="527"/>
      <c r="Z121" s="527"/>
      <c r="AA121" s="527"/>
      <c r="AB121" s="527"/>
      <c r="AC121" s="527"/>
      <c r="AD121" s="527"/>
      <c r="AE121" s="527"/>
      <c r="AF121" s="527"/>
      <c r="AG121" s="527"/>
      <c r="AH121" s="527"/>
      <c r="AI121" s="527"/>
      <c r="AJ121" s="527"/>
      <c r="AK121" s="527"/>
      <c r="AL121" s="527"/>
      <c r="AM121" s="527"/>
      <c r="AN121" s="527"/>
    </row>
    <row r="122" spans="3:40" x14ac:dyDescent="0.35">
      <c r="C122" s="77" t="s">
        <v>809</v>
      </c>
    </row>
    <row r="123" spans="3:40" x14ac:dyDescent="0.35">
      <c r="C123" s="560" t="s">
        <v>179</v>
      </c>
      <c r="D123" s="860"/>
      <c r="E123" s="229" t="s">
        <v>455</v>
      </c>
      <c r="F123" s="802">
        <v>1</v>
      </c>
      <c r="G123" s="802">
        <f>F123+1</f>
        <v>2</v>
      </c>
      <c r="H123" s="802">
        <f t="shared" ref="H123:AN123" si="177">G123+1</f>
        <v>3</v>
      </c>
      <c r="I123" s="802">
        <f t="shared" si="177"/>
        <v>4</v>
      </c>
      <c r="J123" s="802">
        <f t="shared" si="177"/>
        <v>5</v>
      </c>
      <c r="K123" s="802">
        <f t="shared" si="177"/>
        <v>6</v>
      </c>
      <c r="L123" s="802">
        <f t="shared" si="177"/>
        <v>7</v>
      </c>
      <c r="M123" s="802">
        <f t="shared" si="177"/>
        <v>8</v>
      </c>
      <c r="N123" s="802">
        <f t="shared" si="177"/>
        <v>9</v>
      </c>
      <c r="O123" s="802">
        <f t="shared" si="177"/>
        <v>10</v>
      </c>
      <c r="P123" s="802">
        <f t="shared" si="177"/>
        <v>11</v>
      </c>
      <c r="Q123" s="802">
        <f t="shared" si="177"/>
        <v>12</v>
      </c>
      <c r="R123" s="802">
        <f t="shared" si="177"/>
        <v>13</v>
      </c>
      <c r="S123" s="802">
        <f t="shared" si="177"/>
        <v>14</v>
      </c>
      <c r="T123" s="802">
        <f t="shared" si="177"/>
        <v>15</v>
      </c>
      <c r="U123" s="802">
        <f t="shared" si="177"/>
        <v>16</v>
      </c>
      <c r="V123" s="802">
        <f t="shared" si="177"/>
        <v>17</v>
      </c>
      <c r="W123" s="802">
        <f t="shared" si="177"/>
        <v>18</v>
      </c>
      <c r="X123" s="802">
        <f t="shared" si="177"/>
        <v>19</v>
      </c>
      <c r="Y123" s="802">
        <f t="shared" si="177"/>
        <v>20</v>
      </c>
      <c r="Z123" s="802">
        <f t="shared" si="177"/>
        <v>21</v>
      </c>
      <c r="AA123" s="802">
        <f t="shared" si="177"/>
        <v>22</v>
      </c>
      <c r="AB123" s="802">
        <f t="shared" si="177"/>
        <v>23</v>
      </c>
      <c r="AC123" s="802">
        <f t="shared" si="177"/>
        <v>24</v>
      </c>
      <c r="AD123" s="802">
        <f t="shared" si="177"/>
        <v>25</v>
      </c>
      <c r="AE123" s="802">
        <f t="shared" si="177"/>
        <v>26</v>
      </c>
      <c r="AF123" s="802">
        <f t="shared" si="177"/>
        <v>27</v>
      </c>
      <c r="AG123" s="802">
        <f t="shared" si="177"/>
        <v>28</v>
      </c>
      <c r="AH123" s="802">
        <f t="shared" si="177"/>
        <v>29</v>
      </c>
      <c r="AI123" s="802">
        <f t="shared" si="177"/>
        <v>30</v>
      </c>
      <c r="AJ123" s="802">
        <f t="shared" si="177"/>
        <v>31</v>
      </c>
      <c r="AK123" s="802">
        <f t="shared" si="177"/>
        <v>32</v>
      </c>
      <c r="AL123" s="802">
        <f t="shared" si="177"/>
        <v>33</v>
      </c>
      <c r="AM123" s="802">
        <f t="shared" si="177"/>
        <v>34</v>
      </c>
      <c r="AN123" s="802">
        <f t="shared" si="177"/>
        <v>35</v>
      </c>
    </row>
    <row r="124" spans="3:40" x14ac:dyDescent="0.35">
      <c r="C124" s="877" t="s">
        <v>1</v>
      </c>
      <c r="D124" s="879"/>
      <c r="E124" s="808">
        <f>SUM(F124:AN124)</f>
        <v>250313.82588671902</v>
      </c>
      <c r="F124" s="875">
        <f>F71+F83+F96+F109</f>
        <v>171096.53697276354</v>
      </c>
      <c r="G124" s="875">
        <f t="shared" ref="G124:AN124" si="178">G71+G83+G96+G109</f>
        <v>0</v>
      </c>
      <c r="H124" s="875">
        <f t="shared" si="178"/>
        <v>4877.7541704936721</v>
      </c>
      <c r="I124" s="875">
        <f t="shared" si="178"/>
        <v>0</v>
      </c>
      <c r="J124" s="875">
        <f t="shared" si="178"/>
        <v>0</v>
      </c>
      <c r="K124" s="875">
        <f t="shared" si="178"/>
        <v>0</v>
      </c>
      <c r="L124" s="875">
        <f t="shared" si="178"/>
        <v>0</v>
      </c>
      <c r="M124" s="875">
        <f t="shared" si="178"/>
        <v>0</v>
      </c>
      <c r="N124" s="875">
        <f t="shared" si="178"/>
        <v>0</v>
      </c>
      <c r="O124" s="875">
        <f t="shared" si="178"/>
        <v>8445.8470406962842</v>
      </c>
      <c r="P124" s="875">
        <f t="shared" si="178"/>
        <v>24821.71699463969</v>
      </c>
      <c r="Q124" s="875">
        <f t="shared" si="178"/>
        <v>0</v>
      </c>
      <c r="R124" s="875">
        <f t="shared" si="178"/>
        <v>0</v>
      </c>
      <c r="S124" s="875">
        <f t="shared" si="178"/>
        <v>3902.2033363949372</v>
      </c>
      <c r="T124" s="875">
        <f t="shared" si="178"/>
        <v>0</v>
      </c>
      <c r="U124" s="875">
        <f t="shared" si="178"/>
        <v>0</v>
      </c>
      <c r="V124" s="875">
        <f t="shared" si="178"/>
        <v>0</v>
      </c>
      <c r="W124" s="875">
        <f t="shared" si="178"/>
        <v>0</v>
      </c>
      <c r="X124" s="875">
        <f t="shared" si="178"/>
        <v>0</v>
      </c>
      <c r="Y124" s="875">
        <f t="shared" si="178"/>
        <v>8445.8470406962842</v>
      </c>
      <c r="Z124" s="875">
        <f t="shared" si="178"/>
        <v>24821.71699463969</v>
      </c>
      <c r="AA124" s="875">
        <f t="shared" si="178"/>
        <v>0</v>
      </c>
      <c r="AB124" s="875">
        <f t="shared" si="178"/>
        <v>0</v>
      </c>
      <c r="AC124" s="875">
        <f t="shared" si="178"/>
        <v>3902.2033363949372</v>
      </c>
      <c r="AD124" s="875">
        <f t="shared" si="178"/>
        <v>0</v>
      </c>
      <c r="AE124" s="875">
        <f t="shared" si="178"/>
        <v>0</v>
      </c>
      <c r="AF124" s="875">
        <f t="shared" si="178"/>
        <v>0</v>
      </c>
      <c r="AG124" s="875">
        <f t="shared" si="178"/>
        <v>0</v>
      </c>
      <c r="AH124" s="875">
        <f t="shared" si="178"/>
        <v>0</v>
      </c>
      <c r="AI124" s="875">
        <f t="shared" si="178"/>
        <v>0</v>
      </c>
      <c r="AJ124" s="875">
        <f t="shared" si="178"/>
        <v>0</v>
      </c>
      <c r="AK124" s="875">
        <f t="shared" si="178"/>
        <v>0</v>
      </c>
      <c r="AL124" s="875">
        <f t="shared" si="178"/>
        <v>0</v>
      </c>
      <c r="AM124" s="875">
        <f t="shared" si="178"/>
        <v>0</v>
      </c>
      <c r="AN124" s="875">
        <f t="shared" si="178"/>
        <v>0</v>
      </c>
    </row>
    <row r="125" spans="3:40" x14ac:dyDescent="0.35">
      <c r="C125" s="878" t="s">
        <v>2</v>
      </c>
      <c r="D125" s="880"/>
      <c r="E125" s="811">
        <f t="shared" ref="E125:E132" si="179">SUM(F125:AN125)</f>
        <v>3196147.2448388939</v>
      </c>
      <c r="F125" s="876">
        <f>F73+F85+F98+F111</f>
        <v>2191734.14</v>
      </c>
      <c r="G125" s="876">
        <f t="shared" ref="G125:AN125" si="180">G73+G85+G98+G111</f>
        <v>0</v>
      </c>
      <c r="H125" s="876">
        <f t="shared" si="180"/>
        <v>40193.449999999997</v>
      </c>
      <c r="I125" s="876">
        <f t="shared" si="180"/>
        <v>0</v>
      </c>
      <c r="J125" s="876">
        <f t="shared" si="180"/>
        <v>0</v>
      </c>
      <c r="K125" s="876">
        <f t="shared" si="180"/>
        <v>0</v>
      </c>
      <c r="L125" s="876">
        <f t="shared" si="180"/>
        <v>0</v>
      </c>
      <c r="M125" s="876">
        <f t="shared" si="180"/>
        <v>0</v>
      </c>
      <c r="N125" s="876">
        <f t="shared" si="180"/>
        <v>0</v>
      </c>
      <c r="O125" s="876">
        <f t="shared" si="180"/>
        <v>69595.088000000003</v>
      </c>
      <c r="P125" s="876">
        <f t="shared" si="180"/>
        <v>380359.97941944702</v>
      </c>
      <c r="Q125" s="876">
        <f t="shared" si="180"/>
        <v>0</v>
      </c>
      <c r="R125" s="876">
        <f t="shared" si="180"/>
        <v>0</v>
      </c>
      <c r="S125" s="876">
        <f t="shared" si="180"/>
        <v>32154.759999999995</v>
      </c>
      <c r="T125" s="876">
        <f t="shared" si="180"/>
        <v>0</v>
      </c>
      <c r="U125" s="876">
        <f t="shared" si="180"/>
        <v>0</v>
      </c>
      <c r="V125" s="876">
        <f t="shared" si="180"/>
        <v>0</v>
      </c>
      <c r="W125" s="876">
        <f t="shared" si="180"/>
        <v>0</v>
      </c>
      <c r="X125" s="876">
        <f t="shared" si="180"/>
        <v>0</v>
      </c>
      <c r="Y125" s="876">
        <f t="shared" si="180"/>
        <v>69595.088000000003</v>
      </c>
      <c r="Z125" s="876">
        <f t="shared" si="180"/>
        <v>380359.97941944702</v>
      </c>
      <c r="AA125" s="876">
        <f t="shared" si="180"/>
        <v>0</v>
      </c>
      <c r="AB125" s="876">
        <f t="shared" si="180"/>
        <v>0</v>
      </c>
      <c r="AC125" s="876">
        <f t="shared" si="180"/>
        <v>32154.759999999995</v>
      </c>
      <c r="AD125" s="876">
        <f t="shared" si="180"/>
        <v>0</v>
      </c>
      <c r="AE125" s="876">
        <f t="shared" si="180"/>
        <v>0</v>
      </c>
      <c r="AF125" s="876">
        <f t="shared" si="180"/>
        <v>0</v>
      </c>
      <c r="AG125" s="876">
        <f t="shared" si="180"/>
        <v>0</v>
      </c>
      <c r="AH125" s="876">
        <f t="shared" si="180"/>
        <v>0</v>
      </c>
      <c r="AI125" s="876">
        <f t="shared" si="180"/>
        <v>0</v>
      </c>
      <c r="AJ125" s="876">
        <f t="shared" si="180"/>
        <v>0</v>
      </c>
      <c r="AK125" s="876">
        <f t="shared" si="180"/>
        <v>0</v>
      </c>
      <c r="AL125" s="876">
        <f t="shared" si="180"/>
        <v>0</v>
      </c>
      <c r="AM125" s="876">
        <f t="shared" si="180"/>
        <v>0</v>
      </c>
      <c r="AN125" s="876">
        <f t="shared" si="180"/>
        <v>0</v>
      </c>
    </row>
    <row r="126" spans="3:40" x14ac:dyDescent="0.35">
      <c r="C126" s="878" t="s">
        <v>3</v>
      </c>
      <c r="D126" s="880"/>
      <c r="E126" s="811">
        <f t="shared" si="179"/>
        <v>421431.00146296847</v>
      </c>
      <c r="F126" s="876">
        <f>F74+F86+F99+F112</f>
        <v>288993.16671104636</v>
      </c>
      <c r="G126" s="876">
        <f t="shared" ref="G126:AN126" si="181">G74+G86+G99+G112</f>
        <v>0</v>
      </c>
      <c r="H126" s="876">
        <f t="shared" si="181"/>
        <v>5299.7451582070562</v>
      </c>
      <c r="I126" s="876">
        <f t="shared" si="181"/>
        <v>0</v>
      </c>
      <c r="J126" s="876">
        <f t="shared" si="181"/>
        <v>0</v>
      </c>
      <c r="K126" s="876">
        <f t="shared" si="181"/>
        <v>0</v>
      </c>
      <c r="L126" s="876">
        <f t="shared" si="181"/>
        <v>0</v>
      </c>
      <c r="M126" s="876">
        <f t="shared" si="181"/>
        <v>0</v>
      </c>
      <c r="N126" s="876">
        <f t="shared" si="181"/>
        <v>0</v>
      </c>
      <c r="O126" s="876">
        <f t="shared" si="181"/>
        <v>9176.5257937050446</v>
      </c>
      <c r="P126" s="876">
        <f t="shared" si="181"/>
        <v>50152.722876586857</v>
      </c>
      <c r="Q126" s="876">
        <f t="shared" si="181"/>
        <v>0</v>
      </c>
      <c r="R126" s="876">
        <f t="shared" si="181"/>
        <v>0</v>
      </c>
      <c r="S126" s="876">
        <f t="shared" si="181"/>
        <v>4239.796126565645</v>
      </c>
      <c r="T126" s="876">
        <f t="shared" si="181"/>
        <v>0</v>
      </c>
      <c r="U126" s="876">
        <f t="shared" si="181"/>
        <v>0</v>
      </c>
      <c r="V126" s="876">
        <f t="shared" si="181"/>
        <v>0</v>
      </c>
      <c r="W126" s="876">
        <f t="shared" si="181"/>
        <v>0</v>
      </c>
      <c r="X126" s="876">
        <f t="shared" si="181"/>
        <v>0</v>
      </c>
      <c r="Y126" s="876">
        <f t="shared" si="181"/>
        <v>9176.5257937050446</v>
      </c>
      <c r="Z126" s="876">
        <f t="shared" si="181"/>
        <v>50152.722876586857</v>
      </c>
      <c r="AA126" s="876">
        <f t="shared" si="181"/>
        <v>0</v>
      </c>
      <c r="AB126" s="876">
        <f t="shared" si="181"/>
        <v>0</v>
      </c>
      <c r="AC126" s="876">
        <f t="shared" si="181"/>
        <v>4239.796126565645</v>
      </c>
      <c r="AD126" s="876">
        <f t="shared" si="181"/>
        <v>0</v>
      </c>
      <c r="AE126" s="876">
        <f t="shared" si="181"/>
        <v>0</v>
      </c>
      <c r="AF126" s="876">
        <f t="shared" si="181"/>
        <v>0</v>
      </c>
      <c r="AG126" s="876">
        <f t="shared" si="181"/>
        <v>0</v>
      </c>
      <c r="AH126" s="876">
        <f t="shared" si="181"/>
        <v>0</v>
      </c>
      <c r="AI126" s="876">
        <f t="shared" si="181"/>
        <v>0</v>
      </c>
      <c r="AJ126" s="876">
        <f t="shared" si="181"/>
        <v>0</v>
      </c>
      <c r="AK126" s="876">
        <f t="shared" si="181"/>
        <v>0</v>
      </c>
      <c r="AL126" s="876">
        <f t="shared" si="181"/>
        <v>0</v>
      </c>
      <c r="AM126" s="876">
        <f t="shared" si="181"/>
        <v>0</v>
      </c>
      <c r="AN126" s="876">
        <f t="shared" si="181"/>
        <v>0</v>
      </c>
    </row>
    <row r="127" spans="3:40" x14ac:dyDescent="0.35">
      <c r="C127" s="878" t="s">
        <v>4</v>
      </c>
      <c r="D127" s="880"/>
      <c r="E127" s="811">
        <f t="shared" si="179"/>
        <v>1124487.7182755121</v>
      </c>
      <c r="F127" s="876">
        <f>F75+F87+F100+F113</f>
        <v>771109.06768607651</v>
      </c>
      <c r="G127" s="876">
        <f t="shared" ref="G127:AN127" si="182">G75+G87+G100+G113</f>
        <v>0</v>
      </c>
      <c r="H127" s="876">
        <f t="shared" si="182"/>
        <v>14141.100962449273</v>
      </c>
      <c r="I127" s="876">
        <f t="shared" si="182"/>
        <v>0</v>
      </c>
      <c r="J127" s="876">
        <f t="shared" si="182"/>
        <v>0</v>
      </c>
      <c r="K127" s="876">
        <f t="shared" si="182"/>
        <v>0</v>
      </c>
      <c r="L127" s="876">
        <f t="shared" si="182"/>
        <v>0</v>
      </c>
      <c r="M127" s="876">
        <f t="shared" si="182"/>
        <v>0</v>
      </c>
      <c r="N127" s="876">
        <f t="shared" si="182"/>
        <v>0</v>
      </c>
      <c r="O127" s="876">
        <f t="shared" si="182"/>
        <v>24485.361816379085</v>
      </c>
      <c r="P127" s="876">
        <f t="shared" si="182"/>
        <v>133820.53222715462</v>
      </c>
      <c r="Q127" s="876">
        <f t="shared" si="182"/>
        <v>0</v>
      </c>
      <c r="R127" s="876">
        <f t="shared" si="182"/>
        <v>0</v>
      </c>
      <c r="S127" s="876">
        <f t="shared" si="182"/>
        <v>11312.880769959416</v>
      </c>
      <c r="T127" s="876">
        <f t="shared" si="182"/>
        <v>0</v>
      </c>
      <c r="U127" s="876">
        <f t="shared" si="182"/>
        <v>0</v>
      </c>
      <c r="V127" s="876">
        <f t="shared" si="182"/>
        <v>0</v>
      </c>
      <c r="W127" s="876">
        <f t="shared" si="182"/>
        <v>0</v>
      </c>
      <c r="X127" s="876">
        <f t="shared" si="182"/>
        <v>0</v>
      </c>
      <c r="Y127" s="876">
        <f t="shared" si="182"/>
        <v>24485.361816379085</v>
      </c>
      <c r="Z127" s="876">
        <f t="shared" si="182"/>
        <v>133820.53222715462</v>
      </c>
      <c r="AA127" s="876">
        <f t="shared" si="182"/>
        <v>0</v>
      </c>
      <c r="AB127" s="876">
        <f t="shared" si="182"/>
        <v>0</v>
      </c>
      <c r="AC127" s="876">
        <f t="shared" si="182"/>
        <v>11312.880769959416</v>
      </c>
      <c r="AD127" s="876">
        <f t="shared" si="182"/>
        <v>0</v>
      </c>
      <c r="AE127" s="876">
        <f t="shared" si="182"/>
        <v>0</v>
      </c>
      <c r="AF127" s="876">
        <f t="shared" si="182"/>
        <v>0</v>
      </c>
      <c r="AG127" s="876">
        <f t="shared" si="182"/>
        <v>0</v>
      </c>
      <c r="AH127" s="876">
        <f t="shared" si="182"/>
        <v>0</v>
      </c>
      <c r="AI127" s="876">
        <f t="shared" si="182"/>
        <v>0</v>
      </c>
      <c r="AJ127" s="876">
        <f t="shared" si="182"/>
        <v>0</v>
      </c>
      <c r="AK127" s="876">
        <f t="shared" si="182"/>
        <v>0</v>
      </c>
      <c r="AL127" s="876">
        <f t="shared" si="182"/>
        <v>0</v>
      </c>
      <c r="AM127" s="876">
        <f t="shared" si="182"/>
        <v>0</v>
      </c>
      <c r="AN127" s="876">
        <f t="shared" si="182"/>
        <v>0</v>
      </c>
    </row>
    <row r="128" spans="3:40" x14ac:dyDescent="0.35">
      <c r="C128" s="878" t="s">
        <v>5</v>
      </c>
      <c r="D128" s="880"/>
      <c r="E128" s="811">
        <f t="shared" si="179"/>
        <v>1571632.9658218103</v>
      </c>
      <c r="F128" s="876">
        <f>F78+F90+F103+F116</f>
        <v>1078504.7881406872</v>
      </c>
      <c r="G128" s="876">
        <f t="shared" ref="G128:AN128" si="183">G78+G90+G103+G116</f>
        <v>0</v>
      </c>
      <c r="H128" s="876">
        <f t="shared" si="183"/>
        <v>3330.0772499547656</v>
      </c>
      <c r="I128" s="876">
        <f t="shared" si="183"/>
        <v>0</v>
      </c>
      <c r="J128" s="876">
        <f t="shared" si="183"/>
        <v>0</v>
      </c>
      <c r="K128" s="876">
        <f t="shared" si="183"/>
        <v>0</v>
      </c>
      <c r="L128" s="876">
        <f t="shared" si="183"/>
        <v>0</v>
      </c>
      <c r="M128" s="876">
        <f t="shared" si="183"/>
        <v>0</v>
      </c>
      <c r="N128" s="876">
        <f t="shared" si="183"/>
        <v>0</v>
      </c>
      <c r="O128" s="876">
        <f t="shared" si="183"/>
        <v>5766.0394730335402</v>
      </c>
      <c r="P128" s="876">
        <f t="shared" si="183"/>
        <v>236468.94894258695</v>
      </c>
      <c r="Q128" s="876">
        <f t="shared" si="183"/>
        <v>0</v>
      </c>
      <c r="R128" s="876">
        <f t="shared" si="183"/>
        <v>0</v>
      </c>
      <c r="S128" s="876">
        <f t="shared" si="183"/>
        <v>2664.0617999638125</v>
      </c>
      <c r="T128" s="876">
        <f t="shared" si="183"/>
        <v>0</v>
      </c>
      <c r="U128" s="876">
        <f t="shared" si="183"/>
        <v>0</v>
      </c>
      <c r="V128" s="876">
        <f t="shared" si="183"/>
        <v>0</v>
      </c>
      <c r="W128" s="876">
        <f t="shared" si="183"/>
        <v>0</v>
      </c>
      <c r="X128" s="876">
        <f t="shared" si="183"/>
        <v>0</v>
      </c>
      <c r="Y128" s="876">
        <f t="shared" si="183"/>
        <v>5766.0394730335402</v>
      </c>
      <c r="Z128" s="876">
        <f t="shared" si="183"/>
        <v>236468.94894258695</v>
      </c>
      <c r="AA128" s="876">
        <f t="shared" si="183"/>
        <v>0</v>
      </c>
      <c r="AB128" s="876">
        <f t="shared" si="183"/>
        <v>0</v>
      </c>
      <c r="AC128" s="876">
        <f t="shared" si="183"/>
        <v>2664.0617999638125</v>
      </c>
      <c r="AD128" s="876">
        <f t="shared" si="183"/>
        <v>0</v>
      </c>
      <c r="AE128" s="876">
        <f t="shared" si="183"/>
        <v>0</v>
      </c>
      <c r="AF128" s="876">
        <f t="shared" si="183"/>
        <v>0</v>
      </c>
      <c r="AG128" s="876">
        <f t="shared" si="183"/>
        <v>0</v>
      </c>
      <c r="AH128" s="876">
        <f t="shared" si="183"/>
        <v>0</v>
      </c>
      <c r="AI128" s="876">
        <f t="shared" si="183"/>
        <v>0</v>
      </c>
      <c r="AJ128" s="876">
        <f t="shared" si="183"/>
        <v>0</v>
      </c>
      <c r="AK128" s="876">
        <f t="shared" si="183"/>
        <v>0</v>
      </c>
      <c r="AL128" s="876">
        <f t="shared" si="183"/>
        <v>0</v>
      </c>
      <c r="AM128" s="876">
        <f t="shared" si="183"/>
        <v>0</v>
      </c>
      <c r="AN128" s="876">
        <f t="shared" si="183"/>
        <v>0</v>
      </c>
    </row>
    <row r="129" spans="3:40" x14ac:dyDescent="0.35">
      <c r="C129" s="878" t="s">
        <v>6</v>
      </c>
      <c r="D129" s="880"/>
      <c r="E129" s="811">
        <f t="shared" si="179"/>
        <v>17397702.064159464</v>
      </c>
      <c r="F129" s="876">
        <f>F79+F91+F104+F117</f>
        <v>11938859.381859312</v>
      </c>
      <c r="G129" s="876">
        <f t="shared" ref="G129:AN129" si="184">G79+G91+G104+G117</f>
        <v>0</v>
      </c>
      <c r="H129" s="876">
        <f t="shared" si="184"/>
        <v>36863.37275004523</v>
      </c>
      <c r="I129" s="876">
        <f t="shared" si="184"/>
        <v>0</v>
      </c>
      <c r="J129" s="876">
        <f t="shared" si="184"/>
        <v>0</v>
      </c>
      <c r="K129" s="876">
        <f t="shared" si="184"/>
        <v>0</v>
      </c>
      <c r="L129" s="876">
        <f t="shared" si="184"/>
        <v>0</v>
      </c>
      <c r="M129" s="876">
        <f t="shared" si="184"/>
        <v>0</v>
      </c>
      <c r="N129" s="876">
        <f t="shared" si="184"/>
        <v>0</v>
      </c>
      <c r="O129" s="876">
        <f t="shared" si="184"/>
        <v>63829.048526966457</v>
      </c>
      <c r="P129" s="876">
        <f t="shared" si="184"/>
        <v>2617669.9080480505</v>
      </c>
      <c r="Q129" s="876">
        <f t="shared" si="184"/>
        <v>0</v>
      </c>
      <c r="R129" s="876">
        <f t="shared" si="184"/>
        <v>0</v>
      </c>
      <c r="S129" s="876">
        <f t="shared" si="184"/>
        <v>29490.698200036179</v>
      </c>
      <c r="T129" s="876">
        <f t="shared" si="184"/>
        <v>0</v>
      </c>
      <c r="U129" s="876">
        <f t="shared" si="184"/>
        <v>0</v>
      </c>
      <c r="V129" s="876">
        <f t="shared" si="184"/>
        <v>0</v>
      </c>
      <c r="W129" s="876">
        <f t="shared" si="184"/>
        <v>0</v>
      </c>
      <c r="X129" s="876">
        <f t="shared" si="184"/>
        <v>0</v>
      </c>
      <c r="Y129" s="876">
        <f t="shared" si="184"/>
        <v>63829.048526966457</v>
      </c>
      <c r="Z129" s="876">
        <f t="shared" si="184"/>
        <v>2617669.9080480505</v>
      </c>
      <c r="AA129" s="876">
        <f t="shared" si="184"/>
        <v>0</v>
      </c>
      <c r="AB129" s="876">
        <f t="shared" si="184"/>
        <v>0</v>
      </c>
      <c r="AC129" s="876">
        <f t="shared" si="184"/>
        <v>29490.698200036179</v>
      </c>
      <c r="AD129" s="876">
        <f t="shared" si="184"/>
        <v>0</v>
      </c>
      <c r="AE129" s="876">
        <f t="shared" si="184"/>
        <v>0</v>
      </c>
      <c r="AF129" s="876">
        <f t="shared" si="184"/>
        <v>0</v>
      </c>
      <c r="AG129" s="876">
        <f t="shared" si="184"/>
        <v>0</v>
      </c>
      <c r="AH129" s="876">
        <f t="shared" si="184"/>
        <v>0</v>
      </c>
      <c r="AI129" s="876">
        <f t="shared" si="184"/>
        <v>0</v>
      </c>
      <c r="AJ129" s="876">
        <f t="shared" si="184"/>
        <v>0</v>
      </c>
      <c r="AK129" s="876">
        <f t="shared" si="184"/>
        <v>0</v>
      </c>
      <c r="AL129" s="876">
        <f t="shared" si="184"/>
        <v>0</v>
      </c>
      <c r="AM129" s="876">
        <f t="shared" si="184"/>
        <v>0</v>
      </c>
      <c r="AN129" s="876">
        <f t="shared" si="184"/>
        <v>0</v>
      </c>
    </row>
    <row r="130" spans="3:40" x14ac:dyDescent="0.35">
      <c r="C130" s="878" t="s">
        <v>7</v>
      </c>
      <c r="D130" s="880"/>
      <c r="E130" s="811">
        <f t="shared" si="179"/>
        <v>3137876.6177786323</v>
      </c>
      <c r="F130" s="876">
        <f>F77+F89+F102+F115</f>
        <v>2151540.69</v>
      </c>
      <c r="G130" s="876">
        <f t="shared" ref="G130:AN130" si="185">G77+G89+G102+G115</f>
        <v>0</v>
      </c>
      <c r="H130" s="876">
        <f t="shared" si="185"/>
        <v>40193.449999999997</v>
      </c>
      <c r="I130" s="876">
        <f t="shared" si="185"/>
        <v>0</v>
      </c>
      <c r="J130" s="876">
        <f t="shared" si="185"/>
        <v>0</v>
      </c>
      <c r="K130" s="876">
        <f t="shared" si="185"/>
        <v>0</v>
      </c>
      <c r="L130" s="876">
        <f t="shared" si="185"/>
        <v>0</v>
      </c>
      <c r="M130" s="876">
        <f t="shared" si="185"/>
        <v>0</v>
      </c>
      <c r="N130" s="876">
        <f t="shared" si="185"/>
        <v>0</v>
      </c>
      <c r="O130" s="876">
        <f t="shared" si="185"/>
        <v>69595.088000000003</v>
      </c>
      <c r="P130" s="876">
        <f t="shared" si="185"/>
        <v>371321.39088931651</v>
      </c>
      <c r="Q130" s="876">
        <f t="shared" si="185"/>
        <v>0</v>
      </c>
      <c r="R130" s="876">
        <f t="shared" si="185"/>
        <v>0</v>
      </c>
      <c r="S130" s="876">
        <f t="shared" si="185"/>
        <v>32154.759999999995</v>
      </c>
      <c r="T130" s="876">
        <f t="shared" si="185"/>
        <v>0</v>
      </c>
      <c r="U130" s="876">
        <f t="shared" si="185"/>
        <v>0</v>
      </c>
      <c r="V130" s="876">
        <f t="shared" si="185"/>
        <v>0</v>
      </c>
      <c r="W130" s="876">
        <f t="shared" si="185"/>
        <v>0</v>
      </c>
      <c r="X130" s="876">
        <f t="shared" si="185"/>
        <v>0</v>
      </c>
      <c r="Y130" s="876">
        <f t="shared" si="185"/>
        <v>69595.088000000003</v>
      </c>
      <c r="Z130" s="876">
        <f t="shared" si="185"/>
        <v>371321.39088931651</v>
      </c>
      <c r="AA130" s="876">
        <f t="shared" si="185"/>
        <v>0</v>
      </c>
      <c r="AB130" s="876">
        <f t="shared" si="185"/>
        <v>0</v>
      </c>
      <c r="AC130" s="876">
        <f t="shared" si="185"/>
        <v>32154.759999999995</v>
      </c>
      <c r="AD130" s="876">
        <f t="shared" si="185"/>
        <v>0</v>
      </c>
      <c r="AE130" s="876">
        <f t="shared" si="185"/>
        <v>0</v>
      </c>
      <c r="AF130" s="876">
        <f t="shared" si="185"/>
        <v>0</v>
      </c>
      <c r="AG130" s="876">
        <f t="shared" si="185"/>
        <v>0</v>
      </c>
      <c r="AH130" s="876">
        <f t="shared" si="185"/>
        <v>0</v>
      </c>
      <c r="AI130" s="876">
        <f t="shared" si="185"/>
        <v>0</v>
      </c>
      <c r="AJ130" s="876">
        <f t="shared" si="185"/>
        <v>0</v>
      </c>
      <c r="AK130" s="876">
        <f t="shared" si="185"/>
        <v>0</v>
      </c>
      <c r="AL130" s="876">
        <f t="shared" si="185"/>
        <v>0</v>
      </c>
      <c r="AM130" s="876">
        <f t="shared" si="185"/>
        <v>0</v>
      </c>
      <c r="AN130" s="876">
        <f t="shared" si="185"/>
        <v>0</v>
      </c>
    </row>
    <row r="131" spans="3:40" x14ac:dyDescent="0.35">
      <c r="C131" s="878" t="s">
        <v>8</v>
      </c>
      <c r="D131" s="880"/>
      <c r="E131" s="811">
        <f t="shared" si="179"/>
        <v>1812310.8766755853</v>
      </c>
      <c r="F131" s="876">
        <f>F72+F84+F97+F110</f>
        <v>1238765.4330272365</v>
      </c>
      <c r="G131" s="876">
        <f t="shared" ref="G131:AN131" si="186">G72+G84+G97+G110</f>
        <v>0</v>
      </c>
      <c r="H131" s="876">
        <f t="shared" si="186"/>
        <v>35315.695829506323</v>
      </c>
      <c r="I131" s="876">
        <f t="shared" si="186"/>
        <v>0</v>
      </c>
      <c r="J131" s="876">
        <f t="shared" si="186"/>
        <v>0</v>
      </c>
      <c r="K131" s="876">
        <f t="shared" si="186"/>
        <v>0</v>
      </c>
      <c r="L131" s="876">
        <f t="shared" si="186"/>
        <v>0</v>
      </c>
      <c r="M131" s="876">
        <f t="shared" si="186"/>
        <v>0</v>
      </c>
      <c r="N131" s="876">
        <f t="shared" si="186"/>
        <v>0</v>
      </c>
      <c r="O131" s="876">
        <f t="shared" si="186"/>
        <v>61149.240959303715</v>
      </c>
      <c r="P131" s="876">
        <f t="shared" si="186"/>
        <v>179713.0762865124</v>
      </c>
      <c r="Q131" s="876">
        <f t="shared" si="186"/>
        <v>0</v>
      </c>
      <c r="R131" s="876">
        <f t="shared" si="186"/>
        <v>0</v>
      </c>
      <c r="S131" s="876">
        <f t="shared" si="186"/>
        <v>28252.556663605057</v>
      </c>
      <c r="T131" s="876">
        <f t="shared" si="186"/>
        <v>0</v>
      </c>
      <c r="U131" s="876">
        <f t="shared" si="186"/>
        <v>0</v>
      </c>
      <c r="V131" s="876">
        <f t="shared" si="186"/>
        <v>0</v>
      </c>
      <c r="W131" s="876">
        <f t="shared" si="186"/>
        <v>0</v>
      </c>
      <c r="X131" s="876">
        <f t="shared" si="186"/>
        <v>0</v>
      </c>
      <c r="Y131" s="876">
        <f t="shared" si="186"/>
        <v>61149.240959303715</v>
      </c>
      <c r="Z131" s="876">
        <f t="shared" si="186"/>
        <v>179713.0762865124</v>
      </c>
      <c r="AA131" s="876">
        <f t="shared" si="186"/>
        <v>0</v>
      </c>
      <c r="AB131" s="876">
        <f t="shared" si="186"/>
        <v>0</v>
      </c>
      <c r="AC131" s="876">
        <f t="shared" si="186"/>
        <v>28252.556663605057</v>
      </c>
      <c r="AD131" s="876">
        <f t="shared" si="186"/>
        <v>0</v>
      </c>
      <c r="AE131" s="876">
        <f t="shared" si="186"/>
        <v>0</v>
      </c>
      <c r="AF131" s="876">
        <f t="shared" si="186"/>
        <v>0</v>
      </c>
      <c r="AG131" s="876">
        <f t="shared" si="186"/>
        <v>0</v>
      </c>
      <c r="AH131" s="876">
        <f t="shared" si="186"/>
        <v>0</v>
      </c>
      <c r="AI131" s="876">
        <f t="shared" si="186"/>
        <v>0</v>
      </c>
      <c r="AJ131" s="876">
        <f t="shared" si="186"/>
        <v>0</v>
      </c>
      <c r="AK131" s="876">
        <f t="shared" si="186"/>
        <v>0</v>
      </c>
      <c r="AL131" s="876">
        <f t="shared" si="186"/>
        <v>0</v>
      </c>
      <c r="AM131" s="876">
        <f t="shared" si="186"/>
        <v>0</v>
      </c>
      <c r="AN131" s="876">
        <f t="shared" si="186"/>
        <v>0</v>
      </c>
    </row>
    <row r="132" spans="3:40" x14ac:dyDescent="0.35">
      <c r="C132" s="878" t="s">
        <v>9</v>
      </c>
      <c r="D132" s="880"/>
      <c r="E132" s="811">
        <f t="shared" si="179"/>
        <v>1650228.5251004132</v>
      </c>
      <c r="F132" s="876">
        <f>F76+F88+F101+F114</f>
        <v>1131631.905602877</v>
      </c>
      <c r="G132" s="876">
        <f t="shared" ref="G132:AN132" si="187">G76+G88+G101+G114</f>
        <v>0</v>
      </c>
      <c r="H132" s="876">
        <f t="shared" si="187"/>
        <v>20752.603879343664</v>
      </c>
      <c r="I132" s="876">
        <f t="shared" si="187"/>
        <v>0</v>
      </c>
      <c r="J132" s="876">
        <f t="shared" si="187"/>
        <v>0</v>
      </c>
      <c r="K132" s="876">
        <f t="shared" si="187"/>
        <v>0</v>
      </c>
      <c r="L132" s="876">
        <f t="shared" si="187"/>
        <v>0</v>
      </c>
      <c r="M132" s="876">
        <f t="shared" si="187"/>
        <v>0</v>
      </c>
      <c r="N132" s="876">
        <f t="shared" si="187"/>
        <v>0</v>
      </c>
      <c r="O132" s="876">
        <f t="shared" si="187"/>
        <v>35933.200389915866</v>
      </c>
      <c r="P132" s="876">
        <f t="shared" si="187"/>
        <v>196386.72431570551</v>
      </c>
      <c r="Q132" s="876">
        <f t="shared" si="187"/>
        <v>0</v>
      </c>
      <c r="R132" s="876">
        <f t="shared" si="187"/>
        <v>0</v>
      </c>
      <c r="S132" s="876">
        <f t="shared" si="187"/>
        <v>16602.083103474928</v>
      </c>
      <c r="T132" s="876">
        <f t="shared" si="187"/>
        <v>0</v>
      </c>
      <c r="U132" s="876">
        <f t="shared" si="187"/>
        <v>0</v>
      </c>
      <c r="V132" s="876">
        <f t="shared" si="187"/>
        <v>0</v>
      </c>
      <c r="W132" s="876">
        <f t="shared" si="187"/>
        <v>0</v>
      </c>
      <c r="X132" s="876">
        <f t="shared" si="187"/>
        <v>0</v>
      </c>
      <c r="Y132" s="876">
        <f t="shared" si="187"/>
        <v>35933.200389915866</v>
      </c>
      <c r="Z132" s="876">
        <f t="shared" si="187"/>
        <v>196386.72431570551</v>
      </c>
      <c r="AA132" s="876">
        <f t="shared" si="187"/>
        <v>0</v>
      </c>
      <c r="AB132" s="876">
        <f t="shared" si="187"/>
        <v>0</v>
      </c>
      <c r="AC132" s="876">
        <f t="shared" si="187"/>
        <v>16602.083103474928</v>
      </c>
      <c r="AD132" s="876">
        <f t="shared" si="187"/>
        <v>0</v>
      </c>
      <c r="AE132" s="876">
        <f t="shared" si="187"/>
        <v>0</v>
      </c>
      <c r="AF132" s="876">
        <f t="shared" si="187"/>
        <v>0</v>
      </c>
      <c r="AG132" s="876">
        <f t="shared" si="187"/>
        <v>0</v>
      </c>
      <c r="AH132" s="876">
        <f t="shared" si="187"/>
        <v>0</v>
      </c>
      <c r="AI132" s="876">
        <f t="shared" si="187"/>
        <v>0</v>
      </c>
      <c r="AJ132" s="876">
        <f t="shared" si="187"/>
        <v>0</v>
      </c>
      <c r="AK132" s="876">
        <f t="shared" si="187"/>
        <v>0</v>
      </c>
      <c r="AL132" s="876">
        <f t="shared" si="187"/>
        <v>0</v>
      </c>
      <c r="AM132" s="876">
        <f t="shared" si="187"/>
        <v>0</v>
      </c>
      <c r="AN132" s="876">
        <f t="shared" si="187"/>
        <v>0</v>
      </c>
    </row>
    <row r="133" spans="3:40" x14ac:dyDescent="0.35">
      <c r="C133" s="800" t="s">
        <v>455</v>
      </c>
      <c r="D133" s="861"/>
      <c r="E133" s="801">
        <f t="shared" ref="E133:AN133" si="188">SUM(E124:E132)</f>
        <v>30562130.84</v>
      </c>
      <c r="F133" s="801">
        <f t="shared" si="188"/>
        <v>20962235.109999999</v>
      </c>
      <c r="G133" s="801">
        <f t="shared" si="188"/>
        <v>0</v>
      </c>
      <c r="H133" s="801">
        <f t="shared" si="188"/>
        <v>200967.25</v>
      </c>
      <c r="I133" s="801">
        <f t="shared" si="188"/>
        <v>0</v>
      </c>
      <c r="J133" s="801">
        <f t="shared" si="188"/>
        <v>0</v>
      </c>
      <c r="K133" s="801">
        <f t="shared" si="188"/>
        <v>0</v>
      </c>
      <c r="L133" s="801">
        <f t="shared" si="188"/>
        <v>0</v>
      </c>
      <c r="M133" s="801">
        <f t="shared" si="188"/>
        <v>0</v>
      </c>
      <c r="N133" s="801">
        <f t="shared" si="188"/>
        <v>0</v>
      </c>
      <c r="O133" s="801">
        <f t="shared" si="188"/>
        <v>347975.43999999994</v>
      </c>
      <c r="P133" s="801">
        <f t="shared" si="188"/>
        <v>4190715</v>
      </c>
      <c r="Q133" s="801">
        <f t="shared" si="188"/>
        <v>0</v>
      </c>
      <c r="R133" s="801">
        <f t="shared" si="188"/>
        <v>0</v>
      </c>
      <c r="S133" s="801">
        <f t="shared" si="188"/>
        <v>160773.79999999996</v>
      </c>
      <c r="T133" s="801">
        <f t="shared" si="188"/>
        <v>0</v>
      </c>
      <c r="U133" s="801">
        <f t="shared" si="188"/>
        <v>0</v>
      </c>
      <c r="V133" s="801">
        <f t="shared" si="188"/>
        <v>0</v>
      </c>
      <c r="W133" s="801">
        <f t="shared" si="188"/>
        <v>0</v>
      </c>
      <c r="X133" s="801">
        <f t="shared" si="188"/>
        <v>0</v>
      </c>
      <c r="Y133" s="801">
        <f t="shared" si="188"/>
        <v>347975.43999999994</v>
      </c>
      <c r="Z133" s="801">
        <f t="shared" si="188"/>
        <v>4190715</v>
      </c>
      <c r="AA133" s="801">
        <f t="shared" si="188"/>
        <v>0</v>
      </c>
      <c r="AB133" s="801">
        <f t="shared" si="188"/>
        <v>0</v>
      </c>
      <c r="AC133" s="801">
        <f t="shared" si="188"/>
        <v>160773.79999999996</v>
      </c>
      <c r="AD133" s="801">
        <f t="shared" si="188"/>
        <v>0</v>
      </c>
      <c r="AE133" s="801">
        <f t="shared" si="188"/>
        <v>0</v>
      </c>
      <c r="AF133" s="801">
        <f t="shared" si="188"/>
        <v>0</v>
      </c>
      <c r="AG133" s="801">
        <f t="shared" si="188"/>
        <v>0</v>
      </c>
      <c r="AH133" s="801">
        <f t="shared" si="188"/>
        <v>0</v>
      </c>
      <c r="AI133" s="801">
        <f t="shared" si="188"/>
        <v>0</v>
      </c>
      <c r="AJ133" s="801">
        <f t="shared" si="188"/>
        <v>0</v>
      </c>
      <c r="AK133" s="801">
        <f t="shared" si="188"/>
        <v>0</v>
      </c>
      <c r="AL133" s="801">
        <f t="shared" si="188"/>
        <v>0</v>
      </c>
      <c r="AM133" s="801">
        <f t="shared" si="188"/>
        <v>0</v>
      </c>
      <c r="AN133" s="801">
        <f t="shared" si="188"/>
        <v>0</v>
      </c>
    </row>
    <row r="134" spans="3:40" x14ac:dyDescent="0.35">
      <c r="F134" s="221"/>
    </row>
    <row r="135" spans="3:40" x14ac:dyDescent="0.35">
      <c r="C135" s="77" t="s">
        <v>810</v>
      </c>
      <c r="F135" s="65" t="s">
        <v>811</v>
      </c>
      <c r="G135" s="1533" t="s">
        <v>812</v>
      </c>
      <c r="H135" s="1533" t="s">
        <v>813</v>
      </c>
      <c r="I135" s="1533" t="s">
        <v>814</v>
      </c>
    </row>
    <row r="136" spans="3:40" x14ac:dyDescent="0.35">
      <c r="C136" s="803" t="s">
        <v>717</v>
      </c>
      <c r="D136" s="862" t="s">
        <v>68</v>
      </c>
      <c r="E136" s="869"/>
      <c r="F136" s="802" t="s">
        <v>176</v>
      </c>
      <c r="G136" s="802" t="s">
        <v>176</v>
      </c>
      <c r="H136" s="802" t="s">
        <v>176</v>
      </c>
      <c r="I136" s="802" t="s">
        <v>176</v>
      </c>
      <c r="J136" s="1014"/>
      <c r="K136" s="1014"/>
      <c r="L136" s="1014"/>
      <c r="M136" s="1014"/>
      <c r="N136" s="1014"/>
      <c r="O136" s="1014"/>
      <c r="P136" s="1014"/>
      <c r="Q136" s="1014"/>
      <c r="R136" s="1014"/>
      <c r="S136" s="1014"/>
      <c r="T136" s="1014"/>
      <c r="U136" s="1014"/>
      <c r="V136" s="1014"/>
      <c r="W136" s="1014"/>
      <c r="X136" s="1014"/>
      <c r="Y136" s="1014"/>
      <c r="Z136" s="1014"/>
      <c r="AA136" s="1014"/>
      <c r="AB136" s="1014"/>
      <c r="AC136" s="1014"/>
      <c r="AD136" s="1014"/>
      <c r="AE136" s="1014"/>
      <c r="AF136" s="1014"/>
      <c r="AG136" s="1014"/>
      <c r="AH136" s="1014"/>
      <c r="AI136" s="1014"/>
      <c r="AJ136" s="1014"/>
      <c r="AK136" s="1014"/>
      <c r="AL136" s="1014"/>
      <c r="AM136" s="1014"/>
      <c r="AN136" s="1014"/>
    </row>
    <row r="137" spans="3:40" x14ac:dyDescent="0.35">
      <c r="C137" s="1982" t="s">
        <v>1</v>
      </c>
      <c r="D137" s="863" t="s">
        <v>1</v>
      </c>
      <c r="E137" s="870"/>
      <c r="F137" s="818">
        <f>'Premissas Gerais'!$G$165</f>
        <v>6.8271733926195486E-3</v>
      </c>
      <c r="G137" s="1781">
        <f>((F22*G35+G22*G36+H22*G37)/H38)*(F137/(F137+F138))</f>
        <v>5.3481092564958508E-3</v>
      </c>
      <c r="H137" s="1781">
        <f>((I22*J35+J22*J36+K22*J37)/K38)*(F137/(F137+F138))</f>
        <v>1.7336705964684271E-2</v>
      </c>
      <c r="I137" s="1781">
        <f>((L22*M35+M22*M36+N22*M37)/N38)*(F137/(F137+F138))</f>
        <v>2.4271388350557973E-2</v>
      </c>
      <c r="J137" s="1016"/>
      <c r="K137" s="1016"/>
      <c r="L137" s="1016"/>
      <c r="M137" s="1016"/>
      <c r="N137" s="1016"/>
      <c r="O137" s="1016"/>
      <c r="P137" s="1016"/>
      <c r="Q137" s="1016"/>
      <c r="R137" s="1016"/>
      <c r="S137" s="1016"/>
      <c r="T137" s="1016"/>
      <c r="U137" s="1016"/>
      <c r="V137" s="1016"/>
      <c r="W137" s="1016"/>
      <c r="X137" s="1016"/>
      <c r="Y137" s="1016"/>
      <c r="Z137" s="1016"/>
      <c r="AA137" s="1016"/>
      <c r="AB137" s="1016"/>
      <c r="AC137" s="1016"/>
      <c r="AD137" s="1016"/>
      <c r="AE137" s="1016"/>
      <c r="AF137" s="1016"/>
      <c r="AG137" s="1016"/>
      <c r="AH137" s="1016"/>
      <c r="AI137" s="1016"/>
      <c r="AJ137" s="1016"/>
      <c r="AK137" s="1016"/>
      <c r="AL137" s="1016"/>
      <c r="AM137" s="1016"/>
      <c r="AN137" s="1016"/>
    </row>
    <row r="138" spans="3:40" x14ac:dyDescent="0.35">
      <c r="C138" s="1967"/>
      <c r="D138" s="1666" t="s">
        <v>8</v>
      </c>
      <c r="E138" s="1667"/>
      <c r="F138" s="1538">
        <f>'Premissas Gerais'!$G$172</f>
        <v>4.9429792991115142E-2</v>
      </c>
      <c r="G138" s="1781">
        <f>((F22*G35+G22*G36+H22*G37)/H38)*(F138/(F137+F138))</f>
        <v>3.8721139517012435E-2</v>
      </c>
      <c r="H138" s="1781">
        <f>((I22*J35+J22*J36+K22*J37)/K38)*(F138/(F137+F138))</f>
        <v>0.12552043689245859</v>
      </c>
      <c r="I138" s="1781">
        <f>((L22*M35+M22*M36+N22*M37)/N38)*(F138/(F137+F138))</f>
        <v>0.17572861164944201</v>
      </c>
      <c r="J138" s="1016"/>
      <c r="K138" s="1016"/>
      <c r="L138" s="1016"/>
      <c r="M138" s="1016"/>
      <c r="N138" s="1016"/>
      <c r="O138" s="1016"/>
      <c r="P138" s="1016"/>
      <c r="Q138" s="1016"/>
      <c r="R138" s="1016"/>
      <c r="S138" s="1016"/>
      <c r="T138" s="1016"/>
      <c r="U138" s="1016"/>
      <c r="V138" s="1016"/>
      <c r="W138" s="1016"/>
      <c r="X138" s="1016"/>
      <c r="Y138" s="1016"/>
      <c r="Z138" s="1016"/>
      <c r="AA138" s="1016"/>
      <c r="AB138" s="1016"/>
      <c r="AC138" s="1016"/>
      <c r="AD138" s="1016"/>
      <c r="AE138" s="1016"/>
      <c r="AF138" s="1016"/>
      <c r="AG138" s="1016"/>
      <c r="AH138" s="1016"/>
      <c r="AI138" s="1016"/>
      <c r="AJ138" s="1016"/>
      <c r="AK138" s="1016"/>
      <c r="AL138" s="1016"/>
      <c r="AM138" s="1016"/>
      <c r="AN138" s="1016"/>
    </row>
    <row r="139" spans="3:40" x14ac:dyDescent="0.35">
      <c r="C139" s="795" t="s">
        <v>2</v>
      </c>
      <c r="D139" s="868" t="s">
        <v>2</v>
      </c>
      <c r="E139" s="1777"/>
      <c r="F139" s="822">
        <f>'Premissas Gerais'!$G$166</f>
        <v>8.6463706442174645E-2</v>
      </c>
      <c r="G139" s="1781">
        <f>(F24*G35+G24*G36+H24*G37)/H38</f>
        <v>8.8138497547016567E-2</v>
      </c>
      <c r="H139" s="1781">
        <f>(I24*J35+J24*J36+K24*J37)/K38</f>
        <v>0.14285714285714288</v>
      </c>
      <c r="I139" s="1781">
        <f>(L24*M35+M24*M36+N24*M37)/N38</f>
        <v>0.19999999999999998</v>
      </c>
      <c r="J139" s="1016"/>
      <c r="K139" s="1016"/>
      <c r="L139" s="1016"/>
      <c r="M139" s="1016"/>
      <c r="N139" s="1016"/>
      <c r="O139" s="1016"/>
      <c r="P139" s="1016"/>
      <c r="Q139" s="1016"/>
      <c r="R139" s="1016"/>
      <c r="S139" s="1016"/>
      <c r="T139" s="1016"/>
      <c r="U139" s="1016"/>
      <c r="V139" s="1016"/>
      <c r="W139" s="1016"/>
      <c r="X139" s="1016"/>
      <c r="Y139" s="1016"/>
      <c r="Z139" s="1016"/>
      <c r="AA139" s="1016"/>
      <c r="AB139" s="1016"/>
      <c r="AC139" s="1016"/>
      <c r="AD139" s="1016"/>
      <c r="AE139" s="1016"/>
      <c r="AF139" s="1016"/>
      <c r="AG139" s="1016"/>
      <c r="AH139" s="1016"/>
      <c r="AI139" s="1016"/>
      <c r="AJ139" s="1016"/>
      <c r="AK139" s="1016"/>
      <c r="AL139" s="1016"/>
      <c r="AM139" s="1016"/>
      <c r="AN139" s="1016"/>
    </row>
    <row r="140" spans="3:40" x14ac:dyDescent="0.35">
      <c r="C140" s="1968" t="s">
        <v>815</v>
      </c>
      <c r="D140" s="863" t="s">
        <v>3</v>
      </c>
      <c r="E140" s="870"/>
      <c r="F140" s="1004">
        <f>'Premissas Gerais'!$G$167</f>
        <v>1.0357808135649236E-2</v>
      </c>
      <c r="G140" s="1781">
        <f>((F25*G35+G25*G36+H25*G37)/H38)*(F140/(SUM(F140:F142)))</f>
        <v>1.162158450261039E-2</v>
      </c>
      <c r="H140" s="1781">
        <f>((I25*J35+J25*J36+K25*J37)/K38)*(F140/(SUM(F140:F142)))</f>
        <v>1.8836562951735587E-2</v>
      </c>
      <c r="I140" s="1781">
        <f>((L25*M35+M25*M36+N25*M37)/N38)*(F140/(SUM(F140:F142)))</f>
        <v>2.6371188132429817E-2</v>
      </c>
      <c r="J140" s="1016"/>
      <c r="K140" s="1016"/>
      <c r="L140" s="1016"/>
      <c r="M140" s="1016"/>
      <c r="N140" s="1016"/>
      <c r="O140" s="1016"/>
      <c r="P140" s="1016"/>
      <c r="Q140" s="1016"/>
      <c r="R140" s="1016"/>
      <c r="S140" s="1016"/>
      <c r="T140" s="1016"/>
      <c r="U140" s="1016"/>
      <c r="V140" s="1016"/>
      <c r="W140" s="1016"/>
      <c r="X140" s="1016"/>
      <c r="Y140" s="1016"/>
      <c r="Z140" s="1016"/>
      <c r="AA140" s="1016"/>
      <c r="AB140" s="1016"/>
      <c r="AC140" s="1016"/>
      <c r="AD140" s="1016"/>
      <c r="AE140" s="1016"/>
      <c r="AF140" s="1016"/>
      <c r="AG140" s="1016"/>
      <c r="AH140" s="1016"/>
      <c r="AI140" s="1016"/>
      <c r="AJ140" s="1016"/>
      <c r="AK140" s="1016"/>
      <c r="AL140" s="1016"/>
      <c r="AM140" s="1016"/>
      <c r="AN140" s="1016"/>
    </row>
    <row r="141" spans="3:40" x14ac:dyDescent="0.35">
      <c r="C141" s="1969"/>
      <c r="D141" s="866" t="s">
        <v>4</v>
      </c>
      <c r="E141" s="872"/>
      <c r="F141" s="1538">
        <f>'Premissas Gerais'!$G$168</f>
        <v>2.7637330894877687E-2</v>
      </c>
      <c r="G141" s="1781">
        <f>((F25*G35+G25*G36+H25*G37)/H38)*(F141/(SUM(F140:F142)))</f>
        <v>3.1009415526434006E-2</v>
      </c>
      <c r="H141" s="1781">
        <f>((I25*J35+J25*J36+K25*J37)/K38)*(F141/(SUM(F140:F142)))</f>
        <v>5.0260857934561386E-2</v>
      </c>
      <c r="I141" s="1781">
        <f>((L25*M35+M25*M36+N25*M37)/N38)*(F141/(SUM(F140:F142)))</f>
        <v>7.0365201108385927E-2</v>
      </c>
      <c r="J141" s="1016"/>
      <c r="K141" s="1016"/>
      <c r="L141" s="1016"/>
      <c r="M141" s="1016"/>
      <c r="N141" s="1016"/>
      <c r="O141" s="1016"/>
      <c r="P141" s="1016"/>
      <c r="Q141" s="1016"/>
      <c r="R141" s="1016"/>
      <c r="S141" s="1016"/>
      <c r="T141" s="1016"/>
      <c r="U141" s="1016"/>
      <c r="V141" s="1016"/>
      <c r="W141" s="1016"/>
      <c r="X141" s="1016"/>
      <c r="Y141" s="1016"/>
      <c r="Z141" s="1016"/>
      <c r="AA141" s="1016"/>
      <c r="AB141" s="1016"/>
      <c r="AC141" s="1016"/>
      <c r="AD141" s="1016"/>
      <c r="AE141" s="1016"/>
      <c r="AF141" s="1016"/>
      <c r="AG141" s="1016"/>
      <c r="AH141" s="1016"/>
      <c r="AI141" s="1016"/>
      <c r="AJ141" s="1016"/>
      <c r="AK141" s="1016"/>
      <c r="AL141" s="1016"/>
      <c r="AM141" s="1016"/>
      <c r="AN141" s="1016"/>
    </row>
    <row r="142" spans="3:40" x14ac:dyDescent="0.35">
      <c r="C142" s="1970"/>
      <c r="D142" s="865" t="s">
        <v>9</v>
      </c>
      <c r="E142" s="871"/>
      <c r="F142" s="1005">
        <f>'Premissas Gerais'!$G$173</f>
        <v>4.0558834978037216E-2</v>
      </c>
      <c r="G142" s="1781">
        <f>((F25*G35+G25*G36+H25*G37)/H38)*(F142/(SUM(F140:F142)))</f>
        <v>4.5507497517972159E-2</v>
      </c>
      <c r="H142" s="1781">
        <f>((I25*J35+J25*J36+K25*J37)/K38)*(F142/(SUM(F140:F142)))</f>
        <v>7.3759721970845876E-2</v>
      </c>
      <c r="I142" s="1781">
        <f>((L25*M35+M25*M36+N25*M37)/N38)*(F142/(SUM(F140:F142)))</f>
        <v>0.10326361075918421</v>
      </c>
      <c r="J142" s="1016"/>
      <c r="K142" s="1016"/>
      <c r="L142" s="1016"/>
      <c r="M142" s="1016"/>
      <c r="N142" s="1016"/>
      <c r="O142" s="1016"/>
      <c r="P142" s="1016"/>
      <c r="Q142" s="1016"/>
      <c r="R142" s="1016"/>
      <c r="S142" s="1016"/>
      <c r="T142" s="1016"/>
      <c r="U142" s="1016"/>
      <c r="V142" s="1016"/>
      <c r="W142" s="1016"/>
      <c r="X142" s="1016"/>
      <c r="Y142" s="1016"/>
      <c r="Z142" s="1016"/>
      <c r="AA142" s="1016"/>
      <c r="AB142" s="1016"/>
      <c r="AC142" s="1016"/>
      <c r="AD142" s="1016"/>
      <c r="AE142" s="1016"/>
      <c r="AF142" s="1016"/>
      <c r="AG142" s="1016"/>
      <c r="AH142" s="1016"/>
      <c r="AI142" s="1016"/>
      <c r="AJ142" s="1016"/>
      <c r="AK142" s="1016"/>
      <c r="AL142" s="1016"/>
      <c r="AM142" s="1016"/>
      <c r="AN142" s="1016"/>
    </row>
    <row r="143" spans="3:40" x14ac:dyDescent="0.35">
      <c r="C143" s="784" t="s">
        <v>7</v>
      </c>
      <c r="D143" s="868" t="s">
        <v>7</v>
      </c>
      <c r="E143" s="1777"/>
      <c r="F143" s="822">
        <f>'Premissas Gerais'!$G$171</f>
        <v>5.4255720482041685E-2</v>
      </c>
      <c r="G143" s="1781">
        <f>(F28*G35+G28*G36+H28*G37)/H38</f>
        <v>8.5873043915234828E-2</v>
      </c>
      <c r="H143" s="1781">
        <f>(I28*J35+J28*J36+K28*J37)/K38</f>
        <v>0.14285714285714288</v>
      </c>
      <c r="I143" s="1781">
        <f>(L28*M35+M28*M36+N28*M37)/N38</f>
        <v>0.19999999999999998</v>
      </c>
      <c r="J143" s="1016"/>
      <c r="K143" s="1016"/>
      <c r="L143" s="1016"/>
      <c r="M143" s="1016"/>
      <c r="N143" s="1016"/>
      <c r="O143" s="1016"/>
      <c r="P143" s="1016"/>
      <c r="Q143" s="1016"/>
      <c r="R143" s="1016"/>
      <c r="S143" s="1016"/>
      <c r="T143" s="1016"/>
      <c r="U143" s="1016"/>
      <c r="V143" s="1016"/>
      <c r="W143" s="1016"/>
      <c r="X143" s="1016"/>
      <c r="Y143" s="1016"/>
      <c r="Z143" s="1016"/>
      <c r="AA143" s="1016"/>
      <c r="AB143" s="1016"/>
      <c r="AC143" s="1016"/>
      <c r="AD143" s="1016"/>
      <c r="AE143" s="1016"/>
      <c r="AF143" s="1016"/>
      <c r="AG143" s="1016"/>
      <c r="AH143" s="1016"/>
      <c r="AI143" s="1016"/>
      <c r="AJ143" s="1016"/>
      <c r="AK143" s="1016"/>
      <c r="AL143" s="1016"/>
      <c r="AM143" s="1016"/>
      <c r="AN143" s="1016"/>
    </row>
    <row r="144" spans="3:40" x14ac:dyDescent="0.35">
      <c r="C144" s="1968" t="s">
        <v>6</v>
      </c>
      <c r="D144" s="1775" t="s">
        <v>5</v>
      </c>
      <c r="E144" s="1776"/>
      <c r="F144" s="1539">
        <f>'Premissas Gerais'!$G$169</f>
        <v>6.0023208808459072E-2</v>
      </c>
      <c r="G144" s="1781">
        <f>((F29*G35+G29*G36+H29*G37)/H38)*(F144/SUM(F144:F145))</f>
        <v>5.7480593634335733E-2</v>
      </c>
      <c r="H144" s="1781">
        <f>((I28*J35+J29*J36+K29*J37)/K38)*(F144/SUM(F144:F145))</f>
        <v>3.5507675112893482E-2</v>
      </c>
      <c r="I144" s="1781">
        <f>((L28*M35+M29*M36+N29*M37)/N38)*(F144/SUM(F144:F145))</f>
        <v>1.6570248386016954E-2</v>
      </c>
      <c r="J144" s="1016"/>
      <c r="K144" s="1016"/>
      <c r="L144" s="1016"/>
      <c r="M144" s="1016"/>
      <c r="N144" s="1016"/>
      <c r="O144" s="1016"/>
      <c r="P144" s="1016"/>
      <c r="Q144" s="1016"/>
      <c r="R144" s="1016"/>
      <c r="S144" s="1016"/>
      <c r="T144" s="1016"/>
      <c r="U144" s="1016"/>
      <c r="V144" s="1016"/>
      <c r="W144" s="1016"/>
      <c r="X144" s="1016"/>
      <c r="Y144" s="1016"/>
      <c r="Z144" s="1016"/>
      <c r="AA144" s="1016"/>
      <c r="AB144" s="1016"/>
      <c r="AC144" s="1016"/>
      <c r="AD144" s="1016"/>
      <c r="AE144" s="1016"/>
      <c r="AF144" s="1016"/>
      <c r="AG144" s="1016"/>
      <c r="AH144" s="1016"/>
      <c r="AI144" s="1016"/>
      <c r="AJ144" s="1016"/>
      <c r="AK144" s="1016"/>
      <c r="AL144" s="1016"/>
      <c r="AM144" s="1016"/>
      <c r="AN144" s="1016"/>
    </row>
    <row r="145" spans="3:40" x14ac:dyDescent="0.35">
      <c r="C145" s="1970"/>
      <c r="D145" s="1666" t="s">
        <v>6</v>
      </c>
      <c r="E145" s="1667"/>
      <c r="F145" s="1538">
        <f>'Premissas Gerais'!$G$170</f>
        <v>0.66444642387502584</v>
      </c>
      <c r="G145" s="1781">
        <f>((F29*G35+G29*G36+H29*G37)/H38)*(F145/SUM(F144:F145))</f>
        <v>0.63630011858288804</v>
      </c>
      <c r="H145" s="1781">
        <f>((I28*J35+J29*J36+K29*J37)/K38)*(F145/SUM(F144:F145))</f>
        <v>0.39306375345853511</v>
      </c>
      <c r="I145" s="1781">
        <f>((L28*M35+M29*M36+N29*M37)/N38)*(F145/SUM(F144:F145))</f>
        <v>0.18342975161398301</v>
      </c>
      <c r="J145" s="1016"/>
      <c r="K145" s="1016"/>
      <c r="L145" s="1016"/>
      <c r="M145" s="1016"/>
      <c r="N145" s="1016"/>
      <c r="O145" s="1016"/>
      <c r="P145" s="1016"/>
      <c r="Q145" s="1016"/>
      <c r="R145" s="1016"/>
      <c r="S145" s="1016"/>
      <c r="T145" s="1016"/>
      <c r="U145" s="1016"/>
      <c r="V145" s="1016"/>
      <c r="W145" s="1016"/>
      <c r="X145" s="1016"/>
      <c r="Y145" s="1016"/>
      <c r="Z145" s="1016"/>
      <c r="AA145" s="1016"/>
      <c r="AB145" s="1016"/>
      <c r="AC145" s="1016"/>
      <c r="AD145" s="1016"/>
      <c r="AE145" s="1016"/>
      <c r="AF145" s="1016"/>
      <c r="AG145" s="1016"/>
      <c r="AH145" s="1016"/>
      <c r="AI145" s="1016"/>
      <c r="AJ145" s="1016"/>
      <c r="AK145" s="1016"/>
      <c r="AL145" s="1016"/>
      <c r="AM145" s="1016"/>
      <c r="AN145" s="1016"/>
    </row>
    <row r="146" spans="3:40" x14ac:dyDescent="0.35">
      <c r="C146" s="823" t="s">
        <v>200</v>
      </c>
      <c r="D146" s="112"/>
      <c r="E146" s="824"/>
      <c r="F146" s="825">
        <f>SUM(F137:F145)</f>
        <v>1</v>
      </c>
      <c r="G146" s="825">
        <f>SUM(G137:G145)</f>
        <v>1</v>
      </c>
      <c r="H146" s="825">
        <f>SUM(H137:H145)</f>
        <v>1</v>
      </c>
      <c r="I146" s="825">
        <f>SUM(I137:I145)</f>
        <v>0.99999999999999989</v>
      </c>
      <c r="J146" s="1018"/>
      <c r="K146" s="1018"/>
      <c r="L146" s="1018"/>
      <c r="M146" s="1018"/>
      <c r="N146" s="1018"/>
      <c r="O146" s="1018"/>
      <c r="P146" s="1018"/>
      <c r="Q146" s="1018"/>
      <c r="R146" s="1018"/>
      <c r="S146" s="1018"/>
      <c r="T146" s="1018"/>
      <c r="U146" s="1018"/>
      <c r="V146" s="1018"/>
      <c r="W146" s="1018"/>
      <c r="X146" s="1018"/>
      <c r="Y146" s="1018"/>
      <c r="Z146" s="1018"/>
      <c r="AA146" s="1018"/>
      <c r="AB146" s="1018"/>
      <c r="AC146" s="1018"/>
      <c r="AD146" s="1018"/>
      <c r="AE146" s="1018"/>
      <c r="AF146" s="1018"/>
      <c r="AG146" s="1018"/>
      <c r="AH146" s="1018"/>
      <c r="AI146" s="1018"/>
      <c r="AJ146" s="1018"/>
      <c r="AK146" s="1018"/>
      <c r="AL146" s="1018"/>
      <c r="AM146" s="1018"/>
      <c r="AN146" s="1018"/>
    </row>
    <row r="147" spans="3:40" x14ac:dyDescent="0.35">
      <c r="C147" s="162" t="s">
        <v>777</v>
      </c>
      <c r="H147" s="1014"/>
      <c r="I147" s="1014"/>
    </row>
    <row r="148" spans="3:40" x14ac:dyDescent="0.35">
      <c r="G148" s="1"/>
      <c r="H148" s="1014"/>
      <c r="I148" s="1014"/>
    </row>
    <row r="149" spans="3:40" x14ac:dyDescent="0.35">
      <c r="G149" s="1"/>
      <c r="H149" s="1014"/>
      <c r="I149" s="1014"/>
    </row>
    <row r="150" spans="3:40" x14ac:dyDescent="0.35">
      <c r="G150" s="1"/>
      <c r="H150" s="1014"/>
      <c r="I150" s="1014"/>
    </row>
    <row r="151" spans="3:40" x14ac:dyDescent="0.35">
      <c r="G151" s="1"/>
    </row>
    <row r="152" spans="3:40" x14ac:dyDescent="0.35">
      <c r="G152" s="1"/>
    </row>
    <row r="153" spans="3:40" x14ac:dyDescent="0.35">
      <c r="G153" s="1"/>
    </row>
    <row r="154" spans="3:40" x14ac:dyDescent="0.35">
      <c r="G154" s="1"/>
    </row>
    <row r="155" spans="3:40" x14ac:dyDescent="0.35">
      <c r="G155" s="1"/>
    </row>
    <row r="156" spans="3:40" x14ac:dyDescent="0.35">
      <c r="G156" s="1"/>
    </row>
    <row r="157" spans="3:40" x14ac:dyDescent="0.35">
      <c r="G157" s="1"/>
    </row>
    <row r="158" spans="3:40" x14ac:dyDescent="0.35">
      <c r="G158" s="1"/>
    </row>
    <row r="159" spans="3:40" x14ac:dyDescent="0.35">
      <c r="G159" s="1"/>
    </row>
    <row r="160" spans="3:40" x14ac:dyDescent="0.35">
      <c r="G160" s="1"/>
    </row>
    <row r="161" spans="7:7" x14ac:dyDescent="0.35">
      <c r="G161" s="1"/>
    </row>
  </sheetData>
  <protectedRanges>
    <protectedRange sqref="C8 F8 C13:C15 F22:N31 G35:G37 J35:J37 M35:M37 G42:G44 J42:J44 M42:M44 E47" name="Intervalo1"/>
  </protectedRanges>
  <mergeCells count="43">
    <mergeCell ref="L19:N19"/>
    <mergeCell ref="N22:N23"/>
    <mergeCell ref="L28:L30"/>
    <mergeCell ref="F19:H19"/>
    <mergeCell ref="I28:I30"/>
    <mergeCell ref="I19:K19"/>
    <mergeCell ref="C19:C20"/>
    <mergeCell ref="D19:E20"/>
    <mergeCell ref="C37:E37"/>
    <mergeCell ref="C36:E36"/>
    <mergeCell ref="C34:E34"/>
    <mergeCell ref="C35:E35"/>
    <mergeCell ref="D22:E23"/>
    <mergeCell ref="D24:E24"/>
    <mergeCell ref="D25:E27"/>
    <mergeCell ref="D28:E28"/>
    <mergeCell ref="D29:E30"/>
    <mergeCell ref="C63:D63"/>
    <mergeCell ref="C38:E38"/>
    <mergeCell ref="C62:D62"/>
    <mergeCell ref="C47:D47"/>
    <mergeCell ref="C83:C84"/>
    <mergeCell ref="C71:C72"/>
    <mergeCell ref="C74:C76"/>
    <mergeCell ref="C64:D64"/>
    <mergeCell ref="C65:D65"/>
    <mergeCell ref="C41:E41"/>
    <mergeCell ref="C42:E42"/>
    <mergeCell ref="C43:E43"/>
    <mergeCell ref="C44:E44"/>
    <mergeCell ref="C45:E45"/>
    <mergeCell ref="C78:C79"/>
    <mergeCell ref="C144:C145"/>
    <mergeCell ref="C103:C104"/>
    <mergeCell ref="C116:C117"/>
    <mergeCell ref="C140:C142"/>
    <mergeCell ref="C86:C88"/>
    <mergeCell ref="C137:C138"/>
    <mergeCell ref="C96:C97"/>
    <mergeCell ref="C109:C110"/>
    <mergeCell ref="C112:C114"/>
    <mergeCell ref="C99:C101"/>
    <mergeCell ref="C90:C91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80C73-D625-4AE3-BF7F-A56AF47A4DC3}">
  <sheetPr codeName="Planilha12"/>
  <dimension ref="B1:AO68"/>
  <sheetViews>
    <sheetView showGridLines="0" topLeftCell="A23" zoomScale="90" zoomScaleNormal="90" workbookViewId="0">
      <selection activeCell="I32" sqref="I32"/>
    </sheetView>
  </sheetViews>
  <sheetFormatPr defaultColWidth="8.81640625" defaultRowHeight="14.5" x14ac:dyDescent="0.35"/>
  <cols>
    <col min="1" max="1" width="3" customWidth="1"/>
    <col min="2" max="2" width="2.453125" customWidth="1"/>
    <col min="3" max="3" width="26.36328125" customWidth="1"/>
    <col min="4" max="4" width="13.36328125" bestFit="1" customWidth="1"/>
    <col min="5" max="5" width="20.453125" customWidth="1"/>
    <col min="6" max="6" width="16" customWidth="1"/>
    <col min="7" max="7" width="15.6328125" bestFit="1" customWidth="1"/>
    <col min="8" max="9" width="16" bestFit="1" customWidth="1"/>
    <col min="11" max="12" width="16" bestFit="1" customWidth="1"/>
    <col min="14" max="14" width="15" bestFit="1" customWidth="1"/>
    <col min="15" max="16" width="13.453125" bestFit="1" customWidth="1"/>
    <col min="26" max="26" width="13.453125" bestFit="1" customWidth="1"/>
  </cols>
  <sheetData>
    <row r="1" spans="2:39" ht="9.75" customHeight="1" x14ac:dyDescent="0.35"/>
    <row r="2" spans="2:39" ht="21" x14ac:dyDescent="0.5">
      <c r="B2" s="98"/>
      <c r="C2" s="98" t="s">
        <v>816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ht="5.25" customHeight="1" x14ac:dyDescent="0.35"/>
    <row r="4" spans="2:39" ht="4.5" customHeight="1" x14ac:dyDescent="0.35"/>
    <row r="5" spans="2:39" x14ac:dyDescent="0.35">
      <c r="B5" s="549"/>
      <c r="C5" s="549"/>
      <c r="D5" s="549"/>
      <c r="E5" s="549"/>
      <c r="F5" s="549"/>
      <c r="G5" s="549"/>
      <c r="H5" s="549"/>
      <c r="I5" s="549"/>
      <c r="J5" s="549"/>
      <c r="K5" s="549"/>
      <c r="L5" s="549"/>
      <c r="M5" s="549"/>
    </row>
    <row r="6" spans="2:39" ht="19" thickBot="1" x14ac:dyDescent="0.5">
      <c r="B6" s="549"/>
      <c r="C6" s="846" t="s">
        <v>817</v>
      </c>
      <c r="D6" s="549"/>
      <c r="E6" s="549"/>
      <c r="F6" s="549"/>
      <c r="G6" s="549"/>
      <c r="H6" s="549"/>
      <c r="I6" s="549"/>
      <c r="J6" s="549"/>
      <c r="K6" s="549"/>
      <c r="L6" s="549"/>
      <c r="M6" s="549"/>
    </row>
    <row r="7" spans="2:39" ht="15" thickBot="1" x14ac:dyDescent="0.4">
      <c r="B7" s="549"/>
      <c r="C7" s="882" t="s">
        <v>818</v>
      </c>
      <c r="D7" s="850"/>
      <c r="E7" s="850" t="s">
        <v>784</v>
      </c>
      <c r="F7" s="549"/>
      <c r="G7" s="549"/>
      <c r="H7" s="549"/>
      <c r="I7" s="549"/>
      <c r="J7" s="549"/>
      <c r="K7" s="549"/>
      <c r="L7" s="549"/>
      <c r="M7" s="549"/>
    </row>
    <row r="8" spans="2:39" ht="15" thickBot="1" x14ac:dyDescent="0.4">
      <c r="B8" s="549"/>
      <c r="C8" s="883" t="s">
        <v>819</v>
      </c>
      <c r="D8" s="881"/>
      <c r="E8" s="1183">
        <v>10485523.310000001</v>
      </c>
      <c r="F8" s="549"/>
      <c r="G8" s="549"/>
      <c r="H8" s="549"/>
      <c r="I8" s="549"/>
      <c r="J8" s="549"/>
      <c r="K8" s="549"/>
      <c r="L8" s="549"/>
      <c r="M8" s="549"/>
    </row>
    <row r="9" spans="2:39" ht="15" thickBot="1" x14ac:dyDescent="0.4">
      <c r="B9" s="549"/>
      <c r="C9" s="883" t="s">
        <v>820</v>
      </c>
      <c r="D9" s="881"/>
      <c r="E9" s="1351">
        <v>455595.99</v>
      </c>
      <c r="F9" s="549"/>
      <c r="G9" s="549"/>
      <c r="H9" s="549"/>
      <c r="I9" s="549"/>
      <c r="J9" s="549"/>
      <c r="K9" s="549"/>
      <c r="L9" s="549"/>
      <c r="M9" s="549"/>
    </row>
    <row r="10" spans="2:39" ht="15" thickBot="1" x14ac:dyDescent="0.4">
      <c r="B10" s="549"/>
      <c r="C10" s="883" t="s">
        <v>821</v>
      </c>
      <c r="D10" s="881"/>
      <c r="E10" s="1351">
        <v>455595.99</v>
      </c>
      <c r="F10" s="549"/>
      <c r="G10" s="549"/>
      <c r="H10" s="549"/>
      <c r="I10" s="549"/>
      <c r="J10" s="549"/>
      <c r="K10" s="549"/>
      <c r="L10" s="549"/>
      <c r="M10" s="549"/>
    </row>
    <row r="11" spans="2:39" ht="15" thickBot="1" x14ac:dyDescent="0.4">
      <c r="B11" s="549"/>
      <c r="C11" s="882" t="s">
        <v>200</v>
      </c>
      <c r="D11" s="850"/>
      <c r="E11" s="844">
        <f>SUM(E8:E10)</f>
        <v>11396715.290000001</v>
      </c>
      <c r="F11" s="549"/>
      <c r="G11" s="549"/>
      <c r="H11" s="549"/>
      <c r="I11" s="549"/>
      <c r="J11" s="549"/>
      <c r="K11" s="549"/>
      <c r="L11" s="549"/>
      <c r="M11" s="549"/>
    </row>
    <row r="12" spans="2:39" x14ac:dyDescent="0.35">
      <c r="B12" s="549"/>
      <c r="C12" s="548"/>
      <c r="D12" s="549"/>
      <c r="E12" s="549"/>
      <c r="F12" s="549"/>
      <c r="G12" s="549"/>
      <c r="H12" s="549"/>
      <c r="I12" s="549"/>
      <c r="J12" s="549"/>
      <c r="K12" s="549"/>
      <c r="L12" s="549"/>
      <c r="M12" s="549"/>
    </row>
    <row r="13" spans="2:39" ht="15" thickBot="1" x14ac:dyDescent="0.4">
      <c r="B13" s="549"/>
      <c r="C13" s="548"/>
      <c r="D13" s="549"/>
      <c r="E13" s="240" t="s">
        <v>96</v>
      </c>
      <c r="F13" s="240" t="s">
        <v>176</v>
      </c>
      <c r="G13" s="240" t="s">
        <v>822</v>
      </c>
      <c r="H13" s="549"/>
      <c r="I13" s="549"/>
      <c r="J13" s="549"/>
      <c r="K13" s="549"/>
      <c r="L13" s="549"/>
      <c r="M13" s="549"/>
    </row>
    <row r="14" spans="2:39" ht="15" thickBot="1" x14ac:dyDescent="0.4">
      <c r="B14" s="549"/>
      <c r="C14" s="548" t="s">
        <v>823</v>
      </c>
      <c r="D14" s="549"/>
      <c r="E14" s="626">
        <v>1</v>
      </c>
      <c r="F14" s="901">
        <v>0.5</v>
      </c>
      <c r="G14" s="564">
        <f>E8*F14</f>
        <v>5242761.6550000003</v>
      </c>
      <c r="H14" s="549"/>
      <c r="I14" s="549"/>
      <c r="J14" s="549"/>
      <c r="K14" s="549"/>
      <c r="L14" s="549"/>
      <c r="M14" s="549"/>
    </row>
    <row r="15" spans="2:39" ht="15" thickBot="1" x14ac:dyDescent="0.4">
      <c r="B15" s="549"/>
      <c r="C15" s="548"/>
      <c r="D15" s="549"/>
      <c r="E15" s="626">
        <v>2</v>
      </c>
      <c r="F15" s="901">
        <v>0.5</v>
      </c>
      <c r="G15" s="564">
        <f>E8*F15</f>
        <v>5242761.6550000003</v>
      </c>
      <c r="H15" s="549"/>
      <c r="I15" s="549"/>
      <c r="J15" s="549"/>
      <c r="K15" s="549"/>
      <c r="L15" s="549"/>
      <c r="M15" s="549"/>
    </row>
    <row r="16" spans="2:39" ht="15" thickBot="1" x14ac:dyDescent="0.4">
      <c r="B16" s="549"/>
      <c r="C16" s="548"/>
      <c r="D16" s="549"/>
      <c r="E16" s="626">
        <v>10</v>
      </c>
      <c r="F16" s="901"/>
      <c r="G16" s="564">
        <f>E9</f>
        <v>455595.99</v>
      </c>
      <c r="H16" s="549"/>
      <c r="I16" s="549"/>
      <c r="J16" s="549"/>
      <c r="K16" s="549"/>
      <c r="L16" s="549"/>
      <c r="M16" s="549"/>
    </row>
    <row r="17" spans="2:13" ht="15" thickBot="1" x14ac:dyDescent="0.4">
      <c r="B17" s="549"/>
      <c r="C17" s="548"/>
      <c r="D17" s="549"/>
      <c r="E17" s="626">
        <v>20</v>
      </c>
      <c r="F17" s="901"/>
      <c r="G17" s="564">
        <f>E9</f>
        <v>455595.99</v>
      </c>
      <c r="H17" s="549"/>
      <c r="I17" s="549"/>
      <c r="J17" s="549"/>
      <c r="K17" s="549"/>
      <c r="L17" s="549"/>
      <c r="M17" s="549"/>
    </row>
    <row r="18" spans="2:13" x14ac:dyDescent="0.35">
      <c r="B18" s="1353"/>
      <c r="C18" s="1354"/>
      <c r="D18" s="1353"/>
      <c r="E18" s="1354"/>
      <c r="F18" s="1354"/>
      <c r="G18" s="1354"/>
      <c r="H18" s="1354"/>
      <c r="I18" s="1353"/>
      <c r="J18" s="1353"/>
      <c r="K18" s="1353"/>
      <c r="L18" s="1353"/>
      <c r="M18" s="1353"/>
    </row>
    <row r="19" spans="2:13" x14ac:dyDescent="0.35">
      <c r="B19" s="1352"/>
      <c r="C19" s="1352"/>
      <c r="D19" s="1352"/>
      <c r="E19" s="1352"/>
      <c r="F19" s="1352"/>
      <c r="G19" s="1352"/>
      <c r="H19" s="1352"/>
      <c r="I19" s="1352"/>
      <c r="J19" s="1352"/>
      <c r="K19" s="1352"/>
      <c r="L19" s="1352"/>
      <c r="M19" s="1352"/>
    </row>
    <row r="20" spans="2:13" ht="19" thickBot="1" x14ac:dyDescent="0.5">
      <c r="B20" s="549"/>
      <c r="C20" s="846" t="s">
        <v>824</v>
      </c>
      <c r="D20" s="549"/>
      <c r="E20" s="549"/>
      <c r="F20" s="549"/>
      <c r="G20" s="548"/>
      <c r="H20" s="549"/>
      <c r="I20" s="549"/>
      <c r="J20" s="549"/>
      <c r="K20" s="1391" t="s">
        <v>825</v>
      </c>
      <c r="L20" s="549"/>
      <c r="M20" s="549"/>
    </row>
    <row r="21" spans="2:13" ht="44" thickBot="1" x14ac:dyDescent="0.4">
      <c r="B21" s="549"/>
      <c r="C21" s="882" t="s">
        <v>818</v>
      </c>
      <c r="D21" s="850"/>
      <c r="E21" s="850" t="s">
        <v>751</v>
      </c>
      <c r="F21" s="850" t="s">
        <v>826</v>
      </c>
      <c r="G21" s="850" t="s">
        <v>827</v>
      </c>
      <c r="H21" s="850" t="s">
        <v>828</v>
      </c>
      <c r="I21" s="850" t="s">
        <v>829</v>
      </c>
      <c r="J21" s="549"/>
      <c r="K21" s="794" t="s">
        <v>96</v>
      </c>
      <c r="L21" s="549"/>
      <c r="M21" s="549"/>
    </row>
    <row r="22" spans="2:13" ht="15" thickBot="1" x14ac:dyDescent="0.4">
      <c r="B22" s="549"/>
      <c r="C22" s="883" t="s">
        <v>830</v>
      </c>
      <c r="D22" s="881"/>
      <c r="E22" s="1355">
        <v>1</v>
      </c>
      <c r="F22" s="1351">
        <v>30833.33</v>
      </c>
      <c r="G22" s="1183">
        <f>E22*F22</f>
        <v>30833.33</v>
      </c>
      <c r="H22" s="1183">
        <f>G22</f>
        <v>30833.33</v>
      </c>
      <c r="I22" s="1183">
        <f>G22+H22*2</f>
        <v>92499.99</v>
      </c>
      <c r="J22" s="549"/>
      <c r="K22" s="549"/>
      <c r="L22" s="549"/>
      <c r="M22" s="549"/>
    </row>
    <row r="23" spans="2:13" ht="15" thickBot="1" x14ac:dyDescent="0.4">
      <c r="B23" s="549"/>
      <c r="C23" s="883" t="s">
        <v>831</v>
      </c>
      <c r="D23" s="881"/>
      <c r="E23" s="1355">
        <v>1</v>
      </c>
      <c r="F23" s="1351">
        <v>104613.1</v>
      </c>
      <c r="G23" s="1183">
        <f>E23*F23</f>
        <v>104613.1</v>
      </c>
      <c r="H23" s="1183">
        <f>G23</f>
        <v>104613.1</v>
      </c>
      <c r="I23" s="1183">
        <f>G23+H23*2</f>
        <v>313839.30000000005</v>
      </c>
      <c r="J23" s="549"/>
      <c r="K23" s="987">
        <f>1+10</f>
        <v>11</v>
      </c>
      <c r="L23" s="549"/>
      <c r="M23" s="549"/>
    </row>
    <row r="24" spans="2:13" ht="15" thickBot="1" x14ac:dyDescent="0.4">
      <c r="B24" s="549"/>
      <c r="C24" s="1971" t="s">
        <v>832</v>
      </c>
      <c r="D24" s="1973"/>
      <c r="E24" s="1356">
        <f>SUM(E22:E23)</f>
        <v>2</v>
      </c>
      <c r="F24" s="1390">
        <f>SUM(F22:F23)</f>
        <v>135446.43</v>
      </c>
      <c r="G24" s="1390">
        <f>SUM(G22:G23)</f>
        <v>135446.43</v>
      </c>
      <c r="H24" s="1390">
        <f>SUM(H22:H23)</f>
        <v>135446.43</v>
      </c>
      <c r="I24" s="1390">
        <f>SUM(I22:I23)</f>
        <v>406339.29000000004</v>
      </c>
      <c r="J24" s="549"/>
      <c r="K24" s="987">
        <f>K23+10</f>
        <v>21</v>
      </c>
      <c r="L24" s="549"/>
      <c r="M24" s="549"/>
    </row>
    <row r="25" spans="2:13" ht="15" thickBot="1" x14ac:dyDescent="0.4">
      <c r="B25" s="549"/>
      <c r="C25" s="883" t="s">
        <v>833</v>
      </c>
      <c r="D25" s="881"/>
      <c r="E25" s="1355">
        <v>1</v>
      </c>
      <c r="F25" s="1351">
        <v>324343.65999999997</v>
      </c>
      <c r="G25" s="1183">
        <f>E25*F25</f>
        <v>324343.65999999997</v>
      </c>
      <c r="H25" s="1183">
        <v>0</v>
      </c>
      <c r="I25" s="1183">
        <f>G25</f>
        <v>324343.65999999997</v>
      </c>
      <c r="J25" s="549"/>
      <c r="K25" s="987">
        <f>K24+10</f>
        <v>31</v>
      </c>
      <c r="L25" s="549" t="s">
        <v>834</v>
      </c>
      <c r="M25" s="549"/>
    </row>
    <row r="26" spans="2:13" ht="15" thickBot="1" x14ac:dyDescent="0.4">
      <c r="B26" s="549"/>
      <c r="C26" s="882" t="s">
        <v>200</v>
      </c>
      <c r="D26" s="850"/>
      <c r="E26" s="1356">
        <f>E24+E25</f>
        <v>3</v>
      </c>
      <c r="F26" s="1390">
        <f>F24+F25</f>
        <v>459790.08999999997</v>
      </c>
      <c r="G26" s="1390">
        <f>G24+G25</f>
        <v>459790.08999999997</v>
      </c>
      <c r="H26" s="1390">
        <f>H24+H25</f>
        <v>135446.43</v>
      </c>
      <c r="I26" s="1390">
        <f>I24+I25</f>
        <v>730682.95</v>
      </c>
      <c r="J26" s="549"/>
      <c r="K26" s="549"/>
      <c r="L26" s="549"/>
      <c r="M26" s="549"/>
    </row>
    <row r="27" spans="2:13" x14ac:dyDescent="0.35">
      <c r="B27" s="549"/>
      <c r="C27" s="548"/>
      <c r="D27" s="549"/>
      <c r="E27" s="549"/>
      <c r="F27" s="549"/>
      <c r="G27" s="549"/>
      <c r="H27" s="549"/>
      <c r="I27" s="549"/>
      <c r="J27" s="549"/>
      <c r="K27" s="549"/>
      <c r="L27" s="549"/>
      <c r="M27" s="549"/>
    </row>
    <row r="28" spans="2:13" ht="15" thickBot="1" x14ac:dyDescent="0.4">
      <c r="B28" s="549"/>
      <c r="C28" s="548"/>
      <c r="D28" s="549"/>
      <c r="E28" s="240" t="s">
        <v>96</v>
      </c>
      <c r="F28" s="240"/>
      <c r="G28" s="240" t="s">
        <v>822</v>
      </c>
      <c r="H28" s="549"/>
      <c r="I28" s="549"/>
      <c r="J28" s="549"/>
      <c r="K28" s="549"/>
      <c r="L28" s="549"/>
      <c r="M28" s="549"/>
    </row>
    <row r="29" spans="2:13" ht="15" thickBot="1" x14ac:dyDescent="0.4">
      <c r="B29" s="549"/>
      <c r="C29" s="548" t="s">
        <v>835</v>
      </c>
      <c r="D29" s="549"/>
      <c r="E29" s="626">
        <v>1</v>
      </c>
      <c r="F29" s="901"/>
      <c r="G29" s="1536">
        <f>G25/2+G22+G23</f>
        <v>297618.26</v>
      </c>
      <c r="H29" s="549"/>
      <c r="I29" s="549"/>
      <c r="J29" s="549"/>
      <c r="K29" s="549"/>
      <c r="L29" s="549"/>
      <c r="M29" s="549"/>
    </row>
    <row r="30" spans="2:13" ht="15" thickBot="1" x14ac:dyDescent="0.4">
      <c r="B30" s="549"/>
      <c r="C30" s="548"/>
      <c r="D30" s="549"/>
      <c r="E30" s="626">
        <v>2</v>
      </c>
      <c r="F30" s="901"/>
      <c r="G30" s="1536">
        <f>G25/2</f>
        <v>162171.82999999999</v>
      </c>
      <c r="H30" s="549"/>
      <c r="I30" s="549"/>
      <c r="J30" s="549"/>
      <c r="K30" s="549"/>
      <c r="L30" s="549"/>
      <c r="M30" s="549"/>
    </row>
    <row r="31" spans="2:13" ht="15" thickBot="1" x14ac:dyDescent="0.4">
      <c r="B31" s="549"/>
      <c r="C31" s="548"/>
      <c r="D31" s="549"/>
      <c r="E31" s="626">
        <v>11</v>
      </c>
      <c r="F31" s="901"/>
      <c r="G31" s="1536">
        <f>G24</f>
        <v>135446.43</v>
      </c>
      <c r="H31" s="549"/>
      <c r="I31" s="549"/>
      <c r="J31" s="549"/>
      <c r="K31" s="549"/>
      <c r="L31" s="549"/>
      <c r="M31" s="549"/>
    </row>
    <row r="32" spans="2:13" ht="15" thickBot="1" x14ac:dyDescent="0.4">
      <c r="B32" s="549"/>
      <c r="C32" s="548"/>
      <c r="D32" s="549"/>
      <c r="E32" s="626">
        <v>21</v>
      </c>
      <c r="F32" s="901"/>
      <c r="G32" s="1536">
        <f>G24</f>
        <v>135446.43</v>
      </c>
      <c r="H32" s="549"/>
      <c r="I32" s="549"/>
      <c r="J32" s="549"/>
      <c r="K32" s="549"/>
      <c r="L32" s="549"/>
      <c r="M32" s="549"/>
    </row>
    <row r="33" spans="2:41" x14ac:dyDescent="0.35">
      <c r="B33" s="549"/>
      <c r="C33" s="548"/>
      <c r="D33" s="549"/>
      <c r="E33" s="548"/>
      <c r="F33" s="548"/>
      <c r="G33" s="1868">
        <f>SUM(G29:G32)</f>
        <v>730682.95</v>
      </c>
      <c r="H33" s="548"/>
      <c r="I33" s="549"/>
      <c r="J33" s="549"/>
      <c r="K33" s="549"/>
      <c r="L33" s="549"/>
      <c r="M33" s="549"/>
    </row>
    <row r="34" spans="2:41" x14ac:dyDescent="0.35">
      <c r="B34" s="549"/>
      <c r="C34" s="548"/>
      <c r="D34" s="549"/>
      <c r="E34" s="549"/>
      <c r="F34" s="549"/>
      <c r="G34" s="549"/>
      <c r="H34" s="549"/>
      <c r="I34" s="549"/>
      <c r="J34" s="549"/>
      <c r="K34" s="549"/>
      <c r="L34" s="549"/>
      <c r="M34" s="549"/>
    </row>
    <row r="35" spans="2:41" ht="15" thickBot="1" x14ac:dyDescent="0.4"/>
    <row r="36" spans="2:41" x14ac:dyDescent="0.35">
      <c r="B36" s="5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8"/>
    </row>
    <row r="37" spans="2:41" x14ac:dyDescent="0.35">
      <c r="B37" s="9"/>
      <c r="C37" s="77" t="s">
        <v>836</v>
      </c>
      <c r="AO37" s="16"/>
    </row>
    <row r="38" spans="2:41" x14ac:dyDescent="0.35">
      <c r="B38" s="9"/>
      <c r="C38" s="87"/>
      <c r="D38" s="87"/>
      <c r="E38" s="793" t="s">
        <v>455</v>
      </c>
      <c r="F38" s="89">
        <v>1</v>
      </c>
      <c r="G38" s="89">
        <f>F38+1</f>
        <v>2</v>
      </c>
      <c r="H38" s="89">
        <f t="shared" ref="H38:AN38" si="0">G38+1</f>
        <v>3</v>
      </c>
      <c r="I38" s="89">
        <f t="shared" si="0"/>
        <v>4</v>
      </c>
      <c r="J38" s="89">
        <f t="shared" si="0"/>
        <v>5</v>
      </c>
      <c r="K38" s="89">
        <f t="shared" si="0"/>
        <v>6</v>
      </c>
      <c r="L38" s="89">
        <f t="shared" si="0"/>
        <v>7</v>
      </c>
      <c r="M38" s="89">
        <f t="shared" si="0"/>
        <v>8</v>
      </c>
      <c r="N38" s="89">
        <f t="shared" si="0"/>
        <v>9</v>
      </c>
      <c r="O38" s="89">
        <f t="shared" si="0"/>
        <v>10</v>
      </c>
      <c r="P38" s="89">
        <f t="shared" si="0"/>
        <v>11</v>
      </c>
      <c r="Q38" s="89">
        <f t="shared" si="0"/>
        <v>12</v>
      </c>
      <c r="R38" s="89">
        <f t="shared" si="0"/>
        <v>13</v>
      </c>
      <c r="S38" s="89">
        <f t="shared" si="0"/>
        <v>14</v>
      </c>
      <c r="T38" s="89">
        <f t="shared" si="0"/>
        <v>15</v>
      </c>
      <c r="U38" s="89">
        <f t="shared" si="0"/>
        <v>16</v>
      </c>
      <c r="V38" s="89">
        <f t="shared" si="0"/>
        <v>17</v>
      </c>
      <c r="W38" s="89">
        <f t="shared" si="0"/>
        <v>18</v>
      </c>
      <c r="X38" s="89">
        <f t="shared" si="0"/>
        <v>19</v>
      </c>
      <c r="Y38" s="89">
        <f t="shared" si="0"/>
        <v>20</v>
      </c>
      <c r="Z38" s="89">
        <f t="shared" si="0"/>
        <v>21</v>
      </c>
      <c r="AA38" s="89">
        <f t="shared" si="0"/>
        <v>22</v>
      </c>
      <c r="AB38" s="89">
        <f t="shared" si="0"/>
        <v>23</v>
      </c>
      <c r="AC38" s="89">
        <f t="shared" si="0"/>
        <v>24</v>
      </c>
      <c r="AD38" s="89">
        <f t="shared" si="0"/>
        <v>25</v>
      </c>
      <c r="AE38" s="89">
        <f t="shared" si="0"/>
        <v>26</v>
      </c>
      <c r="AF38" s="89">
        <f t="shared" si="0"/>
        <v>27</v>
      </c>
      <c r="AG38" s="89">
        <f t="shared" si="0"/>
        <v>28</v>
      </c>
      <c r="AH38" s="89">
        <f t="shared" si="0"/>
        <v>29</v>
      </c>
      <c r="AI38" s="89">
        <f t="shared" si="0"/>
        <v>30</v>
      </c>
      <c r="AJ38" s="89">
        <f t="shared" si="0"/>
        <v>31</v>
      </c>
      <c r="AK38" s="89">
        <f t="shared" si="0"/>
        <v>32</v>
      </c>
      <c r="AL38" s="89">
        <f t="shared" si="0"/>
        <v>33</v>
      </c>
      <c r="AM38" s="89">
        <f t="shared" si="0"/>
        <v>34</v>
      </c>
      <c r="AN38" s="89">
        <f t="shared" si="0"/>
        <v>35</v>
      </c>
      <c r="AO38" s="16"/>
    </row>
    <row r="39" spans="2:41" x14ac:dyDescent="0.35">
      <c r="B39" s="9"/>
      <c r="C39" s="1986" t="s">
        <v>837</v>
      </c>
      <c r="D39" s="2011"/>
      <c r="E39" s="906">
        <f>SUM(F39:AN39)</f>
        <v>11396715.290000001</v>
      </c>
      <c r="F39" s="563">
        <f>IF(F38&gt;'Premissas Gerais'!$E$7,0,IFERROR(VLOOKUP(F38,$E$14:$G$17,3,FALSE),0))</f>
        <v>5242761.6550000003</v>
      </c>
      <c r="G39" s="563">
        <f>IF(G38&gt;'Premissas Gerais'!$E$7,0,IFERROR(VLOOKUP(G38,$E$14:$G$17,3,FALSE),0))</f>
        <v>5242761.6550000003</v>
      </c>
      <c r="H39" s="563">
        <f>IF(H38&gt;'Premissas Gerais'!$E$7,0,IFERROR(VLOOKUP(H38,$E$14:$G$17,3,FALSE),0))</f>
        <v>0</v>
      </c>
      <c r="I39" s="563">
        <f>IF(I38&gt;'Premissas Gerais'!$E$7,0,IFERROR(VLOOKUP(I38,$E$14:$G$17,3,FALSE),0))</f>
        <v>0</v>
      </c>
      <c r="J39" s="563">
        <f>IF(J38&gt;'Premissas Gerais'!$E$7,0,IFERROR(VLOOKUP(J38,$E$14:$G$17,3,FALSE),0))</f>
        <v>0</v>
      </c>
      <c r="K39" s="563">
        <f>IF(K38&gt;'Premissas Gerais'!$E$7,0,IFERROR(VLOOKUP(K38,$E$14:$G$17,3,FALSE),0))</f>
        <v>0</v>
      </c>
      <c r="L39" s="563">
        <f>IF(L38&gt;'Premissas Gerais'!$E$7,0,IFERROR(VLOOKUP(L38,$E$14:$G$17,3,FALSE),0))</f>
        <v>0</v>
      </c>
      <c r="M39" s="563">
        <f>IF(M38&gt;'Premissas Gerais'!$E$7,0,IFERROR(VLOOKUP(M38,$E$14:$G$17,3,FALSE),0))</f>
        <v>0</v>
      </c>
      <c r="N39" s="563">
        <f>IF(N38&gt;'Premissas Gerais'!$E$7,0,IFERROR(VLOOKUP(N38,$E$14:$G$17,3,FALSE),0))</f>
        <v>0</v>
      </c>
      <c r="O39" s="563">
        <f>IF(O38&gt;'Premissas Gerais'!$E$7,0,IFERROR(VLOOKUP(O38,$E$14:$G$17,3,FALSE),0))</f>
        <v>455595.99</v>
      </c>
      <c r="P39" s="563">
        <f>IF(P38&gt;'Premissas Gerais'!$E$7,0,IFERROR(VLOOKUP(P38,$E$14:$G$17,3,FALSE),0))</f>
        <v>0</v>
      </c>
      <c r="Q39" s="563">
        <f>IF(Q38&gt;'Premissas Gerais'!$E$7,0,IFERROR(VLOOKUP(Q38,$E$14:$G$17,3,FALSE),0))</f>
        <v>0</v>
      </c>
      <c r="R39" s="563">
        <f>IF(R38&gt;'Premissas Gerais'!$E$7,0,IFERROR(VLOOKUP(R38,$E$14:$G$17,3,FALSE),0))</f>
        <v>0</v>
      </c>
      <c r="S39" s="563">
        <f>IF(S38&gt;'Premissas Gerais'!$E$7,0,IFERROR(VLOOKUP(S38,$E$14:$G$17,3,FALSE),0))</f>
        <v>0</v>
      </c>
      <c r="T39" s="563">
        <f>IF(T38&gt;'Premissas Gerais'!$E$7,0,IFERROR(VLOOKUP(T38,$E$14:$G$17,3,FALSE),0))</f>
        <v>0</v>
      </c>
      <c r="U39" s="563">
        <f>IF(U38&gt;'Premissas Gerais'!$E$7,0,IFERROR(VLOOKUP(U38,$E$14:$G$17,3,FALSE),0))</f>
        <v>0</v>
      </c>
      <c r="V39" s="563">
        <f>IF(V38&gt;'Premissas Gerais'!$E$7,0,IFERROR(VLOOKUP(V38,$E$14:$G$17,3,FALSE),0))</f>
        <v>0</v>
      </c>
      <c r="W39" s="563">
        <f>IF(W38&gt;'Premissas Gerais'!$E$7,0,IFERROR(VLOOKUP(W38,$E$14:$G$17,3,FALSE),0))</f>
        <v>0</v>
      </c>
      <c r="X39" s="563">
        <f>IF(X38&gt;'Premissas Gerais'!$E$7,0,IFERROR(VLOOKUP(X38,$E$14:$G$17,3,FALSE),0))</f>
        <v>0</v>
      </c>
      <c r="Y39" s="563">
        <f>IF(Y38&gt;'Premissas Gerais'!$E$7,0,IFERROR(VLOOKUP(Y38,$E$14:$G$17,3,FALSE),0))</f>
        <v>455595.99</v>
      </c>
      <c r="Z39" s="563">
        <f>IF(Z38&gt;'Premissas Gerais'!$E$7,0,IFERROR(VLOOKUP(Z38,$E$14:$G$17,3,FALSE),0))</f>
        <v>0</v>
      </c>
      <c r="AA39" s="563">
        <f>IF(AA38&gt;'Premissas Gerais'!$E$7,0,IFERROR(VLOOKUP(AA38,$E$14:$G$17,3,FALSE),0))</f>
        <v>0</v>
      </c>
      <c r="AB39" s="563">
        <f>IF(AB38&gt;'Premissas Gerais'!$E$7,0,IFERROR(VLOOKUP(AB38,$E$14:$G$17,3,FALSE),0))</f>
        <v>0</v>
      </c>
      <c r="AC39" s="563">
        <f>IF(AC38&gt;'Premissas Gerais'!$E$7,0,IFERROR(VLOOKUP(AC38,$E$14:$G$17,3,FALSE),0))</f>
        <v>0</v>
      </c>
      <c r="AD39" s="563">
        <f>IF(AD38&gt;'Premissas Gerais'!$E$7,0,IFERROR(VLOOKUP(AD38,$E$14:$G$17,3,FALSE),0))</f>
        <v>0</v>
      </c>
      <c r="AE39" s="563">
        <f>IF(AE38&gt;'Premissas Gerais'!$E$7,0,IFERROR(VLOOKUP(AE38,$E$14:$G$17,3,FALSE),0))</f>
        <v>0</v>
      </c>
      <c r="AF39" s="563">
        <f>IF(AF38&gt;'Premissas Gerais'!$E$7,0,IFERROR(VLOOKUP(AF38,$E$14:$G$17,3,FALSE),0))</f>
        <v>0</v>
      </c>
      <c r="AG39" s="563">
        <f>IF(AG38&gt;'Premissas Gerais'!$E$7,0,IFERROR(VLOOKUP(AG38,$E$14:$G$17,3,FALSE),0))</f>
        <v>0</v>
      </c>
      <c r="AH39" s="563">
        <f>IF(AH38&gt;'Premissas Gerais'!$E$7,0,IFERROR(VLOOKUP(AH38,$E$14:$G$17,3,FALSE),0))</f>
        <v>0</v>
      </c>
      <c r="AI39" s="563">
        <f>IF(AI38&gt;'Premissas Gerais'!$E$7,0,IFERROR(VLOOKUP(AI38,$E$14:$G$17,3,FALSE),0))</f>
        <v>0</v>
      </c>
      <c r="AJ39" s="563">
        <f>IF(AJ38&gt;'Premissas Gerais'!$E$7,0,IFERROR(VLOOKUP(AJ38,$E$14:$G$17,3,FALSE),0))</f>
        <v>0</v>
      </c>
      <c r="AK39" s="563">
        <f>IF(AK38&gt;'Premissas Gerais'!$E$7,0,IFERROR(VLOOKUP(AK38,$E$14:$G$17,3,FALSE),0))</f>
        <v>0</v>
      </c>
      <c r="AL39" s="563">
        <f>IF(AL38&gt;'Premissas Gerais'!$E$7,0,IFERROR(VLOOKUP(AL38,$E$14:$G$17,3,FALSE),0))</f>
        <v>0</v>
      </c>
      <c r="AM39" s="563">
        <f>IF(AM38&gt;'Premissas Gerais'!$E$7,0,IFERROR(VLOOKUP(AM38,$E$14:$G$17,3,FALSE),0))</f>
        <v>0</v>
      </c>
      <c r="AN39" s="563">
        <f>IF(AN38&gt;'Premissas Gerais'!$E$7,0,IFERROR(VLOOKUP(AN38,$E$14:$G$17,3,FALSE),0))</f>
        <v>0</v>
      </c>
      <c r="AO39" s="16"/>
    </row>
    <row r="40" spans="2:41" x14ac:dyDescent="0.35">
      <c r="B40" s="9"/>
      <c r="C40" s="1606" t="s">
        <v>824</v>
      </c>
      <c r="D40" s="1606"/>
      <c r="E40" s="906">
        <f>SUM(F40:AN40)</f>
        <v>730682.95</v>
      </c>
      <c r="F40" s="563">
        <f>IF(F38&gt;'Premissas Gerais'!$E$7,0,IFERROR(VLOOKUP(F38,$E$29:$G$32,3,FALSE),0))</f>
        <v>297618.26</v>
      </c>
      <c r="G40" s="563">
        <f>IF(G38&gt;'Premissas Gerais'!$E$7,0,IFERROR(VLOOKUP(G38,$E$29:$G$32,3,FALSE),0))</f>
        <v>162171.82999999999</v>
      </c>
      <c r="H40" s="563">
        <f>IF(H38&gt;'Premissas Gerais'!$E$7,0,IFERROR(VLOOKUP(H38,$E$29:$G$32,3,FALSE),0))</f>
        <v>0</v>
      </c>
      <c r="I40" s="563">
        <f>IF(I38&gt;'Premissas Gerais'!$E$7,0,IFERROR(VLOOKUP(I38,$E$29:$G$32,3,FALSE),0))</f>
        <v>0</v>
      </c>
      <c r="J40" s="563">
        <f>IF(J38&gt;'Premissas Gerais'!$E$7,0,IFERROR(VLOOKUP(J38,$E$29:$G$32,3,FALSE),0))</f>
        <v>0</v>
      </c>
      <c r="K40" s="563">
        <f>IF(K38&gt;'Premissas Gerais'!$E$7,0,IFERROR(VLOOKUP(K38,$E$29:$G$32,3,FALSE),0))</f>
        <v>0</v>
      </c>
      <c r="L40" s="563">
        <f>IF(L38&gt;'Premissas Gerais'!$E$7,0,IFERROR(VLOOKUP(L38,$E$29:$G$32,3,FALSE),0))</f>
        <v>0</v>
      </c>
      <c r="M40" s="563">
        <f>IF(M38&gt;'Premissas Gerais'!$E$7,0,IFERROR(VLOOKUP(M38,$E$29:$G$32,3,FALSE),0))</f>
        <v>0</v>
      </c>
      <c r="N40" s="563">
        <f>IF(N38&gt;'Premissas Gerais'!$E$7,0,IFERROR(VLOOKUP(N38,$E$29:$G$32,3,FALSE),0))</f>
        <v>0</v>
      </c>
      <c r="O40" s="563">
        <f>IF(O38&gt;'Premissas Gerais'!$E$7,0,IFERROR(VLOOKUP(O38,$E$29:$G$32,3,FALSE),0))</f>
        <v>0</v>
      </c>
      <c r="P40" s="563">
        <f>IF(P38&gt;'Premissas Gerais'!$E$7,0,IFERROR(VLOOKUP(P38,$E$29:$G$32,3,FALSE),0))</f>
        <v>135446.43</v>
      </c>
      <c r="Q40" s="563">
        <f>IF(Q38&gt;'Premissas Gerais'!$E$7,0,IFERROR(VLOOKUP(Q38,$E$29:$G$32,3,FALSE),0))</f>
        <v>0</v>
      </c>
      <c r="R40" s="563">
        <f>IF(R38&gt;'Premissas Gerais'!$E$7,0,IFERROR(VLOOKUP(R38,$E$29:$G$32,3,FALSE),0))</f>
        <v>0</v>
      </c>
      <c r="S40" s="563">
        <f>IF(S38&gt;'Premissas Gerais'!$E$7,0,IFERROR(VLOOKUP(S38,$E$29:$G$32,3,FALSE),0))</f>
        <v>0</v>
      </c>
      <c r="T40" s="563">
        <f>IF(T38&gt;'Premissas Gerais'!$E$7,0,IFERROR(VLOOKUP(T38,$E$29:$G$32,3,FALSE),0))</f>
        <v>0</v>
      </c>
      <c r="U40" s="563">
        <f>IF(U38&gt;'Premissas Gerais'!$E$7,0,IFERROR(VLOOKUP(U38,$E$29:$G$32,3,FALSE),0))</f>
        <v>0</v>
      </c>
      <c r="V40" s="563">
        <f>IF(V38&gt;'Premissas Gerais'!$E$7,0,IFERROR(VLOOKUP(V38,$E$29:$G$32,3,FALSE),0))</f>
        <v>0</v>
      </c>
      <c r="W40" s="563">
        <f>IF(W38&gt;'Premissas Gerais'!$E$7,0,IFERROR(VLOOKUP(W38,$E$29:$G$32,3,FALSE),0))</f>
        <v>0</v>
      </c>
      <c r="X40" s="563">
        <f>IF(X38&gt;'Premissas Gerais'!$E$7,0,IFERROR(VLOOKUP(X38,$E$29:$G$32,3,FALSE),0))</f>
        <v>0</v>
      </c>
      <c r="Y40" s="563">
        <f>IF(Y38&gt;'Premissas Gerais'!$E$7,0,IFERROR(VLOOKUP(Y38,$E$29:$G$32,3,FALSE),0))</f>
        <v>0</v>
      </c>
      <c r="Z40" s="563">
        <f>IF(Z38&gt;'Premissas Gerais'!$E$7,0,IFERROR(VLOOKUP(Z38,$E$29:$G$32,3,FALSE),0))</f>
        <v>135446.43</v>
      </c>
      <c r="AA40" s="563">
        <f>IF(AA38&gt;'Premissas Gerais'!$E$7,0,IFERROR(VLOOKUP(AA38,$E$29:$G$32,3,FALSE),0))</f>
        <v>0</v>
      </c>
      <c r="AB40" s="563">
        <f>IF(AB38&gt;'Premissas Gerais'!$E$7,0,IFERROR(VLOOKUP(AB38,$E$29:$G$32,3,FALSE),0))</f>
        <v>0</v>
      </c>
      <c r="AC40" s="563">
        <f>IF(AC38&gt;'Premissas Gerais'!$E$7,0,IFERROR(VLOOKUP(AC38,$E$29:$G$32,3,FALSE),0))</f>
        <v>0</v>
      </c>
      <c r="AD40" s="563">
        <f>IF(AD38&gt;'Premissas Gerais'!$E$7,0,IFERROR(VLOOKUP(AD38,$E$29:$G$32,3,FALSE),0))</f>
        <v>0</v>
      </c>
      <c r="AE40" s="563">
        <f>IF(AE38&gt;'Premissas Gerais'!$E$7,0,IFERROR(VLOOKUP(AE38,$E$29:$G$32,3,FALSE),0))</f>
        <v>0</v>
      </c>
      <c r="AF40" s="563">
        <f>IF(AF38&gt;'Premissas Gerais'!$E$7,0,IFERROR(VLOOKUP(AF38,$E$29:$G$32,3,FALSE),0))</f>
        <v>0</v>
      </c>
      <c r="AG40" s="563">
        <f>IF(AG38&gt;'Premissas Gerais'!$E$7,0,IFERROR(VLOOKUP(AG38,$E$29:$G$32,3,FALSE),0))</f>
        <v>0</v>
      </c>
      <c r="AH40" s="563">
        <f>IF(AH38&gt;'Premissas Gerais'!$E$7,0,IFERROR(VLOOKUP(AH38,$E$29:$G$32,3,FALSE),0))</f>
        <v>0</v>
      </c>
      <c r="AI40" s="563">
        <f>IF(AI38&gt;'Premissas Gerais'!$E$7,0,IFERROR(VLOOKUP(AI38,$E$29:$G$32,3,FALSE),0))</f>
        <v>0</v>
      </c>
      <c r="AJ40" s="563">
        <f>IF(AJ38&gt;'Premissas Gerais'!$E$7,0,IFERROR(VLOOKUP(AJ38,$E$29:$G$32,3,FALSE),0))</f>
        <v>0</v>
      </c>
      <c r="AK40" s="563">
        <f>IF(AK38&gt;'Premissas Gerais'!$E$7,0,IFERROR(VLOOKUP(AK38,$E$29:$G$32,3,FALSE),0))</f>
        <v>0</v>
      </c>
      <c r="AL40" s="563">
        <f>IF(AL38&gt;'Premissas Gerais'!$E$7,0,IFERROR(VLOOKUP(AL38,$E$29:$G$32,3,FALSE),0))</f>
        <v>0</v>
      </c>
      <c r="AM40" s="563">
        <f>IF(AM38&gt;'Premissas Gerais'!$E$7,0,IFERROR(VLOOKUP(AM38,$E$29:$G$32,3,FALSE),0))</f>
        <v>0</v>
      </c>
      <c r="AN40" s="563">
        <f>IF(AN38&gt;'Premissas Gerais'!$E$7,0,IFERROR(VLOOKUP(AN38,$E$29:$G$32,3,FALSE),0))</f>
        <v>0</v>
      </c>
      <c r="AO40" s="16"/>
    </row>
    <row r="41" spans="2:41" x14ac:dyDescent="0.35">
      <c r="B41" s="9"/>
      <c r="C41" s="233" t="s">
        <v>200</v>
      </c>
      <c r="D41" s="232"/>
      <c r="E41" s="908">
        <f t="shared" ref="E41:AN41" si="1">SUM(E39:E40)</f>
        <v>12127398.24</v>
      </c>
      <c r="F41" s="566">
        <f t="shared" si="1"/>
        <v>5540379.915</v>
      </c>
      <c r="G41" s="566">
        <f t="shared" si="1"/>
        <v>5404933.4850000003</v>
      </c>
      <c r="H41" s="566">
        <f t="shared" si="1"/>
        <v>0</v>
      </c>
      <c r="I41" s="566">
        <f t="shared" si="1"/>
        <v>0</v>
      </c>
      <c r="J41" s="566">
        <f t="shared" si="1"/>
        <v>0</v>
      </c>
      <c r="K41" s="566">
        <f t="shared" si="1"/>
        <v>0</v>
      </c>
      <c r="L41" s="566">
        <f t="shared" si="1"/>
        <v>0</v>
      </c>
      <c r="M41" s="566">
        <f t="shared" si="1"/>
        <v>0</v>
      </c>
      <c r="N41" s="566">
        <f t="shared" si="1"/>
        <v>0</v>
      </c>
      <c r="O41" s="566">
        <f t="shared" si="1"/>
        <v>455595.99</v>
      </c>
      <c r="P41" s="566">
        <f t="shared" si="1"/>
        <v>135446.43</v>
      </c>
      <c r="Q41" s="566">
        <f t="shared" si="1"/>
        <v>0</v>
      </c>
      <c r="R41" s="566">
        <f t="shared" si="1"/>
        <v>0</v>
      </c>
      <c r="S41" s="566">
        <f t="shared" si="1"/>
        <v>0</v>
      </c>
      <c r="T41" s="566">
        <f t="shared" si="1"/>
        <v>0</v>
      </c>
      <c r="U41" s="566">
        <f t="shared" si="1"/>
        <v>0</v>
      </c>
      <c r="V41" s="566">
        <f t="shared" si="1"/>
        <v>0</v>
      </c>
      <c r="W41" s="566">
        <f t="shared" si="1"/>
        <v>0</v>
      </c>
      <c r="X41" s="566">
        <f t="shared" si="1"/>
        <v>0</v>
      </c>
      <c r="Y41" s="566">
        <f t="shared" si="1"/>
        <v>455595.99</v>
      </c>
      <c r="Z41" s="566">
        <f t="shared" si="1"/>
        <v>135446.43</v>
      </c>
      <c r="AA41" s="566">
        <f t="shared" si="1"/>
        <v>0</v>
      </c>
      <c r="AB41" s="566">
        <f t="shared" si="1"/>
        <v>0</v>
      </c>
      <c r="AC41" s="566">
        <f t="shared" si="1"/>
        <v>0</v>
      </c>
      <c r="AD41" s="566">
        <f t="shared" si="1"/>
        <v>0</v>
      </c>
      <c r="AE41" s="566">
        <f t="shared" si="1"/>
        <v>0</v>
      </c>
      <c r="AF41" s="566">
        <f t="shared" si="1"/>
        <v>0</v>
      </c>
      <c r="AG41" s="566">
        <f t="shared" si="1"/>
        <v>0</v>
      </c>
      <c r="AH41" s="566">
        <f t="shared" si="1"/>
        <v>0</v>
      </c>
      <c r="AI41" s="566">
        <f t="shared" si="1"/>
        <v>0</v>
      </c>
      <c r="AJ41" s="566">
        <f t="shared" si="1"/>
        <v>0</v>
      </c>
      <c r="AK41" s="566">
        <f t="shared" si="1"/>
        <v>0</v>
      </c>
      <c r="AL41" s="566">
        <f t="shared" si="1"/>
        <v>0</v>
      </c>
      <c r="AM41" s="566">
        <f t="shared" si="1"/>
        <v>0</v>
      </c>
      <c r="AN41" s="566">
        <f t="shared" si="1"/>
        <v>0</v>
      </c>
      <c r="AO41" s="16"/>
    </row>
    <row r="42" spans="2:41" ht="15" thickBot="1" x14ac:dyDescent="0.4">
      <c r="B42" s="38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69"/>
    </row>
    <row r="44" spans="2:41" x14ac:dyDescent="0.35">
      <c r="C44" s="77" t="s">
        <v>838</v>
      </c>
    </row>
    <row r="45" spans="2:41" x14ac:dyDescent="0.35">
      <c r="C45" s="560" t="s">
        <v>179</v>
      </c>
      <c r="D45" s="860"/>
      <c r="E45" s="229" t="s">
        <v>455</v>
      </c>
      <c r="F45" s="802">
        <v>1</v>
      </c>
      <c r="G45" s="802">
        <f>F45+1</f>
        <v>2</v>
      </c>
      <c r="H45" s="802">
        <f t="shared" ref="H45:AN45" si="2">G45+1</f>
        <v>3</v>
      </c>
      <c r="I45" s="802">
        <f t="shared" si="2"/>
        <v>4</v>
      </c>
      <c r="J45" s="802">
        <f t="shared" si="2"/>
        <v>5</v>
      </c>
      <c r="K45" s="802">
        <f t="shared" si="2"/>
        <v>6</v>
      </c>
      <c r="L45" s="802">
        <f t="shared" si="2"/>
        <v>7</v>
      </c>
      <c r="M45" s="802">
        <f t="shared" si="2"/>
        <v>8</v>
      </c>
      <c r="N45" s="802">
        <f t="shared" si="2"/>
        <v>9</v>
      </c>
      <c r="O45" s="802">
        <f t="shared" si="2"/>
        <v>10</v>
      </c>
      <c r="P45" s="802">
        <f t="shared" si="2"/>
        <v>11</v>
      </c>
      <c r="Q45" s="802">
        <f t="shared" si="2"/>
        <v>12</v>
      </c>
      <c r="R45" s="802">
        <f t="shared" si="2"/>
        <v>13</v>
      </c>
      <c r="S45" s="802">
        <f t="shared" si="2"/>
        <v>14</v>
      </c>
      <c r="T45" s="802">
        <f t="shared" si="2"/>
        <v>15</v>
      </c>
      <c r="U45" s="802">
        <f t="shared" si="2"/>
        <v>16</v>
      </c>
      <c r="V45" s="802">
        <f t="shared" si="2"/>
        <v>17</v>
      </c>
      <c r="W45" s="802">
        <f t="shared" si="2"/>
        <v>18</v>
      </c>
      <c r="X45" s="802">
        <f t="shared" si="2"/>
        <v>19</v>
      </c>
      <c r="Y45" s="802">
        <f t="shared" si="2"/>
        <v>20</v>
      </c>
      <c r="Z45" s="802">
        <f t="shared" si="2"/>
        <v>21</v>
      </c>
      <c r="AA45" s="802">
        <f t="shared" si="2"/>
        <v>22</v>
      </c>
      <c r="AB45" s="802">
        <f t="shared" si="2"/>
        <v>23</v>
      </c>
      <c r="AC45" s="802">
        <f t="shared" si="2"/>
        <v>24</v>
      </c>
      <c r="AD45" s="802">
        <f t="shared" si="2"/>
        <v>25</v>
      </c>
      <c r="AE45" s="802">
        <f t="shared" si="2"/>
        <v>26</v>
      </c>
      <c r="AF45" s="802">
        <f t="shared" si="2"/>
        <v>27</v>
      </c>
      <c r="AG45" s="802">
        <f t="shared" si="2"/>
        <v>28</v>
      </c>
      <c r="AH45" s="802">
        <f t="shared" si="2"/>
        <v>29</v>
      </c>
      <c r="AI45" s="802">
        <f t="shared" si="2"/>
        <v>30</v>
      </c>
      <c r="AJ45" s="802">
        <f t="shared" si="2"/>
        <v>31</v>
      </c>
      <c r="AK45" s="802">
        <f t="shared" si="2"/>
        <v>32</v>
      </c>
      <c r="AL45" s="802">
        <f t="shared" si="2"/>
        <v>33</v>
      </c>
      <c r="AM45" s="802">
        <f t="shared" si="2"/>
        <v>34</v>
      </c>
      <c r="AN45" s="802">
        <f t="shared" si="2"/>
        <v>35</v>
      </c>
    </row>
    <row r="46" spans="2:41" x14ac:dyDescent="0.35">
      <c r="C46" s="885" t="s">
        <v>1</v>
      </c>
      <c r="D46" s="886"/>
      <c r="E46" s="1853">
        <f>SUM(F46:AN46)</f>
        <v>82795.850585829146</v>
      </c>
      <c r="F46" s="889">
        <f t="shared" ref="F46:AN46" si="3">$F$59*F41</f>
        <v>37825.134340691759</v>
      </c>
      <c r="G46" s="889">
        <f t="shared" si="3"/>
        <v>36900.418077670452</v>
      </c>
      <c r="H46" s="889">
        <f t="shared" si="3"/>
        <v>0</v>
      </c>
      <c r="I46" s="889">
        <f t="shared" si="3"/>
        <v>0</v>
      </c>
      <c r="J46" s="889">
        <f t="shared" si="3"/>
        <v>0</v>
      </c>
      <c r="K46" s="889">
        <f t="shared" si="3"/>
        <v>0</v>
      </c>
      <c r="L46" s="889">
        <f t="shared" si="3"/>
        <v>0</v>
      </c>
      <c r="M46" s="889">
        <f t="shared" si="3"/>
        <v>0</v>
      </c>
      <c r="N46" s="889">
        <f t="shared" si="3"/>
        <v>0</v>
      </c>
      <c r="O46" s="889">
        <f t="shared" si="3"/>
        <v>3110.4328207121621</v>
      </c>
      <c r="P46" s="889">
        <f t="shared" si="3"/>
        <v>924.71626302130619</v>
      </c>
      <c r="Q46" s="889">
        <f t="shared" si="3"/>
        <v>0</v>
      </c>
      <c r="R46" s="889">
        <f t="shared" si="3"/>
        <v>0</v>
      </c>
      <c r="S46" s="889">
        <f t="shared" si="3"/>
        <v>0</v>
      </c>
      <c r="T46" s="889">
        <f t="shared" si="3"/>
        <v>0</v>
      </c>
      <c r="U46" s="889">
        <f t="shared" si="3"/>
        <v>0</v>
      </c>
      <c r="V46" s="889">
        <f t="shared" si="3"/>
        <v>0</v>
      </c>
      <c r="W46" s="889">
        <f t="shared" si="3"/>
        <v>0</v>
      </c>
      <c r="X46" s="889">
        <f t="shared" si="3"/>
        <v>0</v>
      </c>
      <c r="Y46" s="889">
        <f t="shared" si="3"/>
        <v>3110.4328207121621</v>
      </c>
      <c r="Z46" s="889">
        <f t="shared" si="3"/>
        <v>924.71626302130619</v>
      </c>
      <c r="AA46" s="889">
        <f t="shared" si="3"/>
        <v>0</v>
      </c>
      <c r="AB46" s="889">
        <f t="shared" si="3"/>
        <v>0</v>
      </c>
      <c r="AC46" s="889">
        <f t="shared" si="3"/>
        <v>0</v>
      </c>
      <c r="AD46" s="889">
        <f t="shared" si="3"/>
        <v>0</v>
      </c>
      <c r="AE46" s="889">
        <f t="shared" si="3"/>
        <v>0</v>
      </c>
      <c r="AF46" s="889">
        <f t="shared" si="3"/>
        <v>0</v>
      </c>
      <c r="AG46" s="889">
        <f t="shared" si="3"/>
        <v>0</v>
      </c>
      <c r="AH46" s="889">
        <f t="shared" si="3"/>
        <v>0</v>
      </c>
      <c r="AI46" s="889">
        <f t="shared" si="3"/>
        <v>0</v>
      </c>
      <c r="AJ46" s="889">
        <f t="shared" si="3"/>
        <v>0</v>
      </c>
      <c r="AK46" s="889">
        <f t="shared" si="3"/>
        <v>0</v>
      </c>
      <c r="AL46" s="889">
        <f t="shared" si="3"/>
        <v>0</v>
      </c>
      <c r="AM46" s="889">
        <f t="shared" si="3"/>
        <v>0</v>
      </c>
      <c r="AN46" s="889">
        <f t="shared" si="3"/>
        <v>0</v>
      </c>
    </row>
    <row r="47" spans="2:41" x14ac:dyDescent="0.35">
      <c r="C47" s="887" t="s">
        <v>2</v>
      </c>
      <c r="D47" s="888"/>
      <c r="E47" s="1854">
        <f t="shared" ref="E47:E54" si="4">SUM(F47:AN47)</f>
        <v>1048579.8013307056</v>
      </c>
      <c r="F47" s="890">
        <f t="shared" ref="F47:AN47" si="5">$F$60*F41</f>
        <v>479041.78254868049</v>
      </c>
      <c r="G47" s="890">
        <f t="shared" si="5"/>
        <v>467330.58218651998</v>
      </c>
      <c r="H47" s="890">
        <f t="shared" si="5"/>
        <v>0</v>
      </c>
      <c r="I47" s="890">
        <f t="shared" si="5"/>
        <v>0</v>
      </c>
      <c r="J47" s="890">
        <f t="shared" si="5"/>
        <v>0</v>
      </c>
      <c r="K47" s="890">
        <f t="shared" si="5"/>
        <v>0</v>
      </c>
      <c r="L47" s="890">
        <f t="shared" si="5"/>
        <v>0</v>
      </c>
      <c r="M47" s="890">
        <f t="shared" si="5"/>
        <v>0</v>
      </c>
      <c r="N47" s="890">
        <f t="shared" si="5"/>
        <v>0</v>
      </c>
      <c r="O47" s="890">
        <f t="shared" si="5"/>
        <v>39392.517935591932</v>
      </c>
      <c r="P47" s="890">
        <f t="shared" si="5"/>
        <v>11711.200362160556</v>
      </c>
      <c r="Q47" s="890">
        <f t="shared" si="5"/>
        <v>0</v>
      </c>
      <c r="R47" s="890">
        <f t="shared" si="5"/>
        <v>0</v>
      </c>
      <c r="S47" s="890">
        <f t="shared" si="5"/>
        <v>0</v>
      </c>
      <c r="T47" s="890">
        <f t="shared" si="5"/>
        <v>0</v>
      </c>
      <c r="U47" s="890">
        <f t="shared" si="5"/>
        <v>0</v>
      </c>
      <c r="V47" s="890">
        <f t="shared" si="5"/>
        <v>0</v>
      </c>
      <c r="W47" s="890">
        <f t="shared" si="5"/>
        <v>0</v>
      </c>
      <c r="X47" s="890">
        <f t="shared" si="5"/>
        <v>0</v>
      </c>
      <c r="Y47" s="890">
        <f t="shared" si="5"/>
        <v>39392.517935591932</v>
      </c>
      <c r="Z47" s="890">
        <f t="shared" si="5"/>
        <v>11711.200362160556</v>
      </c>
      <c r="AA47" s="890">
        <f t="shared" si="5"/>
        <v>0</v>
      </c>
      <c r="AB47" s="890">
        <f t="shared" si="5"/>
        <v>0</v>
      </c>
      <c r="AC47" s="890">
        <f t="shared" si="5"/>
        <v>0</v>
      </c>
      <c r="AD47" s="890">
        <f t="shared" si="5"/>
        <v>0</v>
      </c>
      <c r="AE47" s="890">
        <f t="shared" si="5"/>
        <v>0</v>
      </c>
      <c r="AF47" s="890">
        <f t="shared" si="5"/>
        <v>0</v>
      </c>
      <c r="AG47" s="890">
        <f t="shared" si="5"/>
        <v>0</v>
      </c>
      <c r="AH47" s="890">
        <f t="shared" si="5"/>
        <v>0</v>
      </c>
      <c r="AI47" s="890">
        <f t="shared" si="5"/>
        <v>0</v>
      </c>
      <c r="AJ47" s="890">
        <f t="shared" si="5"/>
        <v>0</v>
      </c>
      <c r="AK47" s="890">
        <f t="shared" si="5"/>
        <v>0</v>
      </c>
      <c r="AL47" s="890">
        <f t="shared" si="5"/>
        <v>0</v>
      </c>
      <c r="AM47" s="890">
        <f t="shared" si="5"/>
        <v>0</v>
      </c>
      <c r="AN47" s="890">
        <f t="shared" si="5"/>
        <v>0</v>
      </c>
    </row>
    <row r="48" spans="2:41" x14ac:dyDescent="0.35">
      <c r="C48" s="887" t="s">
        <v>3</v>
      </c>
      <c r="D48" s="888"/>
      <c r="E48" s="1854">
        <f t="shared" si="4"/>
        <v>125613.26415453022</v>
      </c>
      <c r="F48" s="890">
        <f t="shared" ref="F48:AN48" si="6">$F$61*F41</f>
        <v>57386.192158174621</v>
      </c>
      <c r="G48" s="890">
        <f t="shared" si="6"/>
        <v>55983.264023575983</v>
      </c>
      <c r="H48" s="890">
        <f t="shared" si="6"/>
        <v>0</v>
      </c>
      <c r="I48" s="890">
        <f t="shared" si="6"/>
        <v>0</v>
      </c>
      <c r="J48" s="890">
        <f t="shared" si="6"/>
        <v>0</v>
      </c>
      <c r="K48" s="890">
        <f t="shared" si="6"/>
        <v>0</v>
      </c>
      <c r="L48" s="890">
        <f t="shared" si="6"/>
        <v>0</v>
      </c>
      <c r="M48" s="890">
        <f t="shared" si="6"/>
        <v>0</v>
      </c>
      <c r="N48" s="890">
        <f t="shared" si="6"/>
        <v>0</v>
      </c>
      <c r="O48" s="890">
        <f t="shared" si="6"/>
        <v>4718.9758517911678</v>
      </c>
      <c r="P48" s="890">
        <f t="shared" si="6"/>
        <v>1402.9281345986446</v>
      </c>
      <c r="Q48" s="890">
        <f t="shared" si="6"/>
        <v>0</v>
      </c>
      <c r="R48" s="890">
        <f t="shared" si="6"/>
        <v>0</v>
      </c>
      <c r="S48" s="890">
        <f t="shared" si="6"/>
        <v>0</v>
      </c>
      <c r="T48" s="890">
        <f t="shared" si="6"/>
        <v>0</v>
      </c>
      <c r="U48" s="890">
        <f t="shared" si="6"/>
        <v>0</v>
      </c>
      <c r="V48" s="890">
        <f t="shared" si="6"/>
        <v>0</v>
      </c>
      <c r="W48" s="890">
        <f t="shared" si="6"/>
        <v>0</v>
      </c>
      <c r="X48" s="890">
        <f t="shared" si="6"/>
        <v>0</v>
      </c>
      <c r="Y48" s="890">
        <f t="shared" si="6"/>
        <v>4718.9758517911678</v>
      </c>
      <c r="Z48" s="890">
        <f t="shared" si="6"/>
        <v>1402.9281345986446</v>
      </c>
      <c r="AA48" s="890">
        <f t="shared" si="6"/>
        <v>0</v>
      </c>
      <c r="AB48" s="890">
        <f t="shared" si="6"/>
        <v>0</v>
      </c>
      <c r="AC48" s="890">
        <f t="shared" si="6"/>
        <v>0</v>
      </c>
      <c r="AD48" s="890">
        <f t="shared" si="6"/>
        <v>0</v>
      </c>
      <c r="AE48" s="890">
        <f t="shared" si="6"/>
        <v>0</v>
      </c>
      <c r="AF48" s="890">
        <f t="shared" si="6"/>
        <v>0</v>
      </c>
      <c r="AG48" s="890">
        <f t="shared" si="6"/>
        <v>0</v>
      </c>
      <c r="AH48" s="890">
        <f t="shared" si="6"/>
        <v>0</v>
      </c>
      <c r="AI48" s="890">
        <f t="shared" si="6"/>
        <v>0</v>
      </c>
      <c r="AJ48" s="890">
        <f t="shared" si="6"/>
        <v>0</v>
      </c>
      <c r="AK48" s="890">
        <f t="shared" si="6"/>
        <v>0</v>
      </c>
      <c r="AL48" s="890">
        <f t="shared" si="6"/>
        <v>0</v>
      </c>
      <c r="AM48" s="890">
        <f t="shared" si="6"/>
        <v>0</v>
      </c>
      <c r="AN48" s="890">
        <f t="shared" si="6"/>
        <v>0</v>
      </c>
    </row>
    <row r="49" spans="3:40" x14ac:dyDescent="0.35">
      <c r="C49" s="887" t="s">
        <v>4</v>
      </c>
      <c r="D49" s="888"/>
      <c r="E49" s="1854">
        <f t="shared" si="4"/>
        <v>335168.91805283725</v>
      </c>
      <c r="F49" s="890">
        <f t="shared" ref="F49:AN49" si="7">$F$62*F41</f>
        <v>153121.31299418933</v>
      </c>
      <c r="G49" s="890">
        <f t="shared" si="7"/>
        <v>149377.93518974943</v>
      </c>
      <c r="H49" s="890">
        <f t="shared" si="7"/>
        <v>0</v>
      </c>
      <c r="I49" s="890">
        <f t="shared" si="7"/>
        <v>0</v>
      </c>
      <c r="J49" s="890">
        <f t="shared" si="7"/>
        <v>0</v>
      </c>
      <c r="K49" s="890">
        <f t="shared" si="7"/>
        <v>0</v>
      </c>
      <c r="L49" s="890">
        <f t="shared" si="7"/>
        <v>0</v>
      </c>
      <c r="M49" s="890">
        <f t="shared" si="7"/>
        <v>0</v>
      </c>
      <c r="N49" s="890">
        <f t="shared" si="7"/>
        <v>0</v>
      </c>
      <c r="O49" s="890">
        <f t="shared" si="7"/>
        <v>12591.457130009385</v>
      </c>
      <c r="P49" s="890">
        <f t="shared" si="7"/>
        <v>3743.3778044398878</v>
      </c>
      <c r="Q49" s="890">
        <f t="shared" si="7"/>
        <v>0</v>
      </c>
      <c r="R49" s="890">
        <f t="shared" si="7"/>
        <v>0</v>
      </c>
      <c r="S49" s="890">
        <f t="shared" si="7"/>
        <v>0</v>
      </c>
      <c r="T49" s="890">
        <f t="shared" si="7"/>
        <v>0</v>
      </c>
      <c r="U49" s="890">
        <f t="shared" si="7"/>
        <v>0</v>
      </c>
      <c r="V49" s="890">
        <f t="shared" si="7"/>
        <v>0</v>
      </c>
      <c r="W49" s="890">
        <f t="shared" si="7"/>
        <v>0</v>
      </c>
      <c r="X49" s="890">
        <f t="shared" si="7"/>
        <v>0</v>
      </c>
      <c r="Y49" s="890">
        <f t="shared" si="7"/>
        <v>12591.457130009385</v>
      </c>
      <c r="Z49" s="890">
        <f t="shared" si="7"/>
        <v>3743.3778044398878</v>
      </c>
      <c r="AA49" s="890">
        <f t="shared" si="7"/>
        <v>0</v>
      </c>
      <c r="AB49" s="890">
        <f t="shared" si="7"/>
        <v>0</v>
      </c>
      <c r="AC49" s="890">
        <f t="shared" si="7"/>
        <v>0</v>
      </c>
      <c r="AD49" s="890">
        <f t="shared" si="7"/>
        <v>0</v>
      </c>
      <c r="AE49" s="890">
        <f t="shared" si="7"/>
        <v>0</v>
      </c>
      <c r="AF49" s="890">
        <f t="shared" si="7"/>
        <v>0</v>
      </c>
      <c r="AG49" s="890">
        <f t="shared" si="7"/>
        <v>0</v>
      </c>
      <c r="AH49" s="890">
        <f t="shared" si="7"/>
        <v>0</v>
      </c>
      <c r="AI49" s="890">
        <f t="shared" si="7"/>
        <v>0</v>
      </c>
      <c r="AJ49" s="890">
        <f t="shared" si="7"/>
        <v>0</v>
      </c>
      <c r="AK49" s="890">
        <f t="shared" si="7"/>
        <v>0</v>
      </c>
      <c r="AL49" s="890">
        <f t="shared" si="7"/>
        <v>0</v>
      </c>
      <c r="AM49" s="890">
        <f t="shared" si="7"/>
        <v>0</v>
      </c>
      <c r="AN49" s="890">
        <f t="shared" si="7"/>
        <v>0</v>
      </c>
    </row>
    <row r="50" spans="3:40" x14ac:dyDescent="0.35">
      <c r="C50" s="887" t="s">
        <v>5</v>
      </c>
      <c r="D50" s="888"/>
      <c r="E50" s="1854">
        <f t="shared" si="4"/>
        <v>727925.3568628591</v>
      </c>
      <c r="F50" s="890">
        <f t="shared" ref="F50:AN50" si="8">$F$63*F41</f>
        <v>332551.38051623775</v>
      </c>
      <c r="G50" s="890">
        <f t="shared" si="8"/>
        <v>324421.45116598741</v>
      </c>
      <c r="H50" s="890">
        <f t="shared" si="8"/>
        <v>0</v>
      </c>
      <c r="I50" s="890">
        <f t="shared" si="8"/>
        <v>0</v>
      </c>
      <c r="J50" s="890">
        <f t="shared" si="8"/>
        <v>0</v>
      </c>
      <c r="K50" s="890">
        <f t="shared" si="8"/>
        <v>0</v>
      </c>
      <c r="L50" s="890">
        <f t="shared" si="8"/>
        <v>0</v>
      </c>
      <c r="M50" s="890">
        <f t="shared" si="8"/>
        <v>0</v>
      </c>
      <c r="N50" s="890">
        <f t="shared" si="8"/>
        <v>0</v>
      </c>
      <c r="O50" s="890">
        <f t="shared" si="8"/>
        <v>27346.33324006663</v>
      </c>
      <c r="P50" s="890">
        <f t="shared" si="8"/>
        <v>8129.9293502503351</v>
      </c>
      <c r="Q50" s="890">
        <f t="shared" si="8"/>
        <v>0</v>
      </c>
      <c r="R50" s="890">
        <f t="shared" si="8"/>
        <v>0</v>
      </c>
      <c r="S50" s="890">
        <f t="shared" si="8"/>
        <v>0</v>
      </c>
      <c r="T50" s="890">
        <f t="shared" si="8"/>
        <v>0</v>
      </c>
      <c r="U50" s="890">
        <f t="shared" si="8"/>
        <v>0</v>
      </c>
      <c r="V50" s="890">
        <f t="shared" si="8"/>
        <v>0</v>
      </c>
      <c r="W50" s="890">
        <f t="shared" si="8"/>
        <v>0</v>
      </c>
      <c r="X50" s="890">
        <f t="shared" si="8"/>
        <v>0</v>
      </c>
      <c r="Y50" s="890">
        <f t="shared" si="8"/>
        <v>27346.33324006663</v>
      </c>
      <c r="Z50" s="890">
        <f t="shared" si="8"/>
        <v>8129.9293502503351</v>
      </c>
      <c r="AA50" s="890">
        <f t="shared" si="8"/>
        <v>0</v>
      </c>
      <c r="AB50" s="890">
        <f t="shared" si="8"/>
        <v>0</v>
      </c>
      <c r="AC50" s="890">
        <f t="shared" si="8"/>
        <v>0</v>
      </c>
      <c r="AD50" s="890">
        <f t="shared" si="8"/>
        <v>0</v>
      </c>
      <c r="AE50" s="890">
        <f t="shared" si="8"/>
        <v>0</v>
      </c>
      <c r="AF50" s="890">
        <f t="shared" si="8"/>
        <v>0</v>
      </c>
      <c r="AG50" s="890">
        <f t="shared" si="8"/>
        <v>0</v>
      </c>
      <c r="AH50" s="890">
        <f t="shared" si="8"/>
        <v>0</v>
      </c>
      <c r="AI50" s="890">
        <f t="shared" si="8"/>
        <v>0</v>
      </c>
      <c r="AJ50" s="890">
        <f t="shared" si="8"/>
        <v>0</v>
      </c>
      <c r="AK50" s="890">
        <f t="shared" si="8"/>
        <v>0</v>
      </c>
      <c r="AL50" s="890">
        <f t="shared" si="8"/>
        <v>0</v>
      </c>
      <c r="AM50" s="890">
        <f t="shared" si="8"/>
        <v>0</v>
      </c>
      <c r="AN50" s="890">
        <f t="shared" si="8"/>
        <v>0</v>
      </c>
    </row>
    <row r="51" spans="3:40" x14ac:dyDescent="0.35">
      <c r="C51" s="887" t="s">
        <v>6</v>
      </c>
      <c r="D51" s="888"/>
      <c r="E51" s="1854">
        <f t="shared" si="4"/>
        <v>8058006.3914762819</v>
      </c>
      <c r="F51" s="890">
        <f t="shared" ref="F51:AN51" si="9">$F$64*F41</f>
        <v>3681285.6214307696</v>
      </c>
      <c r="G51" s="890">
        <f t="shared" si="9"/>
        <v>3591288.7253906308</v>
      </c>
      <c r="H51" s="890">
        <f t="shared" si="9"/>
        <v>0</v>
      </c>
      <c r="I51" s="890">
        <f t="shared" si="9"/>
        <v>0</v>
      </c>
      <c r="J51" s="890">
        <f t="shared" si="9"/>
        <v>0</v>
      </c>
      <c r="K51" s="890">
        <f t="shared" si="9"/>
        <v>0</v>
      </c>
      <c r="L51" s="890">
        <f t="shared" si="9"/>
        <v>0</v>
      </c>
      <c r="M51" s="890">
        <f t="shared" si="9"/>
        <v>0</v>
      </c>
      <c r="N51" s="890">
        <f t="shared" si="9"/>
        <v>0</v>
      </c>
      <c r="O51" s="890">
        <f t="shared" si="9"/>
        <v>302719.126287302</v>
      </c>
      <c r="P51" s="890">
        <f t="shared" si="9"/>
        <v>89996.896040139007</v>
      </c>
      <c r="Q51" s="890">
        <f t="shared" si="9"/>
        <v>0</v>
      </c>
      <c r="R51" s="890">
        <f t="shared" si="9"/>
        <v>0</v>
      </c>
      <c r="S51" s="890">
        <f t="shared" si="9"/>
        <v>0</v>
      </c>
      <c r="T51" s="890">
        <f t="shared" si="9"/>
        <v>0</v>
      </c>
      <c r="U51" s="890">
        <f t="shared" si="9"/>
        <v>0</v>
      </c>
      <c r="V51" s="890">
        <f t="shared" si="9"/>
        <v>0</v>
      </c>
      <c r="W51" s="890">
        <f t="shared" si="9"/>
        <v>0</v>
      </c>
      <c r="X51" s="890">
        <f t="shared" si="9"/>
        <v>0</v>
      </c>
      <c r="Y51" s="890">
        <f t="shared" si="9"/>
        <v>302719.126287302</v>
      </c>
      <c r="Z51" s="890">
        <f t="shared" si="9"/>
        <v>89996.896040139007</v>
      </c>
      <c r="AA51" s="890">
        <f t="shared" si="9"/>
        <v>0</v>
      </c>
      <c r="AB51" s="890">
        <f t="shared" si="9"/>
        <v>0</v>
      </c>
      <c r="AC51" s="890">
        <f t="shared" si="9"/>
        <v>0</v>
      </c>
      <c r="AD51" s="890">
        <f t="shared" si="9"/>
        <v>0</v>
      </c>
      <c r="AE51" s="890">
        <f t="shared" si="9"/>
        <v>0</v>
      </c>
      <c r="AF51" s="890">
        <f t="shared" si="9"/>
        <v>0</v>
      </c>
      <c r="AG51" s="890">
        <f t="shared" si="9"/>
        <v>0</v>
      </c>
      <c r="AH51" s="890">
        <f t="shared" si="9"/>
        <v>0</v>
      </c>
      <c r="AI51" s="890">
        <f t="shared" si="9"/>
        <v>0</v>
      </c>
      <c r="AJ51" s="890">
        <f t="shared" si="9"/>
        <v>0</v>
      </c>
      <c r="AK51" s="890">
        <f t="shared" si="9"/>
        <v>0</v>
      </c>
      <c r="AL51" s="890">
        <f t="shared" si="9"/>
        <v>0</v>
      </c>
      <c r="AM51" s="890">
        <f t="shared" si="9"/>
        <v>0</v>
      </c>
      <c r="AN51" s="890">
        <f t="shared" si="9"/>
        <v>0</v>
      </c>
    </row>
    <row r="52" spans="3:40" x14ac:dyDescent="0.35">
      <c r="C52" s="887" t="s">
        <v>7</v>
      </c>
      <c r="D52" s="888"/>
      <c r="E52" s="1854">
        <f t="shared" si="4"/>
        <v>657980.72908384446</v>
      </c>
      <c r="F52" s="890">
        <f t="shared" ref="F52:AN52" si="10">$F$65*F41</f>
        <v>300597.30403255788</v>
      </c>
      <c r="G52" s="890">
        <f t="shared" si="10"/>
        <v>293248.56038618746</v>
      </c>
      <c r="H52" s="890">
        <f t="shared" si="10"/>
        <v>0</v>
      </c>
      <c r="I52" s="890">
        <f t="shared" si="10"/>
        <v>0</v>
      </c>
      <c r="J52" s="890">
        <f t="shared" si="10"/>
        <v>0</v>
      </c>
      <c r="K52" s="890">
        <f t="shared" si="10"/>
        <v>0</v>
      </c>
      <c r="L52" s="890">
        <f t="shared" si="10"/>
        <v>0</v>
      </c>
      <c r="M52" s="890">
        <f t="shared" si="10"/>
        <v>0</v>
      </c>
      <c r="N52" s="890">
        <f t="shared" si="10"/>
        <v>0</v>
      </c>
      <c r="O52" s="890">
        <f t="shared" si="10"/>
        <v>24718.688686179059</v>
      </c>
      <c r="P52" s="890">
        <f t="shared" si="10"/>
        <v>7348.7436463704253</v>
      </c>
      <c r="Q52" s="890">
        <f t="shared" si="10"/>
        <v>0</v>
      </c>
      <c r="R52" s="890">
        <f t="shared" si="10"/>
        <v>0</v>
      </c>
      <c r="S52" s="890">
        <f t="shared" si="10"/>
        <v>0</v>
      </c>
      <c r="T52" s="890">
        <f t="shared" si="10"/>
        <v>0</v>
      </c>
      <c r="U52" s="890">
        <f t="shared" si="10"/>
        <v>0</v>
      </c>
      <c r="V52" s="890">
        <f t="shared" si="10"/>
        <v>0</v>
      </c>
      <c r="W52" s="890">
        <f t="shared" si="10"/>
        <v>0</v>
      </c>
      <c r="X52" s="890">
        <f t="shared" si="10"/>
        <v>0</v>
      </c>
      <c r="Y52" s="890">
        <f t="shared" si="10"/>
        <v>24718.688686179059</v>
      </c>
      <c r="Z52" s="890">
        <f t="shared" si="10"/>
        <v>7348.7436463704253</v>
      </c>
      <c r="AA52" s="890">
        <f t="shared" si="10"/>
        <v>0</v>
      </c>
      <c r="AB52" s="890">
        <f t="shared" si="10"/>
        <v>0</v>
      </c>
      <c r="AC52" s="890">
        <f t="shared" si="10"/>
        <v>0</v>
      </c>
      <c r="AD52" s="890">
        <f t="shared" si="10"/>
        <v>0</v>
      </c>
      <c r="AE52" s="890">
        <f t="shared" si="10"/>
        <v>0</v>
      </c>
      <c r="AF52" s="890">
        <f t="shared" si="10"/>
        <v>0</v>
      </c>
      <c r="AG52" s="890">
        <f t="shared" si="10"/>
        <v>0</v>
      </c>
      <c r="AH52" s="890">
        <f t="shared" si="10"/>
        <v>0</v>
      </c>
      <c r="AI52" s="890">
        <f t="shared" si="10"/>
        <v>0</v>
      </c>
      <c r="AJ52" s="890">
        <f t="shared" si="10"/>
        <v>0</v>
      </c>
      <c r="AK52" s="890">
        <f t="shared" si="10"/>
        <v>0</v>
      </c>
      <c r="AL52" s="890">
        <f t="shared" si="10"/>
        <v>0</v>
      </c>
      <c r="AM52" s="890">
        <f t="shared" si="10"/>
        <v>0</v>
      </c>
      <c r="AN52" s="890">
        <f t="shared" si="10"/>
        <v>0</v>
      </c>
    </row>
    <row r="53" spans="3:40" x14ac:dyDescent="0.35">
      <c r="C53" s="887" t="s">
        <v>8</v>
      </c>
      <c r="D53" s="888"/>
      <c r="E53" s="1854">
        <f t="shared" si="4"/>
        <v>599454.78452401422</v>
      </c>
      <c r="F53" s="890">
        <f t="shared" ref="F53:AN53" si="11">$F$66*F41</f>
        <v>273859.83229058213</v>
      </c>
      <c r="G53" s="890">
        <f t="shared" si="11"/>
        <v>267164.74329429655</v>
      </c>
      <c r="H53" s="890">
        <f t="shared" si="11"/>
        <v>0</v>
      </c>
      <c r="I53" s="890">
        <f t="shared" si="11"/>
        <v>0</v>
      </c>
      <c r="J53" s="890">
        <f t="shared" si="11"/>
        <v>0</v>
      </c>
      <c r="K53" s="890">
        <f t="shared" si="11"/>
        <v>0</v>
      </c>
      <c r="L53" s="890">
        <f t="shared" si="11"/>
        <v>0</v>
      </c>
      <c r="M53" s="890">
        <f t="shared" si="11"/>
        <v>0</v>
      </c>
      <c r="N53" s="890">
        <f t="shared" si="11"/>
        <v>0</v>
      </c>
      <c r="O53" s="890">
        <f t="shared" si="11"/>
        <v>22520.015473282165</v>
      </c>
      <c r="P53" s="890">
        <f t="shared" si="11"/>
        <v>6695.0889962855672</v>
      </c>
      <c r="Q53" s="890">
        <f t="shared" si="11"/>
        <v>0</v>
      </c>
      <c r="R53" s="890">
        <f t="shared" si="11"/>
        <v>0</v>
      </c>
      <c r="S53" s="890">
        <f t="shared" si="11"/>
        <v>0</v>
      </c>
      <c r="T53" s="890">
        <f t="shared" si="11"/>
        <v>0</v>
      </c>
      <c r="U53" s="890">
        <f t="shared" si="11"/>
        <v>0</v>
      </c>
      <c r="V53" s="890">
        <f t="shared" si="11"/>
        <v>0</v>
      </c>
      <c r="W53" s="890">
        <f t="shared" si="11"/>
        <v>0</v>
      </c>
      <c r="X53" s="890">
        <f t="shared" si="11"/>
        <v>0</v>
      </c>
      <c r="Y53" s="890">
        <f t="shared" si="11"/>
        <v>22520.015473282165</v>
      </c>
      <c r="Z53" s="890">
        <f t="shared" si="11"/>
        <v>6695.0889962855672</v>
      </c>
      <c r="AA53" s="890">
        <f t="shared" si="11"/>
        <v>0</v>
      </c>
      <c r="AB53" s="890">
        <f t="shared" si="11"/>
        <v>0</v>
      </c>
      <c r="AC53" s="890">
        <f t="shared" si="11"/>
        <v>0</v>
      </c>
      <c r="AD53" s="890">
        <f t="shared" si="11"/>
        <v>0</v>
      </c>
      <c r="AE53" s="890">
        <f t="shared" si="11"/>
        <v>0</v>
      </c>
      <c r="AF53" s="890">
        <f t="shared" si="11"/>
        <v>0</v>
      </c>
      <c r="AG53" s="890">
        <f t="shared" si="11"/>
        <v>0</v>
      </c>
      <c r="AH53" s="890">
        <f t="shared" si="11"/>
        <v>0</v>
      </c>
      <c r="AI53" s="890">
        <f t="shared" si="11"/>
        <v>0</v>
      </c>
      <c r="AJ53" s="890">
        <f t="shared" si="11"/>
        <v>0</v>
      </c>
      <c r="AK53" s="890">
        <f t="shared" si="11"/>
        <v>0</v>
      </c>
      <c r="AL53" s="890">
        <f t="shared" si="11"/>
        <v>0</v>
      </c>
      <c r="AM53" s="890">
        <f t="shared" si="11"/>
        <v>0</v>
      </c>
      <c r="AN53" s="890">
        <f t="shared" si="11"/>
        <v>0</v>
      </c>
    </row>
    <row r="54" spans="3:40" x14ac:dyDescent="0.35">
      <c r="C54" s="887" t="s">
        <v>9</v>
      </c>
      <c r="D54" s="888"/>
      <c r="E54" s="1854">
        <f t="shared" si="4"/>
        <v>491873.14392909897</v>
      </c>
      <c r="F54" s="890">
        <f t="shared" ref="F54:AN54" si="12">$F$67*F41</f>
        <v>224711.35468811684</v>
      </c>
      <c r="G54" s="890">
        <f t="shared" si="12"/>
        <v>219217.80528538261</v>
      </c>
      <c r="H54" s="890">
        <f t="shared" si="12"/>
        <v>0</v>
      </c>
      <c r="I54" s="890">
        <f t="shared" si="12"/>
        <v>0</v>
      </c>
      <c r="J54" s="890">
        <f t="shared" si="12"/>
        <v>0</v>
      </c>
      <c r="K54" s="890">
        <f t="shared" si="12"/>
        <v>0</v>
      </c>
      <c r="L54" s="890">
        <f t="shared" si="12"/>
        <v>0</v>
      </c>
      <c r="M54" s="890">
        <f t="shared" si="12"/>
        <v>0</v>
      </c>
      <c r="N54" s="890">
        <f t="shared" si="12"/>
        <v>0</v>
      </c>
      <c r="O54" s="890">
        <f t="shared" si="12"/>
        <v>18478.442575065492</v>
      </c>
      <c r="P54" s="890">
        <f t="shared" si="12"/>
        <v>5493.5494027342693</v>
      </c>
      <c r="Q54" s="890">
        <f t="shared" si="12"/>
        <v>0</v>
      </c>
      <c r="R54" s="890">
        <f t="shared" si="12"/>
        <v>0</v>
      </c>
      <c r="S54" s="890">
        <f t="shared" si="12"/>
        <v>0</v>
      </c>
      <c r="T54" s="890">
        <f t="shared" si="12"/>
        <v>0</v>
      </c>
      <c r="U54" s="890">
        <f t="shared" si="12"/>
        <v>0</v>
      </c>
      <c r="V54" s="890">
        <f t="shared" si="12"/>
        <v>0</v>
      </c>
      <c r="W54" s="890">
        <f t="shared" si="12"/>
        <v>0</v>
      </c>
      <c r="X54" s="890">
        <f t="shared" si="12"/>
        <v>0</v>
      </c>
      <c r="Y54" s="890">
        <f t="shared" si="12"/>
        <v>18478.442575065492</v>
      </c>
      <c r="Z54" s="890">
        <f t="shared" si="12"/>
        <v>5493.5494027342693</v>
      </c>
      <c r="AA54" s="890">
        <f t="shared" si="12"/>
        <v>0</v>
      </c>
      <c r="AB54" s="890">
        <f t="shared" si="12"/>
        <v>0</v>
      </c>
      <c r="AC54" s="890">
        <f t="shared" si="12"/>
        <v>0</v>
      </c>
      <c r="AD54" s="890">
        <f t="shared" si="12"/>
        <v>0</v>
      </c>
      <c r="AE54" s="890">
        <f t="shared" si="12"/>
        <v>0</v>
      </c>
      <c r="AF54" s="890">
        <f t="shared" si="12"/>
        <v>0</v>
      </c>
      <c r="AG54" s="890">
        <f t="shared" si="12"/>
        <v>0</v>
      </c>
      <c r="AH54" s="890">
        <f t="shared" si="12"/>
        <v>0</v>
      </c>
      <c r="AI54" s="890">
        <f t="shared" si="12"/>
        <v>0</v>
      </c>
      <c r="AJ54" s="890">
        <f t="shared" si="12"/>
        <v>0</v>
      </c>
      <c r="AK54" s="890">
        <f t="shared" si="12"/>
        <v>0</v>
      </c>
      <c r="AL54" s="890">
        <f t="shared" si="12"/>
        <v>0</v>
      </c>
      <c r="AM54" s="890">
        <f t="shared" si="12"/>
        <v>0</v>
      </c>
      <c r="AN54" s="890">
        <f t="shared" si="12"/>
        <v>0</v>
      </c>
    </row>
    <row r="55" spans="3:40" x14ac:dyDescent="0.35">
      <c r="C55" s="800" t="s">
        <v>455</v>
      </c>
      <c r="D55" s="861"/>
      <c r="E55" s="801">
        <f t="shared" ref="E55:AN55" si="13">SUM(E46:E54)</f>
        <v>12127398.240000002</v>
      </c>
      <c r="F55" s="801">
        <f t="shared" si="13"/>
        <v>5540379.915000001</v>
      </c>
      <c r="G55" s="801">
        <f t="shared" si="13"/>
        <v>5404933.4850000013</v>
      </c>
      <c r="H55" s="801">
        <f t="shared" si="13"/>
        <v>0</v>
      </c>
      <c r="I55" s="801">
        <f t="shared" si="13"/>
        <v>0</v>
      </c>
      <c r="J55" s="801">
        <f t="shared" si="13"/>
        <v>0</v>
      </c>
      <c r="K55" s="801">
        <f t="shared" si="13"/>
        <v>0</v>
      </c>
      <c r="L55" s="801">
        <f t="shared" si="13"/>
        <v>0</v>
      </c>
      <c r="M55" s="801">
        <f t="shared" si="13"/>
        <v>0</v>
      </c>
      <c r="N55" s="801">
        <f t="shared" si="13"/>
        <v>0</v>
      </c>
      <c r="O55" s="801">
        <f t="shared" si="13"/>
        <v>455595.98999999993</v>
      </c>
      <c r="P55" s="801">
        <f t="shared" si="13"/>
        <v>135446.43</v>
      </c>
      <c r="Q55" s="801">
        <f t="shared" si="13"/>
        <v>0</v>
      </c>
      <c r="R55" s="801">
        <f t="shared" si="13"/>
        <v>0</v>
      </c>
      <c r="S55" s="801">
        <f t="shared" si="13"/>
        <v>0</v>
      </c>
      <c r="T55" s="801">
        <f t="shared" si="13"/>
        <v>0</v>
      </c>
      <c r="U55" s="801">
        <f t="shared" si="13"/>
        <v>0</v>
      </c>
      <c r="V55" s="801">
        <f t="shared" si="13"/>
        <v>0</v>
      </c>
      <c r="W55" s="801">
        <f t="shared" si="13"/>
        <v>0</v>
      </c>
      <c r="X55" s="801">
        <f t="shared" si="13"/>
        <v>0</v>
      </c>
      <c r="Y55" s="801">
        <f t="shared" si="13"/>
        <v>455595.98999999993</v>
      </c>
      <c r="Z55" s="801">
        <f t="shared" si="13"/>
        <v>135446.43</v>
      </c>
      <c r="AA55" s="801">
        <f t="shared" si="13"/>
        <v>0</v>
      </c>
      <c r="AB55" s="801">
        <f t="shared" si="13"/>
        <v>0</v>
      </c>
      <c r="AC55" s="801">
        <f t="shared" si="13"/>
        <v>0</v>
      </c>
      <c r="AD55" s="801">
        <f t="shared" si="13"/>
        <v>0</v>
      </c>
      <c r="AE55" s="801">
        <f t="shared" si="13"/>
        <v>0</v>
      </c>
      <c r="AF55" s="801">
        <f t="shared" si="13"/>
        <v>0</v>
      </c>
      <c r="AG55" s="801">
        <f t="shared" si="13"/>
        <v>0</v>
      </c>
      <c r="AH55" s="801">
        <f t="shared" si="13"/>
        <v>0</v>
      </c>
      <c r="AI55" s="801">
        <f t="shared" si="13"/>
        <v>0</v>
      </c>
      <c r="AJ55" s="801">
        <f t="shared" si="13"/>
        <v>0</v>
      </c>
      <c r="AK55" s="801">
        <f t="shared" si="13"/>
        <v>0</v>
      </c>
      <c r="AL55" s="801">
        <f t="shared" si="13"/>
        <v>0</v>
      </c>
      <c r="AM55" s="801">
        <f t="shared" si="13"/>
        <v>0</v>
      </c>
      <c r="AN55" s="801">
        <f t="shared" si="13"/>
        <v>0</v>
      </c>
    </row>
    <row r="56" spans="3:40" x14ac:dyDescent="0.35">
      <c r="C56" s="280"/>
      <c r="D56" s="280"/>
      <c r="E56" s="527"/>
      <c r="F56" s="527"/>
      <c r="G56" s="527"/>
      <c r="H56" s="527"/>
      <c r="I56" s="527"/>
      <c r="J56" s="527"/>
      <c r="K56" s="527"/>
      <c r="L56" s="527"/>
      <c r="M56" s="527"/>
      <c r="N56" s="527"/>
      <c r="O56" s="527"/>
      <c r="P56" s="527"/>
      <c r="Q56" s="527"/>
      <c r="R56" s="527"/>
      <c r="S56" s="527"/>
      <c r="T56" s="527"/>
      <c r="U56" s="527"/>
      <c r="V56" s="527"/>
      <c r="W56" s="527"/>
      <c r="X56" s="527"/>
      <c r="Y56" s="527"/>
      <c r="Z56" s="527"/>
      <c r="AA56" s="527"/>
      <c r="AB56" s="527"/>
      <c r="AC56" s="527"/>
      <c r="AD56" s="527"/>
      <c r="AE56" s="527"/>
      <c r="AF56" s="527"/>
      <c r="AG56" s="527"/>
      <c r="AH56" s="527"/>
      <c r="AI56" s="527"/>
      <c r="AJ56" s="527"/>
      <c r="AK56" s="527"/>
      <c r="AL56" s="527"/>
      <c r="AM56" s="527"/>
      <c r="AN56" s="527"/>
    </row>
    <row r="57" spans="3:40" x14ac:dyDescent="0.35">
      <c r="C57" s="77" t="s">
        <v>839</v>
      </c>
    </row>
    <row r="58" spans="3:40" x14ac:dyDescent="0.35">
      <c r="C58" s="862" t="s">
        <v>68</v>
      </c>
      <c r="D58" s="892"/>
      <c r="E58" s="869"/>
      <c r="F58" s="802" t="s">
        <v>176</v>
      </c>
      <c r="G58" s="1013"/>
      <c r="H58" s="1014"/>
      <c r="I58" s="1014"/>
      <c r="J58" s="1014"/>
      <c r="K58" s="1014"/>
      <c r="L58" s="1014"/>
      <c r="M58" s="1014"/>
      <c r="N58" s="1014"/>
      <c r="O58" s="1014"/>
      <c r="P58" s="1014"/>
      <c r="Q58" s="1014"/>
      <c r="R58" s="1014"/>
      <c r="S58" s="1014"/>
      <c r="T58" s="1014"/>
      <c r="U58" s="1014"/>
      <c r="V58" s="1014"/>
      <c r="W58" s="1014"/>
      <c r="X58" s="1014"/>
      <c r="Y58" s="1014"/>
      <c r="Z58" s="1014"/>
      <c r="AA58" s="1014"/>
      <c r="AB58" s="1014"/>
      <c r="AC58" s="1014"/>
      <c r="AD58" s="1014"/>
      <c r="AE58" s="1014"/>
      <c r="AF58" s="1014"/>
      <c r="AG58" s="1014"/>
      <c r="AH58" s="1014"/>
      <c r="AI58" s="1014"/>
      <c r="AJ58" s="1014"/>
      <c r="AK58" s="1014"/>
      <c r="AL58" s="1014"/>
      <c r="AM58" s="1014"/>
      <c r="AN58" s="1014"/>
    </row>
    <row r="59" spans="3:40" x14ac:dyDescent="0.35">
      <c r="C59" s="895" t="s">
        <v>1</v>
      </c>
      <c r="D59" s="896"/>
      <c r="E59" s="897"/>
      <c r="F59" s="1067">
        <f>'Premissas Gerais'!G165</f>
        <v>6.8271733926195486E-3</v>
      </c>
      <c r="G59" s="1028"/>
      <c r="H59" s="1029"/>
      <c r="I59" s="1029"/>
      <c r="J59" s="1029"/>
      <c r="K59" s="1029"/>
      <c r="L59" s="1029"/>
      <c r="M59" s="1029"/>
      <c r="N59" s="1029"/>
      <c r="O59" s="1029"/>
      <c r="P59" s="1029"/>
      <c r="Q59" s="1029"/>
      <c r="R59" s="1029"/>
      <c r="S59" s="1029"/>
      <c r="T59" s="1029"/>
      <c r="U59" s="1029"/>
      <c r="V59" s="1029"/>
      <c r="W59" s="1029"/>
      <c r="X59" s="1029"/>
      <c r="Y59" s="1029"/>
      <c r="Z59" s="1029"/>
      <c r="AA59" s="1029"/>
      <c r="AB59" s="1029"/>
      <c r="AC59" s="1029"/>
      <c r="AD59" s="1029"/>
      <c r="AE59" s="1029"/>
      <c r="AF59" s="1029"/>
      <c r="AG59" s="1029"/>
      <c r="AH59" s="1029"/>
      <c r="AI59" s="1029"/>
      <c r="AJ59" s="1029"/>
      <c r="AK59" s="1029"/>
      <c r="AL59" s="1029"/>
      <c r="AM59" s="1029"/>
      <c r="AN59" s="1029"/>
    </row>
    <row r="60" spans="3:40" x14ac:dyDescent="0.35">
      <c r="C60" s="898" t="s">
        <v>2</v>
      </c>
      <c r="D60" s="899"/>
      <c r="E60" s="900"/>
      <c r="F60" s="1068">
        <f>'Premissas Gerais'!G166</f>
        <v>8.6463706442174645E-2</v>
      </c>
      <c r="G60" s="1028"/>
      <c r="H60" s="1029"/>
      <c r="I60" s="1029"/>
      <c r="J60" s="1029"/>
      <c r="K60" s="1029"/>
      <c r="L60" s="1029"/>
      <c r="M60" s="1029"/>
      <c r="N60" s="1029"/>
      <c r="O60" s="1029"/>
      <c r="P60" s="1029"/>
      <c r="Q60" s="1029"/>
      <c r="R60" s="1029"/>
      <c r="S60" s="1029"/>
      <c r="T60" s="1029"/>
      <c r="U60" s="1029"/>
      <c r="V60" s="1029"/>
      <c r="W60" s="1029"/>
      <c r="X60" s="1029"/>
      <c r="Y60" s="1029"/>
      <c r="Z60" s="1029"/>
      <c r="AA60" s="1029"/>
      <c r="AB60" s="1029"/>
      <c r="AC60" s="1029"/>
      <c r="AD60" s="1029"/>
      <c r="AE60" s="1029"/>
      <c r="AF60" s="1029"/>
      <c r="AG60" s="1029"/>
      <c r="AH60" s="1029"/>
      <c r="AI60" s="1029"/>
      <c r="AJ60" s="1029"/>
      <c r="AK60" s="1029"/>
      <c r="AL60" s="1029"/>
      <c r="AM60" s="1029"/>
      <c r="AN60" s="1029"/>
    </row>
    <row r="61" spans="3:40" x14ac:dyDescent="0.35">
      <c r="C61" s="898" t="s">
        <v>3</v>
      </c>
      <c r="D61" s="899"/>
      <c r="E61" s="900"/>
      <c r="F61" s="1068">
        <f>'Premissas Gerais'!G167</f>
        <v>1.0357808135649236E-2</v>
      </c>
      <c r="G61" s="1028"/>
      <c r="H61" s="1029"/>
      <c r="I61" s="1029"/>
      <c r="J61" s="1029"/>
      <c r="K61" s="1029"/>
      <c r="L61" s="1029"/>
      <c r="M61" s="1029"/>
      <c r="N61" s="1029"/>
      <c r="O61" s="1029"/>
      <c r="P61" s="1029"/>
      <c r="Q61" s="1029"/>
      <c r="R61" s="1029"/>
      <c r="S61" s="1029"/>
      <c r="T61" s="1029"/>
      <c r="U61" s="1029"/>
      <c r="V61" s="1029"/>
      <c r="W61" s="1029"/>
      <c r="X61" s="1029"/>
      <c r="Y61" s="1029"/>
      <c r="Z61" s="1029"/>
      <c r="AA61" s="1029"/>
      <c r="AB61" s="1029"/>
      <c r="AC61" s="1029"/>
      <c r="AD61" s="1029"/>
      <c r="AE61" s="1029"/>
      <c r="AF61" s="1029"/>
      <c r="AG61" s="1029"/>
      <c r="AH61" s="1029"/>
      <c r="AI61" s="1029"/>
      <c r="AJ61" s="1029"/>
      <c r="AK61" s="1029"/>
      <c r="AL61" s="1029"/>
      <c r="AM61" s="1029"/>
      <c r="AN61" s="1029"/>
    </row>
    <row r="62" spans="3:40" x14ac:dyDescent="0.35">
      <c r="C62" s="898" t="s">
        <v>4</v>
      </c>
      <c r="D62" s="899"/>
      <c r="E62" s="900"/>
      <c r="F62" s="1068">
        <f>'Premissas Gerais'!G168</f>
        <v>2.7637330894877687E-2</v>
      </c>
      <c r="G62" s="1028"/>
      <c r="H62" s="1029"/>
      <c r="I62" s="1029"/>
      <c r="J62" s="1029"/>
      <c r="K62" s="1029"/>
      <c r="L62" s="1029"/>
      <c r="M62" s="1029"/>
      <c r="N62" s="1029"/>
      <c r="O62" s="1029"/>
      <c r="P62" s="1029"/>
      <c r="Q62" s="1029"/>
      <c r="R62" s="1029"/>
      <c r="S62" s="1029"/>
      <c r="T62" s="1029"/>
      <c r="U62" s="1029"/>
      <c r="V62" s="1029"/>
      <c r="W62" s="1029"/>
      <c r="X62" s="1029"/>
      <c r="Y62" s="1029"/>
      <c r="Z62" s="1029"/>
      <c r="AA62" s="1029"/>
      <c r="AB62" s="1029"/>
      <c r="AC62" s="1029"/>
      <c r="AD62" s="1029"/>
      <c r="AE62" s="1029"/>
      <c r="AF62" s="1029"/>
      <c r="AG62" s="1029"/>
      <c r="AH62" s="1029"/>
      <c r="AI62" s="1029"/>
      <c r="AJ62" s="1029"/>
      <c r="AK62" s="1029"/>
      <c r="AL62" s="1029"/>
      <c r="AM62" s="1029"/>
      <c r="AN62" s="1029"/>
    </row>
    <row r="63" spans="3:40" x14ac:dyDescent="0.35">
      <c r="C63" s="898" t="s">
        <v>5</v>
      </c>
      <c r="D63" s="899"/>
      <c r="E63" s="900"/>
      <c r="F63" s="1068">
        <f>'Premissas Gerais'!G169</f>
        <v>6.0023208808459072E-2</v>
      </c>
      <c r="G63" s="1028"/>
      <c r="H63" s="1029"/>
      <c r="I63" s="1029"/>
      <c r="J63" s="1029"/>
      <c r="K63" s="1029"/>
      <c r="L63" s="1029"/>
      <c r="M63" s="1029"/>
      <c r="N63" s="1029"/>
      <c r="O63" s="1029"/>
      <c r="P63" s="1029"/>
      <c r="Q63" s="1029"/>
      <c r="R63" s="1029"/>
      <c r="S63" s="1029"/>
      <c r="T63" s="1029"/>
      <c r="U63" s="1029"/>
      <c r="V63" s="1029"/>
      <c r="W63" s="1029"/>
      <c r="X63" s="1029"/>
      <c r="Y63" s="1029"/>
      <c r="Z63" s="1029"/>
      <c r="AA63" s="1029"/>
      <c r="AB63" s="1029"/>
      <c r="AC63" s="1029"/>
      <c r="AD63" s="1029"/>
      <c r="AE63" s="1029"/>
      <c r="AF63" s="1029"/>
      <c r="AG63" s="1029"/>
      <c r="AH63" s="1029"/>
      <c r="AI63" s="1029"/>
      <c r="AJ63" s="1029"/>
      <c r="AK63" s="1029"/>
      <c r="AL63" s="1029"/>
      <c r="AM63" s="1029"/>
      <c r="AN63" s="1029"/>
    </row>
    <row r="64" spans="3:40" x14ac:dyDescent="0.35">
      <c r="C64" s="898" t="s">
        <v>6</v>
      </c>
      <c r="D64" s="899"/>
      <c r="E64" s="900"/>
      <c r="F64" s="1068">
        <f>'Premissas Gerais'!G170</f>
        <v>0.66444642387502584</v>
      </c>
      <c r="G64" s="1028"/>
      <c r="H64" s="1029"/>
      <c r="I64" s="1029"/>
      <c r="J64" s="1029"/>
      <c r="K64" s="1029"/>
      <c r="L64" s="1029"/>
      <c r="M64" s="1029"/>
      <c r="N64" s="1029"/>
      <c r="O64" s="1029"/>
      <c r="P64" s="1029"/>
      <c r="Q64" s="1029"/>
      <c r="R64" s="1029"/>
      <c r="S64" s="1029"/>
      <c r="T64" s="1029"/>
      <c r="U64" s="1029"/>
      <c r="V64" s="1029"/>
      <c r="W64" s="1029"/>
      <c r="X64" s="1029"/>
      <c r="Y64" s="1029"/>
      <c r="Z64" s="1029"/>
      <c r="AA64" s="1029"/>
      <c r="AB64" s="1029"/>
      <c r="AC64" s="1029"/>
      <c r="AD64" s="1029"/>
      <c r="AE64" s="1029"/>
      <c r="AF64" s="1029"/>
      <c r="AG64" s="1029"/>
      <c r="AH64" s="1029"/>
      <c r="AI64" s="1029"/>
      <c r="AJ64" s="1029"/>
      <c r="AK64" s="1029"/>
      <c r="AL64" s="1029"/>
      <c r="AM64" s="1029"/>
      <c r="AN64" s="1029"/>
    </row>
    <row r="65" spans="3:40" x14ac:dyDescent="0.35">
      <c r="C65" s="898" t="s">
        <v>7</v>
      </c>
      <c r="D65" s="899"/>
      <c r="E65" s="900"/>
      <c r="F65" s="1068">
        <f>'Premissas Gerais'!G171</f>
        <v>5.4255720482041685E-2</v>
      </c>
      <c r="G65" s="1028"/>
      <c r="H65" s="1029"/>
      <c r="I65" s="1029"/>
      <c r="J65" s="1029"/>
      <c r="K65" s="1029"/>
      <c r="L65" s="1029"/>
      <c r="M65" s="1029"/>
      <c r="N65" s="1029"/>
      <c r="O65" s="1029"/>
      <c r="P65" s="1029"/>
      <c r="Q65" s="1029"/>
      <c r="R65" s="1029"/>
      <c r="S65" s="1029"/>
      <c r="T65" s="1029"/>
      <c r="U65" s="1029"/>
      <c r="V65" s="1029"/>
      <c r="W65" s="1029"/>
      <c r="X65" s="1029"/>
      <c r="Y65" s="1029"/>
      <c r="Z65" s="1029"/>
      <c r="AA65" s="1029"/>
      <c r="AB65" s="1029"/>
      <c r="AC65" s="1029"/>
      <c r="AD65" s="1029"/>
      <c r="AE65" s="1029"/>
      <c r="AF65" s="1029"/>
      <c r="AG65" s="1029"/>
      <c r="AH65" s="1029"/>
      <c r="AI65" s="1029"/>
      <c r="AJ65" s="1029"/>
      <c r="AK65" s="1029"/>
      <c r="AL65" s="1029"/>
      <c r="AM65" s="1029"/>
      <c r="AN65" s="1029"/>
    </row>
    <row r="66" spans="3:40" x14ac:dyDescent="0.35">
      <c r="C66" s="898" t="s">
        <v>8</v>
      </c>
      <c r="D66" s="899"/>
      <c r="E66" s="900"/>
      <c r="F66" s="1068">
        <f>'Premissas Gerais'!G172</f>
        <v>4.9429792991115142E-2</v>
      </c>
      <c r="G66" s="1028"/>
      <c r="H66" s="1029"/>
      <c r="I66" s="1029"/>
      <c r="J66" s="1029"/>
      <c r="K66" s="1029"/>
      <c r="L66" s="1029"/>
      <c r="M66" s="1029"/>
      <c r="N66" s="1029"/>
      <c r="O66" s="1029"/>
      <c r="P66" s="1029"/>
      <c r="Q66" s="1029"/>
      <c r="R66" s="1029"/>
      <c r="S66" s="1029"/>
      <c r="T66" s="1029"/>
      <c r="U66" s="1029"/>
      <c r="V66" s="1029"/>
      <c r="W66" s="1029"/>
      <c r="X66" s="1029"/>
      <c r="Y66" s="1029"/>
      <c r="Z66" s="1029"/>
      <c r="AA66" s="1029"/>
      <c r="AB66" s="1029"/>
      <c r="AC66" s="1029"/>
      <c r="AD66" s="1029"/>
      <c r="AE66" s="1029"/>
      <c r="AF66" s="1029"/>
      <c r="AG66" s="1029"/>
      <c r="AH66" s="1029"/>
      <c r="AI66" s="1029"/>
      <c r="AJ66" s="1029"/>
      <c r="AK66" s="1029"/>
      <c r="AL66" s="1029"/>
      <c r="AM66" s="1029"/>
      <c r="AN66" s="1029"/>
    </row>
    <row r="67" spans="3:40" x14ac:dyDescent="0.35">
      <c r="C67" s="898" t="s">
        <v>9</v>
      </c>
      <c r="D67" s="899"/>
      <c r="E67" s="900"/>
      <c r="F67" s="1068">
        <f>'Premissas Gerais'!G173</f>
        <v>4.0558834978037216E-2</v>
      </c>
      <c r="G67" s="1028"/>
      <c r="H67" s="1029"/>
      <c r="I67" s="1029"/>
      <c r="J67" s="1029"/>
      <c r="K67" s="1029"/>
      <c r="L67" s="1029"/>
      <c r="M67" s="1029"/>
      <c r="N67" s="1029"/>
      <c r="O67" s="1029"/>
      <c r="P67" s="1029"/>
      <c r="Q67" s="1029"/>
      <c r="R67" s="1029"/>
      <c r="S67" s="1029"/>
      <c r="T67" s="1029"/>
      <c r="U67" s="1029"/>
      <c r="V67" s="1029"/>
      <c r="W67" s="1029"/>
      <c r="X67" s="1029"/>
      <c r="Y67" s="1029"/>
      <c r="Z67" s="1029"/>
      <c r="AA67" s="1029"/>
      <c r="AB67" s="1029"/>
      <c r="AC67" s="1029"/>
      <c r="AD67" s="1029"/>
      <c r="AE67" s="1029"/>
      <c r="AF67" s="1029"/>
      <c r="AG67" s="1029"/>
      <c r="AH67" s="1029"/>
      <c r="AI67" s="1029"/>
      <c r="AJ67" s="1029"/>
      <c r="AK67" s="1029"/>
      <c r="AL67" s="1029"/>
      <c r="AM67" s="1029"/>
      <c r="AN67" s="1029"/>
    </row>
    <row r="68" spans="3:40" x14ac:dyDescent="0.35">
      <c r="C68" s="800" t="s">
        <v>455</v>
      </c>
      <c r="D68" s="893"/>
      <c r="E68" s="894"/>
      <c r="F68" s="928">
        <f>SUM(F59:F67)</f>
        <v>1</v>
      </c>
      <c r="G68" s="1030"/>
      <c r="H68" s="1031"/>
      <c r="I68" s="1031"/>
      <c r="J68" s="1031"/>
      <c r="K68" s="1031"/>
      <c r="L68" s="1031"/>
      <c r="M68" s="1031"/>
      <c r="N68" s="1031"/>
      <c r="O68" s="1031"/>
      <c r="P68" s="1031"/>
      <c r="Q68" s="1031"/>
      <c r="R68" s="1031"/>
      <c r="S68" s="1031"/>
      <c r="T68" s="1031"/>
      <c r="U68" s="1031"/>
      <c r="V68" s="1031"/>
      <c r="W68" s="1031"/>
      <c r="X68" s="1031"/>
      <c r="Y68" s="1031"/>
      <c r="Z68" s="1031"/>
      <c r="AA68" s="1031"/>
      <c r="AB68" s="1031"/>
      <c r="AC68" s="1031"/>
      <c r="AD68" s="1031"/>
      <c r="AE68" s="1031"/>
      <c r="AF68" s="1031"/>
      <c r="AG68" s="1031"/>
      <c r="AH68" s="1031"/>
      <c r="AI68" s="1031"/>
      <c r="AJ68" s="1031"/>
      <c r="AK68" s="1031"/>
      <c r="AL68" s="1031"/>
      <c r="AM68" s="1031"/>
      <c r="AN68" s="1031"/>
    </row>
  </sheetData>
  <sheetProtection algorithmName="SHA-512" hashValue="UdrqSf8HhWhA+Sc/gTHgZRDGxNpJK0ufSJZFQj8SlSDZBGRA6A5t3IG2BnNmds/Ma4wxpBHc96akZ01z8GIEYQ==" saltValue="ZIvz08ZweBZ/Ox4KLL1iJw==" spinCount="100000" sheet="1" objects="1" scenarios="1"/>
  <protectedRanges>
    <protectedRange sqref="E8:E10 E14:F17 E22:I23 E25:I25 E29:E32" name="Intervalo1"/>
  </protectedRanges>
  <mergeCells count="2">
    <mergeCell ref="C39:D39"/>
    <mergeCell ref="C24:D24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86826-F795-4460-A84D-72D9E97B6957}">
  <sheetPr codeName="Planilha13"/>
  <dimension ref="B2:AN84"/>
  <sheetViews>
    <sheetView showGridLines="0" topLeftCell="A39" workbookViewId="0">
      <selection activeCell="C45" sqref="C45"/>
    </sheetView>
  </sheetViews>
  <sheetFormatPr defaultColWidth="8.81640625" defaultRowHeight="14.5" x14ac:dyDescent="0.35"/>
  <cols>
    <col min="1" max="1" width="3" customWidth="1"/>
    <col min="2" max="2" width="2.453125" customWidth="1"/>
    <col min="3" max="3" width="37.6328125" customWidth="1"/>
    <col min="4" max="4" width="18.453125" customWidth="1"/>
    <col min="5" max="5" width="21.36328125" customWidth="1"/>
    <col min="6" max="6" width="15.81640625" customWidth="1"/>
    <col min="7" max="7" width="16.453125" bestFit="1" customWidth="1"/>
    <col min="8" max="8" width="15.6328125" customWidth="1"/>
    <col min="9" max="9" width="15" bestFit="1" customWidth="1"/>
    <col min="10" max="10" width="13.453125" bestFit="1" customWidth="1"/>
    <col min="11" max="14" width="9.36328125" bestFit="1" customWidth="1"/>
    <col min="15" max="15" width="15" bestFit="1" customWidth="1"/>
    <col min="16" max="19" width="9.36328125" bestFit="1" customWidth="1"/>
    <col min="20" max="20" width="13.36328125" bestFit="1" customWidth="1"/>
    <col min="21" max="21" width="9.36328125" bestFit="1" customWidth="1"/>
    <col min="22" max="22" width="13.453125" bestFit="1" customWidth="1"/>
    <col min="23" max="24" width="9.36328125" bestFit="1" customWidth="1"/>
    <col min="25" max="25" width="15" bestFit="1" customWidth="1"/>
    <col min="26" max="27" width="7.08984375" bestFit="1" customWidth="1"/>
    <col min="28" max="28" width="13.453125" bestFit="1" customWidth="1"/>
    <col min="29" max="29" width="7.08984375" bestFit="1" customWidth="1"/>
    <col min="30" max="30" width="13.453125" bestFit="1" customWidth="1"/>
    <col min="31" max="33" width="7.08984375" bestFit="1" customWidth="1"/>
    <col min="34" max="34" width="13.453125" bestFit="1" customWidth="1"/>
    <col min="35" max="35" width="7.08984375" bestFit="1" customWidth="1"/>
    <col min="36" max="39" width="9.36328125" bestFit="1" customWidth="1"/>
  </cols>
  <sheetData>
    <row r="2" spans="2:39" ht="21" x14ac:dyDescent="0.5">
      <c r="B2" s="98"/>
      <c r="C2" s="98" t="s">
        <v>840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ht="6" customHeight="1" x14ac:dyDescent="0.35"/>
    <row r="4" spans="2:39" ht="4.5" customHeight="1" x14ac:dyDescent="0.35"/>
    <row r="5" spans="2:39" ht="9.75" customHeight="1" x14ac:dyDescent="0.35">
      <c r="B5" s="549"/>
      <c r="C5" s="549"/>
      <c r="D5" s="549"/>
      <c r="E5" s="549"/>
      <c r="F5" s="549"/>
      <c r="G5" s="549"/>
      <c r="H5" s="549"/>
      <c r="I5" s="549"/>
      <c r="J5" s="549"/>
    </row>
    <row r="6" spans="2:39" ht="19" thickBot="1" x14ac:dyDescent="0.5">
      <c r="B6" s="549"/>
      <c r="C6" s="846" t="s">
        <v>841</v>
      </c>
      <c r="D6" s="549"/>
      <c r="E6" s="549"/>
      <c r="F6" s="549"/>
      <c r="G6" s="549"/>
      <c r="H6" s="549"/>
      <c r="I6" s="549"/>
      <c r="J6" s="549"/>
    </row>
    <row r="7" spans="2:39" ht="15" thickBot="1" x14ac:dyDescent="0.4">
      <c r="B7" s="549"/>
      <c r="C7" s="882" t="s">
        <v>818</v>
      </c>
      <c r="D7" s="850"/>
      <c r="E7" s="850" t="s">
        <v>784</v>
      </c>
      <c r="F7" s="549"/>
      <c r="G7" s="549"/>
      <c r="H7" s="549"/>
      <c r="I7" s="549"/>
      <c r="J7" s="549"/>
    </row>
    <row r="8" spans="2:39" ht="15" thickBot="1" x14ac:dyDescent="0.4">
      <c r="B8" s="549"/>
      <c r="C8" s="883" t="s">
        <v>842</v>
      </c>
      <c r="D8" s="881"/>
      <c r="E8" s="623">
        <v>3101348.64</v>
      </c>
      <c r="F8" s="549"/>
      <c r="G8" s="549"/>
      <c r="H8" s="549"/>
      <c r="I8" s="549"/>
      <c r="J8" s="549"/>
    </row>
    <row r="9" spans="2:39" ht="15" thickBot="1" x14ac:dyDescent="0.4">
      <c r="B9" s="549"/>
      <c r="C9" s="883" t="s">
        <v>843</v>
      </c>
      <c r="D9" s="881"/>
      <c r="E9" s="623">
        <v>148493.32</v>
      </c>
      <c r="F9" s="549"/>
      <c r="G9" s="549"/>
      <c r="H9" s="549"/>
      <c r="I9" s="549"/>
      <c r="J9" s="549"/>
    </row>
    <row r="10" spans="2:39" ht="15" thickBot="1" x14ac:dyDescent="0.4">
      <c r="B10" s="549"/>
      <c r="C10" s="883" t="s">
        <v>844</v>
      </c>
      <c r="D10" s="881"/>
      <c r="E10" s="623">
        <v>1182075.99</v>
      </c>
      <c r="F10" s="549"/>
      <c r="G10" s="549"/>
      <c r="H10" s="549"/>
      <c r="I10" s="549"/>
      <c r="J10" s="549"/>
    </row>
    <row r="11" spans="2:39" ht="15" thickBot="1" x14ac:dyDescent="0.4">
      <c r="B11" s="549"/>
      <c r="C11" s="883" t="s">
        <v>845</v>
      </c>
      <c r="D11" s="881"/>
      <c r="E11" s="623">
        <v>301923.78000000003</v>
      </c>
      <c r="F11" s="549"/>
      <c r="G11" s="549"/>
      <c r="H11" s="549"/>
      <c r="I11" s="549"/>
      <c r="J11" s="549"/>
    </row>
    <row r="12" spans="2:39" ht="15" thickBot="1" x14ac:dyDescent="0.4">
      <c r="B12" s="549"/>
      <c r="C12" s="883" t="s">
        <v>846</v>
      </c>
      <c r="D12" s="881"/>
      <c r="E12" s="623">
        <v>9435107.9299999997</v>
      </c>
      <c r="F12" s="549"/>
      <c r="G12" s="549"/>
      <c r="H12" s="549"/>
      <c r="I12" s="549"/>
      <c r="J12" s="549"/>
    </row>
    <row r="13" spans="2:39" ht="15" thickBot="1" x14ac:dyDescent="0.4">
      <c r="B13" s="549"/>
      <c r="C13" s="883" t="s">
        <v>847</v>
      </c>
      <c r="D13" s="881"/>
      <c r="E13" s="623">
        <v>12908.17</v>
      </c>
      <c r="F13" s="549"/>
      <c r="G13" s="549"/>
      <c r="H13" s="549"/>
      <c r="I13" s="549"/>
      <c r="J13" s="549"/>
    </row>
    <row r="14" spans="2:39" ht="15" thickBot="1" x14ac:dyDescent="0.4">
      <c r="B14" s="549"/>
      <c r="C14" s="883" t="s">
        <v>848</v>
      </c>
      <c r="D14" s="881"/>
      <c r="E14" s="623">
        <v>322751.86</v>
      </c>
      <c r="F14" s="549"/>
      <c r="G14" s="549"/>
      <c r="H14" s="549"/>
      <c r="I14" s="549"/>
      <c r="J14" s="549"/>
    </row>
    <row r="15" spans="2:39" ht="15" thickBot="1" x14ac:dyDescent="0.4">
      <c r="B15" s="549"/>
      <c r="C15" s="883" t="s">
        <v>849</v>
      </c>
      <c r="D15" s="881"/>
      <c r="E15" s="623">
        <v>141696.68</v>
      </c>
      <c r="F15" s="549"/>
      <c r="G15" s="549"/>
      <c r="H15" s="549"/>
      <c r="I15" s="549"/>
      <c r="J15" s="549"/>
    </row>
    <row r="16" spans="2:39" ht="15" thickBot="1" x14ac:dyDescent="0.4">
      <c r="B16" s="549"/>
      <c r="C16" s="883" t="s">
        <v>850</v>
      </c>
      <c r="D16" s="881"/>
      <c r="E16" s="623">
        <v>601981</v>
      </c>
      <c r="F16" s="549"/>
      <c r="G16" s="549"/>
      <c r="H16" s="549"/>
      <c r="I16" s="549"/>
      <c r="J16" s="549"/>
    </row>
    <row r="17" spans="2:10" ht="15" thickBot="1" x14ac:dyDescent="0.4">
      <c r="B17" s="549"/>
      <c r="C17" s="883" t="s">
        <v>851</v>
      </c>
      <c r="D17" s="881"/>
      <c r="E17" s="623">
        <v>1500000</v>
      </c>
      <c r="F17" s="549"/>
      <c r="G17" s="549"/>
      <c r="H17" s="549"/>
      <c r="I17" s="549"/>
      <c r="J17" s="549"/>
    </row>
    <row r="18" spans="2:10" ht="15" thickBot="1" x14ac:dyDescent="0.4">
      <c r="B18" s="549"/>
      <c r="C18" s="883" t="s">
        <v>852</v>
      </c>
      <c r="D18" s="881"/>
      <c r="E18" s="1329">
        <v>8529519.4000000004</v>
      </c>
      <c r="F18" s="549"/>
      <c r="G18" s="549"/>
      <c r="H18" s="549"/>
      <c r="I18" s="549"/>
      <c r="J18" s="549"/>
    </row>
    <row r="19" spans="2:10" ht="15" thickBot="1" x14ac:dyDescent="0.4">
      <c r="B19" s="549"/>
      <c r="C19" s="882" t="s">
        <v>200</v>
      </c>
      <c r="D19" s="850"/>
      <c r="E19" s="844">
        <f>SUM(E8:E18)</f>
        <v>25277806.77</v>
      </c>
      <c r="F19" s="549"/>
      <c r="G19" s="549"/>
      <c r="H19" s="549"/>
      <c r="I19" s="549"/>
      <c r="J19" s="549"/>
    </row>
    <row r="20" spans="2:10" ht="4.5" customHeight="1" x14ac:dyDescent="0.35">
      <c r="B20" s="549"/>
      <c r="C20" s="549"/>
      <c r="D20" s="549"/>
      <c r="E20" s="549"/>
      <c r="F20" s="549"/>
      <c r="G20" s="549"/>
      <c r="H20" s="549"/>
      <c r="I20" s="549"/>
      <c r="J20" s="549"/>
    </row>
    <row r="21" spans="2:10" x14ac:dyDescent="0.35">
      <c r="B21" s="549"/>
      <c r="C21" s="548"/>
      <c r="D21" s="548"/>
      <c r="E21" s="240"/>
      <c r="F21" s="240"/>
      <c r="G21" s="240"/>
      <c r="H21" s="549"/>
      <c r="I21" s="549"/>
      <c r="J21" s="549"/>
    </row>
    <row r="22" spans="2:10" ht="15" thickBot="1" x14ac:dyDescent="0.4">
      <c r="B22" s="549"/>
      <c r="C22" s="548" t="s">
        <v>853</v>
      </c>
      <c r="D22" s="548"/>
      <c r="E22" s="240"/>
      <c r="F22" s="240"/>
      <c r="G22" s="240"/>
      <c r="H22" s="549"/>
      <c r="I22" s="549"/>
      <c r="J22" s="549"/>
    </row>
    <row r="23" spans="2:10" ht="15" thickBot="1" x14ac:dyDescent="0.4">
      <c r="B23" s="549"/>
      <c r="C23" s="843" t="s">
        <v>854</v>
      </c>
      <c r="D23" s="843" t="s">
        <v>96</v>
      </c>
      <c r="E23" s="843" t="s">
        <v>176</v>
      </c>
      <c r="F23" s="840" t="s">
        <v>822</v>
      </c>
      <c r="G23" s="240"/>
      <c r="H23" s="549"/>
      <c r="I23" s="549"/>
      <c r="J23" s="549"/>
    </row>
    <row r="24" spans="2:10" ht="15" thickBot="1" x14ac:dyDescent="0.4">
      <c r="B24" s="549"/>
      <c r="C24" s="903">
        <v>1</v>
      </c>
      <c r="D24" s="626">
        <v>2</v>
      </c>
      <c r="E24" s="904">
        <f>F24/$E$19</f>
        <v>5.9340591280261618E-2</v>
      </c>
      <c r="F24" s="905">
        <f>E17</f>
        <v>1500000</v>
      </c>
      <c r="G24" s="240"/>
      <c r="H24" s="549"/>
      <c r="I24" s="549"/>
      <c r="J24" s="549"/>
    </row>
    <row r="25" spans="2:10" ht="15" thickBot="1" x14ac:dyDescent="0.4">
      <c r="B25" s="549"/>
      <c r="C25" s="571">
        <v>2</v>
      </c>
      <c r="D25" s="626">
        <v>3</v>
      </c>
      <c r="E25" s="904">
        <f t="shared" ref="E25:E30" si="0">F25/$E$19</f>
        <v>0.15237963463552498</v>
      </c>
      <c r="F25" s="564">
        <f>E8+E9+E16</f>
        <v>3851822.96</v>
      </c>
      <c r="G25" s="240"/>
      <c r="H25" s="549"/>
      <c r="I25" s="549"/>
      <c r="J25" s="549"/>
    </row>
    <row r="26" spans="2:10" ht="15" thickBot="1" x14ac:dyDescent="0.4">
      <c r="B26" s="549"/>
      <c r="C26" s="571">
        <v>3</v>
      </c>
      <c r="D26" s="626">
        <v>4</v>
      </c>
      <c r="E26" s="904">
        <f t="shared" si="0"/>
        <v>9.016972487918104E-2</v>
      </c>
      <c r="F26" s="564">
        <f>SUM(E10:E15)/5</f>
        <v>2279292.8819999998</v>
      </c>
      <c r="G26" s="240"/>
      <c r="H26" s="549"/>
      <c r="I26" s="549"/>
      <c r="J26" s="549"/>
    </row>
    <row r="27" spans="2:10" ht="15" thickBot="1" x14ac:dyDescent="0.4">
      <c r="B27" s="549"/>
      <c r="C27" s="571">
        <v>4</v>
      </c>
      <c r="D27" s="626">
        <v>11</v>
      </c>
      <c r="E27" s="904">
        <f t="shared" si="0"/>
        <v>0.42760087456748924</v>
      </c>
      <c r="F27" s="564">
        <f>F26+E18</f>
        <v>10808812.282</v>
      </c>
      <c r="G27" s="240"/>
      <c r="H27" s="549"/>
      <c r="I27" s="549"/>
      <c r="J27" s="549"/>
    </row>
    <row r="28" spans="2:10" ht="15" thickBot="1" x14ac:dyDescent="0.4">
      <c r="B28" s="549"/>
      <c r="C28" s="571">
        <v>5</v>
      </c>
      <c r="D28" s="626">
        <v>18</v>
      </c>
      <c r="E28" s="904">
        <f t="shared" si="0"/>
        <v>9.016972487918104E-2</v>
      </c>
      <c r="F28" s="564">
        <f>F26</f>
        <v>2279292.8819999998</v>
      </c>
      <c r="G28" s="240"/>
      <c r="H28" s="549"/>
      <c r="I28" s="549"/>
      <c r="J28" s="549"/>
    </row>
    <row r="29" spans="2:10" ht="15" thickBot="1" x14ac:dyDescent="0.4">
      <c r="B29" s="549"/>
      <c r="C29" s="571">
        <v>6</v>
      </c>
      <c r="D29" s="626">
        <v>24</v>
      </c>
      <c r="E29" s="904">
        <f t="shared" si="0"/>
        <v>9.016972487918104E-2</v>
      </c>
      <c r="F29" s="564">
        <f>F26</f>
        <v>2279292.8819999998</v>
      </c>
      <c r="G29" s="240"/>
      <c r="H29" s="549"/>
      <c r="I29" s="549"/>
      <c r="J29" s="549"/>
    </row>
    <row r="30" spans="2:10" ht="15" thickBot="1" x14ac:dyDescent="0.4">
      <c r="B30" s="549"/>
      <c r="C30" s="572">
        <v>7</v>
      </c>
      <c r="D30" s="626">
        <v>30</v>
      </c>
      <c r="E30" s="904">
        <f t="shared" si="0"/>
        <v>9.016972487918104E-2</v>
      </c>
      <c r="F30" s="564">
        <f>F26</f>
        <v>2279292.8819999998</v>
      </c>
      <c r="G30" s="240"/>
      <c r="H30" s="549"/>
      <c r="I30" s="549"/>
      <c r="J30" s="549"/>
    </row>
    <row r="31" spans="2:10" x14ac:dyDescent="0.35">
      <c r="B31" s="549"/>
      <c r="C31" s="548"/>
      <c r="D31" s="549"/>
      <c r="E31" s="902"/>
      <c r="F31" s="884"/>
      <c r="G31" s="549"/>
      <c r="H31" s="549"/>
      <c r="I31" s="549"/>
      <c r="J31" s="549"/>
    </row>
    <row r="32" spans="2:10" ht="4.5" customHeight="1" x14ac:dyDescent="0.35"/>
    <row r="33" spans="2:10" x14ac:dyDescent="0.35">
      <c r="B33" s="549"/>
      <c r="C33" s="548"/>
      <c r="D33" s="549"/>
      <c r="E33" s="549"/>
      <c r="F33" s="549"/>
      <c r="G33" s="549"/>
      <c r="H33" s="549"/>
      <c r="I33" s="549"/>
      <c r="J33" s="549"/>
    </row>
    <row r="34" spans="2:10" x14ac:dyDescent="0.35">
      <c r="B34" s="549"/>
      <c r="C34" s="548" t="s">
        <v>855</v>
      </c>
      <c r="D34" s="910"/>
      <c r="E34" s="549"/>
      <c r="F34" s="549"/>
      <c r="G34" s="549"/>
      <c r="H34" s="549"/>
      <c r="I34" s="549"/>
      <c r="J34" s="549"/>
    </row>
    <row r="35" spans="2:10" ht="15" thickBot="1" x14ac:dyDescent="0.4">
      <c r="B35" s="549"/>
      <c r="C35" s="548"/>
      <c r="D35" s="549"/>
      <c r="E35" s="549"/>
      <c r="F35" s="549"/>
      <c r="G35" s="549"/>
      <c r="H35" s="549"/>
      <c r="I35" s="549"/>
      <c r="J35" s="549"/>
    </row>
    <row r="36" spans="2:10" ht="15" thickBot="1" x14ac:dyDescent="0.4">
      <c r="B36" s="549"/>
      <c r="C36" s="1971" t="s">
        <v>750</v>
      </c>
      <c r="D36" s="1972"/>
      <c r="E36" s="1972"/>
      <c r="F36" s="963" t="s">
        <v>743</v>
      </c>
      <c r="G36" s="963" t="s">
        <v>856</v>
      </c>
      <c r="H36" s="850" t="s">
        <v>857</v>
      </c>
      <c r="I36" s="549"/>
      <c r="J36" s="549"/>
    </row>
    <row r="37" spans="2:10" ht="32.25" customHeight="1" thickBot="1" x14ac:dyDescent="0.4">
      <c r="B37" s="549"/>
      <c r="C37" s="2012" t="s">
        <v>858</v>
      </c>
      <c r="D37" s="2013"/>
      <c r="E37" s="2014"/>
      <c r="F37" s="626">
        <v>1</v>
      </c>
      <c r="G37" s="623">
        <v>558320.36</v>
      </c>
      <c r="H37" s="962">
        <f>F37*G37</f>
        <v>558320.36</v>
      </c>
      <c r="I37" s="549"/>
      <c r="J37" s="549"/>
    </row>
    <row r="38" spans="2:10" ht="32.25" customHeight="1" thickBot="1" x14ac:dyDescent="0.4">
      <c r="B38" s="549"/>
      <c r="C38" s="2012" t="s">
        <v>859</v>
      </c>
      <c r="D38" s="2013"/>
      <c r="E38" s="2014"/>
      <c r="F38" s="626">
        <v>1</v>
      </c>
      <c r="G38" s="623">
        <v>1390000</v>
      </c>
      <c r="H38" s="962">
        <f t="shared" ref="H38:H39" si="1">F38*G38</f>
        <v>1390000</v>
      </c>
      <c r="I38" s="549"/>
      <c r="J38" s="549"/>
    </row>
    <row r="39" spans="2:10" ht="42" customHeight="1" thickBot="1" x14ac:dyDescent="0.4">
      <c r="B39" s="549"/>
      <c r="C39" s="2012" t="s">
        <v>860</v>
      </c>
      <c r="D39" s="2013"/>
      <c r="E39" s="2014"/>
      <c r="F39" s="626">
        <v>1</v>
      </c>
      <c r="G39" s="623">
        <v>470000</v>
      </c>
      <c r="H39" s="962">
        <f t="shared" si="1"/>
        <v>470000</v>
      </c>
      <c r="I39" s="549"/>
      <c r="J39" s="549"/>
    </row>
    <row r="40" spans="2:10" ht="15" thickBot="1" x14ac:dyDescent="0.4">
      <c r="B40" s="549"/>
      <c r="C40" s="1971" t="s">
        <v>200</v>
      </c>
      <c r="D40" s="1972"/>
      <c r="E40" s="1972"/>
      <c r="F40" s="964"/>
      <c r="G40" s="964"/>
      <c r="H40" s="844">
        <f>SUM(H37:H39)</f>
        <v>2418320.36</v>
      </c>
      <c r="I40" s="549"/>
      <c r="J40" s="549"/>
    </row>
    <row r="41" spans="2:10" ht="15" thickBot="1" x14ac:dyDescent="0.4">
      <c r="B41" s="549"/>
      <c r="C41" s="548"/>
      <c r="D41" s="549"/>
      <c r="E41" s="549"/>
      <c r="F41" s="549"/>
      <c r="G41" s="549"/>
      <c r="H41" s="549"/>
      <c r="I41" s="549"/>
      <c r="J41" s="549"/>
    </row>
    <row r="42" spans="2:10" ht="15" thickBot="1" x14ac:dyDescent="0.4">
      <c r="B42" s="549"/>
      <c r="C42" s="843" t="s">
        <v>96</v>
      </c>
      <c r="D42" s="843" t="s">
        <v>715</v>
      </c>
      <c r="E42" s="548"/>
      <c r="F42" s="548"/>
      <c r="G42" s="548"/>
      <c r="H42" s="548"/>
      <c r="I42" s="549"/>
      <c r="J42" s="549"/>
    </row>
    <row r="43" spans="2:10" x14ac:dyDescent="0.35">
      <c r="B43" s="549"/>
      <c r="C43" s="569">
        <v>1</v>
      </c>
      <c r="D43" s="564">
        <f>H40</f>
        <v>2418320.36</v>
      </c>
      <c r="E43" s="912"/>
      <c r="F43" s="913"/>
      <c r="G43" s="910"/>
      <c r="H43" s="549"/>
      <c r="I43" s="549"/>
      <c r="J43" s="549"/>
    </row>
    <row r="44" spans="2:10" x14ac:dyDescent="0.35">
      <c r="B44" s="549"/>
      <c r="C44" s="570">
        <f>C43+10</f>
        <v>11</v>
      </c>
      <c r="D44" s="564">
        <f>D43</f>
        <v>2418320.36</v>
      </c>
      <c r="E44" s="912"/>
      <c r="F44" s="874"/>
      <c r="G44" s="910"/>
      <c r="H44" s="549"/>
      <c r="I44" s="549"/>
      <c r="J44" s="549"/>
    </row>
    <row r="45" spans="2:10" x14ac:dyDescent="0.35">
      <c r="B45" s="549"/>
      <c r="C45" s="570">
        <f>C44+10</f>
        <v>21</v>
      </c>
      <c r="D45" s="564">
        <f>D44</f>
        <v>2418320.36</v>
      </c>
      <c r="E45" s="873"/>
      <c r="F45" s="874"/>
      <c r="G45" s="910"/>
      <c r="H45" s="549"/>
      <c r="I45" s="549"/>
      <c r="J45" s="549"/>
    </row>
    <row r="46" spans="2:10" x14ac:dyDescent="0.35">
      <c r="B46" s="549"/>
      <c r="C46" s="570">
        <f>C45+10</f>
        <v>31</v>
      </c>
      <c r="D46" s="564">
        <f>D45</f>
        <v>2418320.36</v>
      </c>
      <c r="E46" s="912" t="s">
        <v>834</v>
      </c>
      <c r="F46" s="874"/>
      <c r="G46" s="910"/>
      <c r="H46" s="549"/>
      <c r="I46" s="549"/>
      <c r="J46" s="549"/>
    </row>
    <row r="47" spans="2:10" x14ac:dyDescent="0.35">
      <c r="B47" s="549"/>
      <c r="C47" s="911" t="s">
        <v>861</v>
      </c>
      <c r="D47" s="851"/>
      <c r="E47" s="873"/>
      <c r="F47" s="874"/>
      <c r="G47" s="910"/>
      <c r="H47" s="549"/>
      <c r="I47" s="549"/>
      <c r="J47" s="549"/>
    </row>
    <row r="48" spans="2:10" x14ac:dyDescent="0.35">
      <c r="B48" s="549"/>
      <c r="C48" s="911"/>
      <c r="D48" s="851"/>
      <c r="E48" s="873"/>
      <c r="F48" s="874"/>
      <c r="G48" s="910"/>
      <c r="H48" s="549"/>
      <c r="I48" s="549"/>
      <c r="J48" s="549"/>
    </row>
    <row r="49" spans="2:40" x14ac:dyDescent="0.35">
      <c r="B49" s="549"/>
      <c r="C49" s="911"/>
      <c r="D49" s="851"/>
      <c r="E49" s="873"/>
      <c r="F49" s="874"/>
      <c r="G49" s="910"/>
      <c r="H49" s="549"/>
      <c r="I49" s="549"/>
      <c r="J49" s="549"/>
    </row>
    <row r="50" spans="2:40" x14ac:dyDescent="0.35">
      <c r="C50" s="77"/>
      <c r="D50" s="97"/>
    </row>
    <row r="51" spans="2:40" ht="15" thickBot="1" x14ac:dyDescent="0.4"/>
    <row r="52" spans="2:40" x14ac:dyDescent="0.35">
      <c r="B52" s="5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8"/>
    </row>
    <row r="53" spans="2:40" x14ac:dyDescent="0.35">
      <c r="B53" s="9"/>
      <c r="C53" s="77" t="s">
        <v>862</v>
      </c>
      <c r="AN53" s="16"/>
    </row>
    <row r="54" spans="2:40" x14ac:dyDescent="0.35">
      <c r="B54" s="9"/>
      <c r="C54" s="87"/>
      <c r="D54" s="229" t="s">
        <v>455</v>
      </c>
      <c r="E54" s="89">
        <v>1</v>
      </c>
      <c r="F54" s="89">
        <f t="shared" ref="F54:AM54" si="2">E54+1</f>
        <v>2</v>
      </c>
      <c r="G54" s="89">
        <f t="shared" si="2"/>
        <v>3</v>
      </c>
      <c r="H54" s="89">
        <f t="shared" si="2"/>
        <v>4</v>
      </c>
      <c r="I54" s="89">
        <f t="shared" si="2"/>
        <v>5</v>
      </c>
      <c r="J54" s="89">
        <f t="shared" si="2"/>
        <v>6</v>
      </c>
      <c r="K54" s="89">
        <f t="shared" si="2"/>
        <v>7</v>
      </c>
      <c r="L54" s="89">
        <f t="shared" si="2"/>
        <v>8</v>
      </c>
      <c r="M54" s="89">
        <f t="shared" si="2"/>
        <v>9</v>
      </c>
      <c r="N54" s="89">
        <f t="shared" si="2"/>
        <v>10</v>
      </c>
      <c r="O54" s="89">
        <f t="shared" si="2"/>
        <v>11</v>
      </c>
      <c r="P54" s="89">
        <f t="shared" si="2"/>
        <v>12</v>
      </c>
      <c r="Q54" s="89">
        <f t="shared" si="2"/>
        <v>13</v>
      </c>
      <c r="R54" s="89">
        <f t="shared" si="2"/>
        <v>14</v>
      </c>
      <c r="S54" s="89">
        <f t="shared" si="2"/>
        <v>15</v>
      </c>
      <c r="T54" s="89">
        <f t="shared" si="2"/>
        <v>16</v>
      </c>
      <c r="U54" s="89">
        <f t="shared" si="2"/>
        <v>17</v>
      </c>
      <c r="V54" s="89">
        <f t="shared" si="2"/>
        <v>18</v>
      </c>
      <c r="W54" s="89">
        <f t="shared" si="2"/>
        <v>19</v>
      </c>
      <c r="X54" s="89">
        <f t="shared" si="2"/>
        <v>20</v>
      </c>
      <c r="Y54" s="89">
        <f t="shared" si="2"/>
        <v>21</v>
      </c>
      <c r="Z54" s="89">
        <f t="shared" si="2"/>
        <v>22</v>
      </c>
      <c r="AA54" s="89">
        <f t="shared" si="2"/>
        <v>23</v>
      </c>
      <c r="AB54" s="89">
        <f t="shared" si="2"/>
        <v>24</v>
      </c>
      <c r="AC54" s="89">
        <f t="shared" si="2"/>
        <v>25</v>
      </c>
      <c r="AD54" s="89">
        <f t="shared" si="2"/>
        <v>26</v>
      </c>
      <c r="AE54" s="89">
        <f t="shared" si="2"/>
        <v>27</v>
      </c>
      <c r="AF54" s="89">
        <f t="shared" si="2"/>
        <v>28</v>
      </c>
      <c r="AG54" s="89">
        <f t="shared" si="2"/>
        <v>29</v>
      </c>
      <c r="AH54" s="89">
        <f t="shared" si="2"/>
        <v>30</v>
      </c>
      <c r="AI54" s="89">
        <f t="shared" si="2"/>
        <v>31</v>
      </c>
      <c r="AJ54" s="89">
        <f t="shared" si="2"/>
        <v>32</v>
      </c>
      <c r="AK54" s="89">
        <f t="shared" si="2"/>
        <v>33</v>
      </c>
      <c r="AL54" s="89">
        <f t="shared" si="2"/>
        <v>34</v>
      </c>
      <c r="AM54" s="89">
        <f t="shared" si="2"/>
        <v>35</v>
      </c>
      <c r="AN54" s="16"/>
    </row>
    <row r="55" spans="2:40" x14ac:dyDescent="0.35">
      <c r="B55" s="9"/>
      <c r="C55" s="992" t="s">
        <v>863</v>
      </c>
      <c r="D55" s="906">
        <f>SUM(E55:AM55)</f>
        <v>25277806.769999996</v>
      </c>
      <c r="E55" s="562">
        <f>IFERROR(VLOOKUP(E54,'CAPEX_Disposição Final'!$D$24:$F$30,3,FALSE),0)</f>
        <v>0</v>
      </c>
      <c r="F55" s="562">
        <f>IFERROR(VLOOKUP(F54,'CAPEX_Disposição Final'!$D$24:$F$30,3,FALSE),0)</f>
        <v>1500000</v>
      </c>
      <c r="G55" s="562">
        <f>IFERROR(VLOOKUP(G54,'CAPEX_Disposição Final'!$D$24:$F$30,3,FALSE),0)</f>
        <v>3851822.96</v>
      </c>
      <c r="H55" s="562">
        <f>IFERROR(VLOOKUP(H54,'CAPEX_Disposição Final'!$D$24:$F$30,3,FALSE),0)</f>
        <v>2279292.8819999998</v>
      </c>
      <c r="I55" s="562">
        <f>IFERROR(VLOOKUP(I54,'CAPEX_Disposição Final'!$D$24:$F$30,3,FALSE),0)</f>
        <v>0</v>
      </c>
      <c r="J55" s="562">
        <f>IFERROR(VLOOKUP(J54,'CAPEX_Disposição Final'!$D$24:$F$30,3,FALSE),0)</f>
        <v>0</v>
      </c>
      <c r="K55" s="562">
        <f>IFERROR(VLOOKUP(K54,'CAPEX_Disposição Final'!$D$24:$F$30,3,FALSE),0)</f>
        <v>0</v>
      </c>
      <c r="L55" s="562">
        <f>IFERROR(VLOOKUP(L54,'CAPEX_Disposição Final'!$D$24:$F$30,3,FALSE),0)</f>
        <v>0</v>
      </c>
      <c r="M55" s="562">
        <f>IFERROR(VLOOKUP(M54,'CAPEX_Disposição Final'!$D$24:$F$30,3,FALSE),0)</f>
        <v>0</v>
      </c>
      <c r="N55" s="562">
        <f>IFERROR(VLOOKUP(N54,'CAPEX_Disposição Final'!$D$24:$F$30,3,FALSE),0)</f>
        <v>0</v>
      </c>
      <c r="O55" s="562">
        <f>IFERROR(VLOOKUP(O54,'CAPEX_Disposição Final'!$D$24:$F$30,3,FALSE),0)</f>
        <v>10808812.282</v>
      </c>
      <c r="P55" s="562">
        <f>IFERROR(VLOOKUP(P54,'CAPEX_Disposição Final'!$D$24:$F$30,3,FALSE),0)</f>
        <v>0</v>
      </c>
      <c r="Q55" s="562">
        <f>IFERROR(VLOOKUP(Q54,'CAPEX_Disposição Final'!$D$24:$F$30,3,FALSE),0)</f>
        <v>0</v>
      </c>
      <c r="R55" s="562">
        <f>IFERROR(VLOOKUP(R54,'CAPEX_Disposição Final'!$D$24:$F$30,3,FALSE),0)</f>
        <v>0</v>
      </c>
      <c r="S55" s="562">
        <f>IFERROR(VLOOKUP(S54,'CAPEX_Disposição Final'!$D$24:$F$30,3,FALSE),0)</f>
        <v>0</v>
      </c>
      <c r="T55" s="562">
        <f>IFERROR(VLOOKUP(T54,'CAPEX_Disposição Final'!$D$24:$F$30,3,FALSE),0)</f>
        <v>0</v>
      </c>
      <c r="U55" s="562">
        <f>IFERROR(VLOOKUP(U54,'CAPEX_Disposição Final'!$D$24:$F$30,3,FALSE),0)</f>
        <v>0</v>
      </c>
      <c r="V55" s="562">
        <f>IFERROR(VLOOKUP(V54,'CAPEX_Disposição Final'!$D$24:$F$30,3,FALSE),0)</f>
        <v>2279292.8819999998</v>
      </c>
      <c r="W55" s="562">
        <f>IFERROR(VLOOKUP(W54,'CAPEX_Disposição Final'!$D$24:$F$30,3,FALSE),0)</f>
        <v>0</v>
      </c>
      <c r="X55" s="562">
        <f>IFERROR(VLOOKUP(X54,'CAPEX_Disposição Final'!$D$24:$F$30,3,FALSE),0)</f>
        <v>0</v>
      </c>
      <c r="Y55" s="562">
        <f>IFERROR(VLOOKUP(Y54,'CAPEX_Disposição Final'!$D$24:$F$30,3,FALSE),0)</f>
        <v>0</v>
      </c>
      <c r="Z55" s="562">
        <f>IFERROR(VLOOKUP(Z54,'CAPEX_Disposição Final'!$D$24:$F$30,3,FALSE),0)</f>
        <v>0</v>
      </c>
      <c r="AA55" s="562">
        <f>IFERROR(VLOOKUP(AA54,'CAPEX_Disposição Final'!$D$24:$F$30,3,FALSE),0)</f>
        <v>0</v>
      </c>
      <c r="AB55" s="562">
        <f>IFERROR(VLOOKUP(AB54,'CAPEX_Disposição Final'!$D$24:$F$30,3,FALSE),0)</f>
        <v>2279292.8819999998</v>
      </c>
      <c r="AC55" s="562">
        <f>IFERROR(VLOOKUP(AC54,'CAPEX_Disposição Final'!$D$24:$F$30,3,FALSE),0)</f>
        <v>0</v>
      </c>
      <c r="AD55" s="562">
        <f>IFERROR(VLOOKUP(AD54,'CAPEX_Disposição Final'!$D$24:$F$30,3,FALSE),0)</f>
        <v>0</v>
      </c>
      <c r="AE55" s="562">
        <f>IFERROR(VLOOKUP(AE54,'CAPEX_Disposição Final'!$D$24:$F$30,3,FALSE),0)</f>
        <v>0</v>
      </c>
      <c r="AF55" s="562">
        <f>IFERROR(VLOOKUP(AF54,'CAPEX_Disposição Final'!$D$24:$F$30,3,FALSE),0)</f>
        <v>0</v>
      </c>
      <c r="AG55" s="562">
        <f>IFERROR(VLOOKUP(AG54,'CAPEX_Disposição Final'!$D$24:$F$30,3,FALSE),0)</f>
        <v>0</v>
      </c>
      <c r="AH55" s="562">
        <f>IFERROR(VLOOKUP(AH54,'CAPEX_Disposição Final'!$D$24:$F$30,3,FALSE),0)</f>
        <v>2279292.8819999998</v>
      </c>
      <c r="AI55" s="562">
        <f>IFERROR(VLOOKUP(AI54,'CAPEX_Disposição Final'!$D$24:$F$30,3,FALSE),0)</f>
        <v>0</v>
      </c>
      <c r="AJ55" s="562">
        <f>IFERROR(VLOOKUP(AJ54,'CAPEX_Disposição Final'!$D$24:$F$30,3,FALSE),0)</f>
        <v>0</v>
      </c>
      <c r="AK55" s="562">
        <f>IFERROR(VLOOKUP(AK54,'CAPEX_Disposição Final'!$D$24:$F$30,3,FALSE),0)</f>
        <v>0</v>
      </c>
      <c r="AL55" s="562">
        <f>IFERROR(VLOOKUP(AL54,'CAPEX_Disposição Final'!$D$24:$F$30,3,FALSE),0)</f>
        <v>0</v>
      </c>
      <c r="AM55" s="562">
        <f>IFERROR(VLOOKUP(AM54,'CAPEX_Disposição Final'!$D$24:$F$30,3,FALSE),0)</f>
        <v>0</v>
      </c>
      <c r="AN55" s="16"/>
    </row>
    <row r="56" spans="2:40" x14ac:dyDescent="0.35">
      <c r="B56" s="9"/>
      <c r="C56" s="992" t="s">
        <v>864</v>
      </c>
      <c r="D56" s="906">
        <f t="shared" ref="D56" si="3">SUM(E56:AM56)</f>
        <v>7254961.0800000001</v>
      </c>
      <c r="E56" s="562">
        <f>IF(E54&gt;'Premissas Gerais'!$E$7,0,IFERROR(VLOOKUP(E54,'CAPEX_Disposição Final'!$C$43:$D$46,2,FALSE),0))</f>
        <v>2418320.36</v>
      </c>
      <c r="F56" s="562">
        <f>IF(F54&gt;'Premissas Gerais'!$E$7,0,IFERROR(VLOOKUP(F54,'CAPEX_Disposição Final'!$C$43:$D$46,2,FALSE),0))</f>
        <v>0</v>
      </c>
      <c r="G56" s="562">
        <f>IF(G54&gt;'Premissas Gerais'!$E$7,0,IFERROR(VLOOKUP(G54,'CAPEX_Disposição Final'!$C$43:$D$46,2,FALSE),0))</f>
        <v>0</v>
      </c>
      <c r="H56" s="562">
        <f>IF(H54&gt;'Premissas Gerais'!$E$7,0,IFERROR(VLOOKUP(H54,'CAPEX_Disposição Final'!$C$43:$D$46,2,FALSE),0))</f>
        <v>0</v>
      </c>
      <c r="I56" s="562">
        <f>IF(I54&gt;'Premissas Gerais'!$E$7,0,IFERROR(VLOOKUP(I54,'CAPEX_Disposição Final'!$C$43:$D$46,2,FALSE),0))</f>
        <v>0</v>
      </c>
      <c r="J56" s="562">
        <f>IF(J54&gt;'Premissas Gerais'!$E$7,0,IFERROR(VLOOKUP(J54,'CAPEX_Disposição Final'!$C$43:$D$46,2,FALSE),0))</f>
        <v>0</v>
      </c>
      <c r="K56" s="562">
        <f>IF(K54&gt;'Premissas Gerais'!$E$7,0,IFERROR(VLOOKUP(K54,'CAPEX_Disposição Final'!$C$43:$D$46,2,FALSE),0))</f>
        <v>0</v>
      </c>
      <c r="L56" s="562">
        <f>IF(L54&gt;'Premissas Gerais'!$E$7,0,IFERROR(VLOOKUP(L54,'CAPEX_Disposição Final'!$C$43:$D$46,2,FALSE),0))</f>
        <v>0</v>
      </c>
      <c r="M56" s="562">
        <f>IF(M54&gt;'Premissas Gerais'!$E$7,0,IFERROR(VLOOKUP(M54,'CAPEX_Disposição Final'!$C$43:$D$46,2,FALSE),0))</f>
        <v>0</v>
      </c>
      <c r="N56" s="562">
        <f>IF(N54&gt;'Premissas Gerais'!$E$7,0,IFERROR(VLOOKUP(N54,'CAPEX_Disposição Final'!$C$43:$D$46,2,FALSE),0))</f>
        <v>0</v>
      </c>
      <c r="O56" s="562">
        <f>IF(O54&gt;'Premissas Gerais'!$E$7,0,IFERROR(VLOOKUP(O54,'CAPEX_Disposição Final'!$C$43:$D$46,2,FALSE),0))</f>
        <v>2418320.36</v>
      </c>
      <c r="P56" s="562">
        <f>IF(P54&gt;'Premissas Gerais'!$E$7,0,IFERROR(VLOOKUP(P54,'CAPEX_Disposição Final'!$C$43:$D$46,2,FALSE),0))</f>
        <v>0</v>
      </c>
      <c r="Q56" s="562">
        <f>IF(Q54&gt;'Premissas Gerais'!$E$7,0,IFERROR(VLOOKUP(Q54,'CAPEX_Disposição Final'!$C$43:$D$46,2,FALSE),0))</f>
        <v>0</v>
      </c>
      <c r="R56" s="562">
        <f>IF(R54&gt;'Premissas Gerais'!$E$7,0,IFERROR(VLOOKUP(R54,'CAPEX_Disposição Final'!$C$43:$D$46,2,FALSE),0))</f>
        <v>0</v>
      </c>
      <c r="S56" s="562">
        <f>IF(S54&gt;'Premissas Gerais'!$E$7,0,IFERROR(VLOOKUP(S54,'CAPEX_Disposição Final'!$C$43:$D$46,2,FALSE),0))</f>
        <v>0</v>
      </c>
      <c r="T56" s="562">
        <f>IF(T54&gt;'Premissas Gerais'!$E$7,0,IFERROR(VLOOKUP(T54,'CAPEX_Disposição Final'!$C$43:$D$46,2,FALSE),0))</f>
        <v>0</v>
      </c>
      <c r="U56" s="562">
        <f>IF(U54&gt;'Premissas Gerais'!$E$7,0,IFERROR(VLOOKUP(U54,'CAPEX_Disposição Final'!$C$43:$D$46,2,FALSE),0))</f>
        <v>0</v>
      </c>
      <c r="V56" s="562">
        <f>IF(V54&gt;'Premissas Gerais'!$E$7,0,IFERROR(VLOOKUP(V54,'CAPEX_Disposição Final'!$C$43:$D$46,2,FALSE),0))</f>
        <v>0</v>
      </c>
      <c r="W56" s="562">
        <f>IF(W54&gt;'Premissas Gerais'!$E$7,0,IFERROR(VLOOKUP(W54,'CAPEX_Disposição Final'!$C$43:$D$46,2,FALSE),0))</f>
        <v>0</v>
      </c>
      <c r="X56" s="562">
        <f>IF(X54&gt;'Premissas Gerais'!$E$7,0,IFERROR(VLOOKUP(X54,'CAPEX_Disposição Final'!$C$43:$D$46,2,FALSE),0))</f>
        <v>0</v>
      </c>
      <c r="Y56" s="562">
        <f>IF(Y54&gt;'Premissas Gerais'!$E$7,0,IFERROR(VLOOKUP(Y54,'CAPEX_Disposição Final'!$C$43:$D$46,2,FALSE),0))</f>
        <v>2418320.36</v>
      </c>
      <c r="Z56" s="562">
        <f>IF(Z54&gt;'Premissas Gerais'!$E$7,0,IFERROR(VLOOKUP(Z54,'CAPEX_Disposição Final'!$C$43:$D$46,2,FALSE),0))</f>
        <v>0</v>
      </c>
      <c r="AA56" s="562">
        <f>IF(AA54&gt;'Premissas Gerais'!$E$7,0,IFERROR(VLOOKUP(AA54,'CAPEX_Disposição Final'!$C$43:$D$46,2,FALSE),0))</f>
        <v>0</v>
      </c>
      <c r="AB56" s="562">
        <f>IF(AB54&gt;'Premissas Gerais'!$E$7,0,IFERROR(VLOOKUP(AB54,'CAPEX_Disposição Final'!$C$43:$D$46,2,FALSE),0))</f>
        <v>0</v>
      </c>
      <c r="AC56" s="562">
        <f>IF(AC54&gt;'Premissas Gerais'!$E$7,0,IFERROR(VLOOKUP(AC54,'CAPEX_Disposição Final'!$C$43:$D$46,2,FALSE),0))</f>
        <v>0</v>
      </c>
      <c r="AD56" s="562">
        <f>IF(AD54&gt;'Premissas Gerais'!$E$7,0,IFERROR(VLOOKUP(AD54,'CAPEX_Disposição Final'!$C$43:$D$46,2,FALSE),0))</f>
        <v>0</v>
      </c>
      <c r="AE56" s="562">
        <f>IF(AE54&gt;'Premissas Gerais'!$E$7,0,IFERROR(VLOOKUP(AE54,'CAPEX_Disposição Final'!$C$43:$D$46,2,FALSE),0))</f>
        <v>0</v>
      </c>
      <c r="AF56" s="562">
        <f>IF(AF54&gt;'Premissas Gerais'!$E$7,0,IFERROR(VLOOKUP(AF54,'CAPEX_Disposição Final'!$C$43:$D$46,2,FALSE),0))</f>
        <v>0</v>
      </c>
      <c r="AG56" s="562">
        <f>IF(AG54&gt;'Premissas Gerais'!$E$7,0,IFERROR(VLOOKUP(AG54,'CAPEX_Disposição Final'!$C$43:$D$46,2,FALSE),0))</f>
        <v>0</v>
      </c>
      <c r="AH56" s="562">
        <f>IF(AH54&gt;'Premissas Gerais'!$E$7,0,IFERROR(VLOOKUP(AH54,'CAPEX_Disposição Final'!$C$43:$D$46,2,FALSE),0))</f>
        <v>0</v>
      </c>
      <c r="AI56" s="562">
        <f>IF(AI54&gt;'Premissas Gerais'!$E$7,0,IFERROR(VLOOKUP(AI54,'CAPEX_Disposição Final'!$C$43:$D$46,2,FALSE),0))</f>
        <v>0</v>
      </c>
      <c r="AJ56" s="562">
        <f>IF(AJ54&gt;'Premissas Gerais'!$E$7,0,IFERROR(VLOOKUP(AJ54,'CAPEX_Disposição Final'!$C$43:$D$46,2,FALSE),0))</f>
        <v>0</v>
      </c>
      <c r="AK56" s="562">
        <f>IF(AK54&gt;'Premissas Gerais'!$E$7,0,IFERROR(VLOOKUP(AK54,'CAPEX_Disposição Final'!$C$43:$D$46,2,FALSE),0))</f>
        <v>0</v>
      </c>
      <c r="AL56" s="562">
        <f>IF(AL54&gt;'Premissas Gerais'!$E$7,0,IFERROR(VLOOKUP(AL54,'CAPEX_Disposição Final'!$C$43:$D$46,2,FALSE),0))</f>
        <v>0</v>
      </c>
      <c r="AM56" s="562">
        <f>IF(AM54&gt;'Premissas Gerais'!$E$7,0,IFERROR(VLOOKUP(AM54,'CAPEX_Disposição Final'!$C$43:$D$46,2,FALSE),0))</f>
        <v>0</v>
      </c>
      <c r="AN56" s="16"/>
    </row>
    <row r="57" spans="2:40" x14ac:dyDescent="0.35">
      <c r="B57" s="9"/>
      <c r="C57" s="111" t="s">
        <v>455</v>
      </c>
      <c r="D57" s="907">
        <f t="shared" ref="D57:AM57" si="4">SUM(D55:D56)</f>
        <v>32532767.849999994</v>
      </c>
      <c r="E57" s="488">
        <f t="shared" si="4"/>
        <v>2418320.36</v>
      </c>
      <c r="F57" s="488">
        <f t="shared" si="4"/>
        <v>1500000</v>
      </c>
      <c r="G57" s="488">
        <f t="shared" si="4"/>
        <v>3851822.96</v>
      </c>
      <c r="H57" s="488">
        <f t="shared" si="4"/>
        <v>2279292.8819999998</v>
      </c>
      <c r="I57" s="488">
        <f t="shared" si="4"/>
        <v>0</v>
      </c>
      <c r="J57" s="488">
        <f t="shared" si="4"/>
        <v>0</v>
      </c>
      <c r="K57" s="488">
        <f t="shared" si="4"/>
        <v>0</v>
      </c>
      <c r="L57" s="488">
        <f t="shared" si="4"/>
        <v>0</v>
      </c>
      <c r="M57" s="488">
        <f t="shared" si="4"/>
        <v>0</v>
      </c>
      <c r="N57" s="488">
        <f t="shared" si="4"/>
        <v>0</v>
      </c>
      <c r="O57" s="488">
        <f t="shared" si="4"/>
        <v>13227132.641999999</v>
      </c>
      <c r="P57" s="488">
        <f t="shared" si="4"/>
        <v>0</v>
      </c>
      <c r="Q57" s="488">
        <f t="shared" si="4"/>
        <v>0</v>
      </c>
      <c r="R57" s="488">
        <f t="shared" si="4"/>
        <v>0</v>
      </c>
      <c r="S57" s="488">
        <f t="shared" si="4"/>
        <v>0</v>
      </c>
      <c r="T57" s="488">
        <f t="shared" si="4"/>
        <v>0</v>
      </c>
      <c r="U57" s="488">
        <f t="shared" si="4"/>
        <v>0</v>
      </c>
      <c r="V57" s="488">
        <f t="shared" si="4"/>
        <v>2279292.8819999998</v>
      </c>
      <c r="W57" s="488">
        <f t="shared" si="4"/>
        <v>0</v>
      </c>
      <c r="X57" s="488">
        <f t="shared" si="4"/>
        <v>0</v>
      </c>
      <c r="Y57" s="488">
        <f t="shared" si="4"/>
        <v>2418320.36</v>
      </c>
      <c r="Z57" s="488">
        <f t="shared" si="4"/>
        <v>0</v>
      </c>
      <c r="AA57" s="488">
        <f t="shared" si="4"/>
        <v>0</v>
      </c>
      <c r="AB57" s="488">
        <f t="shared" si="4"/>
        <v>2279292.8819999998</v>
      </c>
      <c r="AC57" s="488">
        <f t="shared" si="4"/>
        <v>0</v>
      </c>
      <c r="AD57" s="488">
        <f t="shared" si="4"/>
        <v>0</v>
      </c>
      <c r="AE57" s="488">
        <f t="shared" si="4"/>
        <v>0</v>
      </c>
      <c r="AF57" s="488">
        <f t="shared" si="4"/>
        <v>0</v>
      </c>
      <c r="AG57" s="488">
        <f t="shared" si="4"/>
        <v>0</v>
      </c>
      <c r="AH57" s="488">
        <f t="shared" si="4"/>
        <v>2279292.8819999998</v>
      </c>
      <c r="AI57" s="488">
        <f t="shared" si="4"/>
        <v>0</v>
      </c>
      <c r="AJ57" s="488">
        <f t="shared" si="4"/>
        <v>0</v>
      </c>
      <c r="AK57" s="488">
        <f t="shared" si="4"/>
        <v>0</v>
      </c>
      <c r="AL57" s="488">
        <f t="shared" si="4"/>
        <v>0</v>
      </c>
      <c r="AM57" s="488">
        <f t="shared" si="4"/>
        <v>0</v>
      </c>
      <c r="AN57" s="16"/>
    </row>
    <row r="58" spans="2:40" ht="15" thickBot="1" x14ac:dyDescent="0.4">
      <c r="B58" s="38"/>
      <c r="C58" s="59"/>
      <c r="D58" s="59"/>
      <c r="E58" s="59"/>
      <c r="F58" s="59"/>
      <c r="G58" s="59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  <c r="AG58" s="59"/>
      <c r="AH58" s="59"/>
      <c r="AI58" s="59"/>
      <c r="AJ58" s="59"/>
      <c r="AK58" s="59"/>
      <c r="AL58" s="59"/>
      <c r="AM58" s="59"/>
      <c r="AN58" s="69"/>
    </row>
    <row r="60" spans="2:40" x14ac:dyDescent="0.35">
      <c r="C60" s="77" t="s">
        <v>838</v>
      </c>
    </row>
    <row r="61" spans="2:40" x14ac:dyDescent="0.35">
      <c r="C61" s="560" t="s">
        <v>179</v>
      </c>
      <c r="D61" s="229" t="s">
        <v>455</v>
      </c>
      <c r="E61" s="802">
        <v>1</v>
      </c>
      <c r="F61" s="802">
        <f>E61+1</f>
        <v>2</v>
      </c>
      <c r="G61" s="802">
        <f t="shared" ref="G61:AM61" si="5">F61+1</f>
        <v>3</v>
      </c>
      <c r="H61" s="802">
        <f t="shared" si="5"/>
        <v>4</v>
      </c>
      <c r="I61" s="802">
        <f t="shared" si="5"/>
        <v>5</v>
      </c>
      <c r="J61" s="802">
        <f t="shared" si="5"/>
        <v>6</v>
      </c>
      <c r="K61" s="802">
        <f t="shared" si="5"/>
        <v>7</v>
      </c>
      <c r="L61" s="802">
        <f t="shared" si="5"/>
        <v>8</v>
      </c>
      <c r="M61" s="802">
        <f t="shared" si="5"/>
        <v>9</v>
      </c>
      <c r="N61" s="802">
        <f t="shared" si="5"/>
        <v>10</v>
      </c>
      <c r="O61" s="802">
        <f t="shared" si="5"/>
        <v>11</v>
      </c>
      <c r="P61" s="802">
        <f t="shared" si="5"/>
        <v>12</v>
      </c>
      <c r="Q61" s="802">
        <f t="shared" si="5"/>
        <v>13</v>
      </c>
      <c r="R61" s="802">
        <f t="shared" si="5"/>
        <v>14</v>
      </c>
      <c r="S61" s="802">
        <f t="shared" si="5"/>
        <v>15</v>
      </c>
      <c r="T61" s="802">
        <f t="shared" si="5"/>
        <v>16</v>
      </c>
      <c r="U61" s="802">
        <f t="shared" si="5"/>
        <v>17</v>
      </c>
      <c r="V61" s="802">
        <f t="shared" si="5"/>
        <v>18</v>
      </c>
      <c r="W61" s="802">
        <f t="shared" si="5"/>
        <v>19</v>
      </c>
      <c r="X61" s="802">
        <f t="shared" si="5"/>
        <v>20</v>
      </c>
      <c r="Y61" s="802">
        <f t="shared" si="5"/>
        <v>21</v>
      </c>
      <c r="Z61" s="802">
        <f t="shared" si="5"/>
        <v>22</v>
      </c>
      <c r="AA61" s="802">
        <f t="shared" si="5"/>
        <v>23</v>
      </c>
      <c r="AB61" s="802">
        <f t="shared" si="5"/>
        <v>24</v>
      </c>
      <c r="AC61" s="802">
        <f t="shared" si="5"/>
        <v>25</v>
      </c>
      <c r="AD61" s="802">
        <f t="shared" si="5"/>
        <v>26</v>
      </c>
      <c r="AE61" s="802">
        <f t="shared" si="5"/>
        <v>27</v>
      </c>
      <c r="AF61" s="802">
        <f t="shared" si="5"/>
        <v>28</v>
      </c>
      <c r="AG61" s="802">
        <f t="shared" si="5"/>
        <v>29</v>
      </c>
      <c r="AH61" s="802">
        <f t="shared" si="5"/>
        <v>30</v>
      </c>
      <c r="AI61" s="802">
        <f t="shared" si="5"/>
        <v>31</v>
      </c>
      <c r="AJ61" s="802">
        <f t="shared" si="5"/>
        <v>32</v>
      </c>
      <c r="AK61" s="802">
        <f t="shared" si="5"/>
        <v>33</v>
      </c>
      <c r="AL61" s="802">
        <f t="shared" si="5"/>
        <v>34</v>
      </c>
      <c r="AM61" s="802">
        <f t="shared" si="5"/>
        <v>35</v>
      </c>
    </row>
    <row r="62" spans="2:40" x14ac:dyDescent="0.35">
      <c r="C62" s="914" t="s">
        <v>1</v>
      </c>
      <c r="D62" s="808">
        <f>SUM(E62:AM62)</f>
        <v>222106.84705378869</v>
      </c>
      <c r="E62" s="916">
        <f t="shared" ref="E62:AM62" si="6">E57*$E$75</f>
        <v>16510.292416622127</v>
      </c>
      <c r="F62" s="916">
        <f t="shared" si="6"/>
        <v>10240.760088929323</v>
      </c>
      <c r="G62" s="916">
        <f t="shared" si="6"/>
        <v>26297.063225593072</v>
      </c>
      <c r="H62" s="916">
        <f t="shared" si="6"/>
        <v>15561.127717977526</v>
      </c>
      <c r="I62" s="916">
        <f t="shared" si="6"/>
        <v>0</v>
      </c>
      <c r="J62" s="916">
        <f t="shared" si="6"/>
        <v>0</v>
      </c>
      <c r="K62" s="916">
        <f t="shared" si="6"/>
        <v>0</v>
      </c>
      <c r="L62" s="916">
        <f t="shared" si="6"/>
        <v>0</v>
      </c>
      <c r="M62" s="916">
        <f t="shared" si="6"/>
        <v>0</v>
      </c>
      <c r="N62" s="916">
        <f t="shared" si="6"/>
        <v>0</v>
      </c>
      <c r="O62" s="916">
        <f t="shared" si="6"/>
        <v>90303.928034111901</v>
      </c>
      <c r="P62" s="916">
        <f t="shared" si="6"/>
        <v>0</v>
      </c>
      <c r="Q62" s="916">
        <f t="shared" si="6"/>
        <v>0</v>
      </c>
      <c r="R62" s="916">
        <f t="shared" si="6"/>
        <v>0</v>
      </c>
      <c r="S62" s="916">
        <f t="shared" si="6"/>
        <v>0</v>
      </c>
      <c r="T62" s="916">
        <f t="shared" si="6"/>
        <v>0</v>
      </c>
      <c r="U62" s="916">
        <f t="shared" si="6"/>
        <v>0</v>
      </c>
      <c r="V62" s="916">
        <f t="shared" si="6"/>
        <v>15561.127717977526</v>
      </c>
      <c r="W62" s="916">
        <f t="shared" si="6"/>
        <v>0</v>
      </c>
      <c r="X62" s="916">
        <f t="shared" si="6"/>
        <v>0</v>
      </c>
      <c r="Y62" s="916">
        <f t="shared" si="6"/>
        <v>16510.292416622127</v>
      </c>
      <c r="Z62" s="916">
        <f t="shared" si="6"/>
        <v>0</v>
      </c>
      <c r="AA62" s="916">
        <f t="shared" si="6"/>
        <v>0</v>
      </c>
      <c r="AB62" s="916">
        <f t="shared" si="6"/>
        <v>15561.127717977526</v>
      </c>
      <c r="AC62" s="916">
        <f t="shared" si="6"/>
        <v>0</v>
      </c>
      <c r="AD62" s="916">
        <f t="shared" si="6"/>
        <v>0</v>
      </c>
      <c r="AE62" s="916">
        <f t="shared" si="6"/>
        <v>0</v>
      </c>
      <c r="AF62" s="916">
        <f t="shared" si="6"/>
        <v>0</v>
      </c>
      <c r="AG62" s="916">
        <f t="shared" si="6"/>
        <v>0</v>
      </c>
      <c r="AH62" s="916">
        <f t="shared" si="6"/>
        <v>15561.127717977526</v>
      </c>
      <c r="AI62" s="916">
        <f t="shared" si="6"/>
        <v>0</v>
      </c>
      <c r="AJ62" s="916">
        <f t="shared" si="6"/>
        <v>0</v>
      </c>
      <c r="AK62" s="916">
        <f t="shared" si="6"/>
        <v>0</v>
      </c>
      <c r="AL62" s="916">
        <f t="shared" si="6"/>
        <v>0</v>
      </c>
      <c r="AM62" s="916">
        <f t="shared" si="6"/>
        <v>0</v>
      </c>
    </row>
    <row r="63" spans="2:40" x14ac:dyDescent="0.35">
      <c r="C63" s="915" t="s">
        <v>2</v>
      </c>
      <c r="D63" s="811">
        <f t="shared" ref="D63:D70" si="7">SUM(E63:AM63)</f>
        <v>2812903.6891338173</v>
      </c>
      <c r="E63" s="917">
        <f t="shared" ref="E63:AM63" si="8">E57*$E$76</f>
        <v>209096.94169017411</v>
      </c>
      <c r="F63" s="917">
        <f t="shared" si="8"/>
        <v>129695.55966326197</v>
      </c>
      <c r="G63" s="917">
        <f t="shared" si="8"/>
        <v>333042.88968066819</v>
      </c>
      <c r="H63" s="917">
        <f t="shared" si="8"/>
        <v>197076.11064498618</v>
      </c>
      <c r="I63" s="917">
        <f t="shared" si="8"/>
        <v>0</v>
      </c>
      <c r="J63" s="917">
        <f t="shared" si="8"/>
        <v>0</v>
      </c>
      <c r="K63" s="917">
        <f t="shared" si="8"/>
        <v>0</v>
      </c>
      <c r="L63" s="917">
        <f t="shared" si="8"/>
        <v>0</v>
      </c>
      <c r="M63" s="917">
        <f t="shared" si="8"/>
        <v>0</v>
      </c>
      <c r="N63" s="917">
        <f t="shared" si="8"/>
        <v>0</v>
      </c>
      <c r="O63" s="917">
        <f t="shared" si="8"/>
        <v>1143666.9138295939</v>
      </c>
      <c r="P63" s="917">
        <f t="shared" si="8"/>
        <v>0</v>
      </c>
      <c r="Q63" s="917">
        <f t="shared" si="8"/>
        <v>0</v>
      </c>
      <c r="R63" s="917">
        <f t="shared" si="8"/>
        <v>0</v>
      </c>
      <c r="S63" s="917">
        <f t="shared" si="8"/>
        <v>0</v>
      </c>
      <c r="T63" s="917">
        <f t="shared" si="8"/>
        <v>0</v>
      </c>
      <c r="U63" s="917">
        <f t="shared" si="8"/>
        <v>0</v>
      </c>
      <c r="V63" s="917">
        <f t="shared" si="8"/>
        <v>197076.11064498618</v>
      </c>
      <c r="W63" s="917">
        <f t="shared" si="8"/>
        <v>0</v>
      </c>
      <c r="X63" s="917">
        <f t="shared" si="8"/>
        <v>0</v>
      </c>
      <c r="Y63" s="917">
        <f t="shared" si="8"/>
        <v>209096.94169017411</v>
      </c>
      <c r="Z63" s="917">
        <f t="shared" si="8"/>
        <v>0</v>
      </c>
      <c r="AA63" s="917">
        <f t="shared" si="8"/>
        <v>0</v>
      </c>
      <c r="AB63" s="917">
        <f t="shared" si="8"/>
        <v>197076.11064498618</v>
      </c>
      <c r="AC63" s="917">
        <f t="shared" si="8"/>
        <v>0</v>
      </c>
      <c r="AD63" s="917">
        <f t="shared" si="8"/>
        <v>0</v>
      </c>
      <c r="AE63" s="917">
        <f t="shared" si="8"/>
        <v>0</v>
      </c>
      <c r="AF63" s="917">
        <f t="shared" si="8"/>
        <v>0</v>
      </c>
      <c r="AG63" s="917">
        <f t="shared" si="8"/>
        <v>0</v>
      </c>
      <c r="AH63" s="917">
        <f t="shared" si="8"/>
        <v>197076.11064498618</v>
      </c>
      <c r="AI63" s="917">
        <f t="shared" si="8"/>
        <v>0</v>
      </c>
      <c r="AJ63" s="917">
        <f t="shared" si="8"/>
        <v>0</v>
      </c>
      <c r="AK63" s="917">
        <f t="shared" si="8"/>
        <v>0</v>
      </c>
      <c r="AL63" s="917">
        <f t="shared" si="8"/>
        <v>0</v>
      </c>
      <c r="AM63" s="917">
        <f t="shared" si="8"/>
        <v>0</v>
      </c>
    </row>
    <row r="64" spans="2:40" x14ac:dyDescent="0.35">
      <c r="C64" s="915" t="s">
        <v>3</v>
      </c>
      <c r="D64" s="811">
        <f t="shared" si="7"/>
        <v>336968.16751191783</v>
      </c>
      <c r="E64" s="917">
        <f t="shared" ref="E64:AM64" si="9">E57*$E$77</f>
        <v>25048.49829941419</v>
      </c>
      <c r="F64" s="917">
        <f t="shared" si="9"/>
        <v>15536.712203473855</v>
      </c>
      <c r="G64" s="917">
        <f t="shared" si="9"/>
        <v>39896.443192168525</v>
      </c>
      <c r="H64" s="917">
        <f t="shared" si="9"/>
        <v>23608.478356706994</v>
      </c>
      <c r="I64" s="917">
        <f t="shared" si="9"/>
        <v>0</v>
      </c>
      <c r="J64" s="917">
        <f t="shared" si="9"/>
        <v>0</v>
      </c>
      <c r="K64" s="917">
        <f t="shared" si="9"/>
        <v>0</v>
      </c>
      <c r="L64" s="917">
        <f t="shared" si="9"/>
        <v>0</v>
      </c>
      <c r="M64" s="917">
        <f t="shared" si="9"/>
        <v>0</v>
      </c>
      <c r="N64" s="917">
        <f t="shared" si="9"/>
        <v>0</v>
      </c>
      <c r="O64" s="917">
        <f t="shared" si="9"/>
        <v>137004.10209061916</v>
      </c>
      <c r="P64" s="917">
        <f t="shared" si="9"/>
        <v>0</v>
      </c>
      <c r="Q64" s="917">
        <f t="shared" si="9"/>
        <v>0</v>
      </c>
      <c r="R64" s="917">
        <f t="shared" si="9"/>
        <v>0</v>
      </c>
      <c r="S64" s="917">
        <f t="shared" si="9"/>
        <v>0</v>
      </c>
      <c r="T64" s="917">
        <f t="shared" si="9"/>
        <v>0</v>
      </c>
      <c r="U64" s="917">
        <f t="shared" si="9"/>
        <v>0</v>
      </c>
      <c r="V64" s="917">
        <f t="shared" si="9"/>
        <v>23608.478356706994</v>
      </c>
      <c r="W64" s="917">
        <f t="shared" si="9"/>
        <v>0</v>
      </c>
      <c r="X64" s="917">
        <f t="shared" si="9"/>
        <v>0</v>
      </c>
      <c r="Y64" s="917">
        <f t="shared" si="9"/>
        <v>25048.49829941419</v>
      </c>
      <c r="Z64" s="917">
        <f t="shared" si="9"/>
        <v>0</v>
      </c>
      <c r="AA64" s="917">
        <f t="shared" si="9"/>
        <v>0</v>
      </c>
      <c r="AB64" s="917">
        <f t="shared" si="9"/>
        <v>23608.478356706994</v>
      </c>
      <c r="AC64" s="917">
        <f t="shared" si="9"/>
        <v>0</v>
      </c>
      <c r="AD64" s="917">
        <f t="shared" si="9"/>
        <v>0</v>
      </c>
      <c r="AE64" s="917">
        <f t="shared" si="9"/>
        <v>0</v>
      </c>
      <c r="AF64" s="917">
        <f t="shared" si="9"/>
        <v>0</v>
      </c>
      <c r="AG64" s="917">
        <f t="shared" si="9"/>
        <v>0</v>
      </c>
      <c r="AH64" s="917">
        <f t="shared" si="9"/>
        <v>23608.478356706994</v>
      </c>
      <c r="AI64" s="917">
        <f t="shared" si="9"/>
        <v>0</v>
      </c>
      <c r="AJ64" s="917">
        <f t="shared" si="9"/>
        <v>0</v>
      </c>
      <c r="AK64" s="917">
        <f t="shared" si="9"/>
        <v>0</v>
      </c>
      <c r="AL64" s="917">
        <f t="shared" si="9"/>
        <v>0</v>
      </c>
      <c r="AM64" s="917">
        <f t="shared" si="9"/>
        <v>0</v>
      </c>
    </row>
    <row r="65" spans="3:40" x14ac:dyDescent="0.35">
      <c r="C65" s="915" t="s">
        <v>4</v>
      </c>
      <c r="D65" s="811">
        <f t="shared" si="7"/>
        <v>899118.86999668845</v>
      </c>
      <c r="E65" s="917">
        <f t="shared" ref="E65:AM65" si="10">E57*$E$78</f>
        <v>66835.919999139733</v>
      </c>
      <c r="F65" s="917">
        <f t="shared" si="10"/>
        <v>41455.996342316532</v>
      </c>
      <c r="G65" s="917">
        <f t="shared" si="10"/>
        <v>106454.10569400722</v>
      </c>
      <c r="H65" s="917">
        <f t="shared" si="10"/>
        <v>62993.571586173399</v>
      </c>
      <c r="I65" s="917">
        <f t="shared" si="10"/>
        <v>0</v>
      </c>
      <c r="J65" s="917">
        <f t="shared" si="10"/>
        <v>0</v>
      </c>
      <c r="K65" s="917">
        <f t="shared" si="10"/>
        <v>0</v>
      </c>
      <c r="L65" s="917">
        <f t="shared" si="10"/>
        <v>0</v>
      </c>
      <c r="M65" s="917">
        <f t="shared" si="10"/>
        <v>0</v>
      </c>
      <c r="N65" s="917">
        <f t="shared" si="10"/>
        <v>0</v>
      </c>
      <c r="O65" s="917">
        <f t="shared" si="10"/>
        <v>365562.64161739172</v>
      </c>
      <c r="P65" s="917">
        <f t="shared" si="10"/>
        <v>0</v>
      </c>
      <c r="Q65" s="917">
        <f t="shared" si="10"/>
        <v>0</v>
      </c>
      <c r="R65" s="917">
        <f t="shared" si="10"/>
        <v>0</v>
      </c>
      <c r="S65" s="917">
        <f t="shared" si="10"/>
        <v>0</v>
      </c>
      <c r="T65" s="917">
        <f t="shared" si="10"/>
        <v>0</v>
      </c>
      <c r="U65" s="917">
        <f t="shared" si="10"/>
        <v>0</v>
      </c>
      <c r="V65" s="917">
        <f t="shared" si="10"/>
        <v>62993.571586173399</v>
      </c>
      <c r="W65" s="917">
        <f t="shared" si="10"/>
        <v>0</v>
      </c>
      <c r="X65" s="917">
        <f t="shared" si="10"/>
        <v>0</v>
      </c>
      <c r="Y65" s="917">
        <f t="shared" si="10"/>
        <v>66835.919999139733</v>
      </c>
      <c r="Z65" s="917">
        <f t="shared" si="10"/>
        <v>0</v>
      </c>
      <c r="AA65" s="917">
        <f t="shared" si="10"/>
        <v>0</v>
      </c>
      <c r="AB65" s="917">
        <f t="shared" si="10"/>
        <v>62993.571586173399</v>
      </c>
      <c r="AC65" s="917">
        <f t="shared" si="10"/>
        <v>0</v>
      </c>
      <c r="AD65" s="917">
        <f t="shared" si="10"/>
        <v>0</v>
      </c>
      <c r="AE65" s="917">
        <f t="shared" si="10"/>
        <v>0</v>
      </c>
      <c r="AF65" s="917">
        <f t="shared" si="10"/>
        <v>0</v>
      </c>
      <c r="AG65" s="917">
        <f t="shared" si="10"/>
        <v>0</v>
      </c>
      <c r="AH65" s="917">
        <f t="shared" si="10"/>
        <v>62993.571586173399</v>
      </c>
      <c r="AI65" s="917">
        <f t="shared" si="10"/>
        <v>0</v>
      </c>
      <c r="AJ65" s="917">
        <f t="shared" si="10"/>
        <v>0</v>
      </c>
      <c r="AK65" s="917">
        <f t="shared" si="10"/>
        <v>0</v>
      </c>
      <c r="AL65" s="917">
        <f t="shared" si="10"/>
        <v>0</v>
      </c>
      <c r="AM65" s="917">
        <f t="shared" si="10"/>
        <v>0</v>
      </c>
    </row>
    <row r="66" spans="3:40" x14ac:dyDescent="0.35">
      <c r="C66" s="915" t="s">
        <v>5</v>
      </c>
      <c r="D66" s="811">
        <f t="shared" si="7"/>
        <v>1952721.1177776742</v>
      </c>
      <c r="E66" s="917">
        <f t="shared" ref="E66:AM66" si="11">E57*$E$79</f>
        <v>145155.3479340279</v>
      </c>
      <c r="F66" s="917">
        <f t="shared" si="11"/>
        <v>90034.813212688605</v>
      </c>
      <c r="G66" s="917">
        <f t="shared" si="11"/>
        <v>231198.7738212969</v>
      </c>
      <c r="H66" s="917">
        <f t="shared" si="11"/>
        <v>136810.47259192044</v>
      </c>
      <c r="I66" s="917">
        <f t="shared" si="11"/>
        <v>0</v>
      </c>
      <c r="J66" s="917">
        <f t="shared" si="11"/>
        <v>0</v>
      </c>
      <c r="K66" s="917">
        <f t="shared" si="11"/>
        <v>0</v>
      </c>
      <c r="L66" s="917">
        <f t="shared" si="11"/>
        <v>0</v>
      </c>
      <c r="M66" s="917">
        <f t="shared" si="11"/>
        <v>0</v>
      </c>
      <c r="N66" s="917">
        <f t="shared" si="11"/>
        <v>0</v>
      </c>
      <c r="O66" s="917">
        <f t="shared" si="11"/>
        <v>793934.94450795092</v>
      </c>
      <c r="P66" s="917">
        <f t="shared" si="11"/>
        <v>0</v>
      </c>
      <c r="Q66" s="917">
        <f t="shared" si="11"/>
        <v>0</v>
      </c>
      <c r="R66" s="917">
        <f t="shared" si="11"/>
        <v>0</v>
      </c>
      <c r="S66" s="917">
        <f t="shared" si="11"/>
        <v>0</v>
      </c>
      <c r="T66" s="917">
        <f t="shared" si="11"/>
        <v>0</v>
      </c>
      <c r="U66" s="917">
        <f t="shared" si="11"/>
        <v>0</v>
      </c>
      <c r="V66" s="917">
        <f t="shared" si="11"/>
        <v>136810.47259192044</v>
      </c>
      <c r="W66" s="917">
        <f t="shared" si="11"/>
        <v>0</v>
      </c>
      <c r="X66" s="917">
        <f t="shared" si="11"/>
        <v>0</v>
      </c>
      <c r="Y66" s="917">
        <f t="shared" si="11"/>
        <v>145155.3479340279</v>
      </c>
      <c r="Z66" s="917">
        <f t="shared" si="11"/>
        <v>0</v>
      </c>
      <c r="AA66" s="917">
        <f t="shared" si="11"/>
        <v>0</v>
      </c>
      <c r="AB66" s="917">
        <f t="shared" si="11"/>
        <v>136810.47259192044</v>
      </c>
      <c r="AC66" s="917">
        <f t="shared" si="11"/>
        <v>0</v>
      </c>
      <c r="AD66" s="917">
        <f t="shared" si="11"/>
        <v>0</v>
      </c>
      <c r="AE66" s="917">
        <f t="shared" si="11"/>
        <v>0</v>
      </c>
      <c r="AF66" s="917">
        <f t="shared" si="11"/>
        <v>0</v>
      </c>
      <c r="AG66" s="917">
        <f t="shared" si="11"/>
        <v>0</v>
      </c>
      <c r="AH66" s="917">
        <f t="shared" si="11"/>
        <v>136810.47259192044</v>
      </c>
      <c r="AI66" s="917">
        <f t="shared" si="11"/>
        <v>0</v>
      </c>
      <c r="AJ66" s="917">
        <f t="shared" si="11"/>
        <v>0</v>
      </c>
      <c r="AK66" s="917">
        <f t="shared" si="11"/>
        <v>0</v>
      </c>
      <c r="AL66" s="917">
        <f t="shared" si="11"/>
        <v>0</v>
      </c>
      <c r="AM66" s="917">
        <f t="shared" si="11"/>
        <v>0</v>
      </c>
    </row>
    <row r="67" spans="3:40" x14ac:dyDescent="0.35">
      <c r="C67" s="915" t="s">
        <v>6</v>
      </c>
      <c r="D67" s="811">
        <f t="shared" si="7"/>
        <v>21616281.256688915</v>
      </c>
      <c r="E67" s="917">
        <f t="shared" ref="E67:AM67" si="12">E57*$E$80</f>
        <v>1606844.3149861649</v>
      </c>
      <c r="F67" s="917">
        <f t="shared" si="12"/>
        <v>996669.63581253879</v>
      </c>
      <c r="G67" s="917">
        <f t="shared" si="12"/>
        <v>2559329.9911717167</v>
      </c>
      <c r="H67" s="917">
        <f t="shared" si="12"/>
        <v>1514468.0044087011</v>
      </c>
      <c r="I67" s="917">
        <f t="shared" si="12"/>
        <v>0</v>
      </c>
      <c r="J67" s="917">
        <f t="shared" si="12"/>
        <v>0</v>
      </c>
      <c r="K67" s="917">
        <f t="shared" si="12"/>
        <v>0</v>
      </c>
      <c r="L67" s="917">
        <f t="shared" si="12"/>
        <v>0</v>
      </c>
      <c r="M67" s="917">
        <f t="shared" si="12"/>
        <v>0</v>
      </c>
      <c r="N67" s="917">
        <f t="shared" si="12"/>
        <v>0</v>
      </c>
      <c r="O67" s="917">
        <f t="shared" si="12"/>
        <v>8788720.9820975214</v>
      </c>
      <c r="P67" s="917">
        <f t="shared" si="12"/>
        <v>0</v>
      </c>
      <c r="Q67" s="917">
        <f t="shared" si="12"/>
        <v>0</v>
      </c>
      <c r="R67" s="917">
        <f t="shared" si="12"/>
        <v>0</v>
      </c>
      <c r="S67" s="917">
        <f t="shared" si="12"/>
        <v>0</v>
      </c>
      <c r="T67" s="917">
        <f t="shared" si="12"/>
        <v>0</v>
      </c>
      <c r="U67" s="917">
        <f t="shared" si="12"/>
        <v>0</v>
      </c>
      <c r="V67" s="917">
        <f t="shared" si="12"/>
        <v>1514468.0044087011</v>
      </c>
      <c r="W67" s="917">
        <f t="shared" si="12"/>
        <v>0</v>
      </c>
      <c r="X67" s="917">
        <f t="shared" si="12"/>
        <v>0</v>
      </c>
      <c r="Y67" s="917">
        <f t="shared" si="12"/>
        <v>1606844.3149861649</v>
      </c>
      <c r="Z67" s="917">
        <f t="shared" si="12"/>
        <v>0</v>
      </c>
      <c r="AA67" s="917">
        <f t="shared" si="12"/>
        <v>0</v>
      </c>
      <c r="AB67" s="917">
        <f t="shared" si="12"/>
        <v>1514468.0044087011</v>
      </c>
      <c r="AC67" s="917">
        <f t="shared" si="12"/>
        <v>0</v>
      </c>
      <c r="AD67" s="917">
        <f t="shared" si="12"/>
        <v>0</v>
      </c>
      <c r="AE67" s="917">
        <f t="shared" si="12"/>
        <v>0</v>
      </c>
      <c r="AF67" s="917">
        <f t="shared" si="12"/>
        <v>0</v>
      </c>
      <c r="AG67" s="917">
        <f t="shared" si="12"/>
        <v>0</v>
      </c>
      <c r="AH67" s="917">
        <f t="shared" si="12"/>
        <v>1514468.0044087011</v>
      </c>
      <c r="AI67" s="917">
        <f t="shared" si="12"/>
        <v>0</v>
      </c>
      <c r="AJ67" s="917">
        <f t="shared" si="12"/>
        <v>0</v>
      </c>
      <c r="AK67" s="917">
        <f t="shared" si="12"/>
        <v>0</v>
      </c>
      <c r="AL67" s="917">
        <f t="shared" si="12"/>
        <v>0</v>
      </c>
      <c r="AM67" s="917">
        <f t="shared" si="12"/>
        <v>0</v>
      </c>
    </row>
    <row r="68" spans="3:40" x14ac:dyDescent="0.35">
      <c r="C68" s="915" t="s">
        <v>7</v>
      </c>
      <c r="D68" s="811">
        <f t="shared" si="7"/>
        <v>1765088.7589767522</v>
      </c>
      <c r="E68" s="917">
        <f t="shared" ref="E68:AM68" si="13">E57*$E$81</f>
        <v>131207.71348819041</v>
      </c>
      <c r="F68" s="917">
        <f t="shared" si="13"/>
        <v>81383.580723062521</v>
      </c>
      <c r="G68" s="917">
        <f t="shared" si="13"/>
        <v>208983.42986407044</v>
      </c>
      <c r="H68" s="917">
        <f t="shared" si="13"/>
        <v>123664.67750249921</v>
      </c>
      <c r="I68" s="917">
        <f t="shared" si="13"/>
        <v>0</v>
      </c>
      <c r="J68" s="917">
        <f t="shared" si="13"/>
        <v>0</v>
      </c>
      <c r="K68" s="917">
        <f t="shared" si="13"/>
        <v>0</v>
      </c>
      <c r="L68" s="917">
        <f t="shared" si="13"/>
        <v>0</v>
      </c>
      <c r="M68" s="917">
        <f t="shared" si="13"/>
        <v>0</v>
      </c>
      <c r="N68" s="917">
        <f t="shared" si="13"/>
        <v>0</v>
      </c>
      <c r="O68" s="917">
        <f t="shared" si="13"/>
        <v>717647.61140324152</v>
      </c>
      <c r="P68" s="917">
        <f t="shared" si="13"/>
        <v>0</v>
      </c>
      <c r="Q68" s="917">
        <f t="shared" si="13"/>
        <v>0</v>
      </c>
      <c r="R68" s="917">
        <f t="shared" si="13"/>
        <v>0</v>
      </c>
      <c r="S68" s="917">
        <f t="shared" si="13"/>
        <v>0</v>
      </c>
      <c r="T68" s="917">
        <f t="shared" si="13"/>
        <v>0</v>
      </c>
      <c r="U68" s="917">
        <f t="shared" si="13"/>
        <v>0</v>
      </c>
      <c r="V68" s="917">
        <f t="shared" si="13"/>
        <v>123664.67750249921</v>
      </c>
      <c r="W68" s="917">
        <f t="shared" si="13"/>
        <v>0</v>
      </c>
      <c r="X68" s="917">
        <f t="shared" si="13"/>
        <v>0</v>
      </c>
      <c r="Y68" s="917">
        <f t="shared" si="13"/>
        <v>131207.71348819041</v>
      </c>
      <c r="Z68" s="917">
        <f t="shared" si="13"/>
        <v>0</v>
      </c>
      <c r="AA68" s="917">
        <f t="shared" si="13"/>
        <v>0</v>
      </c>
      <c r="AB68" s="917">
        <f t="shared" si="13"/>
        <v>123664.67750249921</v>
      </c>
      <c r="AC68" s="917">
        <f t="shared" si="13"/>
        <v>0</v>
      </c>
      <c r="AD68" s="917">
        <f t="shared" si="13"/>
        <v>0</v>
      </c>
      <c r="AE68" s="917">
        <f t="shared" si="13"/>
        <v>0</v>
      </c>
      <c r="AF68" s="917">
        <f t="shared" si="13"/>
        <v>0</v>
      </c>
      <c r="AG68" s="917">
        <f t="shared" si="13"/>
        <v>0</v>
      </c>
      <c r="AH68" s="917">
        <f t="shared" si="13"/>
        <v>123664.67750249921</v>
      </c>
      <c r="AI68" s="917">
        <f t="shared" si="13"/>
        <v>0</v>
      </c>
      <c r="AJ68" s="917">
        <f t="shared" si="13"/>
        <v>0</v>
      </c>
      <c r="AK68" s="917">
        <f t="shared" si="13"/>
        <v>0</v>
      </c>
      <c r="AL68" s="917">
        <f t="shared" si="13"/>
        <v>0</v>
      </c>
      <c r="AM68" s="917">
        <f t="shared" si="13"/>
        <v>0</v>
      </c>
    </row>
    <row r="69" spans="3:40" x14ac:dyDescent="0.35">
      <c r="C69" s="915" t="s">
        <v>8</v>
      </c>
      <c r="D69" s="811">
        <f t="shared" si="7"/>
        <v>1608087.9802535062</v>
      </c>
      <c r="E69" s="917">
        <f t="shared" ref="E69:AM69" si="14">E57*$E$82</f>
        <v>119537.07478099904</v>
      </c>
      <c r="F69" s="917">
        <f t="shared" si="14"/>
        <v>74144.689486672709</v>
      </c>
      <c r="G69" s="917">
        <f t="shared" si="14"/>
        <v>190394.81155122438</v>
      </c>
      <c r="H69" s="917">
        <f t="shared" si="14"/>
        <v>112664.97532338221</v>
      </c>
      <c r="I69" s="917">
        <f t="shared" si="14"/>
        <v>0</v>
      </c>
      <c r="J69" s="917">
        <f t="shared" si="14"/>
        <v>0</v>
      </c>
      <c r="K69" s="917">
        <f t="shared" si="14"/>
        <v>0</v>
      </c>
      <c r="L69" s="917">
        <f t="shared" si="14"/>
        <v>0</v>
      </c>
      <c r="M69" s="917">
        <f t="shared" si="14"/>
        <v>0</v>
      </c>
      <c r="N69" s="917">
        <f t="shared" si="14"/>
        <v>0</v>
      </c>
      <c r="O69" s="917">
        <f t="shared" si="14"/>
        <v>653814.42836008186</v>
      </c>
      <c r="P69" s="917">
        <f t="shared" si="14"/>
        <v>0</v>
      </c>
      <c r="Q69" s="917">
        <f t="shared" si="14"/>
        <v>0</v>
      </c>
      <c r="R69" s="917">
        <f t="shared" si="14"/>
        <v>0</v>
      </c>
      <c r="S69" s="917">
        <f t="shared" si="14"/>
        <v>0</v>
      </c>
      <c r="T69" s="917">
        <f t="shared" si="14"/>
        <v>0</v>
      </c>
      <c r="U69" s="917">
        <f t="shared" si="14"/>
        <v>0</v>
      </c>
      <c r="V69" s="917">
        <f t="shared" si="14"/>
        <v>112664.97532338221</v>
      </c>
      <c r="W69" s="917">
        <f t="shared" si="14"/>
        <v>0</v>
      </c>
      <c r="X69" s="917">
        <f t="shared" si="14"/>
        <v>0</v>
      </c>
      <c r="Y69" s="917">
        <f t="shared" si="14"/>
        <v>119537.07478099904</v>
      </c>
      <c r="Z69" s="917">
        <f t="shared" si="14"/>
        <v>0</v>
      </c>
      <c r="AA69" s="917">
        <f t="shared" si="14"/>
        <v>0</v>
      </c>
      <c r="AB69" s="917">
        <f t="shared" si="14"/>
        <v>112664.97532338221</v>
      </c>
      <c r="AC69" s="917">
        <f t="shared" si="14"/>
        <v>0</v>
      </c>
      <c r="AD69" s="917">
        <f t="shared" si="14"/>
        <v>0</v>
      </c>
      <c r="AE69" s="917">
        <f t="shared" si="14"/>
        <v>0</v>
      </c>
      <c r="AF69" s="917">
        <f t="shared" si="14"/>
        <v>0</v>
      </c>
      <c r="AG69" s="917">
        <f t="shared" si="14"/>
        <v>0</v>
      </c>
      <c r="AH69" s="917">
        <f t="shared" si="14"/>
        <v>112664.97532338221</v>
      </c>
      <c r="AI69" s="917">
        <f t="shared" si="14"/>
        <v>0</v>
      </c>
      <c r="AJ69" s="917">
        <f t="shared" si="14"/>
        <v>0</v>
      </c>
      <c r="AK69" s="917">
        <f t="shared" si="14"/>
        <v>0</v>
      </c>
      <c r="AL69" s="917">
        <f t="shared" si="14"/>
        <v>0</v>
      </c>
      <c r="AM69" s="917">
        <f t="shared" si="14"/>
        <v>0</v>
      </c>
    </row>
    <row r="70" spans="3:40" x14ac:dyDescent="0.35">
      <c r="C70" s="915" t="s">
        <v>9</v>
      </c>
      <c r="D70" s="811">
        <f t="shared" si="7"/>
        <v>1319491.1626069446</v>
      </c>
      <c r="E70" s="917">
        <f t="shared" ref="E70:AM70" si="15">E57*$E$83</f>
        <v>98084.256405267544</v>
      </c>
      <c r="F70" s="917">
        <f t="shared" si="15"/>
        <v>60838.252467055827</v>
      </c>
      <c r="G70" s="917">
        <f t="shared" si="15"/>
        <v>156225.45179925484</v>
      </c>
      <c r="H70" s="917">
        <f t="shared" si="15"/>
        <v>92445.463867652841</v>
      </c>
      <c r="I70" s="917">
        <f t="shared" si="15"/>
        <v>0</v>
      </c>
      <c r="J70" s="917">
        <f t="shared" si="15"/>
        <v>0</v>
      </c>
      <c r="K70" s="917">
        <f t="shared" si="15"/>
        <v>0</v>
      </c>
      <c r="L70" s="917">
        <f t="shared" si="15"/>
        <v>0</v>
      </c>
      <c r="M70" s="917">
        <f t="shared" si="15"/>
        <v>0</v>
      </c>
      <c r="N70" s="917">
        <f t="shared" si="15"/>
        <v>0</v>
      </c>
      <c r="O70" s="917">
        <f t="shared" si="15"/>
        <v>536477.09005948738</v>
      </c>
      <c r="P70" s="917">
        <f t="shared" si="15"/>
        <v>0</v>
      </c>
      <c r="Q70" s="917">
        <f t="shared" si="15"/>
        <v>0</v>
      </c>
      <c r="R70" s="917">
        <f t="shared" si="15"/>
        <v>0</v>
      </c>
      <c r="S70" s="917">
        <f t="shared" si="15"/>
        <v>0</v>
      </c>
      <c r="T70" s="917">
        <f t="shared" si="15"/>
        <v>0</v>
      </c>
      <c r="U70" s="917">
        <f t="shared" si="15"/>
        <v>0</v>
      </c>
      <c r="V70" s="917">
        <f t="shared" si="15"/>
        <v>92445.463867652841</v>
      </c>
      <c r="W70" s="917">
        <f t="shared" si="15"/>
        <v>0</v>
      </c>
      <c r="X70" s="917">
        <f t="shared" si="15"/>
        <v>0</v>
      </c>
      <c r="Y70" s="917">
        <f t="shared" si="15"/>
        <v>98084.256405267544</v>
      </c>
      <c r="Z70" s="917">
        <f t="shared" si="15"/>
        <v>0</v>
      </c>
      <c r="AA70" s="917">
        <f t="shared" si="15"/>
        <v>0</v>
      </c>
      <c r="AB70" s="917">
        <f t="shared" si="15"/>
        <v>92445.463867652841</v>
      </c>
      <c r="AC70" s="917">
        <f t="shared" si="15"/>
        <v>0</v>
      </c>
      <c r="AD70" s="917">
        <f t="shared" si="15"/>
        <v>0</v>
      </c>
      <c r="AE70" s="917">
        <f t="shared" si="15"/>
        <v>0</v>
      </c>
      <c r="AF70" s="917">
        <f t="shared" si="15"/>
        <v>0</v>
      </c>
      <c r="AG70" s="917">
        <f t="shared" si="15"/>
        <v>0</v>
      </c>
      <c r="AH70" s="917">
        <f t="shared" si="15"/>
        <v>92445.463867652841</v>
      </c>
      <c r="AI70" s="917">
        <f t="shared" si="15"/>
        <v>0</v>
      </c>
      <c r="AJ70" s="917">
        <f t="shared" si="15"/>
        <v>0</v>
      </c>
      <c r="AK70" s="917">
        <f t="shared" si="15"/>
        <v>0</v>
      </c>
      <c r="AL70" s="917">
        <f t="shared" si="15"/>
        <v>0</v>
      </c>
      <c r="AM70" s="917">
        <f t="shared" si="15"/>
        <v>0</v>
      </c>
    </row>
    <row r="71" spans="3:40" x14ac:dyDescent="0.35">
      <c r="C71" s="800" t="s">
        <v>455</v>
      </c>
      <c r="D71" s="801">
        <f t="shared" ref="D71:AM71" si="16">SUM(D62:D70)</f>
        <v>32532767.850000005</v>
      </c>
      <c r="E71" s="801">
        <f t="shared" si="16"/>
        <v>2418320.36</v>
      </c>
      <c r="F71" s="801">
        <f t="shared" si="16"/>
        <v>1500000</v>
      </c>
      <c r="G71" s="801">
        <f t="shared" si="16"/>
        <v>3851822.9600000004</v>
      </c>
      <c r="H71" s="801">
        <f t="shared" si="16"/>
        <v>2279292.8819999998</v>
      </c>
      <c r="I71" s="801">
        <f t="shared" si="16"/>
        <v>0</v>
      </c>
      <c r="J71" s="801">
        <f t="shared" si="16"/>
        <v>0</v>
      </c>
      <c r="K71" s="801">
        <f t="shared" si="16"/>
        <v>0</v>
      </c>
      <c r="L71" s="801">
        <f t="shared" si="16"/>
        <v>0</v>
      </c>
      <c r="M71" s="801">
        <f t="shared" si="16"/>
        <v>0</v>
      </c>
      <c r="N71" s="801">
        <f t="shared" si="16"/>
        <v>0</v>
      </c>
      <c r="O71" s="801">
        <f t="shared" si="16"/>
        <v>13227132.641999999</v>
      </c>
      <c r="P71" s="801">
        <f t="shared" si="16"/>
        <v>0</v>
      </c>
      <c r="Q71" s="801">
        <f t="shared" si="16"/>
        <v>0</v>
      </c>
      <c r="R71" s="801">
        <f t="shared" si="16"/>
        <v>0</v>
      </c>
      <c r="S71" s="801">
        <f t="shared" si="16"/>
        <v>0</v>
      </c>
      <c r="T71" s="801">
        <f t="shared" si="16"/>
        <v>0</v>
      </c>
      <c r="U71" s="801">
        <f t="shared" si="16"/>
        <v>0</v>
      </c>
      <c r="V71" s="801">
        <f t="shared" si="16"/>
        <v>2279292.8819999998</v>
      </c>
      <c r="W71" s="801">
        <f t="shared" si="16"/>
        <v>0</v>
      </c>
      <c r="X71" s="801">
        <f t="shared" si="16"/>
        <v>0</v>
      </c>
      <c r="Y71" s="801">
        <f t="shared" si="16"/>
        <v>2418320.36</v>
      </c>
      <c r="Z71" s="801">
        <f t="shared" si="16"/>
        <v>0</v>
      </c>
      <c r="AA71" s="801">
        <f t="shared" si="16"/>
        <v>0</v>
      </c>
      <c r="AB71" s="801">
        <f t="shared" si="16"/>
        <v>2279292.8819999998</v>
      </c>
      <c r="AC71" s="801">
        <f t="shared" si="16"/>
        <v>0</v>
      </c>
      <c r="AD71" s="801">
        <f t="shared" si="16"/>
        <v>0</v>
      </c>
      <c r="AE71" s="801">
        <f t="shared" si="16"/>
        <v>0</v>
      </c>
      <c r="AF71" s="801">
        <f t="shared" si="16"/>
        <v>0</v>
      </c>
      <c r="AG71" s="801">
        <f t="shared" si="16"/>
        <v>0</v>
      </c>
      <c r="AH71" s="801">
        <f t="shared" si="16"/>
        <v>2279292.8819999998</v>
      </c>
      <c r="AI71" s="801">
        <f t="shared" si="16"/>
        <v>0</v>
      </c>
      <c r="AJ71" s="801">
        <f t="shared" si="16"/>
        <v>0</v>
      </c>
      <c r="AK71" s="801">
        <f t="shared" si="16"/>
        <v>0</v>
      </c>
      <c r="AL71" s="801">
        <f t="shared" si="16"/>
        <v>0</v>
      </c>
      <c r="AM71" s="801">
        <f t="shared" si="16"/>
        <v>0</v>
      </c>
    </row>
    <row r="72" spans="3:40" x14ac:dyDescent="0.35">
      <c r="C72" s="280"/>
      <c r="D72" s="280"/>
      <c r="E72" s="527"/>
      <c r="F72" s="527"/>
      <c r="G72" s="527"/>
      <c r="H72" s="527"/>
      <c r="I72" s="527"/>
      <c r="J72" s="527"/>
      <c r="K72" s="527"/>
      <c r="L72" s="527"/>
      <c r="M72" s="527"/>
      <c r="N72" s="527"/>
      <c r="O72" s="527"/>
      <c r="P72" s="527"/>
      <c r="Q72" s="527"/>
      <c r="R72" s="527"/>
      <c r="S72" s="527"/>
      <c r="T72" s="527"/>
      <c r="U72" s="527"/>
      <c r="V72" s="527"/>
      <c r="W72" s="527"/>
      <c r="X72" s="527"/>
      <c r="Y72" s="527"/>
      <c r="Z72" s="527"/>
      <c r="AA72" s="527"/>
      <c r="AB72" s="527"/>
      <c r="AC72" s="527"/>
      <c r="AD72" s="527"/>
      <c r="AE72" s="527"/>
      <c r="AF72" s="527"/>
      <c r="AG72" s="527"/>
      <c r="AH72" s="527"/>
      <c r="AI72" s="527"/>
      <c r="AJ72" s="527"/>
      <c r="AK72" s="527"/>
      <c r="AL72" s="527"/>
      <c r="AM72" s="527"/>
      <c r="AN72" s="527"/>
    </row>
    <row r="73" spans="3:40" x14ac:dyDescent="0.35">
      <c r="C73" s="77" t="s">
        <v>839</v>
      </c>
    </row>
    <row r="74" spans="3:40" x14ac:dyDescent="0.35">
      <c r="C74" s="862" t="s">
        <v>68</v>
      </c>
      <c r="D74" s="892"/>
      <c r="E74" s="802" t="s">
        <v>176</v>
      </c>
      <c r="F74" s="246"/>
      <c r="G74" s="1014"/>
      <c r="H74" s="1014"/>
      <c r="I74" s="1014"/>
      <c r="J74" s="1014"/>
      <c r="K74" s="1014"/>
      <c r="L74" s="1014"/>
      <c r="M74" s="1014"/>
      <c r="N74" s="1014"/>
      <c r="O74" s="1014"/>
      <c r="P74" s="1014"/>
      <c r="Q74" s="1014"/>
      <c r="R74" s="1014"/>
      <c r="S74" s="1014"/>
      <c r="T74" s="1014"/>
      <c r="U74" s="1014"/>
      <c r="V74" s="1014"/>
      <c r="W74" s="1014"/>
      <c r="X74" s="1014"/>
      <c r="Y74" s="1014"/>
      <c r="Z74" s="1014"/>
      <c r="AA74" s="1014"/>
      <c r="AB74" s="1014"/>
      <c r="AC74" s="1014"/>
      <c r="AD74" s="1014"/>
      <c r="AE74" s="1014"/>
      <c r="AF74" s="1014"/>
      <c r="AG74" s="1014"/>
      <c r="AH74" s="1014"/>
      <c r="AI74" s="1014"/>
      <c r="AJ74" s="1014"/>
      <c r="AK74" s="1014"/>
      <c r="AL74" s="1014"/>
      <c r="AM74" s="1014"/>
      <c r="AN74" s="1014"/>
    </row>
    <row r="75" spans="3:40" x14ac:dyDescent="0.35">
      <c r="C75" s="895" t="s">
        <v>1</v>
      </c>
      <c r="D75" s="896"/>
      <c r="E75" s="1067">
        <f>'Premissas Gerais'!G165</f>
        <v>6.8271733926195486E-3</v>
      </c>
      <c r="F75" s="246"/>
      <c r="G75" s="1034"/>
      <c r="H75" s="1034"/>
      <c r="I75" s="1034"/>
      <c r="J75" s="1034"/>
      <c r="K75" s="1034"/>
      <c r="L75" s="1034"/>
      <c r="M75" s="1034"/>
      <c r="N75" s="1034"/>
      <c r="O75" s="1034"/>
      <c r="P75" s="1034"/>
      <c r="Q75" s="1034"/>
      <c r="R75" s="1034"/>
      <c r="S75" s="1034"/>
      <c r="T75" s="1034"/>
      <c r="U75" s="1034"/>
      <c r="V75" s="1034"/>
      <c r="W75" s="1034"/>
      <c r="X75" s="1034"/>
      <c r="Y75" s="1034"/>
      <c r="Z75" s="1034"/>
      <c r="AA75" s="1034"/>
      <c r="AB75" s="1034"/>
      <c r="AC75" s="1034"/>
      <c r="AD75" s="1034"/>
      <c r="AE75" s="1034"/>
      <c r="AF75" s="1034"/>
      <c r="AG75" s="1034"/>
      <c r="AH75" s="1034"/>
      <c r="AI75" s="1034"/>
      <c r="AJ75" s="1034"/>
      <c r="AK75" s="1034"/>
      <c r="AL75" s="1034"/>
      <c r="AM75" s="1034"/>
      <c r="AN75" s="1034"/>
    </row>
    <row r="76" spans="3:40" x14ac:dyDescent="0.35">
      <c r="C76" s="898" t="s">
        <v>2</v>
      </c>
      <c r="D76" s="899"/>
      <c r="E76" s="1068">
        <f>'Premissas Gerais'!G166</f>
        <v>8.6463706442174645E-2</v>
      </c>
      <c r="F76" s="246"/>
      <c r="G76" s="1034"/>
      <c r="H76" s="1034"/>
      <c r="I76" s="1034"/>
      <c r="J76" s="1034"/>
      <c r="K76" s="1034"/>
      <c r="L76" s="1034"/>
      <c r="M76" s="1034"/>
      <c r="N76" s="1034"/>
      <c r="O76" s="1034"/>
      <c r="P76" s="1034"/>
      <c r="Q76" s="1034"/>
      <c r="R76" s="1034"/>
      <c r="S76" s="1034"/>
      <c r="T76" s="1034"/>
      <c r="U76" s="1034"/>
      <c r="V76" s="1034"/>
      <c r="W76" s="1034"/>
      <c r="X76" s="1034"/>
      <c r="Y76" s="1034"/>
      <c r="Z76" s="1034"/>
      <c r="AA76" s="1034"/>
      <c r="AB76" s="1034"/>
      <c r="AC76" s="1034"/>
      <c r="AD76" s="1034"/>
      <c r="AE76" s="1034"/>
      <c r="AF76" s="1034"/>
      <c r="AG76" s="1034"/>
      <c r="AH76" s="1034"/>
      <c r="AI76" s="1034"/>
      <c r="AJ76" s="1034"/>
      <c r="AK76" s="1034"/>
      <c r="AL76" s="1034"/>
      <c r="AM76" s="1034"/>
      <c r="AN76" s="1034"/>
    </row>
    <row r="77" spans="3:40" x14ac:dyDescent="0.35">
      <c r="C77" s="898" t="s">
        <v>3</v>
      </c>
      <c r="D77" s="899"/>
      <c r="E77" s="1068">
        <f>'Premissas Gerais'!G167</f>
        <v>1.0357808135649236E-2</v>
      </c>
      <c r="F77" s="246"/>
      <c r="G77" s="1034"/>
      <c r="H77" s="1034"/>
      <c r="I77" s="1034"/>
      <c r="J77" s="1034"/>
      <c r="K77" s="1034"/>
      <c r="L77" s="1034"/>
      <c r="M77" s="1034"/>
      <c r="N77" s="1034"/>
      <c r="O77" s="1034"/>
      <c r="P77" s="1034"/>
      <c r="Q77" s="1034"/>
      <c r="R77" s="1034"/>
      <c r="S77" s="1034"/>
      <c r="T77" s="1034"/>
      <c r="U77" s="1034"/>
      <c r="V77" s="1034"/>
      <c r="W77" s="1034"/>
      <c r="X77" s="1034"/>
      <c r="Y77" s="1034"/>
      <c r="Z77" s="1034"/>
      <c r="AA77" s="1034"/>
      <c r="AB77" s="1034"/>
      <c r="AC77" s="1034"/>
      <c r="AD77" s="1034"/>
      <c r="AE77" s="1034"/>
      <c r="AF77" s="1034"/>
      <c r="AG77" s="1034"/>
      <c r="AH77" s="1034"/>
      <c r="AI77" s="1034"/>
      <c r="AJ77" s="1034"/>
      <c r="AK77" s="1034"/>
      <c r="AL77" s="1034"/>
      <c r="AM77" s="1034"/>
      <c r="AN77" s="1034"/>
    </row>
    <row r="78" spans="3:40" x14ac:dyDescent="0.35">
      <c r="C78" s="898" t="s">
        <v>4</v>
      </c>
      <c r="D78" s="899"/>
      <c r="E78" s="1068">
        <f>'Premissas Gerais'!G168</f>
        <v>2.7637330894877687E-2</v>
      </c>
      <c r="F78" s="246"/>
      <c r="G78" s="1034"/>
      <c r="H78" s="1034"/>
      <c r="I78" s="1034"/>
      <c r="J78" s="1034"/>
      <c r="K78" s="1034"/>
      <c r="L78" s="1034"/>
      <c r="M78" s="1034"/>
      <c r="N78" s="1034"/>
      <c r="O78" s="1034"/>
      <c r="P78" s="1034"/>
      <c r="Q78" s="1034"/>
      <c r="R78" s="1034"/>
      <c r="S78" s="1034"/>
      <c r="T78" s="1034"/>
      <c r="U78" s="1034"/>
      <c r="V78" s="1034"/>
      <c r="W78" s="1034"/>
      <c r="X78" s="1034"/>
      <c r="Y78" s="1034"/>
      <c r="Z78" s="1034"/>
      <c r="AA78" s="1034"/>
      <c r="AB78" s="1034"/>
      <c r="AC78" s="1034"/>
      <c r="AD78" s="1034"/>
      <c r="AE78" s="1034"/>
      <c r="AF78" s="1034"/>
      <c r="AG78" s="1034"/>
      <c r="AH78" s="1034"/>
      <c r="AI78" s="1034"/>
      <c r="AJ78" s="1034"/>
      <c r="AK78" s="1034"/>
      <c r="AL78" s="1034"/>
      <c r="AM78" s="1034"/>
      <c r="AN78" s="1034"/>
    </row>
    <row r="79" spans="3:40" x14ac:dyDescent="0.35">
      <c r="C79" s="898" t="s">
        <v>5</v>
      </c>
      <c r="D79" s="899"/>
      <c r="E79" s="1068">
        <f>'Premissas Gerais'!G169</f>
        <v>6.0023208808459072E-2</v>
      </c>
      <c r="F79" s="246"/>
      <c r="G79" s="1034"/>
      <c r="H79" s="1034"/>
      <c r="I79" s="1034"/>
      <c r="J79" s="1034"/>
      <c r="K79" s="1034"/>
      <c r="L79" s="1034"/>
      <c r="M79" s="1034"/>
      <c r="N79" s="1034"/>
      <c r="O79" s="1034"/>
      <c r="P79" s="1034"/>
      <c r="Q79" s="1034"/>
      <c r="R79" s="1034"/>
      <c r="S79" s="1034"/>
      <c r="T79" s="1034"/>
      <c r="U79" s="1034"/>
      <c r="V79" s="1034"/>
      <c r="W79" s="1034"/>
      <c r="X79" s="1034"/>
      <c r="Y79" s="1034"/>
      <c r="Z79" s="1034"/>
      <c r="AA79" s="1034"/>
      <c r="AB79" s="1034"/>
      <c r="AC79" s="1034"/>
      <c r="AD79" s="1034"/>
      <c r="AE79" s="1034"/>
      <c r="AF79" s="1034"/>
      <c r="AG79" s="1034"/>
      <c r="AH79" s="1034"/>
      <c r="AI79" s="1034"/>
      <c r="AJ79" s="1034"/>
      <c r="AK79" s="1034"/>
      <c r="AL79" s="1034"/>
      <c r="AM79" s="1034"/>
      <c r="AN79" s="1034"/>
    </row>
    <row r="80" spans="3:40" x14ac:dyDescent="0.35">
      <c r="C80" s="898" t="s">
        <v>6</v>
      </c>
      <c r="D80" s="899"/>
      <c r="E80" s="1068">
        <f>'Premissas Gerais'!G170</f>
        <v>0.66444642387502584</v>
      </c>
      <c r="F80" s="246"/>
      <c r="G80" s="1034"/>
      <c r="H80" s="1034"/>
      <c r="I80" s="1034"/>
      <c r="J80" s="1034"/>
      <c r="K80" s="1034"/>
      <c r="L80" s="1034"/>
      <c r="M80" s="1034"/>
      <c r="N80" s="1034"/>
      <c r="O80" s="1034"/>
      <c r="P80" s="1034"/>
      <c r="Q80" s="1034"/>
      <c r="R80" s="1034"/>
      <c r="S80" s="1034"/>
      <c r="T80" s="1034"/>
      <c r="U80" s="1034"/>
      <c r="V80" s="1034"/>
      <c r="W80" s="1034"/>
      <c r="X80" s="1034"/>
      <c r="Y80" s="1034"/>
      <c r="Z80" s="1034"/>
      <c r="AA80" s="1034"/>
      <c r="AB80" s="1034"/>
      <c r="AC80" s="1034"/>
      <c r="AD80" s="1034"/>
      <c r="AE80" s="1034"/>
      <c r="AF80" s="1034"/>
      <c r="AG80" s="1034"/>
      <c r="AH80" s="1034"/>
      <c r="AI80" s="1034"/>
      <c r="AJ80" s="1034"/>
      <c r="AK80" s="1034"/>
      <c r="AL80" s="1034"/>
      <c r="AM80" s="1034"/>
      <c r="AN80" s="1034"/>
    </row>
    <row r="81" spans="3:40" x14ac:dyDescent="0.35">
      <c r="C81" s="898" t="s">
        <v>7</v>
      </c>
      <c r="D81" s="899"/>
      <c r="E81" s="1068">
        <f>'Premissas Gerais'!G171</f>
        <v>5.4255720482041685E-2</v>
      </c>
      <c r="F81" s="246"/>
      <c r="G81" s="1034"/>
      <c r="H81" s="1034"/>
      <c r="I81" s="1034"/>
      <c r="J81" s="1034"/>
      <c r="K81" s="1034"/>
      <c r="L81" s="1034"/>
      <c r="M81" s="1034"/>
      <c r="N81" s="1034"/>
      <c r="O81" s="1034"/>
      <c r="P81" s="1034"/>
      <c r="Q81" s="1034"/>
      <c r="R81" s="1034"/>
      <c r="S81" s="1034"/>
      <c r="T81" s="1034"/>
      <c r="U81" s="1034"/>
      <c r="V81" s="1034"/>
      <c r="W81" s="1034"/>
      <c r="X81" s="1034"/>
      <c r="Y81" s="1034"/>
      <c r="Z81" s="1034"/>
      <c r="AA81" s="1034"/>
      <c r="AB81" s="1034"/>
      <c r="AC81" s="1034"/>
      <c r="AD81" s="1034"/>
      <c r="AE81" s="1034"/>
      <c r="AF81" s="1034"/>
      <c r="AG81" s="1034"/>
      <c r="AH81" s="1034"/>
      <c r="AI81" s="1034"/>
      <c r="AJ81" s="1034"/>
      <c r="AK81" s="1034"/>
      <c r="AL81" s="1034"/>
      <c r="AM81" s="1034"/>
      <c r="AN81" s="1034"/>
    </row>
    <row r="82" spans="3:40" x14ac:dyDescent="0.35">
      <c r="C82" s="898" t="s">
        <v>8</v>
      </c>
      <c r="D82" s="899"/>
      <c r="E82" s="1068">
        <f>'Premissas Gerais'!G172</f>
        <v>4.9429792991115142E-2</v>
      </c>
      <c r="F82" s="246"/>
      <c r="G82" s="1034"/>
      <c r="H82" s="1034"/>
      <c r="I82" s="1034"/>
      <c r="J82" s="1034"/>
      <c r="K82" s="1034"/>
      <c r="L82" s="1034"/>
      <c r="M82" s="1034"/>
      <c r="N82" s="1034"/>
      <c r="O82" s="1034"/>
      <c r="P82" s="1034"/>
      <c r="Q82" s="1034"/>
      <c r="R82" s="1034"/>
      <c r="S82" s="1034"/>
      <c r="T82" s="1034"/>
      <c r="U82" s="1034"/>
      <c r="V82" s="1034"/>
      <c r="W82" s="1034"/>
      <c r="X82" s="1034"/>
      <c r="Y82" s="1034"/>
      <c r="Z82" s="1034"/>
      <c r="AA82" s="1034"/>
      <c r="AB82" s="1034"/>
      <c r="AC82" s="1034"/>
      <c r="AD82" s="1034"/>
      <c r="AE82" s="1034"/>
      <c r="AF82" s="1034"/>
      <c r="AG82" s="1034"/>
      <c r="AH82" s="1034"/>
      <c r="AI82" s="1034"/>
      <c r="AJ82" s="1034"/>
      <c r="AK82" s="1034"/>
      <c r="AL82" s="1034"/>
      <c r="AM82" s="1034"/>
      <c r="AN82" s="1034"/>
    </row>
    <row r="83" spans="3:40" x14ac:dyDescent="0.35">
      <c r="C83" s="898" t="s">
        <v>9</v>
      </c>
      <c r="D83" s="899"/>
      <c r="E83" s="1068">
        <f>'Premissas Gerais'!G173</f>
        <v>4.0558834978037216E-2</v>
      </c>
      <c r="F83" s="246"/>
      <c r="G83" s="1034"/>
      <c r="H83" s="1034"/>
      <c r="I83" s="1034"/>
      <c r="J83" s="1034"/>
      <c r="K83" s="1034"/>
      <c r="L83" s="1034"/>
      <c r="M83" s="1034"/>
      <c r="N83" s="1034"/>
      <c r="O83" s="1034"/>
      <c r="P83" s="1034"/>
      <c r="Q83" s="1034"/>
      <c r="R83" s="1034"/>
      <c r="S83" s="1034"/>
      <c r="T83" s="1034"/>
      <c r="U83" s="1034"/>
      <c r="V83" s="1034"/>
      <c r="W83" s="1034"/>
      <c r="X83" s="1034"/>
      <c r="Y83" s="1034"/>
      <c r="Z83" s="1034"/>
      <c r="AA83" s="1034"/>
      <c r="AB83" s="1034"/>
      <c r="AC83" s="1034"/>
      <c r="AD83" s="1034"/>
      <c r="AE83" s="1034"/>
      <c r="AF83" s="1034"/>
      <c r="AG83" s="1034"/>
      <c r="AH83" s="1034"/>
      <c r="AI83" s="1034"/>
      <c r="AJ83" s="1034"/>
      <c r="AK83" s="1034"/>
      <c r="AL83" s="1034"/>
      <c r="AM83" s="1034"/>
      <c r="AN83" s="1034"/>
    </row>
    <row r="84" spans="3:40" x14ac:dyDescent="0.35">
      <c r="C84" s="800" t="s">
        <v>455</v>
      </c>
      <c r="D84" s="893"/>
      <c r="E84" s="891">
        <f>SUM(E75:E83)</f>
        <v>1</v>
      </c>
      <c r="F84" s="246"/>
      <c r="G84" s="1035"/>
      <c r="H84" s="1035"/>
      <c r="I84" s="1035"/>
      <c r="J84" s="1035"/>
      <c r="K84" s="1035"/>
      <c r="L84" s="1035"/>
      <c r="M84" s="1035"/>
      <c r="N84" s="1035"/>
      <c r="O84" s="1035"/>
      <c r="P84" s="1035"/>
      <c r="Q84" s="1035"/>
      <c r="R84" s="1035"/>
      <c r="S84" s="1035"/>
      <c r="T84" s="1035"/>
      <c r="U84" s="1035"/>
      <c r="V84" s="1035"/>
      <c r="W84" s="1035"/>
      <c r="X84" s="1035"/>
      <c r="Y84" s="1035"/>
      <c r="Z84" s="1035"/>
      <c r="AA84" s="1035"/>
      <c r="AB84" s="1035"/>
      <c r="AC84" s="1035"/>
      <c r="AD84" s="1035"/>
      <c r="AE84" s="1035"/>
      <c r="AF84" s="1035"/>
      <c r="AG84" s="1035"/>
      <c r="AH84" s="1035"/>
      <c r="AI84" s="1035"/>
      <c r="AJ84" s="1035"/>
      <c r="AK84" s="1035"/>
      <c r="AL84" s="1035"/>
      <c r="AM84" s="1035"/>
      <c r="AN84" s="1035"/>
    </row>
  </sheetData>
  <sheetProtection algorithmName="SHA-512" hashValue="pJuC5g32wMpWwqRKqIKQyIqPRzLJ8nvhIcZalDrewNu45b3zwrOafkLBDBNmki0SudFOFKbZxeN1CyAxHAZDhw==" saltValue="42Et0ant/k4mltVT2B0k2Q==" spinCount="100000" sheet="1" objects="1" scenarios="1"/>
  <mergeCells count="5">
    <mergeCell ref="C40:E40"/>
    <mergeCell ref="C39:E39"/>
    <mergeCell ref="C36:E36"/>
    <mergeCell ref="C37:E37"/>
    <mergeCell ref="C38:E38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F9C5E2-6527-4E3A-891C-B92AFCB3D845}">
  <sheetPr codeName="Planilha24"/>
  <dimension ref="B2:AQ55"/>
  <sheetViews>
    <sheetView showGridLines="0" topLeftCell="A4" workbookViewId="0">
      <selection activeCell="F17" sqref="F17"/>
    </sheetView>
  </sheetViews>
  <sheetFormatPr defaultColWidth="8.81640625" defaultRowHeight="14.5" x14ac:dyDescent="0.35"/>
  <cols>
    <col min="1" max="1" width="3" customWidth="1"/>
    <col min="2" max="2" width="2.453125" customWidth="1"/>
    <col min="3" max="3" width="41.453125" bestFit="1" customWidth="1"/>
    <col min="4" max="4" width="13.36328125" style="65" bestFit="1" customWidth="1"/>
    <col min="5" max="5" width="15" bestFit="1" customWidth="1"/>
    <col min="6" max="6" width="13.81640625" bestFit="1" customWidth="1"/>
    <col min="7" max="7" width="15.36328125" bestFit="1" customWidth="1"/>
    <col min="8" max="8" width="14.36328125" bestFit="1" customWidth="1"/>
    <col min="9" max="34" width="13.36328125" bestFit="1" customWidth="1"/>
    <col min="35" max="37" width="10" bestFit="1" customWidth="1"/>
    <col min="38" max="39" width="7" bestFit="1" customWidth="1"/>
    <col min="40" max="40" width="5.81640625" bestFit="1" customWidth="1"/>
  </cols>
  <sheetData>
    <row r="2" spans="2:43" ht="21" x14ac:dyDescent="0.5">
      <c r="B2" s="98"/>
      <c r="C2" s="98" t="s">
        <v>865</v>
      </c>
      <c r="D2" s="236"/>
      <c r="E2" s="76"/>
      <c r="F2" s="76"/>
      <c r="G2" s="76"/>
      <c r="H2" s="76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</row>
    <row r="3" spans="2:43" ht="9" customHeight="1" x14ac:dyDescent="0.35"/>
    <row r="4" spans="2:43" ht="15" thickBot="1" x14ac:dyDescent="0.4">
      <c r="B4" s="549"/>
      <c r="C4" s="549"/>
      <c r="D4" s="851"/>
      <c r="E4" s="549"/>
      <c r="F4" s="549"/>
      <c r="G4" s="549"/>
      <c r="H4" s="549"/>
      <c r="I4" s="549"/>
    </row>
    <row r="5" spans="2:43" ht="15" thickBot="1" x14ac:dyDescent="0.4">
      <c r="B5" s="549"/>
      <c r="C5" s="1050"/>
      <c r="D5" s="1057" t="s">
        <v>866</v>
      </c>
      <c r="E5" s="1057" t="s">
        <v>867</v>
      </c>
      <c r="F5" s="1050" t="s">
        <v>868</v>
      </c>
      <c r="G5" s="1050" t="s">
        <v>869</v>
      </c>
      <c r="H5" s="1040"/>
      <c r="I5" s="1040"/>
      <c r="J5" s="1036"/>
      <c r="K5" s="1036"/>
      <c r="L5" s="1036"/>
      <c r="M5" s="1036"/>
      <c r="N5" s="1036"/>
      <c r="O5" s="1036"/>
      <c r="P5" s="1036"/>
      <c r="Q5" s="1036"/>
      <c r="R5" s="1036"/>
      <c r="S5" s="1036"/>
      <c r="T5" s="1036"/>
      <c r="U5" s="1036"/>
      <c r="V5" s="1036"/>
      <c r="W5" s="1036"/>
      <c r="X5" s="1036"/>
      <c r="Y5" s="1036"/>
      <c r="Z5" s="1036"/>
      <c r="AA5" s="1036"/>
      <c r="AB5" s="1036"/>
      <c r="AC5" s="1036"/>
      <c r="AD5" s="1036"/>
      <c r="AE5" s="1036"/>
      <c r="AF5" s="1036"/>
      <c r="AG5" s="1036"/>
      <c r="AH5" s="1036"/>
      <c r="AI5" s="1036"/>
      <c r="AJ5" s="1036"/>
      <c r="AK5" s="1036"/>
      <c r="AL5" s="1036"/>
      <c r="AM5" s="1036"/>
      <c r="AN5" s="1036"/>
      <c r="AO5" s="1036"/>
      <c r="AP5" s="1036"/>
    </row>
    <row r="6" spans="2:43" ht="15" thickBot="1" x14ac:dyDescent="0.4">
      <c r="B6" s="549"/>
      <c r="C6" s="1059" t="s">
        <v>870</v>
      </c>
      <c r="D6" s="1060"/>
      <c r="E6" s="1060"/>
      <c r="F6" s="1060"/>
      <c r="G6" s="1061"/>
      <c r="H6" s="1041"/>
      <c r="I6" s="1041"/>
      <c r="J6" s="1037"/>
      <c r="K6" s="1037"/>
      <c r="L6" s="1037"/>
      <c r="M6" s="1037"/>
      <c r="N6" s="1037"/>
      <c r="O6" s="1037"/>
      <c r="P6" s="1037"/>
      <c r="Q6" s="1037"/>
      <c r="R6" s="1037"/>
      <c r="S6" s="1037"/>
      <c r="T6" s="1037"/>
      <c r="U6" s="1037"/>
      <c r="V6" s="1037"/>
      <c r="W6" s="1037"/>
      <c r="X6" s="1037"/>
      <c r="Y6" s="1037"/>
      <c r="Z6" s="1037"/>
      <c r="AA6" s="1037"/>
      <c r="AB6" s="1037"/>
      <c r="AC6" s="1037"/>
      <c r="AD6" s="1037"/>
      <c r="AE6" s="1037"/>
      <c r="AF6" s="1037"/>
      <c r="AG6" s="1037"/>
      <c r="AH6" s="1037"/>
      <c r="AI6" s="1037"/>
      <c r="AJ6" s="1037"/>
      <c r="AK6" s="1037"/>
      <c r="AL6" s="1037"/>
      <c r="AM6" s="1037"/>
      <c r="AN6" s="1037"/>
      <c r="AO6" s="1037"/>
      <c r="AP6" s="1037"/>
    </row>
    <row r="7" spans="2:43" ht="15" thickBot="1" x14ac:dyDescent="0.4">
      <c r="B7" s="549"/>
      <c r="C7" s="1051" t="s">
        <v>871</v>
      </c>
      <c r="D7" s="1058" t="s">
        <v>872</v>
      </c>
      <c r="E7" s="1062">
        <v>20</v>
      </c>
      <c r="F7" s="1063">
        <v>3027.37</v>
      </c>
      <c r="G7" s="1065">
        <f>F7*(E7)</f>
        <v>60547.399999999994</v>
      </c>
      <c r="H7" s="1042"/>
      <c r="I7" s="1042"/>
      <c r="J7" s="1038"/>
      <c r="K7" s="1038"/>
      <c r="L7" s="1038"/>
      <c r="M7" s="1038"/>
      <c r="N7" s="1038"/>
      <c r="O7" s="1038"/>
      <c r="P7" s="1038"/>
      <c r="Q7" s="1038"/>
      <c r="R7" s="1038"/>
      <c r="S7" s="1038"/>
      <c r="T7" s="1038"/>
      <c r="U7" s="1038"/>
      <c r="V7" s="1038"/>
      <c r="W7" s="1038"/>
      <c r="X7" s="1038"/>
      <c r="Y7" s="1038"/>
      <c r="Z7" s="1038"/>
      <c r="AA7" s="1038"/>
      <c r="AB7" s="1038"/>
      <c r="AC7" s="1038"/>
      <c r="AD7" s="1038"/>
      <c r="AE7" s="1038"/>
      <c r="AF7" s="1038"/>
      <c r="AG7" s="1038"/>
      <c r="AH7" s="1038"/>
      <c r="AI7" s="1038"/>
      <c r="AJ7" s="1038"/>
      <c r="AK7" s="1038"/>
      <c r="AL7" s="1038"/>
      <c r="AM7" s="1038"/>
      <c r="AN7" s="1038"/>
      <c r="AO7" s="1038"/>
      <c r="AP7" s="1038"/>
    </row>
    <row r="8" spans="2:43" ht="15" thickBot="1" x14ac:dyDescent="0.4">
      <c r="B8" s="549"/>
      <c r="C8" s="1051" t="s">
        <v>873</v>
      </c>
      <c r="D8" s="1058" t="s">
        <v>872</v>
      </c>
      <c r="E8" s="1062">
        <v>150</v>
      </c>
      <c r="F8" s="1064">
        <v>3027.37</v>
      </c>
      <c r="G8" s="1065">
        <f t="shared" ref="G8:G17" si="0">F8*(E8)</f>
        <v>454105.5</v>
      </c>
      <c r="H8" s="1042"/>
      <c r="I8" s="1042"/>
      <c r="J8" s="1038"/>
      <c r="K8" s="1038"/>
      <c r="L8" s="1038"/>
      <c r="M8" s="1038"/>
      <c r="N8" s="1038"/>
      <c r="O8" s="1038"/>
      <c r="P8" s="1038"/>
      <c r="Q8" s="1038"/>
      <c r="R8" s="1038"/>
      <c r="S8" s="1038"/>
      <c r="T8" s="1038"/>
      <c r="U8" s="1038"/>
      <c r="V8" s="1038"/>
      <c r="W8" s="1038"/>
      <c r="X8" s="1038"/>
      <c r="Y8" s="1038"/>
      <c r="Z8" s="1038"/>
      <c r="AA8" s="1038"/>
      <c r="AB8" s="1038"/>
      <c r="AC8" s="1038"/>
      <c r="AD8" s="1038"/>
      <c r="AE8" s="1038"/>
      <c r="AF8" s="1038"/>
      <c r="AG8" s="1038"/>
      <c r="AH8" s="1038"/>
      <c r="AI8" s="1038"/>
      <c r="AJ8" s="1038"/>
      <c r="AK8" s="1038"/>
      <c r="AL8" s="1038"/>
      <c r="AM8" s="1038"/>
      <c r="AN8" s="1038"/>
      <c r="AO8" s="1038"/>
      <c r="AP8" s="1038"/>
    </row>
    <row r="9" spans="2:43" ht="15" thickBot="1" x14ac:dyDescent="0.4">
      <c r="B9" s="549"/>
      <c r="C9" s="1051" t="s">
        <v>874</v>
      </c>
      <c r="D9" s="1058" t="s">
        <v>872</v>
      </c>
      <c r="E9" s="1062">
        <v>80</v>
      </c>
      <c r="F9" s="1064">
        <v>3027.37</v>
      </c>
      <c r="G9" s="1065">
        <f t="shared" si="0"/>
        <v>242189.59999999998</v>
      </c>
      <c r="H9" s="1042"/>
      <c r="I9" s="1042"/>
      <c r="J9" s="1038"/>
      <c r="K9" s="1038"/>
      <c r="L9" s="1038"/>
      <c r="M9" s="1038"/>
      <c r="N9" s="1038"/>
      <c r="O9" s="1038"/>
      <c r="P9" s="1038"/>
      <c r="Q9" s="1038"/>
      <c r="R9" s="1038"/>
      <c r="S9" s="1038"/>
      <c r="T9" s="1038"/>
      <c r="U9" s="1038"/>
      <c r="V9" s="1038"/>
      <c r="W9" s="1038"/>
      <c r="X9" s="1038"/>
      <c r="Y9" s="1038"/>
      <c r="Z9" s="1038"/>
      <c r="AA9" s="1038"/>
      <c r="AB9" s="1038"/>
      <c r="AC9" s="1038"/>
      <c r="AD9" s="1038"/>
      <c r="AE9" s="1038"/>
      <c r="AF9" s="1038"/>
      <c r="AG9" s="1038"/>
      <c r="AH9" s="1038"/>
      <c r="AI9" s="1038"/>
      <c r="AJ9" s="1038"/>
      <c r="AK9" s="1038"/>
      <c r="AL9" s="1038"/>
      <c r="AM9" s="1038"/>
      <c r="AN9" s="1038"/>
      <c r="AO9" s="1038"/>
      <c r="AP9" s="1038"/>
    </row>
    <row r="10" spans="2:43" ht="15" thickBot="1" x14ac:dyDescent="0.4">
      <c r="B10" s="549"/>
      <c r="C10" s="1051" t="s">
        <v>875</v>
      </c>
      <c r="D10" s="1058" t="s">
        <v>872</v>
      </c>
      <c r="E10" s="1062">
        <v>30</v>
      </c>
      <c r="F10" s="1064">
        <v>3027.37</v>
      </c>
      <c r="G10" s="1065">
        <f t="shared" si="0"/>
        <v>90821.099999999991</v>
      </c>
      <c r="H10" s="1042"/>
      <c r="I10" s="1042"/>
      <c r="J10" s="1038"/>
      <c r="K10" s="1038"/>
      <c r="L10" s="1038"/>
      <c r="M10" s="1038"/>
      <c r="N10" s="1038"/>
      <c r="O10" s="1038"/>
      <c r="P10" s="1038"/>
      <c r="Q10" s="1038"/>
      <c r="R10" s="1038"/>
      <c r="S10" s="1038"/>
      <c r="T10" s="1038"/>
      <c r="U10" s="1038"/>
      <c r="V10" s="1038"/>
      <c r="W10" s="1038"/>
      <c r="X10" s="1038"/>
      <c r="Y10" s="1038"/>
      <c r="Z10" s="1038"/>
      <c r="AA10" s="1038"/>
      <c r="AB10" s="1038"/>
      <c r="AC10" s="1038"/>
      <c r="AD10" s="1038"/>
      <c r="AE10" s="1038"/>
      <c r="AF10" s="1038"/>
      <c r="AG10" s="1038"/>
      <c r="AH10" s="1038"/>
      <c r="AI10" s="1038"/>
      <c r="AJ10" s="1038"/>
      <c r="AK10" s="1038"/>
      <c r="AL10" s="1038"/>
      <c r="AM10" s="1038"/>
      <c r="AN10" s="1038"/>
      <c r="AO10" s="1038"/>
      <c r="AP10" s="1038"/>
    </row>
    <row r="11" spans="2:43" ht="15" thickBot="1" x14ac:dyDescent="0.4">
      <c r="B11" s="549"/>
      <c r="C11" s="1051" t="s">
        <v>876</v>
      </c>
      <c r="D11" s="1058" t="s">
        <v>872</v>
      </c>
      <c r="E11" s="1062">
        <v>200</v>
      </c>
      <c r="F11" s="1064">
        <v>3027.37</v>
      </c>
      <c r="G11" s="1065">
        <f t="shared" si="0"/>
        <v>605474</v>
      </c>
      <c r="H11" s="1042"/>
      <c r="I11" s="1042"/>
      <c r="J11" s="1038"/>
      <c r="K11" s="1038"/>
      <c r="L11" s="1038"/>
      <c r="M11" s="1038"/>
      <c r="N11" s="1038"/>
      <c r="O11" s="1038"/>
      <c r="P11" s="1038"/>
      <c r="Q11" s="1038"/>
      <c r="R11" s="1038"/>
      <c r="S11" s="1038"/>
      <c r="T11" s="1038"/>
      <c r="U11" s="1038"/>
      <c r="V11" s="1038"/>
      <c r="W11" s="1038"/>
      <c r="X11" s="1038"/>
      <c r="Y11" s="1038"/>
      <c r="Z11" s="1038"/>
      <c r="AA11" s="1038"/>
      <c r="AB11" s="1038"/>
      <c r="AC11" s="1038"/>
      <c r="AD11" s="1038"/>
      <c r="AE11" s="1038"/>
      <c r="AF11" s="1038"/>
      <c r="AG11" s="1038"/>
      <c r="AH11" s="1038"/>
      <c r="AI11" s="1038"/>
      <c r="AJ11" s="1038"/>
      <c r="AK11" s="1038"/>
      <c r="AL11" s="1038"/>
      <c r="AM11" s="1038"/>
      <c r="AN11" s="1038"/>
      <c r="AO11" s="1038"/>
      <c r="AP11" s="1038"/>
    </row>
    <row r="12" spans="2:43" ht="15" thickBot="1" x14ac:dyDescent="0.4">
      <c r="B12" s="549"/>
      <c r="C12" s="1051" t="s">
        <v>877</v>
      </c>
      <c r="D12" s="1058" t="s">
        <v>872</v>
      </c>
      <c r="E12" s="1062">
        <v>80</v>
      </c>
      <c r="F12" s="1064">
        <v>3027.37</v>
      </c>
      <c r="G12" s="1065">
        <f t="shared" si="0"/>
        <v>242189.59999999998</v>
      </c>
      <c r="H12" s="1042"/>
      <c r="I12" s="1042"/>
      <c r="J12" s="1038"/>
      <c r="K12" s="1038"/>
      <c r="L12" s="1038"/>
      <c r="M12" s="1038"/>
      <c r="N12" s="1038"/>
      <c r="O12" s="1038"/>
      <c r="P12" s="1038"/>
      <c r="Q12" s="1038"/>
      <c r="R12" s="1038"/>
      <c r="S12" s="1038"/>
      <c r="T12" s="1038"/>
      <c r="U12" s="1038"/>
      <c r="V12" s="1038"/>
      <c r="W12" s="1038"/>
      <c r="X12" s="1038"/>
      <c r="Y12" s="1038"/>
      <c r="Z12" s="1038"/>
      <c r="AA12" s="1038"/>
      <c r="AB12" s="1038"/>
      <c r="AC12" s="1038"/>
      <c r="AD12" s="1038"/>
      <c r="AE12" s="1038"/>
      <c r="AF12" s="1038"/>
      <c r="AG12" s="1038"/>
      <c r="AH12" s="1038"/>
      <c r="AI12" s="1038"/>
      <c r="AJ12" s="1038"/>
      <c r="AK12" s="1038"/>
      <c r="AL12" s="1038"/>
      <c r="AM12" s="1038"/>
      <c r="AN12" s="1038"/>
      <c r="AO12" s="1038"/>
      <c r="AP12" s="1038"/>
    </row>
    <row r="13" spans="2:43" ht="15" thickBot="1" x14ac:dyDescent="0.4">
      <c r="B13" s="549"/>
      <c r="C13" s="1052" t="s">
        <v>878</v>
      </c>
      <c r="D13" s="1053"/>
      <c r="E13" s="1054"/>
      <c r="F13" s="1055"/>
      <c r="G13" s="1056"/>
      <c r="H13" s="1042"/>
      <c r="I13" s="1042"/>
      <c r="J13" s="1038"/>
      <c r="K13" s="1038"/>
      <c r="L13" s="1038"/>
      <c r="M13" s="1038"/>
      <c r="N13" s="1038"/>
      <c r="O13" s="1038"/>
      <c r="P13" s="1038"/>
      <c r="Q13" s="1038"/>
      <c r="R13" s="1038"/>
      <c r="S13" s="1038"/>
      <c r="T13" s="1038"/>
      <c r="U13" s="1038"/>
      <c r="V13" s="1038"/>
      <c r="W13" s="1038"/>
      <c r="X13" s="1038"/>
      <c r="Y13" s="1038"/>
      <c r="Z13" s="1038"/>
      <c r="AA13" s="1038"/>
      <c r="AB13" s="1038"/>
      <c r="AC13" s="1038"/>
      <c r="AD13" s="1038"/>
      <c r="AE13" s="1038"/>
      <c r="AF13" s="1038"/>
      <c r="AG13" s="1038"/>
      <c r="AH13" s="1038"/>
      <c r="AI13" s="1038"/>
      <c r="AJ13" s="1038"/>
      <c r="AK13" s="1038"/>
      <c r="AL13" s="1038"/>
      <c r="AM13" s="1038"/>
      <c r="AN13" s="1038"/>
      <c r="AO13" s="1038"/>
      <c r="AP13" s="1038"/>
    </row>
    <row r="14" spans="2:43" ht="15" thickBot="1" x14ac:dyDescent="0.4">
      <c r="B14" s="549"/>
      <c r="C14" s="1051" t="s">
        <v>879</v>
      </c>
      <c r="D14" s="1058" t="s">
        <v>872</v>
      </c>
      <c r="E14" s="1062">
        <v>60</v>
      </c>
      <c r="F14" s="1064">
        <v>1816.42</v>
      </c>
      <c r="G14" s="1065">
        <f t="shared" si="0"/>
        <v>108985.20000000001</v>
      </c>
      <c r="H14" s="1042"/>
      <c r="I14" s="1042"/>
      <c r="J14" s="1038"/>
      <c r="K14" s="1038"/>
      <c r="L14" s="1038"/>
      <c r="M14" s="1038"/>
      <c r="N14" s="1038"/>
      <c r="O14" s="1038"/>
      <c r="P14" s="1038"/>
      <c r="Q14" s="1038"/>
      <c r="R14" s="1038"/>
      <c r="S14" s="1038"/>
      <c r="T14" s="1038"/>
      <c r="U14" s="1038"/>
      <c r="V14" s="1038"/>
      <c r="W14" s="1038"/>
      <c r="X14" s="1038"/>
      <c r="Y14" s="1038"/>
      <c r="Z14" s="1038"/>
      <c r="AA14" s="1038"/>
      <c r="AB14" s="1038"/>
      <c r="AC14" s="1038"/>
      <c r="AD14" s="1038"/>
      <c r="AE14" s="1038"/>
      <c r="AF14" s="1038"/>
      <c r="AG14" s="1038"/>
      <c r="AH14" s="1038"/>
      <c r="AI14" s="1038"/>
      <c r="AJ14" s="1038"/>
      <c r="AK14" s="1038"/>
      <c r="AL14" s="1038"/>
      <c r="AM14" s="1038"/>
      <c r="AN14" s="1038"/>
      <c r="AO14" s="1038"/>
      <c r="AP14" s="1038"/>
    </row>
    <row r="15" spans="2:43" ht="15" thickBot="1" x14ac:dyDescent="0.4">
      <c r="B15" s="549"/>
      <c r="C15" s="1051" t="s">
        <v>880</v>
      </c>
      <c r="D15" s="1058" t="s">
        <v>872</v>
      </c>
      <c r="E15" s="1062">
        <v>100</v>
      </c>
      <c r="F15" s="1064">
        <v>1816.42</v>
      </c>
      <c r="G15" s="1065">
        <f t="shared" si="0"/>
        <v>181642</v>
      </c>
      <c r="H15" s="1042"/>
      <c r="I15" s="1042"/>
      <c r="J15" s="1038"/>
      <c r="K15" s="1038"/>
      <c r="L15" s="1038"/>
      <c r="M15" s="1038"/>
      <c r="N15" s="1038"/>
      <c r="O15" s="1038"/>
      <c r="P15" s="1038"/>
      <c r="Q15" s="1038"/>
      <c r="R15" s="1038"/>
      <c r="S15" s="1038"/>
      <c r="T15" s="1038"/>
      <c r="U15" s="1038"/>
      <c r="V15" s="1038"/>
      <c r="W15" s="1038"/>
      <c r="X15" s="1038"/>
      <c r="Y15" s="1038"/>
      <c r="Z15" s="1038"/>
      <c r="AA15" s="1038"/>
      <c r="AB15" s="1038"/>
      <c r="AC15" s="1038"/>
      <c r="AD15" s="1038"/>
      <c r="AE15" s="1038"/>
      <c r="AF15" s="1038"/>
      <c r="AG15" s="1038"/>
      <c r="AH15" s="1038"/>
      <c r="AI15" s="1038"/>
      <c r="AJ15" s="1038"/>
      <c r="AK15" s="1038"/>
      <c r="AL15" s="1038"/>
      <c r="AM15" s="1038"/>
      <c r="AN15" s="1038"/>
      <c r="AO15" s="1038"/>
      <c r="AP15" s="1038"/>
    </row>
    <row r="16" spans="2:43" ht="15" thickBot="1" x14ac:dyDescent="0.4">
      <c r="B16" s="549"/>
      <c r="C16" s="1051" t="s">
        <v>881</v>
      </c>
      <c r="D16" s="1058" t="s">
        <v>872</v>
      </c>
      <c r="E16" s="1062">
        <v>50</v>
      </c>
      <c r="F16" s="1064">
        <v>1816.42</v>
      </c>
      <c r="G16" s="1065">
        <f t="shared" si="0"/>
        <v>90821</v>
      </c>
      <c r="H16" s="1042"/>
      <c r="I16" s="1042"/>
      <c r="J16" s="1038"/>
      <c r="K16" s="1038"/>
      <c r="L16" s="1038"/>
      <c r="M16" s="1038"/>
      <c r="N16" s="1038"/>
      <c r="O16" s="1038"/>
      <c r="P16" s="1038"/>
      <c r="Q16" s="1038"/>
      <c r="R16" s="1038"/>
      <c r="S16" s="1038"/>
      <c r="T16" s="1038"/>
      <c r="U16" s="1038"/>
      <c r="V16" s="1038"/>
      <c r="W16" s="1038"/>
      <c r="X16" s="1038"/>
      <c r="Y16" s="1038"/>
      <c r="Z16" s="1038"/>
      <c r="AA16" s="1038"/>
      <c r="AB16" s="1038"/>
      <c r="AC16" s="1038"/>
      <c r="AD16" s="1038"/>
      <c r="AE16" s="1038"/>
      <c r="AF16" s="1038"/>
      <c r="AG16" s="1038"/>
      <c r="AH16" s="1038"/>
      <c r="AI16" s="1038"/>
      <c r="AJ16" s="1038"/>
      <c r="AK16" s="1038"/>
      <c r="AL16" s="1038"/>
      <c r="AM16" s="1038"/>
      <c r="AN16" s="1038"/>
      <c r="AO16" s="1038"/>
      <c r="AP16" s="1038"/>
    </row>
    <row r="17" spans="2:42" ht="15" thickBot="1" x14ac:dyDescent="0.4">
      <c r="B17" s="549"/>
      <c r="C17" s="1051" t="s">
        <v>882</v>
      </c>
      <c r="D17" s="1058" t="s">
        <v>872</v>
      </c>
      <c r="E17" s="1062">
        <v>600</v>
      </c>
      <c r="F17" s="1064">
        <v>1816.42</v>
      </c>
      <c r="G17" s="1065">
        <f t="shared" si="0"/>
        <v>1089852</v>
      </c>
      <c r="H17" s="1042"/>
      <c r="I17" s="1042"/>
      <c r="J17" s="1038"/>
      <c r="K17" s="1038"/>
      <c r="L17" s="1038"/>
      <c r="M17" s="1038"/>
      <c r="N17" s="1038"/>
      <c r="O17" s="1038"/>
      <c r="P17" s="1038"/>
      <c r="Q17" s="1038"/>
      <c r="R17" s="1038"/>
      <c r="S17" s="1038"/>
      <c r="T17" s="1038"/>
      <c r="U17" s="1038"/>
      <c r="V17" s="1038"/>
      <c r="W17" s="1038"/>
      <c r="X17" s="1038"/>
      <c r="Y17" s="1038"/>
      <c r="Z17" s="1038"/>
      <c r="AA17" s="1038"/>
      <c r="AB17" s="1038"/>
      <c r="AC17" s="1038"/>
      <c r="AD17" s="1038"/>
      <c r="AE17" s="1038"/>
      <c r="AF17" s="1038"/>
      <c r="AG17" s="1038"/>
      <c r="AH17" s="1038"/>
      <c r="AI17" s="1038"/>
      <c r="AJ17" s="1038"/>
      <c r="AK17" s="1038"/>
      <c r="AL17" s="1038"/>
      <c r="AM17" s="1038"/>
      <c r="AN17" s="1038"/>
      <c r="AO17" s="1038"/>
      <c r="AP17" s="1038"/>
    </row>
    <row r="18" spans="2:42" ht="3.75" customHeight="1" thickBot="1" x14ac:dyDescent="0.4">
      <c r="B18" s="549"/>
      <c r="C18" s="1043"/>
      <c r="D18" s="1044"/>
      <c r="E18" s="1045"/>
      <c r="F18" s="1046"/>
      <c r="G18" s="1047"/>
      <c r="H18" s="1047"/>
      <c r="I18" s="1047"/>
      <c r="J18" s="567"/>
      <c r="K18" s="567"/>
      <c r="L18" s="567"/>
      <c r="M18" s="567"/>
      <c r="N18" s="567"/>
      <c r="O18" s="567"/>
      <c r="P18" s="567"/>
      <c r="Q18" s="567"/>
      <c r="R18" s="567"/>
      <c r="S18" s="567"/>
      <c r="T18" s="567"/>
      <c r="U18" s="567"/>
      <c r="V18" s="567"/>
      <c r="W18" s="567"/>
      <c r="X18" s="567"/>
      <c r="Y18" s="567"/>
      <c r="Z18" s="567"/>
      <c r="AA18" s="567"/>
      <c r="AB18" s="567"/>
      <c r="AC18" s="567"/>
      <c r="AD18" s="567"/>
      <c r="AE18" s="567"/>
      <c r="AF18" s="567"/>
      <c r="AG18" s="567"/>
      <c r="AH18" s="567"/>
      <c r="AI18" s="567"/>
      <c r="AJ18" s="567"/>
      <c r="AK18" s="567"/>
      <c r="AL18" s="567"/>
      <c r="AM18" s="567"/>
      <c r="AN18" s="567"/>
      <c r="AO18" s="567"/>
      <c r="AP18" s="567"/>
    </row>
    <row r="19" spans="2:42" ht="15" thickBot="1" x14ac:dyDescent="0.4">
      <c r="B19" s="549"/>
      <c r="C19" s="882" t="s">
        <v>200</v>
      </c>
      <c r="D19" s="1066"/>
      <c r="E19" s="1066"/>
      <c r="F19" s="844"/>
      <c r="G19" s="844">
        <f>SUM(G7:G17)</f>
        <v>3166627.4000000004</v>
      </c>
      <c r="H19" s="1048"/>
      <c r="I19" s="1048"/>
      <c r="J19" s="1039"/>
      <c r="K19" s="1039"/>
      <c r="L19" s="1039"/>
      <c r="M19" s="1039"/>
      <c r="N19" s="1039"/>
      <c r="O19" s="1039"/>
      <c r="P19" s="1039"/>
      <c r="Q19" s="1039"/>
      <c r="R19" s="1039"/>
      <c r="S19" s="1039"/>
      <c r="T19" s="1039"/>
      <c r="U19" s="1039"/>
      <c r="V19" s="1039"/>
      <c r="W19" s="1039"/>
      <c r="X19" s="1039"/>
      <c r="Y19" s="1039"/>
      <c r="Z19" s="1039"/>
      <c r="AA19" s="1039"/>
      <c r="AB19" s="1039"/>
      <c r="AC19" s="1039"/>
      <c r="AD19" s="1039"/>
      <c r="AE19" s="1039"/>
      <c r="AF19" s="1039"/>
      <c r="AG19" s="1039"/>
      <c r="AH19" s="1039"/>
      <c r="AI19" s="1039"/>
      <c r="AJ19" s="1039"/>
      <c r="AK19" s="1039"/>
      <c r="AL19" s="1039"/>
      <c r="AM19" s="1039"/>
      <c r="AN19" s="1039"/>
      <c r="AO19" s="1039"/>
      <c r="AP19" s="1039"/>
    </row>
    <row r="20" spans="2:42" x14ac:dyDescent="0.35">
      <c r="B20" s="549"/>
      <c r="C20" s="1049"/>
      <c r="D20" s="851"/>
      <c r="E20" s="549"/>
      <c r="F20" s="549"/>
      <c r="G20" s="549"/>
      <c r="H20" s="549"/>
      <c r="I20" s="549"/>
    </row>
    <row r="21" spans="2:42" ht="15" thickBot="1" x14ac:dyDescent="0.4"/>
    <row r="22" spans="2:42" x14ac:dyDescent="0.35">
      <c r="B22" s="5"/>
      <c r="C22" s="6"/>
      <c r="D22" s="23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8"/>
    </row>
    <row r="23" spans="2:42" x14ac:dyDescent="0.35">
      <c r="B23" s="9"/>
      <c r="C23" s="77" t="s">
        <v>883</v>
      </c>
      <c r="AN23" s="16"/>
    </row>
    <row r="24" spans="2:42" x14ac:dyDescent="0.35">
      <c r="B24" s="9"/>
      <c r="C24" s="87"/>
      <c r="D24" s="229" t="s">
        <v>455</v>
      </c>
      <c r="E24" s="89">
        <v>1</v>
      </c>
      <c r="F24" s="89">
        <f>E24+1</f>
        <v>2</v>
      </c>
      <c r="G24" s="89">
        <f t="shared" ref="G24:AM24" si="1">F24+1</f>
        <v>3</v>
      </c>
      <c r="H24" s="89">
        <f t="shared" si="1"/>
        <v>4</v>
      </c>
      <c r="I24" s="89">
        <f t="shared" si="1"/>
        <v>5</v>
      </c>
      <c r="J24" s="89">
        <f t="shared" si="1"/>
        <v>6</v>
      </c>
      <c r="K24" s="89">
        <f t="shared" si="1"/>
        <v>7</v>
      </c>
      <c r="L24" s="89">
        <f t="shared" si="1"/>
        <v>8</v>
      </c>
      <c r="M24" s="89">
        <f t="shared" si="1"/>
        <v>9</v>
      </c>
      <c r="N24" s="89">
        <f t="shared" si="1"/>
        <v>10</v>
      </c>
      <c r="O24" s="89">
        <f t="shared" si="1"/>
        <v>11</v>
      </c>
      <c r="P24" s="89">
        <f t="shared" si="1"/>
        <v>12</v>
      </c>
      <c r="Q24" s="89">
        <f t="shared" si="1"/>
        <v>13</v>
      </c>
      <c r="R24" s="89">
        <f t="shared" si="1"/>
        <v>14</v>
      </c>
      <c r="S24" s="89">
        <f t="shared" si="1"/>
        <v>15</v>
      </c>
      <c r="T24" s="89">
        <f t="shared" si="1"/>
        <v>16</v>
      </c>
      <c r="U24" s="89">
        <f t="shared" si="1"/>
        <v>17</v>
      </c>
      <c r="V24" s="89">
        <f t="shared" si="1"/>
        <v>18</v>
      </c>
      <c r="W24" s="89">
        <f t="shared" si="1"/>
        <v>19</v>
      </c>
      <c r="X24" s="89">
        <f t="shared" si="1"/>
        <v>20</v>
      </c>
      <c r="Y24" s="89">
        <f t="shared" si="1"/>
        <v>21</v>
      </c>
      <c r="Z24" s="89">
        <f t="shared" si="1"/>
        <v>22</v>
      </c>
      <c r="AA24" s="89">
        <f t="shared" si="1"/>
        <v>23</v>
      </c>
      <c r="AB24" s="89">
        <f t="shared" si="1"/>
        <v>24</v>
      </c>
      <c r="AC24" s="89">
        <f t="shared" si="1"/>
        <v>25</v>
      </c>
      <c r="AD24" s="89">
        <f t="shared" si="1"/>
        <v>26</v>
      </c>
      <c r="AE24" s="89">
        <f t="shared" si="1"/>
        <v>27</v>
      </c>
      <c r="AF24" s="89">
        <f t="shared" si="1"/>
        <v>28</v>
      </c>
      <c r="AG24" s="89">
        <f t="shared" si="1"/>
        <v>29</v>
      </c>
      <c r="AH24" s="89">
        <f t="shared" si="1"/>
        <v>30</v>
      </c>
      <c r="AI24" s="89">
        <f t="shared" si="1"/>
        <v>31</v>
      </c>
      <c r="AJ24" s="89">
        <f t="shared" si="1"/>
        <v>32</v>
      </c>
      <c r="AK24" s="89">
        <f t="shared" si="1"/>
        <v>33</v>
      </c>
      <c r="AL24" s="89">
        <f t="shared" si="1"/>
        <v>34</v>
      </c>
      <c r="AM24" s="89">
        <f t="shared" si="1"/>
        <v>35</v>
      </c>
      <c r="AN24" s="16"/>
    </row>
    <row r="25" spans="2:42" x14ac:dyDescent="0.35">
      <c r="B25" s="9"/>
      <c r="C25" s="1086" t="s">
        <v>453</v>
      </c>
      <c r="D25" s="1184">
        <f>SUM(E25:AM25)</f>
        <v>3166627.4000000004</v>
      </c>
      <c r="E25" s="562">
        <f>G19</f>
        <v>3166627.4000000004</v>
      </c>
      <c r="F25" s="562">
        <v>0</v>
      </c>
      <c r="G25" s="562">
        <v>0</v>
      </c>
      <c r="H25" s="562">
        <v>0</v>
      </c>
      <c r="I25" s="562">
        <v>0</v>
      </c>
      <c r="J25" s="562">
        <v>0</v>
      </c>
      <c r="K25" s="562">
        <v>0</v>
      </c>
      <c r="L25" s="562">
        <v>0</v>
      </c>
      <c r="M25" s="562">
        <v>0</v>
      </c>
      <c r="N25" s="562">
        <v>0</v>
      </c>
      <c r="O25" s="562">
        <v>0</v>
      </c>
      <c r="P25" s="562">
        <v>0</v>
      </c>
      <c r="Q25" s="562">
        <v>0</v>
      </c>
      <c r="R25" s="562">
        <v>0</v>
      </c>
      <c r="S25" s="562">
        <v>0</v>
      </c>
      <c r="T25" s="562">
        <v>0</v>
      </c>
      <c r="U25" s="562">
        <v>0</v>
      </c>
      <c r="V25" s="562">
        <v>0</v>
      </c>
      <c r="W25" s="562">
        <v>0</v>
      </c>
      <c r="X25" s="562">
        <v>0</v>
      </c>
      <c r="Y25" s="562">
        <v>0</v>
      </c>
      <c r="Z25" s="562">
        <v>0</v>
      </c>
      <c r="AA25" s="562">
        <v>0</v>
      </c>
      <c r="AB25" s="562">
        <v>0</v>
      </c>
      <c r="AC25" s="562">
        <v>0</v>
      </c>
      <c r="AD25" s="562">
        <v>0</v>
      </c>
      <c r="AE25" s="562">
        <v>0</v>
      </c>
      <c r="AF25" s="562">
        <v>0</v>
      </c>
      <c r="AG25" s="562">
        <v>0</v>
      </c>
      <c r="AH25" s="562">
        <v>0</v>
      </c>
      <c r="AI25" s="562">
        <v>0</v>
      </c>
      <c r="AJ25" s="562">
        <v>0</v>
      </c>
      <c r="AK25" s="562">
        <v>0</v>
      </c>
      <c r="AL25" s="562">
        <v>0</v>
      </c>
      <c r="AM25" s="562">
        <v>0</v>
      </c>
      <c r="AN25" s="16"/>
    </row>
    <row r="26" spans="2:42" x14ac:dyDescent="0.35">
      <c r="B26" s="9"/>
      <c r="C26" s="233" t="s">
        <v>200</v>
      </c>
      <c r="D26" s="1087"/>
      <c r="E26" s="566">
        <f t="shared" ref="E26:AM26" si="2">SUM(E25:E25)</f>
        <v>3166627.4000000004</v>
      </c>
      <c r="F26" s="566">
        <f t="shared" si="2"/>
        <v>0</v>
      </c>
      <c r="G26" s="566">
        <f t="shared" si="2"/>
        <v>0</v>
      </c>
      <c r="H26" s="566">
        <f t="shared" si="2"/>
        <v>0</v>
      </c>
      <c r="I26" s="566">
        <f t="shared" si="2"/>
        <v>0</v>
      </c>
      <c r="J26" s="566">
        <f t="shared" si="2"/>
        <v>0</v>
      </c>
      <c r="K26" s="566">
        <f t="shared" si="2"/>
        <v>0</v>
      </c>
      <c r="L26" s="566">
        <f t="shared" si="2"/>
        <v>0</v>
      </c>
      <c r="M26" s="566">
        <f t="shared" si="2"/>
        <v>0</v>
      </c>
      <c r="N26" s="566">
        <f t="shared" si="2"/>
        <v>0</v>
      </c>
      <c r="O26" s="566">
        <f t="shared" si="2"/>
        <v>0</v>
      </c>
      <c r="P26" s="566">
        <f t="shared" si="2"/>
        <v>0</v>
      </c>
      <c r="Q26" s="566">
        <f t="shared" si="2"/>
        <v>0</v>
      </c>
      <c r="R26" s="566">
        <f t="shared" si="2"/>
        <v>0</v>
      </c>
      <c r="S26" s="566">
        <f t="shared" si="2"/>
        <v>0</v>
      </c>
      <c r="T26" s="566">
        <f t="shared" si="2"/>
        <v>0</v>
      </c>
      <c r="U26" s="566">
        <f t="shared" si="2"/>
        <v>0</v>
      </c>
      <c r="V26" s="566">
        <f t="shared" si="2"/>
        <v>0</v>
      </c>
      <c r="W26" s="566">
        <f t="shared" si="2"/>
        <v>0</v>
      </c>
      <c r="X26" s="566">
        <f t="shared" si="2"/>
        <v>0</v>
      </c>
      <c r="Y26" s="566">
        <f t="shared" si="2"/>
        <v>0</v>
      </c>
      <c r="Z26" s="566">
        <f t="shared" si="2"/>
        <v>0</v>
      </c>
      <c r="AA26" s="566">
        <f t="shared" si="2"/>
        <v>0</v>
      </c>
      <c r="AB26" s="566">
        <f t="shared" si="2"/>
        <v>0</v>
      </c>
      <c r="AC26" s="566">
        <f t="shared" si="2"/>
        <v>0</v>
      </c>
      <c r="AD26" s="566">
        <f t="shared" si="2"/>
        <v>0</v>
      </c>
      <c r="AE26" s="566">
        <f t="shared" si="2"/>
        <v>0</v>
      </c>
      <c r="AF26" s="566">
        <f t="shared" si="2"/>
        <v>0</v>
      </c>
      <c r="AG26" s="566">
        <f t="shared" si="2"/>
        <v>0</v>
      </c>
      <c r="AH26" s="566">
        <f t="shared" si="2"/>
        <v>0</v>
      </c>
      <c r="AI26" s="566">
        <f t="shared" si="2"/>
        <v>0</v>
      </c>
      <c r="AJ26" s="566">
        <f t="shared" si="2"/>
        <v>0</v>
      </c>
      <c r="AK26" s="566">
        <f t="shared" si="2"/>
        <v>0</v>
      </c>
      <c r="AL26" s="566">
        <f t="shared" si="2"/>
        <v>0</v>
      </c>
      <c r="AM26" s="566">
        <f t="shared" si="2"/>
        <v>0</v>
      </c>
      <c r="AN26" s="16"/>
    </row>
    <row r="27" spans="2:42" ht="15" thickBot="1" x14ac:dyDescent="0.4">
      <c r="B27" s="38"/>
      <c r="C27" s="59"/>
      <c r="D27" s="238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69"/>
    </row>
    <row r="29" spans="2:42" x14ac:dyDescent="0.35">
      <c r="C29" s="77" t="s">
        <v>884</v>
      </c>
      <c r="D29"/>
    </row>
    <row r="30" spans="2:42" x14ac:dyDescent="0.35">
      <c r="C30" s="560" t="s">
        <v>179</v>
      </c>
      <c r="D30" s="229" t="s">
        <v>455</v>
      </c>
      <c r="E30" s="802">
        <v>1</v>
      </c>
      <c r="F30" s="802">
        <f>E30+1</f>
        <v>2</v>
      </c>
      <c r="G30" s="802">
        <f t="shared" ref="G30:AM30" si="3">F30+1</f>
        <v>3</v>
      </c>
      <c r="H30" s="802">
        <f t="shared" si="3"/>
        <v>4</v>
      </c>
      <c r="I30" s="802">
        <f t="shared" si="3"/>
        <v>5</v>
      </c>
      <c r="J30" s="802">
        <f t="shared" si="3"/>
        <v>6</v>
      </c>
      <c r="K30" s="802">
        <f t="shared" si="3"/>
        <v>7</v>
      </c>
      <c r="L30" s="802">
        <f t="shared" si="3"/>
        <v>8</v>
      </c>
      <c r="M30" s="802">
        <f t="shared" si="3"/>
        <v>9</v>
      </c>
      <c r="N30" s="802">
        <f t="shared" si="3"/>
        <v>10</v>
      </c>
      <c r="O30" s="802">
        <f t="shared" si="3"/>
        <v>11</v>
      </c>
      <c r="P30" s="802">
        <f t="shared" si="3"/>
        <v>12</v>
      </c>
      <c r="Q30" s="802">
        <f t="shared" si="3"/>
        <v>13</v>
      </c>
      <c r="R30" s="802">
        <f t="shared" si="3"/>
        <v>14</v>
      </c>
      <c r="S30" s="802">
        <f t="shared" si="3"/>
        <v>15</v>
      </c>
      <c r="T30" s="802">
        <f t="shared" si="3"/>
        <v>16</v>
      </c>
      <c r="U30" s="802">
        <f t="shared" si="3"/>
        <v>17</v>
      </c>
      <c r="V30" s="802">
        <f t="shared" si="3"/>
        <v>18</v>
      </c>
      <c r="W30" s="802">
        <f t="shared" si="3"/>
        <v>19</v>
      </c>
      <c r="X30" s="802">
        <f t="shared" si="3"/>
        <v>20</v>
      </c>
      <c r="Y30" s="802">
        <f t="shared" si="3"/>
        <v>21</v>
      </c>
      <c r="Z30" s="802">
        <f t="shared" si="3"/>
        <v>22</v>
      </c>
      <c r="AA30" s="802">
        <f t="shared" si="3"/>
        <v>23</v>
      </c>
      <c r="AB30" s="802">
        <f t="shared" si="3"/>
        <v>24</v>
      </c>
      <c r="AC30" s="802">
        <f t="shared" si="3"/>
        <v>25</v>
      </c>
      <c r="AD30" s="802">
        <f t="shared" si="3"/>
        <v>26</v>
      </c>
      <c r="AE30" s="802">
        <f t="shared" si="3"/>
        <v>27</v>
      </c>
      <c r="AF30" s="802">
        <f t="shared" si="3"/>
        <v>28</v>
      </c>
      <c r="AG30" s="802">
        <f t="shared" si="3"/>
        <v>29</v>
      </c>
      <c r="AH30" s="802">
        <f t="shared" si="3"/>
        <v>30</v>
      </c>
      <c r="AI30" s="802">
        <f t="shared" si="3"/>
        <v>31</v>
      </c>
      <c r="AJ30" s="802">
        <f t="shared" si="3"/>
        <v>32</v>
      </c>
      <c r="AK30" s="802">
        <f t="shared" si="3"/>
        <v>33</v>
      </c>
      <c r="AL30" s="802">
        <f t="shared" si="3"/>
        <v>34</v>
      </c>
      <c r="AM30" s="802">
        <f t="shared" si="3"/>
        <v>35</v>
      </c>
    </row>
    <row r="31" spans="2:42" x14ac:dyDescent="0.35">
      <c r="C31" s="914" t="s">
        <v>1</v>
      </c>
      <c r="D31" s="808">
        <f>SUM(E31:AM31)</f>
        <v>21619.114329620024</v>
      </c>
      <c r="E31" s="916">
        <f t="shared" ref="E31:AM31" si="4">E26*$E$44</f>
        <v>21619.114329620024</v>
      </c>
      <c r="F31" s="916">
        <f t="shared" si="4"/>
        <v>0</v>
      </c>
      <c r="G31" s="916">
        <f t="shared" si="4"/>
        <v>0</v>
      </c>
      <c r="H31" s="916">
        <f t="shared" si="4"/>
        <v>0</v>
      </c>
      <c r="I31" s="916">
        <f t="shared" si="4"/>
        <v>0</v>
      </c>
      <c r="J31" s="916">
        <f t="shared" si="4"/>
        <v>0</v>
      </c>
      <c r="K31" s="916">
        <f t="shared" si="4"/>
        <v>0</v>
      </c>
      <c r="L31" s="916">
        <f t="shared" si="4"/>
        <v>0</v>
      </c>
      <c r="M31" s="916">
        <f t="shared" si="4"/>
        <v>0</v>
      </c>
      <c r="N31" s="916">
        <f t="shared" si="4"/>
        <v>0</v>
      </c>
      <c r="O31" s="916">
        <f t="shared" si="4"/>
        <v>0</v>
      </c>
      <c r="P31" s="916">
        <f t="shared" si="4"/>
        <v>0</v>
      </c>
      <c r="Q31" s="916">
        <f t="shared" si="4"/>
        <v>0</v>
      </c>
      <c r="R31" s="916">
        <f t="shared" si="4"/>
        <v>0</v>
      </c>
      <c r="S31" s="916">
        <f t="shared" si="4"/>
        <v>0</v>
      </c>
      <c r="T31" s="916">
        <f t="shared" si="4"/>
        <v>0</v>
      </c>
      <c r="U31" s="916">
        <f t="shared" si="4"/>
        <v>0</v>
      </c>
      <c r="V31" s="916">
        <f t="shared" si="4"/>
        <v>0</v>
      </c>
      <c r="W31" s="916">
        <f t="shared" si="4"/>
        <v>0</v>
      </c>
      <c r="X31" s="916">
        <f t="shared" si="4"/>
        <v>0</v>
      </c>
      <c r="Y31" s="916">
        <f t="shared" si="4"/>
        <v>0</v>
      </c>
      <c r="Z31" s="916">
        <f t="shared" si="4"/>
        <v>0</v>
      </c>
      <c r="AA31" s="916">
        <f t="shared" si="4"/>
        <v>0</v>
      </c>
      <c r="AB31" s="916">
        <f t="shared" si="4"/>
        <v>0</v>
      </c>
      <c r="AC31" s="916">
        <f t="shared" si="4"/>
        <v>0</v>
      </c>
      <c r="AD31" s="916">
        <f t="shared" si="4"/>
        <v>0</v>
      </c>
      <c r="AE31" s="916">
        <f t="shared" si="4"/>
        <v>0</v>
      </c>
      <c r="AF31" s="916">
        <f t="shared" si="4"/>
        <v>0</v>
      </c>
      <c r="AG31" s="916">
        <f t="shared" si="4"/>
        <v>0</v>
      </c>
      <c r="AH31" s="916">
        <f t="shared" si="4"/>
        <v>0</v>
      </c>
      <c r="AI31" s="916">
        <f t="shared" si="4"/>
        <v>0</v>
      </c>
      <c r="AJ31" s="916">
        <f t="shared" si="4"/>
        <v>0</v>
      </c>
      <c r="AK31" s="916">
        <f t="shared" si="4"/>
        <v>0</v>
      </c>
      <c r="AL31" s="916">
        <f t="shared" si="4"/>
        <v>0</v>
      </c>
      <c r="AM31" s="916">
        <f t="shared" si="4"/>
        <v>0</v>
      </c>
    </row>
    <row r="32" spans="2:42" x14ac:dyDescent="0.35">
      <c r="C32" s="915" t="s">
        <v>2</v>
      </c>
      <c r="D32" s="811">
        <f t="shared" ref="D32:D39" si="5">SUM(E32:AM32)</f>
        <v>273798.34192534676</v>
      </c>
      <c r="E32" s="917">
        <f t="shared" ref="E32:AM32" si="6">E26*$E$45</f>
        <v>273798.34192534676</v>
      </c>
      <c r="F32" s="917">
        <f t="shared" si="6"/>
        <v>0</v>
      </c>
      <c r="G32" s="917">
        <f t="shared" si="6"/>
        <v>0</v>
      </c>
      <c r="H32" s="917">
        <f t="shared" si="6"/>
        <v>0</v>
      </c>
      <c r="I32" s="917">
        <f t="shared" si="6"/>
        <v>0</v>
      </c>
      <c r="J32" s="917">
        <f t="shared" si="6"/>
        <v>0</v>
      </c>
      <c r="K32" s="917">
        <f t="shared" si="6"/>
        <v>0</v>
      </c>
      <c r="L32" s="917">
        <f t="shared" si="6"/>
        <v>0</v>
      </c>
      <c r="M32" s="917">
        <f t="shared" si="6"/>
        <v>0</v>
      </c>
      <c r="N32" s="917">
        <f t="shared" si="6"/>
        <v>0</v>
      </c>
      <c r="O32" s="917">
        <f t="shared" si="6"/>
        <v>0</v>
      </c>
      <c r="P32" s="917">
        <f t="shared" si="6"/>
        <v>0</v>
      </c>
      <c r="Q32" s="917">
        <f t="shared" si="6"/>
        <v>0</v>
      </c>
      <c r="R32" s="917">
        <f t="shared" si="6"/>
        <v>0</v>
      </c>
      <c r="S32" s="917">
        <f t="shared" si="6"/>
        <v>0</v>
      </c>
      <c r="T32" s="917">
        <f t="shared" si="6"/>
        <v>0</v>
      </c>
      <c r="U32" s="917">
        <f t="shared" si="6"/>
        <v>0</v>
      </c>
      <c r="V32" s="917">
        <f t="shared" si="6"/>
        <v>0</v>
      </c>
      <c r="W32" s="917">
        <f t="shared" si="6"/>
        <v>0</v>
      </c>
      <c r="X32" s="917">
        <f t="shared" si="6"/>
        <v>0</v>
      </c>
      <c r="Y32" s="917">
        <f t="shared" si="6"/>
        <v>0</v>
      </c>
      <c r="Z32" s="917">
        <f t="shared" si="6"/>
        <v>0</v>
      </c>
      <c r="AA32" s="917">
        <f t="shared" si="6"/>
        <v>0</v>
      </c>
      <c r="AB32" s="917">
        <f t="shared" si="6"/>
        <v>0</v>
      </c>
      <c r="AC32" s="917">
        <f t="shared" si="6"/>
        <v>0</v>
      </c>
      <c r="AD32" s="917">
        <f t="shared" si="6"/>
        <v>0</v>
      </c>
      <c r="AE32" s="917">
        <f t="shared" si="6"/>
        <v>0</v>
      </c>
      <c r="AF32" s="917">
        <f t="shared" si="6"/>
        <v>0</v>
      </c>
      <c r="AG32" s="917">
        <f t="shared" si="6"/>
        <v>0</v>
      </c>
      <c r="AH32" s="917">
        <f t="shared" si="6"/>
        <v>0</v>
      </c>
      <c r="AI32" s="917">
        <f t="shared" si="6"/>
        <v>0</v>
      </c>
      <c r="AJ32" s="917">
        <f t="shared" si="6"/>
        <v>0</v>
      </c>
      <c r="AK32" s="917">
        <f t="shared" si="6"/>
        <v>0</v>
      </c>
      <c r="AL32" s="917">
        <f t="shared" si="6"/>
        <v>0</v>
      </c>
      <c r="AM32" s="917">
        <f t="shared" si="6"/>
        <v>0</v>
      </c>
    </row>
    <row r="33" spans="3:40" x14ac:dyDescent="0.35">
      <c r="C33" s="915" t="s">
        <v>3</v>
      </c>
      <c r="D33" s="811">
        <f t="shared" si="5"/>
        <v>32799.319046289791</v>
      </c>
      <c r="E33" s="917">
        <f t="shared" ref="E33:AM33" si="7">E26*$E$46</f>
        <v>32799.319046289791</v>
      </c>
      <c r="F33" s="917">
        <f t="shared" si="7"/>
        <v>0</v>
      </c>
      <c r="G33" s="917">
        <f t="shared" si="7"/>
        <v>0</v>
      </c>
      <c r="H33" s="917">
        <f t="shared" si="7"/>
        <v>0</v>
      </c>
      <c r="I33" s="917">
        <f t="shared" si="7"/>
        <v>0</v>
      </c>
      <c r="J33" s="917">
        <f t="shared" si="7"/>
        <v>0</v>
      </c>
      <c r="K33" s="917">
        <f t="shared" si="7"/>
        <v>0</v>
      </c>
      <c r="L33" s="917">
        <f t="shared" si="7"/>
        <v>0</v>
      </c>
      <c r="M33" s="917">
        <f t="shared" si="7"/>
        <v>0</v>
      </c>
      <c r="N33" s="917">
        <f t="shared" si="7"/>
        <v>0</v>
      </c>
      <c r="O33" s="917">
        <f t="shared" si="7"/>
        <v>0</v>
      </c>
      <c r="P33" s="917">
        <f t="shared" si="7"/>
        <v>0</v>
      </c>
      <c r="Q33" s="917">
        <f t="shared" si="7"/>
        <v>0</v>
      </c>
      <c r="R33" s="917">
        <f t="shared" si="7"/>
        <v>0</v>
      </c>
      <c r="S33" s="917">
        <f t="shared" si="7"/>
        <v>0</v>
      </c>
      <c r="T33" s="917">
        <f t="shared" si="7"/>
        <v>0</v>
      </c>
      <c r="U33" s="917">
        <f t="shared" si="7"/>
        <v>0</v>
      </c>
      <c r="V33" s="917">
        <f t="shared" si="7"/>
        <v>0</v>
      </c>
      <c r="W33" s="917">
        <f t="shared" si="7"/>
        <v>0</v>
      </c>
      <c r="X33" s="917">
        <f t="shared" si="7"/>
        <v>0</v>
      </c>
      <c r="Y33" s="917">
        <f t="shared" si="7"/>
        <v>0</v>
      </c>
      <c r="Z33" s="917">
        <f t="shared" si="7"/>
        <v>0</v>
      </c>
      <c r="AA33" s="917">
        <f t="shared" si="7"/>
        <v>0</v>
      </c>
      <c r="AB33" s="917">
        <f t="shared" si="7"/>
        <v>0</v>
      </c>
      <c r="AC33" s="917">
        <f t="shared" si="7"/>
        <v>0</v>
      </c>
      <c r="AD33" s="917">
        <f t="shared" si="7"/>
        <v>0</v>
      </c>
      <c r="AE33" s="917">
        <f t="shared" si="7"/>
        <v>0</v>
      </c>
      <c r="AF33" s="917">
        <f t="shared" si="7"/>
        <v>0</v>
      </c>
      <c r="AG33" s="917">
        <f t="shared" si="7"/>
        <v>0</v>
      </c>
      <c r="AH33" s="917">
        <f t="shared" si="7"/>
        <v>0</v>
      </c>
      <c r="AI33" s="917">
        <f t="shared" si="7"/>
        <v>0</v>
      </c>
      <c r="AJ33" s="917">
        <f t="shared" si="7"/>
        <v>0</v>
      </c>
      <c r="AK33" s="917">
        <f t="shared" si="7"/>
        <v>0</v>
      </c>
      <c r="AL33" s="917">
        <f t="shared" si="7"/>
        <v>0</v>
      </c>
      <c r="AM33" s="917">
        <f t="shared" si="7"/>
        <v>0</v>
      </c>
    </row>
    <row r="34" spans="3:40" x14ac:dyDescent="0.35">
      <c r="C34" s="915" t="s">
        <v>4</v>
      </c>
      <c r="D34" s="811">
        <f t="shared" si="5"/>
        <v>87517.129274586216</v>
      </c>
      <c r="E34" s="917">
        <f t="shared" ref="E34:AM34" si="8">E26*$E$47</f>
        <v>87517.129274586216</v>
      </c>
      <c r="F34" s="917">
        <f t="shared" si="8"/>
        <v>0</v>
      </c>
      <c r="G34" s="917">
        <f t="shared" si="8"/>
        <v>0</v>
      </c>
      <c r="H34" s="917">
        <f t="shared" si="8"/>
        <v>0</v>
      </c>
      <c r="I34" s="917">
        <f t="shared" si="8"/>
        <v>0</v>
      </c>
      <c r="J34" s="917">
        <f t="shared" si="8"/>
        <v>0</v>
      </c>
      <c r="K34" s="917">
        <f t="shared" si="8"/>
        <v>0</v>
      </c>
      <c r="L34" s="917">
        <f t="shared" si="8"/>
        <v>0</v>
      </c>
      <c r="M34" s="917">
        <f t="shared" si="8"/>
        <v>0</v>
      </c>
      <c r="N34" s="917">
        <f t="shared" si="8"/>
        <v>0</v>
      </c>
      <c r="O34" s="917">
        <f t="shared" si="8"/>
        <v>0</v>
      </c>
      <c r="P34" s="917">
        <f t="shared" si="8"/>
        <v>0</v>
      </c>
      <c r="Q34" s="917">
        <f t="shared" si="8"/>
        <v>0</v>
      </c>
      <c r="R34" s="917">
        <f t="shared" si="8"/>
        <v>0</v>
      </c>
      <c r="S34" s="917">
        <f t="shared" si="8"/>
        <v>0</v>
      </c>
      <c r="T34" s="917">
        <f t="shared" si="8"/>
        <v>0</v>
      </c>
      <c r="U34" s="917">
        <f t="shared" si="8"/>
        <v>0</v>
      </c>
      <c r="V34" s="917">
        <f t="shared" si="8"/>
        <v>0</v>
      </c>
      <c r="W34" s="917">
        <f t="shared" si="8"/>
        <v>0</v>
      </c>
      <c r="X34" s="917">
        <f t="shared" si="8"/>
        <v>0</v>
      </c>
      <c r="Y34" s="917">
        <f t="shared" si="8"/>
        <v>0</v>
      </c>
      <c r="Z34" s="917">
        <f t="shared" si="8"/>
        <v>0</v>
      </c>
      <c r="AA34" s="917">
        <f t="shared" si="8"/>
        <v>0</v>
      </c>
      <c r="AB34" s="917">
        <f t="shared" si="8"/>
        <v>0</v>
      </c>
      <c r="AC34" s="917">
        <f t="shared" si="8"/>
        <v>0</v>
      </c>
      <c r="AD34" s="917">
        <f t="shared" si="8"/>
        <v>0</v>
      </c>
      <c r="AE34" s="917">
        <f t="shared" si="8"/>
        <v>0</v>
      </c>
      <c r="AF34" s="917">
        <f t="shared" si="8"/>
        <v>0</v>
      </c>
      <c r="AG34" s="917">
        <f t="shared" si="8"/>
        <v>0</v>
      </c>
      <c r="AH34" s="917">
        <f t="shared" si="8"/>
        <v>0</v>
      </c>
      <c r="AI34" s="917">
        <f t="shared" si="8"/>
        <v>0</v>
      </c>
      <c r="AJ34" s="917">
        <f t="shared" si="8"/>
        <v>0</v>
      </c>
      <c r="AK34" s="917">
        <f t="shared" si="8"/>
        <v>0</v>
      </c>
      <c r="AL34" s="917">
        <f t="shared" si="8"/>
        <v>0</v>
      </c>
      <c r="AM34" s="917">
        <f t="shared" si="8"/>
        <v>0</v>
      </c>
    </row>
    <row r="35" spans="3:40" x14ac:dyDescent="0.35">
      <c r="C35" s="915" t="s">
        <v>5</v>
      </c>
      <c r="D35" s="811">
        <f t="shared" si="5"/>
        <v>190071.13764878787</v>
      </c>
      <c r="E35" s="917">
        <f t="shared" ref="E35:AM35" si="9">E26*$E$48</f>
        <v>190071.13764878787</v>
      </c>
      <c r="F35" s="917">
        <f t="shared" si="9"/>
        <v>0</v>
      </c>
      <c r="G35" s="917">
        <f t="shared" si="9"/>
        <v>0</v>
      </c>
      <c r="H35" s="917">
        <f t="shared" si="9"/>
        <v>0</v>
      </c>
      <c r="I35" s="917">
        <f t="shared" si="9"/>
        <v>0</v>
      </c>
      <c r="J35" s="917">
        <f t="shared" si="9"/>
        <v>0</v>
      </c>
      <c r="K35" s="917">
        <f t="shared" si="9"/>
        <v>0</v>
      </c>
      <c r="L35" s="917">
        <f t="shared" si="9"/>
        <v>0</v>
      </c>
      <c r="M35" s="917">
        <f t="shared" si="9"/>
        <v>0</v>
      </c>
      <c r="N35" s="917">
        <f t="shared" si="9"/>
        <v>0</v>
      </c>
      <c r="O35" s="917">
        <f t="shared" si="9"/>
        <v>0</v>
      </c>
      <c r="P35" s="917">
        <f t="shared" si="9"/>
        <v>0</v>
      </c>
      <c r="Q35" s="917">
        <f t="shared" si="9"/>
        <v>0</v>
      </c>
      <c r="R35" s="917">
        <f t="shared" si="9"/>
        <v>0</v>
      </c>
      <c r="S35" s="917">
        <f t="shared" si="9"/>
        <v>0</v>
      </c>
      <c r="T35" s="917">
        <f t="shared" si="9"/>
        <v>0</v>
      </c>
      <c r="U35" s="917">
        <f t="shared" si="9"/>
        <v>0</v>
      </c>
      <c r="V35" s="917">
        <f t="shared" si="9"/>
        <v>0</v>
      </c>
      <c r="W35" s="917">
        <f t="shared" si="9"/>
        <v>0</v>
      </c>
      <c r="X35" s="917">
        <f t="shared" si="9"/>
        <v>0</v>
      </c>
      <c r="Y35" s="917">
        <f t="shared" si="9"/>
        <v>0</v>
      </c>
      <c r="Z35" s="917">
        <f t="shared" si="9"/>
        <v>0</v>
      </c>
      <c r="AA35" s="917">
        <f t="shared" si="9"/>
        <v>0</v>
      </c>
      <c r="AB35" s="917">
        <f t="shared" si="9"/>
        <v>0</v>
      </c>
      <c r="AC35" s="917">
        <f t="shared" si="9"/>
        <v>0</v>
      </c>
      <c r="AD35" s="917">
        <f t="shared" si="9"/>
        <v>0</v>
      </c>
      <c r="AE35" s="917">
        <f t="shared" si="9"/>
        <v>0</v>
      </c>
      <c r="AF35" s="917">
        <f t="shared" si="9"/>
        <v>0</v>
      </c>
      <c r="AG35" s="917">
        <f t="shared" si="9"/>
        <v>0</v>
      </c>
      <c r="AH35" s="917">
        <f t="shared" si="9"/>
        <v>0</v>
      </c>
      <c r="AI35" s="917">
        <f t="shared" si="9"/>
        <v>0</v>
      </c>
      <c r="AJ35" s="917">
        <f t="shared" si="9"/>
        <v>0</v>
      </c>
      <c r="AK35" s="917">
        <f t="shared" si="9"/>
        <v>0</v>
      </c>
      <c r="AL35" s="917">
        <f t="shared" si="9"/>
        <v>0</v>
      </c>
      <c r="AM35" s="917">
        <f t="shared" si="9"/>
        <v>0</v>
      </c>
    </row>
    <row r="36" spans="3:40" x14ac:dyDescent="0.35">
      <c r="C36" s="915" t="s">
        <v>6</v>
      </c>
      <c r="D36" s="811">
        <f t="shared" si="5"/>
        <v>2104054.2516746712</v>
      </c>
      <c r="E36" s="917">
        <f t="shared" ref="E36:AM36" si="10">E26*$E$49</f>
        <v>2104054.2516746712</v>
      </c>
      <c r="F36" s="917">
        <f t="shared" si="10"/>
        <v>0</v>
      </c>
      <c r="G36" s="917">
        <f t="shared" si="10"/>
        <v>0</v>
      </c>
      <c r="H36" s="917">
        <f t="shared" si="10"/>
        <v>0</v>
      </c>
      <c r="I36" s="917">
        <f t="shared" si="10"/>
        <v>0</v>
      </c>
      <c r="J36" s="917">
        <f t="shared" si="10"/>
        <v>0</v>
      </c>
      <c r="K36" s="917">
        <f t="shared" si="10"/>
        <v>0</v>
      </c>
      <c r="L36" s="917">
        <f t="shared" si="10"/>
        <v>0</v>
      </c>
      <c r="M36" s="917">
        <f t="shared" si="10"/>
        <v>0</v>
      </c>
      <c r="N36" s="917">
        <f t="shared" si="10"/>
        <v>0</v>
      </c>
      <c r="O36" s="917">
        <f t="shared" si="10"/>
        <v>0</v>
      </c>
      <c r="P36" s="917">
        <f t="shared" si="10"/>
        <v>0</v>
      </c>
      <c r="Q36" s="917">
        <f t="shared" si="10"/>
        <v>0</v>
      </c>
      <c r="R36" s="917">
        <f t="shared" si="10"/>
        <v>0</v>
      </c>
      <c r="S36" s="917">
        <f t="shared" si="10"/>
        <v>0</v>
      </c>
      <c r="T36" s="917">
        <f t="shared" si="10"/>
        <v>0</v>
      </c>
      <c r="U36" s="917">
        <f t="shared" si="10"/>
        <v>0</v>
      </c>
      <c r="V36" s="917">
        <f t="shared" si="10"/>
        <v>0</v>
      </c>
      <c r="W36" s="917">
        <f t="shared" si="10"/>
        <v>0</v>
      </c>
      <c r="X36" s="917">
        <f t="shared" si="10"/>
        <v>0</v>
      </c>
      <c r="Y36" s="917">
        <f t="shared" si="10"/>
        <v>0</v>
      </c>
      <c r="Z36" s="917">
        <f t="shared" si="10"/>
        <v>0</v>
      </c>
      <c r="AA36" s="917">
        <f t="shared" si="10"/>
        <v>0</v>
      </c>
      <c r="AB36" s="917">
        <f t="shared" si="10"/>
        <v>0</v>
      </c>
      <c r="AC36" s="917">
        <f t="shared" si="10"/>
        <v>0</v>
      </c>
      <c r="AD36" s="917">
        <f t="shared" si="10"/>
        <v>0</v>
      </c>
      <c r="AE36" s="917">
        <f t="shared" si="10"/>
        <v>0</v>
      </c>
      <c r="AF36" s="917">
        <f t="shared" si="10"/>
        <v>0</v>
      </c>
      <c r="AG36" s="917">
        <f t="shared" si="10"/>
        <v>0</v>
      </c>
      <c r="AH36" s="917">
        <f t="shared" si="10"/>
        <v>0</v>
      </c>
      <c r="AI36" s="917">
        <f t="shared" si="10"/>
        <v>0</v>
      </c>
      <c r="AJ36" s="917">
        <f t="shared" si="10"/>
        <v>0</v>
      </c>
      <c r="AK36" s="917">
        <f t="shared" si="10"/>
        <v>0</v>
      </c>
      <c r="AL36" s="917">
        <f t="shared" si="10"/>
        <v>0</v>
      </c>
      <c r="AM36" s="917">
        <f t="shared" si="10"/>
        <v>0</v>
      </c>
    </row>
    <row r="37" spans="3:40" x14ac:dyDescent="0.35">
      <c r="C37" s="915" t="s">
        <v>7</v>
      </c>
      <c r="D37" s="811">
        <f t="shared" si="5"/>
        <v>171807.65108517444</v>
      </c>
      <c r="E37" s="917">
        <f t="shared" ref="E37:AM37" si="11">E26*$E$50</f>
        <v>171807.65108517444</v>
      </c>
      <c r="F37" s="917">
        <f t="shared" si="11"/>
        <v>0</v>
      </c>
      <c r="G37" s="917">
        <f t="shared" si="11"/>
        <v>0</v>
      </c>
      <c r="H37" s="917">
        <f t="shared" si="11"/>
        <v>0</v>
      </c>
      <c r="I37" s="917">
        <f t="shared" si="11"/>
        <v>0</v>
      </c>
      <c r="J37" s="917">
        <f t="shared" si="11"/>
        <v>0</v>
      </c>
      <c r="K37" s="917">
        <f t="shared" si="11"/>
        <v>0</v>
      </c>
      <c r="L37" s="917">
        <f t="shared" si="11"/>
        <v>0</v>
      </c>
      <c r="M37" s="917">
        <f t="shared" si="11"/>
        <v>0</v>
      </c>
      <c r="N37" s="917">
        <f t="shared" si="11"/>
        <v>0</v>
      </c>
      <c r="O37" s="917">
        <f t="shared" si="11"/>
        <v>0</v>
      </c>
      <c r="P37" s="917">
        <f t="shared" si="11"/>
        <v>0</v>
      </c>
      <c r="Q37" s="917">
        <f t="shared" si="11"/>
        <v>0</v>
      </c>
      <c r="R37" s="917">
        <f t="shared" si="11"/>
        <v>0</v>
      </c>
      <c r="S37" s="917">
        <f t="shared" si="11"/>
        <v>0</v>
      </c>
      <c r="T37" s="917">
        <f t="shared" si="11"/>
        <v>0</v>
      </c>
      <c r="U37" s="917">
        <f t="shared" si="11"/>
        <v>0</v>
      </c>
      <c r="V37" s="917">
        <f t="shared" si="11"/>
        <v>0</v>
      </c>
      <c r="W37" s="917">
        <f t="shared" si="11"/>
        <v>0</v>
      </c>
      <c r="X37" s="917">
        <f t="shared" si="11"/>
        <v>0</v>
      </c>
      <c r="Y37" s="917">
        <f t="shared" si="11"/>
        <v>0</v>
      </c>
      <c r="Z37" s="917">
        <f t="shared" si="11"/>
        <v>0</v>
      </c>
      <c r="AA37" s="917">
        <f t="shared" si="11"/>
        <v>0</v>
      </c>
      <c r="AB37" s="917">
        <f t="shared" si="11"/>
        <v>0</v>
      </c>
      <c r="AC37" s="917">
        <f t="shared" si="11"/>
        <v>0</v>
      </c>
      <c r="AD37" s="917">
        <f t="shared" si="11"/>
        <v>0</v>
      </c>
      <c r="AE37" s="917">
        <f t="shared" si="11"/>
        <v>0</v>
      </c>
      <c r="AF37" s="917">
        <f t="shared" si="11"/>
        <v>0</v>
      </c>
      <c r="AG37" s="917">
        <f t="shared" si="11"/>
        <v>0</v>
      </c>
      <c r="AH37" s="917">
        <f t="shared" si="11"/>
        <v>0</v>
      </c>
      <c r="AI37" s="917">
        <f t="shared" si="11"/>
        <v>0</v>
      </c>
      <c r="AJ37" s="917">
        <f t="shared" si="11"/>
        <v>0</v>
      </c>
      <c r="AK37" s="917">
        <f t="shared" si="11"/>
        <v>0</v>
      </c>
      <c r="AL37" s="917">
        <f t="shared" si="11"/>
        <v>0</v>
      </c>
      <c r="AM37" s="917">
        <f t="shared" si="11"/>
        <v>0</v>
      </c>
    </row>
    <row r="38" spans="3:40" x14ac:dyDescent="0.35">
      <c r="C38" s="915" t="s">
        <v>8</v>
      </c>
      <c r="D38" s="811">
        <f t="shared" si="5"/>
        <v>156525.73686199318</v>
      </c>
      <c r="E38" s="917">
        <f t="shared" ref="E38:AM38" si="12">E26*$E$51</f>
        <v>156525.73686199318</v>
      </c>
      <c r="F38" s="917">
        <f t="shared" si="12"/>
        <v>0</v>
      </c>
      <c r="G38" s="917">
        <f t="shared" si="12"/>
        <v>0</v>
      </c>
      <c r="H38" s="917">
        <f t="shared" si="12"/>
        <v>0</v>
      </c>
      <c r="I38" s="917">
        <f t="shared" si="12"/>
        <v>0</v>
      </c>
      <c r="J38" s="917">
        <f t="shared" si="12"/>
        <v>0</v>
      </c>
      <c r="K38" s="917">
        <f t="shared" si="12"/>
        <v>0</v>
      </c>
      <c r="L38" s="917">
        <f t="shared" si="12"/>
        <v>0</v>
      </c>
      <c r="M38" s="917">
        <f t="shared" si="12"/>
        <v>0</v>
      </c>
      <c r="N38" s="917">
        <f t="shared" si="12"/>
        <v>0</v>
      </c>
      <c r="O38" s="917">
        <f t="shared" si="12"/>
        <v>0</v>
      </c>
      <c r="P38" s="917">
        <f t="shared" si="12"/>
        <v>0</v>
      </c>
      <c r="Q38" s="917">
        <f t="shared" si="12"/>
        <v>0</v>
      </c>
      <c r="R38" s="917">
        <f t="shared" si="12"/>
        <v>0</v>
      </c>
      <c r="S38" s="917">
        <f t="shared" si="12"/>
        <v>0</v>
      </c>
      <c r="T38" s="917">
        <f t="shared" si="12"/>
        <v>0</v>
      </c>
      <c r="U38" s="917">
        <f t="shared" si="12"/>
        <v>0</v>
      </c>
      <c r="V38" s="917">
        <f t="shared" si="12"/>
        <v>0</v>
      </c>
      <c r="W38" s="917">
        <f t="shared" si="12"/>
        <v>0</v>
      </c>
      <c r="X38" s="917">
        <f t="shared" si="12"/>
        <v>0</v>
      </c>
      <c r="Y38" s="917">
        <f t="shared" si="12"/>
        <v>0</v>
      </c>
      <c r="Z38" s="917">
        <f t="shared" si="12"/>
        <v>0</v>
      </c>
      <c r="AA38" s="917">
        <f t="shared" si="12"/>
        <v>0</v>
      </c>
      <c r="AB38" s="917">
        <f t="shared" si="12"/>
        <v>0</v>
      </c>
      <c r="AC38" s="917">
        <f t="shared" si="12"/>
        <v>0</v>
      </c>
      <c r="AD38" s="917">
        <f t="shared" si="12"/>
        <v>0</v>
      </c>
      <c r="AE38" s="917">
        <f t="shared" si="12"/>
        <v>0</v>
      </c>
      <c r="AF38" s="917">
        <f t="shared" si="12"/>
        <v>0</v>
      </c>
      <c r="AG38" s="917">
        <f t="shared" si="12"/>
        <v>0</v>
      </c>
      <c r="AH38" s="917">
        <f t="shared" si="12"/>
        <v>0</v>
      </c>
      <c r="AI38" s="917">
        <f t="shared" si="12"/>
        <v>0</v>
      </c>
      <c r="AJ38" s="917">
        <f t="shared" si="12"/>
        <v>0</v>
      </c>
      <c r="AK38" s="917">
        <f t="shared" si="12"/>
        <v>0</v>
      </c>
      <c r="AL38" s="917">
        <f t="shared" si="12"/>
        <v>0</v>
      </c>
      <c r="AM38" s="917">
        <f t="shared" si="12"/>
        <v>0</v>
      </c>
    </row>
    <row r="39" spans="3:40" x14ac:dyDescent="0.35">
      <c r="C39" s="915" t="s">
        <v>9</v>
      </c>
      <c r="D39" s="811">
        <f t="shared" si="5"/>
        <v>128434.71815353107</v>
      </c>
      <c r="E39" s="917">
        <f t="shared" ref="E39:AM39" si="13">E26*$E$52</f>
        <v>128434.71815353107</v>
      </c>
      <c r="F39" s="917">
        <f t="shared" si="13"/>
        <v>0</v>
      </c>
      <c r="G39" s="917">
        <f t="shared" si="13"/>
        <v>0</v>
      </c>
      <c r="H39" s="917">
        <f t="shared" si="13"/>
        <v>0</v>
      </c>
      <c r="I39" s="917">
        <f t="shared" si="13"/>
        <v>0</v>
      </c>
      <c r="J39" s="917">
        <f t="shared" si="13"/>
        <v>0</v>
      </c>
      <c r="K39" s="917">
        <f t="shared" si="13"/>
        <v>0</v>
      </c>
      <c r="L39" s="917">
        <f t="shared" si="13"/>
        <v>0</v>
      </c>
      <c r="M39" s="917">
        <f t="shared" si="13"/>
        <v>0</v>
      </c>
      <c r="N39" s="917">
        <f t="shared" si="13"/>
        <v>0</v>
      </c>
      <c r="O39" s="917">
        <f t="shared" si="13"/>
        <v>0</v>
      </c>
      <c r="P39" s="917">
        <f t="shared" si="13"/>
        <v>0</v>
      </c>
      <c r="Q39" s="917">
        <f t="shared" si="13"/>
        <v>0</v>
      </c>
      <c r="R39" s="917">
        <f t="shared" si="13"/>
        <v>0</v>
      </c>
      <c r="S39" s="917">
        <f t="shared" si="13"/>
        <v>0</v>
      </c>
      <c r="T39" s="917">
        <f t="shared" si="13"/>
        <v>0</v>
      </c>
      <c r="U39" s="917">
        <f t="shared" si="13"/>
        <v>0</v>
      </c>
      <c r="V39" s="917">
        <f t="shared" si="13"/>
        <v>0</v>
      </c>
      <c r="W39" s="917">
        <f t="shared" si="13"/>
        <v>0</v>
      </c>
      <c r="X39" s="917">
        <f t="shared" si="13"/>
        <v>0</v>
      </c>
      <c r="Y39" s="917">
        <f t="shared" si="13"/>
        <v>0</v>
      </c>
      <c r="Z39" s="917">
        <f t="shared" si="13"/>
        <v>0</v>
      </c>
      <c r="AA39" s="917">
        <f t="shared" si="13"/>
        <v>0</v>
      </c>
      <c r="AB39" s="917">
        <f t="shared" si="13"/>
        <v>0</v>
      </c>
      <c r="AC39" s="917">
        <f t="shared" si="13"/>
        <v>0</v>
      </c>
      <c r="AD39" s="917">
        <f t="shared" si="13"/>
        <v>0</v>
      </c>
      <c r="AE39" s="917">
        <f t="shared" si="13"/>
        <v>0</v>
      </c>
      <c r="AF39" s="917">
        <f t="shared" si="13"/>
        <v>0</v>
      </c>
      <c r="AG39" s="917">
        <f t="shared" si="13"/>
        <v>0</v>
      </c>
      <c r="AH39" s="917">
        <f t="shared" si="13"/>
        <v>0</v>
      </c>
      <c r="AI39" s="917">
        <f t="shared" si="13"/>
        <v>0</v>
      </c>
      <c r="AJ39" s="917">
        <f t="shared" si="13"/>
        <v>0</v>
      </c>
      <c r="AK39" s="917">
        <f t="shared" si="13"/>
        <v>0</v>
      </c>
      <c r="AL39" s="917">
        <f t="shared" si="13"/>
        <v>0</v>
      </c>
      <c r="AM39" s="917">
        <f t="shared" si="13"/>
        <v>0</v>
      </c>
    </row>
    <row r="40" spans="3:40" x14ac:dyDescent="0.35">
      <c r="C40" s="800" t="s">
        <v>455</v>
      </c>
      <c r="D40" s="801">
        <f t="shared" ref="D40:AM40" si="14">SUM(D31:D39)</f>
        <v>3166627.4000000008</v>
      </c>
      <c r="E40" s="801">
        <f t="shared" si="14"/>
        <v>3166627.4000000008</v>
      </c>
      <c r="F40" s="801">
        <f t="shared" si="14"/>
        <v>0</v>
      </c>
      <c r="G40" s="801">
        <f t="shared" si="14"/>
        <v>0</v>
      </c>
      <c r="H40" s="801">
        <f t="shared" si="14"/>
        <v>0</v>
      </c>
      <c r="I40" s="801">
        <f t="shared" si="14"/>
        <v>0</v>
      </c>
      <c r="J40" s="801">
        <f t="shared" si="14"/>
        <v>0</v>
      </c>
      <c r="K40" s="801">
        <f t="shared" si="14"/>
        <v>0</v>
      </c>
      <c r="L40" s="801">
        <f t="shared" si="14"/>
        <v>0</v>
      </c>
      <c r="M40" s="801">
        <f t="shared" si="14"/>
        <v>0</v>
      </c>
      <c r="N40" s="801">
        <f t="shared" si="14"/>
        <v>0</v>
      </c>
      <c r="O40" s="801">
        <f t="shared" si="14"/>
        <v>0</v>
      </c>
      <c r="P40" s="801">
        <f t="shared" si="14"/>
        <v>0</v>
      </c>
      <c r="Q40" s="801">
        <f t="shared" si="14"/>
        <v>0</v>
      </c>
      <c r="R40" s="801">
        <f t="shared" si="14"/>
        <v>0</v>
      </c>
      <c r="S40" s="801">
        <f t="shared" si="14"/>
        <v>0</v>
      </c>
      <c r="T40" s="801">
        <f t="shared" si="14"/>
        <v>0</v>
      </c>
      <c r="U40" s="801">
        <f t="shared" si="14"/>
        <v>0</v>
      </c>
      <c r="V40" s="801">
        <f t="shared" si="14"/>
        <v>0</v>
      </c>
      <c r="W40" s="801">
        <f t="shared" si="14"/>
        <v>0</v>
      </c>
      <c r="X40" s="801">
        <f t="shared" si="14"/>
        <v>0</v>
      </c>
      <c r="Y40" s="801">
        <f t="shared" si="14"/>
        <v>0</v>
      </c>
      <c r="Z40" s="801">
        <f t="shared" si="14"/>
        <v>0</v>
      </c>
      <c r="AA40" s="801">
        <f t="shared" si="14"/>
        <v>0</v>
      </c>
      <c r="AB40" s="801">
        <f t="shared" si="14"/>
        <v>0</v>
      </c>
      <c r="AC40" s="801">
        <f t="shared" si="14"/>
        <v>0</v>
      </c>
      <c r="AD40" s="801">
        <f t="shared" si="14"/>
        <v>0</v>
      </c>
      <c r="AE40" s="801">
        <f t="shared" si="14"/>
        <v>0</v>
      </c>
      <c r="AF40" s="801">
        <f t="shared" si="14"/>
        <v>0</v>
      </c>
      <c r="AG40" s="801">
        <f t="shared" si="14"/>
        <v>0</v>
      </c>
      <c r="AH40" s="801">
        <f t="shared" si="14"/>
        <v>0</v>
      </c>
      <c r="AI40" s="801">
        <f t="shared" si="14"/>
        <v>0</v>
      </c>
      <c r="AJ40" s="801">
        <f t="shared" si="14"/>
        <v>0</v>
      </c>
      <c r="AK40" s="801">
        <f t="shared" si="14"/>
        <v>0</v>
      </c>
      <c r="AL40" s="801">
        <f t="shared" si="14"/>
        <v>0</v>
      </c>
      <c r="AM40" s="801">
        <f t="shared" si="14"/>
        <v>0</v>
      </c>
    </row>
    <row r="41" spans="3:40" x14ac:dyDescent="0.35">
      <c r="C41" s="280"/>
      <c r="D41" s="280"/>
      <c r="E41" s="527"/>
      <c r="F41" s="527"/>
      <c r="G41" s="527"/>
      <c r="H41" s="527"/>
      <c r="I41" s="527"/>
      <c r="J41" s="527"/>
      <c r="K41" s="527"/>
      <c r="L41" s="527"/>
      <c r="M41" s="527"/>
      <c r="N41" s="527"/>
      <c r="O41" s="527"/>
      <c r="P41" s="527"/>
      <c r="Q41" s="527"/>
      <c r="R41" s="527"/>
      <c r="S41" s="527"/>
      <c r="T41" s="527"/>
      <c r="U41" s="527"/>
      <c r="V41" s="527"/>
      <c r="W41" s="527"/>
      <c r="X41" s="527"/>
      <c r="Y41" s="527"/>
      <c r="Z41" s="527"/>
      <c r="AA41" s="527"/>
      <c r="AB41" s="527"/>
      <c r="AC41" s="527"/>
      <c r="AD41" s="527"/>
      <c r="AE41" s="527"/>
      <c r="AF41" s="527"/>
      <c r="AG41" s="527"/>
      <c r="AH41" s="527"/>
      <c r="AI41" s="527"/>
      <c r="AJ41" s="527"/>
      <c r="AK41" s="527"/>
      <c r="AL41" s="527"/>
      <c r="AM41" s="527"/>
      <c r="AN41" s="527"/>
    </row>
    <row r="42" spans="3:40" x14ac:dyDescent="0.35">
      <c r="C42" s="77" t="s">
        <v>839</v>
      </c>
      <c r="D42"/>
    </row>
    <row r="43" spans="3:40" x14ac:dyDescent="0.35">
      <c r="C43" s="862" t="s">
        <v>68</v>
      </c>
      <c r="D43" s="892"/>
      <c r="E43" s="802" t="s">
        <v>176</v>
      </c>
      <c r="F43" s="246"/>
      <c r="G43" s="1014"/>
      <c r="H43" s="1014"/>
      <c r="I43" s="1014"/>
      <c r="J43" s="1014"/>
      <c r="K43" s="1014"/>
      <c r="L43" s="1014"/>
      <c r="M43" s="1014"/>
      <c r="N43" s="1014"/>
      <c r="O43" s="1014"/>
      <c r="P43" s="1014"/>
      <c r="Q43" s="1014"/>
      <c r="R43" s="1014"/>
      <c r="S43" s="1014"/>
      <c r="T43" s="1014"/>
      <c r="U43" s="1014"/>
      <c r="V43" s="1014"/>
      <c r="W43" s="1014"/>
      <c r="X43" s="1014"/>
      <c r="Y43" s="1014"/>
      <c r="Z43" s="1014"/>
      <c r="AA43" s="1014"/>
      <c r="AB43" s="1014"/>
      <c r="AC43" s="1014"/>
      <c r="AD43" s="1014"/>
      <c r="AE43" s="1014"/>
      <c r="AF43" s="1014"/>
      <c r="AG43" s="1014"/>
      <c r="AH43" s="1014"/>
      <c r="AI43" s="1014"/>
      <c r="AJ43" s="1014"/>
      <c r="AK43" s="1014"/>
      <c r="AL43" s="1014"/>
      <c r="AM43" s="1014"/>
      <c r="AN43" s="1014"/>
    </row>
    <row r="44" spans="3:40" x14ac:dyDescent="0.35">
      <c r="C44" s="895" t="s">
        <v>1</v>
      </c>
      <c r="D44" s="896"/>
      <c r="E44" s="1067">
        <f>'Premissas Gerais'!G165</f>
        <v>6.8271733926195486E-3</v>
      </c>
      <c r="F44" s="246"/>
      <c r="G44" s="1034"/>
      <c r="H44" s="1034"/>
      <c r="I44" s="1034"/>
      <c r="J44" s="1034"/>
      <c r="K44" s="1034"/>
      <c r="L44" s="1034"/>
      <c r="M44" s="1034"/>
      <c r="N44" s="1034"/>
      <c r="O44" s="1034"/>
      <c r="P44" s="1034"/>
      <c r="Q44" s="1034"/>
      <c r="R44" s="1034"/>
      <c r="S44" s="1034"/>
      <c r="T44" s="1034"/>
      <c r="U44" s="1034"/>
      <c r="V44" s="1034"/>
      <c r="W44" s="1034"/>
      <c r="X44" s="1034"/>
      <c r="Y44" s="1034"/>
      <c r="Z44" s="1034"/>
      <c r="AA44" s="1034"/>
      <c r="AB44" s="1034"/>
      <c r="AC44" s="1034"/>
      <c r="AD44" s="1034"/>
      <c r="AE44" s="1034"/>
      <c r="AF44" s="1034"/>
      <c r="AG44" s="1034"/>
      <c r="AH44" s="1034"/>
      <c r="AI44" s="1034"/>
      <c r="AJ44" s="1034"/>
      <c r="AK44" s="1034"/>
      <c r="AL44" s="1034"/>
      <c r="AM44" s="1034"/>
      <c r="AN44" s="1034"/>
    </row>
    <row r="45" spans="3:40" x14ac:dyDescent="0.35">
      <c r="C45" s="898" t="s">
        <v>2</v>
      </c>
      <c r="D45" s="899"/>
      <c r="E45" s="1068">
        <f>'Premissas Gerais'!G166</f>
        <v>8.6463706442174645E-2</v>
      </c>
      <c r="F45" s="246"/>
      <c r="G45" s="1034"/>
      <c r="H45" s="1034"/>
      <c r="I45" s="1034"/>
      <c r="J45" s="1034"/>
      <c r="K45" s="1034"/>
      <c r="L45" s="1034"/>
      <c r="M45" s="1034"/>
      <c r="N45" s="1034"/>
      <c r="O45" s="1034"/>
      <c r="P45" s="1034"/>
      <c r="Q45" s="1034"/>
      <c r="R45" s="1034"/>
      <c r="S45" s="1034"/>
      <c r="T45" s="1034"/>
      <c r="U45" s="1034"/>
      <c r="V45" s="1034"/>
      <c r="W45" s="1034"/>
      <c r="X45" s="1034"/>
      <c r="Y45" s="1034"/>
      <c r="Z45" s="1034"/>
      <c r="AA45" s="1034"/>
      <c r="AB45" s="1034"/>
      <c r="AC45" s="1034"/>
      <c r="AD45" s="1034"/>
      <c r="AE45" s="1034"/>
      <c r="AF45" s="1034"/>
      <c r="AG45" s="1034"/>
      <c r="AH45" s="1034"/>
      <c r="AI45" s="1034"/>
      <c r="AJ45" s="1034"/>
      <c r="AK45" s="1034"/>
      <c r="AL45" s="1034"/>
      <c r="AM45" s="1034"/>
      <c r="AN45" s="1034"/>
    </row>
    <row r="46" spans="3:40" x14ac:dyDescent="0.35">
      <c r="C46" s="898" t="s">
        <v>3</v>
      </c>
      <c r="D46" s="899"/>
      <c r="E46" s="1068">
        <f>'Premissas Gerais'!G167</f>
        <v>1.0357808135649236E-2</v>
      </c>
      <c r="F46" s="246"/>
      <c r="G46" s="1034"/>
      <c r="H46" s="1034"/>
      <c r="I46" s="1034"/>
      <c r="J46" s="1034"/>
      <c r="K46" s="1034"/>
      <c r="L46" s="1034"/>
      <c r="M46" s="1034"/>
      <c r="N46" s="1034"/>
      <c r="O46" s="1034"/>
      <c r="P46" s="1034"/>
      <c r="Q46" s="1034"/>
      <c r="R46" s="1034"/>
      <c r="S46" s="1034"/>
      <c r="T46" s="1034"/>
      <c r="U46" s="1034"/>
      <c r="V46" s="1034"/>
      <c r="W46" s="1034"/>
      <c r="X46" s="1034"/>
      <c r="Y46" s="1034"/>
      <c r="Z46" s="1034"/>
      <c r="AA46" s="1034"/>
      <c r="AB46" s="1034"/>
      <c r="AC46" s="1034"/>
      <c r="AD46" s="1034"/>
      <c r="AE46" s="1034"/>
      <c r="AF46" s="1034"/>
      <c r="AG46" s="1034"/>
      <c r="AH46" s="1034"/>
      <c r="AI46" s="1034"/>
      <c r="AJ46" s="1034"/>
      <c r="AK46" s="1034"/>
      <c r="AL46" s="1034"/>
      <c r="AM46" s="1034"/>
      <c r="AN46" s="1034"/>
    </row>
    <row r="47" spans="3:40" x14ac:dyDescent="0.35">
      <c r="C47" s="898" t="s">
        <v>4</v>
      </c>
      <c r="D47" s="899"/>
      <c r="E47" s="1068">
        <f>'Premissas Gerais'!G168</f>
        <v>2.7637330894877687E-2</v>
      </c>
      <c r="F47" s="246"/>
      <c r="G47" s="1034"/>
      <c r="H47" s="1034"/>
      <c r="I47" s="1034"/>
      <c r="J47" s="1034"/>
      <c r="K47" s="1034"/>
      <c r="L47" s="1034"/>
      <c r="M47" s="1034"/>
      <c r="N47" s="1034"/>
      <c r="O47" s="1034"/>
      <c r="P47" s="1034"/>
      <c r="Q47" s="1034"/>
      <c r="R47" s="1034"/>
      <c r="S47" s="1034"/>
      <c r="T47" s="1034"/>
      <c r="U47" s="1034"/>
      <c r="V47" s="1034"/>
      <c r="W47" s="1034"/>
      <c r="X47" s="1034"/>
      <c r="Y47" s="1034"/>
      <c r="Z47" s="1034"/>
      <c r="AA47" s="1034"/>
      <c r="AB47" s="1034"/>
      <c r="AC47" s="1034"/>
      <c r="AD47" s="1034"/>
      <c r="AE47" s="1034"/>
      <c r="AF47" s="1034"/>
      <c r="AG47" s="1034"/>
      <c r="AH47" s="1034"/>
      <c r="AI47" s="1034"/>
      <c r="AJ47" s="1034"/>
      <c r="AK47" s="1034"/>
      <c r="AL47" s="1034"/>
      <c r="AM47" s="1034"/>
      <c r="AN47" s="1034"/>
    </row>
    <row r="48" spans="3:40" x14ac:dyDescent="0.35">
      <c r="C48" s="898" t="s">
        <v>5</v>
      </c>
      <c r="D48" s="899"/>
      <c r="E48" s="1068">
        <f>'Premissas Gerais'!G169</f>
        <v>6.0023208808459072E-2</v>
      </c>
      <c r="F48" s="246"/>
      <c r="G48" s="1034"/>
      <c r="H48" s="1034"/>
      <c r="I48" s="1034"/>
      <c r="J48" s="1034"/>
      <c r="K48" s="1034"/>
      <c r="L48" s="1034"/>
      <c r="M48" s="1034"/>
      <c r="N48" s="1034"/>
      <c r="O48" s="1034"/>
      <c r="P48" s="1034"/>
      <c r="Q48" s="1034"/>
      <c r="R48" s="1034"/>
      <c r="S48" s="1034"/>
      <c r="T48" s="1034"/>
      <c r="U48" s="1034"/>
      <c r="V48" s="1034"/>
      <c r="W48" s="1034"/>
      <c r="X48" s="1034"/>
      <c r="Y48" s="1034"/>
      <c r="Z48" s="1034"/>
      <c r="AA48" s="1034"/>
      <c r="AB48" s="1034"/>
      <c r="AC48" s="1034"/>
      <c r="AD48" s="1034"/>
      <c r="AE48" s="1034"/>
      <c r="AF48" s="1034"/>
      <c r="AG48" s="1034"/>
      <c r="AH48" s="1034"/>
      <c r="AI48" s="1034"/>
      <c r="AJ48" s="1034"/>
      <c r="AK48" s="1034"/>
      <c r="AL48" s="1034"/>
      <c r="AM48" s="1034"/>
      <c r="AN48" s="1034"/>
    </row>
    <row r="49" spans="3:40" x14ac:dyDescent="0.35">
      <c r="C49" s="898" t="s">
        <v>6</v>
      </c>
      <c r="D49" s="899"/>
      <c r="E49" s="1068">
        <f>'Premissas Gerais'!G170</f>
        <v>0.66444642387502584</v>
      </c>
      <c r="F49" s="246"/>
      <c r="G49" s="1034"/>
      <c r="H49" s="1034"/>
      <c r="I49" s="1034"/>
      <c r="J49" s="1034"/>
      <c r="K49" s="1034"/>
      <c r="L49" s="1034"/>
      <c r="M49" s="1034"/>
      <c r="N49" s="1034"/>
      <c r="O49" s="1034"/>
      <c r="P49" s="1034"/>
      <c r="Q49" s="1034"/>
      <c r="R49" s="1034"/>
      <c r="S49" s="1034"/>
      <c r="T49" s="1034"/>
      <c r="U49" s="1034"/>
      <c r="V49" s="1034"/>
      <c r="W49" s="1034"/>
      <c r="X49" s="1034"/>
      <c r="Y49" s="1034"/>
      <c r="Z49" s="1034"/>
      <c r="AA49" s="1034"/>
      <c r="AB49" s="1034"/>
      <c r="AC49" s="1034"/>
      <c r="AD49" s="1034"/>
      <c r="AE49" s="1034"/>
      <c r="AF49" s="1034"/>
      <c r="AG49" s="1034"/>
      <c r="AH49" s="1034"/>
      <c r="AI49" s="1034"/>
      <c r="AJ49" s="1034"/>
      <c r="AK49" s="1034"/>
      <c r="AL49" s="1034"/>
      <c r="AM49" s="1034"/>
      <c r="AN49" s="1034"/>
    </row>
    <row r="50" spans="3:40" x14ac:dyDescent="0.35">
      <c r="C50" s="898" t="s">
        <v>7</v>
      </c>
      <c r="D50" s="899"/>
      <c r="E50" s="1068">
        <f>'Premissas Gerais'!G171</f>
        <v>5.4255720482041685E-2</v>
      </c>
      <c r="F50" s="246"/>
      <c r="G50" s="1034"/>
      <c r="H50" s="1034"/>
      <c r="I50" s="1034"/>
      <c r="J50" s="1034"/>
      <c r="K50" s="1034"/>
      <c r="L50" s="1034"/>
      <c r="M50" s="1034"/>
      <c r="N50" s="1034"/>
      <c r="O50" s="1034"/>
      <c r="P50" s="1034"/>
      <c r="Q50" s="1034"/>
      <c r="R50" s="1034"/>
      <c r="S50" s="1034"/>
      <c r="T50" s="1034"/>
      <c r="U50" s="1034"/>
      <c r="V50" s="1034"/>
      <c r="W50" s="1034"/>
      <c r="X50" s="1034"/>
      <c r="Y50" s="1034"/>
      <c r="Z50" s="1034"/>
      <c r="AA50" s="1034"/>
      <c r="AB50" s="1034"/>
      <c r="AC50" s="1034"/>
      <c r="AD50" s="1034"/>
      <c r="AE50" s="1034"/>
      <c r="AF50" s="1034"/>
      <c r="AG50" s="1034"/>
      <c r="AH50" s="1034"/>
      <c r="AI50" s="1034"/>
      <c r="AJ50" s="1034"/>
      <c r="AK50" s="1034"/>
      <c r="AL50" s="1034"/>
      <c r="AM50" s="1034"/>
      <c r="AN50" s="1034"/>
    </row>
    <row r="51" spans="3:40" x14ac:dyDescent="0.35">
      <c r="C51" s="898" t="s">
        <v>8</v>
      </c>
      <c r="D51" s="899"/>
      <c r="E51" s="1068">
        <f>'Premissas Gerais'!G172</f>
        <v>4.9429792991115142E-2</v>
      </c>
      <c r="F51" s="246"/>
      <c r="G51" s="1034"/>
      <c r="H51" s="1034"/>
      <c r="I51" s="1034"/>
      <c r="J51" s="1034"/>
      <c r="K51" s="1034"/>
      <c r="L51" s="1034"/>
      <c r="M51" s="1034"/>
      <c r="N51" s="1034"/>
      <c r="O51" s="1034"/>
      <c r="P51" s="1034"/>
      <c r="Q51" s="1034"/>
      <c r="R51" s="1034"/>
      <c r="S51" s="1034"/>
      <c r="T51" s="1034"/>
      <c r="U51" s="1034"/>
      <c r="V51" s="1034"/>
      <c r="W51" s="1034"/>
      <c r="X51" s="1034"/>
      <c r="Y51" s="1034"/>
      <c r="Z51" s="1034"/>
      <c r="AA51" s="1034"/>
      <c r="AB51" s="1034"/>
      <c r="AC51" s="1034"/>
      <c r="AD51" s="1034"/>
      <c r="AE51" s="1034"/>
      <c r="AF51" s="1034"/>
      <c r="AG51" s="1034"/>
      <c r="AH51" s="1034"/>
      <c r="AI51" s="1034"/>
      <c r="AJ51" s="1034"/>
      <c r="AK51" s="1034"/>
      <c r="AL51" s="1034"/>
      <c r="AM51" s="1034"/>
      <c r="AN51" s="1034"/>
    </row>
    <row r="52" spans="3:40" x14ac:dyDescent="0.35">
      <c r="C52" s="898" t="s">
        <v>9</v>
      </c>
      <c r="D52" s="899"/>
      <c r="E52" s="1068">
        <f>'Premissas Gerais'!G173</f>
        <v>4.0558834978037216E-2</v>
      </c>
      <c r="F52" s="246"/>
      <c r="G52" s="1034"/>
      <c r="H52" s="1034"/>
      <c r="I52" s="1034"/>
      <c r="J52" s="1034"/>
      <c r="K52" s="1034"/>
      <c r="L52" s="1034"/>
      <c r="M52" s="1034"/>
      <c r="N52" s="1034"/>
      <c r="O52" s="1034"/>
      <c r="P52" s="1034"/>
      <c r="Q52" s="1034"/>
      <c r="R52" s="1034"/>
      <c r="S52" s="1034"/>
      <c r="T52" s="1034"/>
      <c r="U52" s="1034"/>
      <c r="V52" s="1034"/>
      <c r="W52" s="1034"/>
      <c r="X52" s="1034"/>
      <c r="Y52" s="1034"/>
      <c r="Z52" s="1034"/>
      <c r="AA52" s="1034"/>
      <c r="AB52" s="1034"/>
      <c r="AC52" s="1034"/>
      <c r="AD52" s="1034"/>
      <c r="AE52" s="1034"/>
      <c r="AF52" s="1034"/>
      <c r="AG52" s="1034"/>
      <c r="AH52" s="1034"/>
      <c r="AI52" s="1034"/>
      <c r="AJ52" s="1034"/>
      <c r="AK52" s="1034"/>
      <c r="AL52" s="1034"/>
      <c r="AM52" s="1034"/>
      <c r="AN52" s="1034"/>
    </row>
    <row r="53" spans="3:40" x14ac:dyDescent="0.35">
      <c r="C53" s="800" t="s">
        <v>455</v>
      </c>
      <c r="D53" s="893"/>
      <c r="E53" s="891">
        <f>SUM(E44:E52)</f>
        <v>1</v>
      </c>
      <c r="F53" s="246"/>
      <c r="G53" s="1035"/>
      <c r="H53" s="1035"/>
      <c r="I53" s="1035"/>
      <c r="J53" s="1035"/>
      <c r="K53" s="1035"/>
      <c r="L53" s="1035"/>
      <c r="M53" s="1035"/>
      <c r="N53" s="1035"/>
      <c r="O53" s="1035"/>
      <c r="P53" s="1035"/>
      <c r="Q53" s="1035"/>
      <c r="R53" s="1035"/>
      <c r="S53" s="1035"/>
      <c r="T53" s="1035"/>
      <c r="U53" s="1035"/>
      <c r="V53" s="1035"/>
      <c r="W53" s="1035"/>
      <c r="X53" s="1035"/>
      <c r="Y53" s="1035"/>
      <c r="Z53" s="1035"/>
      <c r="AA53" s="1035"/>
      <c r="AB53" s="1035"/>
      <c r="AC53" s="1035"/>
      <c r="AD53" s="1035"/>
      <c r="AE53" s="1035"/>
      <c r="AF53" s="1035"/>
      <c r="AG53" s="1035"/>
      <c r="AH53" s="1035"/>
      <c r="AI53" s="1035"/>
      <c r="AJ53" s="1035"/>
      <c r="AK53" s="1035"/>
      <c r="AL53" s="1035"/>
      <c r="AM53" s="1035"/>
      <c r="AN53" s="1035"/>
    </row>
    <row r="54" spans="3:40" x14ac:dyDescent="0.35">
      <c r="D54"/>
    </row>
    <row r="55" spans="3:40" x14ac:dyDescent="0.35">
      <c r="D55"/>
    </row>
  </sheetData>
  <sheetProtection algorithmName="SHA-512" hashValue="XHkpgGylaUNste1Buc9YWyOmHAmKs77j4iyz6BvGGTrUIIsumjBnOKZqbx6vbZi6MOu0hKRfb3ivO4sTF8fqKA==" saltValue="sQuBBCjCbMZHgjjWJBzs/g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597E-FEBF-45E4-8E3E-68E671370BE3}">
  <sheetPr codeName="Planilha37"/>
  <dimension ref="B2:AQ77"/>
  <sheetViews>
    <sheetView showGridLines="0" topLeftCell="A47" workbookViewId="0">
      <selection activeCell="C7" sqref="C7"/>
    </sheetView>
  </sheetViews>
  <sheetFormatPr defaultColWidth="8.81640625" defaultRowHeight="14.5" x14ac:dyDescent="0.35"/>
  <cols>
    <col min="1" max="1" width="3" customWidth="1"/>
    <col min="2" max="2" width="2.453125" customWidth="1"/>
    <col min="3" max="3" width="37.453125" customWidth="1"/>
    <col min="4" max="4" width="14.36328125" style="65" bestFit="1" customWidth="1"/>
    <col min="5" max="5" width="15" bestFit="1" customWidth="1"/>
    <col min="6" max="6" width="13.81640625" bestFit="1" customWidth="1"/>
    <col min="7" max="7" width="15.36328125" bestFit="1" customWidth="1"/>
    <col min="8" max="8" width="14.36328125" bestFit="1" customWidth="1"/>
    <col min="9" max="12" width="13.36328125" bestFit="1" customWidth="1"/>
    <col min="13" max="13" width="15" bestFit="1" customWidth="1"/>
    <col min="14" max="34" width="13.36328125" bestFit="1" customWidth="1"/>
    <col min="35" max="37" width="10" bestFit="1" customWidth="1"/>
    <col min="38" max="39" width="7" bestFit="1" customWidth="1"/>
    <col min="40" max="40" width="5.81640625" bestFit="1" customWidth="1"/>
  </cols>
  <sheetData>
    <row r="2" spans="2:43" ht="21" x14ac:dyDescent="0.5">
      <c r="B2" s="98"/>
      <c r="C2" s="98" t="s">
        <v>885</v>
      </c>
      <c r="D2" s="236"/>
      <c r="E2" s="76"/>
      <c r="F2" s="76"/>
      <c r="G2" s="76"/>
      <c r="H2" s="76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</row>
    <row r="3" spans="2:43" ht="9" customHeight="1" thickBot="1" x14ac:dyDescent="0.4"/>
    <row r="4" spans="2:43" x14ac:dyDescent="0.35">
      <c r="B4" s="1214"/>
      <c r="C4" s="1688"/>
      <c r="D4" s="1214"/>
      <c r="E4" s="1214"/>
      <c r="F4" s="1214"/>
      <c r="G4" s="1214"/>
      <c r="H4" s="1214"/>
      <c r="I4" s="1214"/>
    </row>
    <row r="5" spans="2:43" ht="18.5" x14ac:dyDescent="0.45">
      <c r="B5" s="549"/>
      <c r="C5" s="846" t="s">
        <v>886</v>
      </c>
      <c r="D5" s="549"/>
      <c r="E5" s="549"/>
      <c r="F5" s="549"/>
      <c r="G5" s="549"/>
      <c r="H5" s="549"/>
      <c r="I5" s="549"/>
    </row>
    <row r="6" spans="2:43" ht="15" thickBot="1" x14ac:dyDescent="0.4">
      <c r="B6" s="549"/>
      <c r="C6" s="847"/>
      <c r="D6" s="549"/>
      <c r="E6" s="548"/>
      <c r="F6" s="549"/>
      <c r="G6" s="549"/>
      <c r="H6" s="549"/>
      <c r="I6" s="549"/>
    </row>
    <row r="7" spans="2:43" ht="29" x14ac:dyDescent="0.35">
      <c r="B7" s="549"/>
      <c r="C7" s="1655"/>
      <c r="D7" s="1658"/>
      <c r="E7" s="1656" t="s">
        <v>209</v>
      </c>
      <c r="F7" s="1656" t="s">
        <v>887</v>
      </c>
      <c r="G7" s="549"/>
      <c r="H7" s="549"/>
      <c r="I7" s="549"/>
    </row>
    <row r="8" spans="2:43" ht="15" thickBot="1" x14ac:dyDescent="0.4">
      <c r="B8" s="549"/>
      <c r="C8" s="1604" t="s">
        <v>359</v>
      </c>
      <c r="D8" s="1618"/>
      <c r="E8" s="1657" t="s">
        <v>888</v>
      </c>
      <c r="F8" s="1657" t="s">
        <v>888</v>
      </c>
      <c r="G8" s="549"/>
      <c r="H8" s="549"/>
      <c r="I8" s="549"/>
    </row>
    <row r="9" spans="2:43" ht="15" thickBot="1" x14ac:dyDescent="0.4">
      <c r="B9" s="549"/>
      <c r="C9" s="1051" t="s">
        <v>889</v>
      </c>
      <c r="D9" s="1689"/>
      <c r="E9" s="1180">
        <v>250128</v>
      </c>
      <c r="F9" s="1180">
        <v>29622</v>
      </c>
      <c r="G9" s="549"/>
      <c r="H9" s="549"/>
      <c r="I9" s="549"/>
    </row>
    <row r="10" spans="2:43" ht="15" thickBot="1" x14ac:dyDescent="0.4">
      <c r="B10" s="549"/>
      <c r="C10" s="1051" t="s">
        <v>890</v>
      </c>
      <c r="D10" s="1689"/>
      <c r="E10" s="1180">
        <v>250128</v>
      </c>
      <c r="F10" s="1180">
        <v>29622</v>
      </c>
      <c r="G10" s="549"/>
      <c r="H10" s="549"/>
      <c r="I10" s="549"/>
    </row>
    <row r="11" spans="2:43" ht="15" thickBot="1" x14ac:dyDescent="0.4">
      <c r="B11" s="549"/>
      <c r="C11" s="1051" t="s">
        <v>891</v>
      </c>
      <c r="D11" s="1689"/>
      <c r="E11" s="1180">
        <f>SUM(E9:E10)*0.05</f>
        <v>25012.800000000003</v>
      </c>
      <c r="F11" s="1764">
        <v>0</v>
      </c>
      <c r="G11" s="549"/>
      <c r="H11" s="549"/>
      <c r="I11" s="549"/>
    </row>
    <row r="12" spans="2:43" ht="15" thickBot="1" x14ac:dyDescent="0.4">
      <c r="B12" s="549"/>
      <c r="C12" s="1051" t="s">
        <v>892</v>
      </c>
      <c r="D12" s="1689"/>
      <c r="E12" s="1180">
        <v>10265.200000000001</v>
      </c>
      <c r="F12" s="1764">
        <v>10265.200000000001</v>
      </c>
      <c r="G12" s="549"/>
      <c r="H12" s="549"/>
      <c r="I12" s="549"/>
    </row>
    <row r="13" spans="2:43" ht="15" thickBot="1" x14ac:dyDescent="0.4">
      <c r="B13" s="549"/>
      <c r="C13" s="882" t="s">
        <v>200</v>
      </c>
      <c r="D13" s="1066"/>
      <c r="E13" s="1212">
        <f>SUM(E9:E12)</f>
        <v>535534</v>
      </c>
      <c r="F13" s="844">
        <f>SUM(F9:F12)</f>
        <v>69509.2</v>
      </c>
      <c r="G13" s="549"/>
      <c r="H13" s="549"/>
      <c r="I13" s="549"/>
    </row>
    <row r="14" spans="2:43" ht="15" thickBot="1" x14ac:dyDescent="0.4">
      <c r="B14" s="549"/>
      <c r="C14" s="847"/>
      <c r="D14" s="549"/>
      <c r="E14" s="549"/>
      <c r="F14" s="549"/>
      <c r="G14" s="549"/>
      <c r="H14" s="549"/>
      <c r="I14" s="549"/>
    </row>
    <row r="15" spans="2:43" ht="15" thickBot="1" x14ac:dyDescent="0.4">
      <c r="B15" s="549"/>
      <c r="C15" s="840" t="s">
        <v>96</v>
      </c>
      <c r="D15" s="840" t="s">
        <v>715</v>
      </c>
      <c r="E15" s="549"/>
      <c r="F15" s="549"/>
      <c r="G15" s="549"/>
      <c r="H15" s="549"/>
      <c r="I15" s="549"/>
    </row>
    <row r="16" spans="2:43" ht="15" thickBot="1" x14ac:dyDescent="0.4">
      <c r="B16" s="549"/>
      <c r="C16" s="1181">
        <v>1</v>
      </c>
      <c r="D16" s="1180">
        <f>E13</f>
        <v>535534</v>
      </c>
      <c r="E16" s="549"/>
      <c r="F16" s="549"/>
      <c r="G16" s="549"/>
      <c r="H16" s="549"/>
      <c r="I16" s="549"/>
    </row>
    <row r="17" spans="2:9" ht="15" thickBot="1" x14ac:dyDescent="0.4">
      <c r="B17" s="549"/>
      <c r="C17" s="1181">
        <v>5</v>
      </c>
      <c r="D17" s="1180">
        <f>$F$13</f>
        <v>69509.2</v>
      </c>
      <c r="E17" s="549"/>
      <c r="F17" s="549"/>
      <c r="G17" s="549"/>
      <c r="H17" s="549"/>
      <c r="I17" s="549"/>
    </row>
    <row r="18" spans="2:9" ht="15" thickBot="1" x14ac:dyDescent="0.4">
      <c r="B18" s="549"/>
      <c r="C18" s="1181">
        <v>10</v>
      </c>
      <c r="D18" s="1180">
        <f t="shared" ref="D18:D19" si="0">$F$13</f>
        <v>69509.2</v>
      </c>
      <c r="E18" s="549"/>
      <c r="F18" s="549"/>
      <c r="G18" s="549"/>
      <c r="H18" s="549"/>
      <c r="I18" s="549"/>
    </row>
    <row r="19" spans="2:9" ht="15" thickBot="1" x14ac:dyDescent="0.4">
      <c r="B19" s="549"/>
      <c r="C19" s="1181">
        <v>15</v>
      </c>
      <c r="D19" s="1180">
        <f t="shared" si="0"/>
        <v>69509.2</v>
      </c>
      <c r="E19" s="549"/>
      <c r="F19" s="549"/>
      <c r="G19" s="549"/>
      <c r="H19" s="549"/>
      <c r="I19" s="549"/>
    </row>
    <row r="20" spans="2:9" ht="15" thickBot="1" x14ac:dyDescent="0.4">
      <c r="B20" s="549"/>
      <c r="C20" s="1181">
        <v>20</v>
      </c>
      <c r="D20" s="1180">
        <f>$F$13</f>
        <v>69509.2</v>
      </c>
      <c r="E20" s="549"/>
      <c r="F20" s="549"/>
      <c r="G20" s="549"/>
      <c r="H20" s="549"/>
      <c r="I20" s="549"/>
    </row>
    <row r="21" spans="2:9" ht="15" thickBot="1" x14ac:dyDescent="0.4">
      <c r="B21" s="549"/>
      <c r="C21" s="1182">
        <v>25</v>
      </c>
      <c r="D21" s="1180">
        <f>D19</f>
        <v>69509.2</v>
      </c>
      <c r="E21" s="549"/>
      <c r="F21" s="549"/>
      <c r="G21" s="549"/>
      <c r="H21" s="549"/>
      <c r="I21" s="549"/>
    </row>
    <row r="22" spans="2:9" ht="15" thickBot="1" x14ac:dyDescent="0.4">
      <c r="B22" s="549"/>
      <c r="C22" s="1182">
        <v>30</v>
      </c>
      <c r="D22" s="1180">
        <f>D20</f>
        <v>69509.2</v>
      </c>
      <c r="E22" s="549"/>
      <c r="F22" s="549"/>
      <c r="G22" s="549"/>
      <c r="H22" s="549"/>
      <c r="I22" s="549"/>
    </row>
    <row r="23" spans="2:9" ht="15" thickBot="1" x14ac:dyDescent="0.4">
      <c r="B23" s="549"/>
      <c r="C23" s="847"/>
      <c r="D23" s="549"/>
      <c r="E23" s="549"/>
      <c r="F23" s="549"/>
      <c r="G23" s="549"/>
      <c r="H23" s="549"/>
      <c r="I23" s="549"/>
    </row>
    <row r="24" spans="2:9" x14ac:dyDescent="0.35">
      <c r="B24" s="1214"/>
      <c r="C24" s="1688"/>
      <c r="D24" s="1214"/>
      <c r="E24" s="1214"/>
      <c r="F24" s="1214"/>
      <c r="G24" s="1214"/>
      <c r="H24" s="1214"/>
      <c r="I24" s="1214"/>
    </row>
    <row r="25" spans="2:9" ht="18.5" x14ac:dyDescent="0.45">
      <c r="B25" s="549"/>
      <c r="C25" s="846" t="s">
        <v>893</v>
      </c>
      <c r="D25" s="549"/>
      <c r="E25" s="549"/>
      <c r="F25" s="549"/>
      <c r="G25" s="549"/>
      <c r="H25" s="549"/>
      <c r="I25" s="549"/>
    </row>
    <row r="26" spans="2:9" ht="15" thickBot="1" x14ac:dyDescent="0.4">
      <c r="B26" s="549"/>
      <c r="C26" s="847"/>
      <c r="D26" s="549"/>
      <c r="E26" s="548"/>
      <c r="F26" s="549"/>
      <c r="G26" s="549"/>
      <c r="H26" s="549"/>
      <c r="I26" s="549"/>
    </row>
    <row r="27" spans="2:9" ht="29.5" thickBot="1" x14ac:dyDescent="0.4">
      <c r="B27" s="549"/>
      <c r="C27" s="843" t="s">
        <v>894</v>
      </c>
      <c r="D27" s="1116"/>
      <c r="E27" s="840" t="s">
        <v>856</v>
      </c>
      <c r="F27" s="840" t="s">
        <v>743</v>
      </c>
      <c r="G27" s="840" t="s">
        <v>895</v>
      </c>
      <c r="H27" s="549"/>
      <c r="I27" s="549"/>
    </row>
    <row r="28" spans="2:9" ht="15" thickBot="1" x14ac:dyDescent="0.4">
      <c r="B28" s="549"/>
      <c r="C28" s="1051" t="s">
        <v>896</v>
      </c>
      <c r="D28" s="1689"/>
      <c r="E28" s="1180">
        <v>106750</v>
      </c>
      <c r="F28" s="1182">
        <v>2</v>
      </c>
      <c r="G28" s="1180">
        <f>E28*F28</f>
        <v>213500</v>
      </c>
      <c r="H28" s="549"/>
      <c r="I28" s="549"/>
    </row>
    <row r="29" spans="2:9" ht="15" thickBot="1" x14ac:dyDescent="0.4">
      <c r="B29" s="549"/>
      <c r="C29" s="1051" t="s">
        <v>897</v>
      </c>
      <c r="D29" s="1689"/>
      <c r="E29" s="1180">
        <v>13999</v>
      </c>
      <c r="F29" s="1182">
        <v>4</v>
      </c>
      <c r="G29" s="1180">
        <f t="shared" ref="G29:G32" si="1">E29*F29</f>
        <v>55996</v>
      </c>
      <c r="H29" s="549"/>
      <c r="I29" s="549"/>
    </row>
    <row r="30" spans="2:9" ht="15" thickBot="1" x14ac:dyDescent="0.4">
      <c r="B30" s="549"/>
      <c r="C30" s="1051" t="s">
        <v>898</v>
      </c>
      <c r="D30" s="1689"/>
      <c r="E30" s="1180">
        <v>5930</v>
      </c>
      <c r="F30" s="1182">
        <v>2</v>
      </c>
      <c r="G30" s="1180">
        <f t="shared" si="1"/>
        <v>11860</v>
      </c>
      <c r="H30" s="549"/>
      <c r="I30" s="549"/>
    </row>
    <row r="31" spans="2:9" ht="15" thickBot="1" x14ac:dyDescent="0.4">
      <c r="B31" s="549"/>
      <c r="C31" s="1051" t="s">
        <v>899</v>
      </c>
      <c r="D31" s="1689"/>
      <c r="E31" s="1180">
        <v>98800</v>
      </c>
      <c r="F31" s="1182">
        <v>2</v>
      </c>
      <c r="G31" s="1180">
        <f t="shared" si="1"/>
        <v>197600</v>
      </c>
      <c r="H31" s="549"/>
      <c r="I31" s="549"/>
    </row>
    <row r="32" spans="2:9" ht="15" thickBot="1" x14ac:dyDescent="0.4">
      <c r="B32" s="549"/>
      <c r="C32" s="1051" t="s">
        <v>900</v>
      </c>
      <c r="D32" s="1689"/>
      <c r="E32" s="1180">
        <v>196.73</v>
      </c>
      <c r="F32" s="1182">
        <v>6</v>
      </c>
      <c r="G32" s="1180">
        <f t="shared" si="1"/>
        <v>1180.3799999999999</v>
      </c>
      <c r="H32" s="549"/>
      <c r="I32" s="549"/>
    </row>
    <row r="33" spans="2:40" ht="15" thickBot="1" x14ac:dyDescent="0.4">
      <c r="B33" s="549"/>
      <c r="C33" s="882" t="s">
        <v>200</v>
      </c>
      <c r="D33" s="1066"/>
      <c r="E33" s="1212"/>
      <c r="F33" s="1356"/>
      <c r="G33" s="844">
        <f>SUM(G28:G32)</f>
        <v>480136.38</v>
      </c>
      <c r="H33" s="549"/>
      <c r="I33" s="549"/>
    </row>
    <row r="34" spans="2:40" x14ac:dyDescent="0.35">
      <c r="B34" s="549"/>
      <c r="C34" s="847"/>
      <c r="D34" s="549"/>
      <c r="E34" s="549"/>
      <c r="F34" s="549"/>
      <c r="G34" s="549"/>
      <c r="H34" s="549"/>
      <c r="I34" s="549"/>
    </row>
    <row r="35" spans="2:40" ht="15" thickBot="1" x14ac:dyDescent="0.4">
      <c r="B35" s="549"/>
      <c r="C35" s="548" t="s">
        <v>901</v>
      </c>
      <c r="D35" s="549"/>
      <c r="E35" s="549"/>
      <c r="F35" s="549"/>
      <c r="G35" s="549"/>
      <c r="H35" s="549"/>
      <c r="I35" s="549"/>
    </row>
    <row r="36" spans="2:40" ht="15" thickBot="1" x14ac:dyDescent="0.4">
      <c r="B36" s="549"/>
      <c r="C36" s="840" t="s">
        <v>96</v>
      </c>
      <c r="D36" s="840" t="s">
        <v>715</v>
      </c>
      <c r="E36" s="549"/>
      <c r="F36" s="549"/>
      <c r="G36" s="549"/>
      <c r="H36" s="549"/>
      <c r="I36" s="549"/>
    </row>
    <row r="37" spans="2:40" ht="15" thickBot="1" x14ac:dyDescent="0.4">
      <c r="B37" s="549"/>
      <c r="C37" s="1181">
        <v>1</v>
      </c>
      <c r="D37" s="1180">
        <f>G33</f>
        <v>480136.38</v>
      </c>
      <c r="E37" s="549"/>
      <c r="F37" s="549"/>
      <c r="G37" s="549"/>
      <c r="H37" s="549"/>
      <c r="I37" s="549"/>
    </row>
    <row r="38" spans="2:40" ht="15" thickBot="1" x14ac:dyDescent="0.4">
      <c r="B38" s="549"/>
      <c r="C38" s="1181">
        <v>10</v>
      </c>
      <c r="D38" s="1180">
        <f>D37</f>
        <v>480136.38</v>
      </c>
      <c r="E38" s="549"/>
      <c r="F38" s="549"/>
      <c r="G38" s="549"/>
      <c r="H38" s="549"/>
      <c r="I38" s="549"/>
    </row>
    <row r="39" spans="2:40" ht="15" thickBot="1" x14ac:dyDescent="0.4">
      <c r="B39" s="549"/>
      <c r="C39" s="1182">
        <v>20</v>
      </c>
      <c r="D39" s="1180">
        <f>D38</f>
        <v>480136.38</v>
      </c>
      <c r="E39" s="549"/>
      <c r="F39" s="549"/>
      <c r="G39" s="549"/>
      <c r="H39" s="549"/>
      <c r="I39" s="549"/>
    </row>
    <row r="40" spans="2:40" x14ac:dyDescent="0.35">
      <c r="B40" s="549"/>
      <c r="C40" s="847"/>
      <c r="D40" s="549"/>
      <c r="E40" s="549"/>
      <c r="F40" s="549"/>
      <c r="G40" s="549"/>
      <c r="H40" s="549"/>
      <c r="I40" s="549"/>
    </row>
    <row r="41" spans="2:40" x14ac:dyDescent="0.35">
      <c r="B41" s="549"/>
      <c r="C41" s="1049"/>
      <c r="D41" s="851"/>
      <c r="E41" s="549"/>
      <c r="F41" s="549"/>
      <c r="G41" s="549"/>
      <c r="H41" s="549"/>
      <c r="I41" s="549"/>
    </row>
    <row r="42" spans="2:40" ht="15" thickBot="1" x14ac:dyDescent="0.4"/>
    <row r="43" spans="2:40" x14ac:dyDescent="0.35">
      <c r="B43" s="5"/>
      <c r="C43" s="6"/>
      <c r="D43" s="237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8"/>
    </row>
    <row r="44" spans="2:40" x14ac:dyDescent="0.35">
      <c r="B44" s="9"/>
      <c r="C44" s="77" t="s">
        <v>902</v>
      </c>
      <c r="AN44" s="16"/>
    </row>
    <row r="45" spans="2:40" x14ac:dyDescent="0.35">
      <c r="B45" s="9"/>
      <c r="C45" s="87"/>
      <c r="D45" s="229" t="s">
        <v>455</v>
      </c>
      <c r="E45" s="89">
        <v>1</v>
      </c>
      <c r="F45" s="89">
        <f>E45+1</f>
        <v>2</v>
      </c>
      <c r="G45" s="89">
        <f t="shared" ref="G45:AM45" si="2">F45+1</f>
        <v>3</v>
      </c>
      <c r="H45" s="89">
        <f t="shared" si="2"/>
        <v>4</v>
      </c>
      <c r="I45" s="89">
        <f t="shared" si="2"/>
        <v>5</v>
      </c>
      <c r="J45" s="89">
        <f t="shared" si="2"/>
        <v>6</v>
      </c>
      <c r="K45" s="89">
        <f t="shared" si="2"/>
        <v>7</v>
      </c>
      <c r="L45" s="89">
        <f t="shared" si="2"/>
        <v>8</v>
      </c>
      <c r="M45" s="89">
        <f t="shared" si="2"/>
        <v>9</v>
      </c>
      <c r="N45" s="89">
        <f t="shared" si="2"/>
        <v>10</v>
      </c>
      <c r="O45" s="89">
        <f t="shared" si="2"/>
        <v>11</v>
      </c>
      <c r="P45" s="89">
        <f t="shared" si="2"/>
        <v>12</v>
      </c>
      <c r="Q45" s="89">
        <f t="shared" si="2"/>
        <v>13</v>
      </c>
      <c r="R45" s="89">
        <f t="shared" si="2"/>
        <v>14</v>
      </c>
      <c r="S45" s="89">
        <f t="shared" si="2"/>
        <v>15</v>
      </c>
      <c r="T45" s="89">
        <f t="shared" si="2"/>
        <v>16</v>
      </c>
      <c r="U45" s="89">
        <f t="shared" si="2"/>
        <v>17</v>
      </c>
      <c r="V45" s="89">
        <f t="shared" si="2"/>
        <v>18</v>
      </c>
      <c r="W45" s="89">
        <f t="shared" si="2"/>
        <v>19</v>
      </c>
      <c r="X45" s="89">
        <f t="shared" si="2"/>
        <v>20</v>
      </c>
      <c r="Y45" s="89">
        <f t="shared" si="2"/>
        <v>21</v>
      </c>
      <c r="Z45" s="89">
        <f t="shared" si="2"/>
        <v>22</v>
      </c>
      <c r="AA45" s="89">
        <f t="shared" si="2"/>
        <v>23</v>
      </c>
      <c r="AB45" s="89">
        <f t="shared" si="2"/>
        <v>24</v>
      </c>
      <c r="AC45" s="89">
        <f t="shared" si="2"/>
        <v>25</v>
      </c>
      <c r="AD45" s="89">
        <f t="shared" si="2"/>
        <v>26</v>
      </c>
      <c r="AE45" s="89">
        <f t="shared" si="2"/>
        <v>27</v>
      </c>
      <c r="AF45" s="89">
        <f t="shared" si="2"/>
        <v>28</v>
      </c>
      <c r="AG45" s="89">
        <f t="shared" si="2"/>
        <v>29</v>
      </c>
      <c r="AH45" s="89">
        <f t="shared" si="2"/>
        <v>30</v>
      </c>
      <c r="AI45" s="89">
        <f t="shared" si="2"/>
        <v>31</v>
      </c>
      <c r="AJ45" s="89">
        <f t="shared" si="2"/>
        <v>32</v>
      </c>
      <c r="AK45" s="89">
        <f t="shared" si="2"/>
        <v>33</v>
      </c>
      <c r="AL45" s="89">
        <f t="shared" si="2"/>
        <v>34</v>
      </c>
      <c r="AM45" s="89">
        <f t="shared" si="2"/>
        <v>35</v>
      </c>
      <c r="AN45" s="16"/>
    </row>
    <row r="46" spans="2:40" x14ac:dyDescent="0.35">
      <c r="B46" s="9"/>
      <c r="C46" s="1681" t="s">
        <v>903</v>
      </c>
      <c r="D46" s="1684">
        <f t="shared" ref="D46" si="3">SUM(E46:AM46)</f>
        <v>952589.19999999972</v>
      </c>
      <c r="E46" s="562">
        <f>IF(E45&gt;'Premissas Gerais'!$E$7,0,IFERROR(VLOOKUP(E45,$C$16:$D$22,2,FALSE),0))</f>
        <v>535534</v>
      </c>
      <c r="F46" s="562">
        <f>IF(F45&gt;'Premissas Gerais'!$E$7,0,IFERROR(VLOOKUP(F45,$C$16:$D$22,2,FALSE),0))</f>
        <v>0</v>
      </c>
      <c r="G46" s="562">
        <f>IF(G45&gt;'Premissas Gerais'!$E$7,0,IFERROR(VLOOKUP(G45,$C$16:$D$22,2,FALSE),0))</f>
        <v>0</v>
      </c>
      <c r="H46" s="562">
        <f>IF(H45&gt;'Premissas Gerais'!$E$7,0,IFERROR(VLOOKUP(H45,$C$16:$D$22,2,FALSE),0))</f>
        <v>0</v>
      </c>
      <c r="I46" s="562">
        <f>IF(I45&gt;'Premissas Gerais'!$E$7,0,IFERROR(VLOOKUP(I45,$C$16:$D$22,2,FALSE),0))</f>
        <v>69509.2</v>
      </c>
      <c r="J46" s="562">
        <f>IF(J45&gt;'Premissas Gerais'!$E$7,0,IFERROR(VLOOKUP(J45,$C$16:$D$22,2,FALSE),0))</f>
        <v>0</v>
      </c>
      <c r="K46" s="562">
        <f>IF(K45&gt;'Premissas Gerais'!$E$7,0,IFERROR(VLOOKUP(K45,$C$16:$D$22,2,FALSE),0))</f>
        <v>0</v>
      </c>
      <c r="L46" s="562">
        <f>IF(L45&gt;'Premissas Gerais'!$E$7,0,IFERROR(VLOOKUP(L45,$C$16:$D$22,2,FALSE),0))</f>
        <v>0</v>
      </c>
      <c r="M46" s="562">
        <f>IF(M45&gt;'Premissas Gerais'!$E$7,0,IFERROR(VLOOKUP(M45,$C$16:$D$22,2,FALSE),0))</f>
        <v>0</v>
      </c>
      <c r="N46" s="562">
        <f>IF(N45&gt;'Premissas Gerais'!$E$7,0,IFERROR(VLOOKUP(N45,$C$16:$D$22,2,FALSE),0))</f>
        <v>69509.2</v>
      </c>
      <c r="O46" s="562">
        <f>IF(O45&gt;'Premissas Gerais'!$E$7,0,IFERROR(VLOOKUP(O45,$C$16:$D$22,2,FALSE),0))</f>
        <v>0</v>
      </c>
      <c r="P46" s="562">
        <f>IF(P45&gt;'Premissas Gerais'!$E$7,0,IFERROR(VLOOKUP(P45,$C$16:$D$22,2,FALSE),0))</f>
        <v>0</v>
      </c>
      <c r="Q46" s="562">
        <f>IF(Q45&gt;'Premissas Gerais'!$E$7,0,IFERROR(VLOOKUP(Q45,$C$16:$D$22,2,FALSE),0))</f>
        <v>0</v>
      </c>
      <c r="R46" s="562">
        <f>IF(R45&gt;'Premissas Gerais'!$E$7,0,IFERROR(VLOOKUP(R45,$C$16:$D$22,2,FALSE),0))</f>
        <v>0</v>
      </c>
      <c r="S46" s="562">
        <f>IF(S45&gt;'Premissas Gerais'!$E$7,0,IFERROR(VLOOKUP(S45,$C$16:$D$22,2,FALSE),0))</f>
        <v>69509.2</v>
      </c>
      <c r="T46" s="562">
        <f>IF(T45&gt;'Premissas Gerais'!$E$7,0,IFERROR(VLOOKUP(T45,$C$16:$D$22,2,FALSE),0))</f>
        <v>0</v>
      </c>
      <c r="U46" s="562">
        <f>IF(U45&gt;'Premissas Gerais'!$E$7,0,IFERROR(VLOOKUP(U45,$C$16:$D$22,2,FALSE),0))</f>
        <v>0</v>
      </c>
      <c r="V46" s="562">
        <f>IF(V45&gt;'Premissas Gerais'!$E$7,0,IFERROR(VLOOKUP(V45,$C$16:$D$22,2,FALSE),0))</f>
        <v>0</v>
      </c>
      <c r="W46" s="562">
        <f>IF(W45&gt;'Premissas Gerais'!$E$7,0,IFERROR(VLOOKUP(W45,$C$16:$D$22,2,FALSE),0))</f>
        <v>0</v>
      </c>
      <c r="X46" s="562">
        <f>IF(X45&gt;'Premissas Gerais'!$E$7,0,IFERROR(VLOOKUP(X45,$C$16:$D$22,2,FALSE),0))</f>
        <v>69509.2</v>
      </c>
      <c r="Y46" s="562">
        <f>IF(Y45&gt;'Premissas Gerais'!$E$7,0,IFERROR(VLOOKUP(Y45,$C$16:$D$22,2,FALSE),0))</f>
        <v>0</v>
      </c>
      <c r="Z46" s="562">
        <f>IF(Z45&gt;'Premissas Gerais'!$E$7,0,IFERROR(VLOOKUP(Z45,$C$16:$D$22,2,FALSE),0))</f>
        <v>0</v>
      </c>
      <c r="AA46" s="562">
        <f>IF(AA45&gt;'Premissas Gerais'!$E$7,0,IFERROR(VLOOKUP(AA45,$C$16:$D$22,2,FALSE),0))</f>
        <v>0</v>
      </c>
      <c r="AB46" s="562">
        <f>IF(AB45&gt;'Premissas Gerais'!$E$7,0,IFERROR(VLOOKUP(AB45,$C$16:$D$22,2,FALSE),0))</f>
        <v>0</v>
      </c>
      <c r="AC46" s="562">
        <f>IF(AC45&gt;'Premissas Gerais'!$E$7,0,IFERROR(VLOOKUP(AC45,$C$16:$D$22,2,FALSE),0))</f>
        <v>69509.2</v>
      </c>
      <c r="AD46" s="562">
        <f>IF(AD45&gt;'Premissas Gerais'!$E$7,0,IFERROR(VLOOKUP(AD45,$C$16:$D$22,2,FALSE),0))</f>
        <v>0</v>
      </c>
      <c r="AE46" s="562">
        <f>IF(AE45&gt;'Premissas Gerais'!$E$7,0,IFERROR(VLOOKUP(AE45,$C$16:$D$22,2,FALSE),0))</f>
        <v>0</v>
      </c>
      <c r="AF46" s="562">
        <f>IF(AF45&gt;'Premissas Gerais'!$E$7,0,IFERROR(VLOOKUP(AF45,$C$16:$D$22,2,FALSE),0))</f>
        <v>0</v>
      </c>
      <c r="AG46" s="562">
        <f>IF(AG45&gt;'Premissas Gerais'!$E$7,0,IFERROR(VLOOKUP(AG45,$C$16:$D$22,2,FALSE),0))</f>
        <v>0</v>
      </c>
      <c r="AH46" s="562">
        <f>IF(AH45&gt;'Premissas Gerais'!$E$7,0,IFERROR(VLOOKUP(AH45,$C$16:$D$22,2,FALSE),0))</f>
        <v>69509.2</v>
      </c>
      <c r="AI46" s="562">
        <f>IF(AI45&gt;'Premissas Gerais'!$E$7,0,IFERROR(VLOOKUP(AI45,$C$16:$D$22,2,FALSE),0))</f>
        <v>0</v>
      </c>
      <c r="AJ46" s="562">
        <f>IF(AJ45&gt;'Premissas Gerais'!$E$7,0,IFERROR(VLOOKUP(AJ45,$C$16:$D$22,2,FALSE),0))</f>
        <v>0</v>
      </c>
      <c r="AK46" s="562">
        <f>IF(AK45&gt;'Premissas Gerais'!$E$7,0,IFERROR(VLOOKUP(AK45,$C$16:$D$22,2,FALSE),0))</f>
        <v>0</v>
      </c>
      <c r="AL46" s="562">
        <f>IF(AL45&gt;'Premissas Gerais'!$E$7,0,IFERROR(VLOOKUP(AL45,$C$16:$D$22,2,FALSE),0))</f>
        <v>0</v>
      </c>
      <c r="AM46" s="562">
        <f>IF(AM45&gt;'Premissas Gerais'!$E$7,0,IFERROR(VLOOKUP(AM45,$C$16:$D$22,2,FALSE),0))</f>
        <v>0</v>
      </c>
      <c r="AN46" s="16"/>
    </row>
    <row r="47" spans="2:40" x14ac:dyDescent="0.35">
      <c r="B47" s="9"/>
      <c r="C47" s="1682" t="s">
        <v>904</v>
      </c>
      <c r="D47" s="1685">
        <f>SUM(E47:AM47)</f>
        <v>1440409.1400000001</v>
      </c>
      <c r="E47" s="1019">
        <f>IF(E45&gt;'Premissas Gerais'!$E$7,0,IFERROR(VLOOKUP(E45,$C$37:$D$39,2,FALSE),0))</f>
        <v>480136.38</v>
      </c>
      <c r="F47" s="1019">
        <f>IF(F45&gt;'Premissas Gerais'!$E$7,0,IFERROR(VLOOKUP(F45,$C$37:$D$39,2,FALSE),0))</f>
        <v>0</v>
      </c>
      <c r="G47" s="1019">
        <f>IF(G45&gt;'Premissas Gerais'!$E$7,0,IFERROR(VLOOKUP(G45,$C$37:$D$39,2,FALSE),0))</f>
        <v>0</v>
      </c>
      <c r="H47" s="1019">
        <f>IF(H45&gt;'Premissas Gerais'!$E$7,0,IFERROR(VLOOKUP(H45,$C$37:$D$39,2,FALSE),0))</f>
        <v>0</v>
      </c>
      <c r="I47" s="1019">
        <f>IF(I45&gt;'Premissas Gerais'!$E$7,0,IFERROR(VLOOKUP(I45,$C$37:$D$39,2,FALSE),0))</f>
        <v>0</v>
      </c>
      <c r="J47" s="1019">
        <f>IF(J45&gt;'Premissas Gerais'!$E$7,0,IFERROR(VLOOKUP(J45,$C$37:$D$39,2,FALSE),0))</f>
        <v>0</v>
      </c>
      <c r="K47" s="1019">
        <f>IF(K45&gt;'Premissas Gerais'!$E$7,0,IFERROR(VLOOKUP(K45,$C$37:$D$39,2,FALSE),0))</f>
        <v>0</v>
      </c>
      <c r="L47" s="1019">
        <f>IF(L45&gt;'Premissas Gerais'!$E$7,0,IFERROR(VLOOKUP(L45,$C$37:$D$39,2,FALSE),0))</f>
        <v>0</v>
      </c>
      <c r="M47" s="1019">
        <f>IF(M45&gt;'Premissas Gerais'!$E$7,0,IFERROR(VLOOKUP(M45,$C$37:$D$39,2,FALSE),0))</f>
        <v>0</v>
      </c>
      <c r="N47" s="1019">
        <f>IF(N45&gt;'Premissas Gerais'!$E$7,0,IFERROR(VLOOKUP(N45,$C$37:$D$39,2,FALSE),0))</f>
        <v>480136.38</v>
      </c>
      <c r="O47" s="1019">
        <f>IF(O45&gt;'Premissas Gerais'!$E$7,0,IFERROR(VLOOKUP(O45,$C$37:$D$39,2,FALSE),0))</f>
        <v>0</v>
      </c>
      <c r="P47" s="1019">
        <f>IF(P45&gt;'Premissas Gerais'!$E$7,0,IFERROR(VLOOKUP(P45,$C$37:$D$39,2,FALSE),0))</f>
        <v>0</v>
      </c>
      <c r="Q47" s="1019">
        <f>IF(Q45&gt;'Premissas Gerais'!$E$7,0,IFERROR(VLOOKUP(Q45,$C$37:$D$39,2,FALSE),0))</f>
        <v>0</v>
      </c>
      <c r="R47" s="1019">
        <f>IF(R45&gt;'Premissas Gerais'!$E$7,0,IFERROR(VLOOKUP(R45,$C$37:$D$39,2,FALSE),0))</f>
        <v>0</v>
      </c>
      <c r="S47" s="1019">
        <f>IF(S45&gt;'Premissas Gerais'!$E$7,0,IFERROR(VLOOKUP(S45,$C$37:$D$39,2,FALSE),0))</f>
        <v>0</v>
      </c>
      <c r="T47" s="1019">
        <f>IF(T45&gt;'Premissas Gerais'!$E$7,0,IFERROR(VLOOKUP(T45,$C$37:$D$39,2,FALSE),0))</f>
        <v>0</v>
      </c>
      <c r="U47" s="1019">
        <f>IF(U45&gt;'Premissas Gerais'!$E$7,0,IFERROR(VLOOKUP(U45,$C$37:$D$39,2,FALSE),0))</f>
        <v>0</v>
      </c>
      <c r="V47" s="1019">
        <f>IF(V45&gt;'Premissas Gerais'!$E$7,0,IFERROR(VLOOKUP(V45,$C$37:$D$39,2,FALSE),0))</f>
        <v>0</v>
      </c>
      <c r="W47" s="1019">
        <f>IF(W45&gt;'Premissas Gerais'!$E$7,0,IFERROR(VLOOKUP(W45,$C$37:$D$39,2,FALSE),0))</f>
        <v>0</v>
      </c>
      <c r="X47" s="1019">
        <f>IF(X45&gt;'Premissas Gerais'!$E$7,0,IFERROR(VLOOKUP(X45,$C$37:$D$39,2,FALSE),0))</f>
        <v>480136.38</v>
      </c>
      <c r="Y47" s="1019">
        <f>IF(Y45&gt;'Premissas Gerais'!$E$7,0,IFERROR(VLOOKUP(Y45,$C$37:$D$39,2,FALSE),0))</f>
        <v>0</v>
      </c>
      <c r="Z47" s="1019">
        <f>IF(Z45&gt;'Premissas Gerais'!$E$7,0,IFERROR(VLOOKUP(Z45,$C$37:$D$39,2,FALSE),0))</f>
        <v>0</v>
      </c>
      <c r="AA47" s="1019">
        <f>IF(AA45&gt;'Premissas Gerais'!$E$7,0,IFERROR(VLOOKUP(AA45,$C$37:$D$39,2,FALSE),0))</f>
        <v>0</v>
      </c>
      <c r="AB47" s="1019">
        <f>IF(AB45&gt;'Premissas Gerais'!$E$7,0,IFERROR(VLOOKUP(AB45,$C$37:$D$39,2,FALSE),0))</f>
        <v>0</v>
      </c>
      <c r="AC47" s="1019">
        <f>IF(AC45&gt;'Premissas Gerais'!$E$7,0,IFERROR(VLOOKUP(AC45,$C$37:$D$39,2,FALSE),0))</f>
        <v>0</v>
      </c>
      <c r="AD47" s="1019">
        <f>IF(AD45&gt;'Premissas Gerais'!$E$7,0,IFERROR(VLOOKUP(AD45,$C$37:$D$39,2,FALSE),0))</f>
        <v>0</v>
      </c>
      <c r="AE47" s="1019">
        <f>IF(AE45&gt;'Premissas Gerais'!$E$7,0,IFERROR(VLOOKUP(AE45,$C$37:$D$39,2,FALSE),0))</f>
        <v>0</v>
      </c>
      <c r="AF47" s="1019">
        <f>IF(AF45&gt;'Premissas Gerais'!$E$7,0,IFERROR(VLOOKUP(AF45,$C$37:$D$39,2,FALSE),0))</f>
        <v>0</v>
      </c>
      <c r="AG47" s="1019">
        <f>IF(AG45&gt;'Premissas Gerais'!$E$7,0,IFERROR(VLOOKUP(AG45,$C$37:$D$39,2,FALSE),0))</f>
        <v>0</v>
      </c>
      <c r="AH47" s="1019">
        <f>IF(AH45&gt;'Premissas Gerais'!$E$7,0,IFERROR(VLOOKUP(AH45,$C$37:$D$39,2,FALSE),0))</f>
        <v>0</v>
      </c>
      <c r="AI47" s="1019">
        <f>IF(AI45&gt;'Premissas Gerais'!$E$7,0,IFERROR(VLOOKUP(AI45,$C$37:$D$39,2,FALSE),0))</f>
        <v>0</v>
      </c>
      <c r="AJ47" s="1019">
        <f>IF(AJ45&gt;'Premissas Gerais'!$E$7,0,IFERROR(VLOOKUP(AJ45,$C$37:$D$39,2,FALSE),0))</f>
        <v>0</v>
      </c>
      <c r="AK47" s="1019">
        <f>IF(AK45&gt;'Premissas Gerais'!$E$7,0,IFERROR(VLOOKUP(AK45,$C$37:$D$39,2,FALSE),0))</f>
        <v>0</v>
      </c>
      <c r="AL47" s="1019">
        <f>IF(AL45&gt;'Premissas Gerais'!$E$7,0,IFERROR(VLOOKUP(AL45,$C$37:$D$39,2,FALSE),0))</f>
        <v>0</v>
      </c>
      <c r="AM47" s="1019">
        <f>IF(AM45&gt;'Premissas Gerais'!$E$7,0,IFERROR(VLOOKUP(AM45,$C$37:$D$39,2,FALSE),0))</f>
        <v>0</v>
      </c>
      <c r="AN47" s="16"/>
    </row>
    <row r="48" spans="2:40" x14ac:dyDescent="0.35">
      <c r="B48" s="9"/>
      <c r="C48" s="233" t="s">
        <v>200</v>
      </c>
      <c r="D48" s="1686">
        <f t="shared" ref="D48:AM48" si="4">SUM(D46:D47)</f>
        <v>2392998.34</v>
      </c>
      <c r="E48" s="566">
        <f t="shared" si="4"/>
        <v>1015670.38</v>
      </c>
      <c r="F48" s="566">
        <f t="shared" si="4"/>
        <v>0</v>
      </c>
      <c r="G48" s="566">
        <f t="shared" si="4"/>
        <v>0</v>
      </c>
      <c r="H48" s="566">
        <f t="shared" si="4"/>
        <v>0</v>
      </c>
      <c r="I48" s="566">
        <f t="shared" si="4"/>
        <v>69509.2</v>
      </c>
      <c r="J48" s="566">
        <f t="shared" si="4"/>
        <v>0</v>
      </c>
      <c r="K48" s="566">
        <f t="shared" si="4"/>
        <v>0</v>
      </c>
      <c r="L48" s="566">
        <f t="shared" si="4"/>
        <v>0</v>
      </c>
      <c r="M48" s="566">
        <f t="shared" si="4"/>
        <v>0</v>
      </c>
      <c r="N48" s="566">
        <f t="shared" si="4"/>
        <v>549645.57999999996</v>
      </c>
      <c r="O48" s="566">
        <f t="shared" si="4"/>
        <v>0</v>
      </c>
      <c r="P48" s="566">
        <f t="shared" si="4"/>
        <v>0</v>
      </c>
      <c r="Q48" s="566">
        <f t="shared" si="4"/>
        <v>0</v>
      </c>
      <c r="R48" s="566">
        <f t="shared" si="4"/>
        <v>0</v>
      </c>
      <c r="S48" s="566">
        <f t="shared" si="4"/>
        <v>69509.2</v>
      </c>
      <c r="T48" s="566">
        <f t="shared" si="4"/>
        <v>0</v>
      </c>
      <c r="U48" s="566">
        <f t="shared" si="4"/>
        <v>0</v>
      </c>
      <c r="V48" s="566">
        <f t="shared" si="4"/>
        <v>0</v>
      </c>
      <c r="W48" s="566">
        <f t="shared" si="4"/>
        <v>0</v>
      </c>
      <c r="X48" s="566">
        <f t="shared" si="4"/>
        <v>549645.57999999996</v>
      </c>
      <c r="Y48" s="566">
        <f t="shared" si="4"/>
        <v>0</v>
      </c>
      <c r="Z48" s="566">
        <f t="shared" si="4"/>
        <v>0</v>
      </c>
      <c r="AA48" s="566">
        <f t="shared" si="4"/>
        <v>0</v>
      </c>
      <c r="AB48" s="566">
        <f t="shared" si="4"/>
        <v>0</v>
      </c>
      <c r="AC48" s="566">
        <f t="shared" si="4"/>
        <v>69509.2</v>
      </c>
      <c r="AD48" s="566">
        <f t="shared" si="4"/>
        <v>0</v>
      </c>
      <c r="AE48" s="566">
        <f t="shared" si="4"/>
        <v>0</v>
      </c>
      <c r="AF48" s="566">
        <f t="shared" si="4"/>
        <v>0</v>
      </c>
      <c r="AG48" s="566">
        <f t="shared" si="4"/>
        <v>0</v>
      </c>
      <c r="AH48" s="566">
        <f t="shared" si="4"/>
        <v>69509.2</v>
      </c>
      <c r="AI48" s="566">
        <f t="shared" si="4"/>
        <v>0</v>
      </c>
      <c r="AJ48" s="566">
        <f t="shared" si="4"/>
        <v>0</v>
      </c>
      <c r="AK48" s="566">
        <f t="shared" si="4"/>
        <v>0</v>
      </c>
      <c r="AL48" s="566">
        <f t="shared" si="4"/>
        <v>0</v>
      </c>
      <c r="AM48" s="566">
        <f t="shared" si="4"/>
        <v>0</v>
      </c>
      <c r="AN48" s="16"/>
    </row>
    <row r="49" spans="2:40" ht="15" thickBot="1" x14ac:dyDescent="0.4">
      <c r="B49" s="38"/>
      <c r="C49" s="59"/>
      <c r="D49" s="1709"/>
      <c r="E49" s="59"/>
      <c r="F49" s="59"/>
      <c r="G49" s="59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  <c r="AN49" s="69"/>
    </row>
    <row r="51" spans="2:40" x14ac:dyDescent="0.35">
      <c r="C51" s="77" t="s">
        <v>905</v>
      </c>
      <c r="D51"/>
    </row>
    <row r="52" spans="2:40" x14ac:dyDescent="0.35">
      <c r="C52" s="560" t="s">
        <v>179</v>
      </c>
      <c r="D52" s="229" t="s">
        <v>455</v>
      </c>
      <c r="E52" s="802">
        <v>1</v>
      </c>
      <c r="F52" s="802">
        <f>E52+1</f>
        <v>2</v>
      </c>
      <c r="G52" s="802">
        <f t="shared" ref="G52:AM52" si="5">F52+1</f>
        <v>3</v>
      </c>
      <c r="H52" s="802">
        <f t="shared" si="5"/>
        <v>4</v>
      </c>
      <c r="I52" s="802">
        <f t="shared" si="5"/>
        <v>5</v>
      </c>
      <c r="J52" s="802">
        <f t="shared" si="5"/>
        <v>6</v>
      </c>
      <c r="K52" s="802">
        <f t="shared" si="5"/>
        <v>7</v>
      </c>
      <c r="L52" s="802">
        <f t="shared" si="5"/>
        <v>8</v>
      </c>
      <c r="M52" s="802">
        <f t="shared" si="5"/>
        <v>9</v>
      </c>
      <c r="N52" s="802">
        <f t="shared" si="5"/>
        <v>10</v>
      </c>
      <c r="O52" s="802">
        <f t="shared" si="5"/>
        <v>11</v>
      </c>
      <c r="P52" s="802">
        <f t="shared" si="5"/>
        <v>12</v>
      </c>
      <c r="Q52" s="802">
        <f t="shared" si="5"/>
        <v>13</v>
      </c>
      <c r="R52" s="802">
        <f t="shared" si="5"/>
        <v>14</v>
      </c>
      <c r="S52" s="802">
        <f t="shared" si="5"/>
        <v>15</v>
      </c>
      <c r="T52" s="802">
        <f t="shared" si="5"/>
        <v>16</v>
      </c>
      <c r="U52" s="802">
        <f t="shared" si="5"/>
        <v>17</v>
      </c>
      <c r="V52" s="802">
        <f t="shared" si="5"/>
        <v>18</v>
      </c>
      <c r="W52" s="802">
        <f t="shared" si="5"/>
        <v>19</v>
      </c>
      <c r="X52" s="802">
        <f t="shared" si="5"/>
        <v>20</v>
      </c>
      <c r="Y52" s="802">
        <f t="shared" si="5"/>
        <v>21</v>
      </c>
      <c r="Z52" s="802">
        <f t="shared" si="5"/>
        <v>22</v>
      </c>
      <c r="AA52" s="802">
        <f t="shared" si="5"/>
        <v>23</v>
      </c>
      <c r="AB52" s="802">
        <f t="shared" si="5"/>
        <v>24</v>
      </c>
      <c r="AC52" s="802">
        <f t="shared" si="5"/>
        <v>25</v>
      </c>
      <c r="AD52" s="802">
        <f t="shared" si="5"/>
        <v>26</v>
      </c>
      <c r="AE52" s="802">
        <f t="shared" si="5"/>
        <v>27</v>
      </c>
      <c r="AF52" s="802">
        <f t="shared" si="5"/>
        <v>28</v>
      </c>
      <c r="AG52" s="802">
        <f t="shared" si="5"/>
        <v>29</v>
      </c>
      <c r="AH52" s="802">
        <f t="shared" si="5"/>
        <v>30</v>
      </c>
      <c r="AI52" s="802">
        <f t="shared" si="5"/>
        <v>31</v>
      </c>
      <c r="AJ52" s="802">
        <f t="shared" si="5"/>
        <v>32</v>
      </c>
      <c r="AK52" s="802">
        <f t="shared" si="5"/>
        <v>33</v>
      </c>
      <c r="AL52" s="802">
        <f t="shared" si="5"/>
        <v>34</v>
      </c>
      <c r="AM52" s="802">
        <f t="shared" si="5"/>
        <v>35</v>
      </c>
    </row>
    <row r="53" spans="2:40" x14ac:dyDescent="0.35">
      <c r="C53" s="914" t="s">
        <v>1</v>
      </c>
      <c r="D53" s="808">
        <f>SUM(E53:AM53)</f>
        <v>16337.414595430746</v>
      </c>
      <c r="E53" s="916">
        <f t="shared" ref="E53:AM53" si="6">E48*$E$66</f>
        <v>6934.1577940077859</v>
      </c>
      <c r="F53" s="916">
        <f t="shared" si="6"/>
        <v>0</v>
      </c>
      <c r="G53" s="916">
        <f t="shared" si="6"/>
        <v>0</v>
      </c>
      <c r="H53" s="916">
        <f t="shared" si="6"/>
        <v>0</v>
      </c>
      <c r="I53" s="916">
        <f t="shared" si="6"/>
        <v>474.55136078227071</v>
      </c>
      <c r="J53" s="916">
        <f t="shared" si="6"/>
        <v>0</v>
      </c>
      <c r="K53" s="916">
        <f t="shared" si="6"/>
        <v>0</v>
      </c>
      <c r="L53" s="916">
        <f t="shared" si="6"/>
        <v>0</v>
      </c>
      <c r="M53" s="916">
        <f t="shared" si="6"/>
        <v>0</v>
      </c>
      <c r="N53" s="916">
        <f t="shared" si="6"/>
        <v>3752.5256791469392</v>
      </c>
      <c r="O53" s="916">
        <f t="shared" si="6"/>
        <v>0</v>
      </c>
      <c r="P53" s="916">
        <f t="shared" si="6"/>
        <v>0</v>
      </c>
      <c r="Q53" s="916">
        <f t="shared" si="6"/>
        <v>0</v>
      </c>
      <c r="R53" s="916">
        <f t="shared" si="6"/>
        <v>0</v>
      </c>
      <c r="S53" s="916">
        <f t="shared" si="6"/>
        <v>474.55136078227071</v>
      </c>
      <c r="T53" s="916">
        <f t="shared" si="6"/>
        <v>0</v>
      </c>
      <c r="U53" s="916">
        <f t="shared" si="6"/>
        <v>0</v>
      </c>
      <c r="V53" s="916">
        <f t="shared" si="6"/>
        <v>0</v>
      </c>
      <c r="W53" s="916">
        <f t="shared" si="6"/>
        <v>0</v>
      </c>
      <c r="X53" s="916">
        <f t="shared" si="6"/>
        <v>3752.5256791469392</v>
      </c>
      <c r="Y53" s="916">
        <f t="shared" si="6"/>
        <v>0</v>
      </c>
      <c r="Z53" s="916">
        <f t="shared" si="6"/>
        <v>0</v>
      </c>
      <c r="AA53" s="916">
        <f t="shared" si="6"/>
        <v>0</v>
      </c>
      <c r="AB53" s="916">
        <f t="shared" si="6"/>
        <v>0</v>
      </c>
      <c r="AC53" s="916">
        <f t="shared" si="6"/>
        <v>474.55136078227071</v>
      </c>
      <c r="AD53" s="916">
        <f t="shared" si="6"/>
        <v>0</v>
      </c>
      <c r="AE53" s="916">
        <f t="shared" si="6"/>
        <v>0</v>
      </c>
      <c r="AF53" s="916">
        <f t="shared" si="6"/>
        <v>0</v>
      </c>
      <c r="AG53" s="916">
        <f t="shared" si="6"/>
        <v>0</v>
      </c>
      <c r="AH53" s="916">
        <f t="shared" si="6"/>
        <v>474.55136078227071</v>
      </c>
      <c r="AI53" s="916">
        <f t="shared" si="6"/>
        <v>0</v>
      </c>
      <c r="AJ53" s="916">
        <f t="shared" si="6"/>
        <v>0</v>
      </c>
      <c r="AK53" s="916">
        <f t="shared" si="6"/>
        <v>0</v>
      </c>
      <c r="AL53" s="916">
        <f t="shared" si="6"/>
        <v>0</v>
      </c>
      <c r="AM53" s="916">
        <f t="shared" si="6"/>
        <v>0</v>
      </c>
    </row>
    <row r="54" spans="2:40" x14ac:dyDescent="0.35">
      <c r="C54" s="915" t="s">
        <v>2</v>
      </c>
      <c r="D54" s="811">
        <f t="shared" ref="D54:D61" si="7">SUM(E54:AM54)</f>
        <v>206907.50598637119</v>
      </c>
      <c r="E54" s="917">
        <f t="shared" ref="E54:AM54" si="8">E48*$E$67</f>
        <v>87818.625578331965</v>
      </c>
      <c r="F54" s="917">
        <f t="shared" si="8"/>
        <v>0</v>
      </c>
      <c r="G54" s="917">
        <f t="shared" si="8"/>
        <v>0</v>
      </c>
      <c r="H54" s="917">
        <f t="shared" si="8"/>
        <v>0</v>
      </c>
      <c r="I54" s="917">
        <f t="shared" si="8"/>
        <v>6010.0230638304056</v>
      </c>
      <c r="J54" s="917">
        <f t="shared" si="8"/>
        <v>0</v>
      </c>
      <c r="K54" s="917">
        <f t="shared" si="8"/>
        <v>0</v>
      </c>
      <c r="L54" s="917">
        <f t="shared" si="8"/>
        <v>0</v>
      </c>
      <c r="M54" s="917">
        <f t="shared" si="8"/>
        <v>0</v>
      </c>
      <c r="N54" s="917">
        <f t="shared" si="8"/>
        <v>47524.394076358818</v>
      </c>
      <c r="O54" s="917">
        <f t="shared" si="8"/>
        <v>0</v>
      </c>
      <c r="P54" s="917">
        <f t="shared" si="8"/>
        <v>0</v>
      </c>
      <c r="Q54" s="917">
        <f t="shared" si="8"/>
        <v>0</v>
      </c>
      <c r="R54" s="917">
        <f t="shared" si="8"/>
        <v>0</v>
      </c>
      <c r="S54" s="917">
        <f t="shared" si="8"/>
        <v>6010.0230638304056</v>
      </c>
      <c r="T54" s="917">
        <f t="shared" si="8"/>
        <v>0</v>
      </c>
      <c r="U54" s="917">
        <f t="shared" si="8"/>
        <v>0</v>
      </c>
      <c r="V54" s="917">
        <f t="shared" si="8"/>
        <v>0</v>
      </c>
      <c r="W54" s="917">
        <f t="shared" si="8"/>
        <v>0</v>
      </c>
      <c r="X54" s="917">
        <f t="shared" si="8"/>
        <v>47524.394076358818</v>
      </c>
      <c r="Y54" s="917">
        <f t="shared" si="8"/>
        <v>0</v>
      </c>
      <c r="Z54" s="917">
        <f t="shared" si="8"/>
        <v>0</v>
      </c>
      <c r="AA54" s="917">
        <f t="shared" si="8"/>
        <v>0</v>
      </c>
      <c r="AB54" s="917">
        <f t="shared" si="8"/>
        <v>0</v>
      </c>
      <c r="AC54" s="917">
        <f t="shared" si="8"/>
        <v>6010.0230638304056</v>
      </c>
      <c r="AD54" s="917">
        <f t="shared" si="8"/>
        <v>0</v>
      </c>
      <c r="AE54" s="917">
        <f t="shared" si="8"/>
        <v>0</v>
      </c>
      <c r="AF54" s="917">
        <f t="shared" si="8"/>
        <v>0</v>
      </c>
      <c r="AG54" s="917">
        <f t="shared" si="8"/>
        <v>0</v>
      </c>
      <c r="AH54" s="917">
        <f t="shared" si="8"/>
        <v>6010.0230638304056</v>
      </c>
      <c r="AI54" s="917">
        <f t="shared" si="8"/>
        <v>0</v>
      </c>
      <c r="AJ54" s="917">
        <f t="shared" si="8"/>
        <v>0</v>
      </c>
      <c r="AK54" s="917">
        <f t="shared" si="8"/>
        <v>0</v>
      </c>
      <c r="AL54" s="917">
        <f t="shared" si="8"/>
        <v>0</v>
      </c>
      <c r="AM54" s="917">
        <f t="shared" si="8"/>
        <v>0</v>
      </c>
    </row>
    <row r="55" spans="2:40" x14ac:dyDescent="0.35">
      <c r="C55" s="915" t="s">
        <v>3</v>
      </c>
      <c r="D55" s="811">
        <f t="shared" si="7"/>
        <v>24786.217674647116</v>
      </c>
      <c r="E55" s="917">
        <f t="shared" ref="E55:AM55" si="9">E48*$E$68</f>
        <v>10520.118925101951</v>
      </c>
      <c r="F55" s="917">
        <f t="shared" si="9"/>
        <v>0</v>
      </c>
      <c r="G55" s="917">
        <f t="shared" si="9"/>
        <v>0</v>
      </c>
      <c r="H55" s="917">
        <f t="shared" si="9"/>
        <v>0</v>
      </c>
      <c r="I55" s="917">
        <f t="shared" si="9"/>
        <v>719.9629572624699</v>
      </c>
      <c r="J55" s="917">
        <f t="shared" si="9"/>
        <v>0</v>
      </c>
      <c r="K55" s="917">
        <f t="shared" si="9"/>
        <v>0</v>
      </c>
      <c r="L55" s="917">
        <f t="shared" si="9"/>
        <v>0</v>
      </c>
      <c r="M55" s="917">
        <f t="shared" si="9"/>
        <v>0</v>
      </c>
      <c r="N55" s="917">
        <f t="shared" si="9"/>
        <v>5693.1234602476425</v>
      </c>
      <c r="O55" s="917">
        <f t="shared" si="9"/>
        <v>0</v>
      </c>
      <c r="P55" s="917">
        <f t="shared" si="9"/>
        <v>0</v>
      </c>
      <c r="Q55" s="917">
        <f t="shared" si="9"/>
        <v>0</v>
      </c>
      <c r="R55" s="917">
        <f t="shared" si="9"/>
        <v>0</v>
      </c>
      <c r="S55" s="917">
        <f t="shared" si="9"/>
        <v>719.9629572624699</v>
      </c>
      <c r="T55" s="917">
        <f t="shared" si="9"/>
        <v>0</v>
      </c>
      <c r="U55" s="917">
        <f t="shared" si="9"/>
        <v>0</v>
      </c>
      <c r="V55" s="917">
        <f t="shared" si="9"/>
        <v>0</v>
      </c>
      <c r="W55" s="917">
        <f t="shared" si="9"/>
        <v>0</v>
      </c>
      <c r="X55" s="917">
        <f t="shared" si="9"/>
        <v>5693.1234602476425</v>
      </c>
      <c r="Y55" s="917">
        <f t="shared" si="9"/>
        <v>0</v>
      </c>
      <c r="Z55" s="917">
        <f t="shared" si="9"/>
        <v>0</v>
      </c>
      <c r="AA55" s="917">
        <f t="shared" si="9"/>
        <v>0</v>
      </c>
      <c r="AB55" s="917">
        <f t="shared" si="9"/>
        <v>0</v>
      </c>
      <c r="AC55" s="917">
        <f t="shared" si="9"/>
        <v>719.9629572624699</v>
      </c>
      <c r="AD55" s="917">
        <f t="shared" si="9"/>
        <v>0</v>
      </c>
      <c r="AE55" s="917">
        <f t="shared" si="9"/>
        <v>0</v>
      </c>
      <c r="AF55" s="917">
        <f t="shared" si="9"/>
        <v>0</v>
      </c>
      <c r="AG55" s="917">
        <f t="shared" si="9"/>
        <v>0</v>
      </c>
      <c r="AH55" s="917">
        <f t="shared" si="9"/>
        <v>719.9629572624699</v>
      </c>
      <c r="AI55" s="917">
        <f t="shared" si="9"/>
        <v>0</v>
      </c>
      <c r="AJ55" s="917">
        <f t="shared" si="9"/>
        <v>0</v>
      </c>
      <c r="AK55" s="917">
        <f t="shared" si="9"/>
        <v>0</v>
      </c>
      <c r="AL55" s="917">
        <f t="shared" si="9"/>
        <v>0</v>
      </c>
      <c r="AM55" s="917">
        <f t="shared" si="9"/>
        <v>0</v>
      </c>
    </row>
    <row r="56" spans="2:40" x14ac:dyDescent="0.35">
      <c r="C56" s="915" t="s">
        <v>4</v>
      </c>
      <c r="D56" s="811">
        <f t="shared" si="7"/>
        <v>66136.086953473015</v>
      </c>
      <c r="E56" s="917">
        <f t="shared" ref="E56:AM56" si="10">E48*$E$69</f>
        <v>28070.418372186163</v>
      </c>
      <c r="F56" s="917">
        <f t="shared" si="10"/>
        <v>0</v>
      </c>
      <c r="G56" s="917">
        <f t="shared" si="10"/>
        <v>0</v>
      </c>
      <c r="H56" s="917">
        <f t="shared" si="10"/>
        <v>0</v>
      </c>
      <c r="I56" s="917">
        <f t="shared" si="10"/>
        <v>1921.0487606382321</v>
      </c>
      <c r="J56" s="917">
        <f t="shared" si="10"/>
        <v>0</v>
      </c>
      <c r="K56" s="917">
        <f t="shared" si="10"/>
        <v>0</v>
      </c>
      <c r="L56" s="917">
        <f t="shared" si="10"/>
        <v>0</v>
      </c>
      <c r="M56" s="917">
        <f t="shared" si="10"/>
        <v>0</v>
      </c>
      <c r="N56" s="917">
        <f t="shared" si="10"/>
        <v>15190.736769366964</v>
      </c>
      <c r="O56" s="917">
        <f t="shared" si="10"/>
        <v>0</v>
      </c>
      <c r="P56" s="917">
        <f t="shared" si="10"/>
        <v>0</v>
      </c>
      <c r="Q56" s="917">
        <f t="shared" si="10"/>
        <v>0</v>
      </c>
      <c r="R56" s="917">
        <f t="shared" si="10"/>
        <v>0</v>
      </c>
      <c r="S56" s="917">
        <f t="shared" si="10"/>
        <v>1921.0487606382321</v>
      </c>
      <c r="T56" s="917">
        <f t="shared" si="10"/>
        <v>0</v>
      </c>
      <c r="U56" s="917">
        <f t="shared" si="10"/>
        <v>0</v>
      </c>
      <c r="V56" s="917">
        <f t="shared" si="10"/>
        <v>0</v>
      </c>
      <c r="W56" s="917">
        <f t="shared" si="10"/>
        <v>0</v>
      </c>
      <c r="X56" s="917">
        <f t="shared" si="10"/>
        <v>15190.736769366964</v>
      </c>
      <c r="Y56" s="917">
        <f t="shared" si="10"/>
        <v>0</v>
      </c>
      <c r="Z56" s="917">
        <f t="shared" si="10"/>
        <v>0</v>
      </c>
      <c r="AA56" s="917">
        <f t="shared" si="10"/>
        <v>0</v>
      </c>
      <c r="AB56" s="917">
        <f t="shared" si="10"/>
        <v>0</v>
      </c>
      <c r="AC56" s="917">
        <f t="shared" si="10"/>
        <v>1921.0487606382321</v>
      </c>
      <c r="AD56" s="917">
        <f t="shared" si="10"/>
        <v>0</v>
      </c>
      <c r="AE56" s="917">
        <f t="shared" si="10"/>
        <v>0</v>
      </c>
      <c r="AF56" s="917">
        <f t="shared" si="10"/>
        <v>0</v>
      </c>
      <c r="AG56" s="917">
        <f t="shared" si="10"/>
        <v>0</v>
      </c>
      <c r="AH56" s="917">
        <f t="shared" si="10"/>
        <v>1921.0487606382321</v>
      </c>
      <c r="AI56" s="917">
        <f t="shared" si="10"/>
        <v>0</v>
      </c>
      <c r="AJ56" s="917">
        <f t="shared" si="10"/>
        <v>0</v>
      </c>
      <c r="AK56" s="917">
        <f t="shared" si="10"/>
        <v>0</v>
      </c>
      <c r="AL56" s="917">
        <f t="shared" si="10"/>
        <v>0</v>
      </c>
      <c r="AM56" s="917">
        <f t="shared" si="10"/>
        <v>0</v>
      </c>
    </row>
    <row r="57" spans="2:40" x14ac:dyDescent="0.35">
      <c r="C57" s="915" t="s">
        <v>5</v>
      </c>
      <c r="D57" s="811">
        <f t="shared" si="7"/>
        <v>143635.43904011592</v>
      </c>
      <c r="E57" s="917">
        <f t="shared" ref="E57:AM57" si="11">E48*$E$70</f>
        <v>60963.79529930697</v>
      </c>
      <c r="F57" s="917">
        <f t="shared" si="11"/>
        <v>0</v>
      </c>
      <c r="G57" s="917">
        <f t="shared" si="11"/>
        <v>0</v>
      </c>
      <c r="H57" s="917">
        <f t="shared" si="11"/>
        <v>0</v>
      </c>
      <c r="I57" s="917">
        <f t="shared" si="11"/>
        <v>4172.1652257089436</v>
      </c>
      <c r="J57" s="917">
        <f t="shared" si="11"/>
        <v>0</v>
      </c>
      <c r="K57" s="917">
        <f t="shared" si="11"/>
        <v>0</v>
      </c>
      <c r="L57" s="917">
        <f t="shared" si="11"/>
        <v>0</v>
      </c>
      <c r="M57" s="917">
        <f t="shared" si="11"/>
        <v>0</v>
      </c>
      <c r="N57" s="917">
        <f t="shared" si="11"/>
        <v>32991.491418986596</v>
      </c>
      <c r="O57" s="917">
        <f t="shared" si="11"/>
        <v>0</v>
      </c>
      <c r="P57" s="917">
        <f t="shared" si="11"/>
        <v>0</v>
      </c>
      <c r="Q57" s="917">
        <f t="shared" si="11"/>
        <v>0</v>
      </c>
      <c r="R57" s="917">
        <f t="shared" si="11"/>
        <v>0</v>
      </c>
      <c r="S57" s="917">
        <f t="shared" si="11"/>
        <v>4172.1652257089436</v>
      </c>
      <c r="T57" s="917">
        <f t="shared" si="11"/>
        <v>0</v>
      </c>
      <c r="U57" s="917">
        <f t="shared" si="11"/>
        <v>0</v>
      </c>
      <c r="V57" s="917">
        <f t="shared" si="11"/>
        <v>0</v>
      </c>
      <c r="W57" s="917">
        <f t="shared" si="11"/>
        <v>0</v>
      </c>
      <c r="X57" s="917">
        <f t="shared" si="11"/>
        <v>32991.491418986596</v>
      </c>
      <c r="Y57" s="917">
        <f t="shared" si="11"/>
        <v>0</v>
      </c>
      <c r="Z57" s="917">
        <f t="shared" si="11"/>
        <v>0</v>
      </c>
      <c r="AA57" s="917">
        <f t="shared" si="11"/>
        <v>0</v>
      </c>
      <c r="AB57" s="917">
        <f t="shared" si="11"/>
        <v>0</v>
      </c>
      <c r="AC57" s="917">
        <f t="shared" si="11"/>
        <v>4172.1652257089436</v>
      </c>
      <c r="AD57" s="917">
        <f t="shared" si="11"/>
        <v>0</v>
      </c>
      <c r="AE57" s="917">
        <f t="shared" si="11"/>
        <v>0</v>
      </c>
      <c r="AF57" s="917">
        <f t="shared" si="11"/>
        <v>0</v>
      </c>
      <c r="AG57" s="917">
        <f t="shared" si="11"/>
        <v>0</v>
      </c>
      <c r="AH57" s="917">
        <f t="shared" si="11"/>
        <v>4172.1652257089436</v>
      </c>
      <c r="AI57" s="917">
        <f t="shared" si="11"/>
        <v>0</v>
      </c>
      <c r="AJ57" s="917">
        <f t="shared" si="11"/>
        <v>0</v>
      </c>
      <c r="AK57" s="917">
        <f t="shared" si="11"/>
        <v>0</v>
      </c>
      <c r="AL57" s="917">
        <f t="shared" si="11"/>
        <v>0</v>
      </c>
      <c r="AM57" s="917">
        <f t="shared" si="11"/>
        <v>0</v>
      </c>
    </row>
    <row r="58" spans="2:40" x14ac:dyDescent="0.35">
      <c r="C58" s="915" t="s">
        <v>6</v>
      </c>
      <c r="D58" s="811">
        <f t="shared" si="7"/>
        <v>1590019.189351873</v>
      </c>
      <c r="E58" s="917">
        <f t="shared" ref="E58:AM58" si="12">E48*$E$71</f>
        <v>674858.55182678858</v>
      </c>
      <c r="F58" s="917">
        <f t="shared" si="12"/>
        <v>0</v>
      </c>
      <c r="G58" s="917">
        <f t="shared" si="12"/>
        <v>0</v>
      </c>
      <c r="H58" s="917">
        <f t="shared" si="12"/>
        <v>0</v>
      </c>
      <c r="I58" s="917">
        <f t="shared" si="12"/>
        <v>46185.139366413947</v>
      </c>
      <c r="J58" s="917">
        <f t="shared" si="12"/>
        <v>0</v>
      </c>
      <c r="K58" s="917">
        <f t="shared" si="12"/>
        <v>0</v>
      </c>
      <c r="L58" s="917">
        <f t="shared" si="12"/>
        <v>0</v>
      </c>
      <c r="M58" s="917">
        <f t="shared" si="12"/>
        <v>0</v>
      </c>
      <c r="N58" s="917">
        <f t="shared" si="12"/>
        <v>365210.04002971441</v>
      </c>
      <c r="O58" s="917">
        <f t="shared" si="12"/>
        <v>0</v>
      </c>
      <c r="P58" s="917">
        <f t="shared" si="12"/>
        <v>0</v>
      </c>
      <c r="Q58" s="917">
        <f t="shared" si="12"/>
        <v>0</v>
      </c>
      <c r="R58" s="917">
        <f t="shared" si="12"/>
        <v>0</v>
      </c>
      <c r="S58" s="917">
        <f t="shared" si="12"/>
        <v>46185.139366413947</v>
      </c>
      <c r="T58" s="917">
        <f t="shared" si="12"/>
        <v>0</v>
      </c>
      <c r="U58" s="917">
        <f t="shared" si="12"/>
        <v>0</v>
      </c>
      <c r="V58" s="917">
        <f t="shared" si="12"/>
        <v>0</v>
      </c>
      <c r="W58" s="917">
        <f t="shared" si="12"/>
        <v>0</v>
      </c>
      <c r="X58" s="917">
        <f t="shared" si="12"/>
        <v>365210.04002971441</v>
      </c>
      <c r="Y58" s="917">
        <f t="shared" si="12"/>
        <v>0</v>
      </c>
      <c r="Z58" s="917">
        <f t="shared" si="12"/>
        <v>0</v>
      </c>
      <c r="AA58" s="917">
        <f t="shared" si="12"/>
        <v>0</v>
      </c>
      <c r="AB58" s="917">
        <f t="shared" si="12"/>
        <v>0</v>
      </c>
      <c r="AC58" s="917">
        <f t="shared" si="12"/>
        <v>46185.139366413947</v>
      </c>
      <c r="AD58" s="917">
        <f t="shared" si="12"/>
        <v>0</v>
      </c>
      <c r="AE58" s="917">
        <f t="shared" si="12"/>
        <v>0</v>
      </c>
      <c r="AF58" s="917">
        <f t="shared" si="12"/>
        <v>0</v>
      </c>
      <c r="AG58" s="917">
        <f t="shared" si="12"/>
        <v>0</v>
      </c>
      <c r="AH58" s="917">
        <f t="shared" si="12"/>
        <v>46185.139366413947</v>
      </c>
      <c r="AI58" s="917">
        <f t="shared" si="12"/>
        <v>0</v>
      </c>
      <c r="AJ58" s="917">
        <f t="shared" si="12"/>
        <v>0</v>
      </c>
      <c r="AK58" s="917">
        <f t="shared" si="12"/>
        <v>0</v>
      </c>
      <c r="AL58" s="917">
        <f t="shared" si="12"/>
        <v>0</v>
      </c>
      <c r="AM58" s="917">
        <f t="shared" si="12"/>
        <v>0</v>
      </c>
    </row>
    <row r="59" spans="2:40" x14ac:dyDescent="0.35">
      <c r="C59" s="915" t="s">
        <v>7</v>
      </c>
      <c r="D59" s="811">
        <f t="shared" si="7"/>
        <v>129833.84904902976</v>
      </c>
      <c r="E59" s="917">
        <f t="shared" ref="E59:AM59" si="13">E48*$E$72</f>
        <v>55105.928239169065</v>
      </c>
      <c r="F59" s="917">
        <f t="shared" si="13"/>
        <v>0</v>
      </c>
      <c r="G59" s="917">
        <f t="shared" si="13"/>
        <v>0</v>
      </c>
      <c r="H59" s="917">
        <f t="shared" si="13"/>
        <v>0</v>
      </c>
      <c r="I59" s="917">
        <f t="shared" si="13"/>
        <v>3771.2717261303319</v>
      </c>
      <c r="J59" s="917">
        <f t="shared" si="13"/>
        <v>0</v>
      </c>
      <c r="K59" s="917">
        <f t="shared" si="13"/>
        <v>0</v>
      </c>
      <c r="L59" s="917">
        <f t="shared" si="13"/>
        <v>0</v>
      </c>
      <c r="M59" s="917">
        <f t="shared" si="13"/>
        <v>0</v>
      </c>
      <c r="N59" s="917">
        <f t="shared" si="13"/>
        <v>29821.416952669679</v>
      </c>
      <c r="O59" s="917">
        <f t="shared" si="13"/>
        <v>0</v>
      </c>
      <c r="P59" s="917">
        <f t="shared" si="13"/>
        <v>0</v>
      </c>
      <c r="Q59" s="917">
        <f t="shared" si="13"/>
        <v>0</v>
      </c>
      <c r="R59" s="917">
        <f t="shared" si="13"/>
        <v>0</v>
      </c>
      <c r="S59" s="917">
        <f t="shared" si="13"/>
        <v>3771.2717261303319</v>
      </c>
      <c r="T59" s="917">
        <f t="shared" si="13"/>
        <v>0</v>
      </c>
      <c r="U59" s="917">
        <f t="shared" si="13"/>
        <v>0</v>
      </c>
      <c r="V59" s="917">
        <f t="shared" si="13"/>
        <v>0</v>
      </c>
      <c r="W59" s="917">
        <f t="shared" si="13"/>
        <v>0</v>
      </c>
      <c r="X59" s="917">
        <f t="shared" si="13"/>
        <v>29821.416952669679</v>
      </c>
      <c r="Y59" s="917">
        <f t="shared" si="13"/>
        <v>0</v>
      </c>
      <c r="Z59" s="917">
        <f t="shared" si="13"/>
        <v>0</v>
      </c>
      <c r="AA59" s="917">
        <f t="shared" si="13"/>
        <v>0</v>
      </c>
      <c r="AB59" s="917">
        <f t="shared" si="13"/>
        <v>0</v>
      </c>
      <c r="AC59" s="917">
        <f t="shared" si="13"/>
        <v>3771.2717261303319</v>
      </c>
      <c r="AD59" s="917">
        <f t="shared" si="13"/>
        <v>0</v>
      </c>
      <c r="AE59" s="917">
        <f t="shared" si="13"/>
        <v>0</v>
      </c>
      <c r="AF59" s="917">
        <f t="shared" si="13"/>
        <v>0</v>
      </c>
      <c r="AG59" s="917">
        <f t="shared" si="13"/>
        <v>0</v>
      </c>
      <c r="AH59" s="917">
        <f t="shared" si="13"/>
        <v>3771.2717261303319</v>
      </c>
      <c r="AI59" s="917">
        <f t="shared" si="13"/>
        <v>0</v>
      </c>
      <c r="AJ59" s="917">
        <f t="shared" si="13"/>
        <v>0</v>
      </c>
      <c r="AK59" s="917">
        <f t="shared" si="13"/>
        <v>0</v>
      </c>
      <c r="AL59" s="917">
        <f t="shared" si="13"/>
        <v>0</v>
      </c>
      <c r="AM59" s="917">
        <f t="shared" si="13"/>
        <v>0</v>
      </c>
    </row>
    <row r="60" spans="2:40" x14ac:dyDescent="0.35">
      <c r="C60" s="915" t="s">
        <v>8</v>
      </c>
      <c r="D60" s="811">
        <f t="shared" si="7"/>
        <v>118285.41257428218</v>
      </c>
      <c r="E60" s="917">
        <f t="shared" ref="E60:AM60" si="14">E48*$E$73</f>
        <v>50204.37663060725</v>
      </c>
      <c r="F60" s="917">
        <f t="shared" si="14"/>
        <v>0</v>
      </c>
      <c r="G60" s="917">
        <f t="shared" si="14"/>
        <v>0</v>
      </c>
      <c r="H60" s="917">
        <f t="shared" si="14"/>
        <v>0</v>
      </c>
      <c r="I60" s="917">
        <f t="shared" si="14"/>
        <v>3435.8253669780206</v>
      </c>
      <c r="J60" s="917">
        <f t="shared" si="14"/>
        <v>0</v>
      </c>
      <c r="K60" s="917">
        <f t="shared" si="14"/>
        <v>0</v>
      </c>
      <c r="L60" s="917">
        <f t="shared" si="14"/>
        <v>0</v>
      </c>
      <c r="M60" s="917">
        <f t="shared" si="14"/>
        <v>0</v>
      </c>
      <c r="N60" s="917">
        <f t="shared" si="14"/>
        <v>27168.867237881415</v>
      </c>
      <c r="O60" s="917">
        <f t="shared" si="14"/>
        <v>0</v>
      </c>
      <c r="P60" s="917">
        <f t="shared" si="14"/>
        <v>0</v>
      </c>
      <c r="Q60" s="917">
        <f t="shared" si="14"/>
        <v>0</v>
      </c>
      <c r="R60" s="917">
        <f t="shared" si="14"/>
        <v>0</v>
      </c>
      <c r="S60" s="917">
        <f t="shared" si="14"/>
        <v>3435.8253669780206</v>
      </c>
      <c r="T60" s="917">
        <f t="shared" si="14"/>
        <v>0</v>
      </c>
      <c r="U60" s="917">
        <f t="shared" si="14"/>
        <v>0</v>
      </c>
      <c r="V60" s="917">
        <f t="shared" si="14"/>
        <v>0</v>
      </c>
      <c r="W60" s="917">
        <f t="shared" si="14"/>
        <v>0</v>
      </c>
      <c r="X60" s="917">
        <f t="shared" si="14"/>
        <v>27168.867237881415</v>
      </c>
      <c r="Y60" s="917">
        <f t="shared" si="14"/>
        <v>0</v>
      </c>
      <c r="Z60" s="917">
        <f t="shared" si="14"/>
        <v>0</v>
      </c>
      <c r="AA60" s="917">
        <f t="shared" si="14"/>
        <v>0</v>
      </c>
      <c r="AB60" s="917">
        <f t="shared" si="14"/>
        <v>0</v>
      </c>
      <c r="AC60" s="917">
        <f t="shared" si="14"/>
        <v>3435.8253669780206</v>
      </c>
      <c r="AD60" s="917">
        <f t="shared" si="14"/>
        <v>0</v>
      </c>
      <c r="AE60" s="917">
        <f t="shared" si="14"/>
        <v>0</v>
      </c>
      <c r="AF60" s="917">
        <f t="shared" si="14"/>
        <v>0</v>
      </c>
      <c r="AG60" s="917">
        <f t="shared" si="14"/>
        <v>0</v>
      </c>
      <c r="AH60" s="917">
        <f t="shared" si="14"/>
        <v>3435.8253669780206</v>
      </c>
      <c r="AI60" s="917">
        <f t="shared" si="14"/>
        <v>0</v>
      </c>
      <c r="AJ60" s="917">
        <f t="shared" si="14"/>
        <v>0</v>
      </c>
      <c r="AK60" s="917">
        <f t="shared" si="14"/>
        <v>0</v>
      </c>
      <c r="AL60" s="917">
        <f t="shared" si="14"/>
        <v>0</v>
      </c>
      <c r="AM60" s="917">
        <f t="shared" si="14"/>
        <v>0</v>
      </c>
    </row>
    <row r="61" spans="2:40" x14ac:dyDescent="0.35">
      <c r="C61" s="915" t="s">
        <v>9</v>
      </c>
      <c r="D61" s="811">
        <f t="shared" si="7"/>
        <v>97057.224774777002</v>
      </c>
      <c r="E61" s="917">
        <f t="shared" ref="E61:AM61" si="15">E48*$E$74</f>
        <v>41194.407334500349</v>
      </c>
      <c r="F61" s="917">
        <f t="shared" si="15"/>
        <v>0</v>
      </c>
      <c r="G61" s="917">
        <f t="shared" si="15"/>
        <v>0</v>
      </c>
      <c r="H61" s="917">
        <f t="shared" si="15"/>
        <v>0</v>
      </c>
      <c r="I61" s="917">
        <f t="shared" si="15"/>
        <v>2819.2121722553843</v>
      </c>
      <c r="J61" s="917">
        <f t="shared" si="15"/>
        <v>0</v>
      </c>
      <c r="K61" s="917">
        <f t="shared" si="15"/>
        <v>0</v>
      </c>
      <c r="L61" s="917">
        <f t="shared" si="15"/>
        <v>0</v>
      </c>
      <c r="M61" s="917">
        <f t="shared" si="15"/>
        <v>0</v>
      </c>
      <c r="N61" s="917">
        <f t="shared" si="15"/>
        <v>22292.984375627551</v>
      </c>
      <c r="O61" s="917">
        <f t="shared" si="15"/>
        <v>0</v>
      </c>
      <c r="P61" s="917">
        <f t="shared" si="15"/>
        <v>0</v>
      </c>
      <c r="Q61" s="917">
        <f t="shared" si="15"/>
        <v>0</v>
      </c>
      <c r="R61" s="917">
        <f t="shared" si="15"/>
        <v>0</v>
      </c>
      <c r="S61" s="917">
        <f t="shared" si="15"/>
        <v>2819.2121722553843</v>
      </c>
      <c r="T61" s="917">
        <f t="shared" si="15"/>
        <v>0</v>
      </c>
      <c r="U61" s="917">
        <f t="shared" si="15"/>
        <v>0</v>
      </c>
      <c r="V61" s="917">
        <f t="shared" si="15"/>
        <v>0</v>
      </c>
      <c r="W61" s="917">
        <f t="shared" si="15"/>
        <v>0</v>
      </c>
      <c r="X61" s="917">
        <f t="shared" si="15"/>
        <v>22292.984375627551</v>
      </c>
      <c r="Y61" s="917">
        <f t="shared" si="15"/>
        <v>0</v>
      </c>
      <c r="Z61" s="917">
        <f t="shared" si="15"/>
        <v>0</v>
      </c>
      <c r="AA61" s="917">
        <f t="shared" si="15"/>
        <v>0</v>
      </c>
      <c r="AB61" s="917">
        <f t="shared" si="15"/>
        <v>0</v>
      </c>
      <c r="AC61" s="917">
        <f t="shared" si="15"/>
        <v>2819.2121722553843</v>
      </c>
      <c r="AD61" s="917">
        <f t="shared" si="15"/>
        <v>0</v>
      </c>
      <c r="AE61" s="917">
        <f t="shared" si="15"/>
        <v>0</v>
      </c>
      <c r="AF61" s="917">
        <f t="shared" si="15"/>
        <v>0</v>
      </c>
      <c r="AG61" s="917">
        <f t="shared" si="15"/>
        <v>0</v>
      </c>
      <c r="AH61" s="917">
        <f t="shared" si="15"/>
        <v>2819.2121722553843</v>
      </c>
      <c r="AI61" s="917">
        <f t="shared" si="15"/>
        <v>0</v>
      </c>
      <c r="AJ61" s="917">
        <f t="shared" si="15"/>
        <v>0</v>
      </c>
      <c r="AK61" s="917">
        <f t="shared" si="15"/>
        <v>0</v>
      </c>
      <c r="AL61" s="917">
        <f t="shared" si="15"/>
        <v>0</v>
      </c>
      <c r="AM61" s="917">
        <f t="shared" si="15"/>
        <v>0</v>
      </c>
    </row>
    <row r="62" spans="2:40" x14ac:dyDescent="0.35">
      <c r="C62" s="800" t="s">
        <v>455</v>
      </c>
      <c r="D62" s="801">
        <f t="shared" ref="D62:AM62" si="16">SUM(D53:D61)</f>
        <v>2392998.3400000003</v>
      </c>
      <c r="E62" s="801">
        <f t="shared" si="16"/>
        <v>1015670.3800000001</v>
      </c>
      <c r="F62" s="801">
        <f t="shared" si="16"/>
        <v>0</v>
      </c>
      <c r="G62" s="801">
        <f t="shared" si="16"/>
        <v>0</v>
      </c>
      <c r="H62" s="801">
        <f t="shared" si="16"/>
        <v>0</v>
      </c>
      <c r="I62" s="801">
        <f t="shared" si="16"/>
        <v>69509.200000000012</v>
      </c>
      <c r="J62" s="801">
        <f t="shared" si="16"/>
        <v>0</v>
      </c>
      <c r="K62" s="801">
        <f t="shared" si="16"/>
        <v>0</v>
      </c>
      <c r="L62" s="801">
        <f t="shared" si="16"/>
        <v>0</v>
      </c>
      <c r="M62" s="801">
        <f t="shared" si="16"/>
        <v>0</v>
      </c>
      <c r="N62" s="801">
        <f t="shared" si="16"/>
        <v>549645.58000000007</v>
      </c>
      <c r="O62" s="801">
        <f t="shared" si="16"/>
        <v>0</v>
      </c>
      <c r="P62" s="801">
        <f t="shared" si="16"/>
        <v>0</v>
      </c>
      <c r="Q62" s="801">
        <f t="shared" si="16"/>
        <v>0</v>
      </c>
      <c r="R62" s="801">
        <f t="shared" si="16"/>
        <v>0</v>
      </c>
      <c r="S62" s="801">
        <f t="shared" si="16"/>
        <v>69509.200000000012</v>
      </c>
      <c r="T62" s="801">
        <f t="shared" si="16"/>
        <v>0</v>
      </c>
      <c r="U62" s="801">
        <f t="shared" si="16"/>
        <v>0</v>
      </c>
      <c r="V62" s="801">
        <f t="shared" si="16"/>
        <v>0</v>
      </c>
      <c r="W62" s="801">
        <f t="shared" si="16"/>
        <v>0</v>
      </c>
      <c r="X62" s="801">
        <f t="shared" si="16"/>
        <v>549645.58000000007</v>
      </c>
      <c r="Y62" s="801">
        <f t="shared" si="16"/>
        <v>0</v>
      </c>
      <c r="Z62" s="801">
        <f t="shared" si="16"/>
        <v>0</v>
      </c>
      <c r="AA62" s="801">
        <f t="shared" si="16"/>
        <v>0</v>
      </c>
      <c r="AB62" s="801">
        <f t="shared" si="16"/>
        <v>0</v>
      </c>
      <c r="AC62" s="801">
        <f t="shared" si="16"/>
        <v>69509.200000000012</v>
      </c>
      <c r="AD62" s="801">
        <f t="shared" si="16"/>
        <v>0</v>
      </c>
      <c r="AE62" s="801">
        <f t="shared" si="16"/>
        <v>0</v>
      </c>
      <c r="AF62" s="801">
        <f t="shared" si="16"/>
        <v>0</v>
      </c>
      <c r="AG62" s="801">
        <f t="shared" si="16"/>
        <v>0</v>
      </c>
      <c r="AH62" s="801">
        <f t="shared" si="16"/>
        <v>69509.200000000012</v>
      </c>
      <c r="AI62" s="801">
        <f t="shared" si="16"/>
        <v>0</v>
      </c>
      <c r="AJ62" s="801">
        <f t="shared" si="16"/>
        <v>0</v>
      </c>
      <c r="AK62" s="801">
        <f t="shared" si="16"/>
        <v>0</v>
      </c>
      <c r="AL62" s="801">
        <f t="shared" si="16"/>
        <v>0</v>
      </c>
      <c r="AM62" s="801">
        <f t="shared" si="16"/>
        <v>0</v>
      </c>
    </row>
    <row r="63" spans="2:40" x14ac:dyDescent="0.35">
      <c r="C63" s="280"/>
      <c r="D63" s="280"/>
      <c r="E63" s="527"/>
      <c r="F63" s="527"/>
      <c r="G63" s="527"/>
      <c r="H63" s="527"/>
      <c r="I63" s="527"/>
      <c r="J63" s="527"/>
      <c r="K63" s="527"/>
      <c r="L63" s="527"/>
      <c r="M63" s="527"/>
      <c r="N63" s="527"/>
      <c r="O63" s="527"/>
      <c r="P63" s="527"/>
      <c r="Q63" s="527"/>
      <c r="R63" s="527"/>
      <c r="S63" s="527"/>
      <c r="T63" s="527"/>
      <c r="U63" s="527"/>
      <c r="V63" s="527"/>
      <c r="W63" s="527"/>
      <c r="X63" s="527"/>
      <c r="Y63" s="527"/>
      <c r="Z63" s="527"/>
      <c r="AA63" s="527"/>
      <c r="AB63" s="527"/>
      <c r="AC63" s="527"/>
      <c r="AD63" s="527"/>
      <c r="AE63" s="527"/>
      <c r="AF63" s="527"/>
      <c r="AG63" s="527"/>
      <c r="AH63" s="527"/>
      <c r="AI63" s="527"/>
      <c r="AJ63" s="527"/>
      <c r="AK63" s="527"/>
      <c r="AL63" s="527"/>
      <c r="AM63" s="527"/>
      <c r="AN63" s="527"/>
    </row>
    <row r="64" spans="2:40" x14ac:dyDescent="0.35">
      <c r="C64" s="77" t="s">
        <v>839</v>
      </c>
      <c r="D64"/>
    </row>
    <row r="65" spans="3:40" x14ac:dyDescent="0.35">
      <c r="C65" s="862" t="s">
        <v>68</v>
      </c>
      <c r="D65" s="892"/>
      <c r="E65" s="802" t="s">
        <v>176</v>
      </c>
      <c r="F65" s="246"/>
      <c r="G65" s="1014"/>
      <c r="H65" s="1014"/>
      <c r="I65" s="1014"/>
      <c r="J65" s="1014"/>
      <c r="K65" s="1014"/>
      <c r="L65" s="1014"/>
      <c r="M65" s="1014"/>
      <c r="N65" s="1014"/>
      <c r="O65" s="1014"/>
      <c r="P65" s="1014"/>
      <c r="Q65" s="1014"/>
      <c r="R65" s="1014"/>
      <c r="S65" s="1014"/>
      <c r="T65" s="1014"/>
      <c r="U65" s="1014"/>
      <c r="V65" s="1014"/>
      <c r="W65" s="1014"/>
      <c r="X65" s="1014"/>
      <c r="Y65" s="1014"/>
      <c r="Z65" s="1014"/>
      <c r="AA65" s="1014"/>
      <c r="AB65" s="1014"/>
      <c r="AC65" s="1014"/>
      <c r="AD65" s="1014"/>
      <c r="AE65" s="1014"/>
      <c r="AF65" s="1014"/>
      <c r="AG65" s="1014"/>
      <c r="AH65" s="1014"/>
      <c r="AI65" s="1014"/>
      <c r="AJ65" s="1014"/>
      <c r="AK65" s="1014"/>
      <c r="AL65" s="1014"/>
      <c r="AM65" s="1014"/>
      <c r="AN65" s="1014"/>
    </row>
    <row r="66" spans="3:40" x14ac:dyDescent="0.35">
      <c r="C66" s="895" t="s">
        <v>1</v>
      </c>
      <c r="D66" s="896"/>
      <c r="E66" s="1067">
        <f>'Premissas Gerais'!G165</f>
        <v>6.8271733926195486E-3</v>
      </c>
      <c r="F66" s="246"/>
      <c r="G66" s="1034"/>
      <c r="H66" s="1034"/>
      <c r="I66" s="1034"/>
      <c r="J66" s="1034"/>
      <c r="K66" s="1034"/>
      <c r="L66" s="1034"/>
      <c r="M66" s="1034"/>
      <c r="N66" s="1034"/>
      <c r="O66" s="1034"/>
      <c r="P66" s="1034"/>
      <c r="Q66" s="1034"/>
      <c r="R66" s="1034"/>
      <c r="S66" s="1034"/>
      <c r="T66" s="1034"/>
      <c r="U66" s="1034"/>
      <c r="V66" s="1034"/>
      <c r="W66" s="1034"/>
      <c r="X66" s="1034"/>
      <c r="Y66" s="1034"/>
      <c r="Z66" s="1034"/>
      <c r="AA66" s="1034"/>
      <c r="AB66" s="1034"/>
      <c r="AC66" s="1034"/>
      <c r="AD66" s="1034"/>
      <c r="AE66" s="1034"/>
      <c r="AF66" s="1034"/>
      <c r="AG66" s="1034"/>
      <c r="AH66" s="1034"/>
      <c r="AI66" s="1034"/>
      <c r="AJ66" s="1034"/>
      <c r="AK66" s="1034"/>
      <c r="AL66" s="1034"/>
      <c r="AM66" s="1034"/>
      <c r="AN66" s="1034"/>
    </row>
    <row r="67" spans="3:40" x14ac:dyDescent="0.35">
      <c r="C67" s="898" t="s">
        <v>2</v>
      </c>
      <c r="D67" s="899"/>
      <c r="E67" s="1068">
        <f>'Premissas Gerais'!G166</f>
        <v>8.6463706442174645E-2</v>
      </c>
      <c r="F67" s="246"/>
      <c r="G67" s="1034"/>
      <c r="H67" s="1034"/>
      <c r="I67" s="1034"/>
      <c r="J67" s="1034"/>
      <c r="K67" s="1034"/>
      <c r="L67" s="1034"/>
      <c r="M67" s="1034"/>
      <c r="N67" s="1034"/>
      <c r="O67" s="1034"/>
      <c r="P67" s="1034"/>
      <c r="Q67" s="1034"/>
      <c r="R67" s="1034"/>
      <c r="S67" s="1034"/>
      <c r="T67" s="1034"/>
      <c r="U67" s="1034"/>
      <c r="V67" s="1034"/>
      <c r="W67" s="1034"/>
      <c r="X67" s="1034"/>
      <c r="Y67" s="1034"/>
      <c r="Z67" s="1034"/>
      <c r="AA67" s="1034"/>
      <c r="AB67" s="1034"/>
      <c r="AC67" s="1034"/>
      <c r="AD67" s="1034"/>
      <c r="AE67" s="1034"/>
      <c r="AF67" s="1034"/>
      <c r="AG67" s="1034"/>
      <c r="AH67" s="1034"/>
      <c r="AI67" s="1034"/>
      <c r="AJ67" s="1034"/>
      <c r="AK67" s="1034"/>
      <c r="AL67" s="1034"/>
      <c r="AM67" s="1034"/>
      <c r="AN67" s="1034"/>
    </row>
    <row r="68" spans="3:40" x14ac:dyDescent="0.35">
      <c r="C68" s="898" t="s">
        <v>3</v>
      </c>
      <c r="D68" s="899"/>
      <c r="E68" s="1068">
        <f>'Premissas Gerais'!G167</f>
        <v>1.0357808135649236E-2</v>
      </c>
      <c r="F68" s="246"/>
      <c r="G68" s="1034"/>
      <c r="H68" s="1034"/>
      <c r="I68" s="1034"/>
      <c r="J68" s="1034"/>
      <c r="K68" s="1034"/>
      <c r="L68" s="1034"/>
      <c r="M68" s="1034"/>
      <c r="N68" s="1034"/>
      <c r="O68" s="1034"/>
      <c r="P68" s="1034"/>
      <c r="Q68" s="1034"/>
      <c r="R68" s="1034"/>
      <c r="S68" s="1034"/>
      <c r="T68" s="1034"/>
      <c r="U68" s="1034"/>
      <c r="V68" s="1034"/>
      <c r="W68" s="1034"/>
      <c r="X68" s="1034"/>
      <c r="Y68" s="1034"/>
      <c r="Z68" s="1034"/>
      <c r="AA68" s="1034"/>
      <c r="AB68" s="1034"/>
      <c r="AC68" s="1034"/>
      <c r="AD68" s="1034"/>
      <c r="AE68" s="1034"/>
      <c r="AF68" s="1034"/>
      <c r="AG68" s="1034"/>
      <c r="AH68" s="1034"/>
      <c r="AI68" s="1034"/>
      <c r="AJ68" s="1034"/>
      <c r="AK68" s="1034"/>
      <c r="AL68" s="1034"/>
      <c r="AM68" s="1034"/>
      <c r="AN68" s="1034"/>
    </row>
    <row r="69" spans="3:40" x14ac:dyDescent="0.35">
      <c r="C69" s="898" t="s">
        <v>4</v>
      </c>
      <c r="D69" s="899"/>
      <c r="E69" s="1068">
        <f>'Premissas Gerais'!G168</f>
        <v>2.7637330894877687E-2</v>
      </c>
      <c r="F69" s="246"/>
      <c r="G69" s="1034"/>
      <c r="H69" s="1034"/>
      <c r="I69" s="1034"/>
      <c r="J69" s="1034"/>
      <c r="K69" s="1034"/>
      <c r="L69" s="1034"/>
      <c r="M69" s="1034"/>
      <c r="N69" s="1034"/>
      <c r="O69" s="1034"/>
      <c r="P69" s="1034"/>
      <c r="Q69" s="1034"/>
      <c r="R69" s="1034"/>
      <c r="S69" s="1034"/>
      <c r="T69" s="1034"/>
      <c r="U69" s="1034"/>
      <c r="V69" s="1034"/>
      <c r="W69" s="1034"/>
      <c r="X69" s="1034"/>
      <c r="Y69" s="1034"/>
      <c r="Z69" s="1034"/>
      <c r="AA69" s="1034"/>
      <c r="AB69" s="1034"/>
      <c r="AC69" s="1034"/>
      <c r="AD69" s="1034"/>
      <c r="AE69" s="1034"/>
      <c r="AF69" s="1034"/>
      <c r="AG69" s="1034"/>
      <c r="AH69" s="1034"/>
      <c r="AI69" s="1034"/>
      <c r="AJ69" s="1034"/>
      <c r="AK69" s="1034"/>
      <c r="AL69" s="1034"/>
      <c r="AM69" s="1034"/>
      <c r="AN69" s="1034"/>
    </row>
    <row r="70" spans="3:40" x14ac:dyDescent="0.35">
      <c r="C70" s="898" t="s">
        <v>5</v>
      </c>
      <c r="D70" s="899"/>
      <c r="E70" s="1068">
        <f>'Premissas Gerais'!G169</f>
        <v>6.0023208808459072E-2</v>
      </c>
      <c r="F70" s="246"/>
      <c r="G70" s="1034"/>
      <c r="H70" s="1034"/>
      <c r="I70" s="1034"/>
      <c r="J70" s="1034"/>
      <c r="K70" s="1034"/>
      <c r="L70" s="1034"/>
      <c r="M70" s="1034"/>
      <c r="N70" s="1034"/>
      <c r="O70" s="1034"/>
      <c r="P70" s="1034"/>
      <c r="Q70" s="1034"/>
      <c r="R70" s="1034"/>
      <c r="S70" s="1034"/>
      <c r="T70" s="1034"/>
      <c r="U70" s="1034"/>
      <c r="V70" s="1034"/>
      <c r="W70" s="1034"/>
      <c r="X70" s="1034"/>
      <c r="Y70" s="1034"/>
      <c r="Z70" s="1034"/>
      <c r="AA70" s="1034"/>
      <c r="AB70" s="1034"/>
      <c r="AC70" s="1034"/>
      <c r="AD70" s="1034"/>
      <c r="AE70" s="1034"/>
      <c r="AF70" s="1034"/>
      <c r="AG70" s="1034"/>
      <c r="AH70" s="1034"/>
      <c r="AI70" s="1034"/>
      <c r="AJ70" s="1034"/>
      <c r="AK70" s="1034"/>
      <c r="AL70" s="1034"/>
      <c r="AM70" s="1034"/>
      <c r="AN70" s="1034"/>
    </row>
    <row r="71" spans="3:40" x14ac:dyDescent="0.35">
      <c r="C71" s="898" t="s">
        <v>6</v>
      </c>
      <c r="D71" s="899"/>
      <c r="E71" s="1068">
        <f>'Premissas Gerais'!G170</f>
        <v>0.66444642387502584</v>
      </c>
      <c r="F71" s="246"/>
      <c r="G71" s="1034"/>
      <c r="H71" s="1034"/>
      <c r="I71" s="1034"/>
      <c r="J71" s="1034"/>
      <c r="K71" s="1034"/>
      <c r="L71" s="1034"/>
      <c r="M71" s="1034"/>
      <c r="N71" s="1034"/>
      <c r="O71" s="1034"/>
      <c r="P71" s="1034"/>
      <c r="Q71" s="1034"/>
      <c r="R71" s="1034"/>
      <c r="S71" s="1034"/>
      <c r="T71" s="1034"/>
      <c r="U71" s="1034"/>
      <c r="V71" s="1034"/>
      <c r="W71" s="1034"/>
      <c r="X71" s="1034"/>
      <c r="Y71" s="1034"/>
      <c r="Z71" s="1034"/>
      <c r="AA71" s="1034"/>
      <c r="AB71" s="1034"/>
      <c r="AC71" s="1034"/>
      <c r="AD71" s="1034"/>
      <c r="AE71" s="1034"/>
      <c r="AF71" s="1034"/>
      <c r="AG71" s="1034"/>
      <c r="AH71" s="1034"/>
      <c r="AI71" s="1034"/>
      <c r="AJ71" s="1034"/>
      <c r="AK71" s="1034"/>
      <c r="AL71" s="1034"/>
      <c r="AM71" s="1034"/>
      <c r="AN71" s="1034"/>
    </row>
    <row r="72" spans="3:40" x14ac:dyDescent="0.35">
      <c r="C72" s="898" t="s">
        <v>7</v>
      </c>
      <c r="D72" s="899"/>
      <c r="E72" s="1068">
        <f>'Premissas Gerais'!G171</f>
        <v>5.4255720482041685E-2</v>
      </c>
      <c r="F72" s="246"/>
      <c r="G72" s="1034"/>
      <c r="H72" s="1034"/>
      <c r="I72" s="1034"/>
      <c r="J72" s="1034"/>
      <c r="K72" s="1034"/>
      <c r="L72" s="1034"/>
      <c r="M72" s="1034"/>
      <c r="N72" s="1034"/>
      <c r="O72" s="1034"/>
      <c r="P72" s="1034"/>
      <c r="Q72" s="1034"/>
      <c r="R72" s="1034"/>
      <c r="S72" s="1034"/>
      <c r="T72" s="1034"/>
      <c r="U72" s="1034"/>
      <c r="V72" s="1034"/>
      <c r="W72" s="1034"/>
      <c r="X72" s="1034"/>
      <c r="Y72" s="1034"/>
      <c r="Z72" s="1034"/>
      <c r="AA72" s="1034"/>
      <c r="AB72" s="1034"/>
      <c r="AC72" s="1034"/>
      <c r="AD72" s="1034"/>
      <c r="AE72" s="1034"/>
      <c r="AF72" s="1034"/>
      <c r="AG72" s="1034"/>
      <c r="AH72" s="1034"/>
      <c r="AI72" s="1034"/>
      <c r="AJ72" s="1034"/>
      <c r="AK72" s="1034"/>
      <c r="AL72" s="1034"/>
      <c r="AM72" s="1034"/>
      <c r="AN72" s="1034"/>
    </row>
    <row r="73" spans="3:40" x14ac:dyDescent="0.35">
      <c r="C73" s="898" t="s">
        <v>8</v>
      </c>
      <c r="D73" s="899"/>
      <c r="E73" s="1068">
        <f>'Premissas Gerais'!G172</f>
        <v>4.9429792991115142E-2</v>
      </c>
      <c r="F73" s="246"/>
      <c r="G73" s="1034"/>
      <c r="H73" s="1034"/>
      <c r="I73" s="1034"/>
      <c r="J73" s="1034"/>
      <c r="K73" s="1034"/>
      <c r="L73" s="1034"/>
      <c r="M73" s="1034"/>
      <c r="N73" s="1034"/>
      <c r="O73" s="1034"/>
      <c r="P73" s="1034"/>
      <c r="Q73" s="1034"/>
      <c r="R73" s="1034"/>
      <c r="S73" s="1034"/>
      <c r="T73" s="1034"/>
      <c r="U73" s="1034"/>
      <c r="V73" s="1034"/>
      <c r="W73" s="1034"/>
      <c r="X73" s="1034"/>
      <c r="Y73" s="1034"/>
      <c r="Z73" s="1034"/>
      <c r="AA73" s="1034"/>
      <c r="AB73" s="1034"/>
      <c r="AC73" s="1034"/>
      <c r="AD73" s="1034"/>
      <c r="AE73" s="1034"/>
      <c r="AF73" s="1034"/>
      <c r="AG73" s="1034"/>
      <c r="AH73" s="1034"/>
      <c r="AI73" s="1034"/>
      <c r="AJ73" s="1034"/>
      <c r="AK73" s="1034"/>
      <c r="AL73" s="1034"/>
      <c r="AM73" s="1034"/>
      <c r="AN73" s="1034"/>
    </row>
    <row r="74" spans="3:40" x14ac:dyDescent="0.35">
      <c r="C74" s="898" t="s">
        <v>9</v>
      </c>
      <c r="D74" s="899"/>
      <c r="E74" s="1068">
        <f>'Premissas Gerais'!G173</f>
        <v>4.0558834978037216E-2</v>
      </c>
      <c r="F74" s="246"/>
      <c r="G74" s="1034"/>
      <c r="H74" s="1034"/>
      <c r="I74" s="1034"/>
      <c r="J74" s="1034"/>
      <c r="K74" s="1034"/>
      <c r="L74" s="1034"/>
      <c r="M74" s="1034"/>
      <c r="N74" s="1034"/>
      <c r="O74" s="1034"/>
      <c r="P74" s="1034"/>
      <c r="Q74" s="1034"/>
      <c r="R74" s="1034"/>
      <c r="S74" s="1034"/>
      <c r="T74" s="1034"/>
      <c r="U74" s="1034"/>
      <c r="V74" s="1034"/>
      <c r="W74" s="1034"/>
      <c r="X74" s="1034"/>
      <c r="Y74" s="1034"/>
      <c r="Z74" s="1034"/>
      <c r="AA74" s="1034"/>
      <c r="AB74" s="1034"/>
      <c r="AC74" s="1034"/>
      <c r="AD74" s="1034"/>
      <c r="AE74" s="1034"/>
      <c r="AF74" s="1034"/>
      <c r="AG74" s="1034"/>
      <c r="AH74" s="1034"/>
      <c r="AI74" s="1034"/>
      <c r="AJ74" s="1034"/>
      <c r="AK74" s="1034"/>
      <c r="AL74" s="1034"/>
      <c r="AM74" s="1034"/>
      <c r="AN74" s="1034"/>
    </row>
    <row r="75" spans="3:40" x14ac:dyDescent="0.35">
      <c r="C75" s="800" t="s">
        <v>455</v>
      </c>
      <c r="D75" s="893"/>
      <c r="E75" s="891">
        <f>SUM(E66:E74)</f>
        <v>1</v>
      </c>
      <c r="F75" s="246"/>
      <c r="G75" s="1035"/>
      <c r="H75" s="1035"/>
      <c r="I75" s="1035"/>
      <c r="J75" s="1035"/>
      <c r="K75" s="1035"/>
      <c r="L75" s="1035"/>
      <c r="M75" s="1035"/>
      <c r="N75" s="1035"/>
      <c r="O75" s="1035"/>
      <c r="P75" s="1035"/>
      <c r="Q75" s="1035"/>
      <c r="R75" s="1035"/>
      <c r="S75" s="1035"/>
      <c r="T75" s="1035"/>
      <c r="U75" s="1035"/>
      <c r="V75" s="1035"/>
      <c r="W75" s="1035"/>
      <c r="X75" s="1035"/>
      <c r="Y75" s="1035"/>
      <c r="Z75" s="1035"/>
      <c r="AA75" s="1035"/>
      <c r="AB75" s="1035"/>
      <c r="AC75" s="1035"/>
      <c r="AD75" s="1035"/>
      <c r="AE75" s="1035"/>
      <c r="AF75" s="1035"/>
      <c r="AG75" s="1035"/>
      <c r="AH75" s="1035"/>
      <c r="AI75" s="1035"/>
      <c r="AJ75" s="1035"/>
      <c r="AK75" s="1035"/>
      <c r="AL75" s="1035"/>
      <c r="AM75" s="1035"/>
      <c r="AN75" s="1035"/>
    </row>
    <row r="76" spans="3:40" x14ac:dyDescent="0.35">
      <c r="D76"/>
    </row>
    <row r="77" spans="3:40" x14ac:dyDescent="0.35">
      <c r="D77"/>
    </row>
  </sheetData>
  <sheetProtection algorithmName="SHA-512" hashValue="Fb3Uar8Obo6e1U1xBWyhBuPRzevsSbEXLD0r99NXTA/D+DQJt2xnjaCCgiodtPZx/CcfSdWv1SwQ2RaAmeXv+w==" saltValue="yDFSofl1uf32hj/8DHz8XQ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37FB9-16A0-42F8-850D-3701D33A304F}">
  <sheetPr codeName="Planilha14"/>
  <dimension ref="B2:AP184"/>
  <sheetViews>
    <sheetView showGridLines="0" topLeftCell="A80" zoomScaleNormal="100" workbookViewId="0">
      <selection activeCell="G94" sqref="G94"/>
    </sheetView>
  </sheetViews>
  <sheetFormatPr defaultColWidth="8.81640625" defaultRowHeight="14.5" x14ac:dyDescent="0.35"/>
  <cols>
    <col min="1" max="2" width="1.6328125" customWidth="1"/>
    <col min="3" max="3" width="5.6328125" customWidth="1"/>
    <col min="4" max="4" width="6.81640625" customWidth="1"/>
    <col min="5" max="5" width="23" customWidth="1"/>
    <col min="6" max="6" width="17.81640625" customWidth="1"/>
    <col min="7" max="7" width="18" customWidth="1"/>
    <col min="8" max="8" width="16.453125" bestFit="1" customWidth="1"/>
    <col min="9" max="9" width="23.36328125" customWidth="1"/>
    <col min="10" max="41" width="15" bestFit="1" customWidth="1"/>
  </cols>
  <sheetData>
    <row r="2" spans="2:40" ht="21" x14ac:dyDescent="0.5">
      <c r="B2" s="98"/>
      <c r="C2" s="98"/>
      <c r="D2" s="98" t="s">
        <v>906</v>
      </c>
      <c r="E2" s="76"/>
      <c r="F2" s="76"/>
      <c r="G2" s="76"/>
      <c r="H2" s="76"/>
      <c r="I2" s="76"/>
      <c r="J2" s="76"/>
      <c r="K2" s="76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</row>
    <row r="3" spans="2:40" ht="4.5" customHeight="1" x14ac:dyDescent="0.35"/>
    <row r="4" spans="2:40" x14ac:dyDescent="0.35">
      <c r="B4" s="549"/>
      <c r="C4" s="549"/>
      <c r="D4" s="549"/>
      <c r="E4" s="549"/>
      <c r="F4" s="549"/>
      <c r="G4" s="549"/>
      <c r="H4" s="549"/>
      <c r="I4" s="549"/>
      <c r="J4" s="549"/>
      <c r="K4" s="549"/>
      <c r="L4" s="549"/>
      <c r="M4" s="549"/>
      <c r="N4" s="549"/>
      <c r="O4" s="549"/>
      <c r="P4" s="549"/>
      <c r="Q4" s="549"/>
      <c r="R4" s="549"/>
      <c r="S4" s="549"/>
      <c r="T4" s="549"/>
      <c r="U4" s="549"/>
      <c r="V4" s="549"/>
      <c r="W4" s="549"/>
      <c r="X4" s="549"/>
      <c r="Y4" s="549"/>
      <c r="Z4" s="549"/>
      <c r="AA4" s="549"/>
      <c r="AB4" s="549"/>
      <c r="AC4" s="549"/>
      <c r="AD4" s="549"/>
      <c r="AE4" s="549"/>
      <c r="AF4" s="549"/>
      <c r="AG4" s="549"/>
      <c r="AH4" s="549"/>
      <c r="AI4" s="549"/>
      <c r="AJ4" s="549"/>
      <c r="AK4" s="549"/>
    </row>
    <row r="5" spans="2:40" ht="18.5" x14ac:dyDescent="0.45">
      <c r="B5" s="549"/>
      <c r="C5" s="549"/>
      <c r="D5" s="846" t="s">
        <v>907</v>
      </c>
      <c r="E5" s="549"/>
      <c r="F5" s="549"/>
      <c r="G5" s="549"/>
      <c r="H5" s="549"/>
      <c r="I5" s="549"/>
      <c r="J5" s="549"/>
      <c r="K5" s="549"/>
      <c r="L5" s="549"/>
      <c r="M5" s="549"/>
      <c r="N5" s="549"/>
      <c r="O5" s="549"/>
      <c r="P5" s="549"/>
      <c r="Q5" s="549"/>
      <c r="R5" s="549"/>
      <c r="S5" s="549"/>
      <c r="T5" s="549"/>
      <c r="U5" s="549"/>
      <c r="V5" s="549"/>
      <c r="W5" s="549"/>
      <c r="X5" s="549"/>
      <c r="Y5" s="549"/>
      <c r="Z5" s="549"/>
      <c r="AA5" s="549"/>
      <c r="AB5" s="549"/>
      <c r="AC5" s="549"/>
      <c r="AD5" s="549"/>
      <c r="AE5" s="549"/>
      <c r="AF5" s="549"/>
      <c r="AG5" s="549"/>
      <c r="AH5" s="549"/>
      <c r="AI5" s="549"/>
      <c r="AJ5" s="549"/>
      <c r="AK5" s="549"/>
    </row>
    <row r="6" spans="2:40" ht="7.5" customHeight="1" thickBot="1" x14ac:dyDescent="0.4">
      <c r="B6" s="549"/>
      <c r="C6" s="549"/>
      <c r="D6" s="549"/>
      <c r="E6" s="549"/>
      <c r="F6" s="549"/>
      <c r="G6" s="549"/>
      <c r="H6" s="549"/>
      <c r="I6" s="549"/>
      <c r="J6" s="549"/>
      <c r="K6" s="549"/>
      <c r="L6" s="549"/>
      <c r="M6" s="549"/>
      <c r="N6" s="549"/>
      <c r="O6" s="549"/>
      <c r="P6" s="549"/>
      <c r="Q6" s="549"/>
      <c r="R6" s="549"/>
      <c r="S6" s="549"/>
      <c r="T6" s="549"/>
      <c r="U6" s="549"/>
      <c r="V6" s="549"/>
      <c r="W6" s="549"/>
      <c r="X6" s="549"/>
      <c r="Y6" s="549"/>
      <c r="Z6" s="549"/>
      <c r="AA6" s="549"/>
      <c r="AB6" s="549"/>
      <c r="AC6" s="549"/>
      <c r="AD6" s="549"/>
      <c r="AE6" s="549"/>
      <c r="AF6" s="549"/>
      <c r="AG6" s="549"/>
      <c r="AH6" s="549"/>
      <c r="AI6" s="549"/>
      <c r="AJ6" s="549"/>
      <c r="AK6" s="549"/>
    </row>
    <row r="7" spans="2:40" ht="16" thickBot="1" x14ac:dyDescent="0.4">
      <c r="B7" s="549"/>
      <c r="C7" s="549"/>
      <c r="D7" s="948" t="s">
        <v>908</v>
      </c>
      <c r="E7" s="549"/>
      <c r="F7" s="549"/>
      <c r="G7" s="1193">
        <f>G8+G9+G10</f>
        <v>51302.260000000009</v>
      </c>
      <c r="H7" s="949" t="s">
        <v>909</v>
      </c>
      <c r="I7" s="549"/>
      <c r="J7" s="549"/>
      <c r="K7" s="549"/>
      <c r="L7" s="549"/>
      <c r="M7" s="549"/>
      <c r="N7" s="549"/>
      <c r="O7" s="549"/>
      <c r="P7" s="549"/>
      <c r="Q7" s="549"/>
      <c r="R7" s="549"/>
      <c r="S7" s="549"/>
      <c r="T7" s="549"/>
      <c r="U7" s="549"/>
      <c r="V7" s="549"/>
      <c r="W7" s="549"/>
      <c r="X7" s="549"/>
      <c r="Y7" s="549"/>
      <c r="Z7" s="549"/>
      <c r="AA7" s="549"/>
      <c r="AB7" s="549"/>
      <c r="AC7" s="549"/>
      <c r="AD7" s="549"/>
      <c r="AE7" s="549"/>
      <c r="AF7" s="549"/>
      <c r="AG7" s="549"/>
      <c r="AH7" s="549"/>
      <c r="AI7" s="549"/>
      <c r="AJ7" s="549"/>
      <c r="AK7" s="549"/>
    </row>
    <row r="8" spans="2:40" ht="15" thickBot="1" x14ac:dyDescent="0.4">
      <c r="B8" s="549"/>
      <c r="C8" s="549"/>
      <c r="D8" s="548" t="s">
        <v>910</v>
      </c>
      <c r="E8" s="549"/>
      <c r="F8" s="549"/>
      <c r="G8" s="1001">
        <v>28222.560000000001</v>
      </c>
      <c r="H8" s="949" t="s">
        <v>909</v>
      </c>
      <c r="I8" s="549"/>
      <c r="J8" s="549"/>
      <c r="K8" s="549"/>
      <c r="L8" s="549"/>
      <c r="M8" s="549"/>
      <c r="N8" s="549"/>
      <c r="O8" s="549"/>
      <c r="P8" s="549"/>
      <c r="Q8" s="549"/>
      <c r="R8" s="549"/>
      <c r="S8" s="549"/>
      <c r="T8" s="549"/>
      <c r="U8" s="549"/>
      <c r="V8" s="549"/>
      <c r="W8" s="549"/>
      <c r="X8" s="549"/>
      <c r="Y8" s="549"/>
      <c r="Z8" s="549"/>
      <c r="AA8" s="549"/>
      <c r="AB8" s="549"/>
      <c r="AC8" s="549"/>
      <c r="AD8" s="549"/>
      <c r="AE8" s="549"/>
      <c r="AF8" s="549"/>
      <c r="AG8" s="549"/>
      <c r="AH8" s="549"/>
      <c r="AI8" s="549"/>
      <c r="AJ8" s="549"/>
      <c r="AK8" s="549"/>
    </row>
    <row r="9" spans="2:40" ht="15" thickBot="1" x14ac:dyDescent="0.4">
      <c r="B9" s="549"/>
      <c r="C9" s="549"/>
      <c r="D9" s="548" t="s">
        <v>911</v>
      </c>
      <c r="E9" s="549"/>
      <c r="F9" s="549"/>
      <c r="G9" s="1001">
        <v>826.49</v>
      </c>
      <c r="H9" s="949" t="s">
        <v>909</v>
      </c>
      <c r="I9" s="549"/>
      <c r="J9" s="549"/>
      <c r="K9" s="549"/>
      <c r="L9" s="549"/>
      <c r="M9" s="549"/>
      <c r="N9" s="549"/>
      <c r="O9" s="549"/>
      <c r="P9" s="549"/>
      <c r="Q9" s="549"/>
      <c r="R9" s="549"/>
      <c r="S9" s="549"/>
      <c r="T9" s="549"/>
      <c r="U9" s="549"/>
      <c r="V9" s="549"/>
      <c r="W9" s="549"/>
      <c r="X9" s="549"/>
      <c r="Y9" s="549"/>
      <c r="Z9" s="549"/>
      <c r="AA9" s="549"/>
      <c r="AB9" s="549"/>
      <c r="AC9" s="549"/>
      <c r="AD9" s="549"/>
      <c r="AE9" s="549"/>
      <c r="AF9" s="549"/>
      <c r="AG9" s="549"/>
      <c r="AH9" s="549"/>
      <c r="AI9" s="549"/>
      <c r="AJ9" s="549"/>
      <c r="AK9" s="549"/>
    </row>
    <row r="10" spans="2:40" ht="15" thickBot="1" x14ac:dyDescent="0.4">
      <c r="B10" s="549"/>
      <c r="C10" s="549"/>
      <c r="D10" s="548" t="s">
        <v>912</v>
      </c>
      <c r="E10" s="549"/>
      <c r="F10" s="549"/>
      <c r="G10" s="1190">
        <f>G12+G18+G19+G20</f>
        <v>22253.210000000003</v>
      </c>
      <c r="H10" s="949" t="s">
        <v>909</v>
      </c>
      <c r="I10" s="549"/>
      <c r="J10" s="549"/>
      <c r="K10" s="549"/>
      <c r="L10" s="549"/>
      <c r="M10" s="549"/>
      <c r="N10" s="549"/>
      <c r="O10" s="549"/>
      <c r="P10" s="549"/>
      <c r="Q10" s="549"/>
      <c r="R10" s="549"/>
      <c r="S10" s="549"/>
      <c r="T10" s="549"/>
      <c r="U10" s="549"/>
      <c r="V10" s="549"/>
      <c r="W10" s="549"/>
      <c r="X10" s="549"/>
      <c r="Y10" s="549"/>
      <c r="Z10" s="549"/>
      <c r="AA10" s="549"/>
      <c r="AB10" s="549"/>
      <c r="AC10" s="549"/>
      <c r="AD10" s="549"/>
      <c r="AE10" s="549"/>
      <c r="AF10" s="549"/>
      <c r="AG10" s="549"/>
      <c r="AH10" s="549"/>
      <c r="AI10" s="549"/>
      <c r="AJ10" s="549"/>
      <c r="AK10" s="549"/>
    </row>
    <row r="11" spans="2:40" ht="3.75" customHeight="1" thickBot="1" x14ac:dyDescent="0.4">
      <c r="B11" s="549"/>
      <c r="C11" s="549"/>
      <c r="D11" s="548"/>
      <c r="E11" s="549"/>
      <c r="F11" s="549"/>
      <c r="G11" s="549"/>
      <c r="H11" s="949"/>
      <c r="I11" s="549"/>
      <c r="J11" s="549"/>
      <c r="K11" s="549"/>
      <c r="L11" s="549"/>
      <c r="M11" s="549"/>
      <c r="N11" s="549"/>
      <c r="O11" s="549"/>
      <c r="P11" s="549"/>
      <c r="Q11" s="549"/>
      <c r="R11" s="549"/>
      <c r="S11" s="549"/>
      <c r="T11" s="549"/>
      <c r="U11" s="549"/>
      <c r="V11" s="549"/>
      <c r="W11" s="549"/>
      <c r="X11" s="549"/>
      <c r="Y11" s="549"/>
      <c r="Z11" s="549"/>
      <c r="AA11" s="549"/>
      <c r="AB11" s="549"/>
      <c r="AC11" s="549"/>
      <c r="AD11" s="549"/>
      <c r="AE11" s="549"/>
      <c r="AF11" s="549"/>
      <c r="AG11" s="549"/>
      <c r="AH11" s="549"/>
      <c r="AI11" s="549"/>
      <c r="AJ11" s="549"/>
      <c r="AK11" s="549"/>
    </row>
    <row r="12" spans="2:40" ht="15" thickBot="1" x14ac:dyDescent="0.4">
      <c r="B12" s="549"/>
      <c r="C12" s="549"/>
      <c r="D12" s="548"/>
      <c r="E12" s="548" t="s">
        <v>913</v>
      </c>
      <c r="F12" s="549"/>
      <c r="G12" s="1190">
        <f>ROUND(G15*G16*G17,2)</f>
        <v>8555.2800000000007</v>
      </c>
      <c r="H12" s="949" t="s">
        <v>909</v>
      </c>
      <c r="I12" s="549"/>
      <c r="J12" s="549"/>
      <c r="K12" s="549"/>
      <c r="L12" s="549"/>
      <c r="M12" s="549"/>
      <c r="N12" s="549"/>
      <c r="O12" s="549"/>
      <c r="P12" s="549"/>
      <c r="Q12" s="549"/>
      <c r="R12" s="549"/>
      <c r="S12" s="549"/>
      <c r="T12" s="549"/>
      <c r="U12" s="549"/>
      <c r="V12" s="549"/>
      <c r="W12" s="549"/>
      <c r="X12" s="549"/>
      <c r="Y12" s="549"/>
      <c r="Z12" s="549"/>
      <c r="AA12" s="549"/>
      <c r="AB12" s="549"/>
      <c r="AC12" s="549"/>
      <c r="AD12" s="549"/>
      <c r="AE12" s="549"/>
      <c r="AF12" s="549"/>
      <c r="AG12" s="549"/>
      <c r="AH12" s="549"/>
      <c r="AI12" s="549"/>
      <c r="AJ12" s="549"/>
      <c r="AK12" s="549"/>
    </row>
    <row r="13" spans="2:40" ht="15" thickBot="1" x14ac:dyDescent="0.4">
      <c r="B13" s="549"/>
      <c r="C13" s="549"/>
      <c r="D13" s="548"/>
      <c r="E13" s="848" t="s">
        <v>914</v>
      </c>
      <c r="F13" s="549"/>
      <c r="G13" s="989">
        <v>26.08</v>
      </c>
      <c r="H13" s="949" t="s">
        <v>915</v>
      </c>
      <c r="I13" s="549"/>
      <c r="J13" s="549"/>
      <c r="K13" s="549"/>
      <c r="L13" s="549"/>
      <c r="M13" s="549"/>
      <c r="N13" s="549"/>
      <c r="O13" s="549"/>
      <c r="P13" s="549"/>
      <c r="Q13" s="549"/>
      <c r="R13" s="549"/>
      <c r="S13" s="549"/>
      <c r="T13" s="549"/>
      <c r="U13" s="549"/>
      <c r="V13" s="549"/>
      <c r="W13" s="549"/>
      <c r="X13" s="549"/>
      <c r="Y13" s="549"/>
      <c r="Z13" s="549"/>
      <c r="AA13" s="549"/>
      <c r="AB13" s="549"/>
      <c r="AC13" s="549"/>
      <c r="AD13" s="549"/>
      <c r="AE13" s="549"/>
      <c r="AF13" s="549"/>
      <c r="AG13" s="549"/>
      <c r="AH13" s="549"/>
      <c r="AI13" s="549"/>
      <c r="AJ13" s="549"/>
      <c r="AK13" s="549"/>
    </row>
    <row r="14" spans="2:40" ht="15" thickBot="1" x14ac:dyDescent="0.4">
      <c r="B14" s="549"/>
      <c r="C14" s="549"/>
      <c r="D14" s="548"/>
      <c r="E14" s="848" t="s">
        <v>916</v>
      </c>
      <c r="F14" s="549"/>
      <c r="G14" s="989">
        <v>122.77750000000002</v>
      </c>
      <c r="H14" s="949" t="s">
        <v>917</v>
      </c>
      <c r="I14" s="549"/>
      <c r="J14" s="549"/>
      <c r="K14" s="549"/>
      <c r="L14" s="549"/>
      <c r="M14" s="549"/>
      <c r="N14" s="549"/>
      <c r="O14" s="549"/>
      <c r="P14" s="549"/>
      <c r="Q14" s="549"/>
      <c r="R14" s="549"/>
      <c r="S14" s="549"/>
      <c r="T14" s="549"/>
      <c r="U14" s="549"/>
      <c r="V14" s="549"/>
      <c r="W14" s="549"/>
      <c r="X14" s="549"/>
      <c r="Y14" s="549"/>
      <c r="Z14" s="549"/>
      <c r="AA14" s="549"/>
      <c r="AB14" s="549"/>
      <c r="AC14" s="549"/>
      <c r="AD14" s="549"/>
      <c r="AE14" s="549"/>
      <c r="AF14" s="549"/>
      <c r="AG14" s="549"/>
      <c r="AH14" s="549"/>
      <c r="AI14" s="549"/>
      <c r="AJ14" s="549"/>
      <c r="AK14" s="549"/>
    </row>
    <row r="15" spans="2:40" ht="15" thickBot="1" x14ac:dyDescent="0.4">
      <c r="B15" s="549"/>
      <c r="C15" s="549"/>
      <c r="D15" s="548"/>
      <c r="E15" s="848" t="s">
        <v>918</v>
      </c>
      <c r="F15" s="549"/>
      <c r="G15" s="1191">
        <v>3625.12</v>
      </c>
      <c r="H15" s="949" t="s">
        <v>917</v>
      </c>
      <c r="I15" s="549"/>
      <c r="J15" s="549"/>
      <c r="K15" s="549"/>
      <c r="L15" s="549"/>
      <c r="M15" s="549"/>
      <c r="N15" s="549"/>
      <c r="O15" s="549"/>
      <c r="P15" s="549"/>
      <c r="Q15" s="549"/>
      <c r="R15" s="549"/>
      <c r="S15" s="549"/>
      <c r="T15" s="549"/>
      <c r="U15" s="549"/>
      <c r="V15" s="549"/>
      <c r="W15" s="549"/>
      <c r="X15" s="549"/>
      <c r="Y15" s="549"/>
      <c r="Z15" s="549"/>
      <c r="AA15" s="549"/>
      <c r="AB15" s="549"/>
      <c r="AC15" s="549"/>
      <c r="AD15" s="549"/>
      <c r="AE15" s="549"/>
      <c r="AF15" s="549"/>
      <c r="AG15" s="549"/>
      <c r="AH15" s="549"/>
      <c r="AI15" s="549"/>
      <c r="AJ15" s="549"/>
      <c r="AK15" s="549"/>
    </row>
    <row r="16" spans="2:40" ht="15" thickBot="1" x14ac:dyDescent="0.4">
      <c r="B16" s="549"/>
      <c r="C16" s="549"/>
      <c r="D16" s="548"/>
      <c r="E16" s="848" t="s">
        <v>919</v>
      </c>
      <c r="F16" s="549"/>
      <c r="G16" s="990">
        <v>0.4</v>
      </c>
      <c r="H16" s="949" t="s">
        <v>920</v>
      </c>
      <c r="I16" s="549"/>
      <c r="J16" s="549"/>
      <c r="K16" s="549"/>
      <c r="L16" s="549"/>
      <c r="M16" s="549"/>
      <c r="N16" s="549"/>
      <c r="O16" s="549"/>
      <c r="P16" s="549"/>
      <c r="Q16" s="549"/>
      <c r="R16" s="549"/>
      <c r="S16" s="549"/>
      <c r="T16" s="549"/>
      <c r="U16" s="549"/>
      <c r="V16" s="549"/>
      <c r="W16" s="549"/>
      <c r="X16" s="549"/>
      <c r="Y16" s="549"/>
      <c r="Z16" s="549"/>
      <c r="AA16" s="549"/>
      <c r="AB16" s="549"/>
      <c r="AC16" s="549"/>
      <c r="AD16" s="549"/>
      <c r="AE16" s="549"/>
      <c r="AF16" s="549"/>
      <c r="AG16" s="549"/>
      <c r="AH16" s="549"/>
      <c r="AI16" s="549"/>
      <c r="AJ16" s="549"/>
      <c r="AK16" s="549"/>
    </row>
    <row r="17" spans="2:37" ht="15" thickBot="1" x14ac:dyDescent="0.4">
      <c r="B17" s="549"/>
      <c r="C17" s="549"/>
      <c r="D17" s="548"/>
      <c r="E17" s="848" t="s">
        <v>921</v>
      </c>
      <c r="F17" s="549"/>
      <c r="G17" s="990">
        <v>5.9</v>
      </c>
      <c r="H17" s="949" t="s">
        <v>544</v>
      </c>
      <c r="I17" s="549"/>
      <c r="J17" s="549"/>
      <c r="K17" s="549"/>
      <c r="L17" s="549"/>
      <c r="M17" s="549"/>
      <c r="N17" s="549"/>
      <c r="O17" s="549"/>
      <c r="P17" s="549"/>
      <c r="Q17" s="549"/>
      <c r="R17" s="549"/>
      <c r="S17" s="549"/>
      <c r="T17" s="549"/>
      <c r="U17" s="549"/>
      <c r="V17" s="549"/>
      <c r="W17" s="549"/>
      <c r="X17" s="549"/>
      <c r="Y17" s="549"/>
      <c r="Z17" s="549"/>
      <c r="AA17" s="549"/>
      <c r="AB17" s="549"/>
      <c r="AC17" s="549"/>
      <c r="AD17" s="549"/>
      <c r="AE17" s="549"/>
      <c r="AF17" s="549"/>
      <c r="AG17" s="549"/>
      <c r="AH17" s="549"/>
      <c r="AI17" s="549"/>
      <c r="AJ17" s="549"/>
      <c r="AK17" s="549"/>
    </row>
    <row r="18" spans="2:37" ht="15" thickBot="1" x14ac:dyDescent="0.4">
      <c r="B18" s="549"/>
      <c r="C18" s="549"/>
      <c r="D18" s="548"/>
      <c r="E18" s="548" t="s">
        <v>922</v>
      </c>
      <c r="F18" s="549"/>
      <c r="G18" s="1001">
        <v>3625.12</v>
      </c>
      <c r="H18" s="949" t="s">
        <v>909</v>
      </c>
      <c r="I18" s="549"/>
      <c r="J18" s="549"/>
      <c r="K18" s="549"/>
      <c r="L18" s="549"/>
      <c r="M18" s="549"/>
      <c r="N18" s="549"/>
      <c r="O18" s="549"/>
      <c r="P18" s="549"/>
      <c r="Q18" s="549"/>
      <c r="R18" s="549"/>
      <c r="S18" s="549"/>
      <c r="T18" s="549"/>
      <c r="U18" s="549"/>
      <c r="V18" s="549"/>
      <c r="W18" s="549"/>
      <c r="X18" s="549"/>
      <c r="Y18" s="549"/>
      <c r="Z18" s="549"/>
      <c r="AA18" s="549"/>
      <c r="AB18" s="549"/>
      <c r="AC18" s="549"/>
      <c r="AD18" s="549"/>
      <c r="AE18" s="549"/>
      <c r="AF18" s="549"/>
      <c r="AG18" s="549"/>
      <c r="AH18" s="549"/>
      <c r="AI18" s="549"/>
      <c r="AJ18" s="549"/>
      <c r="AK18" s="549"/>
    </row>
    <row r="19" spans="2:37" ht="15" thickBot="1" x14ac:dyDescent="0.4">
      <c r="B19" s="549"/>
      <c r="C19" s="549"/>
      <c r="D19" s="548"/>
      <c r="E19" s="548" t="s">
        <v>923</v>
      </c>
      <c r="F19" s="549"/>
      <c r="G19" s="1001">
        <v>855.53</v>
      </c>
      <c r="H19" s="949" t="s">
        <v>909</v>
      </c>
      <c r="I19" s="549"/>
      <c r="J19" s="549"/>
      <c r="K19" s="549"/>
      <c r="L19" s="549"/>
      <c r="M19" s="549"/>
      <c r="N19" s="549"/>
      <c r="O19" s="549"/>
      <c r="P19" s="549"/>
      <c r="Q19" s="549"/>
      <c r="R19" s="549"/>
      <c r="S19" s="549"/>
      <c r="T19" s="549"/>
      <c r="U19" s="549"/>
      <c r="V19" s="549"/>
      <c r="W19" s="549"/>
      <c r="X19" s="549"/>
      <c r="Y19" s="549"/>
      <c r="Z19" s="549"/>
      <c r="AA19" s="549"/>
      <c r="AB19" s="549"/>
      <c r="AC19" s="549"/>
      <c r="AD19" s="549"/>
      <c r="AE19" s="549"/>
      <c r="AF19" s="549"/>
      <c r="AG19" s="549"/>
      <c r="AH19" s="549"/>
      <c r="AI19" s="549"/>
      <c r="AJ19" s="549"/>
      <c r="AK19" s="549"/>
    </row>
    <row r="20" spans="2:37" ht="15" thickBot="1" x14ac:dyDescent="0.4">
      <c r="B20" s="549"/>
      <c r="C20" s="549"/>
      <c r="D20" s="548"/>
      <c r="E20" s="548" t="s">
        <v>924</v>
      </c>
      <c r="F20" s="549"/>
      <c r="G20" s="1001">
        <v>9217.2800000000007</v>
      </c>
      <c r="H20" s="949" t="s">
        <v>909</v>
      </c>
      <c r="I20" s="549"/>
      <c r="J20" s="549"/>
      <c r="K20" s="549"/>
      <c r="L20" s="549"/>
      <c r="M20" s="549"/>
      <c r="N20" s="549"/>
      <c r="O20" s="549"/>
      <c r="P20" s="549"/>
      <c r="Q20" s="549"/>
      <c r="R20" s="549"/>
      <c r="S20" s="549"/>
      <c r="T20" s="549"/>
      <c r="U20" s="549"/>
      <c r="V20" s="549"/>
      <c r="W20" s="549"/>
      <c r="X20" s="549"/>
      <c r="Y20" s="549"/>
      <c r="Z20" s="549"/>
      <c r="AA20" s="549"/>
      <c r="AB20" s="549"/>
      <c r="AC20" s="549"/>
      <c r="AD20" s="549"/>
      <c r="AE20" s="549"/>
      <c r="AF20" s="549"/>
      <c r="AG20" s="549"/>
      <c r="AH20" s="549"/>
      <c r="AI20" s="549"/>
      <c r="AJ20" s="549"/>
      <c r="AK20" s="549"/>
    </row>
    <row r="21" spans="2:37" ht="5.25" customHeight="1" thickBot="1" x14ac:dyDescent="0.4">
      <c r="B21" s="549"/>
      <c r="C21" s="549"/>
      <c r="D21" s="548"/>
      <c r="E21" s="548"/>
      <c r="F21" s="549"/>
      <c r="G21" s="549"/>
      <c r="H21" s="949"/>
      <c r="I21" s="549"/>
      <c r="J21" s="549"/>
      <c r="K21" s="549"/>
      <c r="L21" s="549"/>
      <c r="M21" s="549"/>
      <c r="N21" s="549"/>
      <c r="O21" s="549"/>
      <c r="P21" s="549"/>
      <c r="Q21" s="549"/>
      <c r="R21" s="549"/>
      <c r="S21" s="549"/>
      <c r="T21" s="549"/>
      <c r="U21" s="549"/>
      <c r="V21" s="549"/>
      <c r="W21" s="549"/>
      <c r="X21" s="549"/>
      <c r="Y21" s="549"/>
      <c r="Z21" s="549"/>
      <c r="AA21" s="549"/>
      <c r="AB21" s="549"/>
      <c r="AC21" s="549"/>
      <c r="AD21" s="549"/>
      <c r="AE21" s="549"/>
      <c r="AF21" s="549"/>
      <c r="AG21" s="549"/>
      <c r="AH21" s="549"/>
      <c r="AI21" s="549"/>
      <c r="AJ21" s="549"/>
      <c r="AK21" s="549"/>
    </row>
    <row r="22" spans="2:37" ht="16" thickBot="1" x14ac:dyDescent="0.4">
      <c r="B22" s="549"/>
      <c r="C22" s="549"/>
      <c r="D22" s="948" t="s">
        <v>925</v>
      </c>
      <c r="E22" s="549"/>
      <c r="F22" s="549"/>
      <c r="G22" s="1189">
        <f>G23+G24</f>
        <v>4457.5599999999995</v>
      </c>
      <c r="H22" s="949" t="s">
        <v>909</v>
      </c>
      <c r="I22" s="549"/>
      <c r="J22" s="549"/>
      <c r="K22" s="549"/>
      <c r="L22" s="549"/>
      <c r="M22" s="549"/>
      <c r="N22" s="549"/>
      <c r="O22" s="549"/>
      <c r="P22" s="549"/>
      <c r="Q22" s="549"/>
      <c r="R22" s="549"/>
      <c r="S22" s="549"/>
      <c r="T22" s="549"/>
      <c r="U22" s="549"/>
      <c r="V22" s="549"/>
      <c r="W22" s="549"/>
      <c r="X22" s="549"/>
      <c r="Y22" s="549"/>
      <c r="Z22" s="549"/>
      <c r="AA22" s="549"/>
      <c r="AB22" s="549"/>
      <c r="AC22" s="549"/>
      <c r="AD22" s="549"/>
      <c r="AE22" s="549"/>
      <c r="AF22" s="549"/>
      <c r="AG22" s="549"/>
      <c r="AH22" s="549"/>
      <c r="AI22" s="549"/>
      <c r="AJ22" s="549"/>
      <c r="AK22" s="549"/>
    </row>
    <row r="23" spans="2:37" ht="15" thickBot="1" x14ac:dyDescent="0.4">
      <c r="B23" s="549"/>
      <c r="C23" s="549"/>
      <c r="D23" s="548" t="s">
        <v>926</v>
      </c>
      <c r="E23" s="549"/>
      <c r="F23" s="549"/>
      <c r="G23" s="1001">
        <v>425</v>
      </c>
      <c r="H23" s="949" t="s">
        <v>909</v>
      </c>
      <c r="I23" s="549"/>
      <c r="J23" s="549"/>
      <c r="K23" s="549"/>
      <c r="L23" s="549"/>
      <c r="M23" s="549"/>
      <c r="N23" s="549"/>
      <c r="O23" s="549"/>
      <c r="P23" s="549"/>
      <c r="Q23" s="549"/>
      <c r="R23" s="549"/>
      <c r="S23" s="549"/>
      <c r="T23" s="549"/>
      <c r="U23" s="549"/>
      <c r="V23" s="549"/>
      <c r="W23" s="549"/>
      <c r="X23" s="549"/>
      <c r="Y23" s="549"/>
      <c r="Z23" s="549"/>
      <c r="AA23" s="549"/>
      <c r="AB23" s="549"/>
      <c r="AC23" s="549"/>
      <c r="AD23" s="549"/>
      <c r="AE23" s="549"/>
      <c r="AF23" s="549"/>
      <c r="AG23" s="549"/>
      <c r="AH23" s="549"/>
      <c r="AI23" s="549"/>
      <c r="AJ23" s="549"/>
      <c r="AK23" s="549"/>
    </row>
    <row r="24" spans="2:37" ht="15" thickBot="1" x14ac:dyDescent="0.4">
      <c r="B24" s="549"/>
      <c r="C24" s="549"/>
      <c r="D24" s="548" t="s">
        <v>927</v>
      </c>
      <c r="E24" s="549"/>
      <c r="F24" s="549"/>
      <c r="G24" s="1001">
        <v>4032.56</v>
      </c>
      <c r="H24" s="949" t="s">
        <v>909</v>
      </c>
      <c r="I24" s="1744"/>
      <c r="J24" s="549"/>
      <c r="K24" s="549"/>
      <c r="L24" s="549"/>
      <c r="M24" s="549"/>
      <c r="N24" s="549"/>
      <c r="O24" s="549"/>
      <c r="P24" s="549"/>
      <c r="Q24" s="549"/>
      <c r="R24" s="549"/>
      <c r="S24" s="549"/>
      <c r="T24" s="549"/>
      <c r="U24" s="549"/>
      <c r="V24" s="549"/>
      <c r="W24" s="549"/>
      <c r="X24" s="549"/>
      <c r="Y24" s="549"/>
      <c r="Z24" s="549"/>
      <c r="AA24" s="549"/>
      <c r="AB24" s="549"/>
      <c r="AC24" s="549"/>
      <c r="AD24" s="549"/>
      <c r="AE24" s="549"/>
      <c r="AF24" s="549"/>
      <c r="AG24" s="549"/>
      <c r="AH24" s="549"/>
      <c r="AI24" s="549"/>
      <c r="AJ24" s="549"/>
      <c r="AK24" s="549"/>
    </row>
    <row r="25" spans="2:37" ht="6.75" customHeight="1" thickBot="1" x14ac:dyDescent="0.4">
      <c r="B25" s="549"/>
      <c r="C25" s="549"/>
      <c r="D25" s="548"/>
      <c r="E25" s="549"/>
      <c r="F25" s="549"/>
      <c r="G25" s="947"/>
      <c r="H25" s="949"/>
      <c r="I25" s="549"/>
      <c r="J25" s="549"/>
      <c r="K25" s="549"/>
      <c r="L25" s="549"/>
      <c r="M25" s="549"/>
      <c r="N25" s="549"/>
      <c r="O25" s="549"/>
      <c r="P25" s="549"/>
      <c r="Q25" s="549"/>
      <c r="R25" s="549"/>
      <c r="S25" s="549"/>
      <c r="T25" s="549"/>
      <c r="U25" s="549"/>
      <c r="V25" s="549"/>
      <c r="W25" s="549"/>
      <c r="X25" s="549"/>
      <c r="Y25" s="549"/>
      <c r="Z25" s="549"/>
      <c r="AA25" s="549"/>
      <c r="AB25" s="549"/>
      <c r="AC25" s="549"/>
      <c r="AD25" s="549"/>
      <c r="AE25" s="549"/>
      <c r="AF25" s="549"/>
      <c r="AG25" s="549"/>
      <c r="AH25" s="549"/>
      <c r="AI25" s="549"/>
      <c r="AJ25" s="549"/>
      <c r="AK25" s="549"/>
    </row>
    <row r="26" spans="2:37" ht="15" thickBot="1" x14ac:dyDescent="0.4">
      <c r="B26" s="549"/>
      <c r="C26" s="549"/>
      <c r="D26" s="548" t="s">
        <v>928</v>
      </c>
      <c r="E26" s="549"/>
      <c r="F26" s="549"/>
      <c r="G26" s="921">
        <v>378.17</v>
      </c>
      <c r="H26" s="949"/>
      <c r="I26" s="549"/>
      <c r="J26" s="549"/>
      <c r="K26" s="549"/>
      <c r="L26" s="549"/>
      <c r="M26" s="549"/>
      <c r="N26" s="549"/>
      <c r="O26" s="549"/>
      <c r="P26" s="549"/>
      <c r="Q26" s="549"/>
      <c r="R26" s="549"/>
      <c r="S26" s="549"/>
      <c r="T26" s="549"/>
      <c r="U26" s="549"/>
      <c r="V26" s="549"/>
      <c r="W26" s="549"/>
      <c r="X26" s="549"/>
      <c r="Y26" s="549"/>
      <c r="Z26" s="549"/>
      <c r="AA26" s="549"/>
      <c r="AB26" s="549"/>
      <c r="AC26" s="549"/>
      <c r="AD26" s="549"/>
      <c r="AE26" s="549"/>
      <c r="AF26" s="549"/>
      <c r="AG26" s="549"/>
      <c r="AH26" s="549"/>
      <c r="AI26" s="549"/>
      <c r="AJ26" s="549"/>
      <c r="AK26" s="549"/>
    </row>
    <row r="27" spans="2:37" ht="16" thickBot="1" x14ac:dyDescent="0.4">
      <c r="B27" s="549"/>
      <c r="C27" s="549"/>
      <c r="D27" s="948" t="s">
        <v>929</v>
      </c>
      <c r="E27" s="549"/>
      <c r="F27" s="549"/>
      <c r="G27" s="1192">
        <v>147.44999999999999</v>
      </c>
      <c r="H27" s="949" t="s">
        <v>930</v>
      </c>
      <c r="I27" s="873"/>
      <c r="J27" s="549"/>
      <c r="K27" s="549"/>
      <c r="L27" s="549"/>
      <c r="M27" s="549"/>
      <c r="N27" s="549"/>
      <c r="O27" s="549"/>
      <c r="P27" s="549"/>
      <c r="Q27" s="549"/>
      <c r="R27" s="549"/>
      <c r="S27" s="549"/>
      <c r="T27" s="549"/>
      <c r="U27" s="549"/>
      <c r="V27" s="549"/>
      <c r="W27" s="549"/>
      <c r="X27" s="549"/>
      <c r="Y27" s="549"/>
      <c r="Z27" s="549"/>
      <c r="AA27" s="549"/>
      <c r="AB27" s="549"/>
      <c r="AC27" s="549"/>
      <c r="AD27" s="549"/>
      <c r="AE27" s="549"/>
      <c r="AF27" s="549"/>
      <c r="AG27" s="549"/>
      <c r="AH27" s="549"/>
      <c r="AI27" s="549"/>
      <c r="AJ27" s="549"/>
      <c r="AK27" s="549"/>
    </row>
    <row r="28" spans="2:37" ht="15" thickBot="1" x14ac:dyDescent="0.4">
      <c r="B28" s="549"/>
      <c r="C28" s="549"/>
      <c r="D28" s="848" t="s">
        <v>931</v>
      </c>
      <c r="E28" s="549"/>
      <c r="F28" s="549"/>
      <c r="G28" s="1194">
        <v>1</v>
      </c>
      <c r="H28" s="949"/>
      <c r="I28" s="549"/>
      <c r="J28" s="549"/>
      <c r="K28" s="549"/>
      <c r="L28" s="549"/>
      <c r="M28" s="549"/>
      <c r="N28" s="549"/>
      <c r="O28" s="549"/>
      <c r="P28" s="549"/>
      <c r="Q28" s="549"/>
      <c r="R28" s="549"/>
      <c r="S28" s="549"/>
      <c r="T28" s="549"/>
      <c r="U28" s="549"/>
      <c r="V28" s="549"/>
      <c r="W28" s="549"/>
      <c r="X28" s="549"/>
      <c r="Y28" s="549"/>
      <c r="Z28" s="549"/>
      <c r="AA28" s="549"/>
      <c r="AB28" s="549"/>
      <c r="AC28" s="549"/>
      <c r="AD28" s="549"/>
      <c r="AE28" s="549"/>
      <c r="AF28" s="549"/>
      <c r="AG28" s="549"/>
      <c r="AH28" s="549"/>
      <c r="AI28" s="549"/>
      <c r="AJ28" s="549"/>
      <c r="AK28" s="549"/>
    </row>
    <row r="29" spans="2:37" x14ac:dyDescent="0.35">
      <c r="B29" s="549"/>
      <c r="C29" s="549"/>
      <c r="D29" s="548"/>
      <c r="E29" s="549"/>
      <c r="F29" s="549"/>
      <c r="G29" s="947"/>
      <c r="H29" s="949"/>
      <c r="I29" s="549"/>
      <c r="J29" s="549"/>
      <c r="K29" s="549"/>
      <c r="L29" s="549"/>
      <c r="M29" s="549"/>
      <c r="N29" s="549"/>
      <c r="O29" s="549"/>
      <c r="P29" s="549"/>
      <c r="Q29" s="549"/>
      <c r="R29" s="549"/>
      <c r="S29" s="549"/>
      <c r="T29" s="549"/>
      <c r="U29" s="549"/>
      <c r="V29" s="549"/>
      <c r="W29" s="549"/>
      <c r="X29" s="549"/>
      <c r="Y29" s="549"/>
      <c r="Z29" s="549"/>
      <c r="AA29" s="549"/>
      <c r="AB29" s="549"/>
      <c r="AC29" s="549"/>
      <c r="AD29" s="549"/>
      <c r="AE29" s="549"/>
      <c r="AF29" s="549"/>
      <c r="AG29" s="549"/>
      <c r="AH29" s="549"/>
      <c r="AI29" s="549"/>
      <c r="AJ29" s="549"/>
      <c r="AK29" s="549"/>
    </row>
    <row r="30" spans="2:37" ht="4.5" customHeight="1" x14ac:dyDescent="0.35"/>
    <row r="31" spans="2:37" x14ac:dyDescent="0.35">
      <c r="B31" s="549"/>
      <c r="C31" s="549"/>
      <c r="D31" s="549"/>
      <c r="E31" s="549"/>
      <c r="F31" s="549"/>
      <c r="G31" s="549"/>
      <c r="H31" s="549"/>
      <c r="I31" s="549"/>
      <c r="J31" s="549"/>
      <c r="K31" s="549"/>
      <c r="L31" s="549"/>
      <c r="M31" s="549"/>
      <c r="N31" s="549"/>
      <c r="O31" s="549"/>
      <c r="P31" s="549"/>
      <c r="Q31" s="549"/>
      <c r="R31" s="549"/>
      <c r="S31" s="549"/>
      <c r="T31" s="549"/>
      <c r="U31" s="549"/>
      <c r="V31" s="549"/>
      <c r="W31" s="549"/>
      <c r="X31" s="549"/>
      <c r="Y31" s="549"/>
      <c r="Z31" s="549"/>
      <c r="AA31" s="549"/>
      <c r="AB31" s="549"/>
      <c r="AC31" s="549"/>
      <c r="AD31" s="549"/>
      <c r="AE31" s="549"/>
      <c r="AF31" s="549"/>
      <c r="AG31" s="549"/>
      <c r="AH31" s="549"/>
      <c r="AI31" s="549"/>
      <c r="AJ31" s="549"/>
      <c r="AK31" s="549"/>
    </row>
    <row r="32" spans="2:37" ht="18.5" x14ac:dyDescent="0.45">
      <c r="B32" s="549"/>
      <c r="C32" s="549"/>
      <c r="D32" s="846" t="s">
        <v>932</v>
      </c>
      <c r="E32" s="549"/>
      <c r="F32" s="549"/>
      <c r="G32" s="549"/>
      <c r="H32" s="549"/>
      <c r="I32" s="549"/>
      <c r="J32" s="549"/>
      <c r="K32" s="549"/>
      <c r="L32" s="549"/>
      <c r="M32" s="549"/>
      <c r="N32" s="549"/>
      <c r="O32" s="549"/>
      <c r="P32" s="549"/>
      <c r="Q32" s="549"/>
      <c r="R32" s="549"/>
      <c r="S32" s="549"/>
      <c r="T32" s="549"/>
      <c r="U32" s="549"/>
      <c r="V32" s="549"/>
      <c r="W32" s="549"/>
      <c r="X32" s="549"/>
      <c r="Y32" s="549"/>
      <c r="Z32" s="549"/>
      <c r="AA32" s="549"/>
      <c r="AB32" s="549"/>
      <c r="AC32" s="549"/>
      <c r="AD32" s="549"/>
      <c r="AE32" s="549"/>
      <c r="AF32" s="549"/>
      <c r="AG32" s="549"/>
      <c r="AH32" s="549"/>
      <c r="AI32" s="549"/>
      <c r="AJ32" s="549"/>
      <c r="AK32" s="549"/>
    </row>
    <row r="33" spans="2:37" ht="7.5" customHeight="1" thickBot="1" x14ac:dyDescent="0.4">
      <c r="B33" s="549"/>
      <c r="C33" s="549"/>
      <c r="D33" s="549"/>
      <c r="E33" s="549"/>
      <c r="F33" s="549"/>
      <c r="G33" s="549"/>
      <c r="H33" s="549"/>
      <c r="I33" s="549"/>
      <c r="J33" s="549"/>
      <c r="K33" s="549"/>
      <c r="L33" s="549"/>
      <c r="M33" s="549"/>
      <c r="N33" s="549"/>
      <c r="O33" s="549"/>
      <c r="P33" s="549"/>
      <c r="Q33" s="549"/>
      <c r="R33" s="549"/>
      <c r="S33" s="549"/>
      <c r="T33" s="549"/>
      <c r="U33" s="549"/>
      <c r="V33" s="549"/>
      <c r="W33" s="549"/>
      <c r="X33" s="549"/>
      <c r="Y33" s="549"/>
      <c r="Z33" s="549"/>
      <c r="AA33" s="549"/>
      <c r="AB33" s="549"/>
      <c r="AC33" s="549"/>
      <c r="AD33" s="549"/>
      <c r="AE33" s="549"/>
      <c r="AF33" s="549"/>
      <c r="AG33" s="549"/>
      <c r="AH33" s="549"/>
      <c r="AI33" s="549"/>
      <c r="AJ33" s="549"/>
      <c r="AK33" s="549"/>
    </row>
    <row r="34" spans="2:37" ht="16" thickBot="1" x14ac:dyDescent="0.4">
      <c r="B34" s="549"/>
      <c r="C34" s="549"/>
      <c r="D34" s="948" t="s">
        <v>908</v>
      </c>
      <c r="E34" s="549"/>
      <c r="F34" s="549"/>
      <c r="G34" s="1189">
        <f>G35+G36+G37</f>
        <v>45707.600000000006</v>
      </c>
      <c r="H34" s="949" t="s">
        <v>909</v>
      </c>
      <c r="I34" s="549"/>
      <c r="J34" s="549"/>
      <c r="K34" s="549"/>
      <c r="L34" s="549"/>
      <c r="M34" s="549"/>
      <c r="N34" s="549"/>
      <c r="O34" s="549"/>
      <c r="P34" s="549"/>
      <c r="Q34" s="549"/>
      <c r="R34" s="549"/>
      <c r="S34" s="549"/>
      <c r="T34" s="549"/>
      <c r="U34" s="549"/>
      <c r="V34" s="549"/>
      <c r="W34" s="549"/>
      <c r="X34" s="549"/>
      <c r="Y34" s="549"/>
      <c r="Z34" s="549"/>
      <c r="AA34" s="549"/>
      <c r="AB34" s="549"/>
      <c r="AC34" s="549"/>
      <c r="AD34" s="549"/>
      <c r="AE34" s="549"/>
      <c r="AF34" s="549"/>
      <c r="AG34" s="549"/>
      <c r="AH34" s="549"/>
      <c r="AI34" s="549"/>
      <c r="AJ34" s="549"/>
      <c r="AK34" s="549"/>
    </row>
    <row r="35" spans="2:37" ht="15" thickBot="1" x14ac:dyDescent="0.4">
      <c r="B35" s="549"/>
      <c r="C35" s="549"/>
      <c r="D35" s="548" t="s">
        <v>910</v>
      </c>
      <c r="E35" s="549"/>
      <c r="F35" s="549"/>
      <c r="G35" s="1001">
        <v>28222.560000000001</v>
      </c>
      <c r="H35" s="949" t="s">
        <v>909</v>
      </c>
      <c r="I35" s="549"/>
      <c r="J35" s="549"/>
      <c r="K35" s="549"/>
      <c r="L35" s="549"/>
      <c r="M35" s="549"/>
      <c r="N35" s="549"/>
      <c r="O35" s="549"/>
      <c r="P35" s="549"/>
      <c r="Q35" s="549"/>
      <c r="R35" s="549"/>
      <c r="S35" s="549"/>
      <c r="T35" s="549"/>
      <c r="U35" s="549"/>
      <c r="V35" s="549"/>
      <c r="W35" s="549"/>
      <c r="X35" s="549"/>
      <c r="Y35" s="549"/>
      <c r="Z35" s="549"/>
      <c r="AA35" s="549"/>
      <c r="AB35" s="549"/>
      <c r="AC35" s="549"/>
      <c r="AD35" s="549"/>
      <c r="AE35" s="549"/>
      <c r="AF35" s="549"/>
      <c r="AG35" s="549"/>
      <c r="AH35" s="549"/>
      <c r="AI35" s="549"/>
      <c r="AJ35" s="549"/>
      <c r="AK35" s="549"/>
    </row>
    <row r="36" spans="2:37" ht="15" thickBot="1" x14ac:dyDescent="0.4">
      <c r="B36" s="549"/>
      <c r="C36" s="549"/>
      <c r="D36" s="548" t="s">
        <v>911</v>
      </c>
      <c r="E36" s="549"/>
      <c r="F36" s="549"/>
      <c r="G36" s="1001">
        <v>864.37</v>
      </c>
      <c r="H36" s="949" t="s">
        <v>909</v>
      </c>
      <c r="I36" s="549"/>
      <c r="J36" s="549"/>
      <c r="K36" s="549"/>
      <c r="L36" s="549"/>
      <c r="M36" s="549"/>
      <c r="N36" s="549"/>
      <c r="O36" s="549"/>
      <c r="P36" s="549"/>
      <c r="Q36" s="549"/>
      <c r="R36" s="549"/>
      <c r="S36" s="549"/>
      <c r="T36" s="549"/>
      <c r="U36" s="549"/>
      <c r="V36" s="549"/>
      <c r="W36" s="549"/>
      <c r="X36" s="549"/>
      <c r="Y36" s="549"/>
      <c r="Z36" s="549"/>
      <c r="AA36" s="549"/>
      <c r="AB36" s="549"/>
      <c r="AC36" s="549"/>
      <c r="AD36" s="549"/>
      <c r="AE36" s="549"/>
      <c r="AF36" s="549"/>
      <c r="AG36" s="549"/>
      <c r="AH36" s="549"/>
      <c r="AI36" s="549"/>
      <c r="AJ36" s="549"/>
      <c r="AK36" s="549"/>
    </row>
    <row r="37" spans="2:37" ht="15" thickBot="1" x14ac:dyDescent="0.4">
      <c r="B37" s="549"/>
      <c r="C37" s="549"/>
      <c r="D37" s="548" t="s">
        <v>912</v>
      </c>
      <c r="E37" s="549"/>
      <c r="F37" s="549"/>
      <c r="G37" s="1190">
        <f>G39+G45+G46+G47</f>
        <v>16620.670000000002</v>
      </c>
      <c r="H37" s="949" t="s">
        <v>909</v>
      </c>
      <c r="I37" s="549"/>
      <c r="J37" s="549"/>
      <c r="K37" s="549"/>
      <c r="L37" s="549"/>
      <c r="M37" s="549"/>
      <c r="N37" s="549"/>
      <c r="O37" s="549"/>
      <c r="P37" s="549"/>
      <c r="Q37" s="549"/>
      <c r="R37" s="549"/>
      <c r="S37" s="549"/>
      <c r="T37" s="549"/>
      <c r="U37" s="549"/>
      <c r="V37" s="549"/>
      <c r="W37" s="549"/>
      <c r="X37" s="549"/>
      <c r="Y37" s="549"/>
      <c r="Z37" s="549"/>
      <c r="AA37" s="549"/>
      <c r="AB37" s="549"/>
      <c r="AC37" s="549"/>
      <c r="AD37" s="549"/>
      <c r="AE37" s="549"/>
      <c r="AF37" s="549"/>
      <c r="AG37" s="549"/>
      <c r="AH37" s="549"/>
      <c r="AI37" s="549"/>
      <c r="AJ37" s="549"/>
      <c r="AK37" s="549"/>
    </row>
    <row r="38" spans="2:37" ht="15" thickBot="1" x14ac:dyDescent="0.4">
      <c r="B38" s="549"/>
      <c r="C38" s="549"/>
      <c r="D38" s="548"/>
      <c r="E38" s="549"/>
      <c r="F38" s="549"/>
      <c r="G38" s="549"/>
      <c r="H38" s="949"/>
      <c r="I38" s="549"/>
      <c r="J38" s="549"/>
      <c r="K38" s="549"/>
      <c r="L38" s="549"/>
      <c r="M38" s="549"/>
      <c r="N38" s="549"/>
      <c r="O38" s="549"/>
      <c r="P38" s="549"/>
      <c r="Q38" s="549"/>
      <c r="R38" s="549"/>
      <c r="S38" s="549"/>
      <c r="T38" s="549"/>
      <c r="U38" s="549"/>
      <c r="V38" s="549"/>
      <c r="W38" s="549"/>
      <c r="X38" s="549"/>
      <c r="Y38" s="549"/>
      <c r="Z38" s="549"/>
      <c r="AA38" s="549"/>
      <c r="AB38" s="549"/>
      <c r="AC38" s="549"/>
      <c r="AD38" s="549"/>
      <c r="AE38" s="549"/>
      <c r="AF38" s="549"/>
      <c r="AG38" s="549"/>
      <c r="AH38" s="549"/>
      <c r="AI38" s="549"/>
      <c r="AJ38" s="549"/>
      <c r="AK38" s="549"/>
    </row>
    <row r="39" spans="2:37" ht="15" thickBot="1" x14ac:dyDescent="0.4">
      <c r="B39" s="549"/>
      <c r="C39" s="549"/>
      <c r="D39" s="548"/>
      <c r="E39" s="548" t="s">
        <v>913</v>
      </c>
      <c r="F39" s="549"/>
      <c r="G39" s="1190">
        <f>ROUND(G42*G43*G44,2)</f>
        <v>8468.2800000000007</v>
      </c>
      <c r="H39" s="949" t="s">
        <v>909</v>
      </c>
      <c r="I39" s="549"/>
      <c r="J39" s="549"/>
      <c r="K39" s="549"/>
      <c r="L39" s="549"/>
      <c r="M39" s="549"/>
      <c r="N39" s="549"/>
      <c r="O39" s="549"/>
      <c r="P39" s="549"/>
      <c r="Q39" s="549"/>
      <c r="R39" s="549"/>
      <c r="S39" s="549"/>
      <c r="T39" s="549"/>
      <c r="U39" s="549"/>
      <c r="V39" s="549"/>
      <c r="W39" s="549"/>
      <c r="X39" s="549"/>
      <c r="Y39" s="549"/>
      <c r="Z39" s="549"/>
      <c r="AA39" s="549"/>
      <c r="AB39" s="549"/>
      <c r="AC39" s="549"/>
      <c r="AD39" s="549"/>
      <c r="AE39" s="549"/>
      <c r="AF39" s="549"/>
      <c r="AG39" s="549"/>
      <c r="AH39" s="549"/>
      <c r="AI39" s="549"/>
      <c r="AJ39" s="549"/>
      <c r="AK39" s="549"/>
    </row>
    <row r="40" spans="2:37" ht="15" thickBot="1" x14ac:dyDescent="0.4">
      <c r="B40" s="549"/>
      <c r="C40" s="549"/>
      <c r="D40" s="548"/>
      <c r="E40" s="848" t="s">
        <v>914</v>
      </c>
      <c r="F40" s="549"/>
      <c r="G40" s="989">
        <v>26.08</v>
      </c>
      <c r="H40" s="949" t="s">
        <v>915</v>
      </c>
      <c r="I40" s="549"/>
      <c r="J40" s="549"/>
      <c r="K40" s="549"/>
      <c r="L40" s="549"/>
      <c r="M40" s="549"/>
      <c r="N40" s="549"/>
      <c r="O40" s="549"/>
      <c r="P40" s="549"/>
      <c r="Q40" s="549"/>
      <c r="R40" s="549"/>
      <c r="S40" s="549"/>
      <c r="T40" s="549"/>
      <c r="U40" s="549"/>
      <c r="V40" s="549"/>
      <c r="W40" s="549"/>
      <c r="X40" s="549"/>
      <c r="Y40" s="549"/>
      <c r="Z40" s="549"/>
      <c r="AA40" s="549"/>
      <c r="AB40" s="549"/>
      <c r="AC40" s="549"/>
      <c r="AD40" s="549"/>
      <c r="AE40" s="549"/>
      <c r="AF40" s="549"/>
      <c r="AG40" s="549"/>
      <c r="AH40" s="549"/>
      <c r="AI40" s="549"/>
      <c r="AJ40" s="549"/>
      <c r="AK40" s="549"/>
    </row>
    <row r="41" spans="2:37" ht="15" thickBot="1" x14ac:dyDescent="0.4">
      <c r="B41" s="549"/>
      <c r="C41" s="549"/>
      <c r="D41" s="548"/>
      <c r="E41" s="848" t="s">
        <v>916</v>
      </c>
      <c r="F41" s="549"/>
      <c r="G41" s="989">
        <v>122.77750000000002</v>
      </c>
      <c r="H41" s="949" t="s">
        <v>917</v>
      </c>
      <c r="I41" s="549"/>
      <c r="J41" s="549"/>
      <c r="K41" s="549"/>
      <c r="L41" s="549"/>
      <c r="M41" s="549"/>
      <c r="N41" s="549"/>
      <c r="O41" s="549"/>
      <c r="P41" s="549"/>
      <c r="Q41" s="549"/>
      <c r="R41" s="549"/>
      <c r="S41" s="549"/>
      <c r="T41" s="549"/>
      <c r="U41" s="549"/>
      <c r="V41" s="549"/>
      <c r="W41" s="549"/>
      <c r="X41" s="549"/>
      <c r="Y41" s="549"/>
      <c r="Z41" s="549"/>
      <c r="AA41" s="549"/>
      <c r="AB41" s="549"/>
      <c r="AC41" s="549"/>
      <c r="AD41" s="549"/>
      <c r="AE41" s="549"/>
      <c r="AF41" s="549"/>
      <c r="AG41" s="549"/>
      <c r="AH41" s="549"/>
      <c r="AI41" s="549"/>
      <c r="AJ41" s="549"/>
      <c r="AK41" s="549"/>
    </row>
    <row r="42" spans="2:37" ht="15" thickBot="1" x14ac:dyDescent="0.4">
      <c r="B42" s="549"/>
      <c r="C42" s="549"/>
      <c r="D42" s="548"/>
      <c r="E42" s="848" t="s">
        <v>918</v>
      </c>
      <c r="F42" s="549"/>
      <c r="G42" s="1191">
        <v>3625.12</v>
      </c>
      <c r="H42" s="949" t="s">
        <v>917</v>
      </c>
      <c r="I42" s="549"/>
      <c r="J42" s="549"/>
      <c r="K42" s="549"/>
      <c r="L42" s="549"/>
      <c r="M42" s="549"/>
      <c r="N42" s="549"/>
      <c r="O42" s="549"/>
      <c r="P42" s="549"/>
      <c r="Q42" s="549"/>
      <c r="R42" s="549"/>
      <c r="S42" s="549"/>
      <c r="T42" s="549"/>
      <c r="U42" s="549"/>
      <c r="V42" s="549"/>
      <c r="W42" s="549"/>
      <c r="X42" s="549"/>
      <c r="Y42" s="549"/>
      <c r="Z42" s="549"/>
      <c r="AA42" s="549"/>
      <c r="AB42" s="549"/>
      <c r="AC42" s="549"/>
      <c r="AD42" s="549"/>
      <c r="AE42" s="549"/>
      <c r="AF42" s="549"/>
      <c r="AG42" s="549"/>
      <c r="AH42" s="549"/>
      <c r="AI42" s="549"/>
      <c r="AJ42" s="549"/>
      <c r="AK42" s="549"/>
    </row>
    <row r="43" spans="2:37" ht="15" thickBot="1" x14ac:dyDescent="0.4">
      <c r="B43" s="549"/>
      <c r="C43" s="549"/>
      <c r="D43" s="548"/>
      <c r="E43" s="848" t="s">
        <v>919</v>
      </c>
      <c r="F43" s="549"/>
      <c r="G43" s="990">
        <v>0.4</v>
      </c>
      <c r="H43" s="949" t="s">
        <v>920</v>
      </c>
      <c r="I43" s="549"/>
      <c r="J43" s="549"/>
      <c r="K43" s="549"/>
      <c r="L43" s="549"/>
      <c r="M43" s="549"/>
      <c r="N43" s="549"/>
      <c r="O43" s="549"/>
      <c r="P43" s="549"/>
      <c r="Q43" s="549"/>
      <c r="R43" s="549"/>
      <c r="S43" s="549"/>
      <c r="T43" s="549"/>
      <c r="U43" s="549"/>
      <c r="V43" s="549"/>
      <c r="W43" s="549"/>
      <c r="X43" s="549"/>
      <c r="Y43" s="549"/>
      <c r="Z43" s="549"/>
      <c r="AA43" s="549"/>
      <c r="AB43" s="549"/>
      <c r="AC43" s="549"/>
      <c r="AD43" s="549"/>
      <c r="AE43" s="549"/>
      <c r="AF43" s="549"/>
      <c r="AG43" s="549"/>
      <c r="AH43" s="549"/>
      <c r="AI43" s="549"/>
      <c r="AJ43" s="549"/>
      <c r="AK43" s="549"/>
    </row>
    <row r="44" spans="2:37" ht="15" thickBot="1" x14ac:dyDescent="0.4">
      <c r="B44" s="549"/>
      <c r="C44" s="549"/>
      <c r="D44" s="548"/>
      <c r="E44" s="848" t="s">
        <v>921</v>
      </c>
      <c r="F44" s="549"/>
      <c r="G44" s="990">
        <v>5.84</v>
      </c>
      <c r="H44" s="949" t="s">
        <v>544</v>
      </c>
      <c r="I44" s="549"/>
      <c r="J44" s="549"/>
      <c r="K44" s="549"/>
      <c r="L44" s="549"/>
      <c r="M44" s="549"/>
      <c r="N44" s="549"/>
      <c r="O44" s="549"/>
      <c r="P44" s="549"/>
      <c r="Q44" s="549"/>
      <c r="R44" s="549"/>
      <c r="S44" s="549"/>
      <c r="T44" s="549"/>
      <c r="U44" s="549"/>
      <c r="V44" s="549"/>
      <c r="W44" s="549"/>
      <c r="X44" s="549"/>
      <c r="Y44" s="549"/>
      <c r="Z44" s="549"/>
      <c r="AA44" s="549"/>
      <c r="AB44" s="549"/>
      <c r="AC44" s="549"/>
      <c r="AD44" s="549"/>
      <c r="AE44" s="549"/>
      <c r="AF44" s="549"/>
      <c r="AG44" s="549"/>
      <c r="AH44" s="549"/>
      <c r="AI44" s="549"/>
      <c r="AJ44" s="549"/>
      <c r="AK44" s="549"/>
    </row>
    <row r="45" spans="2:37" ht="15" thickBot="1" x14ac:dyDescent="0.4">
      <c r="B45" s="549"/>
      <c r="C45" s="549"/>
      <c r="D45" s="548"/>
      <c r="E45" s="548" t="s">
        <v>922</v>
      </c>
      <c r="F45" s="549"/>
      <c r="G45" s="1001">
        <v>1051.32</v>
      </c>
      <c r="H45" s="949" t="s">
        <v>909</v>
      </c>
      <c r="I45" s="549"/>
      <c r="J45" s="549"/>
      <c r="K45" s="549"/>
      <c r="L45" s="549"/>
      <c r="M45" s="549"/>
      <c r="N45" s="549"/>
      <c r="O45" s="549"/>
      <c r="P45" s="549"/>
      <c r="Q45" s="549"/>
      <c r="R45" s="549"/>
      <c r="S45" s="549"/>
      <c r="T45" s="549"/>
      <c r="U45" s="549"/>
      <c r="V45" s="549"/>
      <c r="W45" s="549"/>
      <c r="X45" s="549"/>
      <c r="Y45" s="549"/>
      <c r="Z45" s="549"/>
      <c r="AA45" s="549"/>
      <c r="AB45" s="549"/>
      <c r="AC45" s="549"/>
      <c r="AD45" s="549"/>
      <c r="AE45" s="549"/>
      <c r="AF45" s="549"/>
      <c r="AG45" s="549"/>
      <c r="AH45" s="549"/>
      <c r="AI45" s="549"/>
      <c r="AJ45" s="549"/>
      <c r="AK45" s="549"/>
    </row>
    <row r="46" spans="2:37" ht="15" thickBot="1" x14ac:dyDescent="0.4">
      <c r="B46" s="549"/>
      <c r="C46" s="549"/>
      <c r="D46" s="548"/>
      <c r="E46" s="548" t="s">
        <v>923</v>
      </c>
      <c r="F46" s="549"/>
      <c r="G46" s="1001">
        <v>797.53</v>
      </c>
      <c r="H46" s="949" t="s">
        <v>909</v>
      </c>
      <c r="I46" s="549"/>
      <c r="J46" s="549"/>
      <c r="K46" s="549"/>
      <c r="L46" s="549"/>
      <c r="M46" s="549"/>
      <c r="N46" s="549"/>
      <c r="O46" s="549"/>
      <c r="P46" s="549"/>
      <c r="Q46" s="549"/>
      <c r="R46" s="549"/>
      <c r="S46" s="549"/>
      <c r="T46" s="549"/>
      <c r="U46" s="549"/>
      <c r="V46" s="549"/>
      <c r="W46" s="549"/>
      <c r="X46" s="549"/>
      <c r="Y46" s="549"/>
      <c r="Z46" s="549"/>
      <c r="AA46" s="549"/>
      <c r="AB46" s="549"/>
      <c r="AC46" s="549"/>
      <c r="AD46" s="549"/>
      <c r="AE46" s="549"/>
      <c r="AF46" s="549"/>
      <c r="AG46" s="549"/>
      <c r="AH46" s="549"/>
      <c r="AI46" s="549"/>
      <c r="AJ46" s="549"/>
      <c r="AK46" s="549"/>
    </row>
    <row r="47" spans="2:37" ht="15" thickBot="1" x14ac:dyDescent="0.4">
      <c r="B47" s="549"/>
      <c r="C47" s="549"/>
      <c r="D47" s="548"/>
      <c r="E47" s="548" t="s">
        <v>924</v>
      </c>
      <c r="F47" s="549"/>
      <c r="G47" s="1001">
        <v>6303.54</v>
      </c>
      <c r="H47" s="949" t="s">
        <v>909</v>
      </c>
      <c r="I47" s="549"/>
      <c r="J47" s="549"/>
      <c r="K47" s="549"/>
      <c r="L47" s="549"/>
      <c r="M47" s="549"/>
      <c r="N47" s="549"/>
      <c r="O47" s="549"/>
      <c r="P47" s="549"/>
      <c r="Q47" s="549"/>
      <c r="R47" s="549"/>
      <c r="S47" s="549"/>
      <c r="T47" s="549"/>
      <c r="U47" s="549"/>
      <c r="V47" s="549"/>
      <c r="W47" s="549"/>
      <c r="X47" s="549"/>
      <c r="Y47" s="549"/>
      <c r="Z47" s="549"/>
      <c r="AA47" s="549"/>
      <c r="AB47" s="549"/>
      <c r="AC47" s="549"/>
      <c r="AD47" s="549"/>
      <c r="AE47" s="549"/>
      <c r="AF47" s="549"/>
      <c r="AG47" s="549"/>
      <c r="AH47" s="549"/>
      <c r="AI47" s="549"/>
      <c r="AJ47" s="549"/>
      <c r="AK47" s="549"/>
    </row>
    <row r="48" spans="2:37" ht="15" thickBot="1" x14ac:dyDescent="0.4">
      <c r="B48" s="549"/>
      <c r="C48" s="549"/>
      <c r="D48" s="548"/>
      <c r="E48" s="548"/>
      <c r="F48" s="549"/>
      <c r="G48" s="549"/>
      <c r="H48" s="949"/>
      <c r="I48" s="549"/>
      <c r="J48" s="549"/>
      <c r="K48" s="549"/>
      <c r="L48" s="549"/>
      <c r="M48" s="549"/>
      <c r="N48" s="549"/>
      <c r="O48" s="549"/>
      <c r="P48" s="549"/>
      <c r="Q48" s="549"/>
      <c r="R48" s="549"/>
      <c r="S48" s="549"/>
      <c r="T48" s="549"/>
      <c r="U48" s="549"/>
      <c r="V48" s="549"/>
      <c r="W48" s="549"/>
      <c r="X48" s="549"/>
      <c r="Y48" s="549"/>
      <c r="Z48" s="549"/>
      <c r="AA48" s="549"/>
      <c r="AB48" s="549"/>
      <c r="AC48" s="549"/>
      <c r="AD48" s="549"/>
      <c r="AE48" s="549"/>
      <c r="AF48" s="549"/>
      <c r="AG48" s="549"/>
      <c r="AH48" s="549"/>
      <c r="AI48" s="549"/>
      <c r="AJ48" s="549"/>
      <c r="AK48" s="549"/>
    </row>
    <row r="49" spans="2:42" ht="16" thickBot="1" x14ac:dyDescent="0.4">
      <c r="B49" s="549"/>
      <c r="C49" s="549"/>
      <c r="D49" s="948" t="s">
        <v>925</v>
      </c>
      <c r="E49" s="549"/>
      <c r="F49" s="549"/>
      <c r="G49" s="1189">
        <f>G50+G51</f>
        <v>4457.5599999999995</v>
      </c>
      <c r="H49" s="949" t="s">
        <v>909</v>
      </c>
      <c r="I49" s="549"/>
      <c r="J49" s="549"/>
      <c r="K49" s="549"/>
      <c r="L49" s="549"/>
      <c r="M49" s="549"/>
      <c r="N49" s="549"/>
      <c r="O49" s="549"/>
      <c r="P49" s="549"/>
      <c r="Q49" s="549"/>
      <c r="R49" s="549"/>
      <c r="S49" s="549"/>
      <c r="T49" s="549"/>
      <c r="U49" s="549"/>
      <c r="V49" s="549"/>
      <c r="W49" s="549"/>
      <c r="X49" s="549"/>
      <c r="Y49" s="549"/>
      <c r="Z49" s="549"/>
      <c r="AA49" s="549"/>
      <c r="AB49" s="549"/>
      <c r="AC49" s="549"/>
      <c r="AD49" s="549"/>
      <c r="AE49" s="549"/>
      <c r="AF49" s="549"/>
      <c r="AG49" s="549"/>
      <c r="AH49" s="549"/>
      <c r="AI49" s="549"/>
      <c r="AJ49" s="549"/>
      <c r="AK49" s="549"/>
    </row>
    <row r="50" spans="2:42" ht="15" thickBot="1" x14ac:dyDescent="0.4">
      <c r="B50" s="549"/>
      <c r="C50" s="549"/>
      <c r="D50" s="548" t="s">
        <v>926</v>
      </c>
      <c r="E50" s="549"/>
      <c r="F50" s="549"/>
      <c r="G50" s="1001">
        <v>425</v>
      </c>
      <c r="H50" s="949" t="s">
        <v>909</v>
      </c>
      <c r="I50" s="549"/>
      <c r="J50" s="549"/>
      <c r="K50" s="549"/>
      <c r="L50" s="549"/>
      <c r="M50" s="549"/>
      <c r="N50" s="549"/>
      <c r="O50" s="549"/>
      <c r="P50" s="549"/>
      <c r="Q50" s="549"/>
      <c r="R50" s="549"/>
      <c r="S50" s="549"/>
      <c r="T50" s="549"/>
      <c r="U50" s="549"/>
      <c r="V50" s="549"/>
      <c r="W50" s="549"/>
      <c r="X50" s="549"/>
      <c r="Y50" s="549"/>
      <c r="Z50" s="549"/>
      <c r="AA50" s="549"/>
      <c r="AB50" s="549"/>
      <c r="AC50" s="549"/>
      <c r="AD50" s="549"/>
      <c r="AE50" s="549"/>
      <c r="AF50" s="549"/>
      <c r="AG50" s="549"/>
      <c r="AH50" s="549"/>
      <c r="AI50" s="549"/>
      <c r="AJ50" s="549"/>
      <c r="AK50" s="549"/>
    </row>
    <row r="51" spans="2:42" ht="15" thickBot="1" x14ac:dyDescent="0.4">
      <c r="B51" s="549"/>
      <c r="C51" s="549"/>
      <c r="D51" s="548" t="s">
        <v>927</v>
      </c>
      <c r="E51" s="549"/>
      <c r="F51" s="549"/>
      <c r="G51" s="1001">
        <v>4032.56</v>
      </c>
      <c r="H51" s="949" t="s">
        <v>909</v>
      </c>
      <c r="I51" s="549"/>
      <c r="J51" s="549"/>
      <c r="K51" s="549"/>
      <c r="L51" s="549"/>
      <c r="M51" s="549"/>
      <c r="N51" s="549"/>
      <c r="O51" s="549"/>
      <c r="P51" s="549"/>
      <c r="Q51" s="549"/>
      <c r="R51" s="549"/>
      <c r="S51" s="549"/>
      <c r="T51" s="549"/>
      <c r="U51" s="549"/>
      <c r="V51" s="549"/>
      <c r="W51" s="549"/>
      <c r="X51" s="549"/>
      <c r="Y51" s="549"/>
      <c r="Z51" s="549"/>
      <c r="AA51" s="549"/>
      <c r="AB51" s="549"/>
      <c r="AC51" s="549"/>
      <c r="AD51" s="549"/>
      <c r="AE51" s="549"/>
      <c r="AF51" s="549"/>
      <c r="AG51" s="549"/>
      <c r="AH51" s="549"/>
      <c r="AI51" s="549"/>
      <c r="AJ51" s="549"/>
      <c r="AK51" s="549"/>
    </row>
    <row r="52" spans="2:42" ht="15" thickBot="1" x14ac:dyDescent="0.4">
      <c r="B52" s="549"/>
      <c r="C52" s="549"/>
      <c r="D52" s="548"/>
      <c r="E52" s="549"/>
      <c r="F52" s="549"/>
      <c r="G52" s="1192"/>
      <c r="H52" s="949"/>
      <c r="I52" s="549"/>
      <c r="J52" s="549"/>
      <c r="K52" s="549"/>
      <c r="L52" s="549"/>
      <c r="M52" s="549"/>
      <c r="N52" s="549"/>
      <c r="O52" s="549"/>
      <c r="P52" s="549"/>
      <c r="Q52" s="549"/>
      <c r="R52" s="549"/>
      <c r="S52" s="549"/>
      <c r="T52" s="549"/>
      <c r="U52" s="549"/>
      <c r="V52" s="549"/>
      <c r="W52" s="549"/>
      <c r="X52" s="549"/>
      <c r="Y52" s="549"/>
      <c r="Z52" s="549"/>
      <c r="AA52" s="549"/>
      <c r="AB52" s="549"/>
      <c r="AC52" s="549"/>
      <c r="AD52" s="549"/>
      <c r="AE52" s="549"/>
      <c r="AF52" s="549"/>
      <c r="AG52" s="549"/>
      <c r="AH52" s="549"/>
      <c r="AI52" s="549"/>
      <c r="AJ52" s="549"/>
      <c r="AK52" s="549"/>
    </row>
    <row r="53" spans="2:42" ht="15" thickBot="1" x14ac:dyDescent="0.4">
      <c r="B53" s="549"/>
      <c r="C53" s="549"/>
      <c r="D53" s="548" t="s">
        <v>928</v>
      </c>
      <c r="E53" s="549"/>
      <c r="F53" s="549"/>
      <c r="G53" s="991">
        <v>119.96800000000002</v>
      </c>
      <c r="H53" s="949"/>
      <c r="I53" s="549"/>
      <c r="J53" s="549"/>
      <c r="K53" s="549"/>
      <c r="L53" s="549"/>
      <c r="M53" s="549"/>
      <c r="N53" s="549"/>
      <c r="O53" s="549"/>
      <c r="P53" s="549"/>
      <c r="Q53" s="549"/>
      <c r="R53" s="549"/>
      <c r="S53" s="549"/>
      <c r="T53" s="549"/>
      <c r="U53" s="549"/>
      <c r="V53" s="549"/>
      <c r="W53" s="549"/>
      <c r="X53" s="549"/>
      <c r="Y53" s="549"/>
      <c r="Z53" s="549"/>
      <c r="AA53" s="549"/>
      <c r="AB53" s="549"/>
      <c r="AC53" s="549"/>
      <c r="AD53" s="549"/>
      <c r="AE53" s="549"/>
      <c r="AF53" s="549"/>
      <c r="AG53" s="549"/>
      <c r="AH53" s="549"/>
      <c r="AI53" s="549"/>
      <c r="AJ53" s="549"/>
      <c r="AK53" s="549"/>
    </row>
    <row r="54" spans="2:42" ht="16" thickBot="1" x14ac:dyDescent="0.4">
      <c r="B54" s="549"/>
      <c r="C54" s="549"/>
      <c r="D54" s="948" t="s">
        <v>929</v>
      </c>
      <c r="E54" s="549"/>
      <c r="F54" s="549"/>
      <c r="G54" s="1192">
        <f>(G34+G49)/G53</f>
        <v>418.15450786876499</v>
      </c>
      <c r="H54" s="949" t="s">
        <v>930</v>
      </c>
      <c r="I54" s="549"/>
      <c r="J54" s="549"/>
      <c r="K54" s="549"/>
      <c r="L54" s="549"/>
      <c r="M54" s="549"/>
      <c r="N54" s="549"/>
      <c r="O54" s="549"/>
      <c r="P54" s="549"/>
      <c r="Q54" s="549"/>
      <c r="R54" s="549"/>
      <c r="S54" s="549"/>
      <c r="T54" s="549"/>
      <c r="U54" s="549"/>
      <c r="V54" s="549"/>
      <c r="W54" s="549"/>
      <c r="X54" s="549"/>
      <c r="Y54" s="549"/>
      <c r="Z54" s="549"/>
      <c r="AA54" s="549"/>
      <c r="AB54" s="549"/>
      <c r="AC54" s="549"/>
      <c r="AD54" s="549"/>
      <c r="AE54" s="549"/>
      <c r="AF54" s="549"/>
      <c r="AG54" s="549"/>
      <c r="AH54" s="549"/>
      <c r="AI54" s="549"/>
      <c r="AJ54" s="549"/>
      <c r="AK54" s="549"/>
    </row>
    <row r="55" spans="2:42" ht="15" thickBot="1" x14ac:dyDescent="0.4">
      <c r="B55" s="549"/>
      <c r="C55" s="549"/>
      <c r="D55" s="848" t="s">
        <v>931</v>
      </c>
      <c r="E55" s="549"/>
      <c r="F55" s="549"/>
      <c r="G55" s="989">
        <v>1</v>
      </c>
      <c r="H55" s="949"/>
      <c r="I55" s="549"/>
      <c r="J55" s="549"/>
      <c r="K55" s="549"/>
      <c r="L55" s="549"/>
      <c r="M55" s="549"/>
      <c r="N55" s="549"/>
      <c r="O55" s="549"/>
      <c r="P55" s="549"/>
      <c r="Q55" s="549"/>
      <c r="R55" s="549"/>
      <c r="S55" s="549"/>
      <c r="T55" s="549"/>
      <c r="U55" s="549"/>
      <c r="V55" s="549"/>
      <c r="W55" s="549"/>
      <c r="X55" s="549"/>
      <c r="Y55" s="549"/>
      <c r="Z55" s="549"/>
      <c r="AA55" s="549"/>
      <c r="AB55" s="549"/>
      <c r="AC55" s="549"/>
      <c r="AD55" s="549"/>
      <c r="AE55" s="549"/>
      <c r="AF55" s="549"/>
      <c r="AG55" s="549"/>
      <c r="AH55" s="549"/>
      <c r="AI55" s="549"/>
      <c r="AJ55" s="549"/>
      <c r="AK55" s="549"/>
    </row>
    <row r="56" spans="2:42" x14ac:dyDescent="0.35">
      <c r="B56" s="549"/>
      <c r="C56" s="549"/>
      <c r="D56" s="548"/>
      <c r="E56" s="549"/>
      <c r="F56" s="549"/>
      <c r="G56" s="947"/>
      <c r="H56" s="949"/>
      <c r="I56" s="549"/>
      <c r="J56" s="549"/>
      <c r="K56" s="549"/>
      <c r="L56" s="549"/>
      <c r="M56" s="549"/>
      <c r="N56" s="549"/>
      <c r="O56" s="549"/>
      <c r="P56" s="549"/>
      <c r="Q56" s="549"/>
      <c r="R56" s="549"/>
      <c r="S56" s="549"/>
      <c r="T56" s="549"/>
      <c r="U56" s="549"/>
      <c r="V56" s="549"/>
      <c r="W56" s="549"/>
      <c r="X56" s="549"/>
      <c r="Y56" s="549"/>
      <c r="Z56" s="549"/>
      <c r="AA56" s="549"/>
      <c r="AB56" s="549"/>
      <c r="AC56" s="549"/>
      <c r="AD56" s="549"/>
      <c r="AE56" s="549"/>
      <c r="AF56" s="549"/>
      <c r="AG56" s="549"/>
      <c r="AH56" s="549"/>
      <c r="AI56" s="549"/>
      <c r="AJ56" s="549"/>
      <c r="AK56" s="549"/>
    </row>
    <row r="57" spans="2:42" ht="4.5" customHeight="1" x14ac:dyDescent="0.35"/>
    <row r="58" spans="2:42" x14ac:dyDescent="0.35">
      <c r="B58" s="549"/>
      <c r="C58" s="549"/>
      <c r="D58" s="549"/>
      <c r="E58" s="549"/>
      <c r="F58" s="549"/>
      <c r="G58" s="549"/>
      <c r="H58" s="549"/>
      <c r="I58" s="549"/>
      <c r="J58" s="549"/>
      <c r="K58" s="549"/>
      <c r="L58" s="549"/>
      <c r="M58" s="549"/>
      <c r="N58" s="549"/>
      <c r="O58" s="549"/>
      <c r="P58" s="549"/>
      <c r="Q58" s="549"/>
      <c r="R58" s="549"/>
      <c r="S58" s="549"/>
      <c r="T58" s="549"/>
      <c r="U58" s="549"/>
      <c r="V58" s="549"/>
      <c r="W58" s="549"/>
      <c r="X58" s="549"/>
      <c r="Y58" s="549"/>
      <c r="Z58" s="549"/>
      <c r="AA58" s="549"/>
      <c r="AB58" s="549"/>
      <c r="AC58" s="549"/>
      <c r="AD58" s="549"/>
      <c r="AE58" s="549"/>
      <c r="AF58" s="549"/>
      <c r="AG58" s="549"/>
      <c r="AH58" s="549"/>
      <c r="AI58" s="549"/>
      <c r="AJ58" s="549"/>
      <c r="AK58" s="549"/>
    </row>
    <row r="59" spans="2:42" ht="18.5" x14ac:dyDescent="0.45">
      <c r="B59" s="549"/>
      <c r="C59" s="549"/>
      <c r="D59" s="846" t="s">
        <v>933</v>
      </c>
      <c r="E59" s="549"/>
      <c r="F59" s="549"/>
      <c r="G59" s="549"/>
      <c r="H59" s="1744"/>
      <c r="I59" s="549"/>
      <c r="J59" s="549"/>
      <c r="K59" s="549"/>
      <c r="L59" s="549"/>
      <c r="M59" s="549"/>
      <c r="N59" s="549"/>
      <c r="O59" s="549"/>
      <c r="P59" s="549"/>
      <c r="Q59" s="549"/>
      <c r="R59" s="549"/>
      <c r="S59" s="549"/>
      <c r="T59" s="549"/>
      <c r="U59" s="549"/>
      <c r="V59" s="549"/>
      <c r="W59" s="549"/>
      <c r="X59" s="549"/>
      <c r="Y59" s="549"/>
      <c r="Z59" s="549"/>
      <c r="AA59" s="549"/>
      <c r="AB59" s="549"/>
      <c r="AC59" s="549"/>
      <c r="AD59" s="549"/>
      <c r="AE59" s="549"/>
      <c r="AF59" s="549"/>
      <c r="AG59" s="549"/>
      <c r="AH59" s="549"/>
      <c r="AI59" s="549"/>
      <c r="AJ59" s="549"/>
      <c r="AK59" s="549"/>
    </row>
    <row r="60" spans="2:42" ht="19" thickBot="1" x14ac:dyDescent="0.5">
      <c r="B60" s="549"/>
      <c r="C60" s="549"/>
      <c r="D60" s="846"/>
      <c r="E60" s="549"/>
      <c r="F60" s="549"/>
      <c r="G60" s="549"/>
      <c r="H60" s="1744"/>
      <c r="I60" s="549"/>
      <c r="J60" s="549"/>
      <c r="K60" s="549"/>
      <c r="L60" s="549"/>
      <c r="M60" s="549"/>
      <c r="N60" s="549"/>
      <c r="O60" s="549"/>
      <c r="P60" s="549"/>
      <c r="Q60" s="549"/>
      <c r="R60" s="549"/>
      <c r="S60" s="549"/>
      <c r="T60" s="549"/>
      <c r="U60" s="549"/>
      <c r="V60" s="549"/>
      <c r="W60" s="549"/>
      <c r="X60" s="549"/>
      <c r="Y60" s="549"/>
      <c r="Z60" s="549"/>
      <c r="AA60" s="549"/>
      <c r="AB60" s="549"/>
      <c r="AC60" s="549"/>
      <c r="AD60" s="549"/>
      <c r="AE60" s="549"/>
      <c r="AF60" s="549"/>
      <c r="AG60" s="549"/>
      <c r="AH60" s="549"/>
      <c r="AI60" s="549"/>
      <c r="AJ60" s="549"/>
      <c r="AK60" s="549"/>
    </row>
    <row r="61" spans="2:42" ht="15" thickBot="1" x14ac:dyDescent="0.4">
      <c r="B61" s="549"/>
      <c r="C61" s="549"/>
      <c r="D61" s="549"/>
      <c r="E61" s="2026" t="s">
        <v>68</v>
      </c>
      <c r="F61" s="2028" t="s">
        <v>934</v>
      </c>
      <c r="G61" s="2029"/>
      <c r="H61" s="2030"/>
      <c r="I61" s="2031" t="s">
        <v>935</v>
      </c>
      <c r="J61" s="2032"/>
      <c r="K61" s="2033"/>
      <c r="L61" s="2028" t="s">
        <v>936</v>
      </c>
      <c r="M61" s="2030"/>
      <c r="N61" s="549"/>
      <c r="O61" s="549"/>
      <c r="P61" s="549"/>
      <c r="Q61" s="549"/>
      <c r="R61" s="549"/>
      <c r="S61" s="549"/>
      <c r="T61" s="549"/>
      <c r="U61" s="549"/>
      <c r="V61" s="549"/>
      <c r="W61" s="549"/>
      <c r="X61" s="549"/>
      <c r="Y61" s="549"/>
      <c r="Z61" s="549"/>
      <c r="AA61" s="549"/>
      <c r="AB61" s="549"/>
      <c r="AC61" s="549"/>
      <c r="AD61" s="549"/>
      <c r="AE61" s="549"/>
      <c r="AF61" s="549"/>
      <c r="AG61" s="549"/>
      <c r="AH61" s="549"/>
      <c r="AI61" s="549"/>
      <c r="AJ61" s="549"/>
      <c r="AK61" s="549"/>
    </row>
    <row r="62" spans="2:42" ht="29.5" thickBot="1" x14ac:dyDescent="0.4">
      <c r="B62" s="549"/>
      <c r="C62" s="549"/>
      <c r="D62" s="549"/>
      <c r="E62" s="2027"/>
      <c r="F62" s="1074" t="s">
        <v>937</v>
      </c>
      <c r="G62" s="1683" t="s">
        <v>176</v>
      </c>
      <c r="H62" s="1683" t="s">
        <v>938</v>
      </c>
      <c r="I62" s="832" t="s">
        <v>939</v>
      </c>
      <c r="J62" s="832" t="s">
        <v>176</v>
      </c>
      <c r="K62" s="832" t="s">
        <v>938</v>
      </c>
      <c r="L62" s="1683" t="s">
        <v>940</v>
      </c>
      <c r="M62" s="1683" t="s">
        <v>176</v>
      </c>
      <c r="N62" s="549"/>
      <c r="O62" s="549"/>
      <c r="P62" s="549"/>
      <c r="Q62" s="549"/>
      <c r="R62" s="549"/>
      <c r="S62" s="549"/>
      <c r="T62" s="549"/>
      <c r="U62" s="549"/>
      <c r="V62" s="549"/>
      <c r="W62" s="549"/>
      <c r="X62" s="549"/>
      <c r="Y62" s="549"/>
      <c r="Z62" s="549"/>
      <c r="AA62" s="549"/>
      <c r="AB62" s="549"/>
      <c r="AC62" s="549"/>
      <c r="AD62" s="549"/>
      <c r="AE62" s="549"/>
      <c r="AF62" s="549"/>
      <c r="AG62" s="549"/>
      <c r="AH62" s="549"/>
      <c r="AI62" s="549"/>
      <c r="AJ62" s="549"/>
      <c r="AK62" s="549"/>
      <c r="AL62" s="549"/>
      <c r="AM62" s="549"/>
      <c r="AN62" s="549"/>
      <c r="AO62" s="549"/>
      <c r="AP62" s="549"/>
    </row>
    <row r="63" spans="2:42" ht="15" thickBot="1" x14ac:dyDescent="0.4">
      <c r="B63" s="549"/>
      <c r="C63" s="549"/>
      <c r="D63" s="549"/>
      <c r="E63" s="826" t="s">
        <v>1</v>
      </c>
      <c r="F63" s="990">
        <v>1.29</v>
      </c>
      <c r="G63" s="1788">
        <f>F63/$F$72</f>
        <v>7.1420654848399316E-3</v>
      </c>
      <c r="H63" s="1790">
        <f>F63*$G$27*313</f>
        <v>59535.886500000001</v>
      </c>
      <c r="I63" s="990">
        <v>0.34</v>
      </c>
      <c r="J63" s="1788">
        <f>I63/$I$72</f>
        <v>1.6504838905660638E-2</v>
      </c>
      <c r="K63" s="1790">
        <f>I63*$G$27*313</f>
        <v>15691.629000000001</v>
      </c>
      <c r="L63" s="990">
        <v>0.13</v>
      </c>
      <c r="M63" s="1788">
        <f>L63/$L$72</f>
        <v>8.1097941359950087E-3</v>
      </c>
      <c r="N63" s="549"/>
      <c r="O63" s="549"/>
      <c r="P63" s="549"/>
      <c r="Q63" s="549"/>
      <c r="R63" s="549"/>
      <c r="S63" s="549"/>
      <c r="T63" s="549"/>
      <c r="U63" s="549"/>
      <c r="V63" s="549"/>
      <c r="W63" s="549"/>
      <c r="X63" s="549"/>
      <c r="Y63" s="549"/>
      <c r="Z63" s="549"/>
      <c r="AA63" s="549"/>
      <c r="AB63" s="549"/>
      <c r="AC63" s="549"/>
      <c r="AD63" s="549"/>
      <c r="AE63" s="549"/>
      <c r="AF63" s="549"/>
      <c r="AG63" s="549"/>
      <c r="AH63" s="549"/>
      <c r="AI63" s="549"/>
      <c r="AJ63" s="549"/>
      <c r="AK63" s="549"/>
      <c r="AL63" s="549"/>
      <c r="AM63" s="549"/>
      <c r="AN63" s="549"/>
      <c r="AO63" s="549"/>
      <c r="AP63" s="549"/>
    </row>
    <row r="64" spans="2:42" ht="15" thickBot="1" x14ac:dyDescent="0.4">
      <c r="B64" s="549"/>
      <c r="C64" s="549"/>
      <c r="D64" s="549"/>
      <c r="E64" s="826" t="s">
        <v>2</v>
      </c>
      <c r="F64" s="990">
        <v>16.22</v>
      </c>
      <c r="G64" s="1788">
        <f t="shared" ref="G64:G71" si="0">F64/$F$72</f>
        <v>8.9801784623336184E-2</v>
      </c>
      <c r="H64" s="1790">
        <f t="shared" ref="H64:H71" si="1">F64*$G$27*313</f>
        <v>748583.00699999987</v>
      </c>
      <c r="I64" s="990">
        <v>3.32</v>
      </c>
      <c r="J64" s="1788">
        <f t="shared" ref="J64:J71" si="2">I64/$I$72</f>
        <v>0.16116489754939209</v>
      </c>
      <c r="K64" s="1790">
        <f t="shared" ref="K64:K70" si="3">I64*$G$27*313</f>
        <v>153224.14199999999</v>
      </c>
      <c r="L64" s="990">
        <v>1.56</v>
      </c>
      <c r="M64" s="1788">
        <f t="shared" ref="M64:M71" si="4">L64/$L$72</f>
        <v>9.7317529631940111E-2</v>
      </c>
      <c r="N64" s="549"/>
      <c r="O64" s="549"/>
      <c r="P64" s="549"/>
      <c r="Q64" s="549"/>
      <c r="R64" s="549"/>
      <c r="S64" s="549"/>
      <c r="T64" s="549"/>
      <c r="U64" s="549"/>
      <c r="V64" s="549"/>
      <c r="W64" s="549"/>
      <c r="X64" s="549"/>
      <c r="Y64" s="549"/>
      <c r="Z64" s="549"/>
      <c r="AA64" s="549"/>
      <c r="AB64" s="549"/>
      <c r="AC64" s="549"/>
      <c r="AD64" s="549"/>
      <c r="AE64" s="549"/>
      <c r="AF64" s="549"/>
      <c r="AG64" s="549"/>
      <c r="AH64" s="549"/>
      <c r="AI64" s="549"/>
      <c r="AJ64" s="549"/>
      <c r="AK64" s="549"/>
      <c r="AL64" s="549"/>
      <c r="AM64" s="549"/>
      <c r="AN64" s="549"/>
      <c r="AO64" s="549"/>
      <c r="AP64" s="549"/>
    </row>
    <row r="65" spans="2:42" ht="15" thickBot="1" x14ac:dyDescent="0.4">
      <c r="B65" s="549"/>
      <c r="C65" s="549"/>
      <c r="D65" s="549"/>
      <c r="E65" s="826" t="s">
        <v>3</v>
      </c>
      <c r="F65" s="990">
        <v>1.91</v>
      </c>
      <c r="G65" s="1788">
        <f t="shared" si="0"/>
        <v>1.0574686105460673E-2</v>
      </c>
      <c r="H65" s="1790">
        <f>F65*$G$27*313</f>
        <v>88150.03349999999</v>
      </c>
      <c r="I65" s="990">
        <v>0.4</v>
      </c>
      <c r="J65" s="1788">
        <f t="shared" si="2"/>
        <v>1.9417457536071339E-2</v>
      </c>
      <c r="K65" s="1790">
        <f t="shared" si="3"/>
        <v>18460.739999999998</v>
      </c>
      <c r="L65" s="990">
        <v>0.18</v>
      </c>
      <c r="M65" s="1788">
        <f t="shared" si="4"/>
        <v>1.1228945726762319E-2</v>
      </c>
      <c r="N65" s="549"/>
      <c r="O65" s="549"/>
      <c r="P65" s="549"/>
      <c r="Q65" s="549"/>
      <c r="R65" s="549"/>
      <c r="S65" s="549"/>
      <c r="T65" s="549"/>
      <c r="U65" s="549"/>
      <c r="V65" s="549"/>
      <c r="W65" s="549"/>
      <c r="X65" s="549"/>
      <c r="Y65" s="549"/>
      <c r="Z65" s="549"/>
      <c r="AA65" s="549"/>
      <c r="AB65" s="549"/>
      <c r="AC65" s="549"/>
      <c r="AD65" s="549"/>
      <c r="AE65" s="549"/>
      <c r="AF65" s="549"/>
      <c r="AG65" s="549"/>
      <c r="AH65" s="549"/>
      <c r="AI65" s="549"/>
      <c r="AJ65" s="549"/>
      <c r="AK65" s="549"/>
      <c r="AL65" s="549"/>
      <c r="AM65" s="549"/>
      <c r="AN65" s="549"/>
      <c r="AO65" s="549"/>
      <c r="AP65" s="549"/>
    </row>
    <row r="66" spans="2:42" ht="15" thickBot="1" x14ac:dyDescent="0.4">
      <c r="B66" s="549"/>
      <c r="C66" s="549"/>
      <c r="D66" s="549"/>
      <c r="E66" s="826" t="s">
        <v>4</v>
      </c>
      <c r="F66" s="990">
        <v>4.7</v>
      </c>
      <c r="G66" s="1788">
        <f t="shared" si="0"/>
        <v>2.6021478898254014E-2</v>
      </c>
      <c r="H66" s="1790">
        <f t="shared" si="1"/>
        <v>216913.69500000001</v>
      </c>
      <c r="I66" s="990">
        <v>1</v>
      </c>
      <c r="J66" s="1788">
        <f t="shared" si="2"/>
        <v>4.8543643840178348E-2</v>
      </c>
      <c r="K66" s="1790">
        <f t="shared" si="3"/>
        <v>46151.85</v>
      </c>
      <c r="L66" s="990">
        <v>0.45</v>
      </c>
      <c r="M66" s="1788">
        <f t="shared" si="4"/>
        <v>2.8072364316905799E-2</v>
      </c>
      <c r="N66" s="549"/>
      <c r="O66" s="549"/>
      <c r="P66" s="549"/>
      <c r="Q66" s="549"/>
      <c r="R66" s="549"/>
      <c r="S66" s="549"/>
      <c r="T66" s="549"/>
      <c r="U66" s="549"/>
      <c r="V66" s="549"/>
      <c r="W66" s="549"/>
      <c r="X66" s="549"/>
      <c r="Y66" s="549"/>
      <c r="Z66" s="549"/>
      <c r="AA66" s="549"/>
      <c r="AB66" s="549"/>
      <c r="AC66" s="549"/>
      <c r="AD66" s="549"/>
      <c r="AE66" s="549"/>
      <c r="AF66" s="549"/>
      <c r="AG66" s="549"/>
      <c r="AH66" s="549"/>
      <c r="AI66" s="549"/>
      <c r="AJ66" s="549"/>
      <c r="AK66" s="549"/>
      <c r="AL66" s="549"/>
      <c r="AM66" s="549"/>
      <c r="AN66" s="549"/>
      <c r="AO66" s="549"/>
      <c r="AP66" s="549"/>
    </row>
    <row r="67" spans="2:42" ht="15" thickBot="1" x14ac:dyDescent="0.4">
      <c r="B67" s="549"/>
      <c r="C67" s="549"/>
      <c r="D67" s="549"/>
      <c r="E67" s="826" t="s">
        <v>5</v>
      </c>
      <c r="F67" s="990">
        <v>10.41</v>
      </c>
      <c r="G67" s="1788">
        <f t="shared" si="0"/>
        <v>5.7634807517196657E-2</v>
      </c>
      <c r="H67" s="1790">
        <f t="shared" si="1"/>
        <v>480440.75849999994</v>
      </c>
      <c r="I67" s="990">
        <v>2.6</v>
      </c>
      <c r="J67" s="1788">
        <f t="shared" si="2"/>
        <v>0.1262134739844637</v>
      </c>
      <c r="K67" s="1790">
        <f t="shared" si="3"/>
        <v>119994.81</v>
      </c>
      <c r="L67" s="990">
        <v>1.04</v>
      </c>
      <c r="M67" s="1788">
        <f t="shared" si="4"/>
        <v>6.487835308796007E-2</v>
      </c>
      <c r="N67" s="549"/>
      <c r="O67" s="549"/>
      <c r="P67" s="549"/>
      <c r="Q67" s="549"/>
      <c r="R67" s="549"/>
      <c r="S67" s="549"/>
      <c r="T67" s="549"/>
      <c r="U67" s="549"/>
      <c r="V67" s="549"/>
      <c r="W67" s="549"/>
      <c r="X67" s="549"/>
      <c r="Y67" s="549"/>
      <c r="Z67" s="549"/>
      <c r="AA67" s="549"/>
      <c r="AB67" s="549"/>
      <c r="AC67" s="549"/>
      <c r="AD67" s="549"/>
      <c r="AE67" s="549"/>
      <c r="AF67" s="549"/>
      <c r="AG67" s="549"/>
      <c r="AH67" s="549"/>
      <c r="AI67" s="549"/>
      <c r="AJ67" s="549"/>
      <c r="AK67" s="549"/>
      <c r="AL67" s="549"/>
      <c r="AM67" s="549"/>
      <c r="AN67" s="549"/>
      <c r="AO67" s="549"/>
      <c r="AP67" s="549"/>
    </row>
    <row r="68" spans="2:42" ht="15" thickBot="1" x14ac:dyDescent="0.4">
      <c r="B68" s="549"/>
      <c r="C68" s="549"/>
      <c r="D68" s="549"/>
      <c r="E68" s="826" t="s">
        <v>6</v>
      </c>
      <c r="F68" s="990">
        <v>131.59001850000001</v>
      </c>
      <c r="G68" s="1788">
        <f t="shared" si="0"/>
        <v>0.72854614672736295</v>
      </c>
      <c r="H68" s="1790">
        <f t="shared" si="1"/>
        <v>6073122.7953092251</v>
      </c>
      <c r="I68" s="990">
        <v>8.7000192999999992</v>
      </c>
      <c r="J68" s="1788">
        <f t="shared" si="2"/>
        <v>0.42233063830187767</v>
      </c>
      <c r="K68" s="1790">
        <f t="shared" si="3"/>
        <v>401521.98573070491</v>
      </c>
      <c r="L68" s="990">
        <v>11.18</v>
      </c>
      <c r="M68" s="1788">
        <f t="shared" si="4"/>
        <v>0.6974422956955707</v>
      </c>
      <c r="N68" s="549"/>
      <c r="O68" s="549"/>
      <c r="P68" s="549"/>
      <c r="Q68" s="549"/>
      <c r="R68" s="549"/>
      <c r="S68" s="549"/>
      <c r="T68" s="549"/>
      <c r="U68" s="549"/>
      <c r="V68" s="549"/>
      <c r="W68" s="549"/>
      <c r="X68" s="549"/>
      <c r="Y68" s="549"/>
      <c r="Z68" s="549"/>
      <c r="AA68" s="549"/>
      <c r="AB68" s="549"/>
      <c r="AC68" s="549"/>
      <c r="AD68" s="549"/>
      <c r="AE68" s="549"/>
      <c r="AF68" s="549"/>
      <c r="AG68" s="549"/>
      <c r="AH68" s="549"/>
      <c r="AI68" s="549"/>
      <c r="AJ68" s="549"/>
      <c r="AK68" s="549"/>
      <c r="AL68" s="549"/>
      <c r="AM68" s="549"/>
      <c r="AN68" s="549"/>
      <c r="AO68" s="549"/>
      <c r="AP68" s="549"/>
    </row>
    <row r="69" spans="2:42" ht="15" thickBot="1" x14ac:dyDescent="0.4">
      <c r="B69" s="549"/>
      <c r="C69" s="549"/>
      <c r="D69" s="549"/>
      <c r="E69" s="826" t="s">
        <v>7</v>
      </c>
      <c r="F69" s="990">
        <v>0</v>
      </c>
      <c r="G69" s="1788">
        <f t="shared" si="0"/>
        <v>0</v>
      </c>
      <c r="H69" s="1790">
        <f t="shared" si="1"/>
        <v>0</v>
      </c>
      <c r="I69" s="990">
        <v>0</v>
      </c>
      <c r="J69" s="1788">
        <f t="shared" si="2"/>
        <v>0</v>
      </c>
      <c r="K69" s="1790">
        <f t="shared" si="3"/>
        <v>0</v>
      </c>
      <c r="L69" s="990">
        <v>0</v>
      </c>
      <c r="M69" s="1788">
        <f t="shared" si="4"/>
        <v>0</v>
      </c>
      <c r="N69" s="549"/>
      <c r="O69" s="549"/>
      <c r="P69" s="549"/>
      <c r="Q69" s="549"/>
      <c r="R69" s="549"/>
      <c r="S69" s="549"/>
      <c r="T69" s="549"/>
      <c r="U69" s="549"/>
      <c r="V69" s="549"/>
      <c r="W69" s="549"/>
      <c r="X69" s="549"/>
      <c r="Y69" s="549"/>
      <c r="Z69" s="549"/>
      <c r="AA69" s="549"/>
      <c r="AB69" s="549"/>
      <c r="AC69" s="549"/>
      <c r="AD69" s="549"/>
      <c r="AE69" s="549"/>
      <c r="AF69" s="549"/>
      <c r="AG69" s="549"/>
      <c r="AH69" s="549"/>
      <c r="AI69" s="549"/>
      <c r="AJ69" s="549"/>
      <c r="AK69" s="549"/>
      <c r="AL69" s="549"/>
      <c r="AM69" s="549"/>
      <c r="AN69" s="549"/>
      <c r="AO69" s="549"/>
      <c r="AP69" s="549"/>
    </row>
    <row r="70" spans="2:42" ht="15" thickBot="1" x14ac:dyDescent="0.4">
      <c r="B70" s="549"/>
      <c r="C70" s="549"/>
      <c r="D70" s="549"/>
      <c r="E70" s="826" t="s">
        <v>8</v>
      </c>
      <c r="F70" s="990">
        <v>7.95</v>
      </c>
      <c r="G70" s="1788">
        <f t="shared" si="0"/>
        <v>4.4015054732153065E-2</v>
      </c>
      <c r="H70" s="1790">
        <f t="shared" si="1"/>
        <v>366907.20749999996</v>
      </c>
      <c r="I70" s="990">
        <v>2.37</v>
      </c>
      <c r="J70" s="1788">
        <f t="shared" si="2"/>
        <v>0.11504843590122268</v>
      </c>
      <c r="K70" s="1790">
        <f t="shared" si="3"/>
        <v>109379.8845</v>
      </c>
      <c r="L70" s="990">
        <v>0.82</v>
      </c>
      <c r="M70" s="1788">
        <f t="shared" si="4"/>
        <v>5.1154086088583899E-2</v>
      </c>
      <c r="N70" s="549"/>
      <c r="O70" s="549"/>
      <c r="P70" s="549"/>
      <c r="Q70" s="549"/>
      <c r="R70" s="549"/>
      <c r="S70" s="549"/>
      <c r="T70" s="549"/>
      <c r="U70" s="549"/>
      <c r="V70" s="549"/>
      <c r="W70" s="549"/>
      <c r="X70" s="549"/>
      <c r="Y70" s="549"/>
      <c r="Z70" s="549"/>
      <c r="AA70" s="549"/>
      <c r="AB70" s="549"/>
      <c r="AC70" s="549"/>
      <c r="AD70" s="549"/>
      <c r="AE70" s="549"/>
      <c r="AF70" s="549"/>
      <c r="AG70" s="549"/>
      <c r="AH70" s="549"/>
      <c r="AI70" s="549"/>
      <c r="AJ70" s="549"/>
      <c r="AK70" s="549"/>
      <c r="AL70" s="549"/>
      <c r="AM70" s="549"/>
      <c r="AN70" s="549"/>
      <c r="AO70" s="549"/>
      <c r="AP70" s="549"/>
    </row>
    <row r="71" spans="2:42" ht="15" thickBot="1" x14ac:dyDescent="0.4">
      <c r="B71" s="549"/>
      <c r="C71" s="549"/>
      <c r="D71" s="549"/>
      <c r="E71" s="826" t="s">
        <v>9</v>
      </c>
      <c r="F71" s="990">
        <v>6.55</v>
      </c>
      <c r="G71" s="1788">
        <f t="shared" si="0"/>
        <v>3.6263975911396552E-2</v>
      </c>
      <c r="H71" s="1790">
        <f t="shared" si="1"/>
        <v>302294.61749999999</v>
      </c>
      <c r="I71" s="990">
        <v>1.87</v>
      </c>
      <c r="J71" s="1788">
        <f t="shared" si="2"/>
        <v>9.0776613981133514E-2</v>
      </c>
      <c r="K71" s="1790">
        <f>I71*$G$27*313</f>
        <v>86303.959499999997</v>
      </c>
      <c r="L71" s="990">
        <v>0.67</v>
      </c>
      <c r="M71" s="1788">
        <f t="shared" si="4"/>
        <v>4.1796631316281974E-2</v>
      </c>
      <c r="N71" s="549"/>
      <c r="O71" s="549"/>
      <c r="P71" s="549"/>
      <c r="Q71" s="549"/>
      <c r="R71" s="549"/>
      <c r="S71" s="549"/>
      <c r="T71" s="549"/>
      <c r="U71" s="549"/>
      <c r="V71" s="549"/>
      <c r="W71" s="549"/>
      <c r="X71" s="549"/>
      <c r="Y71" s="549"/>
      <c r="Z71" s="549"/>
      <c r="AA71" s="549"/>
      <c r="AB71" s="549"/>
      <c r="AC71" s="549"/>
      <c r="AD71" s="549"/>
      <c r="AE71" s="549"/>
      <c r="AF71" s="549"/>
      <c r="AG71" s="549"/>
      <c r="AH71" s="549"/>
      <c r="AI71" s="549"/>
      <c r="AJ71" s="549"/>
      <c r="AK71" s="549"/>
      <c r="AL71" s="549"/>
      <c r="AM71" s="549"/>
      <c r="AN71" s="549"/>
      <c r="AO71" s="549"/>
      <c r="AP71" s="549"/>
    </row>
    <row r="72" spans="2:42" ht="15" thickBot="1" x14ac:dyDescent="0.4">
      <c r="B72" s="549"/>
      <c r="C72" s="549"/>
      <c r="D72" s="549"/>
      <c r="E72" s="950" t="s">
        <v>200</v>
      </c>
      <c r="F72" s="1195">
        <f t="shared" ref="F72:M72" si="5">SUM(F63:F71)</f>
        <v>180.62001850000001</v>
      </c>
      <c r="G72" s="1789">
        <f t="shared" si="5"/>
        <v>1</v>
      </c>
      <c r="H72" s="1782">
        <f>SUM(H63:H71)</f>
        <v>8335948.0008092243</v>
      </c>
      <c r="I72" s="1195">
        <f t="shared" si="5"/>
        <v>20.6000193</v>
      </c>
      <c r="J72" s="1789">
        <f t="shared" si="5"/>
        <v>1</v>
      </c>
      <c r="K72" s="1782">
        <f>SUM(K63:K71)</f>
        <v>950729.00073070498</v>
      </c>
      <c r="L72" s="1195">
        <f t="shared" si="5"/>
        <v>16.03</v>
      </c>
      <c r="M72" s="1789">
        <f t="shared" si="5"/>
        <v>0.99999999999999978</v>
      </c>
      <c r="N72" s="549"/>
      <c r="O72" s="549"/>
      <c r="P72" s="549"/>
      <c r="Q72" s="549"/>
      <c r="R72" s="549"/>
      <c r="S72" s="549"/>
      <c r="T72" s="549"/>
      <c r="U72" s="549"/>
      <c r="V72" s="549"/>
      <c r="W72" s="549"/>
      <c r="X72" s="549"/>
      <c r="Y72" s="549"/>
      <c r="Z72" s="549"/>
      <c r="AA72" s="549"/>
      <c r="AB72" s="549"/>
      <c r="AC72" s="549"/>
      <c r="AD72" s="549"/>
      <c r="AE72" s="549"/>
      <c r="AF72" s="549"/>
      <c r="AG72" s="549"/>
      <c r="AH72" s="549"/>
      <c r="AI72" s="549"/>
      <c r="AJ72" s="549"/>
      <c r="AK72" s="549"/>
      <c r="AL72" s="549"/>
      <c r="AM72" s="549"/>
      <c r="AN72" s="549"/>
      <c r="AO72" s="549"/>
      <c r="AP72" s="549"/>
    </row>
    <row r="73" spans="2:42" ht="15" thickBot="1" x14ac:dyDescent="0.4">
      <c r="B73" s="549"/>
      <c r="C73" s="549"/>
      <c r="D73" s="549"/>
      <c r="E73" s="1783" t="s">
        <v>941</v>
      </c>
      <c r="F73" s="1784"/>
      <c r="G73" s="1784"/>
      <c r="H73" s="1785">
        <f>H72</f>
        <v>8335948.0008092243</v>
      </c>
      <c r="I73" s="1784"/>
      <c r="J73" s="1784"/>
      <c r="K73" s="1785">
        <f>K72</f>
        <v>950729.00073070498</v>
      </c>
      <c r="L73" s="549"/>
      <c r="M73" s="549"/>
      <c r="N73" s="549"/>
      <c r="O73" s="549"/>
      <c r="P73" s="549"/>
      <c r="Q73" s="549"/>
      <c r="R73" s="549"/>
      <c r="S73" s="549"/>
      <c r="T73" s="549"/>
      <c r="U73" s="549"/>
      <c r="V73" s="549"/>
      <c r="W73" s="549"/>
      <c r="X73" s="549"/>
      <c r="Y73" s="549"/>
      <c r="Z73" s="549"/>
      <c r="AA73" s="549"/>
      <c r="AB73" s="549"/>
      <c r="AC73" s="549"/>
      <c r="AD73" s="549"/>
      <c r="AE73" s="549"/>
      <c r="AF73" s="549"/>
      <c r="AG73" s="549"/>
      <c r="AH73" s="549"/>
      <c r="AI73" s="549"/>
      <c r="AJ73" s="549"/>
      <c r="AK73" s="549"/>
      <c r="AL73" s="549"/>
      <c r="AM73" s="549"/>
      <c r="AN73" s="549"/>
      <c r="AO73" s="549"/>
    </row>
    <row r="74" spans="2:42" ht="15" thickBot="1" x14ac:dyDescent="0.4">
      <c r="B74" s="549"/>
      <c r="C74" s="549"/>
      <c r="D74" s="549"/>
      <c r="E74" s="1783" t="s">
        <v>942</v>
      </c>
      <c r="F74" s="1784"/>
      <c r="G74" s="1784"/>
      <c r="H74" s="1785">
        <v>7845598</v>
      </c>
      <c r="I74" s="1786"/>
      <c r="J74" s="1786"/>
      <c r="K74" s="1785">
        <v>894804</v>
      </c>
      <c r="L74" s="549"/>
      <c r="M74" s="549"/>
      <c r="N74" s="549"/>
      <c r="O74" s="549"/>
      <c r="P74" s="549"/>
      <c r="Q74" s="549"/>
      <c r="R74" s="549"/>
      <c r="S74" s="549"/>
      <c r="T74" s="549"/>
      <c r="U74" s="549"/>
      <c r="V74" s="549"/>
      <c r="W74" s="549"/>
      <c r="X74" s="549"/>
      <c r="Y74" s="549"/>
      <c r="Z74" s="549"/>
      <c r="AA74" s="549"/>
      <c r="AB74" s="549"/>
      <c r="AC74" s="549"/>
      <c r="AD74" s="549"/>
      <c r="AE74" s="549"/>
      <c r="AF74" s="549"/>
      <c r="AG74" s="549"/>
      <c r="AH74" s="549"/>
      <c r="AI74" s="549"/>
      <c r="AJ74" s="549"/>
      <c r="AK74" s="549"/>
      <c r="AL74" s="549"/>
      <c r="AM74" s="549"/>
      <c r="AN74" s="549"/>
      <c r="AO74" s="549"/>
    </row>
    <row r="75" spans="2:42" x14ac:dyDescent="0.35">
      <c r="B75" s="549"/>
      <c r="C75" s="549"/>
      <c r="D75" s="549"/>
      <c r="E75" s="912" t="s">
        <v>943</v>
      </c>
      <c r="F75" s="549"/>
      <c r="G75" s="549"/>
      <c r="H75" s="873"/>
      <c r="I75" s="549"/>
      <c r="J75" s="549"/>
      <c r="K75" s="549"/>
      <c r="L75" s="549"/>
      <c r="M75" s="549"/>
      <c r="N75" s="549"/>
      <c r="O75" s="549"/>
      <c r="P75" s="549"/>
      <c r="Q75" s="549"/>
      <c r="R75" s="549"/>
      <c r="S75" s="549"/>
      <c r="T75" s="549"/>
      <c r="U75" s="549"/>
      <c r="V75" s="549"/>
      <c r="W75" s="549"/>
      <c r="X75" s="549"/>
      <c r="Y75" s="549"/>
      <c r="Z75" s="549"/>
      <c r="AA75" s="549"/>
      <c r="AB75" s="549"/>
      <c r="AC75" s="549"/>
      <c r="AD75" s="549"/>
      <c r="AE75" s="549"/>
      <c r="AF75" s="549"/>
      <c r="AG75" s="549"/>
      <c r="AH75" s="549"/>
      <c r="AI75" s="549"/>
      <c r="AJ75" s="549"/>
      <c r="AK75" s="549"/>
      <c r="AL75" s="549"/>
    </row>
    <row r="76" spans="2:42" x14ac:dyDescent="0.35">
      <c r="B76" s="549"/>
      <c r="C76" s="549"/>
      <c r="D76" s="549"/>
      <c r="E76" s="912"/>
      <c r="F76" s="874"/>
      <c r="G76" s="549"/>
      <c r="H76" s="873"/>
      <c r="I76" s="874"/>
      <c r="J76" s="549"/>
      <c r="K76" s="549"/>
      <c r="L76" s="549"/>
      <c r="M76" s="549"/>
      <c r="N76" s="549"/>
      <c r="O76" s="549"/>
      <c r="P76" s="549"/>
      <c r="Q76" s="549"/>
      <c r="R76" s="549"/>
      <c r="S76" s="549"/>
      <c r="T76" s="549"/>
      <c r="U76" s="549"/>
      <c r="V76" s="549"/>
      <c r="W76" s="549"/>
      <c r="X76" s="549"/>
      <c r="Y76" s="549"/>
      <c r="Z76" s="549"/>
      <c r="AA76" s="549"/>
      <c r="AB76" s="549"/>
      <c r="AC76" s="549"/>
      <c r="AD76" s="549"/>
      <c r="AE76" s="549"/>
      <c r="AF76" s="549"/>
      <c r="AG76" s="549"/>
      <c r="AH76" s="549"/>
      <c r="AI76" s="549"/>
      <c r="AJ76" s="549"/>
      <c r="AK76" s="549"/>
      <c r="AL76" s="549"/>
    </row>
    <row r="77" spans="2:42" x14ac:dyDescent="0.35">
      <c r="B77" s="549"/>
      <c r="C77" s="549"/>
      <c r="D77" s="549"/>
      <c r="E77" s="912"/>
      <c r="F77" s="549"/>
      <c r="G77" s="549"/>
      <c r="H77" s="873"/>
      <c r="I77" s="549"/>
      <c r="J77" s="549"/>
      <c r="K77" s="549"/>
      <c r="L77" s="549"/>
      <c r="M77" s="549"/>
      <c r="N77" s="549"/>
      <c r="O77" s="549"/>
      <c r="P77" s="549"/>
      <c r="Q77" s="549"/>
      <c r="R77" s="549"/>
      <c r="S77" s="549"/>
      <c r="T77" s="549"/>
      <c r="U77" s="549"/>
      <c r="V77" s="549"/>
      <c r="W77" s="549"/>
      <c r="X77" s="549"/>
      <c r="Y77" s="549"/>
      <c r="Z77" s="549"/>
      <c r="AA77" s="549"/>
      <c r="AB77" s="549"/>
      <c r="AC77" s="549"/>
      <c r="AD77" s="549"/>
      <c r="AE77" s="549"/>
      <c r="AF77" s="549"/>
      <c r="AG77" s="549"/>
      <c r="AH77" s="549"/>
      <c r="AI77" s="549"/>
      <c r="AJ77" s="549"/>
      <c r="AK77" s="549"/>
      <c r="AL77" s="549"/>
    </row>
    <row r="78" spans="2:42" ht="15" thickBot="1" x14ac:dyDescent="0.4">
      <c r="B78" s="549"/>
      <c r="C78" s="549"/>
      <c r="D78" s="549"/>
      <c r="E78" s="549"/>
      <c r="F78" s="549"/>
      <c r="G78" s="873"/>
      <c r="H78" s="873"/>
      <c r="I78" s="549"/>
      <c r="J78" s="549"/>
      <c r="K78" s="549"/>
      <c r="L78" s="549"/>
      <c r="M78" s="549"/>
      <c r="N78" s="549"/>
      <c r="O78" s="549"/>
      <c r="P78" s="549"/>
      <c r="Q78" s="549"/>
      <c r="R78" s="549"/>
      <c r="S78" s="549"/>
      <c r="T78" s="549"/>
      <c r="U78" s="549"/>
      <c r="V78" s="549"/>
      <c r="W78" s="549"/>
      <c r="X78" s="549"/>
      <c r="Y78" s="549"/>
      <c r="Z78" s="549"/>
      <c r="AA78" s="549"/>
      <c r="AB78" s="549"/>
      <c r="AC78" s="549"/>
      <c r="AD78" s="549"/>
      <c r="AE78" s="549"/>
      <c r="AF78" s="549"/>
      <c r="AG78" s="549"/>
      <c r="AH78" s="549"/>
      <c r="AI78" s="549"/>
      <c r="AJ78" s="549"/>
      <c r="AK78" s="549"/>
    </row>
    <row r="79" spans="2:42" ht="15" thickTop="1" x14ac:dyDescent="0.35">
      <c r="B79" s="1608"/>
      <c r="C79" s="1609"/>
      <c r="D79" s="1608"/>
      <c r="E79" s="1609"/>
      <c r="F79" s="1609"/>
      <c r="G79" s="1609"/>
      <c r="H79" s="1609"/>
      <c r="I79" s="1608"/>
      <c r="J79" s="1608"/>
      <c r="K79" s="1608"/>
      <c r="L79" s="1608"/>
      <c r="M79" s="1608"/>
      <c r="N79" s="1608"/>
      <c r="O79" s="1608"/>
      <c r="P79" s="1608"/>
      <c r="Q79" s="1608"/>
      <c r="R79" s="1608"/>
      <c r="S79" s="1608"/>
      <c r="T79" s="1608"/>
      <c r="U79" s="1608"/>
      <c r="V79" s="1608"/>
      <c r="W79" s="1608"/>
      <c r="X79" s="1608"/>
      <c r="Y79" s="1608"/>
      <c r="Z79" s="1608"/>
      <c r="AA79" s="1608"/>
      <c r="AB79" s="1608"/>
      <c r="AC79" s="1608"/>
      <c r="AD79" s="1608"/>
      <c r="AE79" s="1608"/>
      <c r="AF79" s="1608"/>
      <c r="AG79" s="1608"/>
      <c r="AH79" s="1608"/>
      <c r="AI79" s="1608"/>
      <c r="AJ79" s="1608"/>
      <c r="AK79" s="1608"/>
    </row>
    <row r="80" spans="2:42" x14ac:dyDescent="0.35">
      <c r="B80" s="106"/>
      <c r="C80" s="107"/>
      <c r="D80" s="106"/>
      <c r="E80" s="107"/>
      <c r="F80" s="107"/>
      <c r="G80" s="107"/>
      <c r="H80" s="107"/>
      <c r="I80" s="106"/>
      <c r="J80" s="106"/>
      <c r="K80" s="106"/>
      <c r="L80" s="106"/>
      <c r="M80" s="106"/>
      <c r="N80" s="106"/>
      <c r="O80" s="106"/>
      <c r="P80" s="106"/>
      <c r="Q80" s="106"/>
      <c r="R80" s="106"/>
      <c r="S80" s="106"/>
      <c r="T80" s="106"/>
      <c r="U80" s="106"/>
      <c r="V80" s="106"/>
      <c r="W80" s="106"/>
      <c r="X80" s="106"/>
      <c r="Y80" s="106"/>
      <c r="Z80" s="106"/>
      <c r="AA80" s="106"/>
      <c r="AB80" s="106"/>
      <c r="AC80" s="106"/>
      <c r="AD80" s="106"/>
      <c r="AE80" s="106"/>
      <c r="AF80" s="106"/>
      <c r="AG80" s="106"/>
      <c r="AH80" s="106"/>
      <c r="AI80" s="106"/>
      <c r="AJ80" s="106"/>
      <c r="AK80" s="106"/>
    </row>
    <row r="81" spans="2:37" ht="18.5" x14ac:dyDescent="0.45">
      <c r="B81" s="106"/>
      <c r="C81" s="107"/>
      <c r="D81" s="106"/>
      <c r="E81" s="785" t="s">
        <v>944</v>
      </c>
      <c r="F81" s="106"/>
      <c r="G81" s="106"/>
      <c r="H81" s="106"/>
      <c r="I81" s="106"/>
      <c r="J81" s="106"/>
      <c r="K81" s="106"/>
      <c r="L81" s="106"/>
      <c r="M81" s="106"/>
      <c r="N81" s="106"/>
      <c r="O81" s="106"/>
      <c r="P81" s="106"/>
      <c r="Q81" s="106"/>
      <c r="R81" s="106"/>
      <c r="S81" s="106"/>
      <c r="T81" s="106"/>
      <c r="U81" s="106"/>
      <c r="V81" s="106"/>
      <c r="W81" s="106"/>
      <c r="X81" s="106"/>
      <c r="Y81" s="106"/>
      <c r="Z81" s="106"/>
      <c r="AA81" s="106"/>
      <c r="AB81" s="106"/>
      <c r="AC81" s="106"/>
      <c r="AD81" s="106"/>
      <c r="AE81" s="106"/>
      <c r="AF81" s="106"/>
      <c r="AG81" s="106"/>
      <c r="AH81" s="106"/>
      <c r="AI81" s="106"/>
      <c r="AJ81" s="106"/>
      <c r="AK81" s="106"/>
    </row>
    <row r="82" spans="2:37" ht="15" thickBot="1" x14ac:dyDescent="0.4">
      <c r="B82" s="106"/>
      <c r="C82" s="107"/>
      <c r="D82" s="106"/>
      <c r="E82" s="106"/>
      <c r="F82" s="106"/>
      <c r="G82" s="106"/>
      <c r="H82" s="106"/>
      <c r="I82" s="106"/>
      <c r="J82" s="106"/>
      <c r="K82" s="106"/>
      <c r="L82" s="106"/>
      <c r="M82" s="106"/>
      <c r="N82" s="106"/>
      <c r="O82" s="106"/>
      <c r="P82" s="106"/>
      <c r="Q82" s="106"/>
      <c r="R82" s="106"/>
      <c r="S82" s="106"/>
      <c r="T82" s="106"/>
      <c r="U82" s="106"/>
      <c r="V82" s="106"/>
      <c r="W82" s="106"/>
      <c r="X82" s="106"/>
      <c r="Y82" s="106"/>
      <c r="Z82" s="106"/>
      <c r="AA82" s="106"/>
      <c r="AB82" s="106"/>
      <c r="AC82" s="106"/>
      <c r="AD82" s="106"/>
      <c r="AE82" s="106"/>
      <c r="AF82" s="106"/>
      <c r="AG82" s="106"/>
      <c r="AH82" s="106"/>
      <c r="AI82" s="106"/>
      <c r="AJ82" s="106"/>
      <c r="AK82" s="106"/>
    </row>
    <row r="83" spans="2:37" ht="26.5" thickBot="1" x14ac:dyDescent="0.4">
      <c r="B83" s="106"/>
      <c r="C83" s="107"/>
      <c r="D83" s="106"/>
      <c r="E83" s="1620" t="s">
        <v>68</v>
      </c>
      <c r="F83" s="1679" t="s">
        <v>945</v>
      </c>
      <c r="G83" s="1679" t="s">
        <v>946</v>
      </c>
      <c r="H83" s="1707" t="s">
        <v>947</v>
      </c>
      <c r="I83" s="106"/>
      <c r="J83" s="106"/>
      <c r="K83" s="106"/>
      <c r="L83" s="106"/>
      <c r="M83" s="106"/>
      <c r="N83" s="106"/>
      <c r="O83" s="106"/>
      <c r="P83" s="106"/>
      <c r="Q83" s="106"/>
      <c r="R83" s="106"/>
      <c r="S83" s="106"/>
      <c r="T83" s="106"/>
      <c r="U83" s="106"/>
      <c r="V83" s="106"/>
      <c r="W83" s="106"/>
      <c r="X83" s="106"/>
      <c r="Y83" s="106"/>
      <c r="Z83" s="106"/>
      <c r="AA83" s="106"/>
      <c r="AB83" s="106"/>
      <c r="AC83" s="106"/>
      <c r="AD83" s="106"/>
      <c r="AE83" s="106"/>
      <c r="AF83" s="106"/>
      <c r="AG83" s="106"/>
      <c r="AH83" s="106"/>
      <c r="AI83" s="106"/>
      <c r="AJ83" s="106"/>
      <c r="AK83" s="106"/>
    </row>
    <row r="84" spans="2:37" ht="15" thickBot="1" x14ac:dyDescent="0.4">
      <c r="B84" s="106"/>
      <c r="C84" s="107"/>
      <c r="D84" s="106"/>
      <c r="E84" s="1069" t="s">
        <v>8</v>
      </c>
      <c r="F84" s="1678">
        <v>251.6</v>
      </c>
      <c r="G84" s="1622">
        <v>383.73</v>
      </c>
      <c r="H84" s="1791">
        <f>F84*G84</f>
        <v>96546.468000000008</v>
      </c>
      <c r="I84" s="106"/>
      <c r="J84" s="106"/>
      <c r="K84" s="106"/>
      <c r="L84" s="106"/>
      <c r="M84" s="106"/>
      <c r="N84" s="106"/>
      <c r="O84" s="106"/>
      <c r="P84" s="106"/>
      <c r="Q84" s="106"/>
      <c r="R84" s="106"/>
      <c r="S84" s="106"/>
      <c r="T84" s="106"/>
      <c r="U84" s="106"/>
      <c r="V84" s="106"/>
      <c r="W84" s="106"/>
      <c r="X84" s="106"/>
      <c r="Y84" s="106"/>
      <c r="Z84" s="106"/>
      <c r="AA84" s="106"/>
      <c r="AB84" s="106"/>
      <c r="AC84" s="106"/>
      <c r="AD84" s="106"/>
      <c r="AE84" s="106"/>
      <c r="AF84" s="106"/>
      <c r="AG84" s="106"/>
      <c r="AH84" s="106"/>
      <c r="AI84" s="106"/>
      <c r="AJ84" s="106"/>
      <c r="AK84" s="106"/>
    </row>
    <row r="85" spans="2:37" ht="15" thickBot="1" x14ac:dyDescent="0.4">
      <c r="B85" s="106"/>
      <c r="C85" s="107"/>
      <c r="D85" s="106"/>
      <c r="E85" s="1069" t="s">
        <v>2</v>
      </c>
      <c r="F85" s="1678">
        <v>487.9</v>
      </c>
      <c r="G85" s="1622">
        <v>383.73</v>
      </c>
      <c r="H85" s="1791">
        <f>F85*G85</f>
        <v>187221.867</v>
      </c>
      <c r="I85" s="106"/>
      <c r="J85" s="106"/>
      <c r="K85" s="106"/>
      <c r="L85" s="106"/>
      <c r="M85" s="106"/>
      <c r="N85" s="106"/>
      <c r="O85" s="106"/>
      <c r="P85" s="106"/>
      <c r="Q85" s="106"/>
      <c r="R85" s="106"/>
      <c r="S85" s="106"/>
      <c r="T85" s="106"/>
      <c r="U85" s="106"/>
      <c r="V85" s="106"/>
      <c r="W85" s="106"/>
      <c r="X85" s="106"/>
      <c r="Y85" s="106"/>
      <c r="Z85" s="106"/>
      <c r="AA85" s="106"/>
      <c r="AB85" s="106"/>
      <c r="AC85" s="106"/>
      <c r="AD85" s="106"/>
      <c r="AE85" s="106"/>
      <c r="AF85" s="106"/>
      <c r="AG85" s="106"/>
      <c r="AH85" s="106"/>
      <c r="AI85" s="106"/>
      <c r="AJ85" s="106"/>
      <c r="AK85" s="106"/>
    </row>
    <row r="86" spans="2:37" ht="15" thickBot="1" x14ac:dyDescent="0.4">
      <c r="B86" s="106"/>
      <c r="C86" s="107"/>
      <c r="D86" s="106"/>
      <c r="E86" s="1971" t="s">
        <v>948</v>
      </c>
      <c r="F86" s="1972"/>
      <c r="G86" s="1972"/>
      <c r="H86" s="844">
        <f>SUM(H84:H85)</f>
        <v>283768.33500000002</v>
      </c>
      <c r="I86" s="581"/>
      <c r="J86" s="106"/>
      <c r="K86" s="106"/>
      <c r="L86" s="106"/>
      <c r="M86" s="106"/>
      <c r="N86" s="106"/>
      <c r="O86" s="106"/>
      <c r="P86" s="106"/>
      <c r="Q86" s="106"/>
      <c r="R86" s="106"/>
      <c r="S86" s="106"/>
      <c r="T86" s="106"/>
      <c r="U86" s="106"/>
      <c r="V86" s="106"/>
      <c r="W86" s="106"/>
      <c r="X86" s="106"/>
      <c r="Y86" s="106"/>
      <c r="Z86" s="106"/>
      <c r="AA86" s="106"/>
      <c r="AB86" s="106"/>
      <c r="AC86" s="106"/>
      <c r="AD86" s="106"/>
      <c r="AE86" s="106"/>
      <c r="AF86" s="106"/>
      <c r="AG86" s="106"/>
      <c r="AH86" s="106"/>
      <c r="AI86" s="106"/>
      <c r="AJ86" s="106"/>
      <c r="AK86" s="106"/>
    </row>
    <row r="87" spans="2:37" x14ac:dyDescent="0.35">
      <c r="B87" s="106"/>
      <c r="C87" s="107"/>
      <c r="D87" s="106"/>
      <c r="E87" s="106"/>
      <c r="F87" s="106"/>
      <c r="G87" s="106"/>
      <c r="H87" s="106"/>
      <c r="I87" s="106"/>
      <c r="J87" s="106"/>
      <c r="K87" s="106"/>
      <c r="L87" s="106"/>
      <c r="M87" s="106"/>
      <c r="N87" s="106"/>
      <c r="O87" s="106"/>
      <c r="P87" s="106"/>
      <c r="Q87" s="106"/>
      <c r="R87" s="106"/>
      <c r="S87" s="106"/>
      <c r="T87" s="106"/>
      <c r="U87" s="106"/>
      <c r="V87" s="106"/>
      <c r="W87" s="106"/>
      <c r="X87" s="106"/>
      <c r="Y87" s="106"/>
      <c r="Z87" s="106"/>
      <c r="AA87" s="106"/>
      <c r="AB87" s="106"/>
      <c r="AC87" s="106"/>
      <c r="AD87" s="106"/>
      <c r="AE87" s="106"/>
      <c r="AF87" s="106"/>
      <c r="AG87" s="106"/>
      <c r="AH87" s="106"/>
      <c r="AI87" s="106"/>
      <c r="AJ87" s="106"/>
      <c r="AK87" s="106"/>
    </row>
    <row r="88" spans="2:37" x14ac:dyDescent="0.35">
      <c r="B88" s="106"/>
      <c r="C88" s="107"/>
      <c r="D88" s="106"/>
      <c r="E88" s="106"/>
      <c r="F88" s="106"/>
      <c r="G88" s="106"/>
      <c r="H88" s="106"/>
      <c r="I88" s="106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  <c r="Z88" s="106"/>
      <c r="AA88" s="106"/>
      <c r="AB88" s="106"/>
      <c r="AC88" s="106"/>
      <c r="AD88" s="106"/>
      <c r="AE88" s="106"/>
      <c r="AF88" s="106"/>
      <c r="AG88" s="106"/>
      <c r="AH88" s="106"/>
      <c r="AI88" s="106"/>
      <c r="AJ88" s="106"/>
      <c r="AK88" s="106"/>
    </row>
    <row r="89" spans="2:37" ht="18.5" x14ac:dyDescent="0.45">
      <c r="B89" s="106"/>
      <c r="C89" s="107"/>
      <c r="D89" s="106"/>
      <c r="E89" s="785" t="s">
        <v>949</v>
      </c>
      <c r="F89" s="106"/>
      <c r="G89" s="106"/>
      <c r="H89" s="106"/>
      <c r="I89" s="106"/>
      <c r="J89" s="106"/>
      <c r="K89" s="106"/>
      <c r="L89" s="106"/>
      <c r="M89" s="106"/>
      <c r="N89" s="106"/>
      <c r="O89" s="106"/>
      <c r="P89" s="106"/>
      <c r="Q89" s="106"/>
      <c r="R89" s="106"/>
      <c r="S89" s="106"/>
      <c r="T89" s="106"/>
      <c r="U89" s="106"/>
      <c r="V89" s="106"/>
      <c r="W89" s="106"/>
      <c r="X89" s="106"/>
      <c r="Y89" s="106"/>
      <c r="Z89" s="106"/>
      <c r="AA89" s="106"/>
      <c r="AB89" s="106"/>
      <c r="AC89" s="106"/>
      <c r="AD89" s="106"/>
      <c r="AE89" s="106"/>
      <c r="AF89" s="106"/>
      <c r="AG89" s="106"/>
      <c r="AH89" s="106"/>
      <c r="AI89" s="106"/>
      <c r="AJ89" s="106"/>
      <c r="AK89" s="106"/>
    </row>
    <row r="90" spans="2:37" ht="15" thickBot="1" x14ac:dyDescent="0.4">
      <c r="B90" s="106"/>
      <c r="C90" s="107"/>
      <c r="D90" s="106"/>
      <c r="E90" s="106"/>
      <c r="F90" s="106"/>
      <c r="G90" s="106"/>
      <c r="H90" s="106"/>
      <c r="I90" s="106"/>
      <c r="J90" s="106"/>
      <c r="K90" s="106"/>
      <c r="L90" s="106"/>
      <c r="M90" s="106"/>
      <c r="N90" s="106"/>
      <c r="O90" s="106"/>
      <c r="P90" s="106"/>
      <c r="Q90" s="106"/>
      <c r="R90" s="106"/>
      <c r="S90" s="106"/>
      <c r="T90" s="106"/>
      <c r="U90" s="106"/>
      <c r="V90" s="106"/>
      <c r="W90" s="106"/>
      <c r="X90" s="106"/>
      <c r="Y90" s="106"/>
      <c r="Z90" s="106"/>
      <c r="AA90" s="106"/>
      <c r="AB90" s="106"/>
      <c r="AC90" s="106"/>
      <c r="AD90" s="106"/>
      <c r="AE90" s="106"/>
      <c r="AF90" s="106"/>
      <c r="AG90" s="106"/>
      <c r="AH90" s="106"/>
      <c r="AI90" s="106"/>
      <c r="AJ90" s="106"/>
      <c r="AK90" s="106"/>
    </row>
    <row r="91" spans="2:37" ht="26.5" thickBot="1" x14ac:dyDescent="0.4">
      <c r="B91" s="106"/>
      <c r="C91" s="107"/>
      <c r="D91" s="106"/>
      <c r="E91" s="1620" t="s">
        <v>68</v>
      </c>
      <c r="F91" s="1679" t="s">
        <v>950</v>
      </c>
      <c r="G91" s="1679" t="s">
        <v>946</v>
      </c>
      <c r="H91" s="1707" t="s">
        <v>947</v>
      </c>
      <c r="I91" s="106"/>
      <c r="J91" s="106"/>
      <c r="K91" s="106"/>
      <c r="L91" s="106"/>
      <c r="M91" s="106"/>
      <c r="N91" s="106"/>
      <c r="O91" s="106"/>
      <c r="P91" s="106"/>
      <c r="Q91" s="106"/>
      <c r="R91" s="106"/>
      <c r="S91" s="106"/>
      <c r="T91" s="106"/>
      <c r="U91" s="106"/>
      <c r="V91" s="106"/>
      <c r="W91" s="106"/>
      <c r="X91" s="106"/>
      <c r="Y91" s="106"/>
      <c r="Z91" s="106"/>
      <c r="AA91" s="106"/>
      <c r="AB91" s="106"/>
      <c r="AC91" s="106"/>
      <c r="AD91" s="106"/>
      <c r="AE91" s="106"/>
      <c r="AF91" s="106"/>
      <c r="AG91" s="106"/>
      <c r="AH91" s="106"/>
      <c r="AI91" s="106"/>
      <c r="AJ91" s="106"/>
      <c r="AK91" s="106"/>
    </row>
    <row r="92" spans="2:37" ht="15" thickBot="1" x14ac:dyDescent="0.4">
      <c r="B92" s="106"/>
      <c r="C92" s="107"/>
      <c r="D92" s="106"/>
      <c r="E92" s="1069" t="s">
        <v>1</v>
      </c>
      <c r="F92" s="1678">
        <v>40.700000000000003</v>
      </c>
      <c r="G92" s="1622">
        <v>383.73</v>
      </c>
      <c r="H92" s="1622">
        <f>F92*G92</f>
        <v>15617.811000000002</v>
      </c>
      <c r="I92" s="106"/>
      <c r="J92" s="106"/>
      <c r="K92" s="106"/>
      <c r="L92" s="106"/>
      <c r="M92" s="106"/>
      <c r="N92" s="106"/>
      <c r="O92" s="106"/>
      <c r="P92" s="106"/>
      <c r="Q92" s="106"/>
      <c r="R92" s="106"/>
      <c r="S92" s="106"/>
      <c r="T92" s="106"/>
      <c r="U92" s="106"/>
      <c r="V92" s="106"/>
      <c r="W92" s="106"/>
      <c r="X92" s="106"/>
      <c r="Y92" s="106"/>
      <c r="Z92" s="106"/>
      <c r="AA92" s="106"/>
      <c r="AB92" s="106"/>
      <c r="AC92" s="106"/>
      <c r="AD92" s="106"/>
      <c r="AE92" s="106"/>
      <c r="AF92" s="106"/>
      <c r="AG92" s="106"/>
      <c r="AH92" s="106"/>
      <c r="AI92" s="106"/>
      <c r="AJ92" s="106"/>
      <c r="AK92" s="106"/>
    </row>
    <row r="93" spans="2:37" ht="15" thickBot="1" x14ac:dyDescent="0.4">
      <c r="B93" s="106"/>
      <c r="C93" s="107"/>
      <c r="D93" s="106"/>
      <c r="E93" s="1069" t="s">
        <v>2</v>
      </c>
      <c r="F93" s="1678">
        <v>488.7</v>
      </c>
      <c r="G93" s="1622">
        <v>383.73</v>
      </c>
      <c r="H93" s="1622">
        <f t="shared" ref="H93:H100" si="6">F93*G93</f>
        <v>187528.851</v>
      </c>
      <c r="I93" s="106"/>
      <c r="J93" s="106"/>
      <c r="K93" s="106"/>
      <c r="L93" s="106"/>
      <c r="M93" s="106"/>
      <c r="N93" s="106"/>
      <c r="O93" s="106"/>
      <c r="P93" s="106"/>
      <c r="Q93" s="106"/>
      <c r="R93" s="106"/>
      <c r="S93" s="106"/>
      <c r="T93" s="106"/>
      <c r="U93" s="106"/>
      <c r="V93" s="106"/>
      <c r="W93" s="106"/>
      <c r="X93" s="106"/>
      <c r="Y93" s="106"/>
      <c r="Z93" s="106"/>
      <c r="AA93" s="106"/>
      <c r="AB93" s="106"/>
      <c r="AC93" s="106"/>
      <c r="AD93" s="106"/>
      <c r="AE93" s="106"/>
      <c r="AF93" s="106"/>
      <c r="AG93" s="106"/>
      <c r="AH93" s="106"/>
      <c r="AI93" s="106"/>
      <c r="AJ93" s="106"/>
      <c r="AK93" s="106"/>
    </row>
    <row r="94" spans="2:37" ht="15" thickBot="1" x14ac:dyDescent="0.4">
      <c r="B94" s="106"/>
      <c r="C94" s="107"/>
      <c r="D94" s="106"/>
      <c r="E94" s="1069" t="s">
        <v>3</v>
      </c>
      <c r="F94" s="1678">
        <v>57.8</v>
      </c>
      <c r="G94" s="1622">
        <v>383.73</v>
      </c>
      <c r="H94" s="1622">
        <f t="shared" si="6"/>
        <v>22179.594000000001</v>
      </c>
      <c r="I94" s="106"/>
      <c r="J94" s="106"/>
      <c r="K94" s="106"/>
      <c r="L94" s="106"/>
      <c r="M94" s="106"/>
      <c r="N94" s="106"/>
      <c r="O94" s="106"/>
      <c r="P94" s="106"/>
      <c r="Q94" s="106"/>
      <c r="R94" s="106"/>
      <c r="S94" s="106"/>
      <c r="T94" s="106"/>
      <c r="U94" s="106"/>
      <c r="V94" s="106"/>
      <c r="W94" s="106"/>
      <c r="X94" s="106"/>
      <c r="Y94" s="106"/>
      <c r="Z94" s="106"/>
      <c r="AA94" s="106"/>
      <c r="AB94" s="106"/>
      <c r="AC94" s="106"/>
      <c r="AD94" s="106"/>
      <c r="AE94" s="106"/>
      <c r="AF94" s="106"/>
      <c r="AG94" s="106"/>
      <c r="AH94" s="106"/>
      <c r="AI94" s="106"/>
      <c r="AJ94" s="106"/>
      <c r="AK94" s="106"/>
    </row>
    <row r="95" spans="2:37" ht="15" thickBot="1" x14ac:dyDescent="0.4">
      <c r="B95" s="106"/>
      <c r="C95" s="107"/>
      <c r="D95" s="106"/>
      <c r="E95" s="1069" t="s">
        <v>240</v>
      </c>
      <c r="F95" s="1678">
        <v>142.5</v>
      </c>
      <c r="G95" s="1622">
        <v>383.73</v>
      </c>
      <c r="H95" s="1622">
        <f t="shared" si="6"/>
        <v>54681.525000000001</v>
      </c>
      <c r="I95" s="106"/>
      <c r="J95" s="106"/>
      <c r="K95" s="106"/>
      <c r="L95" s="106"/>
      <c r="M95" s="106"/>
      <c r="N95" s="106"/>
      <c r="O95" s="106"/>
      <c r="P95" s="106"/>
      <c r="Q95" s="106"/>
      <c r="R95" s="106"/>
      <c r="S95" s="106"/>
      <c r="T95" s="106"/>
      <c r="U95" s="106"/>
      <c r="V95" s="106"/>
      <c r="W95" s="106"/>
      <c r="X95" s="106"/>
      <c r="Y95" s="106"/>
      <c r="Z95" s="106"/>
      <c r="AA95" s="106"/>
      <c r="AB95" s="106"/>
      <c r="AC95" s="106"/>
      <c r="AD95" s="106"/>
      <c r="AE95" s="106"/>
      <c r="AF95" s="106"/>
      <c r="AG95" s="106"/>
      <c r="AH95" s="106"/>
      <c r="AI95" s="106"/>
      <c r="AJ95" s="106"/>
      <c r="AK95" s="106"/>
    </row>
    <row r="96" spans="2:37" ht="15" thickBot="1" x14ac:dyDescent="0.4">
      <c r="B96" s="106"/>
      <c r="C96" s="107"/>
      <c r="D96" s="106"/>
      <c r="E96" s="1069" t="s">
        <v>5</v>
      </c>
      <c r="F96" s="1678">
        <v>325.39999999999998</v>
      </c>
      <c r="G96" s="1622">
        <v>383.73</v>
      </c>
      <c r="H96" s="1622">
        <f t="shared" si="6"/>
        <v>124865.742</v>
      </c>
      <c r="I96" s="1862"/>
      <c r="J96" s="106"/>
      <c r="K96" s="106"/>
      <c r="L96" s="106"/>
      <c r="M96" s="106"/>
      <c r="N96" s="106"/>
      <c r="O96" s="106"/>
      <c r="P96" s="106"/>
      <c r="Q96" s="106"/>
      <c r="R96" s="106"/>
      <c r="S96" s="106"/>
      <c r="T96" s="106"/>
      <c r="U96" s="106"/>
      <c r="V96" s="106"/>
      <c r="W96" s="106"/>
      <c r="X96" s="106"/>
      <c r="Y96" s="106"/>
      <c r="Z96" s="106"/>
      <c r="AA96" s="106"/>
      <c r="AB96" s="106"/>
      <c r="AC96" s="106"/>
      <c r="AD96" s="106"/>
      <c r="AE96" s="106"/>
      <c r="AF96" s="106"/>
      <c r="AG96" s="106"/>
      <c r="AH96" s="106"/>
      <c r="AI96" s="106"/>
      <c r="AJ96" s="106"/>
      <c r="AK96" s="106"/>
    </row>
    <row r="97" spans="2:37" ht="15" thickBot="1" x14ac:dyDescent="0.4">
      <c r="B97" s="106"/>
      <c r="C97" s="107"/>
      <c r="D97" s="106"/>
      <c r="E97" s="1069" t="s">
        <v>6</v>
      </c>
      <c r="F97" s="1678">
        <v>3509.1025589999999</v>
      </c>
      <c r="G97" s="1622">
        <v>383.73</v>
      </c>
      <c r="H97" s="1622">
        <f t="shared" si="6"/>
        <v>1346547.9249650701</v>
      </c>
      <c r="I97" s="581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  <c r="Z97" s="106"/>
      <c r="AA97" s="106"/>
      <c r="AB97" s="106"/>
      <c r="AC97" s="106"/>
      <c r="AD97" s="106"/>
      <c r="AE97" s="106"/>
      <c r="AF97" s="106"/>
      <c r="AG97" s="106"/>
      <c r="AH97" s="106"/>
      <c r="AI97" s="106"/>
      <c r="AJ97" s="106"/>
      <c r="AK97" s="106"/>
    </row>
    <row r="98" spans="2:37" ht="15" thickBot="1" x14ac:dyDescent="0.4">
      <c r="B98" s="106"/>
      <c r="C98" s="107"/>
      <c r="D98" s="106"/>
      <c r="E98" s="1069" t="s">
        <v>7</v>
      </c>
      <c r="F98" s="1678"/>
      <c r="G98" s="1622"/>
      <c r="H98" s="1622">
        <f t="shared" si="6"/>
        <v>0</v>
      </c>
      <c r="I98" s="1862"/>
      <c r="J98" s="106"/>
      <c r="K98" s="106"/>
      <c r="L98" s="106"/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  <c r="Z98" s="106"/>
      <c r="AA98" s="106"/>
      <c r="AB98" s="106"/>
      <c r="AC98" s="106"/>
      <c r="AD98" s="106"/>
      <c r="AE98" s="106"/>
      <c r="AF98" s="106"/>
      <c r="AG98" s="106"/>
      <c r="AH98" s="106"/>
      <c r="AI98" s="106"/>
      <c r="AJ98" s="106"/>
      <c r="AK98" s="106"/>
    </row>
    <row r="99" spans="2:37" ht="15" thickBot="1" x14ac:dyDescent="0.4">
      <c r="B99" s="106"/>
      <c r="C99" s="107"/>
      <c r="D99" s="106"/>
      <c r="E99" s="1069" t="s">
        <v>8</v>
      </c>
      <c r="F99" s="1678">
        <v>258.10000000000002</v>
      </c>
      <c r="G99" s="1622">
        <v>383.73</v>
      </c>
      <c r="H99" s="1622">
        <f t="shared" si="6"/>
        <v>99040.713000000018</v>
      </c>
      <c r="I99" s="106"/>
      <c r="J99" s="106"/>
      <c r="K99" s="106"/>
      <c r="L99" s="106"/>
      <c r="M99" s="106"/>
      <c r="N99" s="106"/>
      <c r="O99" s="106"/>
      <c r="P99" s="106"/>
      <c r="Q99" s="106"/>
      <c r="R99" s="106"/>
      <c r="S99" s="106"/>
      <c r="T99" s="106"/>
      <c r="U99" s="106"/>
      <c r="V99" s="106"/>
      <c r="W99" s="106"/>
      <c r="X99" s="106"/>
      <c r="Y99" s="106"/>
      <c r="Z99" s="106"/>
      <c r="AA99" s="106"/>
      <c r="AB99" s="106"/>
      <c r="AC99" s="106"/>
      <c r="AD99" s="106"/>
      <c r="AE99" s="106"/>
      <c r="AF99" s="106"/>
      <c r="AG99" s="106"/>
      <c r="AH99" s="106"/>
      <c r="AI99" s="106"/>
      <c r="AJ99" s="106"/>
      <c r="AK99" s="106"/>
    </row>
    <row r="100" spans="2:37" ht="15" thickBot="1" x14ac:dyDescent="0.4">
      <c r="B100" s="106"/>
      <c r="C100" s="107"/>
      <c r="D100" s="106"/>
      <c r="E100" s="1069" t="s">
        <v>9</v>
      </c>
      <c r="F100" s="1678">
        <v>210.60339999999999</v>
      </c>
      <c r="G100" s="1622">
        <v>383.73</v>
      </c>
      <c r="H100" s="1622">
        <f t="shared" si="6"/>
        <v>80814.842682000002</v>
      </c>
      <c r="I100" s="106"/>
      <c r="J100" s="106"/>
      <c r="K100" s="106"/>
      <c r="L100" s="106"/>
      <c r="M100" s="106"/>
      <c r="N100" s="106"/>
      <c r="O100" s="106"/>
      <c r="P100" s="106"/>
      <c r="Q100" s="106"/>
      <c r="R100" s="106"/>
      <c r="S100" s="106"/>
      <c r="T100" s="106"/>
      <c r="U100" s="106"/>
      <c r="V100" s="106"/>
      <c r="W100" s="106"/>
      <c r="X100" s="106"/>
      <c r="Y100" s="106"/>
      <c r="Z100" s="106"/>
      <c r="AA100" s="106"/>
      <c r="AB100" s="106"/>
      <c r="AC100" s="106"/>
      <c r="AD100" s="106"/>
      <c r="AE100" s="106"/>
      <c r="AF100" s="106"/>
      <c r="AG100" s="106"/>
      <c r="AH100" s="106"/>
      <c r="AI100" s="106"/>
      <c r="AJ100" s="106"/>
      <c r="AK100" s="106"/>
    </row>
    <row r="101" spans="2:37" ht="15" thickBot="1" x14ac:dyDescent="0.4">
      <c r="B101" s="106"/>
      <c r="C101" s="107"/>
      <c r="D101" s="106"/>
      <c r="E101" s="1971" t="s">
        <v>948</v>
      </c>
      <c r="F101" s="1972"/>
      <c r="G101" s="1972"/>
      <c r="H101" s="1624">
        <f>SUM(H92:H100)</f>
        <v>1931277.0036470701</v>
      </c>
      <c r="I101" s="106"/>
      <c r="J101" s="106"/>
      <c r="K101" s="106"/>
      <c r="L101" s="106"/>
      <c r="M101" s="106"/>
      <c r="N101" s="106"/>
      <c r="O101" s="106"/>
      <c r="P101" s="106"/>
      <c r="Q101" s="106"/>
      <c r="R101" s="106"/>
      <c r="S101" s="106"/>
      <c r="T101" s="106"/>
      <c r="U101" s="106"/>
      <c r="V101" s="106"/>
      <c r="W101" s="106"/>
      <c r="X101" s="106"/>
      <c r="Y101" s="106"/>
      <c r="Z101" s="106"/>
      <c r="AA101" s="106"/>
      <c r="AB101" s="106"/>
      <c r="AC101" s="106"/>
      <c r="AD101" s="106"/>
      <c r="AE101" s="106"/>
      <c r="AF101" s="106"/>
      <c r="AG101" s="106"/>
      <c r="AH101" s="106"/>
      <c r="AI101" s="106"/>
      <c r="AJ101" s="106"/>
      <c r="AK101" s="106"/>
    </row>
    <row r="102" spans="2:37" ht="15" thickBot="1" x14ac:dyDescent="0.4">
      <c r="B102" s="106"/>
      <c r="C102" s="107"/>
      <c r="D102" s="106"/>
      <c r="E102" s="106"/>
      <c r="F102" s="106"/>
      <c r="G102" s="106"/>
      <c r="H102" s="106"/>
      <c r="I102" s="106"/>
      <c r="J102" s="106"/>
      <c r="K102" s="106"/>
      <c r="L102" s="106"/>
      <c r="M102" s="106"/>
      <c r="N102" s="106"/>
      <c r="O102" s="106"/>
      <c r="P102" s="106"/>
      <c r="Q102" s="106"/>
      <c r="R102" s="106"/>
      <c r="S102" s="106"/>
      <c r="T102" s="106"/>
      <c r="U102" s="106"/>
      <c r="V102" s="106"/>
      <c r="W102" s="106"/>
      <c r="X102" s="106"/>
      <c r="Y102" s="106"/>
      <c r="Z102" s="106"/>
      <c r="AA102" s="106"/>
      <c r="AB102" s="106"/>
      <c r="AC102" s="106"/>
      <c r="AD102" s="106"/>
      <c r="AE102" s="106"/>
      <c r="AF102" s="106"/>
      <c r="AG102" s="106"/>
      <c r="AH102" s="106"/>
      <c r="AI102" s="106"/>
      <c r="AJ102" s="106"/>
      <c r="AK102" s="106"/>
    </row>
    <row r="103" spans="2:37" ht="15" thickTop="1" x14ac:dyDescent="0.35">
      <c r="B103" s="1608"/>
      <c r="C103" s="1609"/>
      <c r="D103" s="1608"/>
      <c r="E103" s="1609"/>
      <c r="F103" s="1609"/>
      <c r="G103" s="1609"/>
      <c r="H103" s="1609"/>
      <c r="I103" s="1608"/>
      <c r="J103" s="1608"/>
      <c r="K103" s="1608"/>
      <c r="L103" s="1608"/>
      <c r="M103" s="1608"/>
      <c r="N103" s="1608"/>
      <c r="O103" s="1608"/>
      <c r="P103" s="1608"/>
      <c r="Q103" s="1608"/>
      <c r="R103" s="1608"/>
      <c r="S103" s="1608"/>
      <c r="T103" s="1608"/>
      <c r="U103" s="1608"/>
      <c r="V103" s="1608"/>
      <c r="W103" s="1608"/>
      <c r="X103" s="1608"/>
      <c r="Y103" s="1608"/>
      <c r="Z103" s="1608"/>
      <c r="AA103" s="1608"/>
      <c r="AB103" s="1608"/>
      <c r="AC103" s="1608"/>
      <c r="AD103" s="1608"/>
      <c r="AE103" s="1608"/>
      <c r="AF103" s="1608"/>
      <c r="AG103" s="1608"/>
      <c r="AH103" s="1608"/>
      <c r="AI103" s="1608"/>
      <c r="AJ103" s="1608"/>
      <c r="AK103" s="1608"/>
    </row>
    <row r="104" spans="2:37" ht="18.5" x14ac:dyDescent="0.45">
      <c r="B104" s="106"/>
      <c r="C104" s="785" t="s">
        <v>749</v>
      </c>
      <c r="D104" s="106"/>
      <c r="E104" s="107"/>
      <c r="F104" s="107"/>
      <c r="G104" s="107"/>
      <c r="H104" s="107"/>
      <c r="I104" s="106"/>
      <c r="J104" s="106"/>
      <c r="K104" s="106"/>
      <c r="L104" s="106"/>
      <c r="M104" s="106"/>
      <c r="N104" s="106"/>
      <c r="O104" s="106"/>
      <c r="P104" s="106"/>
      <c r="Q104" s="106"/>
      <c r="R104" s="106"/>
      <c r="S104" s="106"/>
      <c r="T104" s="106"/>
      <c r="U104" s="106"/>
      <c r="V104" s="106"/>
      <c r="W104" s="106"/>
      <c r="X104" s="106"/>
      <c r="Y104" s="106"/>
      <c r="Z104" s="106"/>
      <c r="AA104" s="106"/>
      <c r="AB104" s="106"/>
      <c r="AC104" s="106"/>
      <c r="AD104" s="106"/>
      <c r="AE104" s="106"/>
      <c r="AF104" s="106"/>
      <c r="AG104" s="106"/>
      <c r="AH104" s="106"/>
      <c r="AI104" s="106"/>
      <c r="AJ104" s="106"/>
      <c r="AK104" s="106"/>
    </row>
    <row r="105" spans="2:37" ht="15" thickBot="1" x14ac:dyDescent="0.4">
      <c r="B105" s="106"/>
      <c r="C105" s="107"/>
      <c r="D105" s="106"/>
      <c r="E105" s="107"/>
      <c r="F105" s="107"/>
      <c r="G105" s="107"/>
      <c r="H105" s="107"/>
      <c r="I105" s="106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  <c r="Z105" s="106"/>
      <c r="AA105" s="106"/>
      <c r="AB105" s="106"/>
      <c r="AC105" s="106"/>
      <c r="AD105" s="106"/>
      <c r="AE105" s="106"/>
      <c r="AF105" s="106"/>
      <c r="AG105" s="106"/>
      <c r="AH105" s="106"/>
      <c r="AI105" s="106"/>
      <c r="AJ105" s="106"/>
      <c r="AK105" s="106"/>
    </row>
    <row r="106" spans="2:37" ht="29.5" thickBot="1" x14ac:dyDescent="0.4">
      <c r="B106" s="106"/>
      <c r="C106" s="1971" t="s">
        <v>951</v>
      </c>
      <c r="D106" s="1972"/>
      <c r="E106" s="1973"/>
      <c r="F106" s="840" t="s">
        <v>952</v>
      </c>
      <c r="G106" s="840" t="s">
        <v>953</v>
      </c>
      <c r="H106" s="107"/>
      <c r="I106" s="106"/>
      <c r="J106" s="106"/>
      <c r="K106" s="106"/>
      <c r="L106" s="106"/>
      <c r="M106" s="106"/>
      <c r="N106" s="106"/>
      <c r="O106" s="106"/>
      <c r="P106" s="106"/>
      <c r="Q106" s="106"/>
      <c r="R106" s="106"/>
      <c r="S106" s="106"/>
      <c r="T106" s="106"/>
      <c r="U106" s="106"/>
      <c r="V106" s="106"/>
      <c r="W106" s="106"/>
      <c r="X106" s="106"/>
      <c r="Y106" s="106"/>
      <c r="Z106" s="106"/>
      <c r="AA106" s="106"/>
      <c r="AB106" s="106"/>
      <c r="AC106" s="106"/>
      <c r="AD106" s="106"/>
      <c r="AE106" s="106"/>
      <c r="AF106" s="106"/>
      <c r="AG106" s="106"/>
      <c r="AH106" s="106"/>
      <c r="AI106" s="106"/>
      <c r="AJ106" s="106"/>
      <c r="AK106" s="106"/>
    </row>
    <row r="107" spans="2:37" ht="15" thickBot="1" x14ac:dyDescent="0.4">
      <c r="B107" s="106"/>
      <c r="C107" s="1989" t="s">
        <v>954</v>
      </c>
      <c r="D107" s="1990"/>
      <c r="E107" s="1991"/>
      <c r="F107" s="993">
        <f>G107/12</f>
        <v>45959.81</v>
      </c>
      <c r="G107" s="1619">
        <v>551517.72</v>
      </c>
      <c r="H107" s="107"/>
      <c r="I107" s="106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  <c r="Z107" s="106"/>
      <c r="AA107" s="106"/>
      <c r="AB107" s="106"/>
      <c r="AC107" s="106"/>
      <c r="AD107" s="106"/>
      <c r="AE107" s="106"/>
      <c r="AF107" s="106"/>
      <c r="AG107" s="106"/>
      <c r="AH107" s="106"/>
      <c r="AI107" s="106"/>
      <c r="AJ107" s="106"/>
      <c r="AK107" s="106"/>
    </row>
    <row r="108" spans="2:37" ht="15" thickBot="1" x14ac:dyDescent="0.4">
      <c r="B108" s="106"/>
      <c r="C108" s="1971" t="s">
        <v>200</v>
      </c>
      <c r="D108" s="1972"/>
      <c r="E108" s="1972"/>
      <c r="F108" s="1066">
        <f>F107</f>
        <v>45959.81</v>
      </c>
      <c r="G108" s="1066">
        <f>G107</f>
        <v>551517.72</v>
      </c>
      <c r="H108" s="107"/>
      <c r="I108" s="106"/>
      <c r="J108" s="106"/>
      <c r="K108" s="106"/>
      <c r="L108" s="106"/>
      <c r="M108" s="106"/>
      <c r="N108" s="106"/>
      <c r="O108" s="106"/>
      <c r="P108" s="106"/>
      <c r="Q108" s="106"/>
      <c r="R108" s="106"/>
      <c r="S108" s="106"/>
      <c r="T108" s="106"/>
      <c r="U108" s="106"/>
      <c r="V108" s="106"/>
      <c r="W108" s="106"/>
      <c r="X108" s="106"/>
      <c r="Y108" s="106"/>
      <c r="Z108" s="106"/>
      <c r="AA108" s="106"/>
      <c r="AB108" s="106"/>
      <c r="AC108" s="106"/>
      <c r="AD108" s="106"/>
      <c r="AE108" s="106"/>
      <c r="AF108" s="106"/>
      <c r="AG108" s="106"/>
      <c r="AH108" s="106"/>
      <c r="AI108" s="106"/>
      <c r="AJ108" s="106"/>
      <c r="AK108" s="106"/>
    </row>
    <row r="109" spans="2:37" ht="15" thickBot="1" x14ac:dyDescent="0.4">
      <c r="B109" s="106"/>
      <c r="C109" s="107"/>
      <c r="D109" s="107"/>
      <c r="E109" s="107"/>
      <c r="F109" s="107"/>
      <c r="G109" s="107"/>
      <c r="H109" s="107"/>
      <c r="I109" s="106"/>
      <c r="J109" s="106"/>
      <c r="K109" s="106"/>
      <c r="L109" s="106"/>
      <c r="M109" s="106"/>
      <c r="N109" s="106"/>
      <c r="O109" s="106"/>
      <c r="P109" s="106"/>
      <c r="Q109" s="106"/>
      <c r="R109" s="106"/>
      <c r="S109" s="106"/>
      <c r="T109" s="106"/>
      <c r="U109" s="106"/>
      <c r="V109" s="106"/>
      <c r="W109" s="106"/>
      <c r="X109" s="106"/>
      <c r="Y109" s="106"/>
      <c r="Z109" s="106"/>
      <c r="AA109" s="106"/>
      <c r="AB109" s="106"/>
      <c r="AC109" s="106"/>
      <c r="AD109" s="106"/>
      <c r="AE109" s="106"/>
      <c r="AF109" s="106"/>
      <c r="AG109" s="106"/>
      <c r="AH109" s="106"/>
      <c r="AI109" s="106"/>
      <c r="AJ109" s="106"/>
      <c r="AK109" s="106"/>
    </row>
    <row r="110" spans="2:37" ht="15" customHeight="1" x14ac:dyDescent="0.35">
      <c r="B110" s="106"/>
      <c r="C110" s="1992" t="s">
        <v>751</v>
      </c>
      <c r="D110" s="2023"/>
      <c r="E110" s="2023"/>
      <c r="F110" s="1993"/>
      <c r="G110" s="1610">
        <v>2025</v>
      </c>
      <c r="H110" s="1611">
        <v>2026</v>
      </c>
      <c r="I110" s="1611">
        <v>2027</v>
      </c>
      <c r="J110" s="1611">
        <v>2028</v>
      </c>
      <c r="K110" s="1611">
        <v>2029</v>
      </c>
      <c r="L110" s="1611">
        <v>2030</v>
      </c>
      <c r="M110" s="1611">
        <v>2031</v>
      </c>
      <c r="N110" s="1611">
        <v>2032</v>
      </c>
      <c r="O110" s="1611">
        <v>2033</v>
      </c>
      <c r="P110" s="1611">
        <v>2034</v>
      </c>
      <c r="Q110" s="1611">
        <v>2035</v>
      </c>
      <c r="R110" s="1611">
        <v>2036</v>
      </c>
      <c r="S110" s="1611">
        <v>2037</v>
      </c>
      <c r="T110" s="1611">
        <v>2038</v>
      </c>
      <c r="U110" s="1611">
        <v>2039</v>
      </c>
      <c r="V110" s="1611">
        <v>2040</v>
      </c>
      <c r="W110" s="1611">
        <v>2041</v>
      </c>
      <c r="X110" s="1611">
        <v>2042</v>
      </c>
      <c r="Y110" s="1611">
        <v>2043</v>
      </c>
      <c r="Z110" s="1611">
        <v>2044</v>
      </c>
      <c r="AA110" s="1611">
        <v>2045</v>
      </c>
      <c r="AB110" s="1611">
        <v>2046</v>
      </c>
      <c r="AC110" s="1611">
        <v>2047</v>
      </c>
      <c r="AD110" s="1611">
        <v>2048</v>
      </c>
      <c r="AE110" s="1611">
        <v>2049</v>
      </c>
      <c r="AF110" s="1611">
        <v>2050</v>
      </c>
      <c r="AG110" s="1611">
        <v>2051</v>
      </c>
      <c r="AH110" s="1611">
        <v>2052</v>
      </c>
      <c r="AI110" s="1611">
        <v>2053</v>
      </c>
      <c r="AJ110" s="1612">
        <v>2054</v>
      </c>
      <c r="AK110" s="106"/>
    </row>
    <row r="111" spans="2:37" ht="15" thickBot="1" x14ac:dyDescent="0.4">
      <c r="B111" s="106"/>
      <c r="C111" s="1604"/>
      <c r="D111" s="1618"/>
      <c r="E111" s="1618"/>
      <c r="F111" s="1605"/>
      <c r="G111" s="1613">
        <v>1</v>
      </c>
      <c r="H111" s="1614">
        <f>G111+1</f>
        <v>2</v>
      </c>
      <c r="I111" s="1614">
        <f t="shared" ref="I111:AJ111" si="7">H111+1</f>
        <v>3</v>
      </c>
      <c r="J111" s="1614">
        <f t="shared" si="7"/>
        <v>4</v>
      </c>
      <c r="K111" s="1614">
        <f t="shared" si="7"/>
        <v>5</v>
      </c>
      <c r="L111" s="1614">
        <f t="shared" si="7"/>
        <v>6</v>
      </c>
      <c r="M111" s="1614">
        <f t="shared" si="7"/>
        <v>7</v>
      </c>
      <c r="N111" s="1614">
        <f t="shared" si="7"/>
        <v>8</v>
      </c>
      <c r="O111" s="1614">
        <f t="shared" si="7"/>
        <v>9</v>
      </c>
      <c r="P111" s="1614">
        <f t="shared" si="7"/>
        <v>10</v>
      </c>
      <c r="Q111" s="1614">
        <f t="shared" si="7"/>
        <v>11</v>
      </c>
      <c r="R111" s="1614">
        <f t="shared" si="7"/>
        <v>12</v>
      </c>
      <c r="S111" s="1614">
        <f t="shared" si="7"/>
        <v>13</v>
      </c>
      <c r="T111" s="1614">
        <f t="shared" si="7"/>
        <v>14</v>
      </c>
      <c r="U111" s="1614">
        <f t="shared" si="7"/>
        <v>15</v>
      </c>
      <c r="V111" s="1614">
        <f t="shared" si="7"/>
        <v>16</v>
      </c>
      <c r="W111" s="1614">
        <f t="shared" si="7"/>
        <v>17</v>
      </c>
      <c r="X111" s="1614">
        <f t="shared" si="7"/>
        <v>18</v>
      </c>
      <c r="Y111" s="1614">
        <f t="shared" si="7"/>
        <v>19</v>
      </c>
      <c r="Z111" s="1614">
        <f t="shared" si="7"/>
        <v>20</v>
      </c>
      <c r="AA111" s="1614">
        <f t="shared" si="7"/>
        <v>21</v>
      </c>
      <c r="AB111" s="1614">
        <f t="shared" si="7"/>
        <v>22</v>
      </c>
      <c r="AC111" s="1614">
        <f t="shared" si="7"/>
        <v>23</v>
      </c>
      <c r="AD111" s="1614">
        <f t="shared" si="7"/>
        <v>24</v>
      </c>
      <c r="AE111" s="1614">
        <f t="shared" si="7"/>
        <v>25</v>
      </c>
      <c r="AF111" s="1614">
        <f t="shared" si="7"/>
        <v>26</v>
      </c>
      <c r="AG111" s="1614">
        <f t="shared" si="7"/>
        <v>27</v>
      </c>
      <c r="AH111" s="1614">
        <f t="shared" si="7"/>
        <v>28</v>
      </c>
      <c r="AI111" s="1614">
        <f t="shared" si="7"/>
        <v>29</v>
      </c>
      <c r="AJ111" s="1615">
        <f t="shared" si="7"/>
        <v>30</v>
      </c>
      <c r="AK111" s="106"/>
    </row>
    <row r="112" spans="2:37" ht="15" thickBot="1" x14ac:dyDescent="0.4">
      <c r="B112" s="106"/>
      <c r="C112" s="672" t="s">
        <v>955</v>
      </c>
      <c r="D112" s="672"/>
      <c r="E112" s="672"/>
      <c r="F112" s="676"/>
      <c r="G112" s="1616"/>
      <c r="H112" s="1616"/>
      <c r="I112" s="1616"/>
      <c r="J112" s="1616"/>
      <c r="K112" s="1617"/>
      <c r="L112" s="1617"/>
      <c r="M112" s="1617"/>
      <c r="N112" s="1617">
        <v>6</v>
      </c>
      <c r="O112" s="1617">
        <v>6</v>
      </c>
      <c r="P112" s="1617">
        <v>6</v>
      </c>
      <c r="Q112" s="1617">
        <v>6</v>
      </c>
      <c r="R112" s="1617">
        <v>6</v>
      </c>
      <c r="S112" s="1617">
        <v>6</v>
      </c>
      <c r="T112" s="1617">
        <v>6</v>
      </c>
      <c r="U112" s="1617">
        <v>6</v>
      </c>
      <c r="V112" s="1617">
        <v>6</v>
      </c>
      <c r="W112" s="1617">
        <v>6</v>
      </c>
      <c r="X112" s="1617">
        <v>6</v>
      </c>
      <c r="Y112" s="1617">
        <v>6</v>
      </c>
      <c r="Z112" s="1617">
        <v>6</v>
      </c>
      <c r="AA112" s="1617">
        <v>6</v>
      </c>
      <c r="AB112" s="1617">
        <v>6</v>
      </c>
      <c r="AC112" s="1617">
        <v>6</v>
      </c>
      <c r="AD112" s="1617">
        <v>6</v>
      </c>
      <c r="AE112" s="1617">
        <v>6</v>
      </c>
      <c r="AF112" s="1617">
        <v>6</v>
      </c>
      <c r="AG112" s="1617">
        <v>6</v>
      </c>
      <c r="AH112" s="1617">
        <v>6</v>
      </c>
      <c r="AI112" s="1617">
        <v>6</v>
      </c>
      <c r="AJ112" s="1617">
        <v>6</v>
      </c>
      <c r="AK112" s="106"/>
    </row>
    <row r="113" spans="2:37" x14ac:dyDescent="0.35">
      <c r="B113" s="106"/>
      <c r="C113" s="107"/>
      <c r="D113" s="107"/>
      <c r="E113" s="107"/>
      <c r="F113" s="107"/>
      <c r="G113" s="107"/>
      <c r="H113" s="107"/>
      <c r="I113" s="106"/>
      <c r="J113" s="106"/>
      <c r="K113" s="106"/>
      <c r="L113" s="106"/>
      <c r="M113" s="106"/>
      <c r="N113" s="106"/>
      <c r="O113" s="106"/>
      <c r="P113" s="106"/>
      <c r="Q113" s="106"/>
      <c r="R113" s="106"/>
      <c r="S113" s="106"/>
      <c r="T113" s="106"/>
      <c r="U113" s="106"/>
      <c r="V113" s="106"/>
      <c r="W113" s="106"/>
      <c r="X113" s="106"/>
      <c r="Y113" s="106"/>
      <c r="Z113" s="106"/>
      <c r="AA113" s="106"/>
      <c r="AB113" s="106"/>
      <c r="AC113" s="106"/>
      <c r="AD113" s="106"/>
      <c r="AE113" s="106"/>
      <c r="AF113" s="106"/>
      <c r="AG113" s="106"/>
      <c r="AH113" s="106"/>
      <c r="AI113" s="106"/>
      <c r="AJ113" s="106"/>
      <c r="AK113" s="106"/>
    </row>
    <row r="115" spans="2:37" ht="4.5" customHeight="1" x14ac:dyDescent="0.35"/>
    <row r="116" spans="2:37" x14ac:dyDescent="0.35">
      <c r="D116" s="77" t="s">
        <v>956</v>
      </c>
      <c r="H116" s="209"/>
    </row>
    <row r="117" spans="2:37" x14ac:dyDescent="0.35">
      <c r="D117" s="923" t="s">
        <v>68</v>
      </c>
      <c r="E117" s="860"/>
      <c r="F117" s="229" t="s">
        <v>455</v>
      </c>
      <c r="G117" s="802">
        <v>1</v>
      </c>
      <c r="H117" s="802">
        <f>G117+1</f>
        <v>2</v>
      </c>
      <c r="I117" s="802">
        <f t="shared" ref="I117:AJ117" si="8">H117+1</f>
        <v>3</v>
      </c>
      <c r="J117" s="802">
        <f t="shared" si="8"/>
        <v>4</v>
      </c>
      <c r="K117" s="802">
        <f t="shared" si="8"/>
        <v>5</v>
      </c>
      <c r="L117" s="802">
        <f t="shared" si="8"/>
        <v>6</v>
      </c>
      <c r="M117" s="802">
        <f t="shared" si="8"/>
        <v>7</v>
      </c>
      <c r="N117" s="802">
        <f t="shared" si="8"/>
        <v>8</v>
      </c>
      <c r="O117" s="802">
        <f t="shared" si="8"/>
        <v>9</v>
      </c>
      <c r="P117" s="802">
        <f t="shared" si="8"/>
        <v>10</v>
      </c>
      <c r="Q117" s="802">
        <f t="shared" si="8"/>
        <v>11</v>
      </c>
      <c r="R117" s="802">
        <f t="shared" si="8"/>
        <v>12</v>
      </c>
      <c r="S117" s="802">
        <f t="shared" si="8"/>
        <v>13</v>
      </c>
      <c r="T117" s="802">
        <f t="shared" si="8"/>
        <v>14</v>
      </c>
      <c r="U117" s="802">
        <f t="shared" si="8"/>
        <v>15</v>
      </c>
      <c r="V117" s="802">
        <f t="shared" si="8"/>
        <v>16</v>
      </c>
      <c r="W117" s="802">
        <f t="shared" si="8"/>
        <v>17</v>
      </c>
      <c r="X117" s="802">
        <f t="shared" si="8"/>
        <v>18</v>
      </c>
      <c r="Y117" s="802">
        <f t="shared" si="8"/>
        <v>19</v>
      </c>
      <c r="Z117" s="802">
        <f t="shared" si="8"/>
        <v>20</v>
      </c>
      <c r="AA117" s="802">
        <f t="shared" si="8"/>
        <v>21</v>
      </c>
      <c r="AB117" s="802">
        <f t="shared" si="8"/>
        <v>22</v>
      </c>
      <c r="AC117" s="802">
        <f t="shared" si="8"/>
        <v>23</v>
      </c>
      <c r="AD117" s="802">
        <f t="shared" si="8"/>
        <v>24</v>
      </c>
      <c r="AE117" s="802">
        <f t="shared" si="8"/>
        <v>25</v>
      </c>
      <c r="AF117" s="802">
        <f t="shared" si="8"/>
        <v>26</v>
      </c>
      <c r="AG117" s="802">
        <f t="shared" si="8"/>
        <v>27</v>
      </c>
      <c r="AH117" s="802">
        <f t="shared" si="8"/>
        <v>28</v>
      </c>
      <c r="AI117" s="802">
        <f t="shared" si="8"/>
        <v>29</v>
      </c>
      <c r="AJ117" s="802">
        <f t="shared" si="8"/>
        <v>30</v>
      </c>
    </row>
    <row r="118" spans="2:37" x14ac:dyDescent="0.35">
      <c r="D118" s="2019" t="s">
        <v>1</v>
      </c>
      <c r="E118" s="2020"/>
      <c r="F118" s="808">
        <f t="shared" ref="F118:F126" si="9">SUM(G118:AJ118)</f>
        <v>1709030.1350420429</v>
      </c>
      <c r="G118" s="916">
        <f>IF(OR(G117&lt;$G$28,G117&gt;'Premissas Gerais'!$E$7,'Modelo Tarifário'!$C81="Não"),0,(313*$F$63*$G$27))</f>
        <v>59535.886500000001</v>
      </c>
      <c r="H118" s="916">
        <f>IF(OR(H117&lt;$G$28,H117&gt;'Premissas Gerais'!$E$7,'Modelo Tarifário'!$C81="Não"),0,(313*$F$63*$G$27))</f>
        <v>59535.886500000001</v>
      </c>
      <c r="I118" s="916">
        <f>IF(OR(I117&lt;$G$28,I117&gt;'Premissas Gerais'!$E$7,'Modelo Tarifário'!$C81="Não"),0,(313*$F$63*$G$27))</f>
        <v>59535.886500000001</v>
      </c>
      <c r="J118" s="916">
        <f>IF(OR(J117&lt;$G$28,J117&gt;'Premissas Gerais'!$E$7,'Modelo Tarifário'!$C81="Não"),0,(313*$F$63*$G$27))</f>
        <v>59535.886500000001</v>
      </c>
      <c r="K118" s="916">
        <f>IF(OR(K117&lt;$G$28,K117&gt;'Premissas Gerais'!$E$7,'Modelo Tarifário'!$C81="Não"),0,(313*$F$63*$G$27))</f>
        <v>59535.886500000001</v>
      </c>
      <c r="L118" s="916">
        <f>IF(OR(L117&lt;$G$28,L117&gt;'Premissas Gerais'!$E$7,'Modelo Tarifário'!$C81="Não"),0,(313*$F$63*$G$27))</f>
        <v>59535.886500000001</v>
      </c>
      <c r="M118" s="916">
        <f>IF(OR(M117&lt;$G$28,M117&gt;'Premissas Gerais'!$E$7,'Modelo Tarifário'!$C81="Não"),0,(313*$F$63*$G$27))</f>
        <v>59535.886500000001</v>
      </c>
      <c r="N118" s="916">
        <f>IF(OR(N117&lt;$G$28,N117&gt;'Premissas Gerais'!$E$7,'Modelo Tarifário'!$C81="Não"),0,(313*$F$63*$G$27))</f>
        <v>59535.886500000001</v>
      </c>
      <c r="O118" s="916">
        <f>$H$74*G63</f>
        <v>56033.7746837292</v>
      </c>
      <c r="P118" s="916">
        <f>O118</f>
        <v>56033.7746837292</v>
      </c>
      <c r="Q118" s="916">
        <f t="shared" ref="Q118:AJ126" si="10">P118</f>
        <v>56033.7746837292</v>
      </c>
      <c r="R118" s="916">
        <f t="shared" si="10"/>
        <v>56033.7746837292</v>
      </c>
      <c r="S118" s="916">
        <f t="shared" si="10"/>
        <v>56033.7746837292</v>
      </c>
      <c r="T118" s="916">
        <f t="shared" si="10"/>
        <v>56033.7746837292</v>
      </c>
      <c r="U118" s="916">
        <f t="shared" si="10"/>
        <v>56033.7746837292</v>
      </c>
      <c r="V118" s="916">
        <f t="shared" si="10"/>
        <v>56033.7746837292</v>
      </c>
      <c r="W118" s="916">
        <f t="shared" si="10"/>
        <v>56033.7746837292</v>
      </c>
      <c r="X118" s="916">
        <f t="shared" si="10"/>
        <v>56033.7746837292</v>
      </c>
      <c r="Y118" s="916">
        <f t="shared" si="10"/>
        <v>56033.7746837292</v>
      </c>
      <c r="Z118" s="916">
        <f t="shared" si="10"/>
        <v>56033.7746837292</v>
      </c>
      <c r="AA118" s="916">
        <f t="shared" si="10"/>
        <v>56033.7746837292</v>
      </c>
      <c r="AB118" s="916">
        <f t="shared" si="10"/>
        <v>56033.7746837292</v>
      </c>
      <c r="AC118" s="916">
        <f t="shared" si="10"/>
        <v>56033.7746837292</v>
      </c>
      <c r="AD118" s="916">
        <f t="shared" si="10"/>
        <v>56033.7746837292</v>
      </c>
      <c r="AE118" s="916">
        <f t="shared" si="10"/>
        <v>56033.7746837292</v>
      </c>
      <c r="AF118" s="916">
        <f t="shared" si="10"/>
        <v>56033.7746837292</v>
      </c>
      <c r="AG118" s="916">
        <f t="shared" si="10"/>
        <v>56033.7746837292</v>
      </c>
      <c r="AH118" s="916">
        <f t="shared" si="10"/>
        <v>56033.7746837292</v>
      </c>
      <c r="AI118" s="916">
        <f t="shared" si="10"/>
        <v>56033.7746837292</v>
      </c>
      <c r="AJ118" s="916">
        <f t="shared" si="10"/>
        <v>56033.7746837292</v>
      </c>
    </row>
    <row r="119" spans="2:37" x14ac:dyDescent="0.35">
      <c r="D119" s="2015" t="s">
        <v>2</v>
      </c>
      <c r="E119" s="2016"/>
      <c r="F119" s="811">
        <f t="shared" si="9"/>
        <v>21488735.496420108</v>
      </c>
      <c r="G119" s="917">
        <f>IF(OR(G117&lt;$G$28,G117&gt;'Premissas Gerais'!$E$7,'Modelo Tarifário'!$C82="Não"),0,(313*$F$64*$G$27))</f>
        <v>748583.00699999987</v>
      </c>
      <c r="H119" s="917">
        <f>IF(OR(H117&lt;$G$28,H117&gt;'Premissas Gerais'!$E$7,'Modelo Tarifário'!$C82="Não"),0,(313*$F$64*$G$27))</f>
        <v>748583.00699999987</v>
      </c>
      <c r="I119" s="917">
        <f>IF(OR(I117&lt;$G$28,I117&gt;'Premissas Gerais'!$E$7,'Modelo Tarifário'!$C82="Não"),0,(313*$F$64*$G$27))</f>
        <v>748583.00699999987</v>
      </c>
      <c r="J119" s="917">
        <f>IF(OR(J117&lt;$G$28,J117&gt;'Premissas Gerais'!$E$7,'Modelo Tarifário'!$C82="Não"),0,(313*$F$64*$G$27))</f>
        <v>748583.00699999987</v>
      </c>
      <c r="K119" s="917">
        <f>IF(OR(K117&lt;$G$28,K117&gt;'Premissas Gerais'!$E$7,'Modelo Tarifário'!$C82="Não"),0,(313*$F$64*$G$27))</f>
        <v>748583.00699999987</v>
      </c>
      <c r="L119" s="917">
        <f>IF(OR(L117&lt;$G$28,L117&gt;'Premissas Gerais'!$E$7,'Modelo Tarifário'!$C82="Não"),0,(313*$F$64*$G$27))</f>
        <v>748583.00699999987</v>
      </c>
      <c r="M119" s="917">
        <f>IF(OR(M117&lt;$G$28,M117&gt;'Premissas Gerais'!$E$7,'Modelo Tarifário'!$C82="Não"),0,(313*$F$64*$G$27))</f>
        <v>748583.00699999987</v>
      </c>
      <c r="N119" s="917">
        <f>IF(OR(N117&lt;$G$28,N117&gt;'Premissas Gerais'!$E$7,'Modelo Tarifário'!$C82="Não"),0,(313*$F$64*$G$27))</f>
        <v>748583.00699999987</v>
      </c>
      <c r="O119" s="917">
        <f t="shared" ref="O119:O126" si="11">$H$74*G64</f>
        <v>704548.70183727716</v>
      </c>
      <c r="P119" s="917">
        <f t="shared" ref="P119:AE126" si="12">O119</f>
        <v>704548.70183727716</v>
      </c>
      <c r="Q119" s="917">
        <f t="shared" si="12"/>
        <v>704548.70183727716</v>
      </c>
      <c r="R119" s="917">
        <f t="shared" si="12"/>
        <v>704548.70183727716</v>
      </c>
      <c r="S119" s="917">
        <f t="shared" si="12"/>
        <v>704548.70183727716</v>
      </c>
      <c r="T119" s="917">
        <f t="shared" si="12"/>
        <v>704548.70183727716</v>
      </c>
      <c r="U119" s="917">
        <f t="shared" si="12"/>
        <v>704548.70183727716</v>
      </c>
      <c r="V119" s="917">
        <f t="shared" si="12"/>
        <v>704548.70183727716</v>
      </c>
      <c r="W119" s="917">
        <f t="shared" si="12"/>
        <v>704548.70183727716</v>
      </c>
      <c r="X119" s="917">
        <f t="shared" si="12"/>
        <v>704548.70183727716</v>
      </c>
      <c r="Y119" s="917">
        <f t="shared" si="12"/>
        <v>704548.70183727716</v>
      </c>
      <c r="Z119" s="917">
        <f t="shared" si="12"/>
        <v>704548.70183727716</v>
      </c>
      <c r="AA119" s="917">
        <f t="shared" si="12"/>
        <v>704548.70183727716</v>
      </c>
      <c r="AB119" s="917">
        <f t="shared" si="12"/>
        <v>704548.70183727716</v>
      </c>
      <c r="AC119" s="917">
        <f t="shared" si="12"/>
        <v>704548.70183727716</v>
      </c>
      <c r="AD119" s="917">
        <f t="shared" si="12"/>
        <v>704548.70183727716</v>
      </c>
      <c r="AE119" s="917">
        <f t="shared" si="12"/>
        <v>704548.70183727716</v>
      </c>
      <c r="AF119" s="917">
        <f t="shared" si="10"/>
        <v>704548.70183727716</v>
      </c>
      <c r="AG119" s="917">
        <f t="shared" si="10"/>
        <v>704548.70183727716</v>
      </c>
      <c r="AH119" s="917">
        <f t="shared" si="10"/>
        <v>704548.70183727716</v>
      </c>
      <c r="AI119" s="917">
        <f t="shared" si="10"/>
        <v>704548.70183727716</v>
      </c>
      <c r="AJ119" s="917">
        <f t="shared" si="10"/>
        <v>704548.70183727716</v>
      </c>
    </row>
    <row r="120" spans="2:37" x14ac:dyDescent="0.35">
      <c r="D120" s="2015" t="s">
        <v>3</v>
      </c>
      <c r="E120" s="2016"/>
      <c r="F120" s="811">
        <f t="shared" si="9"/>
        <v>2530424.4635118619</v>
      </c>
      <c r="G120" s="917">
        <f>IF(OR(G117&lt;$G$28,G117&gt;'Premissas Gerais'!$E$7,'Modelo Tarifário'!$C83="Não"),0,(313*$F$65*$G$27))</f>
        <v>88150.033499999976</v>
      </c>
      <c r="H120" s="917">
        <f>IF(OR(H117&lt;$G$28,H117&gt;'Premissas Gerais'!$E$7,'Modelo Tarifário'!$C83="Não"),0,(313*$F$65*$G$27))</f>
        <v>88150.033499999976</v>
      </c>
      <c r="I120" s="917">
        <f>IF(OR(I117&lt;$G$28,I117&gt;'Premissas Gerais'!$E$7,'Modelo Tarifário'!$C83="Não"),0,(313*$F$65*$G$27))</f>
        <v>88150.033499999976</v>
      </c>
      <c r="J120" s="917">
        <f>IF(OR(J117&lt;$G$28,J117&gt;'Premissas Gerais'!$E$7,'Modelo Tarifário'!$C83="Não"),0,(313*$F$65*$G$27))</f>
        <v>88150.033499999976</v>
      </c>
      <c r="K120" s="917">
        <f>IF(OR(K117&lt;$G$28,K117&gt;'Premissas Gerais'!$E$7,'Modelo Tarifário'!$C83="Não"),0,(313*$F$65*$G$27))</f>
        <v>88150.033499999976</v>
      </c>
      <c r="L120" s="917">
        <f>IF(OR(L117&lt;$G$28,L117&gt;'Premissas Gerais'!$E$7,'Modelo Tarifário'!$C83="Não"),0,(313*$F$65*$G$27))</f>
        <v>88150.033499999976</v>
      </c>
      <c r="M120" s="917">
        <f>IF(OR(M117&lt;$G$28,M117&gt;'Premissas Gerais'!$E$7,'Modelo Tarifário'!$C83="Não"),0,(313*$F$65*$G$27))</f>
        <v>88150.033499999976</v>
      </c>
      <c r="N120" s="917">
        <f>IF(OR(N117&lt;$G$28,N117&gt;'Premissas Gerais'!$E$7,'Modelo Tarifário'!$C83="Não"),0,(313*$F$65*$G$27))</f>
        <v>88150.033499999976</v>
      </c>
      <c r="O120" s="917">
        <f t="shared" si="11"/>
        <v>82964.736159630047</v>
      </c>
      <c r="P120" s="917">
        <f t="shared" si="12"/>
        <v>82964.736159630047</v>
      </c>
      <c r="Q120" s="917">
        <f t="shared" si="10"/>
        <v>82964.736159630047</v>
      </c>
      <c r="R120" s="917">
        <f t="shared" si="10"/>
        <v>82964.736159630047</v>
      </c>
      <c r="S120" s="917">
        <f t="shared" si="10"/>
        <v>82964.736159630047</v>
      </c>
      <c r="T120" s="917">
        <f t="shared" si="10"/>
        <v>82964.736159630047</v>
      </c>
      <c r="U120" s="917">
        <f t="shared" si="10"/>
        <v>82964.736159630047</v>
      </c>
      <c r="V120" s="917">
        <f t="shared" si="10"/>
        <v>82964.736159630047</v>
      </c>
      <c r="W120" s="917">
        <f t="shared" si="10"/>
        <v>82964.736159630047</v>
      </c>
      <c r="X120" s="917">
        <f t="shared" si="10"/>
        <v>82964.736159630047</v>
      </c>
      <c r="Y120" s="917">
        <f t="shared" si="10"/>
        <v>82964.736159630047</v>
      </c>
      <c r="Z120" s="917">
        <f t="shared" si="10"/>
        <v>82964.736159630047</v>
      </c>
      <c r="AA120" s="917">
        <f t="shared" si="10"/>
        <v>82964.736159630047</v>
      </c>
      <c r="AB120" s="917">
        <f t="shared" si="10"/>
        <v>82964.736159630047</v>
      </c>
      <c r="AC120" s="917">
        <f t="shared" si="10"/>
        <v>82964.736159630047</v>
      </c>
      <c r="AD120" s="917">
        <f t="shared" si="10"/>
        <v>82964.736159630047</v>
      </c>
      <c r="AE120" s="917">
        <f t="shared" si="10"/>
        <v>82964.736159630047</v>
      </c>
      <c r="AF120" s="917">
        <f t="shared" si="10"/>
        <v>82964.736159630047</v>
      </c>
      <c r="AG120" s="917">
        <f t="shared" si="10"/>
        <v>82964.736159630047</v>
      </c>
      <c r="AH120" s="917">
        <f t="shared" si="10"/>
        <v>82964.736159630047</v>
      </c>
      <c r="AI120" s="917">
        <f t="shared" si="10"/>
        <v>82964.736159630047</v>
      </c>
      <c r="AJ120" s="917">
        <f t="shared" si="10"/>
        <v>82964.736159630047</v>
      </c>
    </row>
    <row r="121" spans="2:37" x14ac:dyDescent="0.35">
      <c r="D121" s="2015" t="s">
        <v>4</v>
      </c>
      <c r="E121" s="2016"/>
      <c r="F121" s="811">
        <f t="shared" si="9"/>
        <v>6226698.9416260505</v>
      </c>
      <c r="G121" s="917">
        <f>IF(OR(G117&lt;$G$28,G117&gt;'Premissas Gerais'!$E$7,'Modelo Tarifário'!$C84="Não"),0,(313*$F$66*$G$27))</f>
        <v>216913.69500000001</v>
      </c>
      <c r="H121" s="917">
        <f>IF(OR(H117&lt;$G$28,H117&gt;'Premissas Gerais'!$E$7,'Modelo Tarifário'!$C84="Não"),0,(313*$F$66*$G$27))</f>
        <v>216913.69500000001</v>
      </c>
      <c r="I121" s="917">
        <f>IF(OR(I117&lt;$G$28,I117&gt;'Premissas Gerais'!$E$7,'Modelo Tarifário'!$C84="Não"),0,(313*$F$66*$G$27))</f>
        <v>216913.69500000001</v>
      </c>
      <c r="J121" s="917">
        <f>IF(OR(J117&lt;$G$28,J117&gt;'Premissas Gerais'!$E$7,'Modelo Tarifário'!$C84="Não"),0,(313*$F$66*$G$27))</f>
        <v>216913.69500000001</v>
      </c>
      <c r="K121" s="917">
        <f>IF(OR(K117&lt;$G$28,K117&gt;'Premissas Gerais'!$E$7,'Modelo Tarifário'!$C84="Não"),0,(313*$F$66*$G$27))</f>
        <v>216913.69500000001</v>
      </c>
      <c r="L121" s="917">
        <f>IF(OR(L117&lt;$G$28,L117&gt;'Premissas Gerais'!$E$7,'Modelo Tarifário'!$C84="Não"),0,(313*$F$66*$G$27))</f>
        <v>216913.69500000001</v>
      </c>
      <c r="M121" s="917">
        <f>IF(OR(M117&lt;$G$28,M117&gt;'Premissas Gerais'!$E$7,'Modelo Tarifário'!$C84="Não"),0,(313*$F$66*$G$27))</f>
        <v>216913.69500000001</v>
      </c>
      <c r="N121" s="917">
        <f>IF(OR(N117&lt;$G$28,N117&gt;'Premissas Gerais'!$E$7,'Modelo Tarifário'!$C84="Não"),0,(313*$F$66*$G$27))</f>
        <v>216913.69500000001</v>
      </c>
      <c r="O121" s="917">
        <f t="shared" si="11"/>
        <v>204154.0628011839</v>
      </c>
      <c r="P121" s="917">
        <f t="shared" si="12"/>
        <v>204154.0628011839</v>
      </c>
      <c r="Q121" s="917">
        <f t="shared" si="10"/>
        <v>204154.0628011839</v>
      </c>
      <c r="R121" s="917">
        <f t="shared" si="10"/>
        <v>204154.0628011839</v>
      </c>
      <c r="S121" s="917">
        <f t="shared" si="10"/>
        <v>204154.0628011839</v>
      </c>
      <c r="T121" s="917">
        <f t="shared" si="10"/>
        <v>204154.0628011839</v>
      </c>
      <c r="U121" s="917">
        <f t="shared" si="10"/>
        <v>204154.0628011839</v>
      </c>
      <c r="V121" s="917">
        <f t="shared" si="10"/>
        <v>204154.0628011839</v>
      </c>
      <c r="W121" s="917">
        <f t="shared" si="10"/>
        <v>204154.0628011839</v>
      </c>
      <c r="X121" s="917">
        <f t="shared" si="10"/>
        <v>204154.0628011839</v>
      </c>
      <c r="Y121" s="917">
        <f t="shared" si="10"/>
        <v>204154.0628011839</v>
      </c>
      <c r="Z121" s="917">
        <f t="shared" si="10"/>
        <v>204154.0628011839</v>
      </c>
      <c r="AA121" s="917">
        <f t="shared" si="10"/>
        <v>204154.0628011839</v>
      </c>
      <c r="AB121" s="917">
        <f t="shared" si="10"/>
        <v>204154.0628011839</v>
      </c>
      <c r="AC121" s="917">
        <f t="shared" si="10"/>
        <v>204154.0628011839</v>
      </c>
      <c r="AD121" s="917">
        <f t="shared" si="10"/>
        <v>204154.0628011839</v>
      </c>
      <c r="AE121" s="917">
        <f t="shared" si="10"/>
        <v>204154.0628011839</v>
      </c>
      <c r="AF121" s="917">
        <f t="shared" si="10"/>
        <v>204154.0628011839</v>
      </c>
      <c r="AG121" s="917">
        <f t="shared" si="10"/>
        <v>204154.0628011839</v>
      </c>
      <c r="AH121" s="917">
        <f t="shared" si="10"/>
        <v>204154.0628011839</v>
      </c>
      <c r="AI121" s="917">
        <f t="shared" si="10"/>
        <v>204154.0628011839</v>
      </c>
      <c r="AJ121" s="917">
        <f t="shared" si="10"/>
        <v>204154.0628011839</v>
      </c>
    </row>
    <row r="122" spans="2:37" x14ac:dyDescent="0.35">
      <c r="D122" s="2015" t="s">
        <v>5</v>
      </c>
      <c r="E122" s="2016"/>
      <c r="F122" s="811">
        <f t="shared" si="9"/>
        <v>13791475.740920665</v>
      </c>
      <c r="G122" s="917">
        <f>IF(OR(G117&lt;$G$28,G117&gt;'Premissas Gerais'!$E$7,'Modelo Tarifário'!$C85="Não"),0,(313*$F$67*$G$27))</f>
        <v>480440.75849999994</v>
      </c>
      <c r="H122" s="917">
        <f>IF(OR(H117&lt;$G$28,H117&gt;'Premissas Gerais'!$E$7,'Modelo Tarifário'!$C85="Não"),0,(313*$F$67*$G$27))</f>
        <v>480440.75849999994</v>
      </c>
      <c r="I122" s="917">
        <f>IF(OR(I117&lt;$G$28,I117&gt;'Premissas Gerais'!$E$7,'Modelo Tarifário'!$C85="Não"),0,(313*$F$67*$G$27))</f>
        <v>480440.75849999994</v>
      </c>
      <c r="J122" s="917">
        <f>IF(OR(J117&lt;$G$28,J117&gt;'Premissas Gerais'!$E$7,'Modelo Tarifário'!$C85="Não"),0,(313*$F$67*$G$27))</f>
        <v>480440.75849999994</v>
      </c>
      <c r="K122" s="917">
        <f>IF(OR(K117&lt;$G$28,K117&gt;'Premissas Gerais'!$E$7,'Modelo Tarifário'!$C85="Não"),0,(313*$F$67*$G$27))</f>
        <v>480440.75849999994</v>
      </c>
      <c r="L122" s="917">
        <f>IF(OR(L117&lt;$G$28,L117&gt;'Premissas Gerais'!$E$7,'Modelo Tarifário'!$C85="Não"),0,(313*$F$67*$G$27))</f>
        <v>480440.75849999994</v>
      </c>
      <c r="M122" s="917">
        <f>IF(OR(M117&lt;$G$28,M117&gt;'Premissas Gerais'!$E$7,'Modelo Tarifário'!$C85="Não"),0,(313*$F$67*$G$27))</f>
        <v>480440.75849999994</v>
      </c>
      <c r="N122" s="917">
        <f>IF(OR(N117&lt;$G$28,N117&gt;'Premissas Gerais'!$E$7,'Modelo Tarifário'!$C85="Não"),0,(313*$F$67*$G$27))</f>
        <v>480440.75849999994</v>
      </c>
      <c r="O122" s="917">
        <f t="shared" si="11"/>
        <v>452179.53058730304</v>
      </c>
      <c r="P122" s="917">
        <f t="shared" si="12"/>
        <v>452179.53058730304</v>
      </c>
      <c r="Q122" s="917">
        <f t="shared" si="10"/>
        <v>452179.53058730304</v>
      </c>
      <c r="R122" s="917">
        <f t="shared" si="10"/>
        <v>452179.53058730304</v>
      </c>
      <c r="S122" s="917">
        <f t="shared" si="10"/>
        <v>452179.53058730304</v>
      </c>
      <c r="T122" s="917">
        <f t="shared" si="10"/>
        <v>452179.53058730304</v>
      </c>
      <c r="U122" s="917">
        <f t="shared" si="10"/>
        <v>452179.53058730304</v>
      </c>
      <c r="V122" s="917">
        <f t="shared" si="10"/>
        <v>452179.53058730304</v>
      </c>
      <c r="W122" s="917">
        <f t="shared" si="10"/>
        <v>452179.53058730304</v>
      </c>
      <c r="X122" s="917">
        <f t="shared" si="10"/>
        <v>452179.53058730304</v>
      </c>
      <c r="Y122" s="917">
        <f t="shared" si="10"/>
        <v>452179.53058730304</v>
      </c>
      <c r="Z122" s="917">
        <f t="shared" si="10"/>
        <v>452179.53058730304</v>
      </c>
      <c r="AA122" s="917">
        <f t="shared" si="10"/>
        <v>452179.53058730304</v>
      </c>
      <c r="AB122" s="917">
        <f t="shared" si="10"/>
        <v>452179.53058730304</v>
      </c>
      <c r="AC122" s="917">
        <f t="shared" si="10"/>
        <v>452179.53058730304</v>
      </c>
      <c r="AD122" s="917">
        <f t="shared" si="10"/>
        <v>452179.53058730304</v>
      </c>
      <c r="AE122" s="917">
        <f t="shared" si="10"/>
        <v>452179.53058730304</v>
      </c>
      <c r="AF122" s="917">
        <f t="shared" si="10"/>
        <v>452179.53058730304</v>
      </c>
      <c r="AG122" s="917">
        <f t="shared" si="10"/>
        <v>452179.53058730304</v>
      </c>
      <c r="AH122" s="917">
        <f t="shared" si="10"/>
        <v>452179.53058730304</v>
      </c>
      <c r="AI122" s="917">
        <f t="shared" si="10"/>
        <v>452179.53058730304</v>
      </c>
      <c r="AJ122" s="917">
        <f t="shared" si="10"/>
        <v>452179.53058730304</v>
      </c>
    </row>
    <row r="123" spans="2:37" x14ac:dyDescent="0.35">
      <c r="D123" s="2015" t="s">
        <v>6</v>
      </c>
      <c r="E123" s="2016"/>
      <c r="F123" s="811">
        <f t="shared" si="9"/>
        <v>174334346.57925576</v>
      </c>
      <c r="G123" s="917">
        <f>IF(OR(G117&lt;$G$28,G117&gt;'Premissas Gerais'!$E$7,'Modelo Tarifário'!$C86="Não"),0,(313*$F$68*$G$27))</f>
        <v>6073122.7953092251</v>
      </c>
      <c r="H123" s="917">
        <f>IF(OR(H117&lt;$G$28,H117&gt;'Premissas Gerais'!$E$7,'Modelo Tarifário'!$C86="Não"),0,(313*$F$68*$G$27))</f>
        <v>6073122.7953092251</v>
      </c>
      <c r="I123" s="917">
        <f>IF(OR(I117&lt;$G$28,I117&gt;'Premissas Gerais'!$E$7,'Modelo Tarifário'!$C86="Não"),0,(313*$F$68*$G$27))</f>
        <v>6073122.7953092251</v>
      </c>
      <c r="J123" s="917">
        <f>IF(OR(J117&lt;$G$28,J117&gt;'Premissas Gerais'!$E$7,'Modelo Tarifário'!$C86="Não"),0,(313*$F$68*$G$27))</f>
        <v>6073122.7953092251</v>
      </c>
      <c r="K123" s="917">
        <f>IF(OR(K117&lt;$G$28,K117&gt;'Premissas Gerais'!$E$7,'Modelo Tarifário'!$C86="Não"),0,(313*$F$68*$G$27))</f>
        <v>6073122.7953092251</v>
      </c>
      <c r="L123" s="917">
        <f>IF(OR(L117&lt;$G$28,L117&gt;'Premissas Gerais'!$E$7,'Modelo Tarifário'!$C86="Não"),0,(313*$F$68*$G$27))</f>
        <v>6073122.7953092251</v>
      </c>
      <c r="M123" s="917">
        <f>IF(OR(M117&lt;$G$28,M117&gt;'Premissas Gerais'!$E$7,'Modelo Tarifário'!$C86="Não"),0,(313*$F$68*$G$27))</f>
        <v>6073122.7953092251</v>
      </c>
      <c r="N123" s="917">
        <f>IF(OR(N117&lt;$G$28,N117&gt;'Premissas Gerais'!$E$7,'Modelo Tarifário'!$C86="Não"),0,(313*$F$68*$G$27))</f>
        <v>6073122.7953092251</v>
      </c>
      <c r="O123" s="917">
        <f t="shared" si="11"/>
        <v>5715880.1916719051</v>
      </c>
      <c r="P123" s="917">
        <f t="shared" si="12"/>
        <v>5715880.1916719051</v>
      </c>
      <c r="Q123" s="917">
        <f t="shared" si="10"/>
        <v>5715880.1916719051</v>
      </c>
      <c r="R123" s="917">
        <f t="shared" si="10"/>
        <v>5715880.1916719051</v>
      </c>
      <c r="S123" s="917">
        <f t="shared" si="10"/>
        <v>5715880.1916719051</v>
      </c>
      <c r="T123" s="917">
        <f t="shared" si="10"/>
        <v>5715880.1916719051</v>
      </c>
      <c r="U123" s="917">
        <f t="shared" si="10"/>
        <v>5715880.1916719051</v>
      </c>
      <c r="V123" s="917">
        <f t="shared" si="10"/>
        <v>5715880.1916719051</v>
      </c>
      <c r="W123" s="917">
        <f t="shared" si="10"/>
        <v>5715880.1916719051</v>
      </c>
      <c r="X123" s="917">
        <f t="shared" si="10"/>
        <v>5715880.1916719051</v>
      </c>
      <c r="Y123" s="917">
        <f t="shared" si="10"/>
        <v>5715880.1916719051</v>
      </c>
      <c r="Z123" s="917">
        <f t="shared" si="10"/>
        <v>5715880.1916719051</v>
      </c>
      <c r="AA123" s="917">
        <f t="shared" si="10"/>
        <v>5715880.1916719051</v>
      </c>
      <c r="AB123" s="917">
        <f t="shared" si="10"/>
        <v>5715880.1916719051</v>
      </c>
      <c r="AC123" s="917">
        <f t="shared" si="10"/>
        <v>5715880.1916719051</v>
      </c>
      <c r="AD123" s="917">
        <f t="shared" si="10"/>
        <v>5715880.1916719051</v>
      </c>
      <c r="AE123" s="917">
        <f t="shared" si="10"/>
        <v>5715880.1916719051</v>
      </c>
      <c r="AF123" s="917">
        <f t="shared" si="10"/>
        <v>5715880.1916719051</v>
      </c>
      <c r="AG123" s="917">
        <f t="shared" si="10"/>
        <v>5715880.1916719051</v>
      </c>
      <c r="AH123" s="917">
        <f t="shared" si="10"/>
        <v>5715880.1916719051</v>
      </c>
      <c r="AI123" s="917">
        <f t="shared" si="10"/>
        <v>5715880.1916719051</v>
      </c>
      <c r="AJ123" s="917">
        <f t="shared" si="10"/>
        <v>5715880.1916719051</v>
      </c>
    </row>
    <row r="124" spans="2:37" x14ac:dyDescent="0.35">
      <c r="D124" s="2015" t="s">
        <v>7</v>
      </c>
      <c r="E124" s="2016"/>
      <c r="F124" s="811">
        <f t="shared" si="9"/>
        <v>0</v>
      </c>
      <c r="G124" s="917">
        <f>IF(OR(G117&lt;$G$28,G117&gt;'Premissas Gerais'!$E$7,'Modelo Tarifário'!$C87="Não"),0,(313*$F$69*$G$27))</f>
        <v>0</v>
      </c>
      <c r="H124" s="917">
        <f>IF(OR(H117&lt;$G$28,H117&gt;'Premissas Gerais'!$E$7,'Modelo Tarifário'!$C87="Não"),0,(313*$F$69*$G$27))</f>
        <v>0</v>
      </c>
      <c r="I124" s="917">
        <f>IF(OR(I117&lt;$G$28,I117&gt;'Premissas Gerais'!$E$7,'Modelo Tarifário'!$C87="Não"),0,(313*$F$69*$G$27))</f>
        <v>0</v>
      </c>
      <c r="J124" s="917">
        <f>IF(OR(J117&lt;$G$28,J117&gt;'Premissas Gerais'!$E$7,'Modelo Tarifário'!$C87="Não"),0,(313*$F$69*$G$27))</f>
        <v>0</v>
      </c>
      <c r="K124" s="917">
        <f>IF(OR(K117&lt;$G$28,K117&gt;'Premissas Gerais'!$E$7,'Modelo Tarifário'!$C87="Não"),0,(313*$F$69*$G$27))</f>
        <v>0</v>
      </c>
      <c r="L124" s="917">
        <f>IF(OR(L117&lt;$G$28,L117&gt;'Premissas Gerais'!$E$7,'Modelo Tarifário'!$C87="Não"),0,(313*$F$69*$G$27))</f>
        <v>0</v>
      </c>
      <c r="M124" s="917">
        <f>IF(OR(M117&lt;$G$28,M117&gt;'Premissas Gerais'!$E$7,'Modelo Tarifário'!$C87="Não"),0,(313*$F$69*$G$27))</f>
        <v>0</v>
      </c>
      <c r="N124" s="917">
        <f>IF(OR(N117&lt;$G$28,N117&gt;'Premissas Gerais'!$E$7,'Modelo Tarifário'!$C87="Não"),0,(313*$F$69*$G$27))</f>
        <v>0</v>
      </c>
      <c r="O124" s="917">
        <f t="shared" si="11"/>
        <v>0</v>
      </c>
      <c r="P124" s="917">
        <f t="shared" si="12"/>
        <v>0</v>
      </c>
      <c r="Q124" s="917">
        <f t="shared" si="10"/>
        <v>0</v>
      </c>
      <c r="R124" s="917">
        <f t="shared" si="10"/>
        <v>0</v>
      </c>
      <c r="S124" s="917">
        <f t="shared" si="10"/>
        <v>0</v>
      </c>
      <c r="T124" s="917">
        <f t="shared" si="10"/>
        <v>0</v>
      </c>
      <c r="U124" s="917">
        <f t="shared" si="10"/>
        <v>0</v>
      </c>
      <c r="V124" s="917">
        <f t="shared" si="10"/>
        <v>0</v>
      </c>
      <c r="W124" s="917">
        <f t="shared" si="10"/>
        <v>0</v>
      </c>
      <c r="X124" s="917">
        <f t="shared" si="10"/>
        <v>0</v>
      </c>
      <c r="Y124" s="917">
        <f t="shared" si="10"/>
        <v>0</v>
      </c>
      <c r="Z124" s="917">
        <f t="shared" si="10"/>
        <v>0</v>
      </c>
      <c r="AA124" s="917">
        <f t="shared" si="10"/>
        <v>0</v>
      </c>
      <c r="AB124" s="917">
        <f t="shared" si="10"/>
        <v>0</v>
      </c>
      <c r="AC124" s="917">
        <f t="shared" si="10"/>
        <v>0</v>
      </c>
      <c r="AD124" s="917">
        <f t="shared" si="10"/>
        <v>0</v>
      </c>
      <c r="AE124" s="917">
        <f t="shared" si="10"/>
        <v>0</v>
      </c>
      <c r="AF124" s="917">
        <f t="shared" si="10"/>
        <v>0</v>
      </c>
      <c r="AG124" s="917">
        <f t="shared" si="10"/>
        <v>0</v>
      </c>
      <c r="AH124" s="917">
        <f t="shared" si="10"/>
        <v>0</v>
      </c>
      <c r="AI124" s="917">
        <f t="shared" si="10"/>
        <v>0</v>
      </c>
      <c r="AJ124" s="917">
        <f t="shared" si="10"/>
        <v>0</v>
      </c>
    </row>
    <row r="125" spans="2:37" x14ac:dyDescent="0.35">
      <c r="D125" s="2015" t="s">
        <v>8</v>
      </c>
      <c r="E125" s="2016"/>
      <c r="F125" s="811">
        <f t="shared" si="9"/>
        <v>10532395.018282352</v>
      </c>
      <c r="G125" s="917">
        <f>IF(OR(G117&lt;$G$28,G117&gt;'Premissas Gerais'!$E$7,'Modelo Tarifário'!$C88="Não"),0,(313*$F$70*$G$27))</f>
        <v>366907.20749999996</v>
      </c>
      <c r="H125" s="917">
        <f>IF(OR(H117&lt;$G$28,H117&gt;'Premissas Gerais'!$E$7,'Modelo Tarifário'!$C88="Não"),0,(313*$F$70*$G$27))</f>
        <v>366907.20749999996</v>
      </c>
      <c r="I125" s="917">
        <f>IF(OR(I117&lt;$G$28,I117&gt;'Premissas Gerais'!$E$7,'Modelo Tarifário'!$C88="Não"),0,(313*$F$70*$G$27))</f>
        <v>366907.20749999996</v>
      </c>
      <c r="J125" s="917">
        <f>IF(OR(J117&lt;$G$28,J117&gt;'Premissas Gerais'!$E$7,'Modelo Tarifário'!$C88="Não"),0,(313*$F$70*$G$27))</f>
        <v>366907.20749999996</v>
      </c>
      <c r="K125" s="917">
        <f>IF(OR(K117&lt;$G$28,K117&gt;'Premissas Gerais'!$E$7,'Modelo Tarifário'!$C88="Não"),0,(313*$F$70*$G$27))</f>
        <v>366907.20749999996</v>
      </c>
      <c r="L125" s="917">
        <f>IF(OR(L117&lt;$G$28,L117&gt;'Premissas Gerais'!$E$7,'Modelo Tarifário'!$C88="Não"),0,(313*$F$70*$G$27))</f>
        <v>366907.20749999996</v>
      </c>
      <c r="M125" s="917">
        <f>IF(OR(M117&lt;$G$28,M117&gt;'Premissas Gerais'!$E$7,'Modelo Tarifário'!$C88="Não"),0,(313*$F$70*$G$27))</f>
        <v>366907.20749999996</v>
      </c>
      <c r="N125" s="917">
        <f>IF(OR(N117&lt;$G$28,N117&gt;'Premissas Gerais'!$E$7,'Modelo Tarifário'!$C88="Não"),0,(313*$F$70*$G$27))</f>
        <v>366907.20749999996</v>
      </c>
      <c r="O125" s="917">
        <f t="shared" si="11"/>
        <v>345324.42537647061</v>
      </c>
      <c r="P125" s="917">
        <f t="shared" si="12"/>
        <v>345324.42537647061</v>
      </c>
      <c r="Q125" s="917">
        <f t="shared" si="10"/>
        <v>345324.42537647061</v>
      </c>
      <c r="R125" s="917">
        <f t="shared" si="10"/>
        <v>345324.42537647061</v>
      </c>
      <c r="S125" s="917">
        <f t="shared" si="10"/>
        <v>345324.42537647061</v>
      </c>
      <c r="T125" s="917">
        <f t="shared" si="10"/>
        <v>345324.42537647061</v>
      </c>
      <c r="U125" s="917">
        <f t="shared" si="10"/>
        <v>345324.42537647061</v>
      </c>
      <c r="V125" s="917">
        <f t="shared" si="10"/>
        <v>345324.42537647061</v>
      </c>
      <c r="W125" s="917">
        <f t="shared" si="10"/>
        <v>345324.42537647061</v>
      </c>
      <c r="X125" s="917">
        <f t="shared" si="10"/>
        <v>345324.42537647061</v>
      </c>
      <c r="Y125" s="917">
        <f t="shared" si="10"/>
        <v>345324.42537647061</v>
      </c>
      <c r="Z125" s="917">
        <f t="shared" si="10"/>
        <v>345324.42537647061</v>
      </c>
      <c r="AA125" s="917">
        <f t="shared" si="10"/>
        <v>345324.42537647061</v>
      </c>
      <c r="AB125" s="917">
        <f t="shared" si="10"/>
        <v>345324.42537647061</v>
      </c>
      <c r="AC125" s="917">
        <f t="shared" si="10"/>
        <v>345324.42537647061</v>
      </c>
      <c r="AD125" s="917">
        <f t="shared" si="10"/>
        <v>345324.42537647061</v>
      </c>
      <c r="AE125" s="917">
        <f t="shared" si="10"/>
        <v>345324.42537647061</v>
      </c>
      <c r="AF125" s="917">
        <f t="shared" si="10"/>
        <v>345324.42537647061</v>
      </c>
      <c r="AG125" s="917">
        <f t="shared" si="10"/>
        <v>345324.42537647061</v>
      </c>
      <c r="AH125" s="917">
        <f t="shared" si="10"/>
        <v>345324.42537647061</v>
      </c>
      <c r="AI125" s="917">
        <f t="shared" si="10"/>
        <v>345324.42537647061</v>
      </c>
      <c r="AJ125" s="917">
        <f t="shared" si="10"/>
        <v>345324.42537647061</v>
      </c>
    </row>
    <row r="126" spans="2:37" x14ac:dyDescent="0.35">
      <c r="D126" s="2015" t="s">
        <v>9</v>
      </c>
      <c r="E126" s="2016"/>
      <c r="F126" s="811">
        <f t="shared" si="9"/>
        <v>8677633.6314150225</v>
      </c>
      <c r="G126" s="917">
        <f>IF(OR(G117&lt;$G$28,G117&gt;'Premissas Gerais'!$E$7,'Modelo Tarifário'!$C89="Não"),0,(313*$F$71*$G$27))</f>
        <v>302294.61749999999</v>
      </c>
      <c r="H126" s="917">
        <f>IF(OR(H117&lt;$G$28,H117&gt;'Premissas Gerais'!$E$7,'Modelo Tarifário'!$C89="Não"),0,(313*$F$71*$G$27))</f>
        <v>302294.61749999999</v>
      </c>
      <c r="I126" s="917">
        <f>IF(OR(I117&lt;$G$28,I117&gt;'Premissas Gerais'!$E$7,'Modelo Tarifário'!$C89="Não"),0,(313*$F$71*$G$27))</f>
        <v>302294.61749999999</v>
      </c>
      <c r="J126" s="917">
        <f>IF(OR(J117&lt;$G$28,J117&gt;'Premissas Gerais'!$E$7,'Modelo Tarifário'!$C89="Não"),0,(313*$F$71*$G$27))</f>
        <v>302294.61749999999</v>
      </c>
      <c r="K126" s="917">
        <f>IF(OR(K117&lt;$G$28,K117&gt;'Premissas Gerais'!$E$7,'Modelo Tarifário'!$C89="Não"),0,(313*$F$71*$G$27))</f>
        <v>302294.61749999999</v>
      </c>
      <c r="L126" s="917">
        <f>IF(OR(L117&lt;$G$28,L117&gt;'Premissas Gerais'!$E$7,'Modelo Tarifário'!$C89="Não"),0,(313*$F$71*$G$27))</f>
        <v>302294.61749999999</v>
      </c>
      <c r="M126" s="917">
        <f>IF(OR(M117&lt;$G$28,M117&gt;'Premissas Gerais'!$E$7,'Modelo Tarifário'!$C89="Não"),0,(313*$F$71*$G$27))</f>
        <v>302294.61749999999</v>
      </c>
      <c r="N126" s="1090">
        <f>IF(OR(N117&lt;$G$28,N117&gt;'Premissas Gerais'!$E$7,'Modelo Tarifário'!$C89="Não"),0,(313*$F$71*$G$27))</f>
        <v>302294.61749999999</v>
      </c>
      <c r="O126" s="1090">
        <f t="shared" si="11"/>
        <v>284512.57688250096</v>
      </c>
      <c r="P126" s="1090">
        <f t="shared" si="12"/>
        <v>284512.57688250096</v>
      </c>
      <c r="Q126" s="1090">
        <f t="shared" si="10"/>
        <v>284512.57688250096</v>
      </c>
      <c r="R126" s="1090">
        <f t="shared" si="10"/>
        <v>284512.57688250096</v>
      </c>
      <c r="S126" s="1090">
        <f t="shared" si="10"/>
        <v>284512.57688250096</v>
      </c>
      <c r="T126" s="1090">
        <f t="shared" si="10"/>
        <v>284512.57688250096</v>
      </c>
      <c r="U126" s="1090">
        <f t="shared" si="10"/>
        <v>284512.57688250096</v>
      </c>
      <c r="V126" s="1090">
        <f t="shared" si="10"/>
        <v>284512.57688250096</v>
      </c>
      <c r="W126" s="1090">
        <f t="shared" si="10"/>
        <v>284512.57688250096</v>
      </c>
      <c r="X126" s="1090">
        <f t="shared" si="10"/>
        <v>284512.57688250096</v>
      </c>
      <c r="Y126" s="1090">
        <f t="shared" si="10"/>
        <v>284512.57688250096</v>
      </c>
      <c r="Z126" s="1090">
        <f t="shared" si="10"/>
        <v>284512.57688250096</v>
      </c>
      <c r="AA126" s="1090">
        <f t="shared" si="10"/>
        <v>284512.57688250096</v>
      </c>
      <c r="AB126" s="1090">
        <f t="shared" si="10"/>
        <v>284512.57688250096</v>
      </c>
      <c r="AC126" s="1090">
        <f t="shared" si="10"/>
        <v>284512.57688250096</v>
      </c>
      <c r="AD126" s="1090">
        <f t="shared" si="10"/>
        <v>284512.57688250096</v>
      </c>
      <c r="AE126" s="1090">
        <f t="shared" si="10"/>
        <v>284512.57688250096</v>
      </c>
      <c r="AF126" s="1090">
        <f t="shared" si="10"/>
        <v>284512.57688250096</v>
      </c>
      <c r="AG126" s="1090">
        <f t="shared" si="10"/>
        <v>284512.57688250096</v>
      </c>
      <c r="AH126" s="1090">
        <f t="shared" si="10"/>
        <v>284512.57688250096</v>
      </c>
      <c r="AI126" s="1090">
        <f t="shared" si="10"/>
        <v>284512.57688250096</v>
      </c>
      <c r="AJ126" s="1090">
        <f t="shared" si="10"/>
        <v>284512.57688250096</v>
      </c>
    </row>
    <row r="127" spans="2:37" x14ac:dyDescent="0.35">
      <c r="D127" s="800" t="s">
        <v>455</v>
      </c>
      <c r="E127" s="861"/>
      <c r="F127" s="801">
        <f t="shared" ref="F127:AJ127" si="13">SUM(F118:F126)</f>
        <v>239290740.00647384</v>
      </c>
      <c r="G127" s="801">
        <f>SUM(G118:G126)</f>
        <v>8335948.0008092243</v>
      </c>
      <c r="H127" s="801">
        <f t="shared" si="13"/>
        <v>8335948.0008092243</v>
      </c>
      <c r="I127" s="801">
        <f t="shared" si="13"/>
        <v>8335948.0008092243</v>
      </c>
      <c r="J127" s="801">
        <f t="shared" si="13"/>
        <v>8335948.0008092243</v>
      </c>
      <c r="K127" s="801">
        <f t="shared" si="13"/>
        <v>8335948.0008092243</v>
      </c>
      <c r="L127" s="801">
        <f t="shared" si="13"/>
        <v>8335948.0008092243</v>
      </c>
      <c r="M127" s="801">
        <f t="shared" si="13"/>
        <v>8335948.0008092243</v>
      </c>
      <c r="N127" s="801">
        <f t="shared" si="13"/>
        <v>8335948.0008092243</v>
      </c>
      <c r="O127" s="801">
        <f t="shared" si="13"/>
        <v>7845598</v>
      </c>
      <c r="P127" s="801">
        <f t="shared" si="13"/>
        <v>7845598</v>
      </c>
      <c r="Q127" s="801">
        <f t="shared" si="13"/>
        <v>7845598</v>
      </c>
      <c r="R127" s="801">
        <f t="shared" si="13"/>
        <v>7845598</v>
      </c>
      <c r="S127" s="801">
        <f t="shared" si="13"/>
        <v>7845598</v>
      </c>
      <c r="T127" s="801">
        <f t="shared" si="13"/>
        <v>7845598</v>
      </c>
      <c r="U127" s="801">
        <f t="shared" si="13"/>
        <v>7845598</v>
      </c>
      <c r="V127" s="801">
        <f t="shared" si="13"/>
        <v>7845598</v>
      </c>
      <c r="W127" s="801">
        <f t="shared" si="13"/>
        <v>7845598</v>
      </c>
      <c r="X127" s="801">
        <f t="shared" si="13"/>
        <v>7845598</v>
      </c>
      <c r="Y127" s="801">
        <f t="shared" si="13"/>
        <v>7845598</v>
      </c>
      <c r="Z127" s="801">
        <f t="shared" si="13"/>
        <v>7845598</v>
      </c>
      <c r="AA127" s="801">
        <f t="shared" si="13"/>
        <v>7845598</v>
      </c>
      <c r="AB127" s="801">
        <f t="shared" si="13"/>
        <v>7845598</v>
      </c>
      <c r="AC127" s="801">
        <f t="shared" si="13"/>
        <v>7845598</v>
      </c>
      <c r="AD127" s="801">
        <f t="shared" si="13"/>
        <v>7845598</v>
      </c>
      <c r="AE127" s="801">
        <f t="shared" si="13"/>
        <v>7845598</v>
      </c>
      <c r="AF127" s="801">
        <f t="shared" si="13"/>
        <v>7845598</v>
      </c>
      <c r="AG127" s="801">
        <f t="shared" si="13"/>
        <v>7845598</v>
      </c>
      <c r="AH127" s="801">
        <f t="shared" si="13"/>
        <v>7845598</v>
      </c>
      <c r="AI127" s="801">
        <f t="shared" si="13"/>
        <v>7845598</v>
      </c>
      <c r="AJ127" s="801">
        <f t="shared" si="13"/>
        <v>7845598</v>
      </c>
    </row>
    <row r="129" spans="4:36" x14ac:dyDescent="0.35">
      <c r="D129" s="77" t="s">
        <v>957</v>
      </c>
    </row>
    <row r="130" spans="4:36" x14ac:dyDescent="0.35">
      <c r="D130" s="923" t="s">
        <v>68</v>
      </c>
      <c r="E130" s="860"/>
      <c r="F130" s="229" t="s">
        <v>455</v>
      </c>
      <c r="G130" s="802">
        <v>1</v>
      </c>
      <c r="H130" s="802">
        <f>G130+1</f>
        <v>2</v>
      </c>
      <c r="I130" s="802">
        <f t="shared" ref="I130" si="14">H130+1</f>
        <v>3</v>
      </c>
      <c r="J130" s="802">
        <f t="shared" ref="J130" si="15">I130+1</f>
        <v>4</v>
      </c>
      <c r="K130" s="802">
        <f t="shared" ref="K130" si="16">J130+1</f>
        <v>5</v>
      </c>
      <c r="L130" s="802">
        <f t="shared" ref="L130" si="17">K130+1</f>
        <v>6</v>
      </c>
      <c r="M130" s="802">
        <f t="shared" ref="M130" si="18">L130+1</f>
        <v>7</v>
      </c>
      <c r="N130" s="802">
        <f t="shared" ref="N130" si="19">M130+1</f>
        <v>8</v>
      </c>
      <c r="O130" s="802">
        <f t="shared" ref="O130" si="20">N130+1</f>
        <v>9</v>
      </c>
      <c r="P130" s="802">
        <f t="shared" ref="P130" si="21">O130+1</f>
        <v>10</v>
      </c>
      <c r="Q130" s="802">
        <f t="shared" ref="Q130" si="22">P130+1</f>
        <v>11</v>
      </c>
      <c r="R130" s="802">
        <f t="shared" ref="R130" si="23">Q130+1</f>
        <v>12</v>
      </c>
      <c r="S130" s="802">
        <f t="shared" ref="S130" si="24">R130+1</f>
        <v>13</v>
      </c>
      <c r="T130" s="802">
        <f t="shared" ref="T130" si="25">S130+1</f>
        <v>14</v>
      </c>
      <c r="U130" s="802">
        <f t="shared" ref="U130" si="26">T130+1</f>
        <v>15</v>
      </c>
      <c r="V130" s="802">
        <f t="shared" ref="V130" si="27">U130+1</f>
        <v>16</v>
      </c>
      <c r="W130" s="802">
        <f t="shared" ref="W130" si="28">V130+1</f>
        <v>17</v>
      </c>
      <c r="X130" s="802">
        <f t="shared" ref="X130" si="29">W130+1</f>
        <v>18</v>
      </c>
      <c r="Y130" s="802">
        <f t="shared" ref="Y130" si="30">X130+1</f>
        <v>19</v>
      </c>
      <c r="Z130" s="802">
        <f t="shared" ref="Z130" si="31">Y130+1</f>
        <v>20</v>
      </c>
      <c r="AA130" s="802">
        <f t="shared" ref="AA130" si="32">Z130+1</f>
        <v>21</v>
      </c>
      <c r="AB130" s="802">
        <f t="shared" ref="AB130" si="33">AA130+1</f>
        <v>22</v>
      </c>
      <c r="AC130" s="802">
        <f t="shared" ref="AC130" si="34">AB130+1</f>
        <v>23</v>
      </c>
      <c r="AD130" s="802">
        <f t="shared" ref="AD130" si="35">AC130+1</f>
        <v>24</v>
      </c>
      <c r="AE130" s="802">
        <f t="shared" ref="AE130" si="36">AD130+1</f>
        <v>25</v>
      </c>
      <c r="AF130" s="802">
        <f t="shared" ref="AF130" si="37">AE130+1</f>
        <v>26</v>
      </c>
      <c r="AG130" s="802">
        <f t="shared" ref="AG130" si="38">AF130+1</f>
        <v>27</v>
      </c>
      <c r="AH130" s="802">
        <f t="shared" ref="AH130" si="39">AG130+1</f>
        <v>28</v>
      </c>
      <c r="AI130" s="802">
        <f t="shared" ref="AI130" si="40">AH130+1</f>
        <v>29</v>
      </c>
      <c r="AJ130" s="802">
        <f t="shared" ref="AJ130" si="41">AI130+1</f>
        <v>30</v>
      </c>
    </row>
    <row r="131" spans="4:36" x14ac:dyDescent="0.35">
      <c r="D131" s="2019" t="s">
        <v>1</v>
      </c>
      <c r="E131" s="2020"/>
      <c r="F131" s="808">
        <f t="shared" ref="F131:F139" si="42">SUM(G131:AJ131)</f>
        <v>450442.14118709689</v>
      </c>
      <c r="G131" s="916">
        <f t="shared" ref="G131:G139" si="43">$K$73*J63</f>
        <v>15691.629000000001</v>
      </c>
      <c r="H131" s="916">
        <f>G131</f>
        <v>15691.629000000001</v>
      </c>
      <c r="I131" s="916">
        <f t="shared" ref="I131:N131" si="44">H131</f>
        <v>15691.629000000001</v>
      </c>
      <c r="J131" s="916">
        <f t="shared" si="44"/>
        <v>15691.629000000001</v>
      </c>
      <c r="K131" s="916">
        <f t="shared" si="44"/>
        <v>15691.629000000001</v>
      </c>
      <c r="L131" s="916">
        <f t="shared" si="44"/>
        <v>15691.629000000001</v>
      </c>
      <c r="M131" s="916">
        <f t="shared" si="44"/>
        <v>15691.629000000001</v>
      </c>
      <c r="N131" s="916">
        <f t="shared" si="44"/>
        <v>15691.629000000001</v>
      </c>
      <c r="O131" s="916">
        <f t="shared" ref="O131:O139" si="45">$K$74*J63</f>
        <v>14768.595872140761</v>
      </c>
      <c r="P131" s="916">
        <f>O131</f>
        <v>14768.595872140761</v>
      </c>
      <c r="Q131" s="916">
        <f t="shared" ref="Q131:AJ139" si="46">P131</f>
        <v>14768.595872140761</v>
      </c>
      <c r="R131" s="916">
        <f t="shared" si="46"/>
        <v>14768.595872140761</v>
      </c>
      <c r="S131" s="916">
        <f t="shared" si="46"/>
        <v>14768.595872140761</v>
      </c>
      <c r="T131" s="916">
        <f t="shared" si="46"/>
        <v>14768.595872140761</v>
      </c>
      <c r="U131" s="916">
        <f t="shared" si="46"/>
        <v>14768.595872140761</v>
      </c>
      <c r="V131" s="916">
        <f t="shared" si="46"/>
        <v>14768.595872140761</v>
      </c>
      <c r="W131" s="916">
        <f t="shared" si="46"/>
        <v>14768.595872140761</v>
      </c>
      <c r="X131" s="916">
        <f t="shared" si="46"/>
        <v>14768.595872140761</v>
      </c>
      <c r="Y131" s="916">
        <f t="shared" si="46"/>
        <v>14768.595872140761</v>
      </c>
      <c r="Z131" s="916">
        <f t="shared" si="46"/>
        <v>14768.595872140761</v>
      </c>
      <c r="AA131" s="916">
        <f t="shared" si="46"/>
        <v>14768.595872140761</v>
      </c>
      <c r="AB131" s="916">
        <f t="shared" si="46"/>
        <v>14768.595872140761</v>
      </c>
      <c r="AC131" s="916">
        <f t="shared" si="46"/>
        <v>14768.595872140761</v>
      </c>
      <c r="AD131" s="916">
        <f t="shared" si="46"/>
        <v>14768.595872140761</v>
      </c>
      <c r="AE131" s="916">
        <f t="shared" si="46"/>
        <v>14768.595872140761</v>
      </c>
      <c r="AF131" s="916">
        <f t="shared" si="46"/>
        <v>14768.595872140761</v>
      </c>
      <c r="AG131" s="916">
        <f t="shared" si="46"/>
        <v>14768.595872140761</v>
      </c>
      <c r="AH131" s="916">
        <f t="shared" si="46"/>
        <v>14768.595872140761</v>
      </c>
      <c r="AI131" s="916">
        <f t="shared" si="46"/>
        <v>14768.595872140761</v>
      </c>
      <c r="AJ131" s="916">
        <f t="shared" si="46"/>
        <v>14768.595872140761</v>
      </c>
    </row>
    <row r="132" spans="4:36" x14ac:dyDescent="0.35">
      <c r="D132" s="2015" t="s">
        <v>2</v>
      </c>
      <c r="E132" s="2016"/>
      <c r="F132" s="811">
        <f t="shared" si="42"/>
        <v>4398435.0257092947</v>
      </c>
      <c r="G132" s="917">
        <f t="shared" si="43"/>
        <v>153224.14199999999</v>
      </c>
      <c r="H132" s="917">
        <f t="shared" ref="H132:N139" si="47">G132</f>
        <v>153224.14199999999</v>
      </c>
      <c r="I132" s="917">
        <f t="shared" si="47"/>
        <v>153224.14199999999</v>
      </c>
      <c r="J132" s="917">
        <f t="shared" si="47"/>
        <v>153224.14199999999</v>
      </c>
      <c r="K132" s="917">
        <f t="shared" si="47"/>
        <v>153224.14199999999</v>
      </c>
      <c r="L132" s="917">
        <f t="shared" si="47"/>
        <v>153224.14199999999</v>
      </c>
      <c r="M132" s="917">
        <f t="shared" si="47"/>
        <v>153224.14199999999</v>
      </c>
      <c r="N132" s="917">
        <f t="shared" si="47"/>
        <v>153224.14199999999</v>
      </c>
      <c r="O132" s="917">
        <f t="shared" si="45"/>
        <v>144210.99498678625</v>
      </c>
      <c r="P132" s="917">
        <f t="shared" ref="P132:AE139" si="48">O132</f>
        <v>144210.99498678625</v>
      </c>
      <c r="Q132" s="917">
        <f t="shared" si="48"/>
        <v>144210.99498678625</v>
      </c>
      <c r="R132" s="917">
        <f t="shared" si="48"/>
        <v>144210.99498678625</v>
      </c>
      <c r="S132" s="917">
        <f t="shared" si="48"/>
        <v>144210.99498678625</v>
      </c>
      <c r="T132" s="917">
        <f t="shared" si="48"/>
        <v>144210.99498678625</v>
      </c>
      <c r="U132" s="917">
        <f t="shared" si="48"/>
        <v>144210.99498678625</v>
      </c>
      <c r="V132" s="917">
        <f t="shared" si="48"/>
        <v>144210.99498678625</v>
      </c>
      <c r="W132" s="917">
        <f t="shared" si="48"/>
        <v>144210.99498678625</v>
      </c>
      <c r="X132" s="917">
        <f t="shared" si="48"/>
        <v>144210.99498678625</v>
      </c>
      <c r="Y132" s="917">
        <f t="shared" si="48"/>
        <v>144210.99498678625</v>
      </c>
      <c r="Z132" s="917">
        <f t="shared" si="48"/>
        <v>144210.99498678625</v>
      </c>
      <c r="AA132" s="917">
        <f t="shared" si="48"/>
        <v>144210.99498678625</v>
      </c>
      <c r="AB132" s="917">
        <f t="shared" si="48"/>
        <v>144210.99498678625</v>
      </c>
      <c r="AC132" s="917">
        <f t="shared" si="48"/>
        <v>144210.99498678625</v>
      </c>
      <c r="AD132" s="917">
        <f t="shared" si="48"/>
        <v>144210.99498678625</v>
      </c>
      <c r="AE132" s="917">
        <f t="shared" si="48"/>
        <v>144210.99498678625</v>
      </c>
      <c r="AF132" s="917">
        <f t="shared" si="46"/>
        <v>144210.99498678625</v>
      </c>
      <c r="AG132" s="917">
        <f t="shared" si="46"/>
        <v>144210.99498678625</v>
      </c>
      <c r="AH132" s="917">
        <f t="shared" si="46"/>
        <v>144210.99498678625</v>
      </c>
      <c r="AI132" s="917">
        <f t="shared" si="46"/>
        <v>144210.99498678625</v>
      </c>
      <c r="AJ132" s="917">
        <f t="shared" si="46"/>
        <v>144210.99498678625</v>
      </c>
    </row>
    <row r="133" spans="4:36" x14ac:dyDescent="0.35">
      <c r="D133" s="2015" t="s">
        <v>3</v>
      </c>
      <c r="E133" s="2016"/>
      <c r="F133" s="811">
        <f t="shared" si="42"/>
        <v>529931.93080834916</v>
      </c>
      <c r="G133" s="917">
        <f>$K$73*J65</f>
        <v>18460.740000000002</v>
      </c>
      <c r="H133" s="917">
        <f t="shared" si="47"/>
        <v>18460.740000000002</v>
      </c>
      <c r="I133" s="917">
        <f t="shared" si="47"/>
        <v>18460.740000000002</v>
      </c>
      <c r="J133" s="917">
        <f t="shared" si="47"/>
        <v>18460.740000000002</v>
      </c>
      <c r="K133" s="917">
        <f t="shared" si="47"/>
        <v>18460.740000000002</v>
      </c>
      <c r="L133" s="917">
        <f t="shared" si="47"/>
        <v>18460.740000000002</v>
      </c>
      <c r="M133" s="917">
        <f t="shared" si="47"/>
        <v>18460.740000000002</v>
      </c>
      <c r="N133" s="917">
        <f t="shared" si="47"/>
        <v>18460.740000000002</v>
      </c>
      <c r="O133" s="917">
        <f t="shared" si="45"/>
        <v>17374.81867310678</v>
      </c>
      <c r="P133" s="917">
        <f t="shared" si="48"/>
        <v>17374.81867310678</v>
      </c>
      <c r="Q133" s="917">
        <f t="shared" si="46"/>
        <v>17374.81867310678</v>
      </c>
      <c r="R133" s="917">
        <f t="shared" si="46"/>
        <v>17374.81867310678</v>
      </c>
      <c r="S133" s="917">
        <f t="shared" si="46"/>
        <v>17374.81867310678</v>
      </c>
      <c r="T133" s="917">
        <f t="shared" si="46"/>
        <v>17374.81867310678</v>
      </c>
      <c r="U133" s="917">
        <f t="shared" si="46"/>
        <v>17374.81867310678</v>
      </c>
      <c r="V133" s="917">
        <f t="shared" si="46"/>
        <v>17374.81867310678</v>
      </c>
      <c r="W133" s="917">
        <f t="shared" si="46"/>
        <v>17374.81867310678</v>
      </c>
      <c r="X133" s="917">
        <f t="shared" si="46"/>
        <v>17374.81867310678</v>
      </c>
      <c r="Y133" s="917">
        <f t="shared" si="46"/>
        <v>17374.81867310678</v>
      </c>
      <c r="Z133" s="917">
        <f t="shared" si="46"/>
        <v>17374.81867310678</v>
      </c>
      <c r="AA133" s="917">
        <f t="shared" si="46"/>
        <v>17374.81867310678</v>
      </c>
      <c r="AB133" s="917">
        <f t="shared" si="46"/>
        <v>17374.81867310678</v>
      </c>
      <c r="AC133" s="917">
        <f t="shared" si="46"/>
        <v>17374.81867310678</v>
      </c>
      <c r="AD133" s="917">
        <f t="shared" si="46"/>
        <v>17374.81867310678</v>
      </c>
      <c r="AE133" s="917">
        <f t="shared" si="46"/>
        <v>17374.81867310678</v>
      </c>
      <c r="AF133" s="917">
        <f t="shared" si="46"/>
        <v>17374.81867310678</v>
      </c>
      <c r="AG133" s="917">
        <f t="shared" si="46"/>
        <v>17374.81867310678</v>
      </c>
      <c r="AH133" s="917">
        <f t="shared" si="46"/>
        <v>17374.81867310678</v>
      </c>
      <c r="AI133" s="917">
        <f t="shared" si="46"/>
        <v>17374.81867310678</v>
      </c>
      <c r="AJ133" s="917">
        <f t="shared" si="46"/>
        <v>17374.81867310678</v>
      </c>
    </row>
    <row r="134" spans="4:36" x14ac:dyDescent="0.35">
      <c r="D134" s="2015" t="s">
        <v>4</v>
      </c>
      <c r="E134" s="2016"/>
      <c r="F134" s="811">
        <f t="shared" si="42"/>
        <v>1324829.8270208728</v>
      </c>
      <c r="G134" s="917">
        <f>$K$73*J66</f>
        <v>46151.850000000006</v>
      </c>
      <c r="H134" s="917">
        <f t="shared" si="47"/>
        <v>46151.850000000006</v>
      </c>
      <c r="I134" s="917">
        <f t="shared" si="47"/>
        <v>46151.850000000006</v>
      </c>
      <c r="J134" s="917">
        <f t="shared" si="47"/>
        <v>46151.850000000006</v>
      </c>
      <c r="K134" s="917">
        <f t="shared" si="47"/>
        <v>46151.850000000006</v>
      </c>
      <c r="L134" s="917">
        <f t="shared" si="47"/>
        <v>46151.850000000006</v>
      </c>
      <c r="M134" s="917">
        <f t="shared" si="47"/>
        <v>46151.850000000006</v>
      </c>
      <c r="N134" s="917">
        <f t="shared" si="47"/>
        <v>46151.850000000006</v>
      </c>
      <c r="O134" s="917">
        <f t="shared" si="45"/>
        <v>43437.046682766944</v>
      </c>
      <c r="P134" s="917">
        <f t="shared" si="48"/>
        <v>43437.046682766944</v>
      </c>
      <c r="Q134" s="917">
        <f t="shared" si="46"/>
        <v>43437.046682766944</v>
      </c>
      <c r="R134" s="917">
        <f t="shared" si="46"/>
        <v>43437.046682766944</v>
      </c>
      <c r="S134" s="917">
        <f t="shared" si="46"/>
        <v>43437.046682766944</v>
      </c>
      <c r="T134" s="917">
        <f t="shared" si="46"/>
        <v>43437.046682766944</v>
      </c>
      <c r="U134" s="917">
        <f t="shared" si="46"/>
        <v>43437.046682766944</v>
      </c>
      <c r="V134" s="917">
        <f t="shared" si="46"/>
        <v>43437.046682766944</v>
      </c>
      <c r="W134" s="917">
        <f t="shared" si="46"/>
        <v>43437.046682766944</v>
      </c>
      <c r="X134" s="917">
        <f t="shared" si="46"/>
        <v>43437.046682766944</v>
      </c>
      <c r="Y134" s="917">
        <f t="shared" si="46"/>
        <v>43437.046682766944</v>
      </c>
      <c r="Z134" s="917">
        <f t="shared" si="46"/>
        <v>43437.046682766944</v>
      </c>
      <c r="AA134" s="917">
        <f t="shared" si="46"/>
        <v>43437.046682766944</v>
      </c>
      <c r="AB134" s="917">
        <f t="shared" si="46"/>
        <v>43437.046682766944</v>
      </c>
      <c r="AC134" s="917">
        <f t="shared" si="46"/>
        <v>43437.046682766944</v>
      </c>
      <c r="AD134" s="917">
        <f t="shared" si="46"/>
        <v>43437.046682766944</v>
      </c>
      <c r="AE134" s="917">
        <f t="shared" si="46"/>
        <v>43437.046682766944</v>
      </c>
      <c r="AF134" s="917">
        <f t="shared" si="46"/>
        <v>43437.046682766944</v>
      </c>
      <c r="AG134" s="917">
        <f t="shared" si="46"/>
        <v>43437.046682766944</v>
      </c>
      <c r="AH134" s="917">
        <f t="shared" si="46"/>
        <v>43437.046682766944</v>
      </c>
      <c r="AI134" s="917">
        <f t="shared" si="46"/>
        <v>43437.046682766944</v>
      </c>
      <c r="AJ134" s="917">
        <f t="shared" si="46"/>
        <v>43437.046682766944</v>
      </c>
    </row>
    <row r="135" spans="4:36" x14ac:dyDescent="0.35">
      <c r="D135" s="2015" t="s">
        <v>5</v>
      </c>
      <c r="E135" s="2016"/>
      <c r="F135" s="811">
        <f t="shared" si="42"/>
        <v>3444557.5502542686</v>
      </c>
      <c r="G135" s="917">
        <f t="shared" si="43"/>
        <v>119994.81</v>
      </c>
      <c r="H135" s="917">
        <f t="shared" si="47"/>
        <v>119994.81</v>
      </c>
      <c r="I135" s="917">
        <f t="shared" si="47"/>
        <v>119994.81</v>
      </c>
      <c r="J135" s="917">
        <f t="shared" si="47"/>
        <v>119994.81</v>
      </c>
      <c r="K135" s="917">
        <f t="shared" si="47"/>
        <v>119994.81</v>
      </c>
      <c r="L135" s="917">
        <f t="shared" si="47"/>
        <v>119994.81</v>
      </c>
      <c r="M135" s="917">
        <f t="shared" si="47"/>
        <v>119994.81</v>
      </c>
      <c r="N135" s="917">
        <f t="shared" si="47"/>
        <v>119994.81</v>
      </c>
      <c r="O135" s="917">
        <f t="shared" si="45"/>
        <v>112936.32137519405</v>
      </c>
      <c r="P135" s="917">
        <f t="shared" si="48"/>
        <v>112936.32137519405</v>
      </c>
      <c r="Q135" s="917">
        <f t="shared" si="46"/>
        <v>112936.32137519405</v>
      </c>
      <c r="R135" s="917">
        <f t="shared" si="46"/>
        <v>112936.32137519405</v>
      </c>
      <c r="S135" s="917">
        <f t="shared" si="46"/>
        <v>112936.32137519405</v>
      </c>
      <c r="T135" s="917">
        <f t="shared" si="46"/>
        <v>112936.32137519405</v>
      </c>
      <c r="U135" s="917">
        <f t="shared" si="46"/>
        <v>112936.32137519405</v>
      </c>
      <c r="V135" s="917">
        <f t="shared" si="46"/>
        <v>112936.32137519405</v>
      </c>
      <c r="W135" s="917">
        <f t="shared" si="46"/>
        <v>112936.32137519405</v>
      </c>
      <c r="X135" s="917">
        <f t="shared" si="46"/>
        <v>112936.32137519405</v>
      </c>
      <c r="Y135" s="917">
        <f t="shared" si="46"/>
        <v>112936.32137519405</v>
      </c>
      <c r="Z135" s="917">
        <f t="shared" si="46"/>
        <v>112936.32137519405</v>
      </c>
      <c r="AA135" s="917">
        <f t="shared" si="46"/>
        <v>112936.32137519405</v>
      </c>
      <c r="AB135" s="917">
        <f t="shared" si="46"/>
        <v>112936.32137519405</v>
      </c>
      <c r="AC135" s="917">
        <f t="shared" si="46"/>
        <v>112936.32137519405</v>
      </c>
      <c r="AD135" s="917">
        <f t="shared" si="46"/>
        <v>112936.32137519405</v>
      </c>
      <c r="AE135" s="917">
        <f t="shared" si="46"/>
        <v>112936.32137519405</v>
      </c>
      <c r="AF135" s="917">
        <f t="shared" si="46"/>
        <v>112936.32137519405</v>
      </c>
      <c r="AG135" s="917">
        <f t="shared" si="46"/>
        <v>112936.32137519405</v>
      </c>
      <c r="AH135" s="917">
        <f t="shared" si="46"/>
        <v>112936.32137519405</v>
      </c>
      <c r="AI135" s="917">
        <f t="shared" si="46"/>
        <v>112936.32137519405</v>
      </c>
      <c r="AJ135" s="917">
        <f t="shared" si="46"/>
        <v>112936.32137519405</v>
      </c>
    </row>
    <row r="136" spans="4:36" x14ac:dyDescent="0.35">
      <c r="D136" s="2015" t="s">
        <v>6</v>
      </c>
      <c r="E136" s="2016"/>
      <c r="F136" s="811">
        <f t="shared" si="42"/>
        <v>11526045.06429725</v>
      </c>
      <c r="G136" s="917">
        <f t="shared" si="43"/>
        <v>401521.98573070497</v>
      </c>
      <c r="H136" s="917">
        <f t="shared" si="47"/>
        <v>401521.98573070497</v>
      </c>
      <c r="I136" s="917">
        <f t="shared" si="47"/>
        <v>401521.98573070497</v>
      </c>
      <c r="J136" s="917">
        <f t="shared" si="47"/>
        <v>401521.98573070497</v>
      </c>
      <c r="K136" s="917">
        <f t="shared" si="47"/>
        <v>401521.98573070497</v>
      </c>
      <c r="L136" s="917">
        <f t="shared" si="47"/>
        <v>401521.98573070497</v>
      </c>
      <c r="M136" s="917">
        <f t="shared" si="47"/>
        <v>401521.98573070497</v>
      </c>
      <c r="N136" s="917">
        <f t="shared" si="47"/>
        <v>401521.98573070497</v>
      </c>
      <c r="O136" s="917">
        <f t="shared" si="45"/>
        <v>377903.14447507332</v>
      </c>
      <c r="P136" s="917">
        <f t="shared" si="48"/>
        <v>377903.14447507332</v>
      </c>
      <c r="Q136" s="917">
        <f t="shared" si="46"/>
        <v>377903.14447507332</v>
      </c>
      <c r="R136" s="917">
        <f t="shared" si="46"/>
        <v>377903.14447507332</v>
      </c>
      <c r="S136" s="917">
        <f t="shared" si="46"/>
        <v>377903.14447507332</v>
      </c>
      <c r="T136" s="917">
        <f t="shared" si="46"/>
        <v>377903.14447507332</v>
      </c>
      <c r="U136" s="917">
        <f t="shared" si="46"/>
        <v>377903.14447507332</v>
      </c>
      <c r="V136" s="917">
        <f t="shared" si="46"/>
        <v>377903.14447507332</v>
      </c>
      <c r="W136" s="917">
        <f t="shared" si="46"/>
        <v>377903.14447507332</v>
      </c>
      <c r="X136" s="917">
        <f t="shared" si="46"/>
        <v>377903.14447507332</v>
      </c>
      <c r="Y136" s="917">
        <f t="shared" si="46"/>
        <v>377903.14447507332</v>
      </c>
      <c r="Z136" s="917">
        <f t="shared" si="46"/>
        <v>377903.14447507332</v>
      </c>
      <c r="AA136" s="917">
        <f t="shared" si="46"/>
        <v>377903.14447507332</v>
      </c>
      <c r="AB136" s="917">
        <f t="shared" si="46"/>
        <v>377903.14447507332</v>
      </c>
      <c r="AC136" s="917">
        <f t="shared" si="46"/>
        <v>377903.14447507332</v>
      </c>
      <c r="AD136" s="917">
        <f t="shared" si="46"/>
        <v>377903.14447507332</v>
      </c>
      <c r="AE136" s="917">
        <f t="shared" si="46"/>
        <v>377903.14447507332</v>
      </c>
      <c r="AF136" s="917">
        <f t="shared" si="46"/>
        <v>377903.14447507332</v>
      </c>
      <c r="AG136" s="917">
        <f t="shared" si="46"/>
        <v>377903.14447507332</v>
      </c>
      <c r="AH136" s="917">
        <f t="shared" si="46"/>
        <v>377903.14447507332</v>
      </c>
      <c r="AI136" s="917">
        <f t="shared" si="46"/>
        <v>377903.14447507332</v>
      </c>
      <c r="AJ136" s="917">
        <f t="shared" si="46"/>
        <v>377903.14447507332</v>
      </c>
    </row>
    <row r="137" spans="4:36" x14ac:dyDescent="0.35">
      <c r="D137" s="2015" t="s">
        <v>7</v>
      </c>
      <c r="E137" s="2016"/>
      <c r="F137" s="811">
        <f t="shared" si="42"/>
        <v>0</v>
      </c>
      <c r="G137" s="917">
        <f t="shared" si="43"/>
        <v>0</v>
      </c>
      <c r="H137" s="917">
        <f t="shared" si="47"/>
        <v>0</v>
      </c>
      <c r="I137" s="917">
        <f t="shared" si="47"/>
        <v>0</v>
      </c>
      <c r="J137" s="917">
        <f t="shared" si="47"/>
        <v>0</v>
      </c>
      <c r="K137" s="917">
        <f t="shared" si="47"/>
        <v>0</v>
      </c>
      <c r="L137" s="917">
        <f t="shared" si="47"/>
        <v>0</v>
      </c>
      <c r="M137" s="917">
        <f t="shared" si="47"/>
        <v>0</v>
      </c>
      <c r="N137" s="917">
        <f t="shared" si="47"/>
        <v>0</v>
      </c>
      <c r="O137" s="917">
        <f t="shared" si="45"/>
        <v>0</v>
      </c>
      <c r="P137" s="917">
        <f t="shared" si="48"/>
        <v>0</v>
      </c>
      <c r="Q137" s="917">
        <f t="shared" si="46"/>
        <v>0</v>
      </c>
      <c r="R137" s="917">
        <f t="shared" si="46"/>
        <v>0</v>
      </c>
      <c r="S137" s="917">
        <f t="shared" si="46"/>
        <v>0</v>
      </c>
      <c r="T137" s="917">
        <f t="shared" si="46"/>
        <v>0</v>
      </c>
      <c r="U137" s="917">
        <f t="shared" si="46"/>
        <v>0</v>
      </c>
      <c r="V137" s="917">
        <f t="shared" si="46"/>
        <v>0</v>
      </c>
      <c r="W137" s="917">
        <f t="shared" si="46"/>
        <v>0</v>
      </c>
      <c r="X137" s="917">
        <f t="shared" si="46"/>
        <v>0</v>
      </c>
      <c r="Y137" s="917">
        <f t="shared" si="46"/>
        <v>0</v>
      </c>
      <c r="Z137" s="917">
        <f t="shared" si="46"/>
        <v>0</v>
      </c>
      <c r="AA137" s="917">
        <f t="shared" si="46"/>
        <v>0</v>
      </c>
      <c r="AB137" s="917">
        <f t="shared" si="46"/>
        <v>0</v>
      </c>
      <c r="AC137" s="917">
        <f t="shared" si="46"/>
        <v>0</v>
      </c>
      <c r="AD137" s="917">
        <f t="shared" si="46"/>
        <v>0</v>
      </c>
      <c r="AE137" s="917">
        <f t="shared" si="46"/>
        <v>0</v>
      </c>
      <c r="AF137" s="917">
        <f t="shared" si="46"/>
        <v>0</v>
      </c>
      <c r="AG137" s="917">
        <f t="shared" si="46"/>
        <v>0</v>
      </c>
      <c r="AH137" s="917">
        <f t="shared" si="46"/>
        <v>0</v>
      </c>
      <c r="AI137" s="917">
        <f t="shared" si="46"/>
        <v>0</v>
      </c>
      <c r="AJ137" s="917">
        <f t="shared" si="46"/>
        <v>0</v>
      </c>
    </row>
    <row r="138" spans="4:36" x14ac:dyDescent="0.35">
      <c r="D138" s="2015" t="s">
        <v>8</v>
      </c>
      <c r="E138" s="2016"/>
      <c r="F138" s="811">
        <f t="shared" si="42"/>
        <v>3139846.6900394708</v>
      </c>
      <c r="G138" s="917">
        <f t="shared" si="43"/>
        <v>109379.8845</v>
      </c>
      <c r="H138" s="917">
        <f t="shared" si="47"/>
        <v>109379.8845</v>
      </c>
      <c r="I138" s="917">
        <f t="shared" si="47"/>
        <v>109379.8845</v>
      </c>
      <c r="J138" s="917">
        <f t="shared" si="47"/>
        <v>109379.8845</v>
      </c>
      <c r="K138" s="917">
        <f t="shared" si="47"/>
        <v>109379.8845</v>
      </c>
      <c r="L138" s="917">
        <f t="shared" si="47"/>
        <v>109379.8845</v>
      </c>
      <c r="M138" s="917">
        <f t="shared" si="47"/>
        <v>109379.8845</v>
      </c>
      <c r="N138" s="917">
        <f t="shared" si="47"/>
        <v>109379.8845</v>
      </c>
      <c r="O138" s="917">
        <f t="shared" si="45"/>
        <v>102945.80063815766</v>
      </c>
      <c r="P138" s="917">
        <f t="shared" si="48"/>
        <v>102945.80063815766</v>
      </c>
      <c r="Q138" s="917">
        <f t="shared" si="46"/>
        <v>102945.80063815766</v>
      </c>
      <c r="R138" s="917">
        <f t="shared" si="46"/>
        <v>102945.80063815766</v>
      </c>
      <c r="S138" s="917">
        <f t="shared" si="46"/>
        <v>102945.80063815766</v>
      </c>
      <c r="T138" s="917">
        <f t="shared" si="46"/>
        <v>102945.80063815766</v>
      </c>
      <c r="U138" s="917">
        <f t="shared" si="46"/>
        <v>102945.80063815766</v>
      </c>
      <c r="V138" s="917">
        <f t="shared" si="46"/>
        <v>102945.80063815766</v>
      </c>
      <c r="W138" s="917">
        <f t="shared" si="46"/>
        <v>102945.80063815766</v>
      </c>
      <c r="X138" s="917">
        <f t="shared" si="46"/>
        <v>102945.80063815766</v>
      </c>
      <c r="Y138" s="917">
        <f t="shared" si="46"/>
        <v>102945.80063815766</v>
      </c>
      <c r="Z138" s="917">
        <f t="shared" si="46"/>
        <v>102945.80063815766</v>
      </c>
      <c r="AA138" s="917">
        <f t="shared" si="46"/>
        <v>102945.80063815766</v>
      </c>
      <c r="AB138" s="917">
        <f t="shared" si="46"/>
        <v>102945.80063815766</v>
      </c>
      <c r="AC138" s="917">
        <f t="shared" si="46"/>
        <v>102945.80063815766</v>
      </c>
      <c r="AD138" s="917">
        <f t="shared" si="46"/>
        <v>102945.80063815766</v>
      </c>
      <c r="AE138" s="917">
        <f t="shared" si="46"/>
        <v>102945.80063815766</v>
      </c>
      <c r="AF138" s="917">
        <f t="shared" si="46"/>
        <v>102945.80063815766</v>
      </c>
      <c r="AG138" s="917">
        <f t="shared" si="46"/>
        <v>102945.80063815766</v>
      </c>
      <c r="AH138" s="917">
        <f t="shared" si="46"/>
        <v>102945.80063815766</v>
      </c>
      <c r="AI138" s="917">
        <f t="shared" si="46"/>
        <v>102945.80063815766</v>
      </c>
      <c r="AJ138" s="917">
        <f t="shared" si="46"/>
        <v>102945.80063815766</v>
      </c>
    </row>
    <row r="139" spans="4:36" x14ac:dyDescent="0.35">
      <c r="D139" s="2015" t="s">
        <v>9</v>
      </c>
      <c r="E139" s="2016"/>
      <c r="F139" s="811">
        <f t="shared" si="42"/>
        <v>2477431.7765290309</v>
      </c>
      <c r="G139" s="1090">
        <f t="shared" si="43"/>
        <v>86303.959500000012</v>
      </c>
      <c r="H139" s="1090">
        <f t="shared" si="47"/>
        <v>86303.959500000012</v>
      </c>
      <c r="I139" s="1090">
        <f t="shared" si="47"/>
        <v>86303.959500000012</v>
      </c>
      <c r="J139" s="1090">
        <f t="shared" si="47"/>
        <v>86303.959500000012</v>
      </c>
      <c r="K139" s="1090">
        <f t="shared" si="47"/>
        <v>86303.959500000012</v>
      </c>
      <c r="L139" s="1090">
        <f t="shared" si="47"/>
        <v>86303.959500000012</v>
      </c>
      <c r="M139" s="1090">
        <f t="shared" si="47"/>
        <v>86303.959500000012</v>
      </c>
      <c r="N139" s="1090">
        <f t="shared" si="47"/>
        <v>86303.959500000012</v>
      </c>
      <c r="O139" s="1090">
        <f t="shared" si="45"/>
        <v>81227.277296774191</v>
      </c>
      <c r="P139" s="1090">
        <f t="shared" si="48"/>
        <v>81227.277296774191</v>
      </c>
      <c r="Q139" s="1090">
        <f t="shared" si="46"/>
        <v>81227.277296774191</v>
      </c>
      <c r="R139" s="1090">
        <f t="shared" si="46"/>
        <v>81227.277296774191</v>
      </c>
      <c r="S139" s="1090">
        <f t="shared" si="46"/>
        <v>81227.277296774191</v>
      </c>
      <c r="T139" s="1090">
        <f t="shared" si="46"/>
        <v>81227.277296774191</v>
      </c>
      <c r="U139" s="1090">
        <f t="shared" si="46"/>
        <v>81227.277296774191</v>
      </c>
      <c r="V139" s="1090">
        <f t="shared" si="46"/>
        <v>81227.277296774191</v>
      </c>
      <c r="W139" s="1090">
        <f t="shared" si="46"/>
        <v>81227.277296774191</v>
      </c>
      <c r="X139" s="1090">
        <f t="shared" si="46"/>
        <v>81227.277296774191</v>
      </c>
      <c r="Y139" s="1090">
        <f t="shared" si="46"/>
        <v>81227.277296774191</v>
      </c>
      <c r="Z139" s="1090">
        <f t="shared" si="46"/>
        <v>81227.277296774191</v>
      </c>
      <c r="AA139" s="1090">
        <f t="shared" si="46"/>
        <v>81227.277296774191</v>
      </c>
      <c r="AB139" s="1090">
        <f t="shared" si="46"/>
        <v>81227.277296774191</v>
      </c>
      <c r="AC139" s="1090">
        <f t="shared" si="46"/>
        <v>81227.277296774191</v>
      </c>
      <c r="AD139" s="1090">
        <f t="shared" si="46"/>
        <v>81227.277296774191</v>
      </c>
      <c r="AE139" s="1090">
        <f t="shared" si="46"/>
        <v>81227.277296774191</v>
      </c>
      <c r="AF139" s="1090">
        <f t="shared" si="46"/>
        <v>81227.277296774191</v>
      </c>
      <c r="AG139" s="1090">
        <f t="shared" si="46"/>
        <v>81227.277296774191</v>
      </c>
      <c r="AH139" s="1090">
        <f t="shared" si="46"/>
        <v>81227.277296774191</v>
      </c>
      <c r="AI139" s="1090">
        <f t="shared" si="46"/>
        <v>81227.277296774191</v>
      </c>
      <c r="AJ139" s="1090">
        <f t="shared" si="46"/>
        <v>81227.277296774191</v>
      </c>
    </row>
    <row r="140" spans="4:36" x14ac:dyDescent="0.35">
      <c r="D140" s="800" t="s">
        <v>455</v>
      </c>
      <c r="E140" s="861"/>
      <c r="F140" s="801">
        <f t="shared" ref="F140:AJ140" si="49">SUM(F131:F139)</f>
        <v>27291520.005845636</v>
      </c>
      <c r="G140" s="801">
        <f t="shared" si="49"/>
        <v>950729.00073070498</v>
      </c>
      <c r="H140" s="801">
        <f t="shared" si="49"/>
        <v>950729.00073070498</v>
      </c>
      <c r="I140" s="801">
        <f t="shared" si="49"/>
        <v>950729.00073070498</v>
      </c>
      <c r="J140" s="801">
        <f t="shared" si="49"/>
        <v>950729.00073070498</v>
      </c>
      <c r="K140" s="801">
        <f t="shared" si="49"/>
        <v>950729.00073070498</v>
      </c>
      <c r="L140" s="801">
        <f t="shared" si="49"/>
        <v>950729.00073070498</v>
      </c>
      <c r="M140" s="801">
        <f t="shared" si="49"/>
        <v>950729.00073070498</v>
      </c>
      <c r="N140" s="801">
        <f t="shared" si="49"/>
        <v>950729.00073070498</v>
      </c>
      <c r="O140" s="801">
        <f t="shared" si="49"/>
        <v>894803.99999999988</v>
      </c>
      <c r="P140" s="801">
        <f t="shared" si="49"/>
        <v>894803.99999999988</v>
      </c>
      <c r="Q140" s="801">
        <f t="shared" si="49"/>
        <v>894803.99999999988</v>
      </c>
      <c r="R140" s="801">
        <f t="shared" si="49"/>
        <v>894803.99999999988</v>
      </c>
      <c r="S140" s="801">
        <f t="shared" si="49"/>
        <v>894803.99999999988</v>
      </c>
      <c r="T140" s="801">
        <f t="shared" si="49"/>
        <v>894803.99999999988</v>
      </c>
      <c r="U140" s="801">
        <f t="shared" si="49"/>
        <v>894803.99999999988</v>
      </c>
      <c r="V140" s="801">
        <f t="shared" si="49"/>
        <v>894803.99999999988</v>
      </c>
      <c r="W140" s="801">
        <f t="shared" si="49"/>
        <v>894803.99999999988</v>
      </c>
      <c r="X140" s="801">
        <f t="shared" si="49"/>
        <v>894803.99999999988</v>
      </c>
      <c r="Y140" s="801">
        <f t="shared" si="49"/>
        <v>894803.99999999988</v>
      </c>
      <c r="Z140" s="801">
        <f t="shared" si="49"/>
        <v>894803.99999999988</v>
      </c>
      <c r="AA140" s="801">
        <f t="shared" si="49"/>
        <v>894803.99999999988</v>
      </c>
      <c r="AB140" s="801">
        <f t="shared" si="49"/>
        <v>894803.99999999988</v>
      </c>
      <c r="AC140" s="801">
        <f t="shared" si="49"/>
        <v>894803.99999999988</v>
      </c>
      <c r="AD140" s="801">
        <f t="shared" si="49"/>
        <v>894803.99999999988</v>
      </c>
      <c r="AE140" s="801">
        <f t="shared" si="49"/>
        <v>894803.99999999988</v>
      </c>
      <c r="AF140" s="801">
        <f t="shared" si="49"/>
        <v>894803.99999999988</v>
      </c>
      <c r="AG140" s="801">
        <f t="shared" si="49"/>
        <v>894803.99999999988</v>
      </c>
      <c r="AH140" s="801">
        <f t="shared" si="49"/>
        <v>894803.99999999988</v>
      </c>
      <c r="AI140" s="801">
        <f t="shared" si="49"/>
        <v>894803.99999999988</v>
      </c>
      <c r="AJ140" s="801">
        <f t="shared" si="49"/>
        <v>894803.99999999988</v>
      </c>
    </row>
    <row r="142" spans="4:36" x14ac:dyDescent="0.35">
      <c r="D142" s="77" t="s">
        <v>958</v>
      </c>
    </row>
    <row r="143" spans="4:36" x14ac:dyDescent="0.35">
      <c r="D143" s="923" t="s">
        <v>68</v>
      </c>
      <c r="E143" s="860"/>
      <c r="F143" s="229" t="s">
        <v>455</v>
      </c>
      <c r="G143" s="802">
        <v>1</v>
      </c>
      <c r="H143" s="802">
        <f>G143+1</f>
        <v>2</v>
      </c>
      <c r="I143" s="802">
        <f t="shared" ref="I143" si="50">H143+1</f>
        <v>3</v>
      </c>
      <c r="J143" s="802">
        <f t="shared" ref="J143" si="51">I143+1</f>
        <v>4</v>
      </c>
      <c r="K143" s="802">
        <f t="shared" ref="K143" si="52">J143+1</f>
        <v>5</v>
      </c>
      <c r="L143" s="802">
        <f t="shared" ref="L143" si="53">K143+1</f>
        <v>6</v>
      </c>
      <c r="M143" s="802">
        <f t="shared" ref="M143" si="54">L143+1</f>
        <v>7</v>
      </c>
      <c r="N143" s="802">
        <f t="shared" ref="N143" si="55">M143+1</f>
        <v>8</v>
      </c>
      <c r="O143" s="802">
        <f t="shared" ref="O143" si="56">N143+1</f>
        <v>9</v>
      </c>
      <c r="P143" s="802">
        <f t="shared" ref="P143" si="57">O143+1</f>
        <v>10</v>
      </c>
      <c r="Q143" s="802">
        <f t="shared" ref="Q143" si="58">P143+1</f>
        <v>11</v>
      </c>
      <c r="R143" s="802">
        <f t="shared" ref="R143" si="59">Q143+1</f>
        <v>12</v>
      </c>
      <c r="S143" s="802">
        <f t="shared" ref="S143" si="60">R143+1</f>
        <v>13</v>
      </c>
      <c r="T143" s="802">
        <f t="shared" ref="T143" si="61">S143+1</f>
        <v>14</v>
      </c>
      <c r="U143" s="802">
        <f t="shared" ref="U143" si="62">T143+1</f>
        <v>15</v>
      </c>
      <c r="V143" s="802">
        <f t="shared" ref="V143" si="63">U143+1</f>
        <v>16</v>
      </c>
      <c r="W143" s="802">
        <f t="shared" ref="W143" si="64">V143+1</f>
        <v>17</v>
      </c>
      <c r="X143" s="802">
        <f t="shared" ref="X143" si="65">W143+1</f>
        <v>18</v>
      </c>
      <c r="Y143" s="802">
        <f t="shared" ref="Y143" si="66">X143+1</f>
        <v>19</v>
      </c>
      <c r="Z143" s="802">
        <f t="shared" ref="Z143" si="67">Y143+1</f>
        <v>20</v>
      </c>
      <c r="AA143" s="802">
        <f t="shared" ref="AA143" si="68">Z143+1</f>
        <v>21</v>
      </c>
      <c r="AB143" s="802">
        <f t="shared" ref="AB143" si="69">AA143+1</f>
        <v>22</v>
      </c>
      <c r="AC143" s="802">
        <f t="shared" ref="AC143" si="70">AB143+1</f>
        <v>23</v>
      </c>
      <c r="AD143" s="802">
        <f t="shared" ref="AD143" si="71">AC143+1</f>
        <v>24</v>
      </c>
      <c r="AE143" s="802">
        <f t="shared" ref="AE143" si="72">AD143+1</f>
        <v>25</v>
      </c>
      <c r="AF143" s="802">
        <f t="shared" ref="AF143" si="73">AE143+1</f>
        <v>26</v>
      </c>
      <c r="AG143" s="802">
        <f t="shared" ref="AG143" si="74">AF143+1</f>
        <v>27</v>
      </c>
      <c r="AH143" s="802">
        <f t="shared" ref="AH143" si="75">AG143+1</f>
        <v>28</v>
      </c>
      <c r="AI143" s="802">
        <f t="shared" ref="AI143" si="76">AH143+1</f>
        <v>29</v>
      </c>
      <c r="AJ143" s="802">
        <f t="shared" ref="AJ143" si="77">AI143+1</f>
        <v>30</v>
      </c>
    </row>
    <row r="144" spans="4:36" x14ac:dyDescent="0.35">
      <c r="D144" s="2019" t="s">
        <v>1</v>
      </c>
      <c r="E144" s="2020"/>
      <c r="F144" s="808">
        <f t="shared" ref="F144:F153" si="78">SUM(G144:AJ144)</f>
        <v>437298.70799999975</v>
      </c>
      <c r="G144" s="916">
        <v>0</v>
      </c>
      <c r="H144" s="916">
        <f>G144</f>
        <v>0</v>
      </c>
      <c r="I144" s="916">
        <f>H92</f>
        <v>15617.811000000002</v>
      </c>
      <c r="J144" s="916">
        <f>I144</f>
        <v>15617.811000000002</v>
      </c>
      <c r="K144" s="916">
        <f t="shared" ref="K144:AJ151" si="79">J144</f>
        <v>15617.811000000002</v>
      </c>
      <c r="L144" s="916">
        <f t="shared" si="79"/>
        <v>15617.811000000002</v>
      </c>
      <c r="M144" s="916">
        <f t="shared" si="79"/>
        <v>15617.811000000002</v>
      </c>
      <c r="N144" s="916">
        <f t="shared" si="79"/>
        <v>15617.811000000002</v>
      </c>
      <c r="O144" s="916">
        <f t="shared" si="79"/>
        <v>15617.811000000002</v>
      </c>
      <c r="P144" s="916">
        <f t="shared" si="79"/>
        <v>15617.811000000002</v>
      </c>
      <c r="Q144" s="916">
        <f t="shared" si="79"/>
        <v>15617.811000000002</v>
      </c>
      <c r="R144" s="916">
        <f t="shared" si="79"/>
        <v>15617.811000000002</v>
      </c>
      <c r="S144" s="916">
        <f t="shared" si="79"/>
        <v>15617.811000000002</v>
      </c>
      <c r="T144" s="916">
        <f t="shared" si="79"/>
        <v>15617.811000000002</v>
      </c>
      <c r="U144" s="916">
        <f t="shared" si="79"/>
        <v>15617.811000000002</v>
      </c>
      <c r="V144" s="916">
        <f t="shared" si="79"/>
        <v>15617.811000000002</v>
      </c>
      <c r="W144" s="916">
        <f t="shared" si="79"/>
        <v>15617.811000000002</v>
      </c>
      <c r="X144" s="916">
        <f t="shared" si="79"/>
        <v>15617.811000000002</v>
      </c>
      <c r="Y144" s="916">
        <f t="shared" si="79"/>
        <v>15617.811000000002</v>
      </c>
      <c r="Z144" s="916">
        <f t="shared" si="79"/>
        <v>15617.811000000002</v>
      </c>
      <c r="AA144" s="916">
        <f t="shared" si="79"/>
        <v>15617.811000000002</v>
      </c>
      <c r="AB144" s="916">
        <f t="shared" si="79"/>
        <v>15617.811000000002</v>
      </c>
      <c r="AC144" s="916">
        <f t="shared" si="79"/>
        <v>15617.811000000002</v>
      </c>
      <c r="AD144" s="916">
        <f t="shared" si="79"/>
        <v>15617.811000000002</v>
      </c>
      <c r="AE144" s="916">
        <f t="shared" si="79"/>
        <v>15617.811000000002</v>
      </c>
      <c r="AF144" s="916">
        <f t="shared" si="79"/>
        <v>15617.811000000002</v>
      </c>
      <c r="AG144" s="916">
        <f t="shared" si="79"/>
        <v>15617.811000000002</v>
      </c>
      <c r="AH144" s="916">
        <f t="shared" si="79"/>
        <v>15617.811000000002</v>
      </c>
      <c r="AI144" s="916">
        <f t="shared" si="79"/>
        <v>15617.811000000002</v>
      </c>
      <c r="AJ144" s="916">
        <f t="shared" si="79"/>
        <v>15617.811000000002</v>
      </c>
    </row>
    <row r="145" spans="4:36" x14ac:dyDescent="0.35">
      <c r="D145" s="2015" t="s">
        <v>2</v>
      </c>
      <c r="E145" s="2016"/>
      <c r="F145" s="811">
        <f t="shared" si="78"/>
        <v>5625251.5619999962</v>
      </c>
      <c r="G145" s="917">
        <f>H85</f>
        <v>187221.867</v>
      </c>
      <c r="H145" s="1668">
        <f t="shared" ref="H145:H152" si="80">G145</f>
        <v>187221.867</v>
      </c>
      <c r="I145" s="917">
        <f t="shared" ref="I145:I152" si="81">H93</f>
        <v>187528.851</v>
      </c>
      <c r="J145" s="917">
        <f t="shared" ref="J145:J152" si="82">I145</f>
        <v>187528.851</v>
      </c>
      <c r="K145" s="917">
        <f t="shared" si="79"/>
        <v>187528.851</v>
      </c>
      <c r="L145" s="917">
        <f t="shared" si="79"/>
        <v>187528.851</v>
      </c>
      <c r="M145" s="917">
        <f t="shared" si="79"/>
        <v>187528.851</v>
      </c>
      <c r="N145" s="917">
        <f t="shared" si="79"/>
        <v>187528.851</v>
      </c>
      <c r="O145" s="917">
        <f t="shared" si="79"/>
        <v>187528.851</v>
      </c>
      <c r="P145" s="917">
        <f t="shared" si="79"/>
        <v>187528.851</v>
      </c>
      <c r="Q145" s="917">
        <f t="shared" si="79"/>
        <v>187528.851</v>
      </c>
      <c r="R145" s="917">
        <f t="shared" si="79"/>
        <v>187528.851</v>
      </c>
      <c r="S145" s="917">
        <f t="shared" si="79"/>
        <v>187528.851</v>
      </c>
      <c r="T145" s="917">
        <f t="shared" si="79"/>
        <v>187528.851</v>
      </c>
      <c r="U145" s="917">
        <f t="shared" si="79"/>
        <v>187528.851</v>
      </c>
      <c r="V145" s="917">
        <f t="shared" si="79"/>
        <v>187528.851</v>
      </c>
      <c r="W145" s="917">
        <f t="shared" si="79"/>
        <v>187528.851</v>
      </c>
      <c r="X145" s="917">
        <f t="shared" si="79"/>
        <v>187528.851</v>
      </c>
      <c r="Y145" s="917">
        <f t="shared" si="79"/>
        <v>187528.851</v>
      </c>
      <c r="Z145" s="917">
        <f t="shared" si="79"/>
        <v>187528.851</v>
      </c>
      <c r="AA145" s="917">
        <f t="shared" si="79"/>
        <v>187528.851</v>
      </c>
      <c r="AB145" s="917">
        <f t="shared" si="79"/>
        <v>187528.851</v>
      </c>
      <c r="AC145" s="917">
        <f t="shared" si="79"/>
        <v>187528.851</v>
      </c>
      <c r="AD145" s="917">
        <f t="shared" si="79"/>
        <v>187528.851</v>
      </c>
      <c r="AE145" s="917">
        <f t="shared" si="79"/>
        <v>187528.851</v>
      </c>
      <c r="AF145" s="917">
        <f t="shared" si="79"/>
        <v>187528.851</v>
      </c>
      <c r="AG145" s="917">
        <f t="shared" si="79"/>
        <v>187528.851</v>
      </c>
      <c r="AH145" s="917">
        <f t="shared" si="79"/>
        <v>187528.851</v>
      </c>
      <c r="AI145" s="917">
        <f t="shared" si="79"/>
        <v>187528.851</v>
      </c>
      <c r="AJ145" s="917">
        <f t="shared" si="79"/>
        <v>187528.851</v>
      </c>
    </row>
    <row r="146" spans="4:36" x14ac:dyDescent="0.35">
      <c r="D146" s="2015" t="s">
        <v>3</v>
      </c>
      <c r="E146" s="2016"/>
      <c r="F146" s="811">
        <f t="shared" si="78"/>
        <v>621028.6320000001</v>
      </c>
      <c r="G146" s="917">
        <v>0</v>
      </c>
      <c r="H146" s="1668">
        <f t="shared" si="80"/>
        <v>0</v>
      </c>
      <c r="I146" s="917">
        <f t="shared" si="81"/>
        <v>22179.594000000001</v>
      </c>
      <c r="J146" s="917">
        <f t="shared" si="82"/>
        <v>22179.594000000001</v>
      </c>
      <c r="K146" s="917">
        <f t="shared" si="79"/>
        <v>22179.594000000001</v>
      </c>
      <c r="L146" s="917">
        <f t="shared" si="79"/>
        <v>22179.594000000001</v>
      </c>
      <c r="M146" s="917">
        <f t="shared" si="79"/>
        <v>22179.594000000001</v>
      </c>
      <c r="N146" s="917">
        <f t="shared" si="79"/>
        <v>22179.594000000001</v>
      </c>
      <c r="O146" s="917">
        <f t="shared" si="79"/>
        <v>22179.594000000001</v>
      </c>
      <c r="P146" s="917">
        <f t="shared" si="79"/>
        <v>22179.594000000001</v>
      </c>
      <c r="Q146" s="917">
        <f t="shared" si="79"/>
        <v>22179.594000000001</v>
      </c>
      <c r="R146" s="917">
        <f t="shared" si="79"/>
        <v>22179.594000000001</v>
      </c>
      <c r="S146" s="917">
        <f t="shared" si="79"/>
        <v>22179.594000000001</v>
      </c>
      <c r="T146" s="917">
        <f t="shared" si="79"/>
        <v>22179.594000000001</v>
      </c>
      <c r="U146" s="917">
        <f t="shared" si="79"/>
        <v>22179.594000000001</v>
      </c>
      <c r="V146" s="917">
        <f t="shared" si="79"/>
        <v>22179.594000000001</v>
      </c>
      <c r="W146" s="917">
        <f t="shared" si="79"/>
        <v>22179.594000000001</v>
      </c>
      <c r="X146" s="917">
        <f t="shared" si="79"/>
        <v>22179.594000000001</v>
      </c>
      <c r="Y146" s="917">
        <f t="shared" si="79"/>
        <v>22179.594000000001</v>
      </c>
      <c r="Z146" s="917">
        <f t="shared" si="79"/>
        <v>22179.594000000001</v>
      </c>
      <c r="AA146" s="917">
        <f t="shared" si="79"/>
        <v>22179.594000000001</v>
      </c>
      <c r="AB146" s="917">
        <f t="shared" si="79"/>
        <v>22179.594000000001</v>
      </c>
      <c r="AC146" s="917">
        <f t="shared" si="79"/>
        <v>22179.594000000001</v>
      </c>
      <c r="AD146" s="917">
        <f t="shared" si="79"/>
        <v>22179.594000000001</v>
      </c>
      <c r="AE146" s="917">
        <f t="shared" si="79"/>
        <v>22179.594000000001</v>
      </c>
      <c r="AF146" s="917">
        <f t="shared" si="79"/>
        <v>22179.594000000001</v>
      </c>
      <c r="AG146" s="917">
        <f t="shared" si="79"/>
        <v>22179.594000000001</v>
      </c>
      <c r="AH146" s="917">
        <f t="shared" si="79"/>
        <v>22179.594000000001</v>
      </c>
      <c r="AI146" s="917">
        <f t="shared" si="79"/>
        <v>22179.594000000001</v>
      </c>
      <c r="AJ146" s="917">
        <f t="shared" si="79"/>
        <v>22179.594000000001</v>
      </c>
    </row>
    <row r="147" spans="4:36" x14ac:dyDescent="0.35">
      <c r="D147" s="2015" t="s">
        <v>4</v>
      </c>
      <c r="E147" s="2016"/>
      <c r="F147" s="811">
        <f t="shared" si="78"/>
        <v>1531082.6999999995</v>
      </c>
      <c r="G147" s="917">
        <v>0</v>
      </c>
      <c r="H147" s="1668">
        <f t="shared" si="80"/>
        <v>0</v>
      </c>
      <c r="I147" s="917">
        <f t="shared" si="81"/>
        <v>54681.525000000001</v>
      </c>
      <c r="J147" s="917">
        <f t="shared" si="82"/>
        <v>54681.525000000001</v>
      </c>
      <c r="K147" s="917">
        <f t="shared" si="79"/>
        <v>54681.525000000001</v>
      </c>
      <c r="L147" s="917">
        <f t="shared" si="79"/>
        <v>54681.525000000001</v>
      </c>
      <c r="M147" s="917">
        <f t="shared" si="79"/>
        <v>54681.525000000001</v>
      </c>
      <c r="N147" s="917">
        <f t="shared" si="79"/>
        <v>54681.525000000001</v>
      </c>
      <c r="O147" s="917">
        <f t="shared" si="79"/>
        <v>54681.525000000001</v>
      </c>
      <c r="P147" s="917">
        <f t="shared" si="79"/>
        <v>54681.525000000001</v>
      </c>
      <c r="Q147" s="917">
        <f t="shared" si="79"/>
        <v>54681.525000000001</v>
      </c>
      <c r="R147" s="917">
        <f t="shared" si="79"/>
        <v>54681.525000000001</v>
      </c>
      <c r="S147" s="917">
        <f t="shared" si="79"/>
        <v>54681.525000000001</v>
      </c>
      <c r="T147" s="917">
        <f t="shared" si="79"/>
        <v>54681.525000000001</v>
      </c>
      <c r="U147" s="917">
        <f t="shared" si="79"/>
        <v>54681.525000000001</v>
      </c>
      <c r="V147" s="917">
        <f t="shared" si="79"/>
        <v>54681.525000000001</v>
      </c>
      <c r="W147" s="917">
        <f t="shared" si="79"/>
        <v>54681.525000000001</v>
      </c>
      <c r="X147" s="917">
        <f t="shared" si="79"/>
        <v>54681.525000000001</v>
      </c>
      <c r="Y147" s="917">
        <f t="shared" si="79"/>
        <v>54681.525000000001</v>
      </c>
      <c r="Z147" s="917">
        <f t="shared" si="79"/>
        <v>54681.525000000001</v>
      </c>
      <c r="AA147" s="917">
        <f t="shared" si="79"/>
        <v>54681.525000000001</v>
      </c>
      <c r="AB147" s="917">
        <f t="shared" si="79"/>
        <v>54681.525000000001</v>
      </c>
      <c r="AC147" s="917">
        <f t="shared" si="79"/>
        <v>54681.525000000001</v>
      </c>
      <c r="AD147" s="917">
        <f t="shared" si="79"/>
        <v>54681.525000000001</v>
      </c>
      <c r="AE147" s="917">
        <f t="shared" si="79"/>
        <v>54681.525000000001</v>
      </c>
      <c r="AF147" s="917">
        <f t="shared" si="79"/>
        <v>54681.525000000001</v>
      </c>
      <c r="AG147" s="917">
        <f t="shared" si="79"/>
        <v>54681.525000000001</v>
      </c>
      <c r="AH147" s="917">
        <f t="shared" si="79"/>
        <v>54681.525000000001</v>
      </c>
      <c r="AI147" s="917">
        <f t="shared" si="79"/>
        <v>54681.525000000001</v>
      </c>
      <c r="AJ147" s="917">
        <f t="shared" si="79"/>
        <v>54681.525000000001</v>
      </c>
    </row>
    <row r="148" spans="4:36" x14ac:dyDescent="0.35">
      <c r="D148" s="2015" t="s">
        <v>5</v>
      </c>
      <c r="E148" s="2016"/>
      <c r="F148" s="811">
        <f t="shared" si="78"/>
        <v>3496240.7760000015</v>
      </c>
      <c r="G148" s="917">
        <v>0</v>
      </c>
      <c r="H148" s="1668">
        <f t="shared" si="80"/>
        <v>0</v>
      </c>
      <c r="I148" s="917">
        <f>H96</f>
        <v>124865.742</v>
      </c>
      <c r="J148" s="917">
        <f t="shared" si="82"/>
        <v>124865.742</v>
      </c>
      <c r="K148" s="917">
        <f t="shared" si="79"/>
        <v>124865.742</v>
      </c>
      <c r="L148" s="917">
        <f t="shared" si="79"/>
        <v>124865.742</v>
      </c>
      <c r="M148" s="917">
        <f t="shared" si="79"/>
        <v>124865.742</v>
      </c>
      <c r="N148" s="917">
        <f t="shared" si="79"/>
        <v>124865.742</v>
      </c>
      <c r="O148" s="917">
        <f t="shared" si="79"/>
        <v>124865.742</v>
      </c>
      <c r="P148" s="917">
        <f t="shared" si="79"/>
        <v>124865.742</v>
      </c>
      <c r="Q148" s="917">
        <f t="shared" si="79"/>
        <v>124865.742</v>
      </c>
      <c r="R148" s="917">
        <f t="shared" si="79"/>
        <v>124865.742</v>
      </c>
      <c r="S148" s="917">
        <f t="shared" si="79"/>
        <v>124865.742</v>
      </c>
      <c r="T148" s="917">
        <f t="shared" si="79"/>
        <v>124865.742</v>
      </c>
      <c r="U148" s="917">
        <f t="shared" si="79"/>
        <v>124865.742</v>
      </c>
      <c r="V148" s="917">
        <f t="shared" si="79"/>
        <v>124865.742</v>
      </c>
      <c r="W148" s="917">
        <f t="shared" si="79"/>
        <v>124865.742</v>
      </c>
      <c r="X148" s="917">
        <f t="shared" si="79"/>
        <v>124865.742</v>
      </c>
      <c r="Y148" s="917">
        <f t="shared" si="79"/>
        <v>124865.742</v>
      </c>
      <c r="Z148" s="917">
        <f t="shared" si="79"/>
        <v>124865.742</v>
      </c>
      <c r="AA148" s="917">
        <f t="shared" si="79"/>
        <v>124865.742</v>
      </c>
      <c r="AB148" s="917">
        <f t="shared" si="79"/>
        <v>124865.742</v>
      </c>
      <c r="AC148" s="917">
        <f t="shared" si="79"/>
        <v>124865.742</v>
      </c>
      <c r="AD148" s="917">
        <f t="shared" si="79"/>
        <v>124865.742</v>
      </c>
      <c r="AE148" s="917">
        <f t="shared" si="79"/>
        <v>124865.742</v>
      </c>
      <c r="AF148" s="917">
        <f t="shared" si="79"/>
        <v>124865.742</v>
      </c>
      <c r="AG148" s="917">
        <f t="shared" si="79"/>
        <v>124865.742</v>
      </c>
      <c r="AH148" s="917">
        <f t="shared" si="79"/>
        <v>124865.742</v>
      </c>
      <c r="AI148" s="917">
        <f t="shared" si="79"/>
        <v>124865.742</v>
      </c>
      <c r="AJ148" s="917">
        <f t="shared" si="79"/>
        <v>124865.742</v>
      </c>
    </row>
    <row r="149" spans="4:36" x14ac:dyDescent="0.35">
      <c r="D149" s="2015" t="s">
        <v>6</v>
      </c>
      <c r="E149" s="2016"/>
      <c r="F149" s="811">
        <f t="shared" si="78"/>
        <v>37703341.899021946</v>
      </c>
      <c r="G149" s="917">
        <v>0</v>
      </c>
      <c r="H149" s="1668">
        <f t="shared" si="80"/>
        <v>0</v>
      </c>
      <c r="I149" s="917">
        <f t="shared" si="81"/>
        <v>1346547.9249650701</v>
      </c>
      <c r="J149" s="917">
        <f t="shared" si="82"/>
        <v>1346547.9249650701</v>
      </c>
      <c r="K149" s="917">
        <f t="shared" si="79"/>
        <v>1346547.9249650701</v>
      </c>
      <c r="L149" s="917">
        <f t="shared" si="79"/>
        <v>1346547.9249650701</v>
      </c>
      <c r="M149" s="917">
        <f t="shared" si="79"/>
        <v>1346547.9249650701</v>
      </c>
      <c r="N149" s="917">
        <f t="shared" si="79"/>
        <v>1346547.9249650701</v>
      </c>
      <c r="O149" s="917">
        <f t="shared" si="79"/>
        <v>1346547.9249650701</v>
      </c>
      <c r="P149" s="917">
        <f t="shared" si="79"/>
        <v>1346547.9249650701</v>
      </c>
      <c r="Q149" s="917">
        <f t="shared" si="79"/>
        <v>1346547.9249650701</v>
      </c>
      <c r="R149" s="917">
        <f t="shared" si="79"/>
        <v>1346547.9249650701</v>
      </c>
      <c r="S149" s="917">
        <f t="shared" si="79"/>
        <v>1346547.9249650701</v>
      </c>
      <c r="T149" s="917">
        <f t="shared" si="79"/>
        <v>1346547.9249650701</v>
      </c>
      <c r="U149" s="917">
        <f t="shared" si="79"/>
        <v>1346547.9249650701</v>
      </c>
      <c r="V149" s="917">
        <f t="shared" si="79"/>
        <v>1346547.9249650701</v>
      </c>
      <c r="W149" s="917">
        <f t="shared" si="79"/>
        <v>1346547.9249650701</v>
      </c>
      <c r="X149" s="917">
        <f t="shared" si="79"/>
        <v>1346547.9249650701</v>
      </c>
      <c r="Y149" s="917">
        <f t="shared" si="79"/>
        <v>1346547.9249650701</v>
      </c>
      <c r="Z149" s="917">
        <f t="shared" si="79"/>
        <v>1346547.9249650701</v>
      </c>
      <c r="AA149" s="917">
        <f t="shared" si="79"/>
        <v>1346547.9249650701</v>
      </c>
      <c r="AB149" s="917">
        <f t="shared" si="79"/>
        <v>1346547.9249650701</v>
      </c>
      <c r="AC149" s="917">
        <f t="shared" si="79"/>
        <v>1346547.9249650701</v>
      </c>
      <c r="AD149" s="917">
        <f t="shared" si="79"/>
        <v>1346547.9249650701</v>
      </c>
      <c r="AE149" s="917">
        <f t="shared" si="79"/>
        <v>1346547.9249650701</v>
      </c>
      <c r="AF149" s="917">
        <f t="shared" si="79"/>
        <v>1346547.9249650701</v>
      </c>
      <c r="AG149" s="917">
        <f t="shared" si="79"/>
        <v>1346547.9249650701</v>
      </c>
      <c r="AH149" s="917">
        <f t="shared" si="79"/>
        <v>1346547.9249650701</v>
      </c>
      <c r="AI149" s="917">
        <f t="shared" si="79"/>
        <v>1346547.9249650701</v>
      </c>
      <c r="AJ149" s="917">
        <f t="shared" si="79"/>
        <v>1346547.9249650701</v>
      </c>
    </row>
    <row r="150" spans="4:36" x14ac:dyDescent="0.35">
      <c r="D150" s="2015" t="s">
        <v>7</v>
      </c>
      <c r="E150" s="2016"/>
      <c r="F150" s="811">
        <f t="shared" si="78"/>
        <v>0</v>
      </c>
      <c r="G150" s="917">
        <v>0</v>
      </c>
      <c r="H150" s="1668">
        <f t="shared" si="80"/>
        <v>0</v>
      </c>
      <c r="I150" s="917">
        <f t="shared" si="81"/>
        <v>0</v>
      </c>
      <c r="J150" s="917">
        <f t="shared" si="82"/>
        <v>0</v>
      </c>
      <c r="K150" s="917">
        <f t="shared" si="79"/>
        <v>0</v>
      </c>
      <c r="L150" s="917">
        <f t="shared" si="79"/>
        <v>0</v>
      </c>
      <c r="M150" s="917">
        <f t="shared" si="79"/>
        <v>0</v>
      </c>
      <c r="N150" s="917">
        <f t="shared" si="79"/>
        <v>0</v>
      </c>
      <c r="O150" s="917">
        <f t="shared" si="79"/>
        <v>0</v>
      </c>
      <c r="P150" s="917">
        <f t="shared" si="79"/>
        <v>0</v>
      </c>
      <c r="Q150" s="917">
        <f t="shared" si="79"/>
        <v>0</v>
      </c>
      <c r="R150" s="917">
        <f t="shared" si="79"/>
        <v>0</v>
      </c>
      <c r="S150" s="917">
        <f t="shared" si="79"/>
        <v>0</v>
      </c>
      <c r="T150" s="917">
        <f t="shared" si="79"/>
        <v>0</v>
      </c>
      <c r="U150" s="917">
        <f t="shared" si="79"/>
        <v>0</v>
      </c>
      <c r="V150" s="917">
        <f t="shared" si="79"/>
        <v>0</v>
      </c>
      <c r="W150" s="917">
        <f t="shared" si="79"/>
        <v>0</v>
      </c>
      <c r="X150" s="917">
        <f t="shared" si="79"/>
        <v>0</v>
      </c>
      <c r="Y150" s="917">
        <f t="shared" si="79"/>
        <v>0</v>
      </c>
      <c r="Z150" s="917">
        <f t="shared" si="79"/>
        <v>0</v>
      </c>
      <c r="AA150" s="917">
        <f t="shared" si="79"/>
        <v>0</v>
      </c>
      <c r="AB150" s="917">
        <f t="shared" si="79"/>
        <v>0</v>
      </c>
      <c r="AC150" s="917">
        <f t="shared" si="79"/>
        <v>0</v>
      </c>
      <c r="AD150" s="917">
        <f t="shared" si="79"/>
        <v>0</v>
      </c>
      <c r="AE150" s="917">
        <f t="shared" si="79"/>
        <v>0</v>
      </c>
      <c r="AF150" s="917">
        <f t="shared" si="79"/>
        <v>0</v>
      </c>
      <c r="AG150" s="917">
        <f t="shared" si="79"/>
        <v>0</v>
      </c>
      <c r="AH150" s="917">
        <f t="shared" si="79"/>
        <v>0</v>
      </c>
      <c r="AI150" s="917">
        <f t="shared" si="79"/>
        <v>0</v>
      </c>
      <c r="AJ150" s="917">
        <f t="shared" si="79"/>
        <v>0</v>
      </c>
    </row>
    <row r="151" spans="4:36" x14ac:dyDescent="0.35">
      <c r="D151" s="2015" t="s">
        <v>8</v>
      </c>
      <c r="E151" s="2016"/>
      <c r="F151" s="811">
        <f t="shared" si="78"/>
        <v>2966232.9</v>
      </c>
      <c r="G151" s="917">
        <f>H84</f>
        <v>96546.468000000008</v>
      </c>
      <c r="H151" s="1668">
        <f t="shared" si="80"/>
        <v>96546.468000000008</v>
      </c>
      <c r="I151" s="917">
        <f t="shared" si="81"/>
        <v>99040.713000000018</v>
      </c>
      <c r="J151" s="917">
        <f t="shared" si="82"/>
        <v>99040.713000000018</v>
      </c>
      <c r="K151" s="917">
        <f t="shared" si="79"/>
        <v>99040.713000000018</v>
      </c>
      <c r="L151" s="917">
        <f t="shared" si="79"/>
        <v>99040.713000000018</v>
      </c>
      <c r="M151" s="917">
        <f t="shared" si="79"/>
        <v>99040.713000000018</v>
      </c>
      <c r="N151" s="917">
        <f t="shared" si="79"/>
        <v>99040.713000000018</v>
      </c>
      <c r="O151" s="917">
        <f t="shared" si="79"/>
        <v>99040.713000000018</v>
      </c>
      <c r="P151" s="917">
        <f t="shared" si="79"/>
        <v>99040.713000000018</v>
      </c>
      <c r="Q151" s="917">
        <f t="shared" si="79"/>
        <v>99040.713000000018</v>
      </c>
      <c r="R151" s="917">
        <f t="shared" si="79"/>
        <v>99040.713000000018</v>
      </c>
      <c r="S151" s="917">
        <f t="shared" si="79"/>
        <v>99040.713000000018</v>
      </c>
      <c r="T151" s="917">
        <f t="shared" si="79"/>
        <v>99040.713000000018</v>
      </c>
      <c r="U151" s="917">
        <f t="shared" si="79"/>
        <v>99040.713000000018</v>
      </c>
      <c r="V151" s="917">
        <f t="shared" si="79"/>
        <v>99040.713000000018</v>
      </c>
      <c r="W151" s="917">
        <f t="shared" si="79"/>
        <v>99040.713000000018</v>
      </c>
      <c r="X151" s="917">
        <f t="shared" si="79"/>
        <v>99040.713000000018</v>
      </c>
      <c r="Y151" s="917">
        <f t="shared" si="79"/>
        <v>99040.713000000018</v>
      </c>
      <c r="Z151" s="917">
        <f t="shared" si="79"/>
        <v>99040.713000000018</v>
      </c>
      <c r="AA151" s="917">
        <f t="shared" si="79"/>
        <v>99040.713000000018</v>
      </c>
      <c r="AB151" s="917">
        <f t="shared" si="79"/>
        <v>99040.713000000018</v>
      </c>
      <c r="AC151" s="917">
        <f t="shared" si="79"/>
        <v>99040.713000000018</v>
      </c>
      <c r="AD151" s="917">
        <f t="shared" si="79"/>
        <v>99040.713000000018</v>
      </c>
      <c r="AE151" s="917">
        <f t="shared" si="79"/>
        <v>99040.713000000018</v>
      </c>
      <c r="AF151" s="917">
        <f t="shared" si="79"/>
        <v>99040.713000000018</v>
      </c>
      <c r="AG151" s="917">
        <f t="shared" si="79"/>
        <v>99040.713000000018</v>
      </c>
      <c r="AH151" s="917">
        <f t="shared" si="79"/>
        <v>99040.713000000018</v>
      </c>
      <c r="AI151" s="917">
        <f t="shared" si="79"/>
        <v>99040.713000000018</v>
      </c>
      <c r="AJ151" s="917">
        <f t="shared" si="79"/>
        <v>99040.713000000018</v>
      </c>
    </row>
    <row r="152" spans="4:36" x14ac:dyDescent="0.35">
      <c r="D152" s="2015" t="s">
        <v>9</v>
      </c>
      <c r="E152" s="2016"/>
      <c r="F152" s="811">
        <f t="shared" si="78"/>
        <v>2262815.5950959995</v>
      </c>
      <c r="G152" s="917">
        <v>0</v>
      </c>
      <c r="H152" s="1668">
        <f t="shared" si="80"/>
        <v>0</v>
      </c>
      <c r="I152" s="917">
        <f t="shared" si="81"/>
        <v>80814.842682000002</v>
      </c>
      <c r="J152" s="917">
        <f t="shared" si="82"/>
        <v>80814.842682000002</v>
      </c>
      <c r="K152" s="917">
        <f t="shared" ref="K152:AJ152" si="83">J152</f>
        <v>80814.842682000002</v>
      </c>
      <c r="L152" s="917">
        <f t="shared" si="83"/>
        <v>80814.842682000002</v>
      </c>
      <c r="M152" s="917">
        <f t="shared" si="83"/>
        <v>80814.842682000002</v>
      </c>
      <c r="N152" s="917">
        <f t="shared" si="83"/>
        <v>80814.842682000002</v>
      </c>
      <c r="O152" s="917">
        <f t="shared" si="83"/>
        <v>80814.842682000002</v>
      </c>
      <c r="P152" s="917">
        <f t="shared" si="83"/>
        <v>80814.842682000002</v>
      </c>
      <c r="Q152" s="917">
        <f t="shared" si="83"/>
        <v>80814.842682000002</v>
      </c>
      <c r="R152" s="917">
        <f t="shared" si="83"/>
        <v>80814.842682000002</v>
      </c>
      <c r="S152" s="917">
        <f t="shared" si="83"/>
        <v>80814.842682000002</v>
      </c>
      <c r="T152" s="917">
        <f t="shared" si="83"/>
        <v>80814.842682000002</v>
      </c>
      <c r="U152" s="917">
        <f t="shared" si="83"/>
        <v>80814.842682000002</v>
      </c>
      <c r="V152" s="917">
        <f t="shared" si="83"/>
        <v>80814.842682000002</v>
      </c>
      <c r="W152" s="917">
        <f t="shared" si="83"/>
        <v>80814.842682000002</v>
      </c>
      <c r="X152" s="917">
        <f t="shared" si="83"/>
        <v>80814.842682000002</v>
      </c>
      <c r="Y152" s="917">
        <f t="shared" si="83"/>
        <v>80814.842682000002</v>
      </c>
      <c r="Z152" s="917">
        <f t="shared" si="83"/>
        <v>80814.842682000002</v>
      </c>
      <c r="AA152" s="917">
        <f t="shared" si="83"/>
        <v>80814.842682000002</v>
      </c>
      <c r="AB152" s="917">
        <f t="shared" si="83"/>
        <v>80814.842682000002</v>
      </c>
      <c r="AC152" s="917">
        <f t="shared" si="83"/>
        <v>80814.842682000002</v>
      </c>
      <c r="AD152" s="917">
        <f t="shared" si="83"/>
        <v>80814.842682000002</v>
      </c>
      <c r="AE152" s="917">
        <f t="shared" si="83"/>
        <v>80814.842682000002</v>
      </c>
      <c r="AF152" s="917">
        <f t="shared" si="83"/>
        <v>80814.842682000002</v>
      </c>
      <c r="AG152" s="917">
        <f t="shared" si="83"/>
        <v>80814.842682000002</v>
      </c>
      <c r="AH152" s="917">
        <f t="shared" si="83"/>
        <v>80814.842682000002</v>
      </c>
      <c r="AI152" s="917">
        <f t="shared" si="83"/>
        <v>80814.842682000002</v>
      </c>
      <c r="AJ152" s="917">
        <f t="shared" si="83"/>
        <v>80814.842682000002</v>
      </c>
    </row>
    <row r="153" spans="4:36" x14ac:dyDescent="0.35">
      <c r="D153" s="800" t="s">
        <v>455</v>
      </c>
      <c r="E153" s="861"/>
      <c r="F153" s="801">
        <f t="shared" si="78"/>
        <v>54643292.772117928</v>
      </c>
      <c r="G153" s="801">
        <f>SUM(G144:G152)</f>
        <v>283768.33500000002</v>
      </c>
      <c r="H153" s="801">
        <f t="shared" ref="H153:AJ153" si="84">SUM(H144:H152)</f>
        <v>283768.33500000002</v>
      </c>
      <c r="I153" s="801">
        <f>SUM(I144:I152)</f>
        <v>1931277.0036470701</v>
      </c>
      <c r="J153" s="801">
        <f t="shared" si="84"/>
        <v>1931277.0036470701</v>
      </c>
      <c r="K153" s="801">
        <f t="shared" si="84"/>
        <v>1931277.0036470701</v>
      </c>
      <c r="L153" s="801">
        <f t="shared" si="84"/>
        <v>1931277.0036470701</v>
      </c>
      <c r="M153" s="801">
        <f t="shared" si="84"/>
        <v>1931277.0036470701</v>
      </c>
      <c r="N153" s="801">
        <f t="shared" si="84"/>
        <v>1931277.0036470701</v>
      </c>
      <c r="O153" s="801">
        <f t="shared" si="84"/>
        <v>1931277.0036470701</v>
      </c>
      <c r="P153" s="801">
        <f t="shared" si="84"/>
        <v>1931277.0036470701</v>
      </c>
      <c r="Q153" s="801">
        <f t="shared" si="84"/>
        <v>1931277.0036470701</v>
      </c>
      <c r="R153" s="801">
        <f t="shared" si="84"/>
        <v>1931277.0036470701</v>
      </c>
      <c r="S153" s="801">
        <f t="shared" si="84"/>
        <v>1931277.0036470701</v>
      </c>
      <c r="T153" s="801">
        <f t="shared" si="84"/>
        <v>1931277.0036470701</v>
      </c>
      <c r="U153" s="801">
        <f t="shared" si="84"/>
        <v>1931277.0036470701</v>
      </c>
      <c r="V153" s="801">
        <f t="shared" si="84"/>
        <v>1931277.0036470701</v>
      </c>
      <c r="W153" s="801">
        <f t="shared" si="84"/>
        <v>1931277.0036470701</v>
      </c>
      <c r="X153" s="801">
        <f t="shared" si="84"/>
        <v>1931277.0036470701</v>
      </c>
      <c r="Y153" s="801">
        <f t="shared" si="84"/>
        <v>1931277.0036470701</v>
      </c>
      <c r="Z153" s="801">
        <f t="shared" si="84"/>
        <v>1931277.0036470701</v>
      </c>
      <c r="AA153" s="801">
        <f t="shared" si="84"/>
        <v>1931277.0036470701</v>
      </c>
      <c r="AB153" s="801">
        <f t="shared" si="84"/>
        <v>1931277.0036470701</v>
      </c>
      <c r="AC153" s="801">
        <f t="shared" si="84"/>
        <v>1931277.0036470701</v>
      </c>
      <c r="AD153" s="801">
        <f t="shared" si="84"/>
        <v>1931277.0036470701</v>
      </c>
      <c r="AE153" s="801">
        <f t="shared" si="84"/>
        <v>1931277.0036470701</v>
      </c>
      <c r="AF153" s="801">
        <f t="shared" si="84"/>
        <v>1931277.0036470701</v>
      </c>
      <c r="AG153" s="801">
        <f t="shared" si="84"/>
        <v>1931277.0036470701</v>
      </c>
      <c r="AH153" s="801">
        <f t="shared" si="84"/>
        <v>1931277.0036470701</v>
      </c>
      <c r="AI153" s="801">
        <f t="shared" si="84"/>
        <v>1931277.0036470701</v>
      </c>
      <c r="AJ153" s="801">
        <f t="shared" si="84"/>
        <v>1931277.0036470701</v>
      </c>
    </row>
    <row r="155" spans="4:36" x14ac:dyDescent="0.35">
      <c r="D155" s="77" t="s">
        <v>959</v>
      </c>
    </row>
    <row r="156" spans="4:36" x14ac:dyDescent="0.35">
      <c r="D156" s="923" t="s">
        <v>68</v>
      </c>
      <c r="E156" s="860"/>
      <c r="F156" s="229" t="s">
        <v>455</v>
      </c>
      <c r="G156" s="802">
        <v>1</v>
      </c>
      <c r="H156" s="802">
        <f>G156+1</f>
        <v>2</v>
      </c>
      <c r="I156" s="802">
        <f t="shared" ref="I156" si="85">H156+1</f>
        <v>3</v>
      </c>
      <c r="J156" s="802">
        <f t="shared" ref="J156" si="86">I156+1</f>
        <v>4</v>
      </c>
      <c r="K156" s="802">
        <f t="shared" ref="K156" si="87">J156+1</f>
        <v>5</v>
      </c>
      <c r="L156" s="802">
        <f t="shared" ref="L156" si="88">K156+1</f>
        <v>6</v>
      </c>
      <c r="M156" s="802">
        <f t="shared" ref="M156" si="89">L156+1</f>
        <v>7</v>
      </c>
      <c r="N156" s="802">
        <f t="shared" ref="N156" si="90">M156+1</f>
        <v>8</v>
      </c>
      <c r="O156" s="802">
        <f t="shared" ref="O156" si="91">N156+1</f>
        <v>9</v>
      </c>
      <c r="P156" s="802">
        <f t="shared" ref="P156" si="92">O156+1</f>
        <v>10</v>
      </c>
      <c r="Q156" s="802">
        <f t="shared" ref="Q156" si="93">P156+1</f>
        <v>11</v>
      </c>
      <c r="R156" s="802">
        <f t="shared" ref="R156" si="94">Q156+1</f>
        <v>12</v>
      </c>
      <c r="S156" s="802">
        <f t="shared" ref="S156" si="95">R156+1</f>
        <v>13</v>
      </c>
      <c r="T156" s="802">
        <f t="shared" ref="T156" si="96">S156+1</f>
        <v>14</v>
      </c>
      <c r="U156" s="802">
        <f t="shared" ref="U156" si="97">T156+1</f>
        <v>15</v>
      </c>
      <c r="V156" s="802">
        <f t="shared" ref="V156" si="98">U156+1</f>
        <v>16</v>
      </c>
      <c r="W156" s="802">
        <f t="shared" ref="W156" si="99">V156+1</f>
        <v>17</v>
      </c>
      <c r="X156" s="802">
        <f t="shared" ref="X156" si="100">W156+1</f>
        <v>18</v>
      </c>
      <c r="Y156" s="802">
        <f t="shared" ref="Y156" si="101">X156+1</f>
        <v>19</v>
      </c>
      <c r="Z156" s="802">
        <f t="shared" ref="Z156" si="102">Y156+1</f>
        <v>20</v>
      </c>
      <c r="AA156" s="802">
        <f t="shared" ref="AA156" si="103">Z156+1</f>
        <v>21</v>
      </c>
      <c r="AB156" s="802">
        <f t="shared" ref="AB156" si="104">AA156+1</f>
        <v>22</v>
      </c>
      <c r="AC156" s="802">
        <f t="shared" ref="AC156" si="105">AB156+1</f>
        <v>23</v>
      </c>
      <c r="AD156" s="802">
        <f t="shared" ref="AD156" si="106">AC156+1</f>
        <v>24</v>
      </c>
      <c r="AE156" s="802">
        <f t="shared" ref="AE156" si="107">AD156+1</f>
        <v>25</v>
      </c>
      <c r="AF156" s="802">
        <f t="shared" ref="AF156" si="108">AE156+1</f>
        <v>26</v>
      </c>
      <c r="AG156" s="802">
        <f t="shared" ref="AG156" si="109">AF156+1</f>
        <v>27</v>
      </c>
      <c r="AH156" s="802">
        <f t="shared" ref="AH156" si="110">AG156+1</f>
        <v>28</v>
      </c>
      <c r="AI156" s="802">
        <f t="shared" ref="AI156" si="111">AH156+1</f>
        <v>29</v>
      </c>
      <c r="AJ156" s="802">
        <f t="shared" ref="AJ156" si="112">AI156+1</f>
        <v>30</v>
      </c>
    </row>
    <row r="157" spans="4:36" x14ac:dyDescent="0.35">
      <c r="D157" s="2019" t="s">
        <v>1</v>
      </c>
      <c r="E157" s="2020"/>
      <c r="F157" s="808">
        <f t="shared" ref="F157:F166" si="113">SUM(G157:AJ157)</f>
        <v>617231.93367436063</v>
      </c>
      <c r="G157" s="916">
        <f>$M$63*G166</f>
        <v>0</v>
      </c>
      <c r="H157" s="916">
        <f t="shared" ref="H157:AJ157" si="114">$M$63*H166</f>
        <v>0</v>
      </c>
      <c r="I157" s="916">
        <f t="shared" si="114"/>
        <v>0</v>
      </c>
      <c r="J157" s="916">
        <f t="shared" si="114"/>
        <v>0</v>
      </c>
      <c r="K157" s="916">
        <f t="shared" si="114"/>
        <v>0</v>
      </c>
      <c r="L157" s="916">
        <f t="shared" si="114"/>
        <v>0</v>
      </c>
      <c r="M157" s="916">
        <f t="shared" si="114"/>
        <v>0</v>
      </c>
      <c r="N157" s="916">
        <f t="shared" si="114"/>
        <v>26836.171029320023</v>
      </c>
      <c r="O157" s="916">
        <f t="shared" si="114"/>
        <v>26836.171029320023</v>
      </c>
      <c r="P157" s="916">
        <f t="shared" si="114"/>
        <v>26836.171029320023</v>
      </c>
      <c r="Q157" s="916">
        <f t="shared" si="114"/>
        <v>26836.171029320023</v>
      </c>
      <c r="R157" s="916">
        <f t="shared" si="114"/>
        <v>26836.171029320023</v>
      </c>
      <c r="S157" s="916">
        <f t="shared" si="114"/>
        <v>26836.171029320023</v>
      </c>
      <c r="T157" s="916">
        <f t="shared" si="114"/>
        <v>26836.171029320023</v>
      </c>
      <c r="U157" s="916">
        <f t="shared" si="114"/>
        <v>26836.171029320023</v>
      </c>
      <c r="V157" s="916">
        <f t="shared" si="114"/>
        <v>26836.171029320023</v>
      </c>
      <c r="W157" s="916">
        <f t="shared" si="114"/>
        <v>26836.171029320023</v>
      </c>
      <c r="X157" s="916">
        <f t="shared" si="114"/>
        <v>26836.171029320023</v>
      </c>
      <c r="Y157" s="916">
        <f t="shared" si="114"/>
        <v>26836.171029320023</v>
      </c>
      <c r="Z157" s="916">
        <f t="shared" si="114"/>
        <v>26836.171029320023</v>
      </c>
      <c r="AA157" s="916">
        <f t="shared" si="114"/>
        <v>26836.171029320023</v>
      </c>
      <c r="AB157" s="916">
        <f t="shared" si="114"/>
        <v>26836.171029320023</v>
      </c>
      <c r="AC157" s="916">
        <f t="shared" si="114"/>
        <v>26836.171029320023</v>
      </c>
      <c r="AD157" s="916">
        <f t="shared" si="114"/>
        <v>26836.171029320023</v>
      </c>
      <c r="AE157" s="916">
        <f t="shared" si="114"/>
        <v>26836.171029320023</v>
      </c>
      <c r="AF157" s="916">
        <f t="shared" si="114"/>
        <v>26836.171029320023</v>
      </c>
      <c r="AG157" s="916">
        <f t="shared" si="114"/>
        <v>26836.171029320023</v>
      </c>
      <c r="AH157" s="916">
        <f t="shared" si="114"/>
        <v>26836.171029320023</v>
      </c>
      <c r="AI157" s="916">
        <f t="shared" si="114"/>
        <v>26836.171029320023</v>
      </c>
      <c r="AJ157" s="916">
        <f t="shared" si="114"/>
        <v>26836.171029320023</v>
      </c>
    </row>
    <row r="158" spans="4:36" x14ac:dyDescent="0.35">
      <c r="D158" s="2015" t="s">
        <v>2</v>
      </c>
      <c r="E158" s="2016"/>
      <c r="F158" s="811">
        <f t="shared" si="113"/>
        <v>7406783.2040923238</v>
      </c>
      <c r="G158" s="917">
        <f>$M$64*G166</f>
        <v>0</v>
      </c>
      <c r="H158" s="917">
        <f t="shared" ref="H158:AJ158" si="115">$M$64*H166</f>
        <v>0</v>
      </c>
      <c r="I158" s="917">
        <f t="shared" si="115"/>
        <v>0</v>
      </c>
      <c r="J158" s="917">
        <f t="shared" si="115"/>
        <v>0</v>
      </c>
      <c r="K158" s="917">
        <f t="shared" si="115"/>
        <v>0</v>
      </c>
      <c r="L158" s="917">
        <f t="shared" si="115"/>
        <v>0</v>
      </c>
      <c r="M158" s="917">
        <f t="shared" si="115"/>
        <v>0</v>
      </c>
      <c r="N158" s="917">
        <f t="shared" si="115"/>
        <v>322034.05235184031</v>
      </c>
      <c r="O158" s="917">
        <f t="shared" si="115"/>
        <v>322034.05235184031</v>
      </c>
      <c r="P158" s="917">
        <f t="shared" si="115"/>
        <v>322034.05235184031</v>
      </c>
      <c r="Q158" s="917">
        <f t="shared" si="115"/>
        <v>322034.05235184031</v>
      </c>
      <c r="R158" s="917">
        <f t="shared" si="115"/>
        <v>322034.05235184031</v>
      </c>
      <c r="S158" s="917">
        <f t="shared" si="115"/>
        <v>322034.05235184031</v>
      </c>
      <c r="T158" s="917">
        <f t="shared" si="115"/>
        <v>322034.05235184031</v>
      </c>
      <c r="U158" s="917">
        <f t="shared" si="115"/>
        <v>322034.05235184031</v>
      </c>
      <c r="V158" s="917">
        <f t="shared" si="115"/>
        <v>322034.05235184031</v>
      </c>
      <c r="W158" s="917">
        <f t="shared" si="115"/>
        <v>322034.05235184031</v>
      </c>
      <c r="X158" s="917">
        <f t="shared" si="115"/>
        <v>322034.05235184031</v>
      </c>
      <c r="Y158" s="917">
        <f t="shared" si="115"/>
        <v>322034.05235184031</v>
      </c>
      <c r="Z158" s="917">
        <f t="shared" si="115"/>
        <v>322034.05235184031</v>
      </c>
      <c r="AA158" s="917">
        <f t="shared" si="115"/>
        <v>322034.05235184031</v>
      </c>
      <c r="AB158" s="917">
        <f t="shared" si="115"/>
        <v>322034.05235184031</v>
      </c>
      <c r="AC158" s="917">
        <f t="shared" si="115"/>
        <v>322034.05235184031</v>
      </c>
      <c r="AD158" s="917">
        <f t="shared" si="115"/>
        <v>322034.05235184031</v>
      </c>
      <c r="AE158" s="917">
        <f t="shared" si="115"/>
        <v>322034.05235184031</v>
      </c>
      <c r="AF158" s="917">
        <f t="shared" si="115"/>
        <v>322034.05235184031</v>
      </c>
      <c r="AG158" s="917">
        <f t="shared" si="115"/>
        <v>322034.05235184031</v>
      </c>
      <c r="AH158" s="917">
        <f t="shared" si="115"/>
        <v>322034.05235184031</v>
      </c>
      <c r="AI158" s="917">
        <f t="shared" si="115"/>
        <v>322034.05235184031</v>
      </c>
      <c r="AJ158" s="917">
        <f t="shared" si="115"/>
        <v>322034.05235184031</v>
      </c>
    </row>
    <row r="159" spans="4:36" x14ac:dyDescent="0.35">
      <c r="D159" s="2015" t="s">
        <v>3</v>
      </c>
      <c r="E159" s="2016"/>
      <c r="F159" s="811">
        <f t="shared" si="113"/>
        <v>854628.83124142257</v>
      </c>
      <c r="G159" s="917">
        <f>$M$65*G166</f>
        <v>0</v>
      </c>
      <c r="H159" s="917">
        <f t="shared" ref="H159:AJ159" si="116">$M$65*H166</f>
        <v>0</v>
      </c>
      <c r="I159" s="917">
        <f t="shared" si="116"/>
        <v>0</v>
      </c>
      <c r="J159" s="917">
        <f t="shared" si="116"/>
        <v>0</v>
      </c>
      <c r="K159" s="917">
        <f t="shared" si="116"/>
        <v>0</v>
      </c>
      <c r="L159" s="917">
        <f t="shared" si="116"/>
        <v>0</v>
      </c>
      <c r="M159" s="917">
        <f t="shared" si="116"/>
        <v>0</v>
      </c>
      <c r="N159" s="917">
        <f t="shared" si="116"/>
        <v>37157.775271366183</v>
      </c>
      <c r="O159" s="917">
        <f t="shared" si="116"/>
        <v>37157.775271366183</v>
      </c>
      <c r="P159" s="917">
        <f t="shared" si="116"/>
        <v>37157.775271366183</v>
      </c>
      <c r="Q159" s="917">
        <f t="shared" si="116"/>
        <v>37157.775271366183</v>
      </c>
      <c r="R159" s="917">
        <f t="shared" si="116"/>
        <v>37157.775271366183</v>
      </c>
      <c r="S159" s="917">
        <f t="shared" si="116"/>
        <v>37157.775271366183</v>
      </c>
      <c r="T159" s="917">
        <f t="shared" si="116"/>
        <v>37157.775271366183</v>
      </c>
      <c r="U159" s="917">
        <f t="shared" si="116"/>
        <v>37157.775271366183</v>
      </c>
      <c r="V159" s="917">
        <f t="shared" si="116"/>
        <v>37157.775271366183</v>
      </c>
      <c r="W159" s="917">
        <f t="shared" si="116"/>
        <v>37157.775271366183</v>
      </c>
      <c r="X159" s="917">
        <f t="shared" si="116"/>
        <v>37157.775271366183</v>
      </c>
      <c r="Y159" s="917">
        <f t="shared" si="116"/>
        <v>37157.775271366183</v>
      </c>
      <c r="Z159" s="917">
        <f t="shared" si="116"/>
        <v>37157.775271366183</v>
      </c>
      <c r="AA159" s="917">
        <f t="shared" si="116"/>
        <v>37157.775271366183</v>
      </c>
      <c r="AB159" s="917">
        <f t="shared" si="116"/>
        <v>37157.775271366183</v>
      </c>
      <c r="AC159" s="917">
        <f t="shared" si="116"/>
        <v>37157.775271366183</v>
      </c>
      <c r="AD159" s="917">
        <f t="shared" si="116"/>
        <v>37157.775271366183</v>
      </c>
      <c r="AE159" s="917">
        <f t="shared" si="116"/>
        <v>37157.775271366183</v>
      </c>
      <c r="AF159" s="917">
        <f t="shared" si="116"/>
        <v>37157.775271366183</v>
      </c>
      <c r="AG159" s="917">
        <f t="shared" si="116"/>
        <v>37157.775271366183</v>
      </c>
      <c r="AH159" s="917">
        <f t="shared" si="116"/>
        <v>37157.775271366183</v>
      </c>
      <c r="AI159" s="917">
        <f t="shared" si="116"/>
        <v>37157.775271366183</v>
      </c>
      <c r="AJ159" s="917">
        <f t="shared" si="116"/>
        <v>37157.775271366183</v>
      </c>
    </row>
    <row r="160" spans="4:36" x14ac:dyDescent="0.35">
      <c r="D160" s="2015" t="s">
        <v>4</v>
      </c>
      <c r="E160" s="2016"/>
      <c r="F160" s="811">
        <f t="shared" si="113"/>
        <v>2136572.0781035549</v>
      </c>
      <c r="G160" s="917">
        <f>$M$66*G166</f>
        <v>0</v>
      </c>
      <c r="H160" s="917">
        <f t="shared" ref="H160:AJ160" si="117">$M$66*H166</f>
        <v>0</v>
      </c>
      <c r="I160" s="917">
        <f t="shared" si="117"/>
        <v>0</v>
      </c>
      <c r="J160" s="917">
        <f t="shared" si="117"/>
        <v>0</v>
      </c>
      <c r="K160" s="917">
        <f t="shared" si="117"/>
        <v>0</v>
      </c>
      <c r="L160" s="917">
        <f t="shared" si="117"/>
        <v>0</v>
      </c>
      <c r="M160" s="917">
        <f t="shared" si="117"/>
        <v>0</v>
      </c>
      <c r="N160" s="917">
        <f t="shared" si="117"/>
        <v>92894.438178415454</v>
      </c>
      <c r="O160" s="917">
        <f t="shared" si="117"/>
        <v>92894.438178415454</v>
      </c>
      <c r="P160" s="917">
        <f t="shared" si="117"/>
        <v>92894.438178415454</v>
      </c>
      <c r="Q160" s="917">
        <f t="shared" si="117"/>
        <v>92894.438178415454</v>
      </c>
      <c r="R160" s="917">
        <f t="shared" si="117"/>
        <v>92894.438178415454</v>
      </c>
      <c r="S160" s="917">
        <f t="shared" si="117"/>
        <v>92894.438178415454</v>
      </c>
      <c r="T160" s="917">
        <f t="shared" si="117"/>
        <v>92894.438178415454</v>
      </c>
      <c r="U160" s="917">
        <f t="shared" si="117"/>
        <v>92894.438178415454</v>
      </c>
      <c r="V160" s="917">
        <f t="shared" si="117"/>
        <v>92894.438178415454</v>
      </c>
      <c r="W160" s="917">
        <f t="shared" si="117"/>
        <v>92894.438178415454</v>
      </c>
      <c r="X160" s="917">
        <f t="shared" si="117"/>
        <v>92894.438178415454</v>
      </c>
      <c r="Y160" s="917">
        <f t="shared" si="117"/>
        <v>92894.438178415454</v>
      </c>
      <c r="Z160" s="917">
        <f t="shared" si="117"/>
        <v>92894.438178415454</v>
      </c>
      <c r="AA160" s="917">
        <f t="shared" si="117"/>
        <v>92894.438178415454</v>
      </c>
      <c r="AB160" s="917">
        <f t="shared" si="117"/>
        <v>92894.438178415454</v>
      </c>
      <c r="AC160" s="917">
        <f t="shared" si="117"/>
        <v>92894.438178415454</v>
      </c>
      <c r="AD160" s="917">
        <f t="shared" si="117"/>
        <v>92894.438178415454</v>
      </c>
      <c r="AE160" s="917">
        <f t="shared" si="117"/>
        <v>92894.438178415454</v>
      </c>
      <c r="AF160" s="917">
        <f t="shared" si="117"/>
        <v>92894.438178415454</v>
      </c>
      <c r="AG160" s="917">
        <f t="shared" si="117"/>
        <v>92894.438178415454</v>
      </c>
      <c r="AH160" s="917">
        <f t="shared" si="117"/>
        <v>92894.438178415454</v>
      </c>
      <c r="AI160" s="917">
        <f t="shared" si="117"/>
        <v>92894.438178415454</v>
      </c>
      <c r="AJ160" s="917">
        <f t="shared" si="117"/>
        <v>92894.438178415454</v>
      </c>
    </row>
    <row r="161" spans="3:36" x14ac:dyDescent="0.35">
      <c r="D161" s="2015" t="s">
        <v>5</v>
      </c>
      <c r="E161" s="2016"/>
      <c r="F161" s="811">
        <f t="shared" si="113"/>
        <v>4937855.469394885</v>
      </c>
      <c r="G161" s="917">
        <f>$M$67*G166</f>
        <v>0</v>
      </c>
      <c r="H161" s="917">
        <f t="shared" ref="H161:AJ161" si="118">$M$67*H166</f>
        <v>0</v>
      </c>
      <c r="I161" s="917">
        <f t="shared" si="118"/>
        <v>0</v>
      </c>
      <c r="J161" s="917">
        <f t="shared" si="118"/>
        <v>0</v>
      </c>
      <c r="K161" s="917">
        <f t="shared" si="118"/>
        <v>0</v>
      </c>
      <c r="L161" s="917">
        <f t="shared" si="118"/>
        <v>0</v>
      </c>
      <c r="M161" s="917">
        <f t="shared" si="118"/>
        <v>0</v>
      </c>
      <c r="N161" s="917">
        <f t="shared" si="118"/>
        <v>214689.36823456018</v>
      </c>
      <c r="O161" s="917">
        <f t="shared" si="118"/>
        <v>214689.36823456018</v>
      </c>
      <c r="P161" s="917">
        <f t="shared" si="118"/>
        <v>214689.36823456018</v>
      </c>
      <c r="Q161" s="917">
        <f t="shared" si="118"/>
        <v>214689.36823456018</v>
      </c>
      <c r="R161" s="917">
        <f t="shared" si="118"/>
        <v>214689.36823456018</v>
      </c>
      <c r="S161" s="917">
        <f t="shared" si="118"/>
        <v>214689.36823456018</v>
      </c>
      <c r="T161" s="917">
        <f t="shared" si="118"/>
        <v>214689.36823456018</v>
      </c>
      <c r="U161" s="917">
        <f t="shared" si="118"/>
        <v>214689.36823456018</v>
      </c>
      <c r="V161" s="917">
        <f t="shared" si="118"/>
        <v>214689.36823456018</v>
      </c>
      <c r="W161" s="917">
        <f t="shared" si="118"/>
        <v>214689.36823456018</v>
      </c>
      <c r="X161" s="917">
        <f t="shared" si="118"/>
        <v>214689.36823456018</v>
      </c>
      <c r="Y161" s="917">
        <f t="shared" si="118"/>
        <v>214689.36823456018</v>
      </c>
      <c r="Z161" s="917">
        <f t="shared" si="118"/>
        <v>214689.36823456018</v>
      </c>
      <c r="AA161" s="917">
        <f t="shared" si="118"/>
        <v>214689.36823456018</v>
      </c>
      <c r="AB161" s="917">
        <f t="shared" si="118"/>
        <v>214689.36823456018</v>
      </c>
      <c r="AC161" s="917">
        <f t="shared" si="118"/>
        <v>214689.36823456018</v>
      </c>
      <c r="AD161" s="917">
        <f t="shared" si="118"/>
        <v>214689.36823456018</v>
      </c>
      <c r="AE161" s="917">
        <f t="shared" si="118"/>
        <v>214689.36823456018</v>
      </c>
      <c r="AF161" s="917">
        <f t="shared" si="118"/>
        <v>214689.36823456018</v>
      </c>
      <c r="AG161" s="917">
        <f t="shared" si="118"/>
        <v>214689.36823456018</v>
      </c>
      <c r="AH161" s="917">
        <f t="shared" si="118"/>
        <v>214689.36823456018</v>
      </c>
      <c r="AI161" s="917">
        <f t="shared" si="118"/>
        <v>214689.36823456018</v>
      </c>
      <c r="AJ161" s="917">
        <f t="shared" si="118"/>
        <v>214689.36823456018</v>
      </c>
    </row>
    <row r="162" spans="3:36" x14ac:dyDescent="0.35">
      <c r="D162" s="2015" t="s">
        <v>6</v>
      </c>
      <c r="E162" s="2016"/>
      <c r="F162" s="811">
        <f t="shared" si="113"/>
        <v>53081946.295995012</v>
      </c>
      <c r="G162" s="917">
        <f>$M$68*G166</f>
        <v>0</v>
      </c>
      <c r="H162" s="917">
        <f t="shared" ref="H162:AJ162" si="119">$M$68*H166</f>
        <v>0</v>
      </c>
      <c r="I162" s="917">
        <f t="shared" si="119"/>
        <v>0</v>
      </c>
      <c r="J162" s="917">
        <f t="shared" si="119"/>
        <v>0</v>
      </c>
      <c r="K162" s="917">
        <f t="shared" si="119"/>
        <v>0</v>
      </c>
      <c r="L162" s="917">
        <f t="shared" si="119"/>
        <v>0</v>
      </c>
      <c r="M162" s="917">
        <f t="shared" si="119"/>
        <v>0</v>
      </c>
      <c r="N162" s="917">
        <f t="shared" si="119"/>
        <v>2307910.7085215217</v>
      </c>
      <c r="O162" s="917">
        <f t="shared" si="119"/>
        <v>2307910.7085215217</v>
      </c>
      <c r="P162" s="917">
        <f t="shared" si="119"/>
        <v>2307910.7085215217</v>
      </c>
      <c r="Q162" s="917">
        <f t="shared" si="119"/>
        <v>2307910.7085215217</v>
      </c>
      <c r="R162" s="917">
        <f t="shared" si="119"/>
        <v>2307910.7085215217</v>
      </c>
      <c r="S162" s="917">
        <f t="shared" si="119"/>
        <v>2307910.7085215217</v>
      </c>
      <c r="T162" s="917">
        <f t="shared" si="119"/>
        <v>2307910.7085215217</v>
      </c>
      <c r="U162" s="917">
        <f t="shared" si="119"/>
        <v>2307910.7085215217</v>
      </c>
      <c r="V162" s="917">
        <f t="shared" si="119"/>
        <v>2307910.7085215217</v>
      </c>
      <c r="W162" s="917">
        <f t="shared" si="119"/>
        <v>2307910.7085215217</v>
      </c>
      <c r="X162" s="917">
        <f t="shared" si="119"/>
        <v>2307910.7085215217</v>
      </c>
      <c r="Y162" s="917">
        <f t="shared" si="119"/>
        <v>2307910.7085215217</v>
      </c>
      <c r="Z162" s="917">
        <f t="shared" si="119"/>
        <v>2307910.7085215217</v>
      </c>
      <c r="AA162" s="917">
        <f t="shared" si="119"/>
        <v>2307910.7085215217</v>
      </c>
      <c r="AB162" s="917">
        <f t="shared" si="119"/>
        <v>2307910.7085215217</v>
      </c>
      <c r="AC162" s="917">
        <f t="shared" si="119"/>
        <v>2307910.7085215217</v>
      </c>
      <c r="AD162" s="917">
        <f t="shared" si="119"/>
        <v>2307910.7085215217</v>
      </c>
      <c r="AE162" s="917">
        <f t="shared" si="119"/>
        <v>2307910.7085215217</v>
      </c>
      <c r="AF162" s="917">
        <f t="shared" si="119"/>
        <v>2307910.7085215217</v>
      </c>
      <c r="AG162" s="917">
        <f t="shared" si="119"/>
        <v>2307910.7085215217</v>
      </c>
      <c r="AH162" s="917">
        <f t="shared" si="119"/>
        <v>2307910.7085215217</v>
      </c>
      <c r="AI162" s="917">
        <f t="shared" si="119"/>
        <v>2307910.7085215217</v>
      </c>
      <c r="AJ162" s="917">
        <f t="shared" si="119"/>
        <v>2307910.7085215217</v>
      </c>
    </row>
    <row r="163" spans="3:36" x14ac:dyDescent="0.35">
      <c r="D163" s="2015" t="s">
        <v>7</v>
      </c>
      <c r="E163" s="2016"/>
      <c r="F163" s="811">
        <f t="shared" si="113"/>
        <v>0</v>
      </c>
      <c r="G163" s="917">
        <f>$M$69*G166</f>
        <v>0</v>
      </c>
      <c r="H163" s="917">
        <f t="shared" ref="H163:AJ163" si="120">$M$69*H166</f>
        <v>0</v>
      </c>
      <c r="I163" s="917">
        <f t="shared" si="120"/>
        <v>0</v>
      </c>
      <c r="J163" s="917">
        <f t="shared" si="120"/>
        <v>0</v>
      </c>
      <c r="K163" s="917">
        <f t="shared" si="120"/>
        <v>0</v>
      </c>
      <c r="L163" s="917">
        <f t="shared" si="120"/>
        <v>0</v>
      </c>
      <c r="M163" s="917">
        <f t="shared" si="120"/>
        <v>0</v>
      </c>
      <c r="N163" s="917">
        <f t="shared" si="120"/>
        <v>0</v>
      </c>
      <c r="O163" s="917">
        <f t="shared" si="120"/>
        <v>0</v>
      </c>
      <c r="P163" s="917">
        <f t="shared" si="120"/>
        <v>0</v>
      </c>
      <c r="Q163" s="917">
        <f t="shared" si="120"/>
        <v>0</v>
      </c>
      <c r="R163" s="917">
        <f t="shared" si="120"/>
        <v>0</v>
      </c>
      <c r="S163" s="917">
        <f t="shared" si="120"/>
        <v>0</v>
      </c>
      <c r="T163" s="917">
        <f t="shared" si="120"/>
        <v>0</v>
      </c>
      <c r="U163" s="917">
        <f t="shared" si="120"/>
        <v>0</v>
      </c>
      <c r="V163" s="917">
        <f t="shared" si="120"/>
        <v>0</v>
      </c>
      <c r="W163" s="917">
        <f t="shared" si="120"/>
        <v>0</v>
      </c>
      <c r="X163" s="917">
        <f t="shared" si="120"/>
        <v>0</v>
      </c>
      <c r="Y163" s="917">
        <f t="shared" si="120"/>
        <v>0</v>
      </c>
      <c r="Z163" s="917">
        <f t="shared" si="120"/>
        <v>0</v>
      </c>
      <c r="AA163" s="917">
        <f t="shared" si="120"/>
        <v>0</v>
      </c>
      <c r="AB163" s="917">
        <f t="shared" si="120"/>
        <v>0</v>
      </c>
      <c r="AC163" s="917">
        <f t="shared" si="120"/>
        <v>0</v>
      </c>
      <c r="AD163" s="917">
        <f t="shared" si="120"/>
        <v>0</v>
      </c>
      <c r="AE163" s="917">
        <f t="shared" si="120"/>
        <v>0</v>
      </c>
      <c r="AF163" s="917">
        <f t="shared" si="120"/>
        <v>0</v>
      </c>
      <c r="AG163" s="917">
        <f t="shared" si="120"/>
        <v>0</v>
      </c>
      <c r="AH163" s="917">
        <f t="shared" si="120"/>
        <v>0</v>
      </c>
      <c r="AI163" s="917">
        <f t="shared" si="120"/>
        <v>0</v>
      </c>
      <c r="AJ163" s="917">
        <f t="shared" si="120"/>
        <v>0</v>
      </c>
    </row>
    <row r="164" spans="3:36" x14ac:dyDescent="0.35">
      <c r="D164" s="2015" t="s">
        <v>8</v>
      </c>
      <c r="E164" s="2016"/>
      <c r="F164" s="811">
        <f t="shared" si="113"/>
        <v>3893309.1200998132</v>
      </c>
      <c r="G164" s="917">
        <f>$M$70*G166</f>
        <v>0</v>
      </c>
      <c r="H164" s="917">
        <f t="shared" ref="H164:AJ164" si="121">$M$70*H166</f>
        <v>0</v>
      </c>
      <c r="I164" s="917">
        <f t="shared" si="121"/>
        <v>0</v>
      </c>
      <c r="J164" s="917">
        <f t="shared" si="121"/>
        <v>0</v>
      </c>
      <c r="K164" s="917">
        <f t="shared" si="121"/>
        <v>0</v>
      </c>
      <c r="L164" s="917">
        <f t="shared" si="121"/>
        <v>0</v>
      </c>
      <c r="M164" s="917">
        <f t="shared" si="121"/>
        <v>0</v>
      </c>
      <c r="N164" s="917">
        <f t="shared" si="121"/>
        <v>169274.30956955705</v>
      </c>
      <c r="O164" s="917">
        <f t="shared" si="121"/>
        <v>169274.30956955705</v>
      </c>
      <c r="P164" s="917">
        <f t="shared" si="121"/>
        <v>169274.30956955705</v>
      </c>
      <c r="Q164" s="917">
        <f t="shared" si="121"/>
        <v>169274.30956955705</v>
      </c>
      <c r="R164" s="917">
        <f t="shared" si="121"/>
        <v>169274.30956955705</v>
      </c>
      <c r="S164" s="917">
        <f t="shared" si="121"/>
        <v>169274.30956955705</v>
      </c>
      <c r="T164" s="917">
        <f t="shared" si="121"/>
        <v>169274.30956955705</v>
      </c>
      <c r="U164" s="917">
        <f t="shared" si="121"/>
        <v>169274.30956955705</v>
      </c>
      <c r="V164" s="917">
        <f t="shared" si="121"/>
        <v>169274.30956955705</v>
      </c>
      <c r="W164" s="917">
        <f t="shared" si="121"/>
        <v>169274.30956955705</v>
      </c>
      <c r="X164" s="917">
        <f t="shared" si="121"/>
        <v>169274.30956955705</v>
      </c>
      <c r="Y164" s="917">
        <f t="shared" si="121"/>
        <v>169274.30956955705</v>
      </c>
      <c r="Z164" s="917">
        <f t="shared" si="121"/>
        <v>169274.30956955705</v>
      </c>
      <c r="AA164" s="917">
        <f t="shared" si="121"/>
        <v>169274.30956955705</v>
      </c>
      <c r="AB164" s="917">
        <f t="shared" si="121"/>
        <v>169274.30956955705</v>
      </c>
      <c r="AC164" s="917">
        <f t="shared" si="121"/>
        <v>169274.30956955705</v>
      </c>
      <c r="AD164" s="917">
        <f t="shared" si="121"/>
        <v>169274.30956955705</v>
      </c>
      <c r="AE164" s="917">
        <f t="shared" si="121"/>
        <v>169274.30956955705</v>
      </c>
      <c r="AF164" s="917">
        <f t="shared" si="121"/>
        <v>169274.30956955705</v>
      </c>
      <c r="AG164" s="917">
        <f t="shared" si="121"/>
        <v>169274.30956955705</v>
      </c>
      <c r="AH164" s="917">
        <f t="shared" si="121"/>
        <v>169274.30956955705</v>
      </c>
      <c r="AI164" s="917">
        <f t="shared" si="121"/>
        <v>169274.30956955705</v>
      </c>
      <c r="AJ164" s="917">
        <f t="shared" si="121"/>
        <v>169274.30956955705</v>
      </c>
    </row>
    <row r="165" spans="3:36" x14ac:dyDescent="0.35">
      <c r="D165" s="2015" t="s">
        <v>9</v>
      </c>
      <c r="E165" s="2016"/>
      <c r="F165" s="811">
        <f t="shared" si="113"/>
        <v>3181118.4273986276</v>
      </c>
      <c r="G165" s="1090">
        <f>$M$71*G166</f>
        <v>0</v>
      </c>
      <c r="H165" s="1090">
        <f t="shared" ref="H165:AJ165" si="122">$M$71*H166</f>
        <v>0</v>
      </c>
      <c r="I165" s="1090">
        <f t="shared" si="122"/>
        <v>0</v>
      </c>
      <c r="J165" s="1090">
        <f t="shared" si="122"/>
        <v>0</v>
      </c>
      <c r="K165" s="1090">
        <f t="shared" si="122"/>
        <v>0</v>
      </c>
      <c r="L165" s="1090">
        <f t="shared" si="122"/>
        <v>0</v>
      </c>
      <c r="M165" s="1090">
        <f t="shared" si="122"/>
        <v>0</v>
      </c>
      <c r="N165" s="1090">
        <f t="shared" si="122"/>
        <v>138309.4968434186</v>
      </c>
      <c r="O165" s="1090">
        <f t="shared" si="122"/>
        <v>138309.4968434186</v>
      </c>
      <c r="P165" s="1090">
        <f t="shared" si="122"/>
        <v>138309.4968434186</v>
      </c>
      <c r="Q165" s="1090">
        <f t="shared" si="122"/>
        <v>138309.4968434186</v>
      </c>
      <c r="R165" s="1090">
        <f t="shared" si="122"/>
        <v>138309.4968434186</v>
      </c>
      <c r="S165" s="1090">
        <f t="shared" si="122"/>
        <v>138309.4968434186</v>
      </c>
      <c r="T165" s="1090">
        <f t="shared" si="122"/>
        <v>138309.4968434186</v>
      </c>
      <c r="U165" s="1090">
        <f t="shared" si="122"/>
        <v>138309.4968434186</v>
      </c>
      <c r="V165" s="1090">
        <f t="shared" si="122"/>
        <v>138309.4968434186</v>
      </c>
      <c r="W165" s="1090">
        <f t="shared" si="122"/>
        <v>138309.4968434186</v>
      </c>
      <c r="X165" s="1090">
        <f t="shared" si="122"/>
        <v>138309.4968434186</v>
      </c>
      <c r="Y165" s="1090">
        <f t="shared" si="122"/>
        <v>138309.4968434186</v>
      </c>
      <c r="Z165" s="1090">
        <f t="shared" si="122"/>
        <v>138309.4968434186</v>
      </c>
      <c r="AA165" s="1090">
        <f t="shared" si="122"/>
        <v>138309.4968434186</v>
      </c>
      <c r="AB165" s="1090">
        <f t="shared" si="122"/>
        <v>138309.4968434186</v>
      </c>
      <c r="AC165" s="1090">
        <f t="shared" si="122"/>
        <v>138309.4968434186</v>
      </c>
      <c r="AD165" s="1090">
        <f t="shared" si="122"/>
        <v>138309.4968434186</v>
      </c>
      <c r="AE165" s="1090">
        <f t="shared" si="122"/>
        <v>138309.4968434186</v>
      </c>
      <c r="AF165" s="1090">
        <f t="shared" si="122"/>
        <v>138309.4968434186</v>
      </c>
      <c r="AG165" s="1090">
        <f t="shared" si="122"/>
        <v>138309.4968434186</v>
      </c>
      <c r="AH165" s="1090">
        <f t="shared" si="122"/>
        <v>138309.4968434186</v>
      </c>
      <c r="AI165" s="1090">
        <f t="shared" si="122"/>
        <v>138309.4968434186</v>
      </c>
      <c r="AJ165" s="1090">
        <f t="shared" si="122"/>
        <v>138309.4968434186</v>
      </c>
    </row>
    <row r="166" spans="3:36" x14ac:dyDescent="0.35">
      <c r="D166" s="800" t="s">
        <v>455</v>
      </c>
      <c r="E166" s="861"/>
      <c r="F166" s="801">
        <f t="shared" si="113"/>
        <v>76109445.359999985</v>
      </c>
      <c r="G166" s="801">
        <f>G112*$G$108</f>
        <v>0</v>
      </c>
      <c r="H166" s="801">
        <f t="shared" ref="H166:AJ166" si="123">H112*$G$108</f>
        <v>0</v>
      </c>
      <c r="I166" s="801">
        <f t="shared" si="123"/>
        <v>0</v>
      </c>
      <c r="J166" s="801">
        <f t="shared" si="123"/>
        <v>0</v>
      </c>
      <c r="K166" s="801">
        <f t="shared" si="123"/>
        <v>0</v>
      </c>
      <c r="L166" s="801">
        <f t="shared" si="123"/>
        <v>0</v>
      </c>
      <c r="M166" s="801">
        <f t="shared" si="123"/>
        <v>0</v>
      </c>
      <c r="N166" s="801">
        <f t="shared" si="123"/>
        <v>3309106.32</v>
      </c>
      <c r="O166" s="801">
        <f t="shared" si="123"/>
        <v>3309106.32</v>
      </c>
      <c r="P166" s="801">
        <f t="shared" si="123"/>
        <v>3309106.32</v>
      </c>
      <c r="Q166" s="801">
        <f t="shared" si="123"/>
        <v>3309106.32</v>
      </c>
      <c r="R166" s="801">
        <f t="shared" si="123"/>
        <v>3309106.32</v>
      </c>
      <c r="S166" s="801">
        <f t="shared" si="123"/>
        <v>3309106.32</v>
      </c>
      <c r="T166" s="801">
        <f t="shared" si="123"/>
        <v>3309106.32</v>
      </c>
      <c r="U166" s="801">
        <f t="shared" si="123"/>
        <v>3309106.32</v>
      </c>
      <c r="V166" s="801">
        <f t="shared" si="123"/>
        <v>3309106.32</v>
      </c>
      <c r="W166" s="801">
        <f t="shared" si="123"/>
        <v>3309106.32</v>
      </c>
      <c r="X166" s="801">
        <f t="shared" si="123"/>
        <v>3309106.32</v>
      </c>
      <c r="Y166" s="801">
        <f t="shared" si="123"/>
        <v>3309106.32</v>
      </c>
      <c r="Z166" s="801">
        <f t="shared" si="123"/>
        <v>3309106.32</v>
      </c>
      <c r="AA166" s="801">
        <f t="shared" si="123"/>
        <v>3309106.32</v>
      </c>
      <c r="AB166" s="801">
        <f t="shared" si="123"/>
        <v>3309106.32</v>
      </c>
      <c r="AC166" s="801">
        <f t="shared" si="123"/>
        <v>3309106.32</v>
      </c>
      <c r="AD166" s="801">
        <f t="shared" si="123"/>
        <v>3309106.32</v>
      </c>
      <c r="AE166" s="801">
        <f t="shared" si="123"/>
        <v>3309106.32</v>
      </c>
      <c r="AF166" s="801">
        <f t="shared" si="123"/>
        <v>3309106.32</v>
      </c>
      <c r="AG166" s="801">
        <f t="shared" si="123"/>
        <v>3309106.32</v>
      </c>
      <c r="AH166" s="801">
        <f t="shared" si="123"/>
        <v>3309106.32</v>
      </c>
      <c r="AI166" s="801">
        <f t="shared" si="123"/>
        <v>3309106.32</v>
      </c>
      <c r="AJ166" s="801">
        <f t="shared" si="123"/>
        <v>3309106.32</v>
      </c>
    </row>
    <row r="168" spans="3:36" ht="15" thickBot="1" x14ac:dyDescent="0.4"/>
    <row r="169" spans="3:36" x14ac:dyDescent="0.35">
      <c r="C169" s="5"/>
      <c r="D169" s="108"/>
      <c r="E169" s="109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</row>
    <row r="170" spans="3:36" x14ac:dyDescent="0.35">
      <c r="C170" s="9"/>
      <c r="D170" s="77" t="s">
        <v>960</v>
      </c>
    </row>
    <row r="171" spans="3:36" x14ac:dyDescent="0.35">
      <c r="C171" s="9"/>
      <c r="D171" s="87"/>
      <c r="E171" s="87"/>
      <c r="F171" s="229" t="s">
        <v>455</v>
      </c>
      <c r="G171" s="89">
        <v>1</v>
      </c>
      <c r="H171" s="89">
        <f>G171+1</f>
        <v>2</v>
      </c>
      <c r="I171" s="89">
        <f t="shared" ref="I171:AJ171" si="124">H171+1</f>
        <v>3</v>
      </c>
      <c r="J171" s="89">
        <f t="shared" si="124"/>
        <v>4</v>
      </c>
      <c r="K171" s="89">
        <f t="shared" si="124"/>
        <v>5</v>
      </c>
      <c r="L171" s="89">
        <f t="shared" si="124"/>
        <v>6</v>
      </c>
      <c r="M171" s="89">
        <f t="shared" si="124"/>
        <v>7</v>
      </c>
      <c r="N171" s="89">
        <f t="shared" si="124"/>
        <v>8</v>
      </c>
      <c r="O171" s="89">
        <f t="shared" si="124"/>
        <v>9</v>
      </c>
      <c r="P171" s="89">
        <f t="shared" si="124"/>
        <v>10</v>
      </c>
      <c r="Q171" s="89">
        <f t="shared" si="124"/>
        <v>11</v>
      </c>
      <c r="R171" s="89">
        <f t="shared" si="124"/>
        <v>12</v>
      </c>
      <c r="S171" s="89">
        <f t="shared" si="124"/>
        <v>13</v>
      </c>
      <c r="T171" s="89">
        <f t="shared" si="124"/>
        <v>14</v>
      </c>
      <c r="U171" s="89">
        <f t="shared" si="124"/>
        <v>15</v>
      </c>
      <c r="V171" s="89">
        <f t="shared" si="124"/>
        <v>16</v>
      </c>
      <c r="W171" s="89">
        <f t="shared" si="124"/>
        <v>17</v>
      </c>
      <c r="X171" s="89">
        <f t="shared" si="124"/>
        <v>18</v>
      </c>
      <c r="Y171" s="89">
        <f t="shared" si="124"/>
        <v>19</v>
      </c>
      <c r="Z171" s="89">
        <f t="shared" si="124"/>
        <v>20</v>
      </c>
      <c r="AA171" s="89">
        <f t="shared" si="124"/>
        <v>21</v>
      </c>
      <c r="AB171" s="89">
        <f t="shared" si="124"/>
        <v>22</v>
      </c>
      <c r="AC171" s="89">
        <f t="shared" si="124"/>
        <v>23</v>
      </c>
      <c r="AD171" s="89">
        <f t="shared" si="124"/>
        <v>24</v>
      </c>
      <c r="AE171" s="89">
        <f t="shared" si="124"/>
        <v>25</v>
      </c>
      <c r="AF171" s="89">
        <f t="shared" si="124"/>
        <v>26</v>
      </c>
      <c r="AG171" s="89">
        <f t="shared" si="124"/>
        <v>27</v>
      </c>
      <c r="AH171" s="89">
        <f t="shared" si="124"/>
        <v>28</v>
      </c>
      <c r="AI171" s="89">
        <f t="shared" si="124"/>
        <v>29</v>
      </c>
      <c r="AJ171" s="89">
        <f t="shared" si="124"/>
        <v>30</v>
      </c>
    </row>
    <row r="172" spans="3:36" ht="16.5" customHeight="1" x14ac:dyDescent="0.35">
      <c r="C172" s="9"/>
      <c r="D172" s="2017" t="s">
        <v>961</v>
      </c>
      <c r="E172" s="2018"/>
      <c r="F172" s="1091">
        <f>SUM(G172:AJ172)</f>
        <v>239290740.00647378</v>
      </c>
      <c r="G172" s="999">
        <f>IF(G171&gt;'Premissas Gerais'!$E$7,0,G127)</f>
        <v>8335948.0008092243</v>
      </c>
      <c r="H172" s="999">
        <f>IF(H171&gt;'Premissas Gerais'!$E$7,0,H127)</f>
        <v>8335948.0008092243</v>
      </c>
      <c r="I172" s="999">
        <f>IF(I171&gt;'Premissas Gerais'!$E$7,0,I127)</f>
        <v>8335948.0008092243</v>
      </c>
      <c r="J172" s="999">
        <f>IF(J171&gt;'Premissas Gerais'!$E$7,0,J127)</f>
        <v>8335948.0008092243</v>
      </c>
      <c r="K172" s="999">
        <f>IF(K171&gt;'Premissas Gerais'!$E$7,0,K127)</f>
        <v>8335948.0008092243</v>
      </c>
      <c r="L172" s="999">
        <f>IF(L171&gt;'Premissas Gerais'!$E$7,0,L127)</f>
        <v>8335948.0008092243</v>
      </c>
      <c r="M172" s="999">
        <f>IF(M171&gt;'Premissas Gerais'!$E$7,0,M127)</f>
        <v>8335948.0008092243</v>
      </c>
      <c r="N172" s="999">
        <f>IF(N171&gt;'Premissas Gerais'!$E$7,0,N127)</f>
        <v>8335948.0008092243</v>
      </c>
      <c r="O172" s="999">
        <f>IF(O171&gt;'Premissas Gerais'!$E$7,0,O127)</f>
        <v>7845598</v>
      </c>
      <c r="P172" s="999">
        <f>IF(P171&gt;'Premissas Gerais'!$E$7,0,P127)</f>
        <v>7845598</v>
      </c>
      <c r="Q172" s="999">
        <f>IF(Q171&gt;'Premissas Gerais'!$E$7,0,Q127)</f>
        <v>7845598</v>
      </c>
      <c r="R172" s="999">
        <f>IF(R171&gt;'Premissas Gerais'!$E$7,0,R127)</f>
        <v>7845598</v>
      </c>
      <c r="S172" s="999">
        <f>IF(S171&gt;'Premissas Gerais'!$E$7,0,S127)</f>
        <v>7845598</v>
      </c>
      <c r="T172" s="999">
        <f>IF(T171&gt;'Premissas Gerais'!$E$7,0,T127)</f>
        <v>7845598</v>
      </c>
      <c r="U172" s="999">
        <f>IF(U171&gt;'Premissas Gerais'!$E$7,0,U127)</f>
        <v>7845598</v>
      </c>
      <c r="V172" s="999">
        <f>IF(V171&gt;'Premissas Gerais'!$E$7,0,V127)</f>
        <v>7845598</v>
      </c>
      <c r="W172" s="999">
        <f>IF(W171&gt;'Premissas Gerais'!$E$7,0,W127)</f>
        <v>7845598</v>
      </c>
      <c r="X172" s="999">
        <f>IF(X171&gt;'Premissas Gerais'!$E$7,0,X127)</f>
        <v>7845598</v>
      </c>
      <c r="Y172" s="999">
        <f>IF(Y171&gt;'Premissas Gerais'!$E$7,0,Y127)</f>
        <v>7845598</v>
      </c>
      <c r="Z172" s="999">
        <f>IF(Z171&gt;'Premissas Gerais'!$E$7,0,Z127)</f>
        <v>7845598</v>
      </c>
      <c r="AA172" s="999">
        <f>IF(AA171&gt;'Premissas Gerais'!$E$7,0,AA127)</f>
        <v>7845598</v>
      </c>
      <c r="AB172" s="999">
        <f>IF(AB171&gt;'Premissas Gerais'!$E$7,0,AB127)</f>
        <v>7845598</v>
      </c>
      <c r="AC172" s="999">
        <f>IF(AC171&gt;'Premissas Gerais'!$E$7,0,AC127)</f>
        <v>7845598</v>
      </c>
      <c r="AD172" s="999">
        <f>IF(AD171&gt;'Premissas Gerais'!$E$7,0,AD127)</f>
        <v>7845598</v>
      </c>
      <c r="AE172" s="999">
        <f>IF(AE171&gt;'Premissas Gerais'!$E$7,0,AE127)</f>
        <v>7845598</v>
      </c>
      <c r="AF172" s="999">
        <f>IF(AF171&gt;'Premissas Gerais'!$E$7,0,AF127)</f>
        <v>7845598</v>
      </c>
      <c r="AG172" s="999">
        <f>IF(AG171&gt;'Premissas Gerais'!$E$7,0,AG127)</f>
        <v>7845598</v>
      </c>
      <c r="AH172" s="999">
        <f>IF(AH171&gt;'Premissas Gerais'!$E$7,0,AH127)</f>
        <v>7845598</v>
      </c>
      <c r="AI172" s="999">
        <f>IF(AI171&gt;'Premissas Gerais'!$E$7,0,AI127)</f>
        <v>7845598</v>
      </c>
      <c r="AJ172" s="999">
        <f>IF(AJ171&gt;'Premissas Gerais'!$E$7,0,AJ127)</f>
        <v>7845598</v>
      </c>
    </row>
    <row r="173" spans="3:36" x14ac:dyDescent="0.35">
      <c r="C173" s="9"/>
      <c r="D173" s="2024" t="s">
        <v>962</v>
      </c>
      <c r="E173" s="2025"/>
      <c r="F173" s="906">
        <f>SUM(G173:AJ173)</f>
        <v>27291520.005845636</v>
      </c>
      <c r="G173" s="562">
        <f>IF(G171&gt;'Premissas Gerais'!$E$7,0,G140)</f>
        <v>950729.00073070498</v>
      </c>
      <c r="H173" s="562">
        <f>IF(H171&gt;'Premissas Gerais'!$E$7,0,H140)</f>
        <v>950729.00073070498</v>
      </c>
      <c r="I173" s="562">
        <f>IF(I171&gt;'Premissas Gerais'!$E$7,0,I140)</f>
        <v>950729.00073070498</v>
      </c>
      <c r="J173" s="562">
        <f>IF(J171&gt;'Premissas Gerais'!$E$7,0,J140)</f>
        <v>950729.00073070498</v>
      </c>
      <c r="K173" s="562">
        <f>IF(K171&gt;'Premissas Gerais'!$E$7,0,K140)</f>
        <v>950729.00073070498</v>
      </c>
      <c r="L173" s="562">
        <f>IF(L171&gt;'Premissas Gerais'!$E$7,0,L140)</f>
        <v>950729.00073070498</v>
      </c>
      <c r="M173" s="562">
        <f>IF(M171&gt;'Premissas Gerais'!$E$7,0,M140)</f>
        <v>950729.00073070498</v>
      </c>
      <c r="N173" s="562">
        <f>IF(N171&gt;'Premissas Gerais'!$E$7,0,N140)</f>
        <v>950729.00073070498</v>
      </c>
      <c r="O173" s="562">
        <f>IF(O171&gt;'Premissas Gerais'!$E$7,0,O140)</f>
        <v>894803.99999999988</v>
      </c>
      <c r="P173" s="562">
        <f>IF(P171&gt;'Premissas Gerais'!$E$7,0,P140)</f>
        <v>894803.99999999988</v>
      </c>
      <c r="Q173" s="562">
        <f>IF(Q171&gt;'Premissas Gerais'!$E$7,0,Q140)</f>
        <v>894803.99999999988</v>
      </c>
      <c r="R173" s="562">
        <f>IF(R171&gt;'Premissas Gerais'!$E$7,0,R140)</f>
        <v>894803.99999999988</v>
      </c>
      <c r="S173" s="562">
        <f>IF(S171&gt;'Premissas Gerais'!$E$7,0,S140)</f>
        <v>894803.99999999988</v>
      </c>
      <c r="T173" s="562">
        <f>IF(T171&gt;'Premissas Gerais'!$E$7,0,T140)</f>
        <v>894803.99999999988</v>
      </c>
      <c r="U173" s="562">
        <f>IF(U171&gt;'Premissas Gerais'!$E$7,0,U140)</f>
        <v>894803.99999999988</v>
      </c>
      <c r="V173" s="562">
        <f>IF(V171&gt;'Premissas Gerais'!$E$7,0,V140)</f>
        <v>894803.99999999988</v>
      </c>
      <c r="W173" s="562">
        <f>IF(W171&gt;'Premissas Gerais'!$E$7,0,W140)</f>
        <v>894803.99999999988</v>
      </c>
      <c r="X173" s="562">
        <f>IF(X171&gt;'Premissas Gerais'!$E$7,0,X140)</f>
        <v>894803.99999999988</v>
      </c>
      <c r="Y173" s="562">
        <f>IF(Y171&gt;'Premissas Gerais'!$E$7,0,Y140)</f>
        <v>894803.99999999988</v>
      </c>
      <c r="Z173" s="562">
        <f>IF(Z171&gt;'Premissas Gerais'!$E$7,0,Z140)</f>
        <v>894803.99999999988</v>
      </c>
      <c r="AA173" s="562">
        <f>IF(AA171&gt;'Premissas Gerais'!$E$7,0,AA140)</f>
        <v>894803.99999999988</v>
      </c>
      <c r="AB173" s="562">
        <f>IF(AB171&gt;'Premissas Gerais'!$E$7,0,AB140)</f>
        <v>894803.99999999988</v>
      </c>
      <c r="AC173" s="562">
        <f>IF(AC171&gt;'Premissas Gerais'!$E$7,0,AC140)</f>
        <v>894803.99999999988</v>
      </c>
      <c r="AD173" s="562">
        <f>IF(AD171&gt;'Premissas Gerais'!$E$7,0,AD140)</f>
        <v>894803.99999999988</v>
      </c>
      <c r="AE173" s="562">
        <f>IF(AE171&gt;'Premissas Gerais'!$E$7,0,AE140)</f>
        <v>894803.99999999988</v>
      </c>
      <c r="AF173" s="562">
        <f>IF(AF171&gt;'Premissas Gerais'!$E$7,0,AF140)</f>
        <v>894803.99999999988</v>
      </c>
      <c r="AG173" s="562">
        <f>IF(AG171&gt;'Premissas Gerais'!$E$7,0,AG140)</f>
        <v>894803.99999999988</v>
      </c>
      <c r="AH173" s="562">
        <f>IF(AH171&gt;'Premissas Gerais'!$E$7,0,AH140)</f>
        <v>894803.99999999988</v>
      </c>
      <c r="AI173" s="562">
        <f>IF(AI171&gt;'Premissas Gerais'!$E$7,0,AI140)</f>
        <v>894803.99999999988</v>
      </c>
      <c r="AJ173" s="562">
        <f>IF(AJ171&gt;'Premissas Gerais'!$E$7,0,AJ140)</f>
        <v>894803.99999999988</v>
      </c>
    </row>
    <row r="174" spans="3:36" x14ac:dyDescent="0.35">
      <c r="C174" s="9"/>
      <c r="D174" s="2024" t="s">
        <v>963</v>
      </c>
      <c r="E174" s="2025"/>
      <c r="F174" s="906">
        <f>SUM(G174:AJ174)</f>
        <v>54643292.772117928</v>
      </c>
      <c r="G174" s="563">
        <f>G153</f>
        <v>283768.33500000002</v>
      </c>
      <c r="H174" s="563">
        <f t="shared" ref="H174:AJ174" si="125">H153</f>
        <v>283768.33500000002</v>
      </c>
      <c r="I174" s="563">
        <f>I153</f>
        <v>1931277.0036470701</v>
      </c>
      <c r="J174" s="563">
        <f t="shared" si="125"/>
        <v>1931277.0036470701</v>
      </c>
      <c r="K174" s="563">
        <f t="shared" si="125"/>
        <v>1931277.0036470701</v>
      </c>
      <c r="L174" s="563">
        <f t="shared" si="125"/>
        <v>1931277.0036470701</v>
      </c>
      <c r="M174" s="563">
        <f t="shared" si="125"/>
        <v>1931277.0036470701</v>
      </c>
      <c r="N174" s="563">
        <f t="shared" si="125"/>
        <v>1931277.0036470701</v>
      </c>
      <c r="O174" s="563">
        <f t="shared" si="125"/>
        <v>1931277.0036470701</v>
      </c>
      <c r="P174" s="563">
        <f t="shared" si="125"/>
        <v>1931277.0036470701</v>
      </c>
      <c r="Q174" s="563">
        <f t="shared" si="125"/>
        <v>1931277.0036470701</v>
      </c>
      <c r="R174" s="563">
        <f t="shared" si="125"/>
        <v>1931277.0036470701</v>
      </c>
      <c r="S174" s="563">
        <f t="shared" si="125"/>
        <v>1931277.0036470701</v>
      </c>
      <c r="T174" s="563">
        <f t="shared" si="125"/>
        <v>1931277.0036470701</v>
      </c>
      <c r="U174" s="563">
        <f t="shared" si="125"/>
        <v>1931277.0036470701</v>
      </c>
      <c r="V174" s="563">
        <f t="shared" si="125"/>
        <v>1931277.0036470701</v>
      </c>
      <c r="W174" s="563">
        <f t="shared" si="125"/>
        <v>1931277.0036470701</v>
      </c>
      <c r="X174" s="563">
        <f t="shared" si="125"/>
        <v>1931277.0036470701</v>
      </c>
      <c r="Y174" s="563">
        <f t="shared" si="125"/>
        <v>1931277.0036470701</v>
      </c>
      <c r="Z174" s="563">
        <f t="shared" si="125"/>
        <v>1931277.0036470701</v>
      </c>
      <c r="AA174" s="563">
        <f t="shared" si="125"/>
        <v>1931277.0036470701</v>
      </c>
      <c r="AB174" s="563">
        <f t="shared" si="125"/>
        <v>1931277.0036470701</v>
      </c>
      <c r="AC174" s="563">
        <f t="shared" si="125"/>
        <v>1931277.0036470701</v>
      </c>
      <c r="AD174" s="563">
        <f t="shared" si="125"/>
        <v>1931277.0036470701</v>
      </c>
      <c r="AE174" s="563">
        <f t="shared" si="125"/>
        <v>1931277.0036470701</v>
      </c>
      <c r="AF174" s="563">
        <f t="shared" si="125"/>
        <v>1931277.0036470701</v>
      </c>
      <c r="AG174" s="563">
        <f t="shared" si="125"/>
        <v>1931277.0036470701</v>
      </c>
      <c r="AH174" s="563">
        <f t="shared" si="125"/>
        <v>1931277.0036470701</v>
      </c>
      <c r="AI174" s="563">
        <f t="shared" si="125"/>
        <v>1931277.0036470701</v>
      </c>
      <c r="AJ174" s="563">
        <f t="shared" si="125"/>
        <v>1931277.0036470701</v>
      </c>
    </row>
    <row r="175" spans="3:36" x14ac:dyDescent="0.35">
      <c r="C175" s="9"/>
      <c r="D175" s="2021" t="s">
        <v>964</v>
      </c>
      <c r="E175" s="2022"/>
      <c r="F175" s="1092">
        <f>SUM(G175:AJ175)</f>
        <v>76109445.359999985</v>
      </c>
      <c r="G175" s="1019">
        <f>G166</f>
        <v>0</v>
      </c>
      <c r="H175" s="1019">
        <f t="shared" ref="H175:AJ175" si="126">H166</f>
        <v>0</v>
      </c>
      <c r="I175" s="1019">
        <f t="shared" si="126"/>
        <v>0</v>
      </c>
      <c r="J175" s="1019">
        <f t="shared" si="126"/>
        <v>0</v>
      </c>
      <c r="K175" s="1019">
        <f t="shared" si="126"/>
        <v>0</v>
      </c>
      <c r="L175" s="1019">
        <f t="shared" si="126"/>
        <v>0</v>
      </c>
      <c r="M175" s="1019">
        <f t="shared" si="126"/>
        <v>0</v>
      </c>
      <c r="N175" s="1019">
        <f>N166</f>
        <v>3309106.32</v>
      </c>
      <c r="O175" s="1019">
        <f t="shared" si="126"/>
        <v>3309106.32</v>
      </c>
      <c r="P175" s="1019">
        <f t="shared" si="126"/>
        <v>3309106.32</v>
      </c>
      <c r="Q175" s="1019">
        <f t="shared" si="126"/>
        <v>3309106.32</v>
      </c>
      <c r="R175" s="1019">
        <f t="shared" si="126"/>
        <v>3309106.32</v>
      </c>
      <c r="S175" s="1019">
        <f t="shared" si="126"/>
        <v>3309106.32</v>
      </c>
      <c r="T175" s="1019">
        <f t="shared" si="126"/>
        <v>3309106.32</v>
      </c>
      <c r="U175" s="1019">
        <f t="shared" si="126"/>
        <v>3309106.32</v>
      </c>
      <c r="V175" s="1019">
        <f t="shared" si="126"/>
        <v>3309106.32</v>
      </c>
      <c r="W175" s="1019">
        <f t="shared" si="126"/>
        <v>3309106.32</v>
      </c>
      <c r="X175" s="1019">
        <f t="shared" si="126"/>
        <v>3309106.32</v>
      </c>
      <c r="Y175" s="1019">
        <f t="shared" si="126"/>
        <v>3309106.32</v>
      </c>
      <c r="Z175" s="1019">
        <f t="shared" si="126"/>
        <v>3309106.32</v>
      </c>
      <c r="AA175" s="1019">
        <f t="shared" si="126"/>
        <v>3309106.32</v>
      </c>
      <c r="AB175" s="1019">
        <f t="shared" si="126"/>
        <v>3309106.32</v>
      </c>
      <c r="AC175" s="1019">
        <f t="shared" si="126"/>
        <v>3309106.32</v>
      </c>
      <c r="AD175" s="1019">
        <f t="shared" si="126"/>
        <v>3309106.32</v>
      </c>
      <c r="AE175" s="1019">
        <f t="shared" si="126"/>
        <v>3309106.32</v>
      </c>
      <c r="AF175" s="1019">
        <f t="shared" si="126"/>
        <v>3309106.32</v>
      </c>
      <c r="AG175" s="1019">
        <f t="shared" si="126"/>
        <v>3309106.32</v>
      </c>
      <c r="AH175" s="1019">
        <f t="shared" si="126"/>
        <v>3309106.32</v>
      </c>
      <c r="AI175" s="1019">
        <f t="shared" si="126"/>
        <v>3309106.32</v>
      </c>
      <c r="AJ175" s="1019">
        <f t="shared" si="126"/>
        <v>3309106.32</v>
      </c>
    </row>
    <row r="176" spans="3:36" x14ac:dyDescent="0.35">
      <c r="C176" s="9"/>
      <c r="D176" s="111" t="s">
        <v>455</v>
      </c>
      <c r="E176" s="111"/>
      <c r="F176" s="907">
        <f t="shared" ref="F176:AJ176" si="127">SUM(F172:F175)</f>
        <v>397334998.14443731</v>
      </c>
      <c r="G176" s="488">
        <f t="shared" si="127"/>
        <v>9570445.3365399297</v>
      </c>
      <c r="H176" s="488">
        <f t="shared" si="127"/>
        <v>9570445.3365399297</v>
      </c>
      <c r="I176" s="488">
        <f t="shared" si="127"/>
        <v>11217954.005186999</v>
      </c>
      <c r="J176" s="488">
        <f t="shared" si="127"/>
        <v>11217954.005186999</v>
      </c>
      <c r="K176" s="488">
        <f t="shared" si="127"/>
        <v>11217954.005186999</v>
      </c>
      <c r="L176" s="488">
        <f t="shared" si="127"/>
        <v>11217954.005186999</v>
      </c>
      <c r="M176" s="488">
        <f t="shared" si="127"/>
        <v>11217954.005186999</v>
      </c>
      <c r="N176" s="488">
        <f t="shared" si="127"/>
        <v>14527060.325187</v>
      </c>
      <c r="O176" s="488">
        <f t="shared" si="127"/>
        <v>13980785.323647071</v>
      </c>
      <c r="P176" s="488">
        <f t="shared" si="127"/>
        <v>13980785.323647071</v>
      </c>
      <c r="Q176" s="488">
        <f t="shared" si="127"/>
        <v>13980785.323647071</v>
      </c>
      <c r="R176" s="488">
        <f t="shared" si="127"/>
        <v>13980785.323647071</v>
      </c>
      <c r="S176" s="488">
        <f t="shared" si="127"/>
        <v>13980785.323647071</v>
      </c>
      <c r="T176" s="488">
        <f t="shared" si="127"/>
        <v>13980785.323647071</v>
      </c>
      <c r="U176" s="488">
        <f t="shared" si="127"/>
        <v>13980785.323647071</v>
      </c>
      <c r="V176" s="488">
        <f t="shared" si="127"/>
        <v>13980785.323647071</v>
      </c>
      <c r="W176" s="488">
        <f t="shared" si="127"/>
        <v>13980785.323647071</v>
      </c>
      <c r="X176" s="488">
        <f t="shared" si="127"/>
        <v>13980785.323647071</v>
      </c>
      <c r="Y176" s="488">
        <f t="shared" si="127"/>
        <v>13980785.323647071</v>
      </c>
      <c r="Z176" s="488">
        <f t="shared" si="127"/>
        <v>13980785.323647071</v>
      </c>
      <c r="AA176" s="488">
        <f t="shared" si="127"/>
        <v>13980785.323647071</v>
      </c>
      <c r="AB176" s="488">
        <f t="shared" si="127"/>
        <v>13980785.323647071</v>
      </c>
      <c r="AC176" s="488">
        <f t="shared" si="127"/>
        <v>13980785.323647071</v>
      </c>
      <c r="AD176" s="488">
        <f t="shared" si="127"/>
        <v>13980785.323647071</v>
      </c>
      <c r="AE176" s="488">
        <f t="shared" si="127"/>
        <v>13980785.323647071</v>
      </c>
      <c r="AF176" s="488">
        <f t="shared" si="127"/>
        <v>13980785.323647071</v>
      </c>
      <c r="AG176" s="488">
        <f t="shared" si="127"/>
        <v>13980785.323647071</v>
      </c>
      <c r="AH176" s="488">
        <f t="shared" si="127"/>
        <v>13980785.323647071</v>
      </c>
      <c r="AI176" s="488">
        <f t="shared" si="127"/>
        <v>13980785.323647071</v>
      </c>
      <c r="AJ176" s="488">
        <f t="shared" si="127"/>
        <v>13980785.323647071</v>
      </c>
    </row>
    <row r="177" spans="3:36" x14ac:dyDescent="0.35">
      <c r="C177" s="9"/>
    </row>
    <row r="178" spans="3:36" ht="15" thickBot="1" x14ac:dyDescent="0.4">
      <c r="C178" s="38"/>
      <c r="D178" s="59"/>
      <c r="E178" s="59"/>
      <c r="F178" s="59"/>
      <c r="G178" s="59"/>
      <c r="H178" s="59"/>
      <c r="I178" s="59"/>
      <c r="J178" s="59"/>
      <c r="K178" s="59"/>
      <c r="L178" s="59"/>
      <c r="M178" s="59"/>
      <c r="N178" s="59"/>
      <c r="O178" s="59"/>
      <c r="P178" s="59"/>
      <c r="Q178" s="59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</row>
    <row r="180" spans="3:36" x14ac:dyDescent="0.35">
      <c r="F180" s="96"/>
    </row>
    <row r="182" spans="3:36" x14ac:dyDescent="0.35">
      <c r="F182" s="97"/>
    </row>
    <row r="183" spans="3:36" x14ac:dyDescent="0.35">
      <c r="F183" s="96"/>
    </row>
    <row r="184" spans="3:36" x14ac:dyDescent="0.35">
      <c r="F184" s="97"/>
    </row>
  </sheetData>
  <sheetProtection algorithmName="SHA-512" hashValue="aHQscjGKNBUSi10dgfXw4+VP/5D//kEtD0icdq0iP4jh1/dMkQCJY+5BB30e5dso7MhiYZ1LaoslO/Xa1SE8ow==" saltValue="ibjSGVUPYgj7cQ6pBPRTFA==" spinCount="100000" sheet="1" objects="1" scenarios="1"/>
  <mergeCells count="50">
    <mergeCell ref="E61:E62"/>
    <mergeCell ref="F61:H61"/>
    <mergeCell ref="I61:K61"/>
    <mergeCell ref="L61:M61"/>
    <mergeCell ref="E86:G86"/>
    <mergeCell ref="E101:G101"/>
    <mergeCell ref="D174:E174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2:E152"/>
    <mergeCell ref="D125:E125"/>
    <mergeCell ref="C106:E106"/>
    <mergeCell ref="C107:E107"/>
    <mergeCell ref="C108:E108"/>
    <mergeCell ref="D120:E120"/>
    <mergeCell ref="D175:E175"/>
    <mergeCell ref="C110:F110"/>
    <mergeCell ref="D134:E134"/>
    <mergeCell ref="D135:E135"/>
    <mergeCell ref="D136:E136"/>
    <mergeCell ref="D137:E137"/>
    <mergeCell ref="D138:E138"/>
    <mergeCell ref="D173:E173"/>
    <mergeCell ref="D132:E132"/>
    <mergeCell ref="D133:E133"/>
    <mergeCell ref="D131:E131"/>
    <mergeCell ref="D126:E126"/>
    <mergeCell ref="D123:E123"/>
    <mergeCell ref="D124:E124"/>
    <mergeCell ref="D118:E118"/>
    <mergeCell ref="D119:E119"/>
    <mergeCell ref="D121:E121"/>
    <mergeCell ref="D122:E122"/>
    <mergeCell ref="D172:E172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39:E139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F612B-27DE-43D1-A44F-E76C00CEDFC1}">
  <sheetPr codeName="Planilha15"/>
  <dimension ref="B2:AN101"/>
  <sheetViews>
    <sheetView showGridLines="0" topLeftCell="B10" zoomScaleNormal="100" workbookViewId="0">
      <selection activeCell="G22" sqref="G22"/>
    </sheetView>
  </sheetViews>
  <sheetFormatPr defaultColWidth="8.81640625" defaultRowHeight="14.5" x14ac:dyDescent="0.35"/>
  <cols>
    <col min="1" max="1" width="1.6328125" customWidth="1"/>
    <col min="2" max="2" width="3.36328125" customWidth="1"/>
    <col min="3" max="3" width="20.81640625" customWidth="1"/>
    <col min="4" max="4" width="20" customWidth="1"/>
    <col min="5" max="5" width="18.453125" customWidth="1"/>
    <col min="6" max="6" width="15" style="65" bestFit="1" customWidth="1"/>
    <col min="7" max="7" width="15.36328125" style="65" bestFit="1" customWidth="1"/>
    <col min="8" max="9" width="15" style="65" bestFit="1" customWidth="1"/>
    <col min="10" max="35" width="15" bestFit="1" customWidth="1"/>
    <col min="36" max="39" width="14.36328125" bestFit="1" customWidth="1"/>
    <col min="40" max="40" width="13.453125" bestFit="1" customWidth="1"/>
  </cols>
  <sheetData>
    <row r="2" spans="2:39" ht="21" x14ac:dyDescent="0.5">
      <c r="B2" s="98"/>
      <c r="C2" s="98" t="s">
        <v>965</v>
      </c>
      <c r="D2" s="76"/>
      <c r="E2" s="76"/>
      <c r="F2" s="236"/>
      <c r="G2" s="236"/>
      <c r="H2" s="236"/>
      <c r="I2" s="23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ht="5.25" customHeight="1" x14ac:dyDescent="0.35">
      <c r="B3" s="922"/>
      <c r="C3" s="922"/>
      <c r="D3" s="922"/>
      <c r="E3" s="922"/>
      <c r="F3" s="922"/>
      <c r="G3" s="922"/>
      <c r="H3" s="922"/>
      <c r="I3" s="922"/>
      <c r="J3" s="922"/>
      <c r="K3" s="922"/>
    </row>
    <row r="4" spans="2:39" ht="18.5" x14ac:dyDescent="0.45">
      <c r="B4" s="549"/>
      <c r="C4" s="846" t="s">
        <v>966</v>
      </c>
      <c r="D4" s="549"/>
      <c r="E4" s="549"/>
      <c r="F4" s="851"/>
      <c r="G4" s="851"/>
      <c r="H4" s="851"/>
      <c r="I4" s="851"/>
      <c r="J4" s="549"/>
      <c r="K4" s="549"/>
    </row>
    <row r="5" spans="2:39" ht="15" thickBot="1" x14ac:dyDescent="0.4">
      <c r="B5" s="549"/>
      <c r="C5" s="549"/>
      <c r="D5" s="549"/>
      <c r="E5" s="549"/>
      <c r="F5" s="851"/>
      <c r="G5" s="851"/>
      <c r="H5" s="851"/>
      <c r="I5" s="851"/>
      <c r="J5" s="549"/>
      <c r="K5" s="549"/>
    </row>
    <row r="6" spans="2:39" ht="29.5" thickBot="1" x14ac:dyDescent="0.4">
      <c r="B6" s="549"/>
      <c r="C6" s="840" t="s">
        <v>818</v>
      </c>
      <c r="D6" s="840" t="s">
        <v>967</v>
      </c>
      <c r="E6" s="840" t="s">
        <v>968</v>
      </c>
      <c r="F6" s="840" t="s">
        <v>969</v>
      </c>
      <c r="G6" s="840" t="s">
        <v>970</v>
      </c>
      <c r="H6" s="851"/>
      <c r="I6" s="851"/>
      <c r="J6" s="549"/>
      <c r="K6" s="549"/>
    </row>
    <row r="7" spans="2:39" ht="3.75" customHeight="1" thickBot="1" x14ac:dyDescent="0.4">
      <c r="B7" s="549"/>
      <c r="C7" s="833"/>
      <c r="D7" s="834"/>
      <c r="E7" s="834"/>
      <c r="F7" s="834"/>
      <c r="G7" s="834"/>
      <c r="H7" s="851"/>
      <c r="I7" s="851"/>
      <c r="J7" s="549"/>
      <c r="K7" s="549"/>
    </row>
    <row r="8" spans="2:39" ht="15" thickBot="1" x14ac:dyDescent="0.4">
      <c r="B8" s="549"/>
      <c r="C8" s="828" t="s">
        <v>971</v>
      </c>
      <c r="D8" s="1180">
        <f>E8/12</f>
        <v>12956.43</v>
      </c>
      <c r="E8" s="993">
        <v>155477.16</v>
      </c>
      <c r="F8" s="1180">
        <f>E8*D12</f>
        <v>777385.8</v>
      </c>
      <c r="G8" s="1180">
        <f>E8*D13</f>
        <v>621908.64</v>
      </c>
      <c r="H8" s="851"/>
      <c r="I8" s="851"/>
      <c r="J8" s="549"/>
      <c r="K8" s="549"/>
    </row>
    <row r="9" spans="2:39" ht="26.5" thickBot="1" x14ac:dyDescent="0.4">
      <c r="B9" s="549"/>
      <c r="C9" s="829" t="s">
        <v>972</v>
      </c>
      <c r="D9" s="1180">
        <f>E9/12</f>
        <v>21534.74</v>
      </c>
      <c r="E9" s="993">
        <v>258416.88</v>
      </c>
      <c r="F9" s="1180">
        <f>E9*D12</f>
        <v>1292084.3999999999</v>
      </c>
      <c r="G9" s="1180">
        <f>E9*D13</f>
        <v>1033667.52</v>
      </c>
      <c r="H9" s="851"/>
      <c r="I9" s="851"/>
      <c r="J9" s="549"/>
      <c r="K9" s="549"/>
    </row>
    <row r="10" spans="2:39" ht="15" thickBot="1" x14ac:dyDescent="0.4">
      <c r="B10" s="549"/>
      <c r="C10" s="836" t="s">
        <v>200</v>
      </c>
      <c r="D10" s="1196">
        <f>SUM(D8:D9)</f>
        <v>34491.17</v>
      </c>
      <c r="E10" s="1196">
        <f t="shared" ref="E10" si="0">SUM(E8:E9)</f>
        <v>413894.04000000004</v>
      </c>
      <c r="F10" s="1196">
        <f>SUM(F8:F9)</f>
        <v>2069470.2</v>
      </c>
      <c r="G10" s="1196">
        <f>SUM(G8:G9)</f>
        <v>1655576.1600000001</v>
      </c>
      <c r="H10" s="851"/>
      <c r="I10" s="851"/>
      <c r="J10" s="549"/>
      <c r="K10" s="549"/>
    </row>
    <row r="11" spans="2:39" ht="4.5" customHeight="1" thickBot="1" x14ac:dyDescent="0.4">
      <c r="B11" s="549"/>
      <c r="C11" s="548"/>
      <c r="D11" s="918"/>
      <c r="E11" s="918"/>
      <c r="F11" s="918"/>
      <c r="G11" s="851"/>
      <c r="H11" s="851"/>
      <c r="I11" s="851"/>
      <c r="J11" s="549"/>
      <c r="K11" s="549"/>
    </row>
    <row r="12" spans="2:39" ht="15" thickBot="1" x14ac:dyDescent="0.4">
      <c r="B12" s="549"/>
      <c r="C12" s="848" t="s">
        <v>973</v>
      </c>
      <c r="D12" s="626">
        <v>5</v>
      </c>
      <c r="E12" s="1537" t="s">
        <v>974</v>
      </c>
      <c r="F12" s="918"/>
      <c r="G12" s="851"/>
      <c r="H12" s="851"/>
      <c r="I12" s="851"/>
      <c r="J12" s="549"/>
      <c r="K12" s="549"/>
    </row>
    <row r="13" spans="2:39" ht="15" thickBot="1" x14ac:dyDescent="0.4">
      <c r="B13" s="549"/>
      <c r="C13" s="848" t="s">
        <v>973</v>
      </c>
      <c r="D13" s="626">
        <v>4</v>
      </c>
      <c r="E13" s="1537" t="s">
        <v>975</v>
      </c>
      <c r="F13" s="918"/>
      <c r="G13" s="851"/>
      <c r="H13" s="851"/>
      <c r="I13" s="851"/>
      <c r="J13" s="549"/>
      <c r="K13" s="549"/>
    </row>
    <row r="14" spans="2:39" ht="9" customHeight="1" x14ac:dyDescent="0.35">
      <c r="B14" s="549"/>
      <c r="C14" s="548"/>
      <c r="D14" s="549"/>
      <c r="E14" s="549"/>
      <c r="F14" s="552"/>
      <c r="G14" s="851"/>
      <c r="H14" s="851"/>
      <c r="I14" s="851"/>
      <c r="J14" s="549"/>
      <c r="K14" s="549"/>
    </row>
    <row r="15" spans="2:39" ht="3" customHeight="1" x14ac:dyDescent="0.35">
      <c r="C15" s="77"/>
    </row>
    <row r="16" spans="2:39" ht="19" thickBot="1" x14ac:dyDescent="0.5">
      <c r="B16" s="549"/>
      <c r="C16" s="846" t="s">
        <v>976</v>
      </c>
      <c r="D16" s="549"/>
      <c r="E16" s="549"/>
      <c r="F16" s="549"/>
      <c r="G16" s="549"/>
      <c r="H16" s="549"/>
      <c r="I16" s="549"/>
      <c r="J16" s="549"/>
      <c r="K16" s="549"/>
      <c r="L16" s="549"/>
      <c r="M16" s="549"/>
      <c r="N16" s="549"/>
    </row>
    <row r="17" spans="2:36" ht="15" thickBot="1" x14ac:dyDescent="0.4">
      <c r="B17" s="549"/>
      <c r="C17" s="1992" t="s">
        <v>68</v>
      </c>
      <c r="D17" s="1993"/>
      <c r="E17" s="1971" t="s">
        <v>977</v>
      </c>
      <c r="F17" s="1972"/>
      <c r="G17" s="1972"/>
      <c r="H17" s="1973"/>
      <c r="I17" s="1971" t="s">
        <v>978</v>
      </c>
      <c r="J17" s="1972"/>
      <c r="K17" s="1972"/>
      <c r="L17" s="1973"/>
      <c r="M17" s="549"/>
      <c r="N17" s="549"/>
    </row>
    <row r="18" spans="2:36" ht="44" thickBot="1" x14ac:dyDescent="0.4">
      <c r="B18" s="549"/>
      <c r="C18" s="1994"/>
      <c r="D18" s="1995"/>
      <c r="E18" s="840" t="s">
        <v>979</v>
      </c>
      <c r="F18" s="840" t="s">
        <v>980</v>
      </c>
      <c r="G18" s="840" t="s">
        <v>981</v>
      </c>
      <c r="H18" s="840" t="s">
        <v>982</v>
      </c>
      <c r="I18" s="840" t="s">
        <v>979</v>
      </c>
      <c r="J18" s="840" t="s">
        <v>980</v>
      </c>
      <c r="K18" s="840" t="s">
        <v>981</v>
      </c>
      <c r="L18" s="840" t="s">
        <v>982</v>
      </c>
      <c r="M18" s="549"/>
      <c r="N18" s="549"/>
    </row>
    <row r="19" spans="2:36" ht="3" customHeight="1" thickBot="1" x14ac:dyDescent="0.4">
      <c r="B19" s="549"/>
      <c r="C19" s="833"/>
      <c r="D19" s="834"/>
      <c r="E19" s="106"/>
      <c r="F19" s="106"/>
      <c r="G19" s="106"/>
      <c r="H19" s="106"/>
      <c r="I19" s="106"/>
      <c r="J19" s="106"/>
      <c r="K19" s="106"/>
      <c r="L19" s="106"/>
      <c r="M19" s="549"/>
      <c r="N19" s="549"/>
    </row>
    <row r="20" spans="2:36" ht="15" thickBot="1" x14ac:dyDescent="0.4">
      <c r="B20" s="549"/>
      <c r="C20" s="2034" t="s">
        <v>983</v>
      </c>
      <c r="D20" s="2035"/>
      <c r="E20" s="993">
        <v>314431.28999999998</v>
      </c>
      <c r="F20" s="993">
        <v>76785.789999999994</v>
      </c>
      <c r="G20" s="993">
        <v>7548.43</v>
      </c>
      <c r="H20" s="841">
        <f>SUM(E20:G20)</f>
        <v>398765.50999999995</v>
      </c>
      <c r="I20" s="993">
        <v>214905.55</v>
      </c>
      <c r="J20" s="993">
        <v>54491.48</v>
      </c>
      <c r="K20" s="993">
        <v>5215.68</v>
      </c>
      <c r="L20" s="841">
        <f>SUM(I20:K20)</f>
        <v>274612.70999999996</v>
      </c>
      <c r="M20" s="549"/>
      <c r="N20" s="549"/>
    </row>
    <row r="21" spans="2:36" ht="15" thickBot="1" x14ac:dyDescent="0.4">
      <c r="B21" s="549"/>
      <c r="C21" s="2034" t="s">
        <v>984</v>
      </c>
      <c r="D21" s="2035"/>
      <c r="E21" s="993">
        <v>673127.78</v>
      </c>
      <c r="F21" s="993">
        <v>165935.39000000001</v>
      </c>
      <c r="G21" s="993">
        <v>10391.91</v>
      </c>
      <c r="H21" s="841">
        <f t="shared" ref="H21:H24" si="1">SUM(E21:G21)</f>
        <v>849455.08000000007</v>
      </c>
      <c r="I21" s="993">
        <v>443105.65</v>
      </c>
      <c r="J21" s="993">
        <v>112477.18</v>
      </c>
      <c r="K21" s="993">
        <v>7029.82</v>
      </c>
      <c r="L21" s="841">
        <f t="shared" ref="L21:L24" si="2">SUM(I21:K21)</f>
        <v>562612.65</v>
      </c>
      <c r="M21" s="549"/>
      <c r="N21" s="549"/>
    </row>
    <row r="22" spans="2:36" ht="15" thickBot="1" x14ac:dyDescent="0.4">
      <c r="B22" s="549"/>
      <c r="C22" s="2034" t="s">
        <v>985</v>
      </c>
      <c r="D22" s="2035"/>
      <c r="E22" s="993">
        <v>654211.35</v>
      </c>
      <c r="F22" s="993">
        <v>153372.41</v>
      </c>
      <c r="G22" s="993">
        <v>49855.55</v>
      </c>
      <c r="H22" s="841">
        <f t="shared" si="1"/>
        <v>857439.31</v>
      </c>
      <c r="I22" s="993">
        <v>129593.27</v>
      </c>
      <c r="J22" s="993">
        <v>32970.17</v>
      </c>
      <c r="K22" s="993">
        <v>10332.76</v>
      </c>
      <c r="L22" s="841">
        <f t="shared" si="2"/>
        <v>172896.2</v>
      </c>
      <c r="M22" s="549"/>
      <c r="N22" s="549"/>
    </row>
    <row r="23" spans="2:36" ht="15" thickBot="1" x14ac:dyDescent="0.4">
      <c r="B23" s="549"/>
      <c r="C23" s="2034" t="s">
        <v>986</v>
      </c>
      <c r="D23" s="2035"/>
      <c r="E23" s="993">
        <v>648762.99</v>
      </c>
      <c r="F23" s="993">
        <v>152449.56</v>
      </c>
      <c r="G23" s="993">
        <v>47731.81</v>
      </c>
      <c r="H23" s="841">
        <f t="shared" si="1"/>
        <v>848944.3600000001</v>
      </c>
      <c r="I23" s="993">
        <v>0</v>
      </c>
      <c r="J23" s="993">
        <v>30870.09</v>
      </c>
      <c r="K23" s="993">
        <v>0</v>
      </c>
      <c r="L23" s="841">
        <f t="shared" si="2"/>
        <v>30870.09</v>
      </c>
      <c r="M23" s="549"/>
      <c r="N23" s="549"/>
    </row>
    <row r="24" spans="2:36" ht="15" thickBot="1" x14ac:dyDescent="0.4">
      <c r="B24" s="549"/>
      <c r="C24" s="2034" t="s">
        <v>987</v>
      </c>
      <c r="D24" s="2035"/>
      <c r="E24" s="993">
        <v>6777727.9199999999</v>
      </c>
      <c r="F24" s="993">
        <v>1592743.07</v>
      </c>
      <c r="G24" s="993">
        <v>137118.04</v>
      </c>
      <c r="H24" s="841">
        <f t="shared" si="1"/>
        <v>8507589.0299999993</v>
      </c>
      <c r="I24" s="993">
        <v>121488.76</v>
      </c>
      <c r="J24" s="993">
        <v>0</v>
      </c>
      <c r="K24" s="993">
        <v>0</v>
      </c>
      <c r="L24" s="841">
        <f t="shared" si="2"/>
        <v>121488.76</v>
      </c>
      <c r="M24" s="549"/>
      <c r="N24" s="549"/>
    </row>
    <row r="25" spans="2:36" ht="15" thickBot="1" x14ac:dyDescent="0.4">
      <c r="B25" s="549"/>
      <c r="C25" s="836" t="s">
        <v>200</v>
      </c>
      <c r="D25" s="837"/>
      <c r="E25" s="1196">
        <f t="shared" ref="E25:K25" si="3">SUM(E20:E24)</f>
        <v>9068261.3300000001</v>
      </c>
      <c r="F25" s="1196">
        <f t="shared" si="3"/>
        <v>2141286.2199999997</v>
      </c>
      <c r="G25" s="1196">
        <f t="shared" si="3"/>
        <v>252645.74</v>
      </c>
      <c r="H25" s="1196">
        <f t="shared" si="3"/>
        <v>11462193.289999999</v>
      </c>
      <c r="I25" s="1196">
        <f t="shared" si="3"/>
        <v>909093.23</v>
      </c>
      <c r="J25" s="1196">
        <f t="shared" si="3"/>
        <v>230808.92</v>
      </c>
      <c r="K25" s="1196">
        <f t="shared" si="3"/>
        <v>22578.260000000002</v>
      </c>
      <c r="L25" s="1196">
        <f>SUM(L20:L24)</f>
        <v>1162480.4099999999</v>
      </c>
      <c r="M25" s="549"/>
      <c r="N25" s="549"/>
    </row>
    <row r="26" spans="2:36" ht="6" customHeight="1" x14ac:dyDescent="0.35">
      <c r="B26" s="549"/>
      <c r="C26" s="549"/>
      <c r="D26" s="549"/>
      <c r="E26" s="549"/>
      <c r="F26" s="549"/>
      <c r="G26" s="549"/>
      <c r="H26" s="549"/>
      <c r="I26" s="549"/>
      <c r="J26" s="549"/>
      <c r="K26" s="549"/>
      <c r="L26" s="549"/>
      <c r="M26" s="549"/>
      <c r="N26" s="549"/>
    </row>
    <row r="27" spans="2:36" x14ac:dyDescent="0.35">
      <c r="B27" s="549"/>
      <c r="C27" s="549"/>
      <c r="D27" s="549"/>
      <c r="E27" s="549"/>
      <c r="F27" s="549"/>
      <c r="G27" s="549"/>
      <c r="H27" s="549"/>
      <c r="I27" s="549"/>
      <c r="J27" s="549"/>
      <c r="K27" s="549"/>
      <c r="L27" s="549"/>
      <c r="M27" s="549"/>
      <c r="N27" s="549"/>
    </row>
    <row r="28" spans="2:36" ht="4.5" customHeight="1" thickBot="1" x14ac:dyDescent="0.4">
      <c r="C28" s="77"/>
    </row>
    <row r="29" spans="2:36" x14ac:dyDescent="0.35">
      <c r="B29" s="5"/>
      <c r="C29" s="108"/>
      <c r="D29" s="109"/>
      <c r="E29" s="6"/>
      <c r="F29" s="6"/>
      <c r="G29" s="237"/>
      <c r="H29" s="237"/>
      <c r="I29" s="237"/>
      <c r="J29" s="237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8"/>
    </row>
    <row r="30" spans="2:36" x14ac:dyDescent="0.35">
      <c r="B30" s="9"/>
      <c r="C30" s="77" t="s">
        <v>988</v>
      </c>
      <c r="F30"/>
      <c r="J30" s="65"/>
      <c r="AJ30" s="16"/>
    </row>
    <row r="31" spans="2:36" x14ac:dyDescent="0.35">
      <c r="B31" s="9"/>
      <c r="C31" s="560"/>
      <c r="D31" s="860"/>
      <c r="E31" s="793" t="s">
        <v>455</v>
      </c>
      <c r="F31" s="89">
        <v>1</v>
      </c>
      <c r="G31" s="89">
        <f>F31+1</f>
        <v>2</v>
      </c>
      <c r="H31" s="89">
        <f t="shared" ref="H31:AI31" si="4">G31+1</f>
        <v>3</v>
      </c>
      <c r="I31" s="89">
        <f t="shared" si="4"/>
        <v>4</v>
      </c>
      <c r="J31" s="89">
        <f t="shared" si="4"/>
        <v>5</v>
      </c>
      <c r="K31" s="89">
        <f t="shared" si="4"/>
        <v>6</v>
      </c>
      <c r="L31" s="89">
        <f t="shared" si="4"/>
        <v>7</v>
      </c>
      <c r="M31" s="89">
        <f t="shared" si="4"/>
        <v>8</v>
      </c>
      <c r="N31" s="89">
        <f t="shared" si="4"/>
        <v>9</v>
      </c>
      <c r="O31" s="89">
        <f t="shared" si="4"/>
        <v>10</v>
      </c>
      <c r="P31" s="89">
        <f t="shared" si="4"/>
        <v>11</v>
      </c>
      <c r="Q31" s="89">
        <f t="shared" si="4"/>
        <v>12</v>
      </c>
      <c r="R31" s="89">
        <f t="shared" si="4"/>
        <v>13</v>
      </c>
      <c r="S31" s="89">
        <f t="shared" si="4"/>
        <v>14</v>
      </c>
      <c r="T31" s="89">
        <f t="shared" si="4"/>
        <v>15</v>
      </c>
      <c r="U31" s="89">
        <f t="shared" si="4"/>
        <v>16</v>
      </c>
      <c r="V31" s="89">
        <f t="shared" si="4"/>
        <v>17</v>
      </c>
      <c r="W31" s="89">
        <f t="shared" si="4"/>
        <v>18</v>
      </c>
      <c r="X31" s="89">
        <f t="shared" si="4"/>
        <v>19</v>
      </c>
      <c r="Y31" s="89">
        <f t="shared" si="4"/>
        <v>20</v>
      </c>
      <c r="Z31" s="89">
        <f t="shared" si="4"/>
        <v>21</v>
      </c>
      <c r="AA31" s="89">
        <f t="shared" si="4"/>
        <v>22</v>
      </c>
      <c r="AB31" s="89">
        <f t="shared" si="4"/>
        <v>23</v>
      </c>
      <c r="AC31" s="89">
        <f t="shared" si="4"/>
        <v>24</v>
      </c>
      <c r="AD31" s="89">
        <f t="shared" si="4"/>
        <v>25</v>
      </c>
      <c r="AE31" s="89">
        <f t="shared" si="4"/>
        <v>26</v>
      </c>
      <c r="AF31" s="89">
        <f t="shared" si="4"/>
        <v>27</v>
      </c>
      <c r="AG31" s="89">
        <f t="shared" si="4"/>
        <v>28</v>
      </c>
      <c r="AH31" s="89">
        <f t="shared" si="4"/>
        <v>29</v>
      </c>
      <c r="AI31" s="89">
        <f t="shared" si="4"/>
        <v>30</v>
      </c>
      <c r="AJ31" s="16"/>
    </row>
    <row r="32" spans="2:36" x14ac:dyDescent="0.35">
      <c r="B32" s="9"/>
      <c r="C32" s="2039" t="s">
        <v>989</v>
      </c>
      <c r="D32" s="2011"/>
      <c r="E32" s="924">
        <f>SUM(F32:AI32)</f>
        <v>50495072.879999965</v>
      </c>
      <c r="F32" s="1792">
        <f>F10</f>
        <v>2069470.2</v>
      </c>
      <c r="G32" s="1708">
        <f>F10</f>
        <v>2069470.2</v>
      </c>
      <c r="H32" s="1708">
        <f>G10</f>
        <v>1655576.1600000001</v>
      </c>
      <c r="I32" s="1708">
        <f>H32</f>
        <v>1655576.1600000001</v>
      </c>
      <c r="J32" s="1708">
        <f>G10</f>
        <v>1655576.1600000001</v>
      </c>
      <c r="K32" s="1708">
        <f t="shared" ref="K32:AI32" si="5">J32</f>
        <v>1655576.1600000001</v>
      </c>
      <c r="L32" s="1708">
        <f t="shared" si="5"/>
        <v>1655576.1600000001</v>
      </c>
      <c r="M32" s="1708">
        <f t="shared" si="5"/>
        <v>1655576.1600000001</v>
      </c>
      <c r="N32" s="1708">
        <f t="shared" si="5"/>
        <v>1655576.1600000001</v>
      </c>
      <c r="O32" s="1708">
        <f t="shared" si="5"/>
        <v>1655576.1600000001</v>
      </c>
      <c r="P32" s="1708">
        <f t="shared" si="5"/>
        <v>1655576.1600000001</v>
      </c>
      <c r="Q32" s="1708">
        <f t="shared" si="5"/>
        <v>1655576.1600000001</v>
      </c>
      <c r="R32" s="1708">
        <f t="shared" si="5"/>
        <v>1655576.1600000001</v>
      </c>
      <c r="S32" s="1708">
        <f t="shared" si="5"/>
        <v>1655576.1600000001</v>
      </c>
      <c r="T32" s="1708">
        <f t="shared" si="5"/>
        <v>1655576.1600000001</v>
      </c>
      <c r="U32" s="1708">
        <f t="shared" si="5"/>
        <v>1655576.1600000001</v>
      </c>
      <c r="V32" s="1708">
        <f t="shared" si="5"/>
        <v>1655576.1600000001</v>
      </c>
      <c r="W32" s="1708">
        <f t="shared" si="5"/>
        <v>1655576.1600000001</v>
      </c>
      <c r="X32" s="1708">
        <f t="shared" si="5"/>
        <v>1655576.1600000001</v>
      </c>
      <c r="Y32" s="1708">
        <f t="shared" si="5"/>
        <v>1655576.1600000001</v>
      </c>
      <c r="Z32" s="1708">
        <f t="shared" si="5"/>
        <v>1655576.1600000001</v>
      </c>
      <c r="AA32" s="1708">
        <f t="shared" si="5"/>
        <v>1655576.1600000001</v>
      </c>
      <c r="AB32" s="1708">
        <f t="shared" si="5"/>
        <v>1655576.1600000001</v>
      </c>
      <c r="AC32" s="1708">
        <f t="shared" si="5"/>
        <v>1655576.1600000001</v>
      </c>
      <c r="AD32" s="1708">
        <f t="shared" si="5"/>
        <v>1655576.1600000001</v>
      </c>
      <c r="AE32" s="1708">
        <f t="shared" si="5"/>
        <v>1655576.1600000001</v>
      </c>
      <c r="AF32" s="1708">
        <f t="shared" si="5"/>
        <v>1655576.1600000001</v>
      </c>
      <c r="AG32" s="1708">
        <f t="shared" si="5"/>
        <v>1655576.1600000001</v>
      </c>
      <c r="AH32" s="1708">
        <f t="shared" si="5"/>
        <v>1655576.1600000001</v>
      </c>
      <c r="AI32" s="1708">
        <f t="shared" si="5"/>
        <v>1655576.1600000001</v>
      </c>
      <c r="AJ32" s="16"/>
    </row>
    <row r="33" spans="2:36" x14ac:dyDescent="0.35">
      <c r="B33" s="9"/>
      <c r="C33" s="2036" t="s">
        <v>990</v>
      </c>
      <c r="D33" s="2037"/>
      <c r="E33" s="924">
        <f>SUM(F33:AI33)</f>
        <v>55473838.059999935</v>
      </c>
      <c r="F33" s="1263">
        <f>H25</f>
        <v>11462193.289999999</v>
      </c>
      <c r="G33" s="475">
        <f>H25</f>
        <v>11462193.289999999</v>
      </c>
      <c r="H33" s="475">
        <f>L25</f>
        <v>1162480.4099999999</v>
      </c>
      <c r="I33" s="475">
        <f>H33</f>
        <v>1162480.4099999999</v>
      </c>
      <c r="J33" s="475">
        <f t="shared" ref="J33:AI33" si="6">I33</f>
        <v>1162480.4099999999</v>
      </c>
      <c r="K33" s="475">
        <f t="shared" si="6"/>
        <v>1162480.4099999999</v>
      </c>
      <c r="L33" s="475">
        <f t="shared" si="6"/>
        <v>1162480.4099999999</v>
      </c>
      <c r="M33" s="475">
        <f t="shared" si="6"/>
        <v>1162480.4099999999</v>
      </c>
      <c r="N33" s="475">
        <f t="shared" si="6"/>
        <v>1162480.4099999999</v>
      </c>
      <c r="O33" s="475">
        <f t="shared" si="6"/>
        <v>1162480.4099999999</v>
      </c>
      <c r="P33" s="475">
        <f t="shared" si="6"/>
        <v>1162480.4099999999</v>
      </c>
      <c r="Q33" s="475">
        <f t="shared" si="6"/>
        <v>1162480.4099999999</v>
      </c>
      <c r="R33" s="475">
        <f t="shared" si="6"/>
        <v>1162480.4099999999</v>
      </c>
      <c r="S33" s="475">
        <f t="shared" si="6"/>
        <v>1162480.4099999999</v>
      </c>
      <c r="T33" s="475">
        <f t="shared" si="6"/>
        <v>1162480.4099999999</v>
      </c>
      <c r="U33" s="475">
        <f t="shared" si="6"/>
        <v>1162480.4099999999</v>
      </c>
      <c r="V33" s="475">
        <f t="shared" si="6"/>
        <v>1162480.4099999999</v>
      </c>
      <c r="W33" s="475">
        <f t="shared" si="6"/>
        <v>1162480.4099999999</v>
      </c>
      <c r="X33" s="475">
        <f t="shared" si="6"/>
        <v>1162480.4099999999</v>
      </c>
      <c r="Y33" s="475">
        <f t="shared" si="6"/>
        <v>1162480.4099999999</v>
      </c>
      <c r="Z33" s="475">
        <f t="shared" si="6"/>
        <v>1162480.4099999999</v>
      </c>
      <c r="AA33" s="475">
        <f t="shared" si="6"/>
        <v>1162480.4099999999</v>
      </c>
      <c r="AB33" s="475">
        <f t="shared" si="6"/>
        <v>1162480.4099999999</v>
      </c>
      <c r="AC33" s="475">
        <f t="shared" si="6"/>
        <v>1162480.4099999999</v>
      </c>
      <c r="AD33" s="475">
        <f t="shared" si="6"/>
        <v>1162480.4099999999</v>
      </c>
      <c r="AE33" s="475">
        <f t="shared" si="6"/>
        <v>1162480.4099999999</v>
      </c>
      <c r="AF33" s="475">
        <f t="shared" si="6"/>
        <v>1162480.4099999999</v>
      </c>
      <c r="AG33" s="475">
        <f t="shared" si="6"/>
        <v>1162480.4099999999</v>
      </c>
      <c r="AH33" s="475">
        <f t="shared" si="6"/>
        <v>1162480.4099999999</v>
      </c>
      <c r="AI33" s="475">
        <f t="shared" si="6"/>
        <v>1162480.4099999999</v>
      </c>
      <c r="AJ33" s="16"/>
    </row>
    <row r="34" spans="2:36" x14ac:dyDescent="0.35">
      <c r="B34" s="9"/>
      <c r="C34" s="925" t="s">
        <v>455</v>
      </c>
      <c r="D34" s="824"/>
      <c r="E34" s="859">
        <f t="shared" ref="E34:AI34" si="7">SUM(E32:E33)</f>
        <v>105968910.93999991</v>
      </c>
      <c r="F34" s="568">
        <f t="shared" si="7"/>
        <v>13531663.489999998</v>
      </c>
      <c r="G34" s="488">
        <f t="shared" si="7"/>
        <v>13531663.489999998</v>
      </c>
      <c r="H34" s="488">
        <f t="shared" si="7"/>
        <v>2818056.5700000003</v>
      </c>
      <c r="I34" s="488">
        <f t="shared" si="7"/>
        <v>2818056.5700000003</v>
      </c>
      <c r="J34" s="488">
        <f t="shared" si="7"/>
        <v>2818056.5700000003</v>
      </c>
      <c r="K34" s="488">
        <f t="shared" si="7"/>
        <v>2818056.5700000003</v>
      </c>
      <c r="L34" s="488">
        <f t="shared" si="7"/>
        <v>2818056.5700000003</v>
      </c>
      <c r="M34" s="488">
        <f t="shared" si="7"/>
        <v>2818056.5700000003</v>
      </c>
      <c r="N34" s="488">
        <f t="shared" si="7"/>
        <v>2818056.5700000003</v>
      </c>
      <c r="O34" s="488">
        <f t="shared" si="7"/>
        <v>2818056.5700000003</v>
      </c>
      <c r="P34" s="488">
        <f t="shared" si="7"/>
        <v>2818056.5700000003</v>
      </c>
      <c r="Q34" s="488">
        <f t="shared" si="7"/>
        <v>2818056.5700000003</v>
      </c>
      <c r="R34" s="488">
        <f t="shared" si="7"/>
        <v>2818056.5700000003</v>
      </c>
      <c r="S34" s="488">
        <f t="shared" si="7"/>
        <v>2818056.5700000003</v>
      </c>
      <c r="T34" s="488">
        <f t="shared" si="7"/>
        <v>2818056.5700000003</v>
      </c>
      <c r="U34" s="488">
        <f t="shared" si="7"/>
        <v>2818056.5700000003</v>
      </c>
      <c r="V34" s="488">
        <f t="shared" si="7"/>
        <v>2818056.5700000003</v>
      </c>
      <c r="W34" s="488">
        <f t="shared" si="7"/>
        <v>2818056.5700000003</v>
      </c>
      <c r="X34" s="488">
        <f t="shared" si="7"/>
        <v>2818056.5700000003</v>
      </c>
      <c r="Y34" s="488">
        <f t="shared" si="7"/>
        <v>2818056.5700000003</v>
      </c>
      <c r="Z34" s="488">
        <f t="shared" si="7"/>
        <v>2818056.5700000003</v>
      </c>
      <c r="AA34" s="488">
        <f t="shared" si="7"/>
        <v>2818056.5700000003</v>
      </c>
      <c r="AB34" s="488">
        <f t="shared" si="7"/>
        <v>2818056.5700000003</v>
      </c>
      <c r="AC34" s="488">
        <f t="shared" si="7"/>
        <v>2818056.5700000003</v>
      </c>
      <c r="AD34" s="488">
        <f t="shared" si="7"/>
        <v>2818056.5700000003</v>
      </c>
      <c r="AE34" s="488">
        <f t="shared" si="7"/>
        <v>2818056.5700000003</v>
      </c>
      <c r="AF34" s="488">
        <f t="shared" si="7"/>
        <v>2818056.5700000003</v>
      </c>
      <c r="AG34" s="488">
        <f t="shared" si="7"/>
        <v>2818056.5700000003</v>
      </c>
      <c r="AH34" s="488">
        <f t="shared" si="7"/>
        <v>2818056.5700000003</v>
      </c>
      <c r="AI34" s="488">
        <f t="shared" si="7"/>
        <v>2818056.5700000003</v>
      </c>
      <c r="AJ34" s="16"/>
    </row>
    <row r="35" spans="2:36" ht="15" thickBot="1" x14ac:dyDescent="0.4">
      <c r="B35" s="38"/>
      <c r="C35" s="59"/>
      <c r="D35" s="59"/>
      <c r="E35" s="59"/>
      <c r="F35" s="59"/>
      <c r="G35" s="238"/>
      <c r="H35" s="238"/>
      <c r="I35" s="238"/>
      <c r="J35" s="238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69"/>
    </row>
    <row r="36" spans="2:36" ht="6.75" customHeight="1" x14ac:dyDescent="0.35"/>
    <row r="37" spans="2:36" x14ac:dyDescent="0.35">
      <c r="C37" s="823" t="s">
        <v>991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  <c r="R37" s="112"/>
      <c r="S37" s="112"/>
      <c r="T37" s="112"/>
      <c r="U37" s="112"/>
      <c r="V37" s="112"/>
      <c r="W37" s="112"/>
      <c r="X37" s="112"/>
      <c r="Y37" s="112"/>
      <c r="Z37" s="112"/>
      <c r="AA37" s="112"/>
      <c r="AB37" s="112"/>
      <c r="AC37" s="112"/>
      <c r="AD37" s="112"/>
      <c r="AE37" s="112"/>
      <c r="AF37" s="112"/>
      <c r="AG37" s="112"/>
      <c r="AH37" s="112"/>
      <c r="AI37" s="112"/>
    </row>
    <row r="38" spans="2:36" x14ac:dyDescent="0.35">
      <c r="C38" s="803" t="s">
        <v>717</v>
      </c>
      <c r="D38" s="803" t="s">
        <v>68</v>
      </c>
      <c r="E38" s="229" t="s">
        <v>455</v>
      </c>
      <c r="F38" s="793">
        <v>1</v>
      </c>
      <c r="G38" s="793">
        <f>F38+1</f>
        <v>2</v>
      </c>
      <c r="H38" s="793">
        <f t="shared" ref="H38" si="8">G38+1</f>
        <v>3</v>
      </c>
      <c r="I38" s="793">
        <f t="shared" ref="I38" si="9">H38+1</f>
        <v>4</v>
      </c>
      <c r="J38" s="793">
        <f t="shared" ref="J38" si="10">I38+1</f>
        <v>5</v>
      </c>
      <c r="K38" s="793">
        <f t="shared" ref="K38" si="11">J38+1</f>
        <v>6</v>
      </c>
      <c r="L38" s="793">
        <f t="shared" ref="L38" si="12">K38+1</f>
        <v>7</v>
      </c>
      <c r="M38" s="793">
        <f t="shared" ref="M38" si="13">L38+1</f>
        <v>8</v>
      </c>
      <c r="N38" s="793">
        <f t="shared" ref="N38" si="14">M38+1</f>
        <v>9</v>
      </c>
      <c r="O38" s="793">
        <f t="shared" ref="O38" si="15">N38+1</f>
        <v>10</v>
      </c>
      <c r="P38" s="793">
        <f t="shared" ref="P38" si="16">O38+1</f>
        <v>11</v>
      </c>
      <c r="Q38" s="793">
        <f t="shared" ref="Q38" si="17">P38+1</f>
        <v>12</v>
      </c>
      <c r="R38" s="793">
        <f t="shared" ref="R38" si="18">Q38+1</f>
        <v>13</v>
      </c>
      <c r="S38" s="793">
        <f t="shared" ref="S38" si="19">R38+1</f>
        <v>14</v>
      </c>
      <c r="T38" s="793">
        <f t="shared" ref="T38" si="20">S38+1</f>
        <v>15</v>
      </c>
      <c r="U38" s="793">
        <f t="shared" ref="U38" si="21">T38+1</f>
        <v>16</v>
      </c>
      <c r="V38" s="793">
        <f t="shared" ref="V38" si="22">U38+1</f>
        <v>17</v>
      </c>
      <c r="W38" s="793">
        <f t="shared" ref="W38" si="23">V38+1</f>
        <v>18</v>
      </c>
      <c r="X38" s="793">
        <f t="shared" ref="X38" si="24">W38+1</f>
        <v>19</v>
      </c>
      <c r="Y38" s="793">
        <f t="shared" ref="Y38" si="25">X38+1</f>
        <v>20</v>
      </c>
      <c r="Z38" s="793">
        <f t="shared" ref="Z38" si="26">Y38+1</f>
        <v>21</v>
      </c>
      <c r="AA38" s="793">
        <f t="shared" ref="AA38" si="27">Z38+1</f>
        <v>22</v>
      </c>
      <c r="AB38" s="793">
        <f t="shared" ref="AB38" si="28">AA38+1</f>
        <v>23</v>
      </c>
      <c r="AC38" s="793">
        <f t="shared" ref="AC38" si="29">AB38+1</f>
        <v>24</v>
      </c>
      <c r="AD38" s="793">
        <f t="shared" ref="AD38" si="30">AC38+1</f>
        <v>25</v>
      </c>
      <c r="AE38" s="793">
        <f t="shared" ref="AE38" si="31">AD38+1</f>
        <v>26</v>
      </c>
      <c r="AF38" s="793">
        <f t="shared" ref="AF38" si="32">AE38+1</f>
        <v>27</v>
      </c>
      <c r="AG38" s="793">
        <f t="shared" ref="AG38" si="33">AF38+1</f>
        <v>28</v>
      </c>
      <c r="AH38" s="793">
        <f t="shared" ref="AH38" si="34">AG38+1</f>
        <v>29</v>
      </c>
      <c r="AI38" s="793">
        <f t="shared" ref="AI38" si="35">AH38+1</f>
        <v>30</v>
      </c>
    </row>
    <row r="39" spans="2:36" x14ac:dyDescent="0.35">
      <c r="C39" s="1983" t="s">
        <v>1</v>
      </c>
      <c r="D39" s="787" t="s">
        <v>1</v>
      </c>
      <c r="E39" s="1197">
        <f t="shared" ref="E39:E47" si="36">SUM(F39:AI39)</f>
        <v>1766394.9317510421</v>
      </c>
      <c r="F39" s="810">
        <f>$E$10*$H$78</f>
        <v>58879.83105836805</v>
      </c>
      <c r="G39" s="810">
        <f>$E$10*$H$78</f>
        <v>58879.83105836805</v>
      </c>
      <c r="H39" s="810">
        <f t="shared" ref="H39:AI39" si="37">$E$10*$I$78</f>
        <v>58879.83105836805</v>
      </c>
      <c r="I39" s="810">
        <f t="shared" si="37"/>
        <v>58879.83105836805</v>
      </c>
      <c r="J39" s="810">
        <f t="shared" si="37"/>
        <v>58879.83105836805</v>
      </c>
      <c r="K39" s="810">
        <f t="shared" si="37"/>
        <v>58879.83105836805</v>
      </c>
      <c r="L39" s="810">
        <f t="shared" si="37"/>
        <v>58879.83105836805</v>
      </c>
      <c r="M39" s="810">
        <f t="shared" si="37"/>
        <v>58879.83105836805</v>
      </c>
      <c r="N39" s="810">
        <f t="shared" si="37"/>
        <v>58879.83105836805</v>
      </c>
      <c r="O39" s="810">
        <f t="shared" si="37"/>
        <v>58879.83105836805</v>
      </c>
      <c r="P39" s="810">
        <f t="shared" si="37"/>
        <v>58879.83105836805</v>
      </c>
      <c r="Q39" s="810">
        <f t="shared" si="37"/>
        <v>58879.83105836805</v>
      </c>
      <c r="R39" s="810">
        <f t="shared" si="37"/>
        <v>58879.83105836805</v>
      </c>
      <c r="S39" s="810">
        <f t="shared" si="37"/>
        <v>58879.83105836805</v>
      </c>
      <c r="T39" s="810">
        <f t="shared" si="37"/>
        <v>58879.83105836805</v>
      </c>
      <c r="U39" s="810">
        <f t="shared" si="37"/>
        <v>58879.83105836805</v>
      </c>
      <c r="V39" s="810">
        <f t="shared" si="37"/>
        <v>58879.83105836805</v>
      </c>
      <c r="W39" s="810">
        <f t="shared" si="37"/>
        <v>58879.83105836805</v>
      </c>
      <c r="X39" s="810">
        <f t="shared" si="37"/>
        <v>58879.83105836805</v>
      </c>
      <c r="Y39" s="810">
        <f t="shared" si="37"/>
        <v>58879.83105836805</v>
      </c>
      <c r="Z39" s="810">
        <f t="shared" si="37"/>
        <v>58879.83105836805</v>
      </c>
      <c r="AA39" s="810">
        <f t="shared" si="37"/>
        <v>58879.83105836805</v>
      </c>
      <c r="AB39" s="810">
        <f t="shared" si="37"/>
        <v>58879.83105836805</v>
      </c>
      <c r="AC39" s="810">
        <f t="shared" si="37"/>
        <v>58879.83105836805</v>
      </c>
      <c r="AD39" s="810">
        <f t="shared" si="37"/>
        <v>58879.83105836805</v>
      </c>
      <c r="AE39" s="810">
        <f t="shared" si="37"/>
        <v>58879.83105836805</v>
      </c>
      <c r="AF39" s="810">
        <f t="shared" si="37"/>
        <v>58879.83105836805</v>
      </c>
      <c r="AG39" s="810">
        <f t="shared" si="37"/>
        <v>58879.83105836805</v>
      </c>
      <c r="AH39" s="810">
        <f t="shared" si="37"/>
        <v>58879.83105836805</v>
      </c>
      <c r="AI39" s="810">
        <f t="shared" si="37"/>
        <v>58879.83105836805</v>
      </c>
    </row>
    <row r="40" spans="2:36" x14ac:dyDescent="0.35">
      <c r="C40" s="1984"/>
      <c r="D40" s="1665" t="s">
        <v>8</v>
      </c>
      <c r="E40" s="1664">
        <f t="shared" si="36"/>
        <v>10650426.268248966</v>
      </c>
      <c r="F40" s="816">
        <f>$E$10*$H$79</f>
        <v>355014.20894163201</v>
      </c>
      <c r="G40" s="816">
        <f>$E$10*$H$79</f>
        <v>355014.20894163201</v>
      </c>
      <c r="H40" s="816">
        <f t="shared" ref="H40:AI40" si="38">$E$10*$I$79</f>
        <v>355014.20894163201</v>
      </c>
      <c r="I40" s="816">
        <f t="shared" si="38"/>
        <v>355014.20894163201</v>
      </c>
      <c r="J40" s="816">
        <f t="shared" si="38"/>
        <v>355014.20894163201</v>
      </c>
      <c r="K40" s="816">
        <f t="shared" si="38"/>
        <v>355014.20894163201</v>
      </c>
      <c r="L40" s="816">
        <f t="shared" si="38"/>
        <v>355014.20894163201</v>
      </c>
      <c r="M40" s="816">
        <f t="shared" si="38"/>
        <v>355014.20894163201</v>
      </c>
      <c r="N40" s="816">
        <f t="shared" si="38"/>
        <v>355014.20894163201</v>
      </c>
      <c r="O40" s="816">
        <f t="shared" si="38"/>
        <v>355014.20894163201</v>
      </c>
      <c r="P40" s="816">
        <f t="shared" si="38"/>
        <v>355014.20894163201</v>
      </c>
      <c r="Q40" s="816">
        <f t="shared" si="38"/>
        <v>355014.20894163201</v>
      </c>
      <c r="R40" s="816">
        <f t="shared" si="38"/>
        <v>355014.20894163201</v>
      </c>
      <c r="S40" s="816">
        <f t="shared" si="38"/>
        <v>355014.20894163201</v>
      </c>
      <c r="T40" s="816">
        <f t="shared" si="38"/>
        <v>355014.20894163201</v>
      </c>
      <c r="U40" s="816">
        <f t="shared" si="38"/>
        <v>355014.20894163201</v>
      </c>
      <c r="V40" s="816">
        <f t="shared" si="38"/>
        <v>355014.20894163201</v>
      </c>
      <c r="W40" s="816">
        <f t="shared" si="38"/>
        <v>355014.20894163201</v>
      </c>
      <c r="X40" s="816">
        <f t="shared" si="38"/>
        <v>355014.20894163201</v>
      </c>
      <c r="Y40" s="816">
        <f t="shared" si="38"/>
        <v>355014.20894163201</v>
      </c>
      <c r="Z40" s="816">
        <f t="shared" si="38"/>
        <v>355014.20894163201</v>
      </c>
      <c r="AA40" s="816">
        <f t="shared" si="38"/>
        <v>355014.20894163201</v>
      </c>
      <c r="AB40" s="816">
        <f t="shared" si="38"/>
        <v>355014.20894163201</v>
      </c>
      <c r="AC40" s="816">
        <f t="shared" si="38"/>
        <v>355014.20894163201</v>
      </c>
      <c r="AD40" s="816">
        <f t="shared" si="38"/>
        <v>355014.20894163201</v>
      </c>
      <c r="AE40" s="816">
        <f t="shared" si="38"/>
        <v>355014.20894163201</v>
      </c>
      <c r="AF40" s="816">
        <f t="shared" si="38"/>
        <v>355014.20894163201</v>
      </c>
      <c r="AG40" s="816">
        <f t="shared" si="38"/>
        <v>355014.20894163201</v>
      </c>
      <c r="AH40" s="816">
        <f t="shared" si="38"/>
        <v>355014.20894163201</v>
      </c>
      <c r="AI40" s="816">
        <f t="shared" si="38"/>
        <v>355014.20894163201</v>
      </c>
    </row>
    <row r="41" spans="2:36" x14ac:dyDescent="0.35">
      <c r="C41" s="805" t="s">
        <v>2</v>
      </c>
      <c r="D41" s="1774" t="s">
        <v>2</v>
      </c>
      <c r="E41" s="1773">
        <f t="shared" si="36"/>
        <v>12416821.199999992</v>
      </c>
      <c r="F41" s="1541">
        <f>$E$10*$H$80</f>
        <v>413894.04000000004</v>
      </c>
      <c r="G41" s="1541">
        <f>$E$10*$H$80</f>
        <v>413894.04000000004</v>
      </c>
      <c r="H41" s="1541">
        <f t="shared" ref="H41:AI41" si="39">$E$10*$I$80</f>
        <v>413894.04000000004</v>
      </c>
      <c r="I41" s="1541">
        <f t="shared" si="39"/>
        <v>413894.04000000004</v>
      </c>
      <c r="J41" s="1541">
        <f t="shared" si="39"/>
        <v>413894.04000000004</v>
      </c>
      <c r="K41" s="1541">
        <f t="shared" si="39"/>
        <v>413894.04000000004</v>
      </c>
      <c r="L41" s="1541">
        <f t="shared" si="39"/>
        <v>413894.04000000004</v>
      </c>
      <c r="M41" s="1541">
        <f t="shared" si="39"/>
        <v>413894.04000000004</v>
      </c>
      <c r="N41" s="1541">
        <f t="shared" si="39"/>
        <v>413894.04000000004</v>
      </c>
      <c r="O41" s="1541">
        <f t="shared" si="39"/>
        <v>413894.04000000004</v>
      </c>
      <c r="P41" s="1541">
        <f t="shared" si="39"/>
        <v>413894.04000000004</v>
      </c>
      <c r="Q41" s="1541">
        <f t="shared" si="39"/>
        <v>413894.04000000004</v>
      </c>
      <c r="R41" s="1541">
        <f t="shared" si="39"/>
        <v>413894.04000000004</v>
      </c>
      <c r="S41" s="1541">
        <f t="shared" si="39"/>
        <v>413894.04000000004</v>
      </c>
      <c r="T41" s="1541">
        <f t="shared" si="39"/>
        <v>413894.04000000004</v>
      </c>
      <c r="U41" s="1541">
        <f t="shared" si="39"/>
        <v>413894.04000000004</v>
      </c>
      <c r="V41" s="1541">
        <f t="shared" si="39"/>
        <v>413894.04000000004</v>
      </c>
      <c r="W41" s="1541">
        <f t="shared" si="39"/>
        <v>413894.04000000004</v>
      </c>
      <c r="X41" s="1541">
        <f t="shared" si="39"/>
        <v>413894.04000000004</v>
      </c>
      <c r="Y41" s="1541">
        <f t="shared" si="39"/>
        <v>413894.04000000004</v>
      </c>
      <c r="Z41" s="1541">
        <f t="shared" si="39"/>
        <v>413894.04000000004</v>
      </c>
      <c r="AA41" s="1541">
        <f t="shared" si="39"/>
        <v>413894.04000000004</v>
      </c>
      <c r="AB41" s="1541">
        <f t="shared" si="39"/>
        <v>413894.04000000004</v>
      </c>
      <c r="AC41" s="1541">
        <f t="shared" si="39"/>
        <v>413894.04000000004</v>
      </c>
      <c r="AD41" s="1541">
        <f t="shared" si="39"/>
        <v>413894.04000000004</v>
      </c>
      <c r="AE41" s="1541">
        <f t="shared" si="39"/>
        <v>413894.04000000004</v>
      </c>
      <c r="AF41" s="1541">
        <f t="shared" si="39"/>
        <v>413894.04000000004</v>
      </c>
      <c r="AG41" s="1541">
        <f t="shared" si="39"/>
        <v>413894.04000000004</v>
      </c>
      <c r="AH41" s="1541">
        <f t="shared" si="39"/>
        <v>413894.04000000004</v>
      </c>
      <c r="AI41" s="1541">
        <f t="shared" si="39"/>
        <v>413894.04000000004</v>
      </c>
    </row>
    <row r="42" spans="2:36" x14ac:dyDescent="0.35">
      <c r="C42" s="1979" t="s">
        <v>4</v>
      </c>
      <c r="D42" s="787" t="s">
        <v>3</v>
      </c>
      <c r="E42" s="1197">
        <f t="shared" si="36"/>
        <v>1786596.196521065</v>
      </c>
      <c r="F42" s="810">
        <f>$E$10*$H$81</f>
        <v>59553.206550702154</v>
      </c>
      <c r="G42" s="810">
        <f>$E$10*$H$81</f>
        <v>59553.206550702154</v>
      </c>
      <c r="H42" s="810">
        <f t="shared" ref="H42:AI42" si="40">$E$10*$I$81</f>
        <v>59553.206550702154</v>
      </c>
      <c r="I42" s="810">
        <f t="shared" si="40"/>
        <v>59553.206550702154</v>
      </c>
      <c r="J42" s="810">
        <f t="shared" si="40"/>
        <v>59553.206550702154</v>
      </c>
      <c r="K42" s="810">
        <f t="shared" si="40"/>
        <v>59553.206550702154</v>
      </c>
      <c r="L42" s="810">
        <f t="shared" si="40"/>
        <v>59553.206550702154</v>
      </c>
      <c r="M42" s="810">
        <f t="shared" si="40"/>
        <v>59553.206550702154</v>
      </c>
      <c r="N42" s="810">
        <f t="shared" si="40"/>
        <v>59553.206550702154</v>
      </c>
      <c r="O42" s="810">
        <f t="shared" si="40"/>
        <v>59553.206550702154</v>
      </c>
      <c r="P42" s="810">
        <f t="shared" si="40"/>
        <v>59553.206550702154</v>
      </c>
      <c r="Q42" s="810">
        <f t="shared" si="40"/>
        <v>59553.206550702154</v>
      </c>
      <c r="R42" s="810">
        <f t="shared" si="40"/>
        <v>59553.206550702154</v>
      </c>
      <c r="S42" s="810">
        <f t="shared" si="40"/>
        <v>59553.206550702154</v>
      </c>
      <c r="T42" s="810">
        <f t="shared" si="40"/>
        <v>59553.206550702154</v>
      </c>
      <c r="U42" s="810">
        <f t="shared" si="40"/>
        <v>59553.206550702154</v>
      </c>
      <c r="V42" s="810">
        <f t="shared" si="40"/>
        <v>59553.206550702154</v>
      </c>
      <c r="W42" s="810">
        <f t="shared" si="40"/>
        <v>59553.206550702154</v>
      </c>
      <c r="X42" s="810">
        <f t="shared" si="40"/>
        <v>59553.206550702154</v>
      </c>
      <c r="Y42" s="810">
        <f t="shared" si="40"/>
        <v>59553.206550702154</v>
      </c>
      <c r="Z42" s="810">
        <f t="shared" si="40"/>
        <v>59553.206550702154</v>
      </c>
      <c r="AA42" s="810">
        <f t="shared" si="40"/>
        <v>59553.206550702154</v>
      </c>
      <c r="AB42" s="810">
        <f t="shared" si="40"/>
        <v>59553.206550702154</v>
      </c>
      <c r="AC42" s="810">
        <f t="shared" si="40"/>
        <v>59553.206550702154</v>
      </c>
      <c r="AD42" s="810">
        <f t="shared" si="40"/>
        <v>59553.206550702154</v>
      </c>
      <c r="AE42" s="810">
        <f t="shared" si="40"/>
        <v>59553.206550702154</v>
      </c>
      <c r="AF42" s="810">
        <f t="shared" si="40"/>
        <v>59553.206550702154</v>
      </c>
      <c r="AG42" s="810">
        <f t="shared" si="40"/>
        <v>59553.206550702154</v>
      </c>
      <c r="AH42" s="810">
        <f t="shared" si="40"/>
        <v>59553.206550702154</v>
      </c>
      <c r="AI42" s="810">
        <f t="shared" si="40"/>
        <v>59553.206550702154</v>
      </c>
    </row>
    <row r="43" spans="2:36" x14ac:dyDescent="0.35">
      <c r="C43" s="1981"/>
      <c r="D43" s="806" t="s">
        <v>992</v>
      </c>
      <c r="E43" s="1198">
        <f t="shared" si="36"/>
        <v>4286112.6587731754</v>
      </c>
      <c r="F43" s="813">
        <f>$E$10*$H$82</f>
        <v>142870.42195910576</v>
      </c>
      <c r="G43" s="813">
        <f>$E$10*$H$82</f>
        <v>142870.42195910576</v>
      </c>
      <c r="H43" s="813">
        <f t="shared" ref="H43:AI43" si="41">$E$10*$I$82</f>
        <v>142870.42195910576</v>
      </c>
      <c r="I43" s="813">
        <f t="shared" si="41"/>
        <v>142870.42195910576</v>
      </c>
      <c r="J43" s="813">
        <f t="shared" si="41"/>
        <v>142870.42195910576</v>
      </c>
      <c r="K43" s="813">
        <f t="shared" si="41"/>
        <v>142870.42195910576</v>
      </c>
      <c r="L43" s="813">
        <f t="shared" si="41"/>
        <v>142870.42195910576</v>
      </c>
      <c r="M43" s="813">
        <f t="shared" si="41"/>
        <v>142870.42195910576</v>
      </c>
      <c r="N43" s="813">
        <f t="shared" si="41"/>
        <v>142870.42195910576</v>
      </c>
      <c r="O43" s="813">
        <f t="shared" si="41"/>
        <v>142870.42195910576</v>
      </c>
      <c r="P43" s="813">
        <f t="shared" si="41"/>
        <v>142870.42195910576</v>
      </c>
      <c r="Q43" s="813">
        <f t="shared" si="41"/>
        <v>142870.42195910576</v>
      </c>
      <c r="R43" s="813">
        <f t="shared" si="41"/>
        <v>142870.42195910576</v>
      </c>
      <c r="S43" s="813">
        <f t="shared" si="41"/>
        <v>142870.42195910576</v>
      </c>
      <c r="T43" s="813">
        <f t="shared" si="41"/>
        <v>142870.42195910576</v>
      </c>
      <c r="U43" s="813">
        <f t="shared" si="41"/>
        <v>142870.42195910576</v>
      </c>
      <c r="V43" s="813">
        <f t="shared" si="41"/>
        <v>142870.42195910576</v>
      </c>
      <c r="W43" s="813">
        <f t="shared" si="41"/>
        <v>142870.42195910576</v>
      </c>
      <c r="X43" s="813">
        <f t="shared" si="41"/>
        <v>142870.42195910576</v>
      </c>
      <c r="Y43" s="813">
        <f t="shared" si="41"/>
        <v>142870.42195910576</v>
      </c>
      <c r="Z43" s="813">
        <f t="shared" si="41"/>
        <v>142870.42195910576</v>
      </c>
      <c r="AA43" s="813">
        <f t="shared" si="41"/>
        <v>142870.42195910576</v>
      </c>
      <c r="AB43" s="813">
        <f t="shared" si="41"/>
        <v>142870.42195910576</v>
      </c>
      <c r="AC43" s="813">
        <f t="shared" si="41"/>
        <v>142870.42195910576</v>
      </c>
      <c r="AD43" s="813">
        <f t="shared" si="41"/>
        <v>142870.42195910576</v>
      </c>
      <c r="AE43" s="813">
        <f t="shared" si="41"/>
        <v>142870.42195910576</v>
      </c>
      <c r="AF43" s="813">
        <f t="shared" si="41"/>
        <v>142870.42195910576</v>
      </c>
      <c r="AG43" s="813">
        <f t="shared" si="41"/>
        <v>142870.42195910576</v>
      </c>
      <c r="AH43" s="813">
        <f t="shared" si="41"/>
        <v>142870.42195910576</v>
      </c>
      <c r="AI43" s="813">
        <f t="shared" si="41"/>
        <v>142870.42195910576</v>
      </c>
    </row>
    <row r="44" spans="2:36" x14ac:dyDescent="0.35">
      <c r="C44" s="1981"/>
      <c r="D44" s="1665" t="s">
        <v>9</v>
      </c>
      <c r="E44" s="1664">
        <f t="shared" si="36"/>
        <v>6344112.3447057595</v>
      </c>
      <c r="F44" s="816">
        <f>$E$10*$H$83</f>
        <v>211470.41149019211</v>
      </c>
      <c r="G44" s="816">
        <f>$E$10*$H$83</f>
        <v>211470.41149019211</v>
      </c>
      <c r="H44" s="816">
        <f t="shared" ref="H44:AI44" si="42">$E$10*$I$83</f>
        <v>211470.41149019211</v>
      </c>
      <c r="I44" s="816">
        <f t="shared" si="42"/>
        <v>211470.41149019211</v>
      </c>
      <c r="J44" s="816">
        <f t="shared" si="42"/>
        <v>211470.41149019211</v>
      </c>
      <c r="K44" s="816">
        <f t="shared" si="42"/>
        <v>211470.41149019211</v>
      </c>
      <c r="L44" s="816">
        <f t="shared" si="42"/>
        <v>211470.41149019211</v>
      </c>
      <c r="M44" s="816">
        <f t="shared" si="42"/>
        <v>211470.41149019211</v>
      </c>
      <c r="N44" s="816">
        <f t="shared" si="42"/>
        <v>211470.41149019211</v>
      </c>
      <c r="O44" s="816">
        <f t="shared" si="42"/>
        <v>211470.41149019211</v>
      </c>
      <c r="P44" s="816">
        <f t="shared" si="42"/>
        <v>211470.41149019211</v>
      </c>
      <c r="Q44" s="816">
        <f t="shared" si="42"/>
        <v>211470.41149019211</v>
      </c>
      <c r="R44" s="816">
        <f t="shared" si="42"/>
        <v>211470.41149019211</v>
      </c>
      <c r="S44" s="816">
        <f t="shared" si="42"/>
        <v>211470.41149019211</v>
      </c>
      <c r="T44" s="816">
        <f t="shared" si="42"/>
        <v>211470.41149019211</v>
      </c>
      <c r="U44" s="816">
        <f t="shared" si="42"/>
        <v>211470.41149019211</v>
      </c>
      <c r="V44" s="816">
        <f t="shared" si="42"/>
        <v>211470.41149019211</v>
      </c>
      <c r="W44" s="816">
        <f t="shared" si="42"/>
        <v>211470.41149019211</v>
      </c>
      <c r="X44" s="816">
        <f t="shared" si="42"/>
        <v>211470.41149019211</v>
      </c>
      <c r="Y44" s="816">
        <f t="shared" si="42"/>
        <v>211470.41149019211</v>
      </c>
      <c r="Z44" s="816">
        <f t="shared" si="42"/>
        <v>211470.41149019211</v>
      </c>
      <c r="AA44" s="816">
        <f t="shared" si="42"/>
        <v>211470.41149019211</v>
      </c>
      <c r="AB44" s="816">
        <f t="shared" si="42"/>
        <v>211470.41149019211</v>
      </c>
      <c r="AC44" s="816">
        <f t="shared" si="42"/>
        <v>211470.41149019211</v>
      </c>
      <c r="AD44" s="816">
        <f t="shared" si="42"/>
        <v>211470.41149019211</v>
      </c>
      <c r="AE44" s="816">
        <f t="shared" si="42"/>
        <v>211470.41149019211</v>
      </c>
      <c r="AF44" s="816">
        <f t="shared" si="42"/>
        <v>211470.41149019211</v>
      </c>
      <c r="AG44" s="816">
        <f t="shared" si="42"/>
        <v>211470.41149019211</v>
      </c>
      <c r="AH44" s="816">
        <f t="shared" si="42"/>
        <v>211470.41149019211</v>
      </c>
      <c r="AI44" s="816">
        <f t="shared" si="42"/>
        <v>211470.41149019211</v>
      </c>
    </row>
    <row r="45" spans="2:36" x14ac:dyDescent="0.35">
      <c r="C45" s="786" t="s">
        <v>7</v>
      </c>
      <c r="D45" s="1772" t="s">
        <v>7</v>
      </c>
      <c r="E45" s="1773">
        <f t="shared" si="36"/>
        <v>827788.08000000007</v>
      </c>
      <c r="F45" s="1541">
        <f>$E$10*$H$84</f>
        <v>413894.04000000004</v>
      </c>
      <c r="G45" s="1541">
        <f>$E$10*$H$84</f>
        <v>413894.04000000004</v>
      </c>
      <c r="H45" s="1541">
        <f t="shared" ref="H45:AI45" si="43">$E$10*$I$84</f>
        <v>0</v>
      </c>
      <c r="I45" s="1541">
        <f t="shared" si="43"/>
        <v>0</v>
      </c>
      <c r="J45" s="1541">
        <f t="shared" si="43"/>
        <v>0</v>
      </c>
      <c r="K45" s="1541">
        <f t="shared" si="43"/>
        <v>0</v>
      </c>
      <c r="L45" s="1541">
        <f t="shared" si="43"/>
        <v>0</v>
      </c>
      <c r="M45" s="1541">
        <f t="shared" si="43"/>
        <v>0</v>
      </c>
      <c r="N45" s="1541">
        <f t="shared" si="43"/>
        <v>0</v>
      </c>
      <c r="O45" s="1541">
        <f t="shared" si="43"/>
        <v>0</v>
      </c>
      <c r="P45" s="1541">
        <f t="shared" si="43"/>
        <v>0</v>
      </c>
      <c r="Q45" s="1541">
        <f t="shared" si="43"/>
        <v>0</v>
      </c>
      <c r="R45" s="1541">
        <f t="shared" si="43"/>
        <v>0</v>
      </c>
      <c r="S45" s="1541">
        <f t="shared" si="43"/>
        <v>0</v>
      </c>
      <c r="T45" s="1541">
        <f t="shared" si="43"/>
        <v>0</v>
      </c>
      <c r="U45" s="1541">
        <f t="shared" si="43"/>
        <v>0</v>
      </c>
      <c r="V45" s="1541">
        <f t="shared" si="43"/>
        <v>0</v>
      </c>
      <c r="W45" s="1541">
        <f t="shared" si="43"/>
        <v>0</v>
      </c>
      <c r="X45" s="1541">
        <f t="shared" si="43"/>
        <v>0</v>
      </c>
      <c r="Y45" s="1541">
        <f t="shared" si="43"/>
        <v>0</v>
      </c>
      <c r="Z45" s="1541">
        <f t="shared" si="43"/>
        <v>0</v>
      </c>
      <c r="AA45" s="1541">
        <f t="shared" si="43"/>
        <v>0</v>
      </c>
      <c r="AB45" s="1541">
        <f t="shared" si="43"/>
        <v>0</v>
      </c>
      <c r="AC45" s="1541">
        <f t="shared" si="43"/>
        <v>0</v>
      </c>
      <c r="AD45" s="1541">
        <f t="shared" si="43"/>
        <v>0</v>
      </c>
      <c r="AE45" s="1541">
        <f t="shared" si="43"/>
        <v>0</v>
      </c>
      <c r="AF45" s="1541">
        <f t="shared" si="43"/>
        <v>0</v>
      </c>
      <c r="AG45" s="1541">
        <f t="shared" si="43"/>
        <v>0</v>
      </c>
      <c r="AH45" s="1541">
        <f t="shared" si="43"/>
        <v>0</v>
      </c>
      <c r="AI45" s="1541">
        <f t="shared" si="43"/>
        <v>0</v>
      </c>
    </row>
    <row r="46" spans="2:36" x14ac:dyDescent="0.35">
      <c r="C46" s="1979" t="s">
        <v>6</v>
      </c>
      <c r="D46" s="1768" t="s">
        <v>5</v>
      </c>
      <c r="E46" s="1769">
        <f t="shared" si="36"/>
        <v>1057177.0727743043</v>
      </c>
      <c r="F46" s="1770">
        <f>$E$10*$H$85</f>
        <v>35239.235759143477</v>
      </c>
      <c r="G46" s="1770">
        <f>$E$10*$H$85</f>
        <v>35239.235759143477</v>
      </c>
      <c r="H46" s="1770">
        <f t="shared" ref="H46:AI46" si="44">$E$10*$I$85</f>
        <v>35239.235759143477</v>
      </c>
      <c r="I46" s="1770">
        <f t="shared" si="44"/>
        <v>35239.235759143477</v>
      </c>
      <c r="J46" s="1770">
        <f t="shared" si="44"/>
        <v>35239.235759143477</v>
      </c>
      <c r="K46" s="1770">
        <f t="shared" si="44"/>
        <v>35239.235759143477</v>
      </c>
      <c r="L46" s="1770">
        <f t="shared" si="44"/>
        <v>35239.235759143477</v>
      </c>
      <c r="M46" s="1770">
        <f t="shared" si="44"/>
        <v>35239.235759143477</v>
      </c>
      <c r="N46" s="1770">
        <f t="shared" si="44"/>
        <v>35239.235759143477</v>
      </c>
      <c r="O46" s="1770">
        <f t="shared" si="44"/>
        <v>35239.235759143477</v>
      </c>
      <c r="P46" s="1770">
        <f t="shared" si="44"/>
        <v>35239.235759143477</v>
      </c>
      <c r="Q46" s="1770">
        <f t="shared" si="44"/>
        <v>35239.235759143477</v>
      </c>
      <c r="R46" s="1770">
        <f t="shared" si="44"/>
        <v>35239.235759143477</v>
      </c>
      <c r="S46" s="1770">
        <f t="shared" si="44"/>
        <v>35239.235759143477</v>
      </c>
      <c r="T46" s="1770">
        <f t="shared" si="44"/>
        <v>35239.235759143477</v>
      </c>
      <c r="U46" s="1770">
        <f t="shared" si="44"/>
        <v>35239.235759143477</v>
      </c>
      <c r="V46" s="1770">
        <f t="shared" si="44"/>
        <v>35239.235759143477</v>
      </c>
      <c r="W46" s="1770">
        <f t="shared" si="44"/>
        <v>35239.235759143477</v>
      </c>
      <c r="X46" s="1770">
        <f t="shared" si="44"/>
        <v>35239.235759143477</v>
      </c>
      <c r="Y46" s="1770">
        <f t="shared" si="44"/>
        <v>35239.235759143477</v>
      </c>
      <c r="Z46" s="1770">
        <f t="shared" si="44"/>
        <v>35239.235759143477</v>
      </c>
      <c r="AA46" s="1770">
        <f t="shared" si="44"/>
        <v>35239.235759143477</v>
      </c>
      <c r="AB46" s="1770">
        <f t="shared" si="44"/>
        <v>35239.235759143477</v>
      </c>
      <c r="AC46" s="1770">
        <f t="shared" si="44"/>
        <v>35239.235759143477</v>
      </c>
      <c r="AD46" s="1770">
        <f t="shared" si="44"/>
        <v>35239.235759143477</v>
      </c>
      <c r="AE46" s="1770">
        <f t="shared" si="44"/>
        <v>35239.235759143477</v>
      </c>
      <c r="AF46" s="1770">
        <f t="shared" si="44"/>
        <v>35239.235759143477</v>
      </c>
      <c r="AG46" s="1770">
        <f t="shared" si="44"/>
        <v>35239.235759143477</v>
      </c>
      <c r="AH46" s="1770">
        <f t="shared" si="44"/>
        <v>35239.235759143477</v>
      </c>
      <c r="AI46" s="1770">
        <f t="shared" si="44"/>
        <v>35239.235759143477</v>
      </c>
    </row>
    <row r="47" spans="2:36" x14ac:dyDescent="0.35">
      <c r="C47" s="2038"/>
      <c r="D47" s="796" t="s">
        <v>6</v>
      </c>
      <c r="E47" s="1664">
        <f t="shared" si="36"/>
        <v>11359644.127225691</v>
      </c>
      <c r="F47" s="816">
        <f>$E$10*$H$86</f>
        <v>378654.80424085655</v>
      </c>
      <c r="G47" s="816">
        <f>$E$10*$H$86</f>
        <v>378654.80424085655</v>
      </c>
      <c r="H47" s="816">
        <f t="shared" ref="H47:AI47" si="45">$E$10*$I$86</f>
        <v>378654.80424085655</v>
      </c>
      <c r="I47" s="816">
        <f t="shared" si="45"/>
        <v>378654.80424085655</v>
      </c>
      <c r="J47" s="816">
        <f t="shared" si="45"/>
        <v>378654.80424085655</v>
      </c>
      <c r="K47" s="816">
        <f t="shared" si="45"/>
        <v>378654.80424085655</v>
      </c>
      <c r="L47" s="816">
        <f t="shared" si="45"/>
        <v>378654.80424085655</v>
      </c>
      <c r="M47" s="816">
        <f t="shared" si="45"/>
        <v>378654.80424085655</v>
      </c>
      <c r="N47" s="816">
        <f t="shared" si="45"/>
        <v>378654.80424085655</v>
      </c>
      <c r="O47" s="816">
        <f t="shared" si="45"/>
        <v>378654.80424085655</v>
      </c>
      <c r="P47" s="816">
        <f t="shared" si="45"/>
        <v>378654.80424085655</v>
      </c>
      <c r="Q47" s="816">
        <f t="shared" si="45"/>
        <v>378654.80424085655</v>
      </c>
      <c r="R47" s="816">
        <f t="shared" si="45"/>
        <v>378654.80424085655</v>
      </c>
      <c r="S47" s="816">
        <f t="shared" si="45"/>
        <v>378654.80424085655</v>
      </c>
      <c r="T47" s="816">
        <f t="shared" si="45"/>
        <v>378654.80424085655</v>
      </c>
      <c r="U47" s="816">
        <f t="shared" si="45"/>
        <v>378654.80424085655</v>
      </c>
      <c r="V47" s="816">
        <f t="shared" si="45"/>
        <v>378654.80424085655</v>
      </c>
      <c r="W47" s="816">
        <f t="shared" si="45"/>
        <v>378654.80424085655</v>
      </c>
      <c r="X47" s="816">
        <f t="shared" si="45"/>
        <v>378654.80424085655</v>
      </c>
      <c r="Y47" s="816">
        <f t="shared" si="45"/>
        <v>378654.80424085655</v>
      </c>
      <c r="Z47" s="816">
        <f t="shared" si="45"/>
        <v>378654.80424085655</v>
      </c>
      <c r="AA47" s="816">
        <f t="shared" si="45"/>
        <v>378654.80424085655</v>
      </c>
      <c r="AB47" s="816">
        <f t="shared" si="45"/>
        <v>378654.80424085655</v>
      </c>
      <c r="AC47" s="816">
        <f t="shared" si="45"/>
        <v>378654.80424085655</v>
      </c>
      <c r="AD47" s="816">
        <f t="shared" si="45"/>
        <v>378654.80424085655</v>
      </c>
      <c r="AE47" s="816">
        <f t="shared" si="45"/>
        <v>378654.80424085655</v>
      </c>
      <c r="AF47" s="816">
        <f t="shared" si="45"/>
        <v>378654.80424085655</v>
      </c>
      <c r="AG47" s="816">
        <f t="shared" si="45"/>
        <v>378654.80424085655</v>
      </c>
      <c r="AH47" s="816">
        <f t="shared" si="45"/>
        <v>378654.80424085655</v>
      </c>
      <c r="AI47" s="816">
        <f t="shared" si="45"/>
        <v>378654.80424085655</v>
      </c>
    </row>
    <row r="48" spans="2:36" x14ac:dyDescent="0.35">
      <c r="C48" s="854" t="s">
        <v>200</v>
      </c>
      <c r="D48" s="852"/>
      <c r="E48" s="1200">
        <f t="shared" ref="E48:AI48" si="46">SUM(E39:E47)</f>
        <v>50495072.879999995</v>
      </c>
      <c r="F48" s="853">
        <f t="shared" si="46"/>
        <v>2069470.2000000002</v>
      </c>
      <c r="G48" s="853">
        <f t="shared" si="46"/>
        <v>2069470.2000000002</v>
      </c>
      <c r="H48" s="853">
        <f t="shared" si="46"/>
        <v>1655576.1600000001</v>
      </c>
      <c r="I48" s="853">
        <f t="shared" si="46"/>
        <v>1655576.1600000001</v>
      </c>
      <c r="J48" s="853">
        <f t="shared" si="46"/>
        <v>1655576.1600000001</v>
      </c>
      <c r="K48" s="853">
        <f t="shared" si="46"/>
        <v>1655576.1600000001</v>
      </c>
      <c r="L48" s="853">
        <f t="shared" si="46"/>
        <v>1655576.1600000001</v>
      </c>
      <c r="M48" s="853">
        <f t="shared" si="46"/>
        <v>1655576.1600000001</v>
      </c>
      <c r="N48" s="853">
        <f t="shared" si="46"/>
        <v>1655576.1600000001</v>
      </c>
      <c r="O48" s="853">
        <f t="shared" si="46"/>
        <v>1655576.1600000001</v>
      </c>
      <c r="P48" s="853">
        <f t="shared" si="46"/>
        <v>1655576.1600000001</v>
      </c>
      <c r="Q48" s="853">
        <f t="shared" si="46"/>
        <v>1655576.1600000001</v>
      </c>
      <c r="R48" s="853">
        <f t="shared" si="46"/>
        <v>1655576.1600000001</v>
      </c>
      <c r="S48" s="853">
        <f t="shared" si="46"/>
        <v>1655576.1600000001</v>
      </c>
      <c r="T48" s="853">
        <f t="shared" si="46"/>
        <v>1655576.1600000001</v>
      </c>
      <c r="U48" s="853">
        <f t="shared" si="46"/>
        <v>1655576.1600000001</v>
      </c>
      <c r="V48" s="853">
        <f t="shared" si="46"/>
        <v>1655576.1600000001</v>
      </c>
      <c r="W48" s="853">
        <f t="shared" si="46"/>
        <v>1655576.1600000001</v>
      </c>
      <c r="X48" s="853">
        <f t="shared" si="46"/>
        <v>1655576.1600000001</v>
      </c>
      <c r="Y48" s="853">
        <f t="shared" si="46"/>
        <v>1655576.1600000001</v>
      </c>
      <c r="Z48" s="853">
        <f t="shared" si="46"/>
        <v>1655576.1600000001</v>
      </c>
      <c r="AA48" s="853">
        <f t="shared" si="46"/>
        <v>1655576.1600000001</v>
      </c>
      <c r="AB48" s="853">
        <f t="shared" si="46"/>
        <v>1655576.1600000001</v>
      </c>
      <c r="AC48" s="853">
        <f t="shared" si="46"/>
        <v>1655576.1600000001</v>
      </c>
      <c r="AD48" s="853">
        <f t="shared" si="46"/>
        <v>1655576.1600000001</v>
      </c>
      <c r="AE48" s="853">
        <f t="shared" si="46"/>
        <v>1655576.1600000001</v>
      </c>
      <c r="AF48" s="853">
        <f t="shared" si="46"/>
        <v>1655576.1600000001</v>
      </c>
      <c r="AG48" s="853">
        <f t="shared" si="46"/>
        <v>1655576.1600000001</v>
      </c>
      <c r="AH48" s="853">
        <f t="shared" si="46"/>
        <v>1655576.1600000001</v>
      </c>
      <c r="AI48" s="853">
        <f t="shared" si="46"/>
        <v>1655576.1600000001</v>
      </c>
    </row>
    <row r="49" spans="3:35" x14ac:dyDescent="0.35">
      <c r="C49" s="823" t="s">
        <v>976</v>
      </c>
      <c r="D49" s="112"/>
      <c r="E49" s="1201"/>
      <c r="F49" s="112"/>
      <c r="G49" s="112"/>
      <c r="H49" s="112"/>
      <c r="I49" s="112"/>
      <c r="J49" s="112"/>
      <c r="K49" s="112"/>
      <c r="L49" s="112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  <c r="AA49" s="112"/>
      <c r="AB49" s="112"/>
      <c r="AC49" s="112"/>
      <c r="AD49" s="112"/>
      <c r="AE49" s="112"/>
      <c r="AF49" s="112"/>
      <c r="AG49" s="112"/>
      <c r="AH49" s="112"/>
      <c r="AI49" s="112"/>
    </row>
    <row r="50" spans="3:35" x14ac:dyDescent="0.35">
      <c r="C50" s="803" t="s">
        <v>717</v>
      </c>
      <c r="D50" s="803" t="s">
        <v>68</v>
      </c>
      <c r="E50" s="1515" t="s">
        <v>455</v>
      </c>
      <c r="F50" s="793">
        <v>1</v>
      </c>
      <c r="G50" s="793">
        <f>F50+1</f>
        <v>2</v>
      </c>
      <c r="H50" s="793">
        <f t="shared" ref="H50:AI50" si="47">G50+1</f>
        <v>3</v>
      </c>
      <c r="I50" s="793">
        <f t="shared" si="47"/>
        <v>4</v>
      </c>
      <c r="J50" s="793">
        <f t="shared" si="47"/>
        <v>5</v>
      </c>
      <c r="K50" s="793">
        <f t="shared" si="47"/>
        <v>6</v>
      </c>
      <c r="L50" s="793">
        <f t="shared" si="47"/>
        <v>7</v>
      </c>
      <c r="M50" s="793">
        <f t="shared" si="47"/>
        <v>8</v>
      </c>
      <c r="N50" s="793">
        <f t="shared" si="47"/>
        <v>9</v>
      </c>
      <c r="O50" s="793">
        <f t="shared" si="47"/>
        <v>10</v>
      </c>
      <c r="P50" s="793">
        <f t="shared" si="47"/>
        <v>11</v>
      </c>
      <c r="Q50" s="793">
        <f t="shared" si="47"/>
        <v>12</v>
      </c>
      <c r="R50" s="793">
        <f t="shared" si="47"/>
        <v>13</v>
      </c>
      <c r="S50" s="793">
        <f t="shared" si="47"/>
        <v>14</v>
      </c>
      <c r="T50" s="793">
        <f t="shared" si="47"/>
        <v>15</v>
      </c>
      <c r="U50" s="793">
        <f t="shared" si="47"/>
        <v>16</v>
      </c>
      <c r="V50" s="793">
        <f t="shared" si="47"/>
        <v>17</v>
      </c>
      <c r="W50" s="793">
        <f t="shared" si="47"/>
        <v>18</v>
      </c>
      <c r="X50" s="793">
        <f t="shared" si="47"/>
        <v>19</v>
      </c>
      <c r="Y50" s="793">
        <f t="shared" si="47"/>
        <v>20</v>
      </c>
      <c r="Z50" s="793">
        <f t="shared" si="47"/>
        <v>21</v>
      </c>
      <c r="AA50" s="793">
        <f t="shared" si="47"/>
        <v>22</v>
      </c>
      <c r="AB50" s="793">
        <f t="shared" si="47"/>
        <v>23</v>
      </c>
      <c r="AC50" s="793">
        <f t="shared" si="47"/>
        <v>24</v>
      </c>
      <c r="AD50" s="793">
        <f t="shared" si="47"/>
        <v>25</v>
      </c>
      <c r="AE50" s="793">
        <f t="shared" si="47"/>
        <v>26</v>
      </c>
      <c r="AF50" s="793">
        <f t="shared" si="47"/>
        <v>27</v>
      </c>
      <c r="AG50" s="793">
        <f t="shared" si="47"/>
        <v>28</v>
      </c>
      <c r="AH50" s="793">
        <f t="shared" si="47"/>
        <v>29</v>
      </c>
      <c r="AI50" s="793">
        <f t="shared" si="47"/>
        <v>30</v>
      </c>
    </row>
    <row r="51" spans="3:35" x14ac:dyDescent="0.35">
      <c r="C51" s="1983" t="s">
        <v>1</v>
      </c>
      <c r="D51" s="787" t="s">
        <v>1</v>
      </c>
      <c r="E51" s="1197">
        <f t="shared" ref="E51:E59" si="48">SUM(F51:AI51)</f>
        <v>1207301.0061156349</v>
      </c>
      <c r="F51" s="810">
        <f>$H$25*K78</f>
        <v>56727.673248699044</v>
      </c>
      <c r="G51" s="810">
        <f>F51</f>
        <v>56727.673248699044</v>
      </c>
      <c r="H51" s="810">
        <f>$L$25*L78</f>
        <v>39065.916414937055</v>
      </c>
      <c r="I51" s="810">
        <f>H51</f>
        <v>39065.916414937055</v>
      </c>
      <c r="J51" s="810">
        <f t="shared" ref="J51:AI59" si="49">I51</f>
        <v>39065.916414937055</v>
      </c>
      <c r="K51" s="810">
        <f t="shared" si="49"/>
        <v>39065.916414937055</v>
      </c>
      <c r="L51" s="810">
        <f t="shared" si="49"/>
        <v>39065.916414937055</v>
      </c>
      <c r="M51" s="810">
        <f t="shared" si="49"/>
        <v>39065.916414937055</v>
      </c>
      <c r="N51" s="810">
        <f t="shared" si="49"/>
        <v>39065.916414937055</v>
      </c>
      <c r="O51" s="810">
        <f t="shared" si="49"/>
        <v>39065.916414937055</v>
      </c>
      <c r="P51" s="810">
        <f t="shared" si="49"/>
        <v>39065.916414937055</v>
      </c>
      <c r="Q51" s="810">
        <f t="shared" si="49"/>
        <v>39065.916414937055</v>
      </c>
      <c r="R51" s="810">
        <f t="shared" si="49"/>
        <v>39065.916414937055</v>
      </c>
      <c r="S51" s="810">
        <f t="shared" si="49"/>
        <v>39065.916414937055</v>
      </c>
      <c r="T51" s="810">
        <f t="shared" si="49"/>
        <v>39065.916414937055</v>
      </c>
      <c r="U51" s="810">
        <f t="shared" si="49"/>
        <v>39065.916414937055</v>
      </c>
      <c r="V51" s="810">
        <f t="shared" si="49"/>
        <v>39065.916414937055</v>
      </c>
      <c r="W51" s="810">
        <f t="shared" si="49"/>
        <v>39065.916414937055</v>
      </c>
      <c r="X51" s="810">
        <f t="shared" si="49"/>
        <v>39065.916414937055</v>
      </c>
      <c r="Y51" s="810">
        <f t="shared" si="49"/>
        <v>39065.916414937055</v>
      </c>
      <c r="Z51" s="810">
        <f t="shared" si="49"/>
        <v>39065.916414937055</v>
      </c>
      <c r="AA51" s="810">
        <f t="shared" si="49"/>
        <v>39065.916414937055</v>
      </c>
      <c r="AB51" s="810">
        <f t="shared" si="49"/>
        <v>39065.916414937055</v>
      </c>
      <c r="AC51" s="810">
        <f t="shared" si="49"/>
        <v>39065.916414937055</v>
      </c>
      <c r="AD51" s="810">
        <f t="shared" si="49"/>
        <v>39065.916414937055</v>
      </c>
      <c r="AE51" s="810">
        <f t="shared" si="49"/>
        <v>39065.916414937055</v>
      </c>
      <c r="AF51" s="810">
        <f t="shared" si="49"/>
        <v>39065.916414937055</v>
      </c>
      <c r="AG51" s="810">
        <f t="shared" si="49"/>
        <v>39065.916414937055</v>
      </c>
      <c r="AH51" s="810">
        <f t="shared" si="49"/>
        <v>39065.916414937055</v>
      </c>
      <c r="AI51" s="810">
        <f t="shared" si="49"/>
        <v>39065.916414937055</v>
      </c>
    </row>
    <row r="52" spans="3:35" x14ac:dyDescent="0.35">
      <c r="C52" s="1984"/>
      <c r="D52" s="788" t="s">
        <v>8</v>
      </c>
      <c r="E52" s="1198">
        <f t="shared" si="48"/>
        <v>7279385.8938843645</v>
      </c>
      <c r="F52" s="816">
        <f t="shared" ref="F52:F59" si="50">$H$25*K79</f>
        <v>342037.83675130096</v>
      </c>
      <c r="G52" s="816">
        <f t="shared" ref="G52:G59" si="51">F52</f>
        <v>342037.83675130096</v>
      </c>
      <c r="H52" s="816">
        <f t="shared" ref="H52:H59" si="52">$L$25*L79</f>
        <v>235546.7935850629</v>
      </c>
      <c r="I52" s="816">
        <f t="shared" ref="I52:X59" si="53">H52</f>
        <v>235546.7935850629</v>
      </c>
      <c r="J52" s="816">
        <f t="shared" si="53"/>
        <v>235546.7935850629</v>
      </c>
      <c r="K52" s="816">
        <f t="shared" si="53"/>
        <v>235546.7935850629</v>
      </c>
      <c r="L52" s="816">
        <f t="shared" si="53"/>
        <v>235546.7935850629</v>
      </c>
      <c r="M52" s="816">
        <f t="shared" si="53"/>
        <v>235546.7935850629</v>
      </c>
      <c r="N52" s="816">
        <f t="shared" si="53"/>
        <v>235546.7935850629</v>
      </c>
      <c r="O52" s="816">
        <f t="shared" si="53"/>
        <v>235546.7935850629</v>
      </c>
      <c r="P52" s="816">
        <f t="shared" si="53"/>
        <v>235546.7935850629</v>
      </c>
      <c r="Q52" s="816">
        <f t="shared" si="53"/>
        <v>235546.7935850629</v>
      </c>
      <c r="R52" s="816">
        <f t="shared" si="53"/>
        <v>235546.7935850629</v>
      </c>
      <c r="S52" s="816">
        <f t="shared" si="53"/>
        <v>235546.7935850629</v>
      </c>
      <c r="T52" s="816">
        <f t="shared" si="53"/>
        <v>235546.7935850629</v>
      </c>
      <c r="U52" s="816">
        <f t="shared" si="53"/>
        <v>235546.7935850629</v>
      </c>
      <c r="V52" s="816">
        <f t="shared" si="53"/>
        <v>235546.7935850629</v>
      </c>
      <c r="W52" s="816">
        <f t="shared" si="53"/>
        <v>235546.7935850629</v>
      </c>
      <c r="X52" s="816">
        <f t="shared" si="53"/>
        <v>235546.7935850629</v>
      </c>
      <c r="Y52" s="816">
        <f t="shared" si="49"/>
        <v>235546.7935850629</v>
      </c>
      <c r="Z52" s="816">
        <f t="shared" si="49"/>
        <v>235546.7935850629</v>
      </c>
      <c r="AA52" s="816">
        <f t="shared" si="49"/>
        <v>235546.7935850629</v>
      </c>
      <c r="AB52" s="816">
        <f t="shared" si="49"/>
        <v>235546.7935850629</v>
      </c>
      <c r="AC52" s="816">
        <f t="shared" si="49"/>
        <v>235546.7935850629</v>
      </c>
      <c r="AD52" s="816">
        <f t="shared" si="49"/>
        <v>235546.7935850629</v>
      </c>
      <c r="AE52" s="816">
        <f t="shared" si="49"/>
        <v>235546.7935850629</v>
      </c>
      <c r="AF52" s="816">
        <f t="shared" si="49"/>
        <v>235546.7935850629</v>
      </c>
      <c r="AG52" s="816">
        <f t="shared" si="49"/>
        <v>235546.7935850629</v>
      </c>
      <c r="AH52" s="816">
        <f t="shared" si="49"/>
        <v>235546.7935850629</v>
      </c>
      <c r="AI52" s="816">
        <f t="shared" si="49"/>
        <v>235546.7935850629</v>
      </c>
    </row>
    <row r="53" spans="3:35" x14ac:dyDescent="0.35">
      <c r="C53" s="805" t="s">
        <v>2</v>
      </c>
      <c r="D53" s="806" t="s">
        <v>2</v>
      </c>
      <c r="E53" s="1199">
        <f t="shared" si="48"/>
        <v>17452064.360000007</v>
      </c>
      <c r="F53" s="1541">
        <f t="shared" si="50"/>
        <v>849455.08000000007</v>
      </c>
      <c r="G53" s="1541">
        <f t="shared" si="51"/>
        <v>849455.08000000007</v>
      </c>
      <c r="H53" s="1541">
        <f t="shared" si="52"/>
        <v>562612.65</v>
      </c>
      <c r="I53" s="1541">
        <f t="shared" si="53"/>
        <v>562612.65</v>
      </c>
      <c r="J53" s="1541">
        <f t="shared" si="49"/>
        <v>562612.65</v>
      </c>
      <c r="K53" s="1541">
        <f t="shared" si="49"/>
        <v>562612.65</v>
      </c>
      <c r="L53" s="1541">
        <f t="shared" si="49"/>
        <v>562612.65</v>
      </c>
      <c r="M53" s="1541">
        <f t="shared" si="49"/>
        <v>562612.65</v>
      </c>
      <c r="N53" s="1541">
        <f t="shared" si="49"/>
        <v>562612.65</v>
      </c>
      <c r="O53" s="1541">
        <f t="shared" si="49"/>
        <v>562612.65</v>
      </c>
      <c r="P53" s="1541">
        <f t="shared" si="49"/>
        <v>562612.65</v>
      </c>
      <c r="Q53" s="1541">
        <f t="shared" si="49"/>
        <v>562612.65</v>
      </c>
      <c r="R53" s="1541">
        <f t="shared" si="49"/>
        <v>562612.65</v>
      </c>
      <c r="S53" s="1541">
        <f t="shared" si="49"/>
        <v>562612.65</v>
      </c>
      <c r="T53" s="1541">
        <f t="shared" si="49"/>
        <v>562612.65</v>
      </c>
      <c r="U53" s="1541">
        <f t="shared" si="49"/>
        <v>562612.65</v>
      </c>
      <c r="V53" s="1541">
        <f t="shared" si="49"/>
        <v>562612.65</v>
      </c>
      <c r="W53" s="1541">
        <f t="shared" si="49"/>
        <v>562612.65</v>
      </c>
      <c r="X53" s="1541">
        <f t="shared" si="49"/>
        <v>562612.65</v>
      </c>
      <c r="Y53" s="1541">
        <f t="shared" si="49"/>
        <v>562612.65</v>
      </c>
      <c r="Z53" s="1541">
        <f t="shared" si="49"/>
        <v>562612.65</v>
      </c>
      <c r="AA53" s="1541">
        <f t="shared" si="49"/>
        <v>562612.65</v>
      </c>
      <c r="AB53" s="1541">
        <f t="shared" si="49"/>
        <v>562612.65</v>
      </c>
      <c r="AC53" s="1541">
        <f t="shared" si="49"/>
        <v>562612.65</v>
      </c>
      <c r="AD53" s="1541">
        <f t="shared" si="49"/>
        <v>562612.65</v>
      </c>
      <c r="AE53" s="1541">
        <f t="shared" si="49"/>
        <v>562612.65</v>
      </c>
      <c r="AF53" s="1541">
        <f t="shared" si="49"/>
        <v>562612.65</v>
      </c>
      <c r="AG53" s="1541">
        <f t="shared" si="49"/>
        <v>562612.65</v>
      </c>
      <c r="AH53" s="1541">
        <f t="shared" si="49"/>
        <v>562612.65</v>
      </c>
      <c r="AI53" s="1541">
        <f t="shared" si="49"/>
        <v>562612.65</v>
      </c>
    </row>
    <row r="54" spans="3:35" x14ac:dyDescent="0.35">
      <c r="C54" s="1979" t="s">
        <v>4</v>
      </c>
      <c r="D54" s="787" t="s">
        <v>3</v>
      </c>
      <c r="E54" s="1197">
        <f t="shared" si="48"/>
        <v>943307.05452614196</v>
      </c>
      <c r="F54" s="810">
        <f t="shared" si="50"/>
        <v>123372.78481497713</v>
      </c>
      <c r="G54" s="810">
        <f t="shared" si="51"/>
        <v>123372.78481497713</v>
      </c>
      <c r="H54" s="810">
        <f t="shared" si="52"/>
        <v>24877.195889149578</v>
      </c>
      <c r="I54" s="810">
        <f t="shared" si="53"/>
        <v>24877.195889149578</v>
      </c>
      <c r="J54" s="810">
        <f t="shared" si="49"/>
        <v>24877.195889149578</v>
      </c>
      <c r="K54" s="810">
        <f t="shared" si="49"/>
        <v>24877.195889149578</v>
      </c>
      <c r="L54" s="810">
        <f t="shared" si="49"/>
        <v>24877.195889149578</v>
      </c>
      <c r="M54" s="810">
        <f t="shared" si="49"/>
        <v>24877.195889149578</v>
      </c>
      <c r="N54" s="810">
        <f t="shared" si="49"/>
        <v>24877.195889149578</v>
      </c>
      <c r="O54" s="810">
        <f t="shared" si="49"/>
        <v>24877.195889149578</v>
      </c>
      <c r="P54" s="810">
        <f t="shared" si="49"/>
        <v>24877.195889149578</v>
      </c>
      <c r="Q54" s="810">
        <f t="shared" si="49"/>
        <v>24877.195889149578</v>
      </c>
      <c r="R54" s="810">
        <f t="shared" si="49"/>
        <v>24877.195889149578</v>
      </c>
      <c r="S54" s="810">
        <f t="shared" si="49"/>
        <v>24877.195889149578</v>
      </c>
      <c r="T54" s="810">
        <f t="shared" si="49"/>
        <v>24877.195889149578</v>
      </c>
      <c r="U54" s="810">
        <f t="shared" si="49"/>
        <v>24877.195889149578</v>
      </c>
      <c r="V54" s="810">
        <f t="shared" si="49"/>
        <v>24877.195889149578</v>
      </c>
      <c r="W54" s="810">
        <f t="shared" si="49"/>
        <v>24877.195889149578</v>
      </c>
      <c r="X54" s="810">
        <f t="shared" si="49"/>
        <v>24877.195889149578</v>
      </c>
      <c r="Y54" s="810">
        <f t="shared" si="49"/>
        <v>24877.195889149578</v>
      </c>
      <c r="Z54" s="810">
        <f t="shared" si="49"/>
        <v>24877.195889149578</v>
      </c>
      <c r="AA54" s="810">
        <f t="shared" si="49"/>
        <v>24877.195889149578</v>
      </c>
      <c r="AB54" s="810">
        <f t="shared" si="49"/>
        <v>24877.195889149578</v>
      </c>
      <c r="AC54" s="810">
        <f t="shared" si="49"/>
        <v>24877.195889149578</v>
      </c>
      <c r="AD54" s="810">
        <f t="shared" si="49"/>
        <v>24877.195889149578</v>
      </c>
      <c r="AE54" s="810">
        <f t="shared" si="49"/>
        <v>24877.195889149578</v>
      </c>
      <c r="AF54" s="810">
        <f t="shared" si="49"/>
        <v>24877.195889149578</v>
      </c>
      <c r="AG54" s="810">
        <f t="shared" si="49"/>
        <v>24877.195889149578</v>
      </c>
      <c r="AH54" s="810">
        <f t="shared" si="49"/>
        <v>24877.195889149578</v>
      </c>
      <c r="AI54" s="810">
        <f t="shared" si="49"/>
        <v>24877.195889149578</v>
      </c>
    </row>
    <row r="55" spans="3:35" x14ac:dyDescent="0.35">
      <c r="C55" s="1981"/>
      <c r="D55" s="806" t="s">
        <v>992</v>
      </c>
      <c r="E55" s="1198">
        <f t="shared" si="48"/>
        <v>2263029.7295983676</v>
      </c>
      <c r="F55" s="813">
        <f t="shared" si="50"/>
        <v>295976.03295767313</v>
      </c>
      <c r="G55" s="813">
        <f t="shared" si="51"/>
        <v>295976.03295767313</v>
      </c>
      <c r="H55" s="813">
        <f t="shared" si="52"/>
        <v>59681.345131536429</v>
      </c>
      <c r="I55" s="813">
        <f t="shared" si="53"/>
        <v>59681.345131536429</v>
      </c>
      <c r="J55" s="813">
        <f t="shared" si="49"/>
        <v>59681.345131536429</v>
      </c>
      <c r="K55" s="813">
        <f t="shared" si="49"/>
        <v>59681.345131536429</v>
      </c>
      <c r="L55" s="813">
        <f t="shared" si="49"/>
        <v>59681.345131536429</v>
      </c>
      <c r="M55" s="813">
        <f t="shared" si="49"/>
        <v>59681.345131536429</v>
      </c>
      <c r="N55" s="813">
        <f t="shared" si="49"/>
        <v>59681.345131536429</v>
      </c>
      <c r="O55" s="813">
        <f t="shared" si="49"/>
        <v>59681.345131536429</v>
      </c>
      <c r="P55" s="813">
        <f t="shared" si="49"/>
        <v>59681.345131536429</v>
      </c>
      <c r="Q55" s="813">
        <f t="shared" si="49"/>
        <v>59681.345131536429</v>
      </c>
      <c r="R55" s="813">
        <f t="shared" si="49"/>
        <v>59681.345131536429</v>
      </c>
      <c r="S55" s="813">
        <f t="shared" si="49"/>
        <v>59681.345131536429</v>
      </c>
      <c r="T55" s="813">
        <f t="shared" si="49"/>
        <v>59681.345131536429</v>
      </c>
      <c r="U55" s="813">
        <f t="shared" si="49"/>
        <v>59681.345131536429</v>
      </c>
      <c r="V55" s="813">
        <f t="shared" si="49"/>
        <v>59681.345131536429</v>
      </c>
      <c r="W55" s="813">
        <f t="shared" si="49"/>
        <v>59681.345131536429</v>
      </c>
      <c r="X55" s="813">
        <f t="shared" si="49"/>
        <v>59681.345131536429</v>
      </c>
      <c r="Y55" s="813">
        <f t="shared" si="49"/>
        <v>59681.345131536429</v>
      </c>
      <c r="Z55" s="813">
        <f t="shared" si="49"/>
        <v>59681.345131536429</v>
      </c>
      <c r="AA55" s="813">
        <f t="shared" si="49"/>
        <v>59681.345131536429</v>
      </c>
      <c r="AB55" s="813">
        <f t="shared" si="49"/>
        <v>59681.345131536429</v>
      </c>
      <c r="AC55" s="813">
        <f t="shared" si="49"/>
        <v>59681.345131536429</v>
      </c>
      <c r="AD55" s="813">
        <f t="shared" si="49"/>
        <v>59681.345131536429</v>
      </c>
      <c r="AE55" s="813">
        <f t="shared" si="49"/>
        <v>59681.345131536429</v>
      </c>
      <c r="AF55" s="813">
        <f t="shared" si="49"/>
        <v>59681.345131536429</v>
      </c>
      <c r="AG55" s="813">
        <f t="shared" si="49"/>
        <v>59681.345131536429</v>
      </c>
      <c r="AH55" s="813">
        <f t="shared" si="49"/>
        <v>59681.345131536429</v>
      </c>
      <c r="AI55" s="813">
        <f t="shared" si="49"/>
        <v>59681.345131536429</v>
      </c>
    </row>
    <row r="56" spans="3:35" x14ac:dyDescent="0.35">
      <c r="C56" s="1981"/>
      <c r="D56" s="1665" t="s">
        <v>9</v>
      </c>
      <c r="E56" s="1664">
        <f t="shared" si="48"/>
        <v>3349635.4358754894</v>
      </c>
      <c r="F56" s="816">
        <f t="shared" si="50"/>
        <v>438090.49222734978</v>
      </c>
      <c r="G56" s="816">
        <f t="shared" si="51"/>
        <v>438090.49222734978</v>
      </c>
      <c r="H56" s="816">
        <f t="shared" si="52"/>
        <v>88337.65897931403</v>
      </c>
      <c r="I56" s="816">
        <f t="shared" si="53"/>
        <v>88337.65897931403</v>
      </c>
      <c r="J56" s="816">
        <f t="shared" si="49"/>
        <v>88337.65897931403</v>
      </c>
      <c r="K56" s="816">
        <f t="shared" si="49"/>
        <v>88337.65897931403</v>
      </c>
      <c r="L56" s="816">
        <f t="shared" si="49"/>
        <v>88337.65897931403</v>
      </c>
      <c r="M56" s="816">
        <f t="shared" si="49"/>
        <v>88337.65897931403</v>
      </c>
      <c r="N56" s="816">
        <f t="shared" si="49"/>
        <v>88337.65897931403</v>
      </c>
      <c r="O56" s="816">
        <f t="shared" si="49"/>
        <v>88337.65897931403</v>
      </c>
      <c r="P56" s="816">
        <f t="shared" si="49"/>
        <v>88337.65897931403</v>
      </c>
      <c r="Q56" s="816">
        <f t="shared" si="49"/>
        <v>88337.65897931403</v>
      </c>
      <c r="R56" s="816">
        <f t="shared" si="49"/>
        <v>88337.65897931403</v>
      </c>
      <c r="S56" s="816">
        <f t="shared" si="49"/>
        <v>88337.65897931403</v>
      </c>
      <c r="T56" s="816">
        <f t="shared" si="49"/>
        <v>88337.65897931403</v>
      </c>
      <c r="U56" s="816">
        <f t="shared" si="49"/>
        <v>88337.65897931403</v>
      </c>
      <c r="V56" s="816">
        <f t="shared" si="49"/>
        <v>88337.65897931403</v>
      </c>
      <c r="W56" s="816">
        <f t="shared" si="49"/>
        <v>88337.65897931403</v>
      </c>
      <c r="X56" s="816">
        <f t="shared" si="49"/>
        <v>88337.65897931403</v>
      </c>
      <c r="Y56" s="816">
        <f t="shared" si="49"/>
        <v>88337.65897931403</v>
      </c>
      <c r="Z56" s="816">
        <f t="shared" si="49"/>
        <v>88337.65897931403</v>
      </c>
      <c r="AA56" s="816">
        <f t="shared" si="49"/>
        <v>88337.65897931403</v>
      </c>
      <c r="AB56" s="816">
        <f t="shared" si="49"/>
        <v>88337.65897931403</v>
      </c>
      <c r="AC56" s="816">
        <f t="shared" si="49"/>
        <v>88337.65897931403</v>
      </c>
      <c r="AD56" s="816">
        <f t="shared" si="49"/>
        <v>88337.65897931403</v>
      </c>
      <c r="AE56" s="816">
        <f t="shared" si="49"/>
        <v>88337.65897931403</v>
      </c>
      <c r="AF56" s="816">
        <f t="shared" si="49"/>
        <v>88337.65897931403</v>
      </c>
      <c r="AG56" s="816">
        <f t="shared" si="49"/>
        <v>88337.65897931403</v>
      </c>
      <c r="AH56" s="816">
        <f t="shared" si="49"/>
        <v>88337.65897931403</v>
      </c>
      <c r="AI56" s="816">
        <f t="shared" si="49"/>
        <v>88337.65897931403</v>
      </c>
    </row>
    <row r="57" spans="3:35" x14ac:dyDescent="0.35">
      <c r="C57" s="786" t="s">
        <v>7</v>
      </c>
      <c r="D57" s="1772" t="s">
        <v>7</v>
      </c>
      <c r="E57" s="1773">
        <f t="shared" si="48"/>
        <v>2562251.2399999988</v>
      </c>
      <c r="F57" s="1541">
        <f t="shared" si="50"/>
        <v>848944.3600000001</v>
      </c>
      <c r="G57" s="1541">
        <f t="shared" si="51"/>
        <v>848944.3600000001</v>
      </c>
      <c r="H57" s="1541">
        <f t="shared" si="52"/>
        <v>30870.09</v>
      </c>
      <c r="I57" s="1541">
        <f t="shared" si="53"/>
        <v>30870.09</v>
      </c>
      <c r="J57" s="1541">
        <f t="shared" si="49"/>
        <v>30870.09</v>
      </c>
      <c r="K57" s="1541">
        <f t="shared" si="49"/>
        <v>30870.09</v>
      </c>
      <c r="L57" s="1541">
        <f t="shared" si="49"/>
        <v>30870.09</v>
      </c>
      <c r="M57" s="1541">
        <f t="shared" si="49"/>
        <v>30870.09</v>
      </c>
      <c r="N57" s="1541">
        <f t="shared" si="49"/>
        <v>30870.09</v>
      </c>
      <c r="O57" s="1541">
        <f t="shared" si="49"/>
        <v>30870.09</v>
      </c>
      <c r="P57" s="1541">
        <f t="shared" si="49"/>
        <v>30870.09</v>
      </c>
      <c r="Q57" s="1541">
        <f t="shared" si="49"/>
        <v>30870.09</v>
      </c>
      <c r="R57" s="1541">
        <f t="shared" si="49"/>
        <v>30870.09</v>
      </c>
      <c r="S57" s="1541">
        <f t="shared" si="49"/>
        <v>30870.09</v>
      </c>
      <c r="T57" s="1541">
        <f t="shared" si="49"/>
        <v>30870.09</v>
      </c>
      <c r="U57" s="1541">
        <f t="shared" si="49"/>
        <v>30870.09</v>
      </c>
      <c r="V57" s="1541">
        <f t="shared" si="49"/>
        <v>30870.09</v>
      </c>
      <c r="W57" s="1541">
        <f t="shared" si="49"/>
        <v>30870.09</v>
      </c>
      <c r="X57" s="1541">
        <f t="shared" si="49"/>
        <v>30870.09</v>
      </c>
      <c r="Y57" s="1541">
        <f t="shared" si="49"/>
        <v>30870.09</v>
      </c>
      <c r="Z57" s="1541">
        <f t="shared" si="49"/>
        <v>30870.09</v>
      </c>
      <c r="AA57" s="1541">
        <f t="shared" si="49"/>
        <v>30870.09</v>
      </c>
      <c r="AB57" s="1541">
        <f t="shared" si="49"/>
        <v>30870.09</v>
      </c>
      <c r="AC57" s="1541">
        <f t="shared" si="49"/>
        <v>30870.09</v>
      </c>
      <c r="AD57" s="1541">
        <f t="shared" si="49"/>
        <v>30870.09</v>
      </c>
      <c r="AE57" s="1541">
        <f t="shared" si="49"/>
        <v>30870.09</v>
      </c>
      <c r="AF57" s="1541">
        <f t="shared" si="49"/>
        <v>30870.09</v>
      </c>
      <c r="AG57" s="1541">
        <f t="shared" si="49"/>
        <v>30870.09</v>
      </c>
      <c r="AH57" s="1541">
        <f t="shared" si="49"/>
        <v>30870.09</v>
      </c>
      <c r="AI57" s="1541">
        <f t="shared" si="49"/>
        <v>30870.09</v>
      </c>
    </row>
    <row r="58" spans="3:35" x14ac:dyDescent="0.35">
      <c r="C58" s="1979" t="s">
        <v>6</v>
      </c>
      <c r="D58" s="1768" t="s">
        <v>5</v>
      </c>
      <c r="E58" s="1769">
        <f t="shared" si="48"/>
        <v>1738306.404944787</v>
      </c>
      <c r="F58" s="1770">
        <f t="shared" si="50"/>
        <v>724342.23882535903</v>
      </c>
      <c r="G58" s="1770">
        <f t="shared" si="51"/>
        <v>724342.23882535903</v>
      </c>
      <c r="H58" s="1770">
        <f t="shared" si="52"/>
        <v>10343.64026050242</v>
      </c>
      <c r="I58" s="1770">
        <f t="shared" si="53"/>
        <v>10343.64026050242</v>
      </c>
      <c r="J58" s="1770">
        <f t="shared" si="49"/>
        <v>10343.64026050242</v>
      </c>
      <c r="K58" s="1770">
        <f t="shared" si="49"/>
        <v>10343.64026050242</v>
      </c>
      <c r="L58" s="1770">
        <f t="shared" si="49"/>
        <v>10343.64026050242</v>
      </c>
      <c r="M58" s="1770">
        <f t="shared" si="49"/>
        <v>10343.64026050242</v>
      </c>
      <c r="N58" s="1770">
        <f t="shared" si="49"/>
        <v>10343.64026050242</v>
      </c>
      <c r="O58" s="1770">
        <f t="shared" si="49"/>
        <v>10343.64026050242</v>
      </c>
      <c r="P58" s="1770">
        <f t="shared" si="49"/>
        <v>10343.64026050242</v>
      </c>
      <c r="Q58" s="1770">
        <f t="shared" si="49"/>
        <v>10343.64026050242</v>
      </c>
      <c r="R58" s="1770">
        <f t="shared" si="49"/>
        <v>10343.64026050242</v>
      </c>
      <c r="S58" s="1770">
        <f t="shared" si="49"/>
        <v>10343.64026050242</v>
      </c>
      <c r="T58" s="1770">
        <f t="shared" si="49"/>
        <v>10343.64026050242</v>
      </c>
      <c r="U58" s="1770">
        <f t="shared" si="49"/>
        <v>10343.64026050242</v>
      </c>
      <c r="V58" s="1770">
        <f t="shared" si="49"/>
        <v>10343.64026050242</v>
      </c>
      <c r="W58" s="1770">
        <f t="shared" si="49"/>
        <v>10343.64026050242</v>
      </c>
      <c r="X58" s="1770">
        <f t="shared" si="49"/>
        <v>10343.64026050242</v>
      </c>
      <c r="Y58" s="1770">
        <f t="shared" si="49"/>
        <v>10343.64026050242</v>
      </c>
      <c r="Z58" s="1770">
        <f t="shared" si="49"/>
        <v>10343.64026050242</v>
      </c>
      <c r="AA58" s="1770">
        <f t="shared" si="49"/>
        <v>10343.64026050242</v>
      </c>
      <c r="AB58" s="1770">
        <f t="shared" si="49"/>
        <v>10343.64026050242</v>
      </c>
      <c r="AC58" s="1770">
        <f t="shared" si="49"/>
        <v>10343.64026050242</v>
      </c>
      <c r="AD58" s="1770">
        <f t="shared" si="49"/>
        <v>10343.64026050242</v>
      </c>
      <c r="AE58" s="1770">
        <f t="shared" si="49"/>
        <v>10343.64026050242</v>
      </c>
      <c r="AF58" s="1770">
        <f t="shared" si="49"/>
        <v>10343.64026050242</v>
      </c>
      <c r="AG58" s="1770">
        <f t="shared" si="49"/>
        <v>10343.64026050242</v>
      </c>
      <c r="AH58" s="1770">
        <f t="shared" si="49"/>
        <v>10343.64026050242</v>
      </c>
      <c r="AI58" s="1770">
        <f t="shared" si="49"/>
        <v>10343.64026050242</v>
      </c>
    </row>
    <row r="59" spans="3:35" x14ac:dyDescent="0.35">
      <c r="C59" s="2038"/>
      <c r="D59" s="796" t="s">
        <v>6</v>
      </c>
      <c r="E59" s="1664">
        <f t="shared" si="48"/>
        <v>18678556.93505523</v>
      </c>
      <c r="F59" s="816">
        <f t="shared" si="50"/>
        <v>7783246.7911746399</v>
      </c>
      <c r="G59" s="816">
        <f t="shared" si="51"/>
        <v>7783246.7911746399</v>
      </c>
      <c r="H59" s="816">
        <f t="shared" si="52"/>
        <v>111145.11973949759</v>
      </c>
      <c r="I59" s="816">
        <f t="shared" si="53"/>
        <v>111145.11973949759</v>
      </c>
      <c r="J59" s="816">
        <f t="shared" si="49"/>
        <v>111145.11973949759</v>
      </c>
      <c r="K59" s="816">
        <f t="shared" si="49"/>
        <v>111145.11973949759</v>
      </c>
      <c r="L59" s="816">
        <f t="shared" si="49"/>
        <v>111145.11973949759</v>
      </c>
      <c r="M59" s="816">
        <f t="shared" si="49"/>
        <v>111145.11973949759</v>
      </c>
      <c r="N59" s="816">
        <f t="shared" si="49"/>
        <v>111145.11973949759</v>
      </c>
      <c r="O59" s="816">
        <f t="shared" si="49"/>
        <v>111145.11973949759</v>
      </c>
      <c r="P59" s="816">
        <f t="shared" si="49"/>
        <v>111145.11973949759</v>
      </c>
      <c r="Q59" s="816">
        <f t="shared" si="49"/>
        <v>111145.11973949759</v>
      </c>
      <c r="R59" s="816">
        <f t="shared" si="49"/>
        <v>111145.11973949759</v>
      </c>
      <c r="S59" s="816">
        <f t="shared" si="49"/>
        <v>111145.11973949759</v>
      </c>
      <c r="T59" s="816">
        <f t="shared" si="49"/>
        <v>111145.11973949759</v>
      </c>
      <c r="U59" s="816">
        <f t="shared" si="49"/>
        <v>111145.11973949759</v>
      </c>
      <c r="V59" s="816">
        <f t="shared" si="49"/>
        <v>111145.11973949759</v>
      </c>
      <c r="W59" s="816">
        <f t="shared" si="49"/>
        <v>111145.11973949759</v>
      </c>
      <c r="X59" s="816">
        <f t="shared" si="49"/>
        <v>111145.11973949759</v>
      </c>
      <c r="Y59" s="816">
        <f t="shared" si="49"/>
        <v>111145.11973949759</v>
      </c>
      <c r="Z59" s="816">
        <f t="shared" si="49"/>
        <v>111145.11973949759</v>
      </c>
      <c r="AA59" s="816">
        <f t="shared" si="49"/>
        <v>111145.11973949759</v>
      </c>
      <c r="AB59" s="816">
        <f t="shared" si="49"/>
        <v>111145.11973949759</v>
      </c>
      <c r="AC59" s="816">
        <f t="shared" si="49"/>
        <v>111145.11973949759</v>
      </c>
      <c r="AD59" s="816">
        <f t="shared" si="49"/>
        <v>111145.11973949759</v>
      </c>
      <c r="AE59" s="816">
        <f t="shared" si="49"/>
        <v>111145.11973949759</v>
      </c>
      <c r="AF59" s="816">
        <f t="shared" si="49"/>
        <v>111145.11973949759</v>
      </c>
      <c r="AG59" s="816">
        <f t="shared" si="49"/>
        <v>111145.11973949759</v>
      </c>
      <c r="AH59" s="816">
        <f t="shared" si="49"/>
        <v>111145.11973949759</v>
      </c>
      <c r="AI59" s="816">
        <f t="shared" si="49"/>
        <v>111145.11973949759</v>
      </c>
    </row>
    <row r="60" spans="3:35" x14ac:dyDescent="0.35">
      <c r="C60" s="854" t="s">
        <v>200</v>
      </c>
      <c r="D60" s="852"/>
      <c r="E60" s="1200">
        <f t="shared" ref="E60:AI60" si="54">SUM(E51:E59)</f>
        <v>55473838.060000017</v>
      </c>
      <c r="F60" s="1200">
        <f t="shared" si="54"/>
        <v>11462193.289999999</v>
      </c>
      <c r="G60" s="1200">
        <f t="shared" si="54"/>
        <v>11462193.289999999</v>
      </c>
      <c r="H60" s="1200">
        <f t="shared" si="54"/>
        <v>1162480.4099999999</v>
      </c>
      <c r="I60" s="1200">
        <f t="shared" si="54"/>
        <v>1162480.4099999999</v>
      </c>
      <c r="J60" s="1200">
        <f t="shared" si="54"/>
        <v>1162480.4099999999</v>
      </c>
      <c r="K60" s="1200">
        <f t="shared" si="54"/>
        <v>1162480.4099999999</v>
      </c>
      <c r="L60" s="1200">
        <f t="shared" si="54"/>
        <v>1162480.4099999999</v>
      </c>
      <c r="M60" s="1200">
        <f t="shared" si="54"/>
        <v>1162480.4099999999</v>
      </c>
      <c r="N60" s="1200">
        <f t="shared" si="54"/>
        <v>1162480.4099999999</v>
      </c>
      <c r="O60" s="1200">
        <f t="shared" si="54"/>
        <v>1162480.4099999999</v>
      </c>
      <c r="P60" s="1200">
        <f t="shared" si="54"/>
        <v>1162480.4099999999</v>
      </c>
      <c r="Q60" s="1200">
        <f t="shared" si="54"/>
        <v>1162480.4099999999</v>
      </c>
      <c r="R60" s="1200">
        <f t="shared" si="54"/>
        <v>1162480.4099999999</v>
      </c>
      <c r="S60" s="1200">
        <f t="shared" si="54"/>
        <v>1162480.4099999999</v>
      </c>
      <c r="T60" s="1200">
        <f t="shared" si="54"/>
        <v>1162480.4099999999</v>
      </c>
      <c r="U60" s="1200">
        <f t="shared" si="54"/>
        <v>1162480.4099999999</v>
      </c>
      <c r="V60" s="1200">
        <f t="shared" si="54"/>
        <v>1162480.4099999999</v>
      </c>
      <c r="W60" s="1200">
        <f t="shared" si="54"/>
        <v>1162480.4099999999</v>
      </c>
      <c r="X60" s="1200">
        <f t="shared" si="54"/>
        <v>1162480.4099999999</v>
      </c>
      <c r="Y60" s="1200">
        <f t="shared" si="54"/>
        <v>1162480.4099999999</v>
      </c>
      <c r="Z60" s="1200">
        <f t="shared" si="54"/>
        <v>1162480.4099999999</v>
      </c>
      <c r="AA60" s="1200">
        <f t="shared" si="54"/>
        <v>1162480.4099999999</v>
      </c>
      <c r="AB60" s="1200">
        <f t="shared" si="54"/>
        <v>1162480.4099999999</v>
      </c>
      <c r="AC60" s="1200">
        <f t="shared" si="54"/>
        <v>1162480.4099999999</v>
      </c>
      <c r="AD60" s="1200">
        <f t="shared" si="54"/>
        <v>1162480.4099999999</v>
      </c>
      <c r="AE60" s="1200">
        <f t="shared" si="54"/>
        <v>1162480.4099999999</v>
      </c>
      <c r="AF60" s="1200">
        <f t="shared" si="54"/>
        <v>1162480.4099999999</v>
      </c>
      <c r="AG60" s="1200">
        <f t="shared" si="54"/>
        <v>1162480.4099999999</v>
      </c>
      <c r="AH60" s="1200">
        <f t="shared" si="54"/>
        <v>1162480.4099999999</v>
      </c>
      <c r="AI60" s="1200">
        <f t="shared" si="54"/>
        <v>1162480.4099999999</v>
      </c>
    </row>
    <row r="61" spans="3:35" x14ac:dyDescent="0.35">
      <c r="C61" s="800"/>
      <c r="D61" s="861"/>
      <c r="E61" s="801">
        <f t="shared" ref="E61:AI61" si="55">E48+E60</f>
        <v>105968910.94000001</v>
      </c>
      <c r="F61" s="801">
        <f t="shared" si="55"/>
        <v>13531663.489999998</v>
      </c>
      <c r="G61" s="801">
        <f t="shared" si="55"/>
        <v>13531663.489999998</v>
      </c>
      <c r="H61" s="801">
        <f t="shared" si="55"/>
        <v>2818056.5700000003</v>
      </c>
      <c r="I61" s="801">
        <f t="shared" si="55"/>
        <v>2818056.5700000003</v>
      </c>
      <c r="J61" s="801">
        <f t="shared" si="55"/>
        <v>2818056.5700000003</v>
      </c>
      <c r="K61" s="801">
        <f t="shared" si="55"/>
        <v>2818056.5700000003</v>
      </c>
      <c r="L61" s="801">
        <f t="shared" si="55"/>
        <v>2818056.5700000003</v>
      </c>
      <c r="M61" s="801">
        <f t="shared" si="55"/>
        <v>2818056.5700000003</v>
      </c>
      <c r="N61" s="801">
        <f t="shared" si="55"/>
        <v>2818056.5700000003</v>
      </c>
      <c r="O61" s="801">
        <f t="shared" si="55"/>
        <v>2818056.5700000003</v>
      </c>
      <c r="P61" s="801">
        <f t="shared" si="55"/>
        <v>2818056.5700000003</v>
      </c>
      <c r="Q61" s="801">
        <f t="shared" si="55"/>
        <v>2818056.5700000003</v>
      </c>
      <c r="R61" s="801">
        <f t="shared" si="55"/>
        <v>2818056.5700000003</v>
      </c>
      <c r="S61" s="801">
        <f t="shared" si="55"/>
        <v>2818056.5700000003</v>
      </c>
      <c r="T61" s="801">
        <f t="shared" si="55"/>
        <v>2818056.5700000003</v>
      </c>
      <c r="U61" s="801">
        <f t="shared" si="55"/>
        <v>2818056.5700000003</v>
      </c>
      <c r="V61" s="801">
        <f t="shared" si="55"/>
        <v>2818056.5700000003</v>
      </c>
      <c r="W61" s="801">
        <f t="shared" si="55"/>
        <v>2818056.5700000003</v>
      </c>
      <c r="X61" s="801">
        <f t="shared" si="55"/>
        <v>2818056.5700000003</v>
      </c>
      <c r="Y61" s="801">
        <f t="shared" si="55"/>
        <v>2818056.5700000003</v>
      </c>
      <c r="Z61" s="801">
        <f t="shared" si="55"/>
        <v>2818056.5700000003</v>
      </c>
      <c r="AA61" s="801">
        <f t="shared" si="55"/>
        <v>2818056.5700000003</v>
      </c>
      <c r="AB61" s="801">
        <f t="shared" si="55"/>
        <v>2818056.5700000003</v>
      </c>
      <c r="AC61" s="801">
        <f t="shared" si="55"/>
        <v>2818056.5700000003</v>
      </c>
      <c r="AD61" s="801">
        <f t="shared" si="55"/>
        <v>2818056.5700000003</v>
      </c>
      <c r="AE61" s="801">
        <f t="shared" si="55"/>
        <v>2818056.5700000003</v>
      </c>
      <c r="AF61" s="801">
        <f t="shared" si="55"/>
        <v>2818056.5700000003</v>
      </c>
      <c r="AG61" s="801">
        <f t="shared" si="55"/>
        <v>2818056.5700000003</v>
      </c>
      <c r="AH61" s="801">
        <f t="shared" si="55"/>
        <v>2818056.5700000003</v>
      </c>
      <c r="AI61" s="801">
        <f t="shared" si="55"/>
        <v>2818056.5700000003</v>
      </c>
    </row>
    <row r="63" spans="3:35" x14ac:dyDescent="0.35">
      <c r="C63" s="77" t="s">
        <v>993</v>
      </c>
      <c r="F63"/>
      <c r="G63"/>
      <c r="H63"/>
      <c r="I63"/>
    </row>
    <row r="64" spans="3:35" x14ac:dyDescent="0.35">
      <c r="C64" s="560" t="s">
        <v>179</v>
      </c>
      <c r="D64" s="860"/>
      <c r="E64" s="229" t="s">
        <v>455</v>
      </c>
      <c r="F64" s="802">
        <v>1</v>
      </c>
      <c r="G64" s="802">
        <f>F64+1</f>
        <v>2</v>
      </c>
      <c r="H64" s="802">
        <f t="shared" ref="H64:AI64" si="56">G64+1</f>
        <v>3</v>
      </c>
      <c r="I64" s="802">
        <f t="shared" si="56"/>
        <v>4</v>
      </c>
      <c r="J64" s="802">
        <f t="shared" si="56"/>
        <v>5</v>
      </c>
      <c r="K64" s="802">
        <f t="shared" si="56"/>
        <v>6</v>
      </c>
      <c r="L64" s="802">
        <f t="shared" si="56"/>
        <v>7</v>
      </c>
      <c r="M64" s="802">
        <f t="shared" si="56"/>
        <v>8</v>
      </c>
      <c r="N64" s="802">
        <f t="shared" si="56"/>
        <v>9</v>
      </c>
      <c r="O64" s="802">
        <f t="shared" si="56"/>
        <v>10</v>
      </c>
      <c r="P64" s="802">
        <f t="shared" si="56"/>
        <v>11</v>
      </c>
      <c r="Q64" s="802">
        <f t="shared" si="56"/>
        <v>12</v>
      </c>
      <c r="R64" s="802">
        <f t="shared" si="56"/>
        <v>13</v>
      </c>
      <c r="S64" s="802">
        <f t="shared" si="56"/>
        <v>14</v>
      </c>
      <c r="T64" s="802">
        <f t="shared" si="56"/>
        <v>15</v>
      </c>
      <c r="U64" s="802">
        <f t="shared" si="56"/>
        <v>16</v>
      </c>
      <c r="V64" s="802">
        <f t="shared" si="56"/>
        <v>17</v>
      </c>
      <c r="W64" s="802">
        <f t="shared" si="56"/>
        <v>18</v>
      </c>
      <c r="X64" s="802">
        <f t="shared" si="56"/>
        <v>19</v>
      </c>
      <c r="Y64" s="802">
        <f t="shared" si="56"/>
        <v>20</v>
      </c>
      <c r="Z64" s="802">
        <f t="shared" si="56"/>
        <v>21</v>
      </c>
      <c r="AA64" s="802">
        <f t="shared" si="56"/>
        <v>22</v>
      </c>
      <c r="AB64" s="802">
        <f t="shared" si="56"/>
        <v>23</v>
      </c>
      <c r="AC64" s="802">
        <f t="shared" si="56"/>
        <v>24</v>
      </c>
      <c r="AD64" s="802">
        <f t="shared" si="56"/>
        <v>25</v>
      </c>
      <c r="AE64" s="802">
        <f t="shared" si="56"/>
        <v>26</v>
      </c>
      <c r="AF64" s="802">
        <f t="shared" si="56"/>
        <v>27</v>
      </c>
      <c r="AG64" s="802">
        <f t="shared" si="56"/>
        <v>28</v>
      </c>
      <c r="AH64" s="802">
        <f t="shared" si="56"/>
        <v>29</v>
      </c>
      <c r="AI64" s="802">
        <f t="shared" si="56"/>
        <v>30</v>
      </c>
    </row>
    <row r="65" spans="3:40" x14ac:dyDescent="0.35">
      <c r="C65" s="877" t="s">
        <v>1</v>
      </c>
      <c r="D65" s="879"/>
      <c r="E65" s="808">
        <f t="shared" ref="E65:E73" si="57">SUM(F65:AI65)</f>
        <v>2973695.9378666771</v>
      </c>
      <c r="F65" s="875">
        <f t="shared" ref="F65:AI65" si="58">F39+F51</f>
        <v>115607.50430706709</v>
      </c>
      <c r="G65" s="875">
        <f t="shared" si="58"/>
        <v>115607.50430706709</v>
      </c>
      <c r="H65" s="875">
        <f t="shared" si="58"/>
        <v>97945.747473305106</v>
      </c>
      <c r="I65" s="875">
        <f t="shared" si="58"/>
        <v>97945.747473305106</v>
      </c>
      <c r="J65" s="875">
        <f t="shared" si="58"/>
        <v>97945.747473305106</v>
      </c>
      <c r="K65" s="875">
        <f t="shared" si="58"/>
        <v>97945.747473305106</v>
      </c>
      <c r="L65" s="875">
        <f t="shared" si="58"/>
        <v>97945.747473305106</v>
      </c>
      <c r="M65" s="875">
        <f t="shared" si="58"/>
        <v>97945.747473305106</v>
      </c>
      <c r="N65" s="875">
        <f t="shared" si="58"/>
        <v>97945.747473305106</v>
      </c>
      <c r="O65" s="875">
        <f t="shared" si="58"/>
        <v>97945.747473305106</v>
      </c>
      <c r="P65" s="875">
        <f t="shared" si="58"/>
        <v>97945.747473305106</v>
      </c>
      <c r="Q65" s="875">
        <f t="shared" si="58"/>
        <v>97945.747473305106</v>
      </c>
      <c r="R65" s="875">
        <f t="shared" si="58"/>
        <v>97945.747473305106</v>
      </c>
      <c r="S65" s="875">
        <f t="shared" si="58"/>
        <v>97945.747473305106</v>
      </c>
      <c r="T65" s="875">
        <f t="shared" si="58"/>
        <v>97945.747473305106</v>
      </c>
      <c r="U65" s="875">
        <f t="shared" si="58"/>
        <v>97945.747473305106</v>
      </c>
      <c r="V65" s="875">
        <f t="shared" si="58"/>
        <v>97945.747473305106</v>
      </c>
      <c r="W65" s="875">
        <f t="shared" si="58"/>
        <v>97945.747473305106</v>
      </c>
      <c r="X65" s="875">
        <f t="shared" si="58"/>
        <v>97945.747473305106</v>
      </c>
      <c r="Y65" s="875">
        <f t="shared" si="58"/>
        <v>97945.747473305106</v>
      </c>
      <c r="Z65" s="875">
        <f t="shared" si="58"/>
        <v>97945.747473305106</v>
      </c>
      <c r="AA65" s="875">
        <f t="shared" si="58"/>
        <v>97945.747473305106</v>
      </c>
      <c r="AB65" s="875">
        <f t="shared" si="58"/>
        <v>97945.747473305106</v>
      </c>
      <c r="AC65" s="875">
        <f t="shared" si="58"/>
        <v>97945.747473305106</v>
      </c>
      <c r="AD65" s="875">
        <f t="shared" si="58"/>
        <v>97945.747473305106</v>
      </c>
      <c r="AE65" s="875">
        <f t="shared" si="58"/>
        <v>97945.747473305106</v>
      </c>
      <c r="AF65" s="875">
        <f t="shared" si="58"/>
        <v>97945.747473305106</v>
      </c>
      <c r="AG65" s="875">
        <f t="shared" si="58"/>
        <v>97945.747473305106</v>
      </c>
      <c r="AH65" s="875">
        <f t="shared" si="58"/>
        <v>97945.747473305106</v>
      </c>
      <c r="AI65" s="875">
        <f t="shared" si="58"/>
        <v>97945.747473305106</v>
      </c>
    </row>
    <row r="66" spans="3:40" x14ac:dyDescent="0.35">
      <c r="C66" s="931" t="s">
        <v>2</v>
      </c>
      <c r="D66" s="880"/>
      <c r="E66" s="811">
        <f t="shared" si="57"/>
        <v>29868885.560000017</v>
      </c>
      <c r="F66" s="876">
        <f t="shared" ref="F66:AI66" si="59">F41+F53</f>
        <v>1263349.1200000001</v>
      </c>
      <c r="G66" s="876">
        <f t="shared" si="59"/>
        <v>1263349.1200000001</v>
      </c>
      <c r="H66" s="876">
        <f t="shared" si="59"/>
        <v>976506.69000000006</v>
      </c>
      <c r="I66" s="876">
        <f t="shared" si="59"/>
        <v>976506.69000000006</v>
      </c>
      <c r="J66" s="876">
        <f t="shared" si="59"/>
        <v>976506.69000000006</v>
      </c>
      <c r="K66" s="876">
        <f t="shared" si="59"/>
        <v>976506.69000000006</v>
      </c>
      <c r="L66" s="876">
        <f t="shared" si="59"/>
        <v>976506.69000000006</v>
      </c>
      <c r="M66" s="876">
        <f t="shared" si="59"/>
        <v>976506.69000000006</v>
      </c>
      <c r="N66" s="876">
        <f t="shared" si="59"/>
        <v>976506.69000000006</v>
      </c>
      <c r="O66" s="876">
        <f t="shared" si="59"/>
        <v>976506.69000000006</v>
      </c>
      <c r="P66" s="876">
        <f t="shared" si="59"/>
        <v>976506.69000000006</v>
      </c>
      <c r="Q66" s="876">
        <f t="shared" si="59"/>
        <v>976506.69000000006</v>
      </c>
      <c r="R66" s="876">
        <f t="shared" si="59"/>
        <v>976506.69000000006</v>
      </c>
      <c r="S66" s="876">
        <f t="shared" si="59"/>
        <v>976506.69000000006</v>
      </c>
      <c r="T66" s="876">
        <f t="shared" si="59"/>
        <v>976506.69000000006</v>
      </c>
      <c r="U66" s="876">
        <f t="shared" si="59"/>
        <v>976506.69000000006</v>
      </c>
      <c r="V66" s="876">
        <f t="shared" si="59"/>
        <v>976506.69000000006</v>
      </c>
      <c r="W66" s="876">
        <f t="shared" si="59"/>
        <v>976506.69000000006</v>
      </c>
      <c r="X66" s="876">
        <f t="shared" si="59"/>
        <v>976506.69000000006</v>
      </c>
      <c r="Y66" s="876">
        <f t="shared" si="59"/>
        <v>976506.69000000006</v>
      </c>
      <c r="Z66" s="876">
        <f t="shared" si="59"/>
        <v>976506.69000000006</v>
      </c>
      <c r="AA66" s="876">
        <f t="shared" si="59"/>
        <v>976506.69000000006</v>
      </c>
      <c r="AB66" s="876">
        <f t="shared" si="59"/>
        <v>976506.69000000006</v>
      </c>
      <c r="AC66" s="876">
        <f t="shared" si="59"/>
        <v>976506.69000000006</v>
      </c>
      <c r="AD66" s="876">
        <f t="shared" si="59"/>
        <v>976506.69000000006</v>
      </c>
      <c r="AE66" s="876">
        <f t="shared" si="59"/>
        <v>976506.69000000006</v>
      </c>
      <c r="AF66" s="876">
        <f t="shared" si="59"/>
        <v>976506.69000000006</v>
      </c>
      <c r="AG66" s="876">
        <f t="shared" si="59"/>
        <v>976506.69000000006</v>
      </c>
      <c r="AH66" s="876">
        <f t="shared" si="59"/>
        <v>976506.69000000006</v>
      </c>
      <c r="AI66" s="876">
        <f t="shared" si="59"/>
        <v>976506.69000000006</v>
      </c>
    </row>
    <row r="67" spans="3:40" x14ac:dyDescent="0.35">
      <c r="C67" s="931" t="s">
        <v>3</v>
      </c>
      <c r="D67" s="880"/>
      <c r="E67" s="811">
        <f t="shared" si="57"/>
        <v>2729903.251047208</v>
      </c>
      <c r="F67" s="876">
        <f t="shared" ref="F67:AI67" si="60">F42+F54</f>
        <v>182925.99136567928</v>
      </c>
      <c r="G67" s="876">
        <f t="shared" si="60"/>
        <v>182925.99136567928</v>
      </c>
      <c r="H67" s="876">
        <f t="shared" si="60"/>
        <v>84430.402439851736</v>
      </c>
      <c r="I67" s="876">
        <f t="shared" si="60"/>
        <v>84430.402439851736</v>
      </c>
      <c r="J67" s="876">
        <f t="shared" si="60"/>
        <v>84430.402439851736</v>
      </c>
      <c r="K67" s="876">
        <f t="shared" si="60"/>
        <v>84430.402439851736</v>
      </c>
      <c r="L67" s="876">
        <f t="shared" si="60"/>
        <v>84430.402439851736</v>
      </c>
      <c r="M67" s="876">
        <f t="shared" si="60"/>
        <v>84430.402439851736</v>
      </c>
      <c r="N67" s="876">
        <f t="shared" si="60"/>
        <v>84430.402439851736</v>
      </c>
      <c r="O67" s="876">
        <f t="shared" si="60"/>
        <v>84430.402439851736</v>
      </c>
      <c r="P67" s="876">
        <f t="shared" si="60"/>
        <v>84430.402439851736</v>
      </c>
      <c r="Q67" s="876">
        <f t="shared" si="60"/>
        <v>84430.402439851736</v>
      </c>
      <c r="R67" s="876">
        <f t="shared" si="60"/>
        <v>84430.402439851736</v>
      </c>
      <c r="S67" s="876">
        <f t="shared" si="60"/>
        <v>84430.402439851736</v>
      </c>
      <c r="T67" s="876">
        <f t="shared" si="60"/>
        <v>84430.402439851736</v>
      </c>
      <c r="U67" s="876">
        <f t="shared" si="60"/>
        <v>84430.402439851736</v>
      </c>
      <c r="V67" s="876">
        <f t="shared" si="60"/>
        <v>84430.402439851736</v>
      </c>
      <c r="W67" s="876">
        <f t="shared" si="60"/>
        <v>84430.402439851736</v>
      </c>
      <c r="X67" s="876">
        <f t="shared" si="60"/>
        <v>84430.402439851736</v>
      </c>
      <c r="Y67" s="876">
        <f t="shared" si="60"/>
        <v>84430.402439851736</v>
      </c>
      <c r="Z67" s="876">
        <f t="shared" si="60"/>
        <v>84430.402439851736</v>
      </c>
      <c r="AA67" s="876">
        <f t="shared" si="60"/>
        <v>84430.402439851736</v>
      </c>
      <c r="AB67" s="876">
        <f t="shared" si="60"/>
        <v>84430.402439851736</v>
      </c>
      <c r="AC67" s="876">
        <f t="shared" si="60"/>
        <v>84430.402439851736</v>
      </c>
      <c r="AD67" s="876">
        <f t="shared" si="60"/>
        <v>84430.402439851736</v>
      </c>
      <c r="AE67" s="876">
        <f t="shared" si="60"/>
        <v>84430.402439851736</v>
      </c>
      <c r="AF67" s="876">
        <f t="shared" si="60"/>
        <v>84430.402439851736</v>
      </c>
      <c r="AG67" s="876">
        <f t="shared" si="60"/>
        <v>84430.402439851736</v>
      </c>
      <c r="AH67" s="876">
        <f t="shared" si="60"/>
        <v>84430.402439851736</v>
      </c>
      <c r="AI67" s="876">
        <f t="shared" si="60"/>
        <v>84430.402439851736</v>
      </c>
    </row>
    <row r="68" spans="3:40" s="476" customFormat="1" x14ac:dyDescent="0.35">
      <c r="C68" s="931" t="s">
        <v>4</v>
      </c>
      <c r="D68" s="1093"/>
      <c r="E68" s="811">
        <f t="shared" si="57"/>
        <v>6549142.3883715374</v>
      </c>
      <c r="F68" s="876">
        <f t="shared" ref="F68:AI68" si="61">F43+F55</f>
        <v>438846.45491677889</v>
      </c>
      <c r="G68" s="876">
        <f t="shared" si="61"/>
        <v>438846.45491677889</v>
      </c>
      <c r="H68" s="876">
        <f t="shared" si="61"/>
        <v>202551.76709064218</v>
      </c>
      <c r="I68" s="876">
        <f t="shared" si="61"/>
        <v>202551.76709064218</v>
      </c>
      <c r="J68" s="876">
        <f t="shared" si="61"/>
        <v>202551.76709064218</v>
      </c>
      <c r="K68" s="876">
        <f t="shared" si="61"/>
        <v>202551.76709064218</v>
      </c>
      <c r="L68" s="876">
        <f t="shared" si="61"/>
        <v>202551.76709064218</v>
      </c>
      <c r="M68" s="876">
        <f t="shared" si="61"/>
        <v>202551.76709064218</v>
      </c>
      <c r="N68" s="876">
        <f t="shared" si="61"/>
        <v>202551.76709064218</v>
      </c>
      <c r="O68" s="876">
        <f t="shared" si="61"/>
        <v>202551.76709064218</v>
      </c>
      <c r="P68" s="876">
        <f t="shared" si="61"/>
        <v>202551.76709064218</v>
      </c>
      <c r="Q68" s="876">
        <f t="shared" si="61"/>
        <v>202551.76709064218</v>
      </c>
      <c r="R68" s="876">
        <f t="shared" si="61"/>
        <v>202551.76709064218</v>
      </c>
      <c r="S68" s="876">
        <f t="shared" si="61"/>
        <v>202551.76709064218</v>
      </c>
      <c r="T68" s="876">
        <f t="shared" si="61"/>
        <v>202551.76709064218</v>
      </c>
      <c r="U68" s="876">
        <f t="shared" si="61"/>
        <v>202551.76709064218</v>
      </c>
      <c r="V68" s="876">
        <f t="shared" si="61"/>
        <v>202551.76709064218</v>
      </c>
      <c r="W68" s="876">
        <f t="shared" si="61"/>
        <v>202551.76709064218</v>
      </c>
      <c r="X68" s="876">
        <f t="shared" si="61"/>
        <v>202551.76709064218</v>
      </c>
      <c r="Y68" s="876">
        <f t="shared" si="61"/>
        <v>202551.76709064218</v>
      </c>
      <c r="Z68" s="876">
        <f t="shared" si="61"/>
        <v>202551.76709064218</v>
      </c>
      <c r="AA68" s="876">
        <f t="shared" si="61"/>
        <v>202551.76709064218</v>
      </c>
      <c r="AB68" s="876">
        <f t="shared" si="61"/>
        <v>202551.76709064218</v>
      </c>
      <c r="AC68" s="876">
        <f t="shared" si="61"/>
        <v>202551.76709064218</v>
      </c>
      <c r="AD68" s="876">
        <f t="shared" si="61"/>
        <v>202551.76709064218</v>
      </c>
      <c r="AE68" s="876">
        <f t="shared" si="61"/>
        <v>202551.76709064218</v>
      </c>
      <c r="AF68" s="876">
        <f t="shared" si="61"/>
        <v>202551.76709064218</v>
      </c>
      <c r="AG68" s="876">
        <f t="shared" si="61"/>
        <v>202551.76709064218</v>
      </c>
      <c r="AH68" s="876">
        <f t="shared" si="61"/>
        <v>202551.76709064218</v>
      </c>
      <c r="AI68" s="876">
        <f t="shared" si="61"/>
        <v>202551.76709064218</v>
      </c>
    </row>
    <row r="69" spans="3:40" s="926" customFormat="1" x14ac:dyDescent="0.35">
      <c r="C69" s="931" t="s">
        <v>5</v>
      </c>
      <c r="D69" s="927"/>
      <c r="E69" s="811">
        <f t="shared" si="57"/>
        <v>2795483.4777190913</v>
      </c>
      <c r="F69" s="876">
        <f t="shared" ref="F69:AI69" si="62">F46+F58</f>
        <v>759581.47458450252</v>
      </c>
      <c r="G69" s="876">
        <f t="shared" si="62"/>
        <v>759581.47458450252</v>
      </c>
      <c r="H69" s="876">
        <f t="shared" si="62"/>
        <v>45582.876019645897</v>
      </c>
      <c r="I69" s="876">
        <f t="shared" si="62"/>
        <v>45582.876019645897</v>
      </c>
      <c r="J69" s="876">
        <f t="shared" si="62"/>
        <v>45582.876019645897</v>
      </c>
      <c r="K69" s="876">
        <f t="shared" si="62"/>
        <v>45582.876019645897</v>
      </c>
      <c r="L69" s="876">
        <f t="shared" si="62"/>
        <v>45582.876019645897</v>
      </c>
      <c r="M69" s="876">
        <f t="shared" si="62"/>
        <v>45582.876019645897</v>
      </c>
      <c r="N69" s="876">
        <f t="shared" si="62"/>
        <v>45582.876019645897</v>
      </c>
      <c r="O69" s="876">
        <f t="shared" si="62"/>
        <v>45582.876019645897</v>
      </c>
      <c r="P69" s="876">
        <f t="shared" si="62"/>
        <v>45582.876019645897</v>
      </c>
      <c r="Q69" s="876">
        <f t="shared" si="62"/>
        <v>45582.876019645897</v>
      </c>
      <c r="R69" s="876">
        <f t="shared" si="62"/>
        <v>45582.876019645897</v>
      </c>
      <c r="S69" s="876">
        <f t="shared" si="62"/>
        <v>45582.876019645897</v>
      </c>
      <c r="T69" s="876">
        <f t="shared" si="62"/>
        <v>45582.876019645897</v>
      </c>
      <c r="U69" s="876">
        <f t="shared" si="62"/>
        <v>45582.876019645897</v>
      </c>
      <c r="V69" s="876">
        <f t="shared" si="62"/>
        <v>45582.876019645897</v>
      </c>
      <c r="W69" s="876">
        <f t="shared" si="62"/>
        <v>45582.876019645897</v>
      </c>
      <c r="X69" s="876">
        <f t="shared" si="62"/>
        <v>45582.876019645897</v>
      </c>
      <c r="Y69" s="876">
        <f t="shared" si="62"/>
        <v>45582.876019645897</v>
      </c>
      <c r="Z69" s="876">
        <f t="shared" si="62"/>
        <v>45582.876019645897</v>
      </c>
      <c r="AA69" s="876">
        <f t="shared" si="62"/>
        <v>45582.876019645897</v>
      </c>
      <c r="AB69" s="876">
        <f t="shared" si="62"/>
        <v>45582.876019645897</v>
      </c>
      <c r="AC69" s="876">
        <f t="shared" si="62"/>
        <v>45582.876019645897</v>
      </c>
      <c r="AD69" s="876">
        <f t="shared" si="62"/>
        <v>45582.876019645897</v>
      </c>
      <c r="AE69" s="876">
        <f t="shared" si="62"/>
        <v>45582.876019645897</v>
      </c>
      <c r="AF69" s="876">
        <f t="shared" si="62"/>
        <v>45582.876019645897</v>
      </c>
      <c r="AG69" s="876">
        <f t="shared" si="62"/>
        <v>45582.876019645897</v>
      </c>
      <c r="AH69" s="876">
        <f t="shared" si="62"/>
        <v>45582.876019645897</v>
      </c>
      <c r="AI69" s="876">
        <f t="shared" si="62"/>
        <v>45582.876019645897</v>
      </c>
    </row>
    <row r="70" spans="3:40" s="926" customFormat="1" x14ac:dyDescent="0.35">
      <c r="C70" s="931" t="s">
        <v>6</v>
      </c>
      <c r="D70" s="927"/>
      <c r="E70" s="811">
        <f t="shared" si="57"/>
        <v>30038201.062280938</v>
      </c>
      <c r="F70" s="876">
        <f t="shared" ref="F70:AI70" si="63">F47+F59</f>
        <v>8161901.5954154963</v>
      </c>
      <c r="G70" s="876">
        <f t="shared" si="63"/>
        <v>8161901.5954154963</v>
      </c>
      <c r="H70" s="876">
        <f t="shared" si="63"/>
        <v>489799.92398035416</v>
      </c>
      <c r="I70" s="876">
        <f t="shared" si="63"/>
        <v>489799.92398035416</v>
      </c>
      <c r="J70" s="876">
        <f t="shared" si="63"/>
        <v>489799.92398035416</v>
      </c>
      <c r="K70" s="876">
        <f t="shared" si="63"/>
        <v>489799.92398035416</v>
      </c>
      <c r="L70" s="876">
        <f t="shared" si="63"/>
        <v>489799.92398035416</v>
      </c>
      <c r="M70" s="876">
        <f t="shared" si="63"/>
        <v>489799.92398035416</v>
      </c>
      <c r="N70" s="876">
        <f t="shared" si="63"/>
        <v>489799.92398035416</v>
      </c>
      <c r="O70" s="876">
        <f t="shared" si="63"/>
        <v>489799.92398035416</v>
      </c>
      <c r="P70" s="876">
        <f t="shared" si="63"/>
        <v>489799.92398035416</v>
      </c>
      <c r="Q70" s="876">
        <f t="shared" si="63"/>
        <v>489799.92398035416</v>
      </c>
      <c r="R70" s="876">
        <f t="shared" si="63"/>
        <v>489799.92398035416</v>
      </c>
      <c r="S70" s="876">
        <f t="shared" si="63"/>
        <v>489799.92398035416</v>
      </c>
      <c r="T70" s="876">
        <f t="shared" si="63"/>
        <v>489799.92398035416</v>
      </c>
      <c r="U70" s="876">
        <f t="shared" si="63"/>
        <v>489799.92398035416</v>
      </c>
      <c r="V70" s="876">
        <f t="shared" si="63"/>
        <v>489799.92398035416</v>
      </c>
      <c r="W70" s="876">
        <f t="shared" si="63"/>
        <v>489799.92398035416</v>
      </c>
      <c r="X70" s="876">
        <f t="shared" si="63"/>
        <v>489799.92398035416</v>
      </c>
      <c r="Y70" s="876">
        <f t="shared" si="63"/>
        <v>489799.92398035416</v>
      </c>
      <c r="Z70" s="876">
        <f t="shared" si="63"/>
        <v>489799.92398035416</v>
      </c>
      <c r="AA70" s="876">
        <f t="shared" si="63"/>
        <v>489799.92398035416</v>
      </c>
      <c r="AB70" s="876">
        <f t="shared" si="63"/>
        <v>489799.92398035416</v>
      </c>
      <c r="AC70" s="876">
        <f t="shared" si="63"/>
        <v>489799.92398035416</v>
      </c>
      <c r="AD70" s="876">
        <f t="shared" si="63"/>
        <v>489799.92398035416</v>
      </c>
      <c r="AE70" s="876">
        <f t="shared" si="63"/>
        <v>489799.92398035416</v>
      </c>
      <c r="AF70" s="876">
        <f t="shared" si="63"/>
        <v>489799.92398035416</v>
      </c>
      <c r="AG70" s="876">
        <f t="shared" si="63"/>
        <v>489799.92398035416</v>
      </c>
      <c r="AH70" s="876">
        <f t="shared" si="63"/>
        <v>489799.92398035416</v>
      </c>
      <c r="AI70" s="876">
        <f t="shared" si="63"/>
        <v>489799.92398035416</v>
      </c>
    </row>
    <row r="71" spans="3:40" x14ac:dyDescent="0.35">
      <c r="C71" s="931" t="s">
        <v>7</v>
      </c>
      <c r="D71" s="880"/>
      <c r="E71" s="811">
        <f t="shared" si="57"/>
        <v>3390039.3199999961</v>
      </c>
      <c r="F71" s="876">
        <f t="shared" ref="F71:AI71" si="64">F45+F57</f>
        <v>1262838.4000000001</v>
      </c>
      <c r="G71" s="876">
        <f t="shared" si="64"/>
        <v>1262838.4000000001</v>
      </c>
      <c r="H71" s="876">
        <f t="shared" si="64"/>
        <v>30870.09</v>
      </c>
      <c r="I71" s="876">
        <f t="shared" si="64"/>
        <v>30870.09</v>
      </c>
      <c r="J71" s="876">
        <f t="shared" si="64"/>
        <v>30870.09</v>
      </c>
      <c r="K71" s="876">
        <f t="shared" si="64"/>
        <v>30870.09</v>
      </c>
      <c r="L71" s="876">
        <f t="shared" si="64"/>
        <v>30870.09</v>
      </c>
      <c r="M71" s="876">
        <f t="shared" si="64"/>
        <v>30870.09</v>
      </c>
      <c r="N71" s="876">
        <f t="shared" si="64"/>
        <v>30870.09</v>
      </c>
      <c r="O71" s="876">
        <f t="shared" si="64"/>
        <v>30870.09</v>
      </c>
      <c r="P71" s="876">
        <f t="shared" si="64"/>
        <v>30870.09</v>
      </c>
      <c r="Q71" s="876">
        <f t="shared" si="64"/>
        <v>30870.09</v>
      </c>
      <c r="R71" s="876">
        <f t="shared" si="64"/>
        <v>30870.09</v>
      </c>
      <c r="S71" s="876">
        <f t="shared" si="64"/>
        <v>30870.09</v>
      </c>
      <c r="T71" s="876">
        <f t="shared" si="64"/>
        <v>30870.09</v>
      </c>
      <c r="U71" s="876">
        <f t="shared" si="64"/>
        <v>30870.09</v>
      </c>
      <c r="V71" s="876">
        <f t="shared" si="64"/>
        <v>30870.09</v>
      </c>
      <c r="W71" s="876">
        <f t="shared" si="64"/>
        <v>30870.09</v>
      </c>
      <c r="X71" s="876">
        <f t="shared" si="64"/>
        <v>30870.09</v>
      </c>
      <c r="Y71" s="876">
        <f t="shared" si="64"/>
        <v>30870.09</v>
      </c>
      <c r="Z71" s="876">
        <f t="shared" si="64"/>
        <v>30870.09</v>
      </c>
      <c r="AA71" s="876">
        <f t="shared" si="64"/>
        <v>30870.09</v>
      </c>
      <c r="AB71" s="876">
        <f t="shared" si="64"/>
        <v>30870.09</v>
      </c>
      <c r="AC71" s="876">
        <f t="shared" si="64"/>
        <v>30870.09</v>
      </c>
      <c r="AD71" s="876">
        <f t="shared" si="64"/>
        <v>30870.09</v>
      </c>
      <c r="AE71" s="876">
        <f t="shared" si="64"/>
        <v>30870.09</v>
      </c>
      <c r="AF71" s="876">
        <f t="shared" si="64"/>
        <v>30870.09</v>
      </c>
      <c r="AG71" s="876">
        <f t="shared" si="64"/>
        <v>30870.09</v>
      </c>
      <c r="AH71" s="876">
        <f t="shared" si="64"/>
        <v>30870.09</v>
      </c>
      <c r="AI71" s="876">
        <f t="shared" si="64"/>
        <v>30870.09</v>
      </c>
    </row>
    <row r="72" spans="3:40" x14ac:dyDescent="0.35">
      <c r="C72" s="931" t="s">
        <v>8</v>
      </c>
      <c r="D72" s="880"/>
      <c r="E72" s="811">
        <f t="shared" si="57"/>
        <v>17929812.162133321</v>
      </c>
      <c r="F72" s="876">
        <f t="shared" ref="F72:AI72" si="65">F40+F52</f>
        <v>697052.04569293302</v>
      </c>
      <c r="G72" s="876">
        <f t="shared" si="65"/>
        <v>697052.04569293302</v>
      </c>
      <c r="H72" s="876">
        <f t="shared" si="65"/>
        <v>590561.00252669491</v>
      </c>
      <c r="I72" s="876">
        <f t="shared" si="65"/>
        <v>590561.00252669491</v>
      </c>
      <c r="J72" s="876">
        <f t="shared" si="65"/>
        <v>590561.00252669491</v>
      </c>
      <c r="K72" s="876">
        <f t="shared" si="65"/>
        <v>590561.00252669491</v>
      </c>
      <c r="L72" s="876">
        <f t="shared" si="65"/>
        <v>590561.00252669491</v>
      </c>
      <c r="M72" s="876">
        <f t="shared" si="65"/>
        <v>590561.00252669491</v>
      </c>
      <c r="N72" s="876">
        <f t="shared" si="65"/>
        <v>590561.00252669491</v>
      </c>
      <c r="O72" s="876">
        <f t="shared" si="65"/>
        <v>590561.00252669491</v>
      </c>
      <c r="P72" s="876">
        <f t="shared" si="65"/>
        <v>590561.00252669491</v>
      </c>
      <c r="Q72" s="876">
        <f t="shared" si="65"/>
        <v>590561.00252669491</v>
      </c>
      <c r="R72" s="876">
        <f t="shared" si="65"/>
        <v>590561.00252669491</v>
      </c>
      <c r="S72" s="876">
        <f t="shared" si="65"/>
        <v>590561.00252669491</v>
      </c>
      <c r="T72" s="876">
        <f t="shared" si="65"/>
        <v>590561.00252669491</v>
      </c>
      <c r="U72" s="876">
        <f t="shared" si="65"/>
        <v>590561.00252669491</v>
      </c>
      <c r="V72" s="876">
        <f t="shared" si="65"/>
        <v>590561.00252669491</v>
      </c>
      <c r="W72" s="876">
        <f t="shared" si="65"/>
        <v>590561.00252669491</v>
      </c>
      <c r="X72" s="876">
        <f t="shared" si="65"/>
        <v>590561.00252669491</v>
      </c>
      <c r="Y72" s="876">
        <f t="shared" si="65"/>
        <v>590561.00252669491</v>
      </c>
      <c r="Z72" s="876">
        <f t="shared" si="65"/>
        <v>590561.00252669491</v>
      </c>
      <c r="AA72" s="876">
        <f t="shared" si="65"/>
        <v>590561.00252669491</v>
      </c>
      <c r="AB72" s="876">
        <f t="shared" si="65"/>
        <v>590561.00252669491</v>
      </c>
      <c r="AC72" s="876">
        <f t="shared" si="65"/>
        <v>590561.00252669491</v>
      </c>
      <c r="AD72" s="876">
        <f t="shared" si="65"/>
        <v>590561.00252669491</v>
      </c>
      <c r="AE72" s="876">
        <f t="shared" si="65"/>
        <v>590561.00252669491</v>
      </c>
      <c r="AF72" s="876">
        <f t="shared" si="65"/>
        <v>590561.00252669491</v>
      </c>
      <c r="AG72" s="876">
        <f t="shared" si="65"/>
        <v>590561.00252669491</v>
      </c>
      <c r="AH72" s="876">
        <f t="shared" si="65"/>
        <v>590561.00252669491</v>
      </c>
      <c r="AI72" s="876">
        <f t="shared" si="65"/>
        <v>590561.00252669491</v>
      </c>
    </row>
    <row r="73" spans="3:40" x14ac:dyDescent="0.35">
      <c r="C73" s="878" t="s">
        <v>9</v>
      </c>
      <c r="D73" s="880"/>
      <c r="E73" s="811">
        <f t="shared" si="57"/>
        <v>9693747.7805812545</v>
      </c>
      <c r="F73" s="876">
        <f t="shared" ref="F73:AI73" si="66">F44+F56</f>
        <v>649560.90371754183</v>
      </c>
      <c r="G73" s="876">
        <f t="shared" si="66"/>
        <v>649560.90371754183</v>
      </c>
      <c r="H73" s="876">
        <f t="shared" si="66"/>
        <v>299808.07046950614</v>
      </c>
      <c r="I73" s="876">
        <f t="shared" si="66"/>
        <v>299808.07046950614</v>
      </c>
      <c r="J73" s="876">
        <f t="shared" si="66"/>
        <v>299808.07046950614</v>
      </c>
      <c r="K73" s="876">
        <f t="shared" si="66"/>
        <v>299808.07046950614</v>
      </c>
      <c r="L73" s="876">
        <f t="shared" si="66"/>
        <v>299808.07046950614</v>
      </c>
      <c r="M73" s="876">
        <f t="shared" si="66"/>
        <v>299808.07046950614</v>
      </c>
      <c r="N73" s="876">
        <f t="shared" si="66"/>
        <v>299808.07046950614</v>
      </c>
      <c r="O73" s="876">
        <f t="shared" si="66"/>
        <v>299808.07046950614</v>
      </c>
      <c r="P73" s="876">
        <f t="shared" si="66"/>
        <v>299808.07046950614</v>
      </c>
      <c r="Q73" s="876">
        <f t="shared" si="66"/>
        <v>299808.07046950614</v>
      </c>
      <c r="R73" s="876">
        <f t="shared" si="66"/>
        <v>299808.07046950614</v>
      </c>
      <c r="S73" s="876">
        <f t="shared" si="66"/>
        <v>299808.07046950614</v>
      </c>
      <c r="T73" s="876">
        <f t="shared" si="66"/>
        <v>299808.07046950614</v>
      </c>
      <c r="U73" s="876">
        <f t="shared" si="66"/>
        <v>299808.07046950614</v>
      </c>
      <c r="V73" s="876">
        <f t="shared" si="66"/>
        <v>299808.07046950614</v>
      </c>
      <c r="W73" s="876">
        <f t="shared" si="66"/>
        <v>299808.07046950614</v>
      </c>
      <c r="X73" s="876">
        <f t="shared" si="66"/>
        <v>299808.07046950614</v>
      </c>
      <c r="Y73" s="876">
        <f t="shared" si="66"/>
        <v>299808.07046950614</v>
      </c>
      <c r="Z73" s="876">
        <f t="shared" si="66"/>
        <v>299808.07046950614</v>
      </c>
      <c r="AA73" s="876">
        <f t="shared" si="66"/>
        <v>299808.07046950614</v>
      </c>
      <c r="AB73" s="876">
        <f t="shared" si="66"/>
        <v>299808.07046950614</v>
      </c>
      <c r="AC73" s="876">
        <f t="shared" si="66"/>
        <v>299808.07046950614</v>
      </c>
      <c r="AD73" s="876">
        <f t="shared" si="66"/>
        <v>299808.07046950614</v>
      </c>
      <c r="AE73" s="876">
        <f t="shared" si="66"/>
        <v>299808.07046950614</v>
      </c>
      <c r="AF73" s="876">
        <f t="shared" si="66"/>
        <v>299808.07046950614</v>
      </c>
      <c r="AG73" s="876">
        <f t="shared" si="66"/>
        <v>299808.07046950614</v>
      </c>
      <c r="AH73" s="876">
        <f t="shared" si="66"/>
        <v>299808.07046950614</v>
      </c>
      <c r="AI73" s="876">
        <f t="shared" si="66"/>
        <v>299808.07046950614</v>
      </c>
    </row>
    <row r="74" spans="3:40" x14ac:dyDescent="0.35">
      <c r="C74" s="800" t="s">
        <v>455</v>
      </c>
      <c r="D74" s="861"/>
      <c r="E74" s="801">
        <f t="shared" ref="E74:AI74" si="67">SUM(E65:E73)</f>
        <v>105968910.94000003</v>
      </c>
      <c r="F74" s="801">
        <f t="shared" si="67"/>
        <v>13531663.49</v>
      </c>
      <c r="G74" s="801">
        <f t="shared" si="67"/>
        <v>13531663.49</v>
      </c>
      <c r="H74" s="801">
        <f t="shared" si="67"/>
        <v>2818056.5700000003</v>
      </c>
      <c r="I74" s="801">
        <f t="shared" si="67"/>
        <v>2818056.5700000003</v>
      </c>
      <c r="J74" s="801">
        <f t="shared" si="67"/>
        <v>2818056.5700000003</v>
      </c>
      <c r="K74" s="801">
        <f t="shared" si="67"/>
        <v>2818056.5700000003</v>
      </c>
      <c r="L74" s="801">
        <f t="shared" si="67"/>
        <v>2818056.5700000003</v>
      </c>
      <c r="M74" s="801">
        <f t="shared" si="67"/>
        <v>2818056.5700000003</v>
      </c>
      <c r="N74" s="801">
        <f t="shared" si="67"/>
        <v>2818056.5700000003</v>
      </c>
      <c r="O74" s="801">
        <f t="shared" si="67"/>
        <v>2818056.5700000003</v>
      </c>
      <c r="P74" s="801">
        <f t="shared" si="67"/>
        <v>2818056.5700000003</v>
      </c>
      <c r="Q74" s="801">
        <f t="shared" si="67"/>
        <v>2818056.5700000003</v>
      </c>
      <c r="R74" s="801">
        <f t="shared" si="67"/>
        <v>2818056.5700000003</v>
      </c>
      <c r="S74" s="801">
        <f t="shared" si="67"/>
        <v>2818056.5700000003</v>
      </c>
      <c r="T74" s="801">
        <f t="shared" si="67"/>
        <v>2818056.5700000003</v>
      </c>
      <c r="U74" s="801">
        <f t="shared" si="67"/>
        <v>2818056.5700000003</v>
      </c>
      <c r="V74" s="801">
        <f t="shared" si="67"/>
        <v>2818056.5700000003</v>
      </c>
      <c r="W74" s="801">
        <f t="shared" si="67"/>
        <v>2818056.5700000003</v>
      </c>
      <c r="X74" s="801">
        <f t="shared" si="67"/>
        <v>2818056.5700000003</v>
      </c>
      <c r="Y74" s="801">
        <f t="shared" si="67"/>
        <v>2818056.5700000003</v>
      </c>
      <c r="Z74" s="801">
        <f t="shared" si="67"/>
        <v>2818056.5700000003</v>
      </c>
      <c r="AA74" s="801">
        <f t="shared" si="67"/>
        <v>2818056.5700000003</v>
      </c>
      <c r="AB74" s="801">
        <f t="shared" si="67"/>
        <v>2818056.5700000003</v>
      </c>
      <c r="AC74" s="801">
        <f t="shared" si="67"/>
        <v>2818056.5700000003</v>
      </c>
      <c r="AD74" s="801">
        <f t="shared" si="67"/>
        <v>2818056.5700000003</v>
      </c>
      <c r="AE74" s="801">
        <f t="shared" si="67"/>
        <v>2818056.5700000003</v>
      </c>
      <c r="AF74" s="801">
        <f t="shared" si="67"/>
        <v>2818056.5700000003</v>
      </c>
      <c r="AG74" s="801">
        <f t="shared" si="67"/>
        <v>2818056.5700000003</v>
      </c>
      <c r="AH74" s="801">
        <f t="shared" si="67"/>
        <v>2818056.5700000003</v>
      </c>
      <c r="AI74" s="801">
        <f t="shared" si="67"/>
        <v>2818056.5700000003</v>
      </c>
    </row>
    <row r="75" spans="3:40" x14ac:dyDescent="0.35">
      <c r="F75" s="221"/>
      <c r="G75"/>
      <c r="H75"/>
      <c r="I75"/>
    </row>
    <row r="76" spans="3:40" x14ac:dyDescent="0.35">
      <c r="C76" s="77" t="s">
        <v>810</v>
      </c>
      <c r="F76" t="s">
        <v>977</v>
      </c>
      <c r="G76" s="221"/>
      <c r="H76" s="1431" t="s">
        <v>994</v>
      </c>
      <c r="I76" s="1431" t="s">
        <v>995</v>
      </c>
      <c r="K76" s="1431" t="s">
        <v>994</v>
      </c>
      <c r="L76" s="1431" t="s">
        <v>995</v>
      </c>
    </row>
    <row r="77" spans="3:40" x14ac:dyDescent="0.35">
      <c r="C77" s="803" t="s">
        <v>717</v>
      </c>
      <c r="D77" s="862" t="s">
        <v>68</v>
      </c>
      <c r="E77" s="869"/>
      <c r="F77" s="802" t="s">
        <v>176</v>
      </c>
      <c r="G77" s="1013"/>
      <c r="H77" s="802" t="s">
        <v>176</v>
      </c>
      <c r="I77" s="802" t="s">
        <v>176</v>
      </c>
      <c r="J77" s="1669"/>
      <c r="K77" s="802" t="s">
        <v>176</v>
      </c>
      <c r="L77" s="802" t="s">
        <v>176</v>
      </c>
      <c r="M77" s="1014"/>
      <c r="N77" s="1014"/>
      <c r="O77" s="1014"/>
      <c r="P77" s="1014"/>
      <c r="Q77" s="1014"/>
      <c r="R77" s="1014"/>
      <c r="S77" s="1014"/>
      <c r="T77" s="1014"/>
      <c r="U77" s="1014"/>
      <c r="V77" s="1014"/>
      <c r="W77" s="1014"/>
      <c r="X77" s="1014"/>
      <c r="Y77" s="1014"/>
      <c r="Z77" s="1014"/>
      <c r="AA77" s="1014"/>
      <c r="AB77" s="1014"/>
      <c r="AC77" s="1014"/>
      <c r="AD77" s="1014"/>
      <c r="AE77" s="1014"/>
      <c r="AF77" s="1014"/>
      <c r="AG77" s="1014"/>
      <c r="AH77" s="1014"/>
      <c r="AI77" s="1014"/>
      <c r="AJ77" s="1014"/>
      <c r="AK77" s="1014"/>
      <c r="AL77" s="1014"/>
      <c r="AM77" s="1014"/>
      <c r="AN77" s="1014"/>
    </row>
    <row r="78" spans="3:40" x14ac:dyDescent="0.35">
      <c r="C78" s="1982" t="s">
        <v>1</v>
      </c>
      <c r="D78" s="863" t="s">
        <v>1</v>
      </c>
      <c r="E78" s="870"/>
      <c r="F78" s="818">
        <f>SUM('Premissas Geração de Resíduos'!D132:E132)/SUM('Premissas Geração de Resíduos'!$D$142:$E$142)</f>
        <v>7.9107172749503015E-3</v>
      </c>
      <c r="G78" s="1015"/>
      <c r="H78" s="818">
        <f>F78/SUM($F$78:$F$79)</f>
        <v>0.14225822400914023</v>
      </c>
      <c r="I78" s="818">
        <f>H78</f>
        <v>0.14225822400914023</v>
      </c>
      <c r="J78" s="1670"/>
      <c r="K78" s="818">
        <f>$H$20/$H$25*H78</f>
        <v>4.9491115542598784E-3</v>
      </c>
      <c r="L78" s="818">
        <f>$L$20/$L$25*I78</f>
        <v>3.3605655698694364E-2</v>
      </c>
      <c r="M78" s="1016"/>
      <c r="N78" s="1016"/>
      <c r="O78" s="1016"/>
      <c r="P78" s="1016"/>
      <c r="Q78" s="1016"/>
      <c r="R78" s="1016"/>
      <c r="S78" s="1016"/>
      <c r="T78" s="1016"/>
      <c r="U78" s="1016"/>
      <c r="V78" s="1016"/>
      <c r="W78" s="1016"/>
      <c r="X78" s="1016"/>
      <c r="Y78" s="1016"/>
      <c r="Z78" s="1016"/>
      <c r="AA78" s="1016"/>
      <c r="AB78" s="1016"/>
      <c r="AC78" s="1016"/>
      <c r="AD78" s="1016"/>
      <c r="AE78" s="1016"/>
      <c r="AF78" s="1016"/>
      <c r="AG78" s="1016"/>
      <c r="AH78" s="1016"/>
      <c r="AI78" s="1016"/>
      <c r="AJ78" s="1016"/>
      <c r="AK78" s="1016"/>
      <c r="AL78" s="1016"/>
      <c r="AM78" s="1016"/>
      <c r="AN78" s="1016"/>
    </row>
    <row r="79" spans="3:40" x14ac:dyDescent="0.35">
      <c r="C79" s="1967"/>
      <c r="D79" s="1666" t="s">
        <v>8</v>
      </c>
      <c r="E79" s="1667"/>
      <c r="F79" s="1538">
        <f>SUM('Premissas Geração de Resíduos'!D139:E139)/SUM('Premissas Geração de Resíduos'!$D$142:$E$142)</f>
        <v>4.7697437051804334E-2</v>
      </c>
      <c r="G79" s="1015"/>
      <c r="H79" s="1538">
        <f>F79/SUM($F$78:$F$79)</f>
        <v>0.85774177599085977</v>
      </c>
      <c r="I79" s="819">
        <f>H79</f>
        <v>0.85774177599085977</v>
      </c>
      <c r="J79" s="1670"/>
      <c r="K79" s="818">
        <f>$H$20/$H$25*H79</f>
        <v>2.9840522498404052E-2</v>
      </c>
      <c r="L79" s="818">
        <f>$L$20/$L$25*I79</f>
        <v>0.20262431225405589</v>
      </c>
      <c r="M79" s="1016"/>
      <c r="N79" s="1016"/>
      <c r="O79" s="1016"/>
      <c r="P79" s="1016"/>
      <c r="Q79" s="1016"/>
      <c r="R79" s="1016"/>
      <c r="S79" s="1016"/>
      <c r="T79" s="1016"/>
      <c r="U79" s="1016"/>
      <c r="V79" s="1016"/>
      <c r="W79" s="1016"/>
      <c r="X79" s="1016"/>
      <c r="Y79" s="1016"/>
      <c r="Z79" s="1016"/>
      <c r="AA79" s="1016"/>
      <c r="AB79" s="1016"/>
      <c r="AC79" s="1016"/>
      <c r="AD79" s="1016"/>
      <c r="AE79" s="1016"/>
      <c r="AF79" s="1016"/>
      <c r="AG79" s="1016"/>
      <c r="AH79" s="1016"/>
      <c r="AI79" s="1016"/>
      <c r="AJ79" s="1016"/>
      <c r="AK79" s="1016"/>
      <c r="AL79" s="1016"/>
      <c r="AM79" s="1016"/>
      <c r="AN79" s="1016"/>
    </row>
    <row r="80" spans="3:40" x14ac:dyDescent="0.35">
      <c r="C80" s="795" t="s">
        <v>2</v>
      </c>
      <c r="D80" s="868" t="s">
        <v>2</v>
      </c>
      <c r="E80" s="1777"/>
      <c r="F80" s="822">
        <f>SUM('Premissas Geração de Resíduos'!D133:E133)/SUM('Premissas Geração de Resíduos'!$D$142:$E$142)</f>
        <v>9.2851727894822059E-2</v>
      </c>
      <c r="G80" s="1015"/>
      <c r="H80" s="822">
        <v>1</v>
      </c>
      <c r="I80" s="822">
        <v>1</v>
      </c>
      <c r="J80" s="1670"/>
      <c r="K80" s="822">
        <f>H21/H25</f>
        <v>7.4109296406743824E-2</v>
      </c>
      <c r="L80" s="822">
        <f>L21/L25</f>
        <v>0.4839760267443991</v>
      </c>
      <c r="M80" s="1016"/>
      <c r="N80" s="1016"/>
      <c r="O80" s="1016"/>
      <c r="P80" s="1016"/>
      <c r="Q80" s="1016"/>
      <c r="R80" s="1016"/>
      <c r="S80" s="1016"/>
      <c r="T80" s="1016"/>
      <c r="U80" s="1016"/>
      <c r="V80" s="1016"/>
      <c r="W80" s="1016"/>
      <c r="X80" s="1016"/>
      <c r="Y80" s="1016"/>
      <c r="Z80" s="1016"/>
      <c r="AA80" s="1016"/>
      <c r="AB80" s="1016"/>
      <c r="AC80" s="1016"/>
      <c r="AD80" s="1016"/>
      <c r="AE80" s="1016"/>
      <c r="AF80" s="1016"/>
      <c r="AG80" s="1016"/>
      <c r="AH80" s="1016"/>
      <c r="AI80" s="1016"/>
      <c r="AJ80" s="1016"/>
      <c r="AK80" s="1016"/>
      <c r="AL80" s="1016"/>
      <c r="AM80" s="1016"/>
      <c r="AN80" s="1016"/>
    </row>
    <row r="81" spans="3:40" x14ac:dyDescent="0.35">
      <c r="C81" s="1968" t="s">
        <v>4</v>
      </c>
      <c r="D81" s="863" t="s">
        <v>3</v>
      </c>
      <c r="E81" s="870"/>
      <c r="F81" s="1004">
        <f>SUM('Premissas Geração de Resíduos'!D134:E134)/SUM('Premissas Geração de Resíduos'!$D$142:$E$142)</f>
        <v>1.0953993782128942E-2</v>
      </c>
      <c r="G81" s="1015"/>
      <c r="H81" s="818">
        <f>F81/SUM($F$81:$F$83)</f>
        <v>0.14388515125925019</v>
      </c>
      <c r="I81" s="1539">
        <f>H81</f>
        <v>0.14388515125925019</v>
      </c>
      <c r="J81" s="1670"/>
      <c r="K81" s="818">
        <f>$H$22/$H$25*H81</f>
        <v>1.0763453528794674E-2</v>
      </c>
      <c r="L81" s="1539">
        <f>$L$22/$L$25*I81</f>
        <v>2.1400099025453322E-2</v>
      </c>
      <c r="M81" s="1016"/>
      <c r="N81" s="1016"/>
      <c r="O81" s="1016"/>
      <c r="P81" s="1016"/>
      <c r="Q81" s="1016"/>
      <c r="R81" s="1016"/>
      <c r="S81" s="1016"/>
      <c r="T81" s="1016"/>
      <c r="U81" s="1016"/>
      <c r="V81" s="1016"/>
      <c r="W81" s="1016"/>
      <c r="X81" s="1016"/>
      <c r="Y81" s="1016"/>
      <c r="Z81" s="1016"/>
      <c r="AA81" s="1016"/>
      <c r="AB81" s="1016"/>
      <c r="AC81" s="1016"/>
      <c r="AD81" s="1016"/>
      <c r="AE81" s="1016"/>
      <c r="AF81" s="1016"/>
      <c r="AG81" s="1016"/>
      <c r="AH81" s="1016"/>
      <c r="AI81" s="1016"/>
      <c r="AJ81" s="1016"/>
      <c r="AK81" s="1016"/>
      <c r="AL81" s="1016"/>
      <c r="AM81" s="1016"/>
      <c r="AN81" s="1016"/>
    </row>
    <row r="82" spans="3:40" x14ac:dyDescent="0.35">
      <c r="C82" s="1969"/>
      <c r="D82" s="866" t="s">
        <v>4</v>
      </c>
      <c r="E82" s="872"/>
      <c r="F82" s="819">
        <f>SUM('Premissas Geração de Resíduos'!D135:E135)/SUM('Premissas Geração de Resíduos'!$D$142:$E$142)</f>
        <v>2.6279050355714737E-2</v>
      </c>
      <c r="G82" s="1015"/>
      <c r="H82" s="819">
        <f>F82/SUM($F$81:$F$83)</f>
        <v>0.34518598518380633</v>
      </c>
      <c r="I82" s="1538">
        <f>H82</f>
        <v>0.34518598518380633</v>
      </c>
      <c r="J82" s="1670"/>
      <c r="K82" s="818">
        <f t="shared" ref="K82:K83" si="68">$H$22/$H$25*H82</f>
        <v>2.5821936994893685E-2</v>
      </c>
      <c r="L82" s="1539">
        <f t="shared" ref="L82:L83" si="69">$L$22/$L$25*I82</f>
        <v>5.1339656667019819E-2</v>
      </c>
      <c r="M82" s="1016"/>
      <c r="N82" s="1016"/>
      <c r="O82" s="1016"/>
      <c r="P82" s="1016"/>
      <c r="Q82" s="1016"/>
      <c r="R82" s="1016"/>
      <c r="S82" s="1016"/>
      <c r="T82" s="1016"/>
      <c r="U82" s="1016"/>
      <c r="V82" s="1016"/>
      <c r="W82" s="1016"/>
      <c r="X82" s="1016"/>
      <c r="Y82" s="1016"/>
      <c r="Z82" s="1016"/>
      <c r="AA82" s="1016"/>
      <c r="AB82" s="1016"/>
      <c r="AC82" s="1016"/>
      <c r="AD82" s="1016"/>
      <c r="AE82" s="1016"/>
      <c r="AF82" s="1016"/>
      <c r="AG82" s="1016"/>
      <c r="AH82" s="1016"/>
      <c r="AI82" s="1016"/>
      <c r="AJ82" s="1016"/>
      <c r="AK82" s="1016"/>
      <c r="AL82" s="1016"/>
      <c r="AM82" s="1016"/>
      <c r="AN82" s="1016"/>
    </row>
    <row r="83" spans="3:40" x14ac:dyDescent="0.35">
      <c r="C83" s="1969"/>
      <c r="D83" s="1666" t="s">
        <v>9</v>
      </c>
      <c r="E83" s="1667"/>
      <c r="F83" s="821">
        <f>SUM('Premissas Geração de Resíduos'!D140:E140)/SUM('Premissas Geração de Resíduos'!$D$142:$E$142)</f>
        <v>3.8897075518438247E-2</v>
      </c>
      <c r="G83" s="1015"/>
      <c r="H83" s="819">
        <f>F83/SUM($F$81:$F$83)</f>
        <v>0.51092886355694345</v>
      </c>
      <c r="I83" s="1538">
        <f>H83</f>
        <v>0.51092886355694345</v>
      </c>
      <c r="J83" s="1670"/>
      <c r="K83" s="818">
        <f t="shared" si="68"/>
        <v>3.822047675723237E-2</v>
      </c>
      <c r="L83" s="1539">
        <f t="shared" si="69"/>
        <v>7.5990664633491786E-2</v>
      </c>
      <c r="M83" s="1016"/>
      <c r="N83" s="1016"/>
      <c r="O83" s="1016"/>
      <c r="P83" s="1016"/>
      <c r="Q83" s="1016"/>
      <c r="R83" s="1016"/>
      <c r="S83" s="1016"/>
      <c r="T83" s="1016"/>
      <c r="U83" s="1016"/>
      <c r="V83" s="1016"/>
      <c r="W83" s="1016"/>
      <c r="X83" s="1016"/>
      <c r="Y83" s="1016"/>
      <c r="Z83" s="1016"/>
      <c r="AA83" s="1016"/>
      <c r="AB83" s="1016"/>
      <c r="AC83" s="1016"/>
      <c r="AD83" s="1016"/>
      <c r="AE83" s="1016"/>
      <c r="AF83" s="1016"/>
      <c r="AG83" s="1016"/>
      <c r="AH83" s="1016"/>
      <c r="AI83" s="1016"/>
      <c r="AJ83" s="1016"/>
      <c r="AK83" s="1016"/>
      <c r="AL83" s="1016"/>
      <c r="AM83" s="1016"/>
      <c r="AN83" s="1016"/>
    </row>
    <row r="84" spans="3:40" x14ac:dyDescent="0.35">
      <c r="C84" s="1793" t="s">
        <v>7</v>
      </c>
      <c r="D84" s="868" t="s">
        <v>7</v>
      </c>
      <c r="E84" s="1777"/>
      <c r="F84" s="822">
        <f>SUM('Premissas Geração de Resíduos'!D138:E138)/SUM('Premissas Geração de Resíduos'!$D$142:$E$142)</f>
        <v>5.8658320379462843E-2</v>
      </c>
      <c r="G84" s="1015"/>
      <c r="H84" s="822">
        <v>1</v>
      </c>
      <c r="I84" s="822">
        <v>0</v>
      </c>
      <c r="J84" s="1016"/>
      <c r="K84" s="822">
        <f>H23/H25</f>
        <v>7.4064739489312886E-2</v>
      </c>
      <c r="L84" s="822">
        <f>L23/L25</f>
        <v>2.6555363629740654E-2</v>
      </c>
      <c r="M84" s="1016"/>
      <c r="N84" s="1016"/>
      <c r="O84" s="1016"/>
      <c r="P84" s="1016"/>
      <c r="Q84" s="1016"/>
      <c r="R84" s="1016"/>
      <c r="S84" s="1016"/>
      <c r="T84" s="1016"/>
      <c r="U84" s="1016"/>
      <c r="V84" s="1016"/>
      <c r="W84" s="1016"/>
      <c r="X84" s="1016"/>
      <c r="Y84" s="1016"/>
      <c r="Z84" s="1016"/>
      <c r="AA84" s="1016"/>
      <c r="AB84" s="1016"/>
      <c r="AC84" s="1016"/>
      <c r="AD84" s="1016"/>
      <c r="AE84" s="1016"/>
      <c r="AF84" s="1016"/>
      <c r="AG84" s="1016"/>
      <c r="AH84" s="1016"/>
      <c r="AI84" s="1016"/>
      <c r="AJ84" s="1016"/>
      <c r="AK84" s="1016"/>
      <c r="AL84" s="1016"/>
      <c r="AM84" s="1016"/>
      <c r="AN84" s="1016"/>
    </row>
    <row r="85" spans="3:40" x14ac:dyDescent="0.35">
      <c r="C85" s="1968" t="s">
        <v>6</v>
      </c>
      <c r="D85" s="1775" t="s">
        <v>5</v>
      </c>
      <c r="E85" s="1776"/>
      <c r="F85" s="1539">
        <f>SUM('Premissas Geração de Resíduos'!D136:E136)/SUM('Premissas Geração de Resíduos'!$D$142:$E$142)</f>
        <v>6.1024752501234063E-2</v>
      </c>
      <c r="G85" s="1015"/>
      <c r="H85" s="1539">
        <f>F85/SUM($F$85:$F$86)</f>
        <v>8.5140718042577931E-2</v>
      </c>
      <c r="I85" s="1539">
        <f>H85</f>
        <v>8.5140718042577931E-2</v>
      </c>
      <c r="J85" s="1016"/>
      <c r="K85" s="1539">
        <f>$H$24/$H$25*H85</f>
        <v>6.3194034553343242E-2</v>
      </c>
      <c r="L85" s="1539">
        <f>$L$24/$L$25*I85</f>
        <v>8.8979050068486061E-3</v>
      </c>
      <c r="M85" s="1016"/>
      <c r="N85" s="1016"/>
      <c r="O85" s="1016"/>
      <c r="P85" s="1016"/>
      <c r="Q85" s="1016"/>
      <c r="R85" s="1016"/>
      <c r="S85" s="1016"/>
      <c r="T85" s="1016"/>
      <c r="U85" s="1016"/>
      <c r="V85" s="1016"/>
      <c r="W85" s="1016"/>
      <c r="X85" s="1016"/>
      <c r="Y85" s="1016"/>
      <c r="Z85" s="1016"/>
      <c r="AA85" s="1016"/>
      <c r="AB85" s="1016"/>
      <c r="AC85" s="1016"/>
      <c r="AD85" s="1016"/>
      <c r="AE85" s="1016"/>
      <c r="AF85" s="1016"/>
      <c r="AG85" s="1016"/>
      <c r="AH85" s="1016"/>
      <c r="AI85" s="1016"/>
      <c r="AJ85" s="1016"/>
      <c r="AK85" s="1016"/>
      <c r="AL85" s="1016"/>
      <c r="AM85" s="1016"/>
      <c r="AN85" s="1016"/>
    </row>
    <row r="86" spans="3:40" x14ac:dyDescent="0.35">
      <c r="C86" s="1970"/>
      <c r="D86" s="1666" t="s">
        <v>6</v>
      </c>
      <c r="E86" s="1667"/>
      <c r="F86" s="1538">
        <f>SUM('Premissas Geração de Resíduos'!D137:E137)/SUM('Premissas Geração de Resíduos'!$D$142:$E$142)</f>
        <v>0.65572692524144438</v>
      </c>
      <c r="G86" s="1015"/>
      <c r="H86" s="819">
        <f>F86/SUM($F$85:$F$86)</f>
        <v>0.91485928195742205</v>
      </c>
      <c r="I86" s="1538">
        <f>H86</f>
        <v>0.91485928195742205</v>
      </c>
      <c r="J86" s="1016"/>
      <c r="K86" s="1539">
        <f>$H$24/$H$25*H86</f>
        <v>0.67903642821701538</v>
      </c>
      <c r="L86" s="1539">
        <f>$L$24/$L$25*I86</f>
        <v>9.5610316340296514E-2</v>
      </c>
      <c r="M86" s="1016"/>
      <c r="N86" s="1016"/>
      <c r="O86" s="1016"/>
      <c r="P86" s="1016"/>
      <c r="Q86" s="1016"/>
      <c r="R86" s="1016"/>
      <c r="S86" s="1016"/>
      <c r="T86" s="1016"/>
      <c r="U86" s="1016"/>
      <c r="V86" s="1016"/>
      <c r="W86" s="1016"/>
      <c r="X86" s="1016"/>
      <c r="Y86" s="1016"/>
      <c r="Z86" s="1016"/>
      <c r="AA86" s="1016"/>
      <c r="AB86" s="1016"/>
      <c r="AC86" s="1016"/>
      <c r="AD86" s="1016"/>
      <c r="AE86" s="1016"/>
      <c r="AF86" s="1016"/>
      <c r="AG86" s="1016"/>
      <c r="AH86" s="1016"/>
      <c r="AI86" s="1016"/>
      <c r="AJ86" s="1016"/>
      <c r="AK86" s="1016"/>
      <c r="AL86" s="1016"/>
      <c r="AM86" s="1016"/>
      <c r="AN86" s="1016"/>
    </row>
    <row r="87" spans="3:40" x14ac:dyDescent="0.35">
      <c r="C87" s="823" t="s">
        <v>200</v>
      </c>
      <c r="D87" s="112"/>
      <c r="E87" s="824"/>
      <c r="F87" s="825">
        <f>SUM(F78:F86)</f>
        <v>0.99999999999999989</v>
      </c>
      <c r="G87" s="1017"/>
      <c r="H87" s="825">
        <f>SUM(H78:H86)</f>
        <v>5</v>
      </c>
      <c r="I87" s="825">
        <f>SUM(I78:I86)</f>
        <v>4</v>
      </c>
      <c r="J87" s="1018"/>
      <c r="K87" s="825">
        <f>SUM(K78:K86)</f>
        <v>1</v>
      </c>
      <c r="L87" s="825">
        <f>SUM(L78:L86)</f>
        <v>1</v>
      </c>
      <c r="M87" s="1018"/>
      <c r="N87" s="1018"/>
      <c r="O87" s="1018"/>
      <c r="P87" s="1018"/>
      <c r="Q87" s="1018"/>
      <c r="R87" s="1018"/>
      <c r="S87" s="1018"/>
      <c r="T87" s="1018"/>
      <c r="U87" s="1018"/>
      <c r="V87" s="1018"/>
      <c r="W87" s="1018"/>
      <c r="X87" s="1018"/>
      <c r="Y87" s="1018"/>
      <c r="Z87" s="1018"/>
      <c r="AA87" s="1018"/>
      <c r="AB87" s="1018"/>
      <c r="AC87" s="1018"/>
      <c r="AD87" s="1018"/>
      <c r="AE87" s="1018"/>
      <c r="AF87" s="1018"/>
      <c r="AG87" s="1018"/>
      <c r="AH87" s="1018"/>
      <c r="AI87" s="1018"/>
      <c r="AJ87" s="1018"/>
      <c r="AK87" s="1018"/>
      <c r="AL87" s="1018"/>
      <c r="AM87" s="1018"/>
      <c r="AN87" s="1018"/>
    </row>
    <row r="88" spans="3:40" x14ac:dyDescent="0.35">
      <c r="H88" s="330" t="s">
        <v>996</v>
      </c>
      <c r="K88" s="330" t="s">
        <v>997</v>
      </c>
      <c r="L88" s="65"/>
    </row>
    <row r="90" spans="3:40" x14ac:dyDescent="0.35">
      <c r="F90" s="1540"/>
    </row>
    <row r="91" spans="3:40" x14ac:dyDescent="0.35">
      <c r="F91" s="1540"/>
    </row>
    <row r="92" spans="3:40" x14ac:dyDescent="0.35">
      <c r="F92" s="1540"/>
    </row>
    <row r="93" spans="3:40" x14ac:dyDescent="0.35">
      <c r="F93" s="1540"/>
    </row>
    <row r="94" spans="3:40" x14ac:dyDescent="0.35">
      <c r="F94" s="1540"/>
    </row>
    <row r="95" spans="3:40" x14ac:dyDescent="0.35">
      <c r="F95" s="1540"/>
    </row>
    <row r="96" spans="3:40" x14ac:dyDescent="0.35">
      <c r="F96" s="1540"/>
    </row>
    <row r="97" spans="6:6" x14ac:dyDescent="0.35">
      <c r="F97" s="1540"/>
    </row>
    <row r="98" spans="6:6" x14ac:dyDescent="0.35">
      <c r="F98" s="1540"/>
    </row>
    <row r="99" spans="6:6" x14ac:dyDescent="0.35">
      <c r="F99" s="1540"/>
    </row>
    <row r="100" spans="6:6" x14ac:dyDescent="0.35">
      <c r="F100" s="1540"/>
    </row>
    <row r="101" spans="6:6" x14ac:dyDescent="0.35">
      <c r="F101" s="1540"/>
    </row>
  </sheetData>
  <sheetProtection algorithmName="SHA-512" hashValue="UhXgvmG5Sc3oPdDMtrPTRLKJNu+kJjrok0vVufj5EHC3HsWKo5vUnT+OhxWgEUsEykds5r7mXM36DVZ9sDTqbg==" saltValue="Lzuie+YvkOL9IxyfCCv2QQ==" spinCount="100000" sheet="1" objects="1" scenarios="1"/>
  <mergeCells count="19">
    <mergeCell ref="C85:C86"/>
    <mergeCell ref="C33:D33"/>
    <mergeCell ref="E17:H17"/>
    <mergeCell ref="C17:D18"/>
    <mergeCell ref="C46:C47"/>
    <mergeCell ref="C58:C59"/>
    <mergeCell ref="C24:D24"/>
    <mergeCell ref="C51:C52"/>
    <mergeCell ref="C54:C56"/>
    <mergeCell ref="C32:D32"/>
    <mergeCell ref="C39:C40"/>
    <mergeCell ref="C42:C44"/>
    <mergeCell ref="C78:C79"/>
    <mergeCell ref="C81:C83"/>
    <mergeCell ref="I17:L17"/>
    <mergeCell ref="C20:D20"/>
    <mergeCell ref="C21:D21"/>
    <mergeCell ref="C22:D22"/>
    <mergeCell ref="C23:D23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5B820-6724-41BE-A4E9-CB82F4A61D3F}">
  <sheetPr codeName="Planilha16"/>
  <dimension ref="B2:XFD56"/>
  <sheetViews>
    <sheetView showGridLines="0" topLeftCell="A13" zoomScaleNormal="100" workbookViewId="0">
      <selection activeCell="A28" sqref="A28"/>
    </sheetView>
  </sheetViews>
  <sheetFormatPr defaultColWidth="8.81640625" defaultRowHeight="14.5" x14ac:dyDescent="0.35"/>
  <cols>
    <col min="1" max="1" width="1.6328125" customWidth="1"/>
    <col min="2" max="2" width="3.36328125" customWidth="1"/>
    <col min="3" max="3" width="26" customWidth="1"/>
    <col min="4" max="4" width="21.6328125" customWidth="1"/>
    <col min="5" max="5" width="15.453125" customWidth="1"/>
    <col min="6" max="6" width="14.36328125" bestFit="1" customWidth="1"/>
    <col min="7" max="7" width="18.453125" customWidth="1"/>
    <col min="8" max="35" width="15" bestFit="1" customWidth="1"/>
    <col min="36" max="39" width="14.36328125" bestFit="1" customWidth="1"/>
    <col min="40" max="40" width="13.453125" bestFit="1" customWidth="1"/>
  </cols>
  <sheetData>
    <row r="2" spans="2:39" ht="21" x14ac:dyDescent="0.5">
      <c r="B2" s="98"/>
      <c r="C2" s="98" t="s">
        <v>998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x14ac:dyDescent="0.35">
      <c r="B3" s="549"/>
      <c r="C3" s="549"/>
      <c r="D3" s="549"/>
      <c r="E3" s="549"/>
      <c r="F3" s="549"/>
      <c r="G3" s="549"/>
      <c r="H3" s="549"/>
      <c r="I3" s="549"/>
    </row>
    <row r="4" spans="2:39" ht="18.5" x14ac:dyDescent="0.45">
      <c r="B4" s="549"/>
      <c r="C4" s="846" t="s">
        <v>999</v>
      </c>
      <c r="D4" s="549"/>
      <c r="E4" s="549"/>
      <c r="F4" s="549"/>
      <c r="G4" s="549"/>
      <c r="H4" s="549"/>
      <c r="I4" s="549"/>
    </row>
    <row r="5" spans="2:39" ht="15" thickBot="1" x14ac:dyDescent="0.4">
      <c r="B5" s="549"/>
      <c r="C5" s="549"/>
      <c r="D5" s="549"/>
      <c r="E5" s="1347"/>
      <c r="F5" s="549"/>
      <c r="G5" s="873"/>
      <c r="H5" s="549"/>
      <c r="I5" s="549"/>
    </row>
    <row r="6" spans="2:39" ht="15" thickBot="1" x14ac:dyDescent="0.4">
      <c r="B6" s="549"/>
      <c r="C6" s="549" t="s">
        <v>1000</v>
      </c>
      <c r="D6" s="549"/>
      <c r="E6" s="1001">
        <v>1845029.11</v>
      </c>
      <c r="F6" s="549" t="s">
        <v>1001</v>
      </c>
      <c r="G6" s="549"/>
      <c r="H6" s="549"/>
      <c r="I6" s="549"/>
    </row>
    <row r="7" spans="2:39" ht="15" thickBot="1" x14ac:dyDescent="0.4">
      <c r="B7" s="549"/>
      <c r="C7" s="549" t="s">
        <v>1002</v>
      </c>
      <c r="D7" s="549"/>
      <c r="E7" s="1001">
        <v>1845029.11</v>
      </c>
      <c r="F7" s="549" t="s">
        <v>1003</v>
      </c>
      <c r="G7" s="549"/>
      <c r="H7" s="549"/>
      <c r="I7" s="549"/>
    </row>
    <row r="8" spans="2:39" ht="15" thickBot="1" x14ac:dyDescent="0.4">
      <c r="B8" s="1543"/>
      <c r="C8" s="1543"/>
      <c r="D8" s="1543"/>
      <c r="E8" s="1543"/>
      <c r="F8" s="1543"/>
      <c r="G8" s="1543"/>
      <c r="H8" s="1543"/>
      <c r="I8" s="1543"/>
    </row>
    <row r="9" spans="2:39" ht="15" thickTop="1" x14ac:dyDescent="0.35">
      <c r="B9" s="549"/>
      <c r="C9" s="549"/>
      <c r="D9" s="549"/>
      <c r="E9" s="549"/>
      <c r="F9" s="549"/>
      <c r="G9" s="549"/>
      <c r="H9" s="549"/>
      <c r="I9" s="549"/>
    </row>
    <row r="10" spans="2:39" ht="18.5" x14ac:dyDescent="0.35">
      <c r="B10" s="549"/>
      <c r="C10" s="1330" t="s">
        <v>1004</v>
      </c>
      <c r="D10" s="549"/>
      <c r="E10" s="549"/>
      <c r="F10" s="549"/>
      <c r="G10" s="549"/>
      <c r="H10" s="549"/>
      <c r="I10" s="549"/>
    </row>
    <row r="11" spans="2:39" ht="15" thickBot="1" x14ac:dyDescent="0.4">
      <c r="B11" s="549"/>
      <c r="C11" s="549"/>
      <c r="D11" s="549"/>
      <c r="E11" s="549"/>
      <c r="F11" s="549"/>
      <c r="G11" s="549"/>
      <c r="H11" s="549"/>
      <c r="I11" s="549"/>
    </row>
    <row r="12" spans="2:39" ht="29.5" thickBot="1" x14ac:dyDescent="0.4">
      <c r="B12" s="549"/>
      <c r="C12" s="882" t="s">
        <v>818</v>
      </c>
      <c r="D12" s="850"/>
      <c r="E12" s="850" t="s">
        <v>751</v>
      </c>
      <c r="F12" s="850" t="s">
        <v>1005</v>
      </c>
      <c r="G12" s="850" t="s">
        <v>1006</v>
      </c>
      <c r="H12" s="850" t="s">
        <v>1007</v>
      </c>
      <c r="I12" s="549"/>
    </row>
    <row r="13" spans="2:39" ht="15" thickBot="1" x14ac:dyDescent="0.4">
      <c r="B13" s="549"/>
      <c r="C13" s="883" t="s">
        <v>1008</v>
      </c>
      <c r="D13" s="881"/>
      <c r="E13" s="1348">
        <v>1</v>
      </c>
      <c r="F13" s="1001">
        <v>7235.18</v>
      </c>
      <c r="G13" s="1001">
        <f t="shared" ref="G13:G18" si="0">E13*F13</f>
        <v>7235.18</v>
      </c>
      <c r="H13" s="1389">
        <f t="shared" ref="H13:H18" si="1">G13*12</f>
        <v>86822.16</v>
      </c>
      <c r="I13" s="549"/>
    </row>
    <row r="14" spans="2:39" ht="15" thickBot="1" x14ac:dyDescent="0.4">
      <c r="B14" s="549"/>
      <c r="C14" s="883" t="s">
        <v>1009</v>
      </c>
      <c r="D14" s="881"/>
      <c r="E14" s="1348">
        <v>2</v>
      </c>
      <c r="F14" s="1001">
        <v>4014.3</v>
      </c>
      <c r="G14" s="1001">
        <f t="shared" si="0"/>
        <v>8028.6</v>
      </c>
      <c r="H14" s="1389">
        <f t="shared" si="1"/>
        <v>96343.200000000012</v>
      </c>
      <c r="I14" s="549"/>
    </row>
    <row r="15" spans="2:39" ht="15" thickBot="1" x14ac:dyDescent="0.4">
      <c r="B15" s="549"/>
      <c r="C15" s="883" t="s">
        <v>1010</v>
      </c>
      <c r="D15" s="881"/>
      <c r="E15" s="1348">
        <v>88</v>
      </c>
      <c r="F15" s="1001">
        <v>162.41</v>
      </c>
      <c r="G15" s="1001">
        <f t="shared" si="0"/>
        <v>14292.08</v>
      </c>
      <c r="H15" s="1389">
        <f t="shared" si="1"/>
        <v>171504.96</v>
      </c>
      <c r="I15" s="549"/>
    </row>
    <row r="16" spans="2:39" ht="15" thickBot="1" x14ac:dyDescent="0.4">
      <c r="B16" s="549"/>
      <c r="C16" s="883" t="s">
        <v>1011</v>
      </c>
      <c r="D16" s="881"/>
      <c r="E16" s="1348">
        <v>88</v>
      </c>
      <c r="F16" s="1001">
        <v>77.989999999999995</v>
      </c>
      <c r="G16" s="1001">
        <f t="shared" si="0"/>
        <v>6863.12</v>
      </c>
      <c r="H16" s="1389">
        <f t="shared" si="1"/>
        <v>82357.440000000002</v>
      </c>
      <c r="I16" s="549"/>
    </row>
    <row r="17" spans="2:41" ht="15" thickBot="1" x14ac:dyDescent="0.4">
      <c r="B17" s="549"/>
      <c r="C17" s="883" t="s">
        <v>1012</v>
      </c>
      <c r="D17" s="881"/>
      <c r="E17" s="1348">
        <v>88</v>
      </c>
      <c r="F17" s="1001">
        <v>59.21</v>
      </c>
      <c r="G17" s="1001">
        <f t="shared" si="0"/>
        <v>5210.4800000000005</v>
      </c>
      <c r="H17" s="1389">
        <f t="shared" si="1"/>
        <v>62525.760000000009</v>
      </c>
      <c r="I17" s="549"/>
    </row>
    <row r="18" spans="2:41" ht="15" thickBot="1" x14ac:dyDescent="0.4">
      <c r="B18" s="549"/>
      <c r="C18" s="883" t="s">
        <v>1013</v>
      </c>
      <c r="D18" s="881"/>
      <c r="E18" s="1348">
        <v>88</v>
      </c>
      <c r="F18" s="1001">
        <v>54.18</v>
      </c>
      <c r="G18" s="1001">
        <f t="shared" si="0"/>
        <v>4767.84</v>
      </c>
      <c r="H18" s="1389">
        <f t="shared" si="1"/>
        <v>57214.080000000002</v>
      </c>
      <c r="I18" s="549"/>
    </row>
    <row r="19" spans="2:41" ht="15" thickBot="1" x14ac:dyDescent="0.4">
      <c r="B19" s="549"/>
      <c r="C19" s="882" t="s">
        <v>200</v>
      </c>
      <c r="D19" s="850"/>
      <c r="E19" s="1356">
        <f>SUM(E13:E18)</f>
        <v>355</v>
      </c>
      <c r="F19" s="1390">
        <f>SUM(F13:F18)</f>
        <v>11603.269999999999</v>
      </c>
      <c r="G19" s="1390">
        <f>SUM(G13:G18)</f>
        <v>46397.3</v>
      </c>
      <c r="H19" s="1390">
        <f>SUM(H13:H18)</f>
        <v>556767.6</v>
      </c>
      <c r="I19" s="549"/>
    </row>
    <row r="20" spans="2:41" ht="15" thickBot="1" x14ac:dyDescent="0.4">
      <c r="B20" s="549"/>
      <c r="C20" s="549"/>
      <c r="D20" s="549"/>
      <c r="E20" s="549"/>
      <c r="F20" s="549"/>
      <c r="G20" s="549"/>
      <c r="H20" s="549"/>
      <c r="I20" s="549"/>
    </row>
    <row r="21" spans="2:41" ht="15" thickBot="1" x14ac:dyDescent="0.4">
      <c r="B21" s="549"/>
      <c r="C21" s="848" t="s">
        <v>931</v>
      </c>
      <c r="D21" s="549"/>
      <c r="E21" s="1348">
        <v>3</v>
      </c>
      <c r="F21" s="549"/>
      <c r="G21" s="549"/>
      <c r="H21" s="549"/>
      <c r="I21" s="549"/>
    </row>
    <row r="22" spans="2:41" x14ac:dyDescent="0.35">
      <c r="B22" s="549"/>
      <c r="C22" s="549"/>
      <c r="D22" s="549"/>
      <c r="E22" s="549"/>
      <c r="F22" s="549"/>
      <c r="G22" s="549"/>
      <c r="H22" s="549"/>
      <c r="I22" s="549"/>
    </row>
    <row r="23" spans="2:41" ht="15" thickBot="1" x14ac:dyDescent="0.4">
      <c r="C23" s="77"/>
      <c r="D23" s="105"/>
    </row>
    <row r="24" spans="2:41" x14ac:dyDescent="0.35">
      <c r="B24" s="5"/>
      <c r="C24" s="108"/>
      <c r="D24" s="108"/>
      <c r="E24" s="109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8"/>
    </row>
    <row r="25" spans="2:41" x14ac:dyDescent="0.35">
      <c r="B25" s="9"/>
      <c r="C25" s="77" t="s">
        <v>1014</v>
      </c>
      <c r="D25" s="77"/>
      <c r="AO25" s="16"/>
    </row>
    <row r="26" spans="2:41" x14ac:dyDescent="0.35">
      <c r="B26" s="9"/>
      <c r="C26" s="87"/>
      <c r="D26" s="87"/>
      <c r="E26" s="229" t="s">
        <v>200</v>
      </c>
      <c r="F26" s="89">
        <v>1</v>
      </c>
      <c r="G26" s="89">
        <f>F26+1</f>
        <v>2</v>
      </c>
      <c r="H26" s="89">
        <f t="shared" ref="H26:AN26" si="2">G26+1</f>
        <v>3</v>
      </c>
      <c r="I26" s="89">
        <f t="shared" si="2"/>
        <v>4</v>
      </c>
      <c r="J26" s="89">
        <f t="shared" si="2"/>
        <v>5</v>
      </c>
      <c r="K26" s="89">
        <f t="shared" si="2"/>
        <v>6</v>
      </c>
      <c r="L26" s="89">
        <f t="shared" si="2"/>
        <v>7</v>
      </c>
      <c r="M26" s="89">
        <f t="shared" si="2"/>
        <v>8</v>
      </c>
      <c r="N26" s="89">
        <f t="shared" si="2"/>
        <v>9</v>
      </c>
      <c r="O26" s="89">
        <f t="shared" si="2"/>
        <v>10</v>
      </c>
      <c r="P26" s="89">
        <f t="shared" si="2"/>
        <v>11</v>
      </c>
      <c r="Q26" s="89">
        <f t="shared" si="2"/>
        <v>12</v>
      </c>
      <c r="R26" s="89">
        <f t="shared" si="2"/>
        <v>13</v>
      </c>
      <c r="S26" s="89">
        <f t="shared" si="2"/>
        <v>14</v>
      </c>
      <c r="T26" s="89">
        <f t="shared" si="2"/>
        <v>15</v>
      </c>
      <c r="U26" s="89">
        <f t="shared" si="2"/>
        <v>16</v>
      </c>
      <c r="V26" s="89">
        <f t="shared" si="2"/>
        <v>17</v>
      </c>
      <c r="W26" s="89">
        <f t="shared" si="2"/>
        <v>18</v>
      </c>
      <c r="X26" s="89">
        <f t="shared" si="2"/>
        <v>19</v>
      </c>
      <c r="Y26" s="89">
        <f t="shared" si="2"/>
        <v>20</v>
      </c>
      <c r="Z26" s="89">
        <f t="shared" si="2"/>
        <v>21</v>
      </c>
      <c r="AA26" s="89">
        <f t="shared" si="2"/>
        <v>22</v>
      </c>
      <c r="AB26" s="89">
        <f t="shared" si="2"/>
        <v>23</v>
      </c>
      <c r="AC26" s="89">
        <f t="shared" si="2"/>
        <v>24</v>
      </c>
      <c r="AD26" s="89">
        <f t="shared" si="2"/>
        <v>25</v>
      </c>
      <c r="AE26" s="89">
        <f t="shared" si="2"/>
        <v>26</v>
      </c>
      <c r="AF26" s="89">
        <f t="shared" si="2"/>
        <v>27</v>
      </c>
      <c r="AG26" s="89">
        <f t="shared" si="2"/>
        <v>28</v>
      </c>
      <c r="AH26" s="89">
        <f t="shared" si="2"/>
        <v>29</v>
      </c>
      <c r="AI26" s="89">
        <f t="shared" si="2"/>
        <v>30</v>
      </c>
      <c r="AJ26" s="89">
        <f t="shared" si="2"/>
        <v>31</v>
      </c>
      <c r="AK26" s="89">
        <f t="shared" si="2"/>
        <v>32</v>
      </c>
      <c r="AL26" s="89">
        <f t="shared" si="2"/>
        <v>33</v>
      </c>
      <c r="AM26" s="89">
        <f t="shared" si="2"/>
        <v>34</v>
      </c>
      <c r="AN26" s="89">
        <f t="shared" si="2"/>
        <v>35</v>
      </c>
      <c r="AO26" s="16"/>
    </row>
    <row r="27" spans="2:41" ht="15" customHeight="1" x14ac:dyDescent="0.35">
      <c r="B27" s="9"/>
      <c r="C27" s="2040" t="s">
        <v>817</v>
      </c>
      <c r="D27" s="2041"/>
      <c r="E27" s="1874">
        <f>SUM(F27:AN27)</f>
        <v>51660815.079999991</v>
      </c>
      <c r="F27" s="477">
        <v>0</v>
      </c>
      <c r="G27" s="477">
        <v>0</v>
      </c>
      <c r="H27" s="477">
        <f t="shared" ref="H27:AI27" si="3">IF(H26&lt;8,$E$6,$E$7)</f>
        <v>1845029.11</v>
      </c>
      <c r="I27" s="477">
        <f t="shared" si="3"/>
        <v>1845029.11</v>
      </c>
      <c r="J27" s="477">
        <f t="shared" si="3"/>
        <v>1845029.11</v>
      </c>
      <c r="K27" s="477">
        <f t="shared" si="3"/>
        <v>1845029.11</v>
      </c>
      <c r="L27" s="477">
        <f t="shared" si="3"/>
        <v>1845029.11</v>
      </c>
      <c r="M27" s="477">
        <f t="shared" si="3"/>
        <v>1845029.11</v>
      </c>
      <c r="N27" s="477">
        <f t="shared" si="3"/>
        <v>1845029.11</v>
      </c>
      <c r="O27" s="477">
        <f t="shared" si="3"/>
        <v>1845029.11</v>
      </c>
      <c r="P27" s="477">
        <f t="shared" si="3"/>
        <v>1845029.11</v>
      </c>
      <c r="Q27" s="477">
        <f t="shared" si="3"/>
        <v>1845029.11</v>
      </c>
      <c r="R27" s="477">
        <f t="shared" si="3"/>
        <v>1845029.11</v>
      </c>
      <c r="S27" s="477">
        <f t="shared" si="3"/>
        <v>1845029.11</v>
      </c>
      <c r="T27" s="477">
        <f t="shared" si="3"/>
        <v>1845029.11</v>
      </c>
      <c r="U27" s="477">
        <f t="shared" si="3"/>
        <v>1845029.11</v>
      </c>
      <c r="V27" s="477">
        <f t="shared" si="3"/>
        <v>1845029.11</v>
      </c>
      <c r="W27" s="477">
        <f t="shared" si="3"/>
        <v>1845029.11</v>
      </c>
      <c r="X27" s="477">
        <f t="shared" si="3"/>
        <v>1845029.11</v>
      </c>
      <c r="Y27" s="477">
        <f t="shared" si="3"/>
        <v>1845029.11</v>
      </c>
      <c r="Z27" s="477">
        <f t="shared" si="3"/>
        <v>1845029.11</v>
      </c>
      <c r="AA27" s="477">
        <f t="shared" si="3"/>
        <v>1845029.11</v>
      </c>
      <c r="AB27" s="477">
        <f t="shared" si="3"/>
        <v>1845029.11</v>
      </c>
      <c r="AC27" s="477">
        <f t="shared" si="3"/>
        <v>1845029.11</v>
      </c>
      <c r="AD27" s="477">
        <f t="shared" si="3"/>
        <v>1845029.11</v>
      </c>
      <c r="AE27" s="477">
        <f t="shared" si="3"/>
        <v>1845029.11</v>
      </c>
      <c r="AF27" s="477">
        <f t="shared" si="3"/>
        <v>1845029.11</v>
      </c>
      <c r="AG27" s="477">
        <f t="shared" si="3"/>
        <v>1845029.11</v>
      </c>
      <c r="AH27" s="477">
        <f t="shared" si="3"/>
        <v>1845029.11</v>
      </c>
      <c r="AI27" s="477">
        <f t="shared" si="3"/>
        <v>1845029.11</v>
      </c>
      <c r="AJ27" s="477">
        <f>IF(AJ26&gt;'Premissas Gerais'!$E$7,0,IF(AJ26&gt;=(#REF!),#REF!,0))</f>
        <v>0</v>
      </c>
      <c r="AK27" s="477">
        <f>IF(AK26&gt;'Premissas Gerais'!$E$7,0,IF(AK26&gt;=(#REF!),#REF!,0))</f>
        <v>0</v>
      </c>
      <c r="AL27" s="477">
        <f>IF(AL26&gt;'Premissas Gerais'!$E$7,0,IF(AL26&gt;=(#REF!),#REF!,0))</f>
        <v>0</v>
      </c>
      <c r="AM27" s="477">
        <f>IF(AM26&gt;'Premissas Gerais'!$E$7,0,IF(AM26&gt;=(#REF!),#REF!,0))</f>
        <v>0</v>
      </c>
      <c r="AN27" s="477">
        <f>IF(AN26&gt;'Premissas Gerais'!$E$7,0,IF(AN26&gt;=(#REF!),#REF!,0))</f>
        <v>0</v>
      </c>
      <c r="AO27" s="16"/>
    </row>
    <row r="28" spans="2:41" ht="15" customHeight="1" x14ac:dyDescent="0.35">
      <c r="B28" s="9"/>
      <c r="C28" s="2042" t="s">
        <v>1015</v>
      </c>
      <c r="D28" s="2043"/>
      <c r="E28" s="1872">
        <f>SUM(F28:AN28)</f>
        <v>15589492.799999993</v>
      </c>
      <c r="F28" s="477">
        <f>IF(F26&gt;'Premissas Gerais'!$E$7,0,IF(F26&gt;=(OPEX_Tratamento!$E$21),OPEX_Tratamento!$H$19,0))</f>
        <v>0</v>
      </c>
      <c r="G28" s="477">
        <f>IF(G26&gt;'Premissas Gerais'!$E$7,0,IF(G26&gt;=(OPEX_Tratamento!$E$21),OPEX_Tratamento!$H$19,0))</f>
        <v>0</v>
      </c>
      <c r="H28" s="477">
        <f>IF(H26&gt;'Premissas Gerais'!$E$7,0,IF(H26&gt;=(OPEX_Tratamento!$E$21),OPEX_Tratamento!$H$19,0))</f>
        <v>556767.6</v>
      </c>
      <c r="I28" s="477">
        <f>IF(I26&gt;'Premissas Gerais'!$E$7,0,IF(I26&gt;=(OPEX_Tratamento!$E$21),OPEX_Tratamento!$H$19,0))</f>
        <v>556767.6</v>
      </c>
      <c r="J28" s="477">
        <f>IF(J26&gt;'Premissas Gerais'!$E$7,0,IF(J26&gt;=(OPEX_Tratamento!$E$21),OPEX_Tratamento!$H$19,0))</f>
        <v>556767.6</v>
      </c>
      <c r="K28" s="477">
        <f>IF(K26&gt;'Premissas Gerais'!$E$7,0,IF(K26&gt;=(OPEX_Tratamento!$E$21),OPEX_Tratamento!$H$19,0))</f>
        <v>556767.6</v>
      </c>
      <c r="L28" s="477">
        <f>IF(L26&gt;'Premissas Gerais'!$E$7,0,IF(L26&gt;=(OPEX_Tratamento!$E$21),OPEX_Tratamento!$H$19,0))</f>
        <v>556767.6</v>
      </c>
      <c r="M28" s="477">
        <f>IF(M26&gt;'Premissas Gerais'!$E$7,0,IF(M26&gt;=(OPEX_Tratamento!$E$21),OPEX_Tratamento!$H$19,0))</f>
        <v>556767.6</v>
      </c>
      <c r="N28" s="477">
        <f>IF(N26&gt;'Premissas Gerais'!$E$7,0,IF(N26&gt;=(OPEX_Tratamento!$E$21),OPEX_Tratamento!$H$19,0))</f>
        <v>556767.6</v>
      </c>
      <c r="O28" s="477">
        <f>IF(O26&gt;'Premissas Gerais'!$E$7,0,IF(O26&gt;=(OPEX_Tratamento!$E$21),OPEX_Tratamento!$H$19,0))</f>
        <v>556767.6</v>
      </c>
      <c r="P28" s="477">
        <f>IF(P26&gt;'Premissas Gerais'!$E$7,0,IF(P26&gt;=(OPEX_Tratamento!$E$21),OPEX_Tratamento!$H$19,0))</f>
        <v>556767.6</v>
      </c>
      <c r="Q28" s="477">
        <f>IF(Q26&gt;'Premissas Gerais'!$E$7,0,IF(Q26&gt;=(OPEX_Tratamento!$E$21),OPEX_Tratamento!$H$19,0))</f>
        <v>556767.6</v>
      </c>
      <c r="R28" s="477">
        <f>IF(R26&gt;'Premissas Gerais'!$E$7,0,IF(R26&gt;=(OPEX_Tratamento!$E$21),OPEX_Tratamento!$H$19,0))</f>
        <v>556767.6</v>
      </c>
      <c r="S28" s="477">
        <f>IF(S26&gt;'Premissas Gerais'!$E$7,0,IF(S26&gt;=(OPEX_Tratamento!$E$21),OPEX_Tratamento!$H$19,0))</f>
        <v>556767.6</v>
      </c>
      <c r="T28" s="477">
        <f>IF(T26&gt;'Premissas Gerais'!$E$7,0,IF(T26&gt;=(OPEX_Tratamento!$E$21),OPEX_Tratamento!$H$19,0))</f>
        <v>556767.6</v>
      </c>
      <c r="U28" s="477">
        <f>IF(U26&gt;'Premissas Gerais'!$E$7,0,IF(U26&gt;=(OPEX_Tratamento!$E$21),OPEX_Tratamento!$H$19,0))</f>
        <v>556767.6</v>
      </c>
      <c r="V28" s="477">
        <f>IF(V26&gt;'Premissas Gerais'!$E$7,0,IF(V26&gt;=(OPEX_Tratamento!$E$21),OPEX_Tratamento!$H$19,0))</f>
        <v>556767.6</v>
      </c>
      <c r="W28" s="477">
        <f>IF(W26&gt;'Premissas Gerais'!$E$7,0,IF(W26&gt;=(OPEX_Tratamento!$E$21),OPEX_Tratamento!$H$19,0))</f>
        <v>556767.6</v>
      </c>
      <c r="X28" s="477">
        <f>IF(X26&gt;'Premissas Gerais'!$E$7,0,IF(X26&gt;=(OPEX_Tratamento!$E$21),OPEX_Tratamento!$H$19,0))</f>
        <v>556767.6</v>
      </c>
      <c r="Y28" s="477">
        <f>IF(Y26&gt;'Premissas Gerais'!$E$7,0,IF(Y26&gt;=(OPEX_Tratamento!$E$21),OPEX_Tratamento!$H$19,0))</f>
        <v>556767.6</v>
      </c>
      <c r="Z28" s="477">
        <f>IF(Z26&gt;'Premissas Gerais'!$E$7,0,IF(Z26&gt;=(OPEX_Tratamento!$E$21),OPEX_Tratamento!$H$19,0))</f>
        <v>556767.6</v>
      </c>
      <c r="AA28" s="477">
        <f>IF(AA26&gt;'Premissas Gerais'!$E$7,0,IF(AA26&gt;=(OPEX_Tratamento!$E$21),OPEX_Tratamento!$H$19,0))</f>
        <v>556767.6</v>
      </c>
      <c r="AB28" s="477">
        <f>IF(AB26&gt;'Premissas Gerais'!$E$7,0,IF(AB26&gt;=(OPEX_Tratamento!$E$21),OPEX_Tratamento!$H$19,0))</f>
        <v>556767.6</v>
      </c>
      <c r="AC28" s="477">
        <f>IF(AC26&gt;'Premissas Gerais'!$E$7,0,IF(AC26&gt;=(OPEX_Tratamento!$E$21),OPEX_Tratamento!$H$19,0))</f>
        <v>556767.6</v>
      </c>
      <c r="AD28" s="477">
        <f>IF(AD26&gt;'Premissas Gerais'!$E$7,0,IF(AD26&gt;=(OPEX_Tratamento!$E$21),OPEX_Tratamento!$H$19,0))</f>
        <v>556767.6</v>
      </c>
      <c r="AE28" s="477">
        <f>IF(AE26&gt;'Premissas Gerais'!$E$7,0,IF(AE26&gt;=(OPEX_Tratamento!$E$21),OPEX_Tratamento!$H$19,0))</f>
        <v>556767.6</v>
      </c>
      <c r="AF28" s="477">
        <f>IF(AF26&gt;'Premissas Gerais'!$E$7,0,IF(AF26&gt;=(OPEX_Tratamento!$E$21),OPEX_Tratamento!$H$19,0))</f>
        <v>556767.6</v>
      </c>
      <c r="AG28" s="477">
        <f>IF(AG26&gt;'Premissas Gerais'!$E$7,0,IF(AG26&gt;=(OPEX_Tratamento!$E$21),OPEX_Tratamento!$H$19,0))</f>
        <v>556767.6</v>
      </c>
      <c r="AH28" s="477">
        <f>IF(AH26&gt;'Premissas Gerais'!$E$7,0,IF(AH26&gt;=(OPEX_Tratamento!$E$21),OPEX_Tratamento!$H$19,0))</f>
        <v>556767.6</v>
      </c>
      <c r="AI28" s="477">
        <f>IF(AI26&gt;'Premissas Gerais'!$E$7,0,IF(AI26&gt;=(OPEX_Tratamento!$E$21),OPEX_Tratamento!$H$19,0))</f>
        <v>556767.6</v>
      </c>
      <c r="AJ28" s="477">
        <f>IF(AJ26&gt;'Premissas Gerais'!$E$7,0,IF(AJ26&gt;=(OPEX_Tratamento!$E$21),OPEX_Tratamento!$H$19,0))</f>
        <v>0</v>
      </c>
      <c r="AK28" s="477">
        <f>IF(AK26&gt;'Premissas Gerais'!$E$7,0,IF(AK26&gt;=(OPEX_Tratamento!$E$21),OPEX_Tratamento!$H$19,0))</f>
        <v>0</v>
      </c>
      <c r="AL28" s="477">
        <f>IF(AL26&gt;'Premissas Gerais'!$E$7,0,IF(AL26&gt;=(OPEX_Tratamento!$E$21),OPEX_Tratamento!$H$19,0))</f>
        <v>0</v>
      </c>
      <c r="AM28" s="477">
        <f>IF(AM26&gt;'Premissas Gerais'!$E$7,0,IF(AM26&gt;=(OPEX_Tratamento!$E$21),OPEX_Tratamento!$H$19,0))</f>
        <v>0</v>
      </c>
      <c r="AN28" s="477">
        <f>IF(AN26&gt;'Premissas Gerais'!$E$7,0,IF(AN26&gt;=(OPEX_Tratamento!$E$21),OPEX_Tratamento!$H$19,0))</f>
        <v>0</v>
      </c>
      <c r="AO28" s="16"/>
    </row>
    <row r="29" spans="2:41" x14ac:dyDescent="0.35">
      <c r="B29" s="9"/>
      <c r="C29" s="111" t="s">
        <v>455</v>
      </c>
      <c r="D29" s="111"/>
      <c r="E29" s="907">
        <f>SUM(E27:E28)</f>
        <v>67250307.87999998</v>
      </c>
      <c r="F29" s="488">
        <f>SUM(F27:F28)</f>
        <v>0</v>
      </c>
      <c r="G29" s="488">
        <f t="shared" ref="G29:AN29" si="4">SUM(G27:G28)</f>
        <v>0</v>
      </c>
      <c r="H29" s="488">
        <f t="shared" si="4"/>
        <v>2401796.71</v>
      </c>
      <c r="I29" s="488">
        <f t="shared" si="4"/>
        <v>2401796.71</v>
      </c>
      <c r="J29" s="488">
        <f t="shared" si="4"/>
        <v>2401796.71</v>
      </c>
      <c r="K29" s="488">
        <f t="shared" si="4"/>
        <v>2401796.71</v>
      </c>
      <c r="L29" s="488">
        <f t="shared" si="4"/>
        <v>2401796.71</v>
      </c>
      <c r="M29" s="488">
        <f t="shared" si="4"/>
        <v>2401796.71</v>
      </c>
      <c r="N29" s="488">
        <f t="shared" si="4"/>
        <v>2401796.71</v>
      </c>
      <c r="O29" s="488">
        <f t="shared" si="4"/>
        <v>2401796.71</v>
      </c>
      <c r="P29" s="488">
        <f t="shared" si="4"/>
        <v>2401796.71</v>
      </c>
      <c r="Q29" s="488">
        <f t="shared" si="4"/>
        <v>2401796.71</v>
      </c>
      <c r="R29" s="488">
        <f t="shared" si="4"/>
        <v>2401796.71</v>
      </c>
      <c r="S29" s="488">
        <f t="shared" si="4"/>
        <v>2401796.71</v>
      </c>
      <c r="T29" s="488">
        <f t="shared" si="4"/>
        <v>2401796.71</v>
      </c>
      <c r="U29" s="488">
        <f t="shared" si="4"/>
        <v>2401796.71</v>
      </c>
      <c r="V29" s="488">
        <f t="shared" si="4"/>
        <v>2401796.71</v>
      </c>
      <c r="W29" s="488">
        <f t="shared" si="4"/>
        <v>2401796.71</v>
      </c>
      <c r="X29" s="488">
        <f t="shared" si="4"/>
        <v>2401796.71</v>
      </c>
      <c r="Y29" s="488">
        <f t="shared" si="4"/>
        <v>2401796.71</v>
      </c>
      <c r="Z29" s="488">
        <f t="shared" si="4"/>
        <v>2401796.71</v>
      </c>
      <c r="AA29" s="488">
        <f t="shared" si="4"/>
        <v>2401796.71</v>
      </c>
      <c r="AB29" s="488">
        <f t="shared" si="4"/>
        <v>2401796.71</v>
      </c>
      <c r="AC29" s="488">
        <f t="shared" si="4"/>
        <v>2401796.71</v>
      </c>
      <c r="AD29" s="488">
        <f t="shared" si="4"/>
        <v>2401796.71</v>
      </c>
      <c r="AE29" s="488">
        <f t="shared" si="4"/>
        <v>2401796.71</v>
      </c>
      <c r="AF29" s="488">
        <f t="shared" si="4"/>
        <v>2401796.71</v>
      </c>
      <c r="AG29" s="488">
        <f t="shared" si="4"/>
        <v>2401796.71</v>
      </c>
      <c r="AH29" s="488">
        <f t="shared" si="4"/>
        <v>2401796.71</v>
      </c>
      <c r="AI29" s="488">
        <f t="shared" si="4"/>
        <v>2401796.71</v>
      </c>
      <c r="AJ29" s="488">
        <f t="shared" si="4"/>
        <v>0</v>
      </c>
      <c r="AK29" s="488">
        <f t="shared" si="4"/>
        <v>0</v>
      </c>
      <c r="AL29" s="488">
        <f t="shared" si="4"/>
        <v>0</v>
      </c>
      <c r="AM29" s="488">
        <f t="shared" si="4"/>
        <v>0</v>
      </c>
      <c r="AN29" s="488">
        <f t="shared" si="4"/>
        <v>0</v>
      </c>
      <c r="AO29" s="16"/>
    </row>
    <row r="30" spans="2:41" ht="15" thickBot="1" x14ac:dyDescent="0.4">
      <c r="B30" s="38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69"/>
    </row>
    <row r="32" spans="2:41" x14ac:dyDescent="0.35">
      <c r="C32" s="77" t="s">
        <v>1016</v>
      </c>
    </row>
    <row r="33" spans="3:16384" x14ac:dyDescent="0.35">
      <c r="C33" s="560" t="s">
        <v>179</v>
      </c>
      <c r="D33" s="860"/>
      <c r="E33" s="229" t="s">
        <v>455</v>
      </c>
      <c r="F33" s="802">
        <v>1</v>
      </c>
      <c r="G33" s="802">
        <f>F33+1</f>
        <v>2</v>
      </c>
      <c r="H33" s="802">
        <f t="shared" ref="H33:AN33" si="5">G33+1</f>
        <v>3</v>
      </c>
      <c r="I33" s="802">
        <f t="shared" si="5"/>
        <v>4</v>
      </c>
      <c r="J33" s="802">
        <f t="shared" si="5"/>
        <v>5</v>
      </c>
      <c r="K33" s="802">
        <f t="shared" si="5"/>
        <v>6</v>
      </c>
      <c r="L33" s="802">
        <f t="shared" si="5"/>
        <v>7</v>
      </c>
      <c r="M33" s="802">
        <f t="shared" si="5"/>
        <v>8</v>
      </c>
      <c r="N33" s="802">
        <f t="shared" si="5"/>
        <v>9</v>
      </c>
      <c r="O33" s="802">
        <f t="shared" si="5"/>
        <v>10</v>
      </c>
      <c r="P33" s="802">
        <f t="shared" si="5"/>
        <v>11</v>
      </c>
      <c r="Q33" s="802">
        <f t="shared" si="5"/>
        <v>12</v>
      </c>
      <c r="R33" s="802">
        <f t="shared" si="5"/>
        <v>13</v>
      </c>
      <c r="S33" s="802">
        <f t="shared" si="5"/>
        <v>14</v>
      </c>
      <c r="T33" s="802">
        <f t="shared" si="5"/>
        <v>15</v>
      </c>
      <c r="U33" s="802">
        <f t="shared" si="5"/>
        <v>16</v>
      </c>
      <c r="V33" s="802">
        <f t="shared" si="5"/>
        <v>17</v>
      </c>
      <c r="W33" s="802">
        <f t="shared" si="5"/>
        <v>18</v>
      </c>
      <c r="X33" s="802">
        <f t="shared" si="5"/>
        <v>19</v>
      </c>
      <c r="Y33" s="802">
        <f t="shared" si="5"/>
        <v>20</v>
      </c>
      <c r="Z33" s="802">
        <f t="shared" si="5"/>
        <v>21</v>
      </c>
      <c r="AA33" s="802">
        <f t="shared" si="5"/>
        <v>22</v>
      </c>
      <c r="AB33" s="802">
        <f t="shared" si="5"/>
        <v>23</v>
      </c>
      <c r="AC33" s="802">
        <f t="shared" si="5"/>
        <v>24</v>
      </c>
      <c r="AD33" s="802">
        <f t="shared" si="5"/>
        <v>25</v>
      </c>
      <c r="AE33" s="802">
        <f t="shared" si="5"/>
        <v>26</v>
      </c>
      <c r="AF33" s="802">
        <f t="shared" si="5"/>
        <v>27</v>
      </c>
      <c r="AG33" s="802">
        <f t="shared" si="5"/>
        <v>28</v>
      </c>
      <c r="AH33" s="802">
        <f t="shared" si="5"/>
        <v>29</v>
      </c>
      <c r="AI33" s="802">
        <f t="shared" si="5"/>
        <v>30</v>
      </c>
      <c r="AJ33" s="802">
        <f t="shared" si="5"/>
        <v>31</v>
      </c>
      <c r="AK33" s="802">
        <f t="shared" si="5"/>
        <v>32</v>
      </c>
      <c r="AL33" s="802">
        <f t="shared" si="5"/>
        <v>33</v>
      </c>
      <c r="AM33" s="802">
        <f t="shared" si="5"/>
        <v>34</v>
      </c>
      <c r="AN33" s="802">
        <f t="shared" si="5"/>
        <v>35</v>
      </c>
    </row>
    <row r="34" spans="3:16384" x14ac:dyDescent="0.35">
      <c r="C34" s="929" t="s">
        <v>1</v>
      </c>
      <c r="D34" s="930"/>
      <c r="E34" s="808">
        <f>SUM(F34:AN34)</f>
        <v>459129.51260380901</v>
      </c>
      <c r="F34" s="875">
        <f t="shared" ref="F34:AN34" si="6">$F$47*F29</f>
        <v>0</v>
      </c>
      <c r="G34" s="875">
        <f t="shared" si="6"/>
        <v>0</v>
      </c>
      <c r="H34" s="875">
        <f t="shared" si="6"/>
        <v>16397.482592993169</v>
      </c>
      <c r="I34" s="875">
        <f t="shared" si="6"/>
        <v>16397.482592993169</v>
      </c>
      <c r="J34" s="875">
        <f t="shared" si="6"/>
        <v>16397.482592993169</v>
      </c>
      <c r="K34" s="875">
        <f t="shared" si="6"/>
        <v>16397.482592993169</v>
      </c>
      <c r="L34" s="875">
        <f t="shared" si="6"/>
        <v>16397.482592993169</v>
      </c>
      <c r="M34" s="875">
        <f t="shared" si="6"/>
        <v>16397.482592993169</v>
      </c>
      <c r="N34" s="875">
        <f t="shared" si="6"/>
        <v>16397.482592993169</v>
      </c>
      <c r="O34" s="875">
        <f t="shared" si="6"/>
        <v>16397.482592993169</v>
      </c>
      <c r="P34" s="875">
        <f t="shared" si="6"/>
        <v>16397.482592993169</v>
      </c>
      <c r="Q34" s="875">
        <f t="shared" si="6"/>
        <v>16397.482592993169</v>
      </c>
      <c r="R34" s="875">
        <f t="shared" si="6"/>
        <v>16397.482592993169</v>
      </c>
      <c r="S34" s="875">
        <f t="shared" si="6"/>
        <v>16397.482592993169</v>
      </c>
      <c r="T34" s="875">
        <f t="shared" si="6"/>
        <v>16397.482592993169</v>
      </c>
      <c r="U34" s="875">
        <f t="shared" si="6"/>
        <v>16397.482592993169</v>
      </c>
      <c r="V34" s="875">
        <f t="shared" si="6"/>
        <v>16397.482592993169</v>
      </c>
      <c r="W34" s="875">
        <f t="shared" si="6"/>
        <v>16397.482592993169</v>
      </c>
      <c r="X34" s="875">
        <f t="shared" si="6"/>
        <v>16397.482592993169</v>
      </c>
      <c r="Y34" s="875">
        <f t="shared" si="6"/>
        <v>16397.482592993169</v>
      </c>
      <c r="Z34" s="875">
        <f t="shared" si="6"/>
        <v>16397.482592993169</v>
      </c>
      <c r="AA34" s="875">
        <f t="shared" si="6"/>
        <v>16397.482592993169</v>
      </c>
      <c r="AB34" s="875">
        <f t="shared" si="6"/>
        <v>16397.482592993169</v>
      </c>
      <c r="AC34" s="875">
        <f t="shared" si="6"/>
        <v>16397.482592993169</v>
      </c>
      <c r="AD34" s="875">
        <f t="shared" si="6"/>
        <v>16397.482592993169</v>
      </c>
      <c r="AE34" s="875">
        <f t="shared" si="6"/>
        <v>16397.482592993169</v>
      </c>
      <c r="AF34" s="875">
        <f t="shared" si="6"/>
        <v>16397.482592993169</v>
      </c>
      <c r="AG34" s="875">
        <f t="shared" si="6"/>
        <v>16397.482592993169</v>
      </c>
      <c r="AH34" s="875">
        <f t="shared" si="6"/>
        <v>16397.482592993169</v>
      </c>
      <c r="AI34" s="875">
        <f t="shared" si="6"/>
        <v>16397.482592993169</v>
      </c>
      <c r="AJ34" s="875">
        <f t="shared" si="6"/>
        <v>0</v>
      </c>
      <c r="AK34" s="875">
        <f t="shared" si="6"/>
        <v>0</v>
      </c>
      <c r="AL34" s="875">
        <f t="shared" si="6"/>
        <v>0</v>
      </c>
      <c r="AM34" s="875">
        <f t="shared" si="6"/>
        <v>0</v>
      </c>
      <c r="AN34" s="875">
        <f t="shared" si="6"/>
        <v>0</v>
      </c>
    </row>
    <row r="35" spans="3:16384" x14ac:dyDescent="0.35">
      <c r="C35" s="931" t="s">
        <v>2</v>
      </c>
      <c r="D35" s="932"/>
      <c r="E35" s="811">
        <f t="shared" ref="E35:E42" si="7">SUM(F35:AN35)</f>
        <v>5814710.8786821868</v>
      </c>
      <c r="F35" s="876">
        <f t="shared" ref="F35:AN35" si="8">$F$48*F29</f>
        <v>0</v>
      </c>
      <c r="G35" s="876">
        <f t="shared" si="8"/>
        <v>0</v>
      </c>
      <c r="H35" s="876">
        <f t="shared" si="8"/>
        <v>207668.24566722088</v>
      </c>
      <c r="I35" s="876">
        <f t="shared" si="8"/>
        <v>207668.24566722088</v>
      </c>
      <c r="J35" s="876">
        <f t="shared" si="8"/>
        <v>207668.24566722088</v>
      </c>
      <c r="K35" s="876">
        <f t="shared" si="8"/>
        <v>207668.24566722088</v>
      </c>
      <c r="L35" s="876">
        <f t="shared" si="8"/>
        <v>207668.24566722088</v>
      </c>
      <c r="M35" s="876">
        <f t="shared" si="8"/>
        <v>207668.24566722088</v>
      </c>
      <c r="N35" s="876">
        <f t="shared" si="8"/>
        <v>207668.24566722088</v>
      </c>
      <c r="O35" s="876">
        <f t="shared" si="8"/>
        <v>207668.24566722088</v>
      </c>
      <c r="P35" s="876">
        <f t="shared" si="8"/>
        <v>207668.24566722088</v>
      </c>
      <c r="Q35" s="876">
        <f t="shared" si="8"/>
        <v>207668.24566722088</v>
      </c>
      <c r="R35" s="876">
        <f t="shared" si="8"/>
        <v>207668.24566722088</v>
      </c>
      <c r="S35" s="876">
        <f t="shared" si="8"/>
        <v>207668.24566722088</v>
      </c>
      <c r="T35" s="876">
        <f t="shared" si="8"/>
        <v>207668.24566722088</v>
      </c>
      <c r="U35" s="876">
        <f t="shared" si="8"/>
        <v>207668.24566722088</v>
      </c>
      <c r="V35" s="876">
        <f t="shared" si="8"/>
        <v>207668.24566722088</v>
      </c>
      <c r="W35" s="876">
        <f t="shared" si="8"/>
        <v>207668.24566722088</v>
      </c>
      <c r="X35" s="876">
        <f t="shared" si="8"/>
        <v>207668.24566722088</v>
      </c>
      <c r="Y35" s="876">
        <f t="shared" si="8"/>
        <v>207668.24566722088</v>
      </c>
      <c r="Z35" s="876">
        <f t="shared" si="8"/>
        <v>207668.24566722088</v>
      </c>
      <c r="AA35" s="876">
        <f t="shared" si="8"/>
        <v>207668.24566722088</v>
      </c>
      <c r="AB35" s="876">
        <f t="shared" si="8"/>
        <v>207668.24566722088</v>
      </c>
      <c r="AC35" s="876">
        <f t="shared" si="8"/>
        <v>207668.24566722088</v>
      </c>
      <c r="AD35" s="876">
        <f t="shared" si="8"/>
        <v>207668.24566722088</v>
      </c>
      <c r="AE35" s="876">
        <f t="shared" si="8"/>
        <v>207668.24566722088</v>
      </c>
      <c r="AF35" s="876">
        <f t="shared" si="8"/>
        <v>207668.24566722088</v>
      </c>
      <c r="AG35" s="876">
        <f t="shared" si="8"/>
        <v>207668.24566722088</v>
      </c>
      <c r="AH35" s="876">
        <f t="shared" si="8"/>
        <v>207668.24566722088</v>
      </c>
      <c r="AI35" s="876">
        <f t="shared" si="8"/>
        <v>207668.24566722088</v>
      </c>
      <c r="AJ35" s="876">
        <f t="shared" si="8"/>
        <v>0</v>
      </c>
      <c r="AK35" s="876">
        <f t="shared" si="8"/>
        <v>0</v>
      </c>
      <c r="AL35" s="876">
        <f t="shared" si="8"/>
        <v>0</v>
      </c>
      <c r="AM35" s="876">
        <f t="shared" si="8"/>
        <v>0</v>
      </c>
      <c r="AN35" s="876">
        <f t="shared" si="8"/>
        <v>0</v>
      </c>
    </row>
    <row r="36" spans="3:16384" x14ac:dyDescent="0.35">
      <c r="C36" s="931" t="s">
        <v>3</v>
      </c>
      <c r="D36" s="932"/>
      <c r="E36" s="811">
        <f t="shared" si="7"/>
        <v>696565.78608437942</v>
      </c>
      <c r="F36" s="876">
        <f t="shared" ref="F36:AN36" si="9">$F$49*F29</f>
        <v>0</v>
      </c>
      <c r="G36" s="876">
        <f t="shared" si="9"/>
        <v>0</v>
      </c>
      <c r="H36" s="876">
        <f t="shared" si="9"/>
        <v>24877.349503013567</v>
      </c>
      <c r="I36" s="876">
        <f t="shared" si="9"/>
        <v>24877.349503013567</v>
      </c>
      <c r="J36" s="876">
        <f t="shared" si="9"/>
        <v>24877.349503013567</v>
      </c>
      <c r="K36" s="876">
        <f t="shared" si="9"/>
        <v>24877.349503013567</v>
      </c>
      <c r="L36" s="876">
        <f t="shared" si="9"/>
        <v>24877.349503013567</v>
      </c>
      <c r="M36" s="876">
        <f t="shared" si="9"/>
        <v>24877.349503013567</v>
      </c>
      <c r="N36" s="876">
        <f t="shared" si="9"/>
        <v>24877.349503013567</v>
      </c>
      <c r="O36" s="876">
        <f t="shared" si="9"/>
        <v>24877.349503013567</v>
      </c>
      <c r="P36" s="876">
        <f t="shared" si="9"/>
        <v>24877.349503013567</v>
      </c>
      <c r="Q36" s="876">
        <f t="shared" si="9"/>
        <v>24877.349503013567</v>
      </c>
      <c r="R36" s="876">
        <f t="shared" si="9"/>
        <v>24877.349503013567</v>
      </c>
      <c r="S36" s="876">
        <f t="shared" si="9"/>
        <v>24877.349503013567</v>
      </c>
      <c r="T36" s="876">
        <f t="shared" si="9"/>
        <v>24877.349503013567</v>
      </c>
      <c r="U36" s="876">
        <f t="shared" si="9"/>
        <v>24877.349503013567</v>
      </c>
      <c r="V36" s="876">
        <f t="shared" si="9"/>
        <v>24877.349503013567</v>
      </c>
      <c r="W36" s="876">
        <f t="shared" si="9"/>
        <v>24877.349503013567</v>
      </c>
      <c r="X36" s="876">
        <f t="shared" si="9"/>
        <v>24877.349503013567</v>
      </c>
      <c r="Y36" s="876">
        <f t="shared" si="9"/>
        <v>24877.349503013567</v>
      </c>
      <c r="Z36" s="876">
        <f t="shared" si="9"/>
        <v>24877.349503013567</v>
      </c>
      <c r="AA36" s="876">
        <f t="shared" si="9"/>
        <v>24877.349503013567</v>
      </c>
      <c r="AB36" s="876">
        <f t="shared" si="9"/>
        <v>24877.349503013567</v>
      </c>
      <c r="AC36" s="876">
        <f t="shared" si="9"/>
        <v>24877.349503013567</v>
      </c>
      <c r="AD36" s="876">
        <f t="shared" si="9"/>
        <v>24877.349503013567</v>
      </c>
      <c r="AE36" s="876">
        <f t="shared" si="9"/>
        <v>24877.349503013567</v>
      </c>
      <c r="AF36" s="876">
        <f t="shared" si="9"/>
        <v>24877.349503013567</v>
      </c>
      <c r="AG36" s="876">
        <f t="shared" si="9"/>
        <v>24877.349503013567</v>
      </c>
      <c r="AH36" s="876">
        <f t="shared" si="9"/>
        <v>24877.349503013567</v>
      </c>
      <c r="AI36" s="876">
        <f t="shared" si="9"/>
        <v>24877.349503013567</v>
      </c>
      <c r="AJ36" s="876">
        <f t="shared" si="9"/>
        <v>0</v>
      </c>
      <c r="AK36" s="876">
        <f t="shared" si="9"/>
        <v>0</v>
      </c>
      <c r="AL36" s="876">
        <f t="shared" si="9"/>
        <v>0</v>
      </c>
      <c r="AM36" s="876">
        <f t="shared" si="9"/>
        <v>0</v>
      </c>
      <c r="AN36" s="876">
        <f t="shared" si="9"/>
        <v>0</v>
      </c>
    </row>
    <row r="37" spans="3:16384" x14ac:dyDescent="0.35">
      <c r="C37" s="931" t="s">
        <v>4</v>
      </c>
      <c r="D37" s="932"/>
      <c r="E37" s="811">
        <f t="shared" si="7"/>
        <v>1858619.0116619612</v>
      </c>
      <c r="F37" s="876">
        <f t="shared" ref="F37:AN37" si="10">$F$50*F29</f>
        <v>0</v>
      </c>
      <c r="G37" s="876">
        <f t="shared" si="10"/>
        <v>0</v>
      </c>
      <c r="H37" s="876">
        <f t="shared" si="10"/>
        <v>66379.250416498588</v>
      </c>
      <c r="I37" s="876">
        <f t="shared" si="10"/>
        <v>66379.250416498588</v>
      </c>
      <c r="J37" s="876">
        <f t="shared" si="10"/>
        <v>66379.250416498588</v>
      </c>
      <c r="K37" s="876">
        <f t="shared" si="10"/>
        <v>66379.250416498588</v>
      </c>
      <c r="L37" s="876">
        <f t="shared" si="10"/>
        <v>66379.250416498588</v>
      </c>
      <c r="M37" s="876">
        <f t="shared" si="10"/>
        <v>66379.250416498588</v>
      </c>
      <c r="N37" s="876">
        <f t="shared" si="10"/>
        <v>66379.250416498588</v>
      </c>
      <c r="O37" s="876">
        <f t="shared" si="10"/>
        <v>66379.250416498588</v>
      </c>
      <c r="P37" s="876">
        <f t="shared" si="10"/>
        <v>66379.250416498588</v>
      </c>
      <c r="Q37" s="876">
        <f t="shared" si="10"/>
        <v>66379.250416498588</v>
      </c>
      <c r="R37" s="876">
        <f t="shared" si="10"/>
        <v>66379.250416498588</v>
      </c>
      <c r="S37" s="876">
        <f t="shared" si="10"/>
        <v>66379.250416498588</v>
      </c>
      <c r="T37" s="876">
        <f t="shared" si="10"/>
        <v>66379.250416498588</v>
      </c>
      <c r="U37" s="876">
        <f t="shared" si="10"/>
        <v>66379.250416498588</v>
      </c>
      <c r="V37" s="876">
        <f t="shared" si="10"/>
        <v>66379.250416498588</v>
      </c>
      <c r="W37" s="876">
        <f t="shared" si="10"/>
        <v>66379.250416498588</v>
      </c>
      <c r="X37" s="876">
        <f t="shared" si="10"/>
        <v>66379.250416498588</v>
      </c>
      <c r="Y37" s="876">
        <f t="shared" si="10"/>
        <v>66379.250416498588</v>
      </c>
      <c r="Z37" s="876">
        <f t="shared" si="10"/>
        <v>66379.250416498588</v>
      </c>
      <c r="AA37" s="876">
        <f t="shared" si="10"/>
        <v>66379.250416498588</v>
      </c>
      <c r="AB37" s="876">
        <f t="shared" si="10"/>
        <v>66379.250416498588</v>
      </c>
      <c r="AC37" s="876">
        <f t="shared" si="10"/>
        <v>66379.250416498588</v>
      </c>
      <c r="AD37" s="876">
        <f t="shared" si="10"/>
        <v>66379.250416498588</v>
      </c>
      <c r="AE37" s="876">
        <f t="shared" si="10"/>
        <v>66379.250416498588</v>
      </c>
      <c r="AF37" s="876">
        <f t="shared" si="10"/>
        <v>66379.250416498588</v>
      </c>
      <c r="AG37" s="876">
        <f t="shared" si="10"/>
        <v>66379.250416498588</v>
      </c>
      <c r="AH37" s="876">
        <f t="shared" si="10"/>
        <v>66379.250416498588</v>
      </c>
      <c r="AI37" s="876">
        <f t="shared" si="10"/>
        <v>66379.250416498588</v>
      </c>
      <c r="AJ37" s="876">
        <f t="shared" si="10"/>
        <v>0</v>
      </c>
      <c r="AK37" s="876">
        <f t="shared" si="10"/>
        <v>0</v>
      </c>
      <c r="AL37" s="876">
        <f t="shared" si="10"/>
        <v>0</v>
      </c>
      <c r="AM37" s="876">
        <f t="shared" si="10"/>
        <v>0</v>
      </c>
      <c r="AN37" s="876">
        <f t="shared" si="10"/>
        <v>0</v>
      </c>
      <c r="AO37" s="926"/>
      <c r="AP37" s="926"/>
      <c r="AQ37" s="926"/>
      <c r="AR37" s="926"/>
      <c r="AS37" s="926"/>
      <c r="AT37" s="926"/>
      <c r="AU37" s="926"/>
      <c r="AV37" s="926"/>
      <c r="AW37" s="926"/>
      <c r="AX37" s="926"/>
      <c r="AY37" s="926"/>
      <c r="AZ37" s="926"/>
      <c r="BA37" s="926"/>
      <c r="BB37" s="926"/>
      <c r="BC37" s="926"/>
      <c r="BD37" s="926"/>
      <c r="BE37" s="926"/>
      <c r="BF37" s="926"/>
      <c r="BG37" s="926"/>
      <c r="BH37" s="926"/>
      <c r="BI37" s="926"/>
      <c r="BJ37" s="926"/>
      <c r="BK37" s="926"/>
      <c r="BL37" s="926"/>
      <c r="BM37" s="926"/>
      <c r="BN37" s="926"/>
      <c r="BO37" s="926"/>
      <c r="BP37" s="926"/>
      <c r="BQ37" s="926"/>
      <c r="BR37" s="926"/>
      <c r="BS37" s="926"/>
      <c r="BT37" s="926"/>
      <c r="BU37" s="926"/>
      <c r="BV37" s="926"/>
      <c r="BW37" s="926"/>
      <c r="BX37" s="926"/>
      <c r="BY37" s="926"/>
      <c r="BZ37" s="926"/>
      <c r="CA37" s="926"/>
      <c r="CB37" s="926"/>
      <c r="CC37" s="926"/>
      <c r="CD37" s="926"/>
      <c r="CE37" s="926"/>
      <c r="CF37" s="926"/>
      <c r="CG37" s="926"/>
      <c r="CH37" s="926"/>
      <c r="CI37" s="926"/>
      <c r="CJ37" s="926"/>
      <c r="CK37" s="926"/>
      <c r="CL37" s="926"/>
      <c r="CM37" s="926"/>
      <c r="CN37" s="926"/>
      <c r="CO37" s="926"/>
      <c r="CP37" s="926"/>
      <c r="CQ37" s="926"/>
      <c r="CR37" s="926"/>
      <c r="CS37" s="926"/>
      <c r="CT37" s="926"/>
      <c r="CU37" s="926"/>
      <c r="CV37" s="926"/>
      <c r="CW37" s="926"/>
      <c r="CX37" s="926"/>
      <c r="CY37" s="926"/>
      <c r="CZ37" s="926"/>
      <c r="DA37" s="926"/>
      <c r="DB37" s="926"/>
      <c r="DC37" s="926"/>
      <c r="DD37" s="926"/>
      <c r="DE37" s="926"/>
      <c r="DF37" s="926"/>
      <c r="DG37" s="926"/>
      <c r="DH37" s="926"/>
      <c r="DI37" s="926"/>
      <c r="DJ37" s="926"/>
      <c r="DK37" s="926"/>
      <c r="DL37" s="926"/>
      <c r="DM37" s="926"/>
      <c r="DN37" s="926"/>
      <c r="DO37" s="926"/>
      <c r="DP37" s="926"/>
      <c r="DQ37" s="926"/>
      <c r="DR37" s="926"/>
      <c r="DS37" s="926"/>
      <c r="DT37" s="926"/>
      <c r="DU37" s="926"/>
      <c r="DV37" s="926"/>
      <c r="DW37" s="926"/>
      <c r="DX37" s="926"/>
      <c r="DY37" s="926"/>
      <c r="DZ37" s="926"/>
      <c r="EA37" s="926"/>
      <c r="EB37" s="926"/>
      <c r="EC37" s="926"/>
      <c r="ED37" s="926"/>
      <c r="EE37" s="926"/>
      <c r="EF37" s="926"/>
      <c r="EG37" s="926"/>
      <c r="EH37" s="926"/>
      <c r="EI37" s="926"/>
      <c r="EJ37" s="926"/>
      <c r="EK37" s="926"/>
      <c r="EL37" s="926"/>
      <c r="EM37" s="926"/>
      <c r="EN37" s="926"/>
      <c r="EO37" s="926"/>
      <c r="EP37" s="926"/>
      <c r="EQ37" s="926"/>
      <c r="ER37" s="926"/>
      <c r="ES37" s="926"/>
      <c r="ET37" s="926"/>
      <c r="EU37" s="926"/>
      <c r="EV37" s="926"/>
      <c r="EW37" s="926"/>
      <c r="EX37" s="926"/>
      <c r="EY37" s="926"/>
      <c r="EZ37" s="926"/>
      <c r="FA37" s="926"/>
      <c r="FB37" s="926"/>
      <c r="FC37" s="926"/>
      <c r="FD37" s="926"/>
      <c r="FE37" s="926"/>
      <c r="FF37" s="926"/>
      <c r="FG37" s="926"/>
      <c r="FH37" s="926"/>
      <c r="FI37" s="926"/>
      <c r="FJ37" s="926"/>
      <c r="FK37" s="926"/>
      <c r="FL37" s="926"/>
      <c r="FM37" s="926"/>
      <c r="FN37" s="926"/>
      <c r="FO37" s="926"/>
      <c r="FP37" s="926"/>
      <c r="FQ37" s="926"/>
      <c r="FR37" s="926"/>
      <c r="FS37" s="926"/>
      <c r="FT37" s="926"/>
      <c r="FU37" s="926"/>
      <c r="FV37" s="926"/>
      <c r="FW37" s="926"/>
      <c r="FX37" s="926"/>
      <c r="FY37" s="926"/>
      <c r="FZ37" s="926"/>
      <c r="GA37" s="926"/>
      <c r="GB37" s="926"/>
      <c r="GC37" s="926"/>
      <c r="GD37" s="926"/>
      <c r="GE37" s="926"/>
      <c r="GF37" s="926"/>
      <c r="GG37" s="926"/>
      <c r="GH37" s="926"/>
      <c r="GI37" s="926"/>
      <c r="GJ37" s="926"/>
      <c r="GK37" s="926"/>
      <c r="GL37" s="926"/>
      <c r="GM37" s="926"/>
      <c r="GN37" s="926"/>
      <c r="GO37" s="926"/>
      <c r="GP37" s="926"/>
      <c r="GQ37" s="926"/>
      <c r="GR37" s="926"/>
      <c r="GS37" s="926"/>
      <c r="GT37" s="926"/>
      <c r="GU37" s="926"/>
      <c r="GV37" s="926"/>
      <c r="GW37" s="926"/>
      <c r="GX37" s="926"/>
      <c r="GY37" s="926"/>
      <c r="GZ37" s="926"/>
      <c r="HA37" s="926"/>
      <c r="HB37" s="926"/>
      <c r="HC37" s="926"/>
      <c r="HD37" s="926"/>
      <c r="HE37" s="926"/>
      <c r="HF37" s="926"/>
      <c r="HG37" s="926"/>
      <c r="HH37" s="926"/>
      <c r="HI37" s="926"/>
      <c r="HJ37" s="926"/>
      <c r="HK37" s="926"/>
      <c r="HL37" s="926"/>
      <c r="HM37" s="926"/>
      <c r="HN37" s="926"/>
      <c r="HO37" s="926"/>
      <c r="HP37" s="926"/>
      <c r="HQ37" s="926"/>
      <c r="HR37" s="926"/>
      <c r="HS37" s="926"/>
      <c r="HT37" s="926"/>
      <c r="HU37" s="926"/>
      <c r="HV37" s="926"/>
      <c r="HW37" s="926"/>
      <c r="HX37" s="926"/>
      <c r="HY37" s="926"/>
      <c r="HZ37" s="926"/>
      <c r="IA37" s="926"/>
      <c r="IB37" s="926"/>
      <c r="IC37" s="926"/>
      <c r="ID37" s="926"/>
      <c r="IE37" s="926"/>
      <c r="IF37" s="926"/>
      <c r="IG37" s="926"/>
      <c r="IH37" s="926"/>
      <c r="II37" s="926"/>
      <c r="IJ37" s="926"/>
      <c r="IK37" s="926"/>
      <c r="IL37" s="926"/>
      <c r="IM37" s="926"/>
      <c r="IN37" s="926"/>
      <c r="IO37" s="926"/>
      <c r="IP37" s="926"/>
      <c r="IQ37" s="926"/>
      <c r="IR37" s="926"/>
      <c r="IS37" s="926"/>
      <c r="IT37" s="926"/>
      <c r="IU37" s="926"/>
      <c r="IV37" s="926"/>
      <c r="IW37" s="926"/>
      <c r="IX37" s="926"/>
      <c r="IY37" s="926"/>
      <c r="IZ37" s="926"/>
      <c r="JA37" s="926"/>
      <c r="JB37" s="926"/>
      <c r="JC37" s="926"/>
      <c r="JD37" s="926"/>
      <c r="JE37" s="926"/>
      <c r="JF37" s="926"/>
      <c r="JG37" s="926"/>
      <c r="JH37" s="926"/>
      <c r="JI37" s="926"/>
      <c r="JJ37" s="926"/>
      <c r="JK37" s="926"/>
      <c r="JL37" s="926"/>
      <c r="JM37" s="926"/>
      <c r="JN37" s="926"/>
      <c r="JO37" s="926"/>
      <c r="JP37" s="926"/>
      <c r="JQ37" s="926"/>
      <c r="JR37" s="926"/>
      <c r="JS37" s="926"/>
      <c r="JT37" s="926"/>
      <c r="JU37" s="926"/>
      <c r="JV37" s="926"/>
      <c r="JW37" s="926"/>
      <c r="JX37" s="926"/>
      <c r="JY37" s="926"/>
      <c r="JZ37" s="926"/>
      <c r="KA37" s="926"/>
      <c r="KB37" s="926"/>
      <c r="KC37" s="926"/>
      <c r="KD37" s="926"/>
      <c r="KE37" s="926"/>
      <c r="KF37" s="926"/>
      <c r="KG37" s="926"/>
      <c r="KH37" s="926"/>
      <c r="KI37" s="926"/>
      <c r="KJ37" s="926"/>
      <c r="KK37" s="926"/>
      <c r="KL37" s="926"/>
      <c r="KM37" s="926"/>
      <c r="KN37" s="926"/>
      <c r="KO37" s="926"/>
      <c r="KP37" s="926"/>
      <c r="KQ37" s="926"/>
      <c r="KR37" s="926"/>
      <c r="KS37" s="926"/>
      <c r="KT37" s="926"/>
      <c r="KU37" s="926"/>
      <c r="KV37" s="926"/>
      <c r="KW37" s="926"/>
      <c r="KX37" s="926"/>
      <c r="KY37" s="926"/>
      <c r="KZ37" s="926"/>
      <c r="LA37" s="926"/>
      <c r="LB37" s="926"/>
      <c r="LC37" s="926"/>
      <c r="LD37" s="926"/>
      <c r="LE37" s="926"/>
      <c r="LF37" s="926"/>
      <c r="LG37" s="926"/>
      <c r="LH37" s="926"/>
      <c r="LI37" s="926"/>
      <c r="LJ37" s="926"/>
      <c r="LK37" s="926"/>
      <c r="LL37" s="926"/>
      <c r="LM37" s="926"/>
      <c r="LN37" s="926"/>
      <c r="LO37" s="926"/>
      <c r="LP37" s="926"/>
      <c r="LQ37" s="926"/>
      <c r="LR37" s="926"/>
      <c r="LS37" s="926"/>
      <c r="LT37" s="926"/>
      <c r="LU37" s="926"/>
      <c r="LV37" s="926"/>
      <c r="LW37" s="926"/>
      <c r="LX37" s="926"/>
      <c r="LY37" s="926"/>
      <c r="LZ37" s="926"/>
      <c r="MA37" s="926"/>
      <c r="MB37" s="926"/>
      <c r="MC37" s="926"/>
      <c r="MD37" s="926"/>
      <c r="ME37" s="926"/>
      <c r="MF37" s="926"/>
      <c r="MG37" s="926"/>
      <c r="MH37" s="926"/>
      <c r="MI37" s="926"/>
      <c r="MJ37" s="926"/>
      <c r="MK37" s="926"/>
      <c r="ML37" s="926"/>
      <c r="MM37" s="926"/>
      <c r="MN37" s="926"/>
      <c r="MO37" s="926"/>
      <c r="MP37" s="926"/>
      <c r="MQ37" s="926"/>
      <c r="MR37" s="926"/>
      <c r="MS37" s="926"/>
      <c r="MT37" s="926"/>
      <c r="MU37" s="926"/>
      <c r="MV37" s="926"/>
      <c r="MW37" s="926"/>
      <c r="MX37" s="926"/>
      <c r="MY37" s="926"/>
      <c r="MZ37" s="926"/>
      <c r="NA37" s="926"/>
      <c r="NB37" s="926"/>
      <c r="NC37" s="926"/>
      <c r="ND37" s="926"/>
      <c r="NE37" s="926"/>
      <c r="NF37" s="926"/>
      <c r="NG37" s="926"/>
      <c r="NH37" s="926"/>
      <c r="NI37" s="926"/>
      <c r="NJ37" s="926"/>
      <c r="NK37" s="926"/>
      <c r="NL37" s="926"/>
      <c r="NM37" s="926"/>
      <c r="NN37" s="926"/>
      <c r="NO37" s="926"/>
      <c r="NP37" s="926"/>
      <c r="NQ37" s="926"/>
      <c r="NR37" s="926"/>
      <c r="NS37" s="926"/>
      <c r="NT37" s="926"/>
      <c r="NU37" s="926"/>
      <c r="NV37" s="926"/>
      <c r="NW37" s="926"/>
      <c r="NX37" s="926"/>
      <c r="NY37" s="926"/>
      <c r="NZ37" s="926"/>
      <c r="OA37" s="926"/>
      <c r="OB37" s="926"/>
      <c r="OC37" s="926"/>
      <c r="OD37" s="926"/>
      <c r="OE37" s="926"/>
      <c r="OF37" s="926"/>
      <c r="OG37" s="926"/>
      <c r="OH37" s="926"/>
      <c r="OI37" s="926"/>
      <c r="OJ37" s="926"/>
      <c r="OK37" s="926"/>
      <c r="OL37" s="926"/>
      <c r="OM37" s="926"/>
      <c r="ON37" s="926"/>
      <c r="OO37" s="926"/>
      <c r="OP37" s="926"/>
      <c r="OQ37" s="926"/>
      <c r="OR37" s="926"/>
      <c r="OS37" s="926"/>
      <c r="OT37" s="926"/>
      <c r="OU37" s="926"/>
      <c r="OV37" s="926"/>
      <c r="OW37" s="926"/>
      <c r="OX37" s="926"/>
      <c r="OY37" s="926"/>
      <c r="OZ37" s="926"/>
      <c r="PA37" s="926"/>
      <c r="PB37" s="926"/>
      <c r="PC37" s="926"/>
      <c r="PD37" s="926"/>
      <c r="PE37" s="926"/>
      <c r="PF37" s="926"/>
      <c r="PG37" s="926"/>
      <c r="PH37" s="926"/>
      <c r="PI37" s="926"/>
      <c r="PJ37" s="926"/>
      <c r="PK37" s="926"/>
      <c r="PL37" s="926"/>
      <c r="PM37" s="926"/>
      <c r="PN37" s="926"/>
      <c r="PO37" s="926"/>
      <c r="PP37" s="926"/>
      <c r="PQ37" s="926"/>
      <c r="PR37" s="926"/>
      <c r="PS37" s="926"/>
      <c r="PT37" s="926"/>
      <c r="PU37" s="926"/>
      <c r="PV37" s="926"/>
      <c r="PW37" s="926"/>
      <c r="PX37" s="926"/>
      <c r="PY37" s="926"/>
      <c r="PZ37" s="926"/>
      <c r="QA37" s="926"/>
      <c r="QB37" s="926"/>
      <c r="QC37" s="926"/>
      <c r="QD37" s="926"/>
      <c r="QE37" s="926"/>
      <c r="QF37" s="926"/>
      <c r="QG37" s="926"/>
      <c r="QH37" s="926"/>
      <c r="QI37" s="926"/>
      <c r="QJ37" s="926"/>
      <c r="QK37" s="926"/>
      <c r="QL37" s="926"/>
      <c r="QM37" s="926"/>
      <c r="QN37" s="926"/>
      <c r="QO37" s="926"/>
      <c r="QP37" s="926"/>
      <c r="QQ37" s="926"/>
      <c r="QR37" s="926"/>
      <c r="QS37" s="926"/>
      <c r="QT37" s="926"/>
      <c r="QU37" s="926"/>
      <c r="QV37" s="926"/>
      <c r="QW37" s="926"/>
      <c r="QX37" s="926"/>
      <c r="QY37" s="926"/>
      <c r="QZ37" s="926"/>
      <c r="RA37" s="926"/>
      <c r="RB37" s="926"/>
      <c r="RC37" s="926"/>
      <c r="RD37" s="926"/>
      <c r="RE37" s="926"/>
      <c r="RF37" s="926"/>
      <c r="RG37" s="926"/>
      <c r="RH37" s="926"/>
      <c r="RI37" s="926"/>
      <c r="RJ37" s="926"/>
      <c r="RK37" s="926"/>
      <c r="RL37" s="926"/>
      <c r="RM37" s="926"/>
      <c r="RN37" s="926"/>
      <c r="RO37" s="926"/>
      <c r="RP37" s="926"/>
      <c r="RQ37" s="926"/>
      <c r="RR37" s="926"/>
      <c r="RS37" s="926"/>
      <c r="RT37" s="926"/>
      <c r="RU37" s="926"/>
      <c r="RV37" s="926"/>
      <c r="RW37" s="926"/>
      <c r="RX37" s="926"/>
      <c r="RY37" s="926"/>
      <c r="RZ37" s="926"/>
      <c r="SA37" s="926"/>
      <c r="SB37" s="926"/>
      <c r="SC37" s="926"/>
      <c r="SD37" s="926"/>
      <c r="SE37" s="926"/>
      <c r="SF37" s="926"/>
      <c r="SG37" s="926"/>
      <c r="SH37" s="926"/>
      <c r="SI37" s="926"/>
      <c r="SJ37" s="926"/>
      <c r="SK37" s="926"/>
      <c r="SL37" s="926"/>
      <c r="SM37" s="926"/>
      <c r="SN37" s="926"/>
      <c r="SO37" s="926"/>
      <c r="SP37" s="926"/>
      <c r="SQ37" s="926"/>
      <c r="SR37" s="926"/>
      <c r="SS37" s="926"/>
      <c r="ST37" s="926"/>
      <c r="SU37" s="926"/>
      <c r="SV37" s="926"/>
      <c r="SW37" s="926"/>
      <c r="SX37" s="926"/>
      <c r="SY37" s="926"/>
      <c r="SZ37" s="926"/>
      <c r="TA37" s="926"/>
      <c r="TB37" s="926"/>
      <c r="TC37" s="926"/>
      <c r="TD37" s="926"/>
      <c r="TE37" s="926"/>
      <c r="TF37" s="926"/>
      <c r="TG37" s="926"/>
      <c r="TH37" s="926"/>
      <c r="TI37" s="926"/>
      <c r="TJ37" s="926"/>
      <c r="TK37" s="926"/>
      <c r="TL37" s="926"/>
      <c r="TM37" s="926"/>
      <c r="TN37" s="926"/>
      <c r="TO37" s="926"/>
      <c r="TP37" s="926"/>
      <c r="TQ37" s="926"/>
      <c r="TR37" s="926"/>
      <c r="TS37" s="926"/>
      <c r="TT37" s="926"/>
      <c r="TU37" s="926"/>
      <c r="TV37" s="926"/>
      <c r="TW37" s="926"/>
      <c r="TX37" s="926"/>
      <c r="TY37" s="926"/>
      <c r="TZ37" s="926"/>
      <c r="UA37" s="926"/>
      <c r="UB37" s="926"/>
      <c r="UC37" s="926"/>
      <c r="UD37" s="926"/>
      <c r="UE37" s="926"/>
      <c r="UF37" s="926"/>
      <c r="UG37" s="926"/>
      <c r="UH37" s="926"/>
      <c r="UI37" s="926"/>
      <c r="UJ37" s="926"/>
      <c r="UK37" s="926"/>
      <c r="UL37" s="926"/>
      <c r="UM37" s="926"/>
      <c r="UN37" s="926"/>
      <c r="UO37" s="926"/>
      <c r="UP37" s="926"/>
      <c r="UQ37" s="926"/>
      <c r="UR37" s="926"/>
      <c r="US37" s="926"/>
      <c r="UT37" s="926"/>
      <c r="UU37" s="926"/>
      <c r="UV37" s="926"/>
      <c r="UW37" s="926"/>
      <c r="UX37" s="926"/>
      <c r="UY37" s="926"/>
      <c r="UZ37" s="926"/>
      <c r="VA37" s="926"/>
      <c r="VB37" s="926"/>
      <c r="VC37" s="926"/>
      <c r="VD37" s="926"/>
      <c r="VE37" s="926"/>
      <c r="VF37" s="926"/>
      <c r="VG37" s="926"/>
      <c r="VH37" s="926"/>
      <c r="VI37" s="926"/>
      <c r="VJ37" s="926"/>
      <c r="VK37" s="926"/>
      <c r="VL37" s="926"/>
      <c r="VM37" s="926"/>
      <c r="VN37" s="926"/>
      <c r="VO37" s="926"/>
      <c r="VP37" s="926"/>
      <c r="VQ37" s="926"/>
      <c r="VR37" s="926"/>
      <c r="VS37" s="926"/>
      <c r="VT37" s="926"/>
      <c r="VU37" s="926"/>
      <c r="VV37" s="926"/>
      <c r="VW37" s="926"/>
      <c r="VX37" s="926"/>
      <c r="VY37" s="926"/>
      <c r="VZ37" s="926"/>
      <c r="WA37" s="926"/>
      <c r="WB37" s="926"/>
      <c r="WC37" s="926"/>
      <c r="WD37" s="926"/>
      <c r="WE37" s="926"/>
      <c r="WF37" s="926"/>
      <c r="WG37" s="926"/>
      <c r="WH37" s="926"/>
      <c r="WI37" s="926"/>
      <c r="WJ37" s="926"/>
      <c r="WK37" s="926"/>
      <c r="WL37" s="926"/>
      <c r="WM37" s="926"/>
      <c r="WN37" s="926"/>
      <c r="WO37" s="926"/>
      <c r="WP37" s="926"/>
      <c r="WQ37" s="926"/>
      <c r="WR37" s="926"/>
      <c r="WS37" s="926"/>
      <c r="WT37" s="926"/>
      <c r="WU37" s="926"/>
      <c r="WV37" s="926"/>
      <c r="WW37" s="926"/>
      <c r="WX37" s="926"/>
      <c r="WY37" s="926"/>
      <c r="WZ37" s="926"/>
      <c r="XA37" s="926"/>
      <c r="XB37" s="926"/>
      <c r="XC37" s="926"/>
      <c r="XD37" s="926"/>
      <c r="XE37" s="926"/>
      <c r="XF37" s="926"/>
      <c r="XG37" s="926"/>
      <c r="XH37" s="926"/>
      <c r="XI37" s="926"/>
      <c r="XJ37" s="926"/>
      <c r="XK37" s="926"/>
      <c r="XL37" s="926"/>
      <c r="XM37" s="926"/>
      <c r="XN37" s="926"/>
      <c r="XO37" s="926"/>
      <c r="XP37" s="926"/>
      <c r="XQ37" s="926"/>
      <c r="XR37" s="926"/>
      <c r="XS37" s="926"/>
      <c r="XT37" s="926"/>
      <c r="XU37" s="926"/>
      <c r="XV37" s="926"/>
      <c r="XW37" s="926"/>
      <c r="XX37" s="926"/>
      <c r="XY37" s="926"/>
      <c r="XZ37" s="926"/>
      <c r="YA37" s="926"/>
      <c r="YB37" s="926"/>
      <c r="YC37" s="926"/>
      <c r="YD37" s="926"/>
      <c r="YE37" s="926"/>
      <c r="YF37" s="926"/>
      <c r="YG37" s="926"/>
      <c r="YH37" s="926"/>
      <c r="YI37" s="926"/>
      <c r="YJ37" s="926"/>
      <c r="YK37" s="926"/>
      <c r="YL37" s="926"/>
      <c r="YM37" s="926"/>
      <c r="YN37" s="926"/>
      <c r="YO37" s="926"/>
      <c r="YP37" s="926"/>
      <c r="YQ37" s="926"/>
      <c r="YR37" s="926"/>
      <c r="YS37" s="926"/>
      <c r="YT37" s="926"/>
      <c r="YU37" s="926"/>
      <c r="YV37" s="926"/>
      <c r="YW37" s="926"/>
      <c r="YX37" s="926"/>
      <c r="YY37" s="926"/>
      <c r="YZ37" s="926"/>
      <c r="ZA37" s="926"/>
      <c r="ZB37" s="926"/>
      <c r="ZC37" s="926"/>
      <c r="ZD37" s="926"/>
      <c r="ZE37" s="926"/>
      <c r="ZF37" s="926"/>
      <c r="ZG37" s="926"/>
      <c r="ZH37" s="926"/>
      <c r="ZI37" s="926"/>
      <c r="ZJ37" s="926"/>
      <c r="ZK37" s="926"/>
      <c r="ZL37" s="926"/>
      <c r="ZM37" s="926"/>
      <c r="ZN37" s="926"/>
      <c r="ZO37" s="926"/>
      <c r="ZP37" s="926"/>
      <c r="ZQ37" s="926"/>
      <c r="ZR37" s="926"/>
      <c r="ZS37" s="926"/>
      <c r="ZT37" s="926"/>
      <c r="ZU37" s="926"/>
      <c r="ZV37" s="926"/>
      <c r="ZW37" s="926"/>
      <c r="ZX37" s="926"/>
      <c r="ZY37" s="926"/>
      <c r="ZZ37" s="926"/>
      <c r="AAA37" s="926"/>
      <c r="AAB37" s="926"/>
      <c r="AAC37" s="926"/>
      <c r="AAD37" s="926"/>
      <c r="AAE37" s="926"/>
      <c r="AAF37" s="926"/>
      <c r="AAG37" s="926"/>
      <c r="AAH37" s="926"/>
      <c r="AAI37" s="926"/>
      <c r="AAJ37" s="926"/>
      <c r="AAK37" s="926"/>
      <c r="AAL37" s="926"/>
      <c r="AAM37" s="926"/>
      <c r="AAN37" s="926"/>
      <c r="AAO37" s="926"/>
      <c r="AAP37" s="926"/>
      <c r="AAQ37" s="926"/>
      <c r="AAR37" s="926"/>
      <c r="AAS37" s="926"/>
      <c r="AAT37" s="926"/>
      <c r="AAU37" s="926"/>
      <c r="AAV37" s="926"/>
      <c r="AAW37" s="926"/>
      <c r="AAX37" s="926"/>
      <c r="AAY37" s="926"/>
      <c r="AAZ37" s="926"/>
      <c r="ABA37" s="926"/>
      <c r="ABB37" s="926"/>
      <c r="ABC37" s="926"/>
      <c r="ABD37" s="926"/>
      <c r="ABE37" s="926"/>
      <c r="ABF37" s="926"/>
      <c r="ABG37" s="926"/>
      <c r="ABH37" s="926"/>
      <c r="ABI37" s="926"/>
      <c r="ABJ37" s="926"/>
      <c r="ABK37" s="926"/>
      <c r="ABL37" s="926"/>
      <c r="ABM37" s="926"/>
      <c r="ABN37" s="926"/>
      <c r="ABO37" s="926"/>
      <c r="ABP37" s="926"/>
      <c r="ABQ37" s="926"/>
      <c r="ABR37" s="926"/>
      <c r="ABS37" s="926"/>
      <c r="ABT37" s="926"/>
      <c r="ABU37" s="926"/>
      <c r="ABV37" s="926"/>
      <c r="ABW37" s="926"/>
      <c r="ABX37" s="926"/>
      <c r="ABY37" s="926"/>
      <c r="ABZ37" s="926"/>
      <c r="ACA37" s="926"/>
      <c r="ACB37" s="926"/>
      <c r="ACC37" s="926"/>
      <c r="ACD37" s="926"/>
      <c r="ACE37" s="926"/>
      <c r="ACF37" s="926"/>
      <c r="ACG37" s="926"/>
      <c r="ACH37" s="926"/>
      <c r="ACI37" s="926"/>
      <c r="ACJ37" s="926"/>
      <c r="ACK37" s="926"/>
      <c r="ACL37" s="926"/>
      <c r="ACM37" s="926"/>
      <c r="ACN37" s="926"/>
      <c r="ACO37" s="926"/>
      <c r="ACP37" s="926"/>
      <c r="ACQ37" s="926"/>
      <c r="ACR37" s="926"/>
      <c r="ACS37" s="926"/>
      <c r="ACT37" s="926"/>
      <c r="ACU37" s="926"/>
      <c r="ACV37" s="926"/>
      <c r="ACW37" s="926"/>
      <c r="ACX37" s="926"/>
      <c r="ACY37" s="926"/>
      <c r="ACZ37" s="926"/>
      <c r="ADA37" s="926"/>
      <c r="ADB37" s="926"/>
      <c r="ADC37" s="926"/>
      <c r="ADD37" s="926"/>
      <c r="ADE37" s="926"/>
      <c r="ADF37" s="926"/>
      <c r="ADG37" s="926"/>
      <c r="ADH37" s="926"/>
      <c r="ADI37" s="926"/>
      <c r="ADJ37" s="926"/>
      <c r="ADK37" s="926"/>
      <c r="ADL37" s="926"/>
      <c r="ADM37" s="926"/>
      <c r="ADN37" s="926"/>
      <c r="ADO37" s="926"/>
      <c r="ADP37" s="926"/>
      <c r="ADQ37" s="926"/>
      <c r="ADR37" s="926"/>
      <c r="ADS37" s="926"/>
      <c r="ADT37" s="926"/>
      <c r="ADU37" s="926"/>
      <c r="ADV37" s="926"/>
      <c r="ADW37" s="926"/>
      <c r="ADX37" s="926"/>
      <c r="ADY37" s="926"/>
      <c r="ADZ37" s="926"/>
      <c r="AEA37" s="926"/>
      <c r="AEB37" s="926"/>
      <c r="AEC37" s="926"/>
      <c r="AED37" s="926"/>
      <c r="AEE37" s="926"/>
      <c r="AEF37" s="926"/>
      <c r="AEG37" s="926"/>
      <c r="AEH37" s="926"/>
      <c r="AEI37" s="926"/>
      <c r="AEJ37" s="926"/>
      <c r="AEK37" s="926"/>
      <c r="AEL37" s="926"/>
      <c r="AEM37" s="926"/>
      <c r="AEN37" s="926"/>
      <c r="AEO37" s="926"/>
      <c r="AEP37" s="926"/>
      <c r="AEQ37" s="926"/>
      <c r="AER37" s="926"/>
      <c r="AES37" s="926"/>
      <c r="AET37" s="926"/>
      <c r="AEU37" s="926"/>
      <c r="AEV37" s="926"/>
      <c r="AEW37" s="926"/>
      <c r="AEX37" s="926"/>
      <c r="AEY37" s="926"/>
      <c r="AEZ37" s="926"/>
      <c r="AFA37" s="926"/>
      <c r="AFB37" s="926"/>
      <c r="AFC37" s="926"/>
      <c r="AFD37" s="926"/>
      <c r="AFE37" s="926"/>
      <c r="AFF37" s="926"/>
      <c r="AFG37" s="926"/>
      <c r="AFH37" s="926"/>
      <c r="AFI37" s="926"/>
      <c r="AFJ37" s="926"/>
      <c r="AFK37" s="926"/>
      <c r="AFL37" s="926"/>
      <c r="AFM37" s="926"/>
      <c r="AFN37" s="926"/>
      <c r="AFO37" s="926"/>
      <c r="AFP37" s="926"/>
      <c r="AFQ37" s="926"/>
      <c r="AFR37" s="926"/>
      <c r="AFS37" s="926"/>
      <c r="AFT37" s="926"/>
      <c r="AFU37" s="926"/>
      <c r="AFV37" s="926"/>
      <c r="AFW37" s="926"/>
      <c r="AFX37" s="926"/>
      <c r="AFY37" s="926"/>
      <c r="AFZ37" s="926"/>
      <c r="AGA37" s="926"/>
      <c r="AGB37" s="926"/>
      <c r="AGC37" s="926"/>
      <c r="AGD37" s="926"/>
      <c r="AGE37" s="926"/>
      <c r="AGF37" s="926"/>
      <c r="AGG37" s="926"/>
      <c r="AGH37" s="926"/>
      <c r="AGI37" s="926"/>
      <c r="AGJ37" s="926"/>
      <c r="AGK37" s="926"/>
      <c r="AGL37" s="926"/>
      <c r="AGM37" s="926"/>
      <c r="AGN37" s="926"/>
      <c r="AGO37" s="926"/>
      <c r="AGP37" s="926"/>
      <c r="AGQ37" s="926"/>
      <c r="AGR37" s="926"/>
      <c r="AGS37" s="926"/>
      <c r="AGT37" s="926"/>
      <c r="AGU37" s="926"/>
      <c r="AGV37" s="926"/>
      <c r="AGW37" s="926"/>
      <c r="AGX37" s="926"/>
      <c r="AGY37" s="926"/>
      <c r="AGZ37" s="926"/>
      <c r="AHA37" s="926"/>
      <c r="AHB37" s="926"/>
      <c r="AHC37" s="926"/>
      <c r="AHD37" s="926"/>
      <c r="AHE37" s="926"/>
      <c r="AHF37" s="926"/>
      <c r="AHG37" s="926"/>
      <c r="AHH37" s="926"/>
      <c r="AHI37" s="926"/>
      <c r="AHJ37" s="926"/>
      <c r="AHK37" s="926"/>
      <c r="AHL37" s="926"/>
      <c r="AHM37" s="926"/>
      <c r="AHN37" s="926"/>
      <c r="AHO37" s="926"/>
      <c r="AHP37" s="926"/>
      <c r="AHQ37" s="926"/>
      <c r="AHR37" s="926"/>
      <c r="AHS37" s="926"/>
      <c r="AHT37" s="926"/>
      <c r="AHU37" s="926"/>
      <c r="AHV37" s="926"/>
      <c r="AHW37" s="926"/>
      <c r="AHX37" s="926"/>
      <c r="AHY37" s="926"/>
      <c r="AHZ37" s="926"/>
      <c r="AIA37" s="926"/>
      <c r="AIB37" s="926"/>
      <c r="AIC37" s="926"/>
      <c r="AID37" s="926"/>
      <c r="AIE37" s="926"/>
      <c r="AIF37" s="926"/>
      <c r="AIG37" s="926"/>
      <c r="AIH37" s="926"/>
      <c r="AII37" s="926"/>
      <c r="AIJ37" s="926"/>
      <c r="AIK37" s="926"/>
      <c r="AIL37" s="926"/>
      <c r="AIM37" s="926"/>
      <c r="AIN37" s="926"/>
      <c r="AIO37" s="926"/>
      <c r="AIP37" s="926"/>
      <c r="AIQ37" s="926"/>
      <c r="AIR37" s="926"/>
      <c r="AIS37" s="926"/>
      <c r="AIT37" s="926"/>
      <c r="AIU37" s="926"/>
      <c r="AIV37" s="926"/>
      <c r="AIW37" s="926"/>
      <c r="AIX37" s="926"/>
      <c r="AIY37" s="926"/>
      <c r="AIZ37" s="926"/>
      <c r="AJA37" s="926"/>
      <c r="AJB37" s="926"/>
      <c r="AJC37" s="926"/>
      <c r="AJD37" s="926"/>
      <c r="AJE37" s="926"/>
      <c r="AJF37" s="926"/>
      <c r="AJG37" s="926"/>
      <c r="AJH37" s="926"/>
      <c r="AJI37" s="926"/>
      <c r="AJJ37" s="926"/>
      <c r="AJK37" s="926"/>
      <c r="AJL37" s="926"/>
      <c r="AJM37" s="926"/>
      <c r="AJN37" s="926"/>
      <c r="AJO37" s="926"/>
      <c r="AJP37" s="926"/>
      <c r="AJQ37" s="926"/>
      <c r="AJR37" s="926"/>
      <c r="AJS37" s="926"/>
      <c r="AJT37" s="926"/>
      <c r="AJU37" s="926"/>
      <c r="AJV37" s="926"/>
      <c r="AJW37" s="926"/>
      <c r="AJX37" s="926"/>
      <c r="AJY37" s="926"/>
      <c r="AJZ37" s="926"/>
      <c r="AKA37" s="926"/>
      <c r="AKB37" s="926"/>
      <c r="AKC37" s="926"/>
      <c r="AKD37" s="926"/>
      <c r="AKE37" s="926"/>
      <c r="AKF37" s="926"/>
      <c r="AKG37" s="926"/>
      <c r="AKH37" s="926"/>
      <c r="AKI37" s="926"/>
      <c r="AKJ37" s="926"/>
      <c r="AKK37" s="926"/>
      <c r="AKL37" s="926"/>
      <c r="AKM37" s="926"/>
      <c r="AKN37" s="926"/>
      <c r="AKO37" s="926"/>
      <c r="AKP37" s="926"/>
      <c r="AKQ37" s="926"/>
      <c r="AKR37" s="926"/>
      <c r="AKS37" s="926"/>
      <c r="AKT37" s="926"/>
      <c r="AKU37" s="926"/>
      <c r="AKV37" s="926"/>
      <c r="AKW37" s="926"/>
      <c r="AKX37" s="926"/>
      <c r="AKY37" s="926"/>
      <c r="AKZ37" s="926"/>
      <c r="ALA37" s="926"/>
      <c r="ALB37" s="926"/>
      <c r="ALC37" s="926"/>
      <c r="ALD37" s="926"/>
      <c r="ALE37" s="926"/>
      <c r="ALF37" s="926"/>
      <c r="ALG37" s="926"/>
      <c r="ALH37" s="926"/>
      <c r="ALI37" s="926"/>
      <c r="ALJ37" s="926"/>
      <c r="ALK37" s="926"/>
      <c r="ALL37" s="926"/>
      <c r="ALM37" s="926"/>
      <c r="ALN37" s="926"/>
      <c r="ALO37" s="926"/>
      <c r="ALP37" s="926"/>
      <c r="ALQ37" s="926"/>
      <c r="ALR37" s="926"/>
      <c r="ALS37" s="926"/>
      <c r="ALT37" s="926"/>
      <c r="ALU37" s="926"/>
      <c r="ALV37" s="926"/>
      <c r="ALW37" s="926"/>
      <c r="ALX37" s="926"/>
      <c r="ALY37" s="926"/>
      <c r="ALZ37" s="926"/>
      <c r="AMA37" s="926"/>
      <c r="AMB37" s="926"/>
      <c r="AMC37" s="926"/>
      <c r="AMD37" s="926"/>
      <c r="AME37" s="926"/>
      <c r="AMF37" s="926"/>
      <c r="AMG37" s="926"/>
      <c r="AMH37" s="926"/>
      <c r="AMI37" s="926"/>
      <c r="AMJ37" s="926"/>
      <c r="AMK37" s="926"/>
      <c r="AML37" s="926"/>
      <c r="AMM37" s="926"/>
      <c r="AMN37" s="926"/>
      <c r="AMO37" s="926"/>
      <c r="AMP37" s="926"/>
      <c r="AMQ37" s="926"/>
      <c r="AMR37" s="926"/>
      <c r="AMS37" s="926"/>
      <c r="AMT37" s="926"/>
      <c r="AMU37" s="926"/>
      <c r="AMV37" s="926"/>
      <c r="AMW37" s="926"/>
      <c r="AMX37" s="926"/>
      <c r="AMY37" s="926"/>
      <c r="AMZ37" s="926"/>
      <c r="ANA37" s="926"/>
      <c r="ANB37" s="926"/>
      <c r="ANC37" s="926"/>
      <c r="AND37" s="926"/>
      <c r="ANE37" s="926"/>
      <c r="ANF37" s="926"/>
      <c r="ANG37" s="926"/>
      <c r="ANH37" s="926"/>
      <c r="ANI37" s="926"/>
      <c r="ANJ37" s="926"/>
      <c r="ANK37" s="926"/>
      <c r="ANL37" s="926"/>
      <c r="ANM37" s="926"/>
      <c r="ANN37" s="926"/>
      <c r="ANO37" s="926"/>
      <c r="ANP37" s="926"/>
      <c r="ANQ37" s="926"/>
      <c r="ANR37" s="926"/>
      <c r="ANS37" s="926"/>
      <c r="ANT37" s="926"/>
      <c r="ANU37" s="926"/>
      <c r="ANV37" s="926"/>
      <c r="ANW37" s="926"/>
      <c r="ANX37" s="926"/>
      <c r="ANY37" s="926"/>
      <c r="ANZ37" s="926"/>
      <c r="AOA37" s="926"/>
      <c r="AOB37" s="926"/>
      <c r="AOC37" s="926"/>
      <c r="AOD37" s="926"/>
      <c r="AOE37" s="926"/>
      <c r="AOF37" s="926"/>
      <c r="AOG37" s="926"/>
      <c r="AOH37" s="926"/>
      <c r="AOI37" s="926"/>
      <c r="AOJ37" s="926"/>
      <c r="AOK37" s="926"/>
      <c r="AOL37" s="926"/>
      <c r="AOM37" s="926"/>
      <c r="AON37" s="926"/>
      <c r="AOO37" s="926"/>
      <c r="AOP37" s="926"/>
      <c r="AOQ37" s="926"/>
      <c r="AOR37" s="926"/>
      <c r="AOS37" s="926"/>
      <c r="AOT37" s="926"/>
      <c r="AOU37" s="926"/>
      <c r="AOV37" s="926"/>
      <c r="AOW37" s="926"/>
      <c r="AOX37" s="926"/>
      <c r="AOY37" s="926"/>
      <c r="AOZ37" s="926"/>
      <c r="APA37" s="926"/>
      <c r="APB37" s="926"/>
      <c r="APC37" s="926"/>
      <c r="APD37" s="926"/>
      <c r="APE37" s="926"/>
      <c r="APF37" s="926"/>
      <c r="APG37" s="926"/>
      <c r="APH37" s="926"/>
      <c r="API37" s="926"/>
      <c r="APJ37" s="926"/>
      <c r="APK37" s="926"/>
      <c r="APL37" s="926"/>
      <c r="APM37" s="926"/>
      <c r="APN37" s="926"/>
      <c r="APO37" s="926"/>
      <c r="APP37" s="926"/>
      <c r="APQ37" s="926"/>
      <c r="APR37" s="926"/>
      <c r="APS37" s="926"/>
      <c r="APT37" s="926"/>
      <c r="APU37" s="926"/>
      <c r="APV37" s="926"/>
      <c r="APW37" s="926"/>
      <c r="APX37" s="926"/>
      <c r="APY37" s="926"/>
      <c r="APZ37" s="926"/>
      <c r="AQA37" s="926"/>
      <c r="AQB37" s="926"/>
      <c r="AQC37" s="926"/>
      <c r="AQD37" s="926"/>
      <c r="AQE37" s="926"/>
      <c r="AQF37" s="926"/>
      <c r="AQG37" s="926"/>
      <c r="AQH37" s="926"/>
      <c r="AQI37" s="926"/>
      <c r="AQJ37" s="926"/>
      <c r="AQK37" s="926"/>
      <c r="AQL37" s="926"/>
      <c r="AQM37" s="926"/>
      <c r="AQN37" s="926"/>
      <c r="AQO37" s="926"/>
      <c r="AQP37" s="926"/>
      <c r="AQQ37" s="926"/>
      <c r="AQR37" s="926"/>
      <c r="AQS37" s="926"/>
      <c r="AQT37" s="926"/>
      <c r="AQU37" s="926"/>
      <c r="AQV37" s="926"/>
      <c r="AQW37" s="926"/>
      <c r="AQX37" s="926"/>
      <c r="AQY37" s="926"/>
      <c r="AQZ37" s="926"/>
      <c r="ARA37" s="926"/>
      <c r="ARB37" s="926"/>
      <c r="ARC37" s="926"/>
      <c r="ARD37" s="926"/>
      <c r="ARE37" s="926"/>
      <c r="ARF37" s="926"/>
      <c r="ARG37" s="926"/>
      <c r="ARH37" s="926"/>
      <c r="ARI37" s="926"/>
      <c r="ARJ37" s="926"/>
      <c r="ARK37" s="926"/>
      <c r="ARL37" s="926"/>
      <c r="ARM37" s="926"/>
      <c r="ARN37" s="926"/>
      <c r="ARO37" s="926"/>
      <c r="ARP37" s="926"/>
      <c r="ARQ37" s="926"/>
      <c r="ARR37" s="926"/>
      <c r="ARS37" s="926"/>
      <c r="ART37" s="926"/>
      <c r="ARU37" s="926"/>
      <c r="ARV37" s="926"/>
      <c r="ARW37" s="926"/>
      <c r="ARX37" s="926"/>
      <c r="ARY37" s="926"/>
      <c r="ARZ37" s="926"/>
      <c r="ASA37" s="926"/>
      <c r="ASB37" s="926"/>
      <c r="ASC37" s="926"/>
      <c r="ASD37" s="926"/>
      <c r="ASE37" s="926"/>
      <c r="ASF37" s="926"/>
      <c r="ASG37" s="926"/>
      <c r="ASH37" s="926"/>
      <c r="ASI37" s="926"/>
      <c r="ASJ37" s="926"/>
      <c r="ASK37" s="926"/>
      <c r="ASL37" s="926"/>
      <c r="ASM37" s="926"/>
      <c r="ASN37" s="926"/>
      <c r="ASO37" s="926"/>
      <c r="ASP37" s="926"/>
      <c r="ASQ37" s="926"/>
      <c r="ASR37" s="926"/>
      <c r="ASS37" s="926"/>
      <c r="AST37" s="926"/>
      <c r="ASU37" s="926"/>
      <c r="ASV37" s="926"/>
      <c r="ASW37" s="926"/>
      <c r="ASX37" s="926"/>
      <c r="ASY37" s="926"/>
      <c r="ASZ37" s="926"/>
      <c r="ATA37" s="926"/>
      <c r="ATB37" s="926"/>
      <c r="ATC37" s="926"/>
      <c r="ATD37" s="926"/>
      <c r="ATE37" s="926"/>
      <c r="ATF37" s="926"/>
      <c r="ATG37" s="926"/>
      <c r="ATH37" s="926"/>
      <c r="ATI37" s="926"/>
      <c r="ATJ37" s="926"/>
      <c r="ATK37" s="926"/>
      <c r="ATL37" s="926"/>
      <c r="ATM37" s="926"/>
      <c r="ATN37" s="926"/>
      <c r="ATO37" s="926"/>
      <c r="ATP37" s="926"/>
      <c r="ATQ37" s="926"/>
      <c r="ATR37" s="926"/>
      <c r="ATS37" s="926"/>
      <c r="ATT37" s="926"/>
      <c r="ATU37" s="926"/>
      <c r="ATV37" s="926"/>
      <c r="ATW37" s="926"/>
      <c r="ATX37" s="926"/>
      <c r="ATY37" s="926"/>
      <c r="ATZ37" s="926"/>
      <c r="AUA37" s="926"/>
      <c r="AUB37" s="926"/>
      <c r="AUC37" s="926"/>
      <c r="AUD37" s="926"/>
      <c r="AUE37" s="926"/>
      <c r="AUF37" s="926"/>
      <c r="AUG37" s="926"/>
      <c r="AUH37" s="926"/>
      <c r="AUI37" s="926"/>
      <c r="AUJ37" s="926"/>
      <c r="AUK37" s="926"/>
      <c r="AUL37" s="926"/>
      <c r="AUM37" s="926"/>
      <c r="AUN37" s="926"/>
      <c r="AUO37" s="926"/>
      <c r="AUP37" s="926"/>
      <c r="AUQ37" s="926"/>
      <c r="AUR37" s="926"/>
      <c r="AUS37" s="926"/>
      <c r="AUT37" s="926"/>
      <c r="AUU37" s="926"/>
      <c r="AUV37" s="926"/>
      <c r="AUW37" s="926"/>
      <c r="AUX37" s="926"/>
      <c r="AUY37" s="926"/>
      <c r="AUZ37" s="926"/>
      <c r="AVA37" s="926"/>
      <c r="AVB37" s="926"/>
      <c r="AVC37" s="926"/>
      <c r="AVD37" s="926"/>
      <c r="AVE37" s="926"/>
      <c r="AVF37" s="926"/>
      <c r="AVG37" s="926"/>
      <c r="AVH37" s="926"/>
      <c r="AVI37" s="926"/>
      <c r="AVJ37" s="926"/>
      <c r="AVK37" s="926"/>
      <c r="AVL37" s="926"/>
      <c r="AVM37" s="926"/>
      <c r="AVN37" s="926"/>
      <c r="AVO37" s="926"/>
      <c r="AVP37" s="926"/>
      <c r="AVQ37" s="926"/>
      <c r="AVR37" s="926"/>
      <c r="AVS37" s="926"/>
      <c r="AVT37" s="926"/>
      <c r="AVU37" s="926"/>
      <c r="AVV37" s="926"/>
      <c r="AVW37" s="926"/>
      <c r="AVX37" s="926"/>
      <c r="AVY37" s="926"/>
      <c r="AVZ37" s="926"/>
      <c r="AWA37" s="926"/>
      <c r="AWB37" s="926"/>
      <c r="AWC37" s="926"/>
      <c r="AWD37" s="926"/>
      <c r="AWE37" s="926"/>
      <c r="AWF37" s="926"/>
      <c r="AWG37" s="926"/>
      <c r="AWH37" s="926"/>
      <c r="AWI37" s="926"/>
      <c r="AWJ37" s="926"/>
      <c r="AWK37" s="926"/>
      <c r="AWL37" s="926"/>
      <c r="AWM37" s="926"/>
      <c r="AWN37" s="926"/>
      <c r="AWO37" s="926"/>
      <c r="AWP37" s="926"/>
      <c r="AWQ37" s="926"/>
      <c r="AWR37" s="926"/>
      <c r="AWS37" s="926"/>
      <c r="AWT37" s="926"/>
      <c r="AWU37" s="926"/>
      <c r="AWV37" s="926"/>
      <c r="AWW37" s="926"/>
      <c r="AWX37" s="926"/>
      <c r="AWY37" s="926"/>
      <c r="AWZ37" s="926"/>
      <c r="AXA37" s="926"/>
      <c r="AXB37" s="926"/>
      <c r="AXC37" s="926"/>
      <c r="AXD37" s="926"/>
      <c r="AXE37" s="926"/>
      <c r="AXF37" s="926"/>
      <c r="AXG37" s="926"/>
      <c r="AXH37" s="926"/>
      <c r="AXI37" s="926"/>
      <c r="AXJ37" s="926"/>
      <c r="AXK37" s="926"/>
      <c r="AXL37" s="926"/>
      <c r="AXM37" s="926"/>
      <c r="AXN37" s="926"/>
      <c r="AXO37" s="926"/>
      <c r="AXP37" s="926"/>
      <c r="AXQ37" s="926"/>
      <c r="AXR37" s="926"/>
      <c r="AXS37" s="926"/>
      <c r="AXT37" s="926"/>
      <c r="AXU37" s="926"/>
      <c r="AXV37" s="926"/>
      <c r="AXW37" s="926"/>
      <c r="AXX37" s="926"/>
      <c r="AXY37" s="926"/>
      <c r="AXZ37" s="926"/>
      <c r="AYA37" s="926"/>
      <c r="AYB37" s="926"/>
      <c r="AYC37" s="926"/>
      <c r="AYD37" s="926"/>
      <c r="AYE37" s="926"/>
      <c r="AYF37" s="926"/>
      <c r="AYG37" s="926"/>
      <c r="AYH37" s="926"/>
      <c r="AYI37" s="926"/>
      <c r="AYJ37" s="926"/>
      <c r="AYK37" s="926"/>
      <c r="AYL37" s="926"/>
      <c r="AYM37" s="926"/>
      <c r="AYN37" s="926"/>
      <c r="AYO37" s="926"/>
      <c r="AYP37" s="926"/>
      <c r="AYQ37" s="926"/>
      <c r="AYR37" s="926"/>
      <c r="AYS37" s="926"/>
      <c r="AYT37" s="926"/>
      <c r="AYU37" s="926"/>
      <c r="AYV37" s="926"/>
      <c r="AYW37" s="926"/>
      <c r="AYX37" s="926"/>
      <c r="AYY37" s="926"/>
      <c r="AYZ37" s="926"/>
      <c r="AZA37" s="926"/>
      <c r="AZB37" s="926"/>
      <c r="AZC37" s="926"/>
      <c r="AZD37" s="926"/>
      <c r="AZE37" s="926"/>
      <c r="AZF37" s="926"/>
      <c r="AZG37" s="926"/>
      <c r="AZH37" s="926"/>
      <c r="AZI37" s="926"/>
      <c r="AZJ37" s="926"/>
      <c r="AZK37" s="926"/>
      <c r="AZL37" s="926"/>
      <c r="AZM37" s="926"/>
      <c r="AZN37" s="926"/>
      <c r="AZO37" s="926"/>
      <c r="AZP37" s="926"/>
      <c r="AZQ37" s="926"/>
      <c r="AZR37" s="926"/>
      <c r="AZS37" s="926"/>
      <c r="AZT37" s="926"/>
      <c r="AZU37" s="926"/>
      <c r="AZV37" s="926"/>
      <c r="AZW37" s="926"/>
      <c r="AZX37" s="926"/>
      <c r="AZY37" s="926"/>
      <c r="AZZ37" s="926"/>
      <c r="BAA37" s="926"/>
      <c r="BAB37" s="926"/>
      <c r="BAC37" s="926"/>
      <c r="BAD37" s="926"/>
      <c r="BAE37" s="926"/>
      <c r="BAF37" s="926"/>
      <c r="BAG37" s="926"/>
      <c r="BAH37" s="926"/>
      <c r="BAI37" s="926"/>
      <c r="BAJ37" s="926"/>
      <c r="BAK37" s="926"/>
      <c r="BAL37" s="926"/>
      <c r="BAM37" s="926"/>
      <c r="BAN37" s="926"/>
      <c r="BAO37" s="926"/>
      <c r="BAP37" s="926"/>
      <c r="BAQ37" s="926"/>
      <c r="BAR37" s="926"/>
      <c r="BAS37" s="926"/>
      <c r="BAT37" s="926"/>
      <c r="BAU37" s="926"/>
      <c r="BAV37" s="926"/>
      <c r="BAW37" s="926"/>
      <c r="BAX37" s="926"/>
      <c r="BAY37" s="926"/>
      <c r="BAZ37" s="926"/>
      <c r="BBA37" s="926"/>
      <c r="BBB37" s="926"/>
      <c r="BBC37" s="926"/>
      <c r="BBD37" s="926"/>
      <c r="BBE37" s="926"/>
      <c r="BBF37" s="926"/>
      <c r="BBG37" s="926"/>
      <c r="BBH37" s="926"/>
      <c r="BBI37" s="926"/>
      <c r="BBJ37" s="926"/>
      <c r="BBK37" s="926"/>
      <c r="BBL37" s="926"/>
      <c r="BBM37" s="926"/>
      <c r="BBN37" s="926"/>
      <c r="BBO37" s="926"/>
      <c r="BBP37" s="926"/>
      <c r="BBQ37" s="926"/>
      <c r="BBR37" s="926"/>
      <c r="BBS37" s="926"/>
      <c r="BBT37" s="926"/>
      <c r="BBU37" s="926"/>
      <c r="BBV37" s="926"/>
      <c r="BBW37" s="926"/>
      <c r="BBX37" s="926"/>
      <c r="BBY37" s="926"/>
      <c r="BBZ37" s="926"/>
      <c r="BCA37" s="926"/>
      <c r="BCB37" s="926"/>
      <c r="BCC37" s="926"/>
      <c r="BCD37" s="926"/>
      <c r="BCE37" s="926"/>
      <c r="BCF37" s="926"/>
      <c r="BCG37" s="926"/>
      <c r="BCH37" s="926"/>
      <c r="BCI37" s="926"/>
      <c r="BCJ37" s="926"/>
      <c r="BCK37" s="926"/>
      <c r="BCL37" s="926"/>
      <c r="BCM37" s="926"/>
      <c r="BCN37" s="926"/>
      <c r="BCO37" s="926"/>
      <c r="BCP37" s="926"/>
      <c r="BCQ37" s="926"/>
      <c r="BCR37" s="926"/>
      <c r="BCS37" s="926"/>
      <c r="BCT37" s="926"/>
      <c r="BCU37" s="926"/>
      <c r="BCV37" s="926"/>
      <c r="BCW37" s="926"/>
      <c r="BCX37" s="926"/>
      <c r="BCY37" s="926"/>
      <c r="BCZ37" s="926"/>
      <c r="BDA37" s="926"/>
      <c r="BDB37" s="926"/>
      <c r="BDC37" s="926"/>
      <c r="BDD37" s="926"/>
      <c r="BDE37" s="926"/>
      <c r="BDF37" s="926"/>
      <c r="BDG37" s="926"/>
      <c r="BDH37" s="926"/>
      <c r="BDI37" s="926"/>
      <c r="BDJ37" s="926"/>
      <c r="BDK37" s="926"/>
      <c r="BDL37" s="926"/>
      <c r="BDM37" s="926"/>
      <c r="BDN37" s="926"/>
      <c r="BDO37" s="926"/>
      <c r="BDP37" s="926"/>
      <c r="BDQ37" s="926"/>
      <c r="BDR37" s="926"/>
      <c r="BDS37" s="926"/>
      <c r="BDT37" s="926"/>
      <c r="BDU37" s="926"/>
      <c r="BDV37" s="926"/>
      <c r="BDW37" s="926"/>
      <c r="BDX37" s="926"/>
      <c r="BDY37" s="926"/>
      <c r="BDZ37" s="926"/>
      <c r="BEA37" s="926"/>
      <c r="BEB37" s="926"/>
      <c r="BEC37" s="926"/>
      <c r="BED37" s="926"/>
      <c r="BEE37" s="926"/>
      <c r="BEF37" s="926"/>
      <c r="BEG37" s="926"/>
      <c r="BEH37" s="926"/>
      <c r="BEI37" s="926"/>
      <c r="BEJ37" s="926"/>
      <c r="BEK37" s="926"/>
      <c r="BEL37" s="926"/>
      <c r="BEM37" s="926"/>
      <c r="BEN37" s="926"/>
      <c r="BEO37" s="926"/>
      <c r="BEP37" s="926"/>
      <c r="BEQ37" s="926"/>
      <c r="BER37" s="926"/>
      <c r="BES37" s="926"/>
      <c r="BET37" s="926"/>
      <c r="BEU37" s="926"/>
      <c r="BEV37" s="926"/>
      <c r="BEW37" s="926"/>
      <c r="BEX37" s="926"/>
      <c r="BEY37" s="926"/>
      <c r="BEZ37" s="926"/>
      <c r="BFA37" s="926"/>
      <c r="BFB37" s="926"/>
      <c r="BFC37" s="926"/>
      <c r="BFD37" s="926"/>
      <c r="BFE37" s="926"/>
      <c r="BFF37" s="926"/>
      <c r="BFG37" s="926"/>
      <c r="BFH37" s="926"/>
      <c r="BFI37" s="926"/>
      <c r="BFJ37" s="926"/>
      <c r="BFK37" s="926"/>
      <c r="BFL37" s="926"/>
      <c r="BFM37" s="926"/>
      <c r="BFN37" s="926"/>
      <c r="BFO37" s="926"/>
      <c r="BFP37" s="926"/>
      <c r="BFQ37" s="926"/>
      <c r="BFR37" s="926"/>
      <c r="BFS37" s="926"/>
      <c r="BFT37" s="926"/>
      <c r="BFU37" s="926"/>
      <c r="BFV37" s="926"/>
      <c r="BFW37" s="926"/>
      <c r="BFX37" s="926"/>
      <c r="BFY37" s="926"/>
      <c r="BFZ37" s="926"/>
      <c r="BGA37" s="926"/>
      <c r="BGB37" s="926"/>
      <c r="BGC37" s="926"/>
      <c r="BGD37" s="926"/>
      <c r="BGE37" s="926"/>
      <c r="BGF37" s="926"/>
      <c r="BGG37" s="926"/>
      <c r="BGH37" s="926"/>
      <c r="BGI37" s="926"/>
      <c r="BGJ37" s="926"/>
      <c r="BGK37" s="926"/>
      <c r="BGL37" s="926"/>
      <c r="BGM37" s="926"/>
      <c r="BGN37" s="926"/>
      <c r="BGO37" s="926"/>
      <c r="BGP37" s="926"/>
      <c r="BGQ37" s="926"/>
      <c r="BGR37" s="926"/>
      <c r="BGS37" s="926"/>
      <c r="BGT37" s="926"/>
      <c r="BGU37" s="926"/>
      <c r="BGV37" s="926"/>
      <c r="BGW37" s="926"/>
      <c r="BGX37" s="926"/>
      <c r="BGY37" s="926"/>
      <c r="BGZ37" s="926"/>
      <c r="BHA37" s="926"/>
      <c r="BHB37" s="926"/>
      <c r="BHC37" s="926"/>
      <c r="BHD37" s="926"/>
      <c r="BHE37" s="926"/>
      <c r="BHF37" s="926"/>
      <c r="BHG37" s="926"/>
      <c r="BHH37" s="926"/>
      <c r="BHI37" s="926"/>
      <c r="BHJ37" s="926"/>
      <c r="BHK37" s="926"/>
      <c r="BHL37" s="926"/>
      <c r="BHM37" s="926"/>
      <c r="BHN37" s="926"/>
      <c r="BHO37" s="926"/>
      <c r="BHP37" s="926"/>
      <c r="BHQ37" s="926"/>
      <c r="BHR37" s="926"/>
      <c r="BHS37" s="926"/>
      <c r="BHT37" s="926"/>
      <c r="BHU37" s="926"/>
      <c r="BHV37" s="926"/>
      <c r="BHW37" s="926"/>
      <c r="BHX37" s="926"/>
      <c r="BHY37" s="926"/>
      <c r="BHZ37" s="926"/>
      <c r="BIA37" s="926"/>
      <c r="BIB37" s="926"/>
      <c r="BIC37" s="926"/>
      <c r="BID37" s="926"/>
      <c r="BIE37" s="926"/>
      <c r="BIF37" s="926"/>
      <c r="BIG37" s="926"/>
      <c r="BIH37" s="926"/>
      <c r="BII37" s="926"/>
      <c r="BIJ37" s="926"/>
      <c r="BIK37" s="926"/>
      <c r="BIL37" s="926"/>
      <c r="BIM37" s="926"/>
      <c r="BIN37" s="926"/>
      <c r="BIO37" s="926"/>
      <c r="BIP37" s="926"/>
      <c r="BIQ37" s="926"/>
      <c r="BIR37" s="926"/>
      <c r="BIS37" s="926"/>
      <c r="BIT37" s="926"/>
      <c r="BIU37" s="926"/>
      <c r="BIV37" s="926"/>
      <c r="BIW37" s="926"/>
      <c r="BIX37" s="926"/>
      <c r="BIY37" s="926"/>
      <c r="BIZ37" s="926"/>
      <c r="BJA37" s="926"/>
      <c r="BJB37" s="926"/>
      <c r="BJC37" s="926"/>
      <c r="BJD37" s="926"/>
      <c r="BJE37" s="926"/>
      <c r="BJF37" s="926"/>
      <c r="BJG37" s="926"/>
      <c r="BJH37" s="926"/>
      <c r="BJI37" s="926"/>
      <c r="BJJ37" s="926"/>
      <c r="BJK37" s="926"/>
      <c r="BJL37" s="926"/>
      <c r="BJM37" s="926"/>
      <c r="BJN37" s="926"/>
      <c r="BJO37" s="926"/>
      <c r="BJP37" s="926"/>
      <c r="BJQ37" s="926"/>
      <c r="BJR37" s="926"/>
      <c r="BJS37" s="926"/>
      <c r="BJT37" s="926"/>
      <c r="BJU37" s="926"/>
      <c r="BJV37" s="926"/>
      <c r="BJW37" s="926"/>
      <c r="BJX37" s="926"/>
      <c r="BJY37" s="926"/>
      <c r="BJZ37" s="926"/>
      <c r="BKA37" s="926"/>
      <c r="BKB37" s="926"/>
      <c r="BKC37" s="926"/>
      <c r="BKD37" s="926"/>
      <c r="BKE37" s="926"/>
      <c r="BKF37" s="926"/>
      <c r="BKG37" s="926"/>
      <c r="BKH37" s="926"/>
      <c r="BKI37" s="926"/>
      <c r="BKJ37" s="926"/>
      <c r="BKK37" s="926"/>
      <c r="BKL37" s="926"/>
      <c r="BKM37" s="926"/>
      <c r="BKN37" s="926"/>
      <c r="BKO37" s="926"/>
      <c r="BKP37" s="926"/>
      <c r="BKQ37" s="926"/>
      <c r="BKR37" s="926"/>
      <c r="BKS37" s="926"/>
      <c r="BKT37" s="926"/>
      <c r="BKU37" s="926"/>
      <c r="BKV37" s="926"/>
      <c r="BKW37" s="926"/>
      <c r="BKX37" s="926"/>
      <c r="BKY37" s="926"/>
      <c r="BKZ37" s="926"/>
      <c r="BLA37" s="926"/>
      <c r="BLB37" s="926"/>
      <c r="BLC37" s="926"/>
      <c r="BLD37" s="926"/>
      <c r="BLE37" s="926"/>
      <c r="BLF37" s="926"/>
      <c r="BLG37" s="926"/>
      <c r="BLH37" s="926"/>
      <c r="BLI37" s="926"/>
      <c r="BLJ37" s="926"/>
      <c r="BLK37" s="926"/>
      <c r="BLL37" s="926"/>
      <c r="BLM37" s="926"/>
      <c r="BLN37" s="926"/>
      <c r="BLO37" s="926"/>
      <c r="BLP37" s="926"/>
      <c r="BLQ37" s="926"/>
      <c r="BLR37" s="926"/>
      <c r="BLS37" s="926"/>
      <c r="BLT37" s="926"/>
      <c r="BLU37" s="926"/>
      <c r="BLV37" s="926"/>
      <c r="BLW37" s="926"/>
      <c r="BLX37" s="926"/>
      <c r="BLY37" s="926"/>
      <c r="BLZ37" s="926"/>
      <c r="BMA37" s="926"/>
      <c r="BMB37" s="926"/>
      <c r="BMC37" s="926"/>
      <c r="BMD37" s="926"/>
      <c r="BME37" s="926"/>
      <c r="BMF37" s="926"/>
      <c r="BMG37" s="926"/>
      <c r="BMH37" s="926"/>
      <c r="BMI37" s="926"/>
      <c r="BMJ37" s="926"/>
      <c r="BMK37" s="926"/>
      <c r="BML37" s="926"/>
      <c r="BMM37" s="926"/>
      <c r="BMN37" s="926"/>
      <c r="BMO37" s="926"/>
      <c r="BMP37" s="926"/>
      <c r="BMQ37" s="926"/>
      <c r="BMR37" s="926"/>
      <c r="BMS37" s="926"/>
      <c r="BMT37" s="926"/>
      <c r="BMU37" s="926"/>
      <c r="BMV37" s="926"/>
      <c r="BMW37" s="926"/>
      <c r="BMX37" s="926"/>
      <c r="BMY37" s="926"/>
      <c r="BMZ37" s="926"/>
      <c r="BNA37" s="926"/>
      <c r="BNB37" s="926"/>
      <c r="BNC37" s="926"/>
      <c r="BND37" s="926"/>
      <c r="BNE37" s="926"/>
      <c r="BNF37" s="926"/>
      <c r="BNG37" s="926"/>
      <c r="BNH37" s="926"/>
      <c r="BNI37" s="926"/>
      <c r="BNJ37" s="926"/>
      <c r="BNK37" s="926"/>
      <c r="BNL37" s="926"/>
      <c r="BNM37" s="926"/>
      <c r="BNN37" s="926"/>
      <c r="BNO37" s="926"/>
      <c r="BNP37" s="926"/>
      <c r="BNQ37" s="926"/>
      <c r="BNR37" s="926"/>
      <c r="BNS37" s="926"/>
      <c r="BNT37" s="926"/>
      <c r="BNU37" s="926"/>
      <c r="BNV37" s="926"/>
      <c r="BNW37" s="926"/>
      <c r="BNX37" s="926"/>
      <c r="BNY37" s="926"/>
      <c r="BNZ37" s="926"/>
      <c r="BOA37" s="926"/>
      <c r="BOB37" s="926"/>
      <c r="BOC37" s="926"/>
      <c r="BOD37" s="926"/>
      <c r="BOE37" s="926"/>
      <c r="BOF37" s="926"/>
      <c r="BOG37" s="926"/>
      <c r="BOH37" s="926"/>
      <c r="BOI37" s="926"/>
      <c r="BOJ37" s="926"/>
      <c r="BOK37" s="926"/>
      <c r="BOL37" s="926"/>
      <c r="BOM37" s="926"/>
      <c r="BON37" s="926"/>
      <c r="BOO37" s="926"/>
      <c r="BOP37" s="926"/>
      <c r="BOQ37" s="926"/>
      <c r="BOR37" s="926"/>
      <c r="BOS37" s="926"/>
      <c r="BOT37" s="926"/>
      <c r="BOU37" s="926"/>
      <c r="BOV37" s="926"/>
      <c r="BOW37" s="926"/>
      <c r="BOX37" s="926"/>
      <c r="BOY37" s="926"/>
      <c r="BOZ37" s="926"/>
      <c r="BPA37" s="926"/>
      <c r="BPB37" s="926"/>
      <c r="BPC37" s="926"/>
      <c r="BPD37" s="926"/>
      <c r="BPE37" s="926"/>
      <c r="BPF37" s="926"/>
      <c r="BPG37" s="926"/>
      <c r="BPH37" s="926"/>
      <c r="BPI37" s="926"/>
      <c r="BPJ37" s="926"/>
      <c r="BPK37" s="926"/>
      <c r="BPL37" s="926"/>
      <c r="BPM37" s="926"/>
      <c r="BPN37" s="926"/>
      <c r="BPO37" s="926"/>
      <c r="BPP37" s="926"/>
      <c r="BPQ37" s="926"/>
      <c r="BPR37" s="926"/>
      <c r="BPS37" s="926"/>
      <c r="BPT37" s="926"/>
      <c r="BPU37" s="926"/>
      <c r="BPV37" s="926"/>
      <c r="BPW37" s="926"/>
      <c r="BPX37" s="926"/>
      <c r="BPY37" s="926"/>
      <c r="BPZ37" s="926"/>
      <c r="BQA37" s="926"/>
      <c r="BQB37" s="926"/>
      <c r="BQC37" s="926"/>
      <c r="BQD37" s="926"/>
      <c r="BQE37" s="926"/>
      <c r="BQF37" s="926"/>
      <c r="BQG37" s="926"/>
      <c r="BQH37" s="926"/>
      <c r="BQI37" s="926"/>
      <c r="BQJ37" s="926"/>
      <c r="BQK37" s="926"/>
      <c r="BQL37" s="926"/>
      <c r="BQM37" s="926"/>
      <c r="BQN37" s="926"/>
      <c r="BQO37" s="926"/>
      <c r="BQP37" s="926"/>
      <c r="BQQ37" s="926"/>
      <c r="BQR37" s="926"/>
      <c r="BQS37" s="926"/>
      <c r="BQT37" s="926"/>
      <c r="BQU37" s="926"/>
      <c r="BQV37" s="926"/>
      <c r="BQW37" s="926"/>
      <c r="BQX37" s="926"/>
      <c r="BQY37" s="926"/>
      <c r="BQZ37" s="926"/>
      <c r="BRA37" s="926"/>
      <c r="BRB37" s="926"/>
      <c r="BRC37" s="926"/>
      <c r="BRD37" s="926"/>
      <c r="BRE37" s="926"/>
      <c r="BRF37" s="926"/>
      <c r="BRG37" s="926"/>
      <c r="BRH37" s="926"/>
      <c r="BRI37" s="926"/>
      <c r="BRJ37" s="926"/>
      <c r="BRK37" s="926"/>
      <c r="BRL37" s="926"/>
      <c r="BRM37" s="926"/>
      <c r="BRN37" s="926"/>
      <c r="BRO37" s="926"/>
      <c r="BRP37" s="926"/>
      <c r="BRQ37" s="926"/>
      <c r="BRR37" s="926"/>
      <c r="BRS37" s="926"/>
      <c r="BRT37" s="926"/>
      <c r="BRU37" s="926"/>
      <c r="BRV37" s="926"/>
      <c r="BRW37" s="926"/>
      <c r="BRX37" s="926"/>
      <c r="BRY37" s="926"/>
      <c r="BRZ37" s="926"/>
      <c r="BSA37" s="926"/>
      <c r="BSB37" s="926"/>
      <c r="BSC37" s="926"/>
      <c r="BSD37" s="926"/>
      <c r="BSE37" s="926"/>
      <c r="BSF37" s="926"/>
      <c r="BSG37" s="926"/>
      <c r="BSH37" s="926"/>
      <c r="BSI37" s="926"/>
      <c r="BSJ37" s="926"/>
      <c r="BSK37" s="926"/>
      <c r="BSL37" s="926"/>
      <c r="BSM37" s="926"/>
      <c r="BSN37" s="926"/>
      <c r="BSO37" s="926"/>
      <c r="BSP37" s="926"/>
      <c r="BSQ37" s="926"/>
      <c r="BSR37" s="926"/>
      <c r="BSS37" s="926"/>
      <c r="BST37" s="926"/>
      <c r="BSU37" s="926"/>
      <c r="BSV37" s="926"/>
      <c r="BSW37" s="926"/>
      <c r="BSX37" s="926"/>
      <c r="BSY37" s="926"/>
      <c r="BSZ37" s="926"/>
      <c r="BTA37" s="926"/>
      <c r="BTB37" s="926"/>
      <c r="BTC37" s="926"/>
      <c r="BTD37" s="926"/>
      <c r="BTE37" s="926"/>
      <c r="BTF37" s="926"/>
      <c r="BTG37" s="926"/>
      <c r="BTH37" s="926"/>
      <c r="BTI37" s="926"/>
      <c r="BTJ37" s="926"/>
      <c r="BTK37" s="926"/>
      <c r="BTL37" s="926"/>
      <c r="BTM37" s="926"/>
      <c r="BTN37" s="926"/>
      <c r="BTO37" s="926"/>
      <c r="BTP37" s="926"/>
      <c r="BTQ37" s="926"/>
      <c r="BTR37" s="926"/>
      <c r="BTS37" s="926"/>
      <c r="BTT37" s="926"/>
      <c r="BTU37" s="926"/>
      <c r="BTV37" s="926"/>
      <c r="BTW37" s="926"/>
      <c r="BTX37" s="926"/>
      <c r="BTY37" s="926"/>
      <c r="BTZ37" s="926"/>
      <c r="BUA37" s="926"/>
      <c r="BUB37" s="926"/>
      <c r="BUC37" s="926"/>
      <c r="BUD37" s="926"/>
      <c r="BUE37" s="926"/>
      <c r="BUF37" s="926"/>
      <c r="BUG37" s="926"/>
      <c r="BUH37" s="926"/>
      <c r="BUI37" s="926"/>
      <c r="BUJ37" s="926"/>
      <c r="BUK37" s="926"/>
      <c r="BUL37" s="926"/>
      <c r="BUM37" s="926"/>
      <c r="BUN37" s="926"/>
      <c r="BUO37" s="926"/>
      <c r="BUP37" s="926"/>
      <c r="BUQ37" s="926"/>
      <c r="BUR37" s="926"/>
      <c r="BUS37" s="926"/>
      <c r="BUT37" s="926"/>
      <c r="BUU37" s="926"/>
      <c r="BUV37" s="926"/>
      <c r="BUW37" s="926"/>
      <c r="BUX37" s="926"/>
      <c r="BUY37" s="926"/>
      <c r="BUZ37" s="926"/>
      <c r="BVA37" s="926"/>
      <c r="BVB37" s="926"/>
      <c r="BVC37" s="926"/>
      <c r="BVD37" s="926"/>
      <c r="BVE37" s="926"/>
      <c r="BVF37" s="926"/>
      <c r="BVG37" s="926"/>
      <c r="BVH37" s="926"/>
      <c r="BVI37" s="926"/>
      <c r="BVJ37" s="926"/>
      <c r="BVK37" s="926"/>
      <c r="BVL37" s="926"/>
      <c r="BVM37" s="926"/>
      <c r="BVN37" s="926"/>
      <c r="BVO37" s="926"/>
      <c r="BVP37" s="926"/>
      <c r="BVQ37" s="926"/>
      <c r="BVR37" s="926"/>
      <c r="BVS37" s="926"/>
      <c r="BVT37" s="926"/>
      <c r="BVU37" s="926"/>
      <c r="BVV37" s="926"/>
      <c r="BVW37" s="926"/>
      <c r="BVX37" s="926"/>
      <c r="BVY37" s="926"/>
      <c r="BVZ37" s="926"/>
      <c r="BWA37" s="926"/>
      <c r="BWB37" s="926"/>
      <c r="BWC37" s="926"/>
      <c r="BWD37" s="926"/>
      <c r="BWE37" s="926"/>
      <c r="BWF37" s="926"/>
      <c r="BWG37" s="926"/>
      <c r="BWH37" s="926"/>
      <c r="BWI37" s="926"/>
      <c r="BWJ37" s="926"/>
      <c r="BWK37" s="926"/>
      <c r="BWL37" s="926"/>
      <c r="BWM37" s="926"/>
      <c r="BWN37" s="926"/>
      <c r="BWO37" s="926"/>
      <c r="BWP37" s="926"/>
      <c r="BWQ37" s="926"/>
      <c r="BWR37" s="926"/>
      <c r="BWS37" s="926"/>
      <c r="BWT37" s="926"/>
      <c r="BWU37" s="926"/>
      <c r="BWV37" s="926"/>
      <c r="BWW37" s="926"/>
      <c r="BWX37" s="926"/>
      <c r="BWY37" s="926"/>
      <c r="BWZ37" s="926"/>
      <c r="BXA37" s="926"/>
      <c r="BXB37" s="926"/>
      <c r="BXC37" s="926"/>
      <c r="BXD37" s="926"/>
      <c r="BXE37" s="926"/>
      <c r="BXF37" s="926"/>
      <c r="BXG37" s="926"/>
      <c r="BXH37" s="926"/>
      <c r="BXI37" s="926"/>
      <c r="BXJ37" s="926"/>
      <c r="BXK37" s="926"/>
      <c r="BXL37" s="926"/>
      <c r="BXM37" s="926"/>
      <c r="BXN37" s="926"/>
      <c r="BXO37" s="926"/>
      <c r="BXP37" s="926"/>
      <c r="BXQ37" s="926"/>
      <c r="BXR37" s="926"/>
      <c r="BXS37" s="926"/>
      <c r="BXT37" s="926"/>
      <c r="BXU37" s="926"/>
      <c r="BXV37" s="926"/>
      <c r="BXW37" s="926"/>
      <c r="BXX37" s="926"/>
      <c r="BXY37" s="926"/>
      <c r="BXZ37" s="926"/>
      <c r="BYA37" s="926"/>
      <c r="BYB37" s="926"/>
      <c r="BYC37" s="926"/>
      <c r="BYD37" s="926"/>
      <c r="BYE37" s="926"/>
      <c r="BYF37" s="926"/>
      <c r="BYG37" s="926"/>
      <c r="BYH37" s="926"/>
      <c r="BYI37" s="926"/>
      <c r="BYJ37" s="926"/>
      <c r="BYK37" s="926"/>
      <c r="BYL37" s="926"/>
      <c r="BYM37" s="926"/>
      <c r="BYN37" s="926"/>
      <c r="BYO37" s="926"/>
      <c r="BYP37" s="926"/>
      <c r="BYQ37" s="926"/>
      <c r="BYR37" s="926"/>
      <c r="BYS37" s="926"/>
      <c r="BYT37" s="926"/>
      <c r="BYU37" s="926"/>
      <c r="BYV37" s="926"/>
      <c r="BYW37" s="926"/>
      <c r="BYX37" s="926"/>
      <c r="BYY37" s="926"/>
      <c r="BYZ37" s="926"/>
      <c r="BZA37" s="926"/>
      <c r="BZB37" s="926"/>
      <c r="BZC37" s="926"/>
      <c r="BZD37" s="926"/>
      <c r="BZE37" s="926"/>
      <c r="BZF37" s="926"/>
      <c r="BZG37" s="926"/>
      <c r="BZH37" s="926"/>
      <c r="BZI37" s="926"/>
      <c r="BZJ37" s="926"/>
      <c r="BZK37" s="926"/>
      <c r="BZL37" s="926"/>
      <c r="BZM37" s="926"/>
      <c r="BZN37" s="926"/>
      <c r="BZO37" s="926"/>
      <c r="BZP37" s="926"/>
      <c r="BZQ37" s="926"/>
      <c r="BZR37" s="926"/>
      <c r="BZS37" s="926"/>
      <c r="BZT37" s="926"/>
      <c r="BZU37" s="926"/>
      <c r="BZV37" s="926"/>
      <c r="BZW37" s="926"/>
      <c r="BZX37" s="926"/>
      <c r="BZY37" s="926"/>
      <c r="BZZ37" s="926"/>
      <c r="CAA37" s="926"/>
      <c r="CAB37" s="926"/>
      <c r="CAC37" s="926"/>
      <c r="CAD37" s="926"/>
      <c r="CAE37" s="926"/>
      <c r="CAF37" s="926"/>
      <c r="CAG37" s="926"/>
      <c r="CAH37" s="926"/>
      <c r="CAI37" s="926"/>
      <c r="CAJ37" s="926"/>
      <c r="CAK37" s="926"/>
      <c r="CAL37" s="926"/>
      <c r="CAM37" s="926"/>
      <c r="CAN37" s="926"/>
      <c r="CAO37" s="926"/>
      <c r="CAP37" s="926"/>
      <c r="CAQ37" s="926"/>
      <c r="CAR37" s="926"/>
      <c r="CAS37" s="926"/>
      <c r="CAT37" s="926"/>
      <c r="CAU37" s="926"/>
      <c r="CAV37" s="926"/>
      <c r="CAW37" s="926"/>
      <c r="CAX37" s="926"/>
      <c r="CAY37" s="926"/>
      <c r="CAZ37" s="926"/>
      <c r="CBA37" s="926"/>
      <c r="CBB37" s="926"/>
      <c r="CBC37" s="926"/>
      <c r="CBD37" s="926"/>
      <c r="CBE37" s="926"/>
      <c r="CBF37" s="926"/>
      <c r="CBG37" s="926"/>
      <c r="CBH37" s="926"/>
      <c r="CBI37" s="926"/>
      <c r="CBJ37" s="926"/>
      <c r="CBK37" s="926"/>
      <c r="CBL37" s="926"/>
      <c r="CBM37" s="926"/>
      <c r="CBN37" s="926"/>
      <c r="CBO37" s="926"/>
      <c r="CBP37" s="926"/>
      <c r="CBQ37" s="926"/>
      <c r="CBR37" s="926"/>
      <c r="CBS37" s="926"/>
      <c r="CBT37" s="926"/>
      <c r="CBU37" s="926"/>
      <c r="CBV37" s="926"/>
      <c r="CBW37" s="926"/>
      <c r="CBX37" s="926"/>
      <c r="CBY37" s="926"/>
      <c r="CBZ37" s="926"/>
      <c r="CCA37" s="926"/>
      <c r="CCB37" s="926"/>
      <c r="CCC37" s="926"/>
      <c r="CCD37" s="926"/>
      <c r="CCE37" s="926"/>
      <c r="CCF37" s="926"/>
      <c r="CCG37" s="926"/>
      <c r="CCH37" s="926"/>
      <c r="CCI37" s="926"/>
      <c r="CCJ37" s="926"/>
      <c r="CCK37" s="926"/>
      <c r="CCL37" s="926"/>
      <c r="CCM37" s="926"/>
      <c r="CCN37" s="926"/>
      <c r="CCO37" s="926"/>
      <c r="CCP37" s="926"/>
      <c r="CCQ37" s="926"/>
      <c r="CCR37" s="926"/>
      <c r="CCS37" s="926"/>
      <c r="CCT37" s="926"/>
      <c r="CCU37" s="926"/>
      <c r="CCV37" s="926"/>
      <c r="CCW37" s="926"/>
      <c r="CCX37" s="926"/>
      <c r="CCY37" s="926"/>
      <c r="CCZ37" s="926"/>
      <c r="CDA37" s="926"/>
      <c r="CDB37" s="926"/>
      <c r="CDC37" s="926"/>
      <c r="CDD37" s="926"/>
      <c r="CDE37" s="926"/>
      <c r="CDF37" s="926"/>
      <c r="CDG37" s="926"/>
      <c r="CDH37" s="926"/>
      <c r="CDI37" s="926"/>
      <c r="CDJ37" s="926"/>
      <c r="CDK37" s="926"/>
      <c r="CDL37" s="926"/>
      <c r="CDM37" s="926"/>
      <c r="CDN37" s="926"/>
      <c r="CDO37" s="926"/>
      <c r="CDP37" s="926"/>
      <c r="CDQ37" s="926"/>
      <c r="CDR37" s="926"/>
      <c r="CDS37" s="926"/>
      <c r="CDT37" s="926"/>
      <c r="CDU37" s="926"/>
      <c r="CDV37" s="926"/>
      <c r="CDW37" s="926"/>
      <c r="CDX37" s="926"/>
      <c r="CDY37" s="926"/>
      <c r="CDZ37" s="926"/>
      <c r="CEA37" s="926"/>
      <c r="CEB37" s="926"/>
      <c r="CEC37" s="926"/>
      <c r="CED37" s="926"/>
      <c r="CEE37" s="926"/>
      <c r="CEF37" s="926"/>
      <c r="CEG37" s="926"/>
      <c r="CEH37" s="926"/>
      <c r="CEI37" s="926"/>
      <c r="CEJ37" s="926"/>
      <c r="CEK37" s="926"/>
      <c r="CEL37" s="926"/>
      <c r="CEM37" s="926"/>
      <c r="CEN37" s="926"/>
      <c r="CEO37" s="926"/>
      <c r="CEP37" s="926"/>
      <c r="CEQ37" s="926"/>
      <c r="CER37" s="926"/>
      <c r="CES37" s="926"/>
      <c r="CET37" s="926"/>
      <c r="CEU37" s="926"/>
      <c r="CEV37" s="926"/>
      <c r="CEW37" s="926"/>
      <c r="CEX37" s="926"/>
      <c r="CEY37" s="926"/>
      <c r="CEZ37" s="926"/>
      <c r="CFA37" s="926"/>
      <c r="CFB37" s="926"/>
      <c r="CFC37" s="926"/>
      <c r="CFD37" s="926"/>
      <c r="CFE37" s="926"/>
      <c r="CFF37" s="926"/>
      <c r="CFG37" s="926"/>
      <c r="CFH37" s="926"/>
      <c r="CFI37" s="926"/>
      <c r="CFJ37" s="926"/>
      <c r="CFK37" s="926"/>
      <c r="CFL37" s="926"/>
      <c r="CFM37" s="926"/>
      <c r="CFN37" s="926"/>
      <c r="CFO37" s="926"/>
      <c r="CFP37" s="926"/>
      <c r="CFQ37" s="926"/>
      <c r="CFR37" s="926"/>
      <c r="CFS37" s="926"/>
      <c r="CFT37" s="926"/>
      <c r="CFU37" s="926"/>
      <c r="CFV37" s="926"/>
      <c r="CFW37" s="926"/>
      <c r="CFX37" s="926"/>
      <c r="CFY37" s="926"/>
      <c r="CFZ37" s="926"/>
      <c r="CGA37" s="926"/>
      <c r="CGB37" s="926"/>
      <c r="CGC37" s="926"/>
      <c r="CGD37" s="926"/>
      <c r="CGE37" s="926"/>
      <c r="CGF37" s="926"/>
      <c r="CGG37" s="926"/>
      <c r="CGH37" s="926"/>
      <c r="CGI37" s="926"/>
      <c r="CGJ37" s="926"/>
      <c r="CGK37" s="926"/>
      <c r="CGL37" s="926"/>
      <c r="CGM37" s="926"/>
      <c r="CGN37" s="926"/>
      <c r="CGO37" s="926"/>
      <c r="CGP37" s="926"/>
      <c r="CGQ37" s="926"/>
      <c r="CGR37" s="926"/>
      <c r="CGS37" s="926"/>
      <c r="CGT37" s="926"/>
      <c r="CGU37" s="926"/>
      <c r="CGV37" s="926"/>
      <c r="CGW37" s="926"/>
      <c r="CGX37" s="926"/>
      <c r="CGY37" s="926"/>
      <c r="CGZ37" s="926"/>
      <c r="CHA37" s="926"/>
      <c r="CHB37" s="926"/>
      <c r="CHC37" s="926"/>
      <c r="CHD37" s="926"/>
      <c r="CHE37" s="926"/>
      <c r="CHF37" s="926"/>
      <c r="CHG37" s="926"/>
      <c r="CHH37" s="926"/>
      <c r="CHI37" s="926"/>
      <c r="CHJ37" s="926"/>
      <c r="CHK37" s="926"/>
      <c r="CHL37" s="926"/>
      <c r="CHM37" s="926"/>
      <c r="CHN37" s="926"/>
      <c r="CHO37" s="926"/>
      <c r="CHP37" s="926"/>
      <c r="CHQ37" s="926"/>
      <c r="CHR37" s="926"/>
      <c r="CHS37" s="926"/>
      <c r="CHT37" s="926"/>
      <c r="CHU37" s="926"/>
      <c r="CHV37" s="926"/>
      <c r="CHW37" s="926"/>
      <c r="CHX37" s="926"/>
      <c r="CHY37" s="926"/>
      <c r="CHZ37" s="926"/>
      <c r="CIA37" s="926"/>
      <c r="CIB37" s="926"/>
      <c r="CIC37" s="926"/>
      <c r="CID37" s="926"/>
      <c r="CIE37" s="926"/>
      <c r="CIF37" s="926"/>
      <c r="CIG37" s="926"/>
      <c r="CIH37" s="926"/>
      <c r="CII37" s="926"/>
      <c r="CIJ37" s="926"/>
      <c r="CIK37" s="926"/>
      <c r="CIL37" s="926"/>
      <c r="CIM37" s="926"/>
      <c r="CIN37" s="926"/>
      <c r="CIO37" s="926"/>
      <c r="CIP37" s="926"/>
      <c r="CIQ37" s="926"/>
      <c r="CIR37" s="926"/>
      <c r="CIS37" s="926"/>
      <c r="CIT37" s="926"/>
      <c r="CIU37" s="926"/>
      <c r="CIV37" s="926"/>
      <c r="CIW37" s="926"/>
      <c r="CIX37" s="926"/>
      <c r="CIY37" s="926"/>
      <c r="CIZ37" s="926"/>
      <c r="CJA37" s="926"/>
      <c r="CJB37" s="926"/>
      <c r="CJC37" s="926"/>
      <c r="CJD37" s="926"/>
      <c r="CJE37" s="926"/>
      <c r="CJF37" s="926"/>
      <c r="CJG37" s="926"/>
      <c r="CJH37" s="926"/>
      <c r="CJI37" s="926"/>
      <c r="CJJ37" s="926"/>
      <c r="CJK37" s="926"/>
      <c r="CJL37" s="926"/>
      <c r="CJM37" s="926"/>
      <c r="CJN37" s="926"/>
      <c r="CJO37" s="926"/>
      <c r="CJP37" s="926"/>
      <c r="CJQ37" s="926"/>
      <c r="CJR37" s="926"/>
      <c r="CJS37" s="926"/>
      <c r="CJT37" s="926"/>
      <c r="CJU37" s="926"/>
      <c r="CJV37" s="926"/>
      <c r="CJW37" s="926"/>
      <c r="CJX37" s="926"/>
      <c r="CJY37" s="926"/>
      <c r="CJZ37" s="926"/>
      <c r="CKA37" s="926"/>
      <c r="CKB37" s="926"/>
      <c r="CKC37" s="926"/>
      <c r="CKD37" s="926"/>
      <c r="CKE37" s="926"/>
      <c r="CKF37" s="926"/>
      <c r="CKG37" s="926"/>
      <c r="CKH37" s="926"/>
      <c r="CKI37" s="926"/>
      <c r="CKJ37" s="926"/>
      <c r="CKK37" s="926"/>
      <c r="CKL37" s="926"/>
      <c r="CKM37" s="926"/>
      <c r="CKN37" s="926"/>
      <c r="CKO37" s="926"/>
      <c r="CKP37" s="926"/>
      <c r="CKQ37" s="926"/>
      <c r="CKR37" s="926"/>
      <c r="CKS37" s="926"/>
      <c r="CKT37" s="926"/>
      <c r="CKU37" s="926"/>
      <c r="CKV37" s="926"/>
      <c r="CKW37" s="926"/>
      <c r="CKX37" s="926"/>
      <c r="CKY37" s="926"/>
      <c r="CKZ37" s="926"/>
      <c r="CLA37" s="926"/>
      <c r="CLB37" s="926"/>
      <c r="CLC37" s="926"/>
      <c r="CLD37" s="926"/>
      <c r="CLE37" s="926"/>
      <c r="CLF37" s="926"/>
      <c r="CLG37" s="926"/>
      <c r="CLH37" s="926"/>
      <c r="CLI37" s="926"/>
      <c r="CLJ37" s="926"/>
      <c r="CLK37" s="926"/>
      <c r="CLL37" s="926"/>
      <c r="CLM37" s="926"/>
      <c r="CLN37" s="926"/>
      <c r="CLO37" s="926"/>
      <c r="CLP37" s="926"/>
      <c r="CLQ37" s="926"/>
      <c r="CLR37" s="926"/>
      <c r="CLS37" s="926"/>
      <c r="CLT37" s="926"/>
      <c r="CLU37" s="926"/>
      <c r="CLV37" s="926"/>
      <c r="CLW37" s="926"/>
      <c r="CLX37" s="926"/>
      <c r="CLY37" s="926"/>
      <c r="CLZ37" s="926"/>
      <c r="CMA37" s="926"/>
      <c r="CMB37" s="926"/>
      <c r="CMC37" s="926"/>
      <c r="CMD37" s="926"/>
      <c r="CME37" s="926"/>
      <c r="CMF37" s="926"/>
      <c r="CMG37" s="926"/>
      <c r="CMH37" s="926"/>
      <c r="CMI37" s="926"/>
      <c r="CMJ37" s="926"/>
      <c r="CMK37" s="926"/>
      <c r="CML37" s="926"/>
      <c r="CMM37" s="926"/>
      <c r="CMN37" s="926"/>
      <c r="CMO37" s="926"/>
      <c r="CMP37" s="926"/>
      <c r="CMQ37" s="926"/>
      <c r="CMR37" s="926"/>
      <c r="CMS37" s="926"/>
      <c r="CMT37" s="926"/>
      <c r="CMU37" s="926"/>
      <c r="CMV37" s="926"/>
      <c r="CMW37" s="926"/>
      <c r="CMX37" s="926"/>
      <c r="CMY37" s="926"/>
      <c r="CMZ37" s="926"/>
      <c r="CNA37" s="926"/>
      <c r="CNB37" s="926"/>
      <c r="CNC37" s="926"/>
      <c r="CND37" s="926"/>
      <c r="CNE37" s="926"/>
      <c r="CNF37" s="926"/>
      <c r="CNG37" s="926"/>
      <c r="CNH37" s="926"/>
      <c r="CNI37" s="926"/>
      <c r="CNJ37" s="926"/>
      <c r="CNK37" s="926"/>
      <c r="CNL37" s="926"/>
      <c r="CNM37" s="926"/>
      <c r="CNN37" s="926"/>
      <c r="CNO37" s="926"/>
      <c r="CNP37" s="926"/>
      <c r="CNQ37" s="926"/>
      <c r="CNR37" s="926"/>
      <c r="CNS37" s="926"/>
      <c r="CNT37" s="926"/>
      <c r="CNU37" s="926"/>
      <c r="CNV37" s="926"/>
      <c r="CNW37" s="926"/>
      <c r="CNX37" s="926"/>
      <c r="CNY37" s="926"/>
      <c r="CNZ37" s="926"/>
      <c r="COA37" s="926"/>
      <c r="COB37" s="926"/>
      <c r="COC37" s="926"/>
      <c r="COD37" s="926"/>
      <c r="COE37" s="926"/>
      <c r="COF37" s="926"/>
      <c r="COG37" s="926"/>
      <c r="COH37" s="926"/>
      <c r="COI37" s="926"/>
      <c r="COJ37" s="926"/>
      <c r="COK37" s="926"/>
      <c r="COL37" s="926"/>
      <c r="COM37" s="926"/>
      <c r="CON37" s="926"/>
      <c r="COO37" s="926"/>
      <c r="COP37" s="926"/>
      <c r="COQ37" s="926"/>
      <c r="COR37" s="926"/>
      <c r="COS37" s="926"/>
      <c r="COT37" s="926"/>
      <c r="COU37" s="926"/>
      <c r="COV37" s="926"/>
      <c r="COW37" s="926"/>
      <c r="COX37" s="926"/>
      <c r="COY37" s="926"/>
      <c r="COZ37" s="926"/>
      <c r="CPA37" s="926"/>
      <c r="CPB37" s="926"/>
      <c r="CPC37" s="926"/>
      <c r="CPD37" s="926"/>
      <c r="CPE37" s="926"/>
      <c r="CPF37" s="926"/>
      <c r="CPG37" s="926"/>
      <c r="CPH37" s="926"/>
      <c r="CPI37" s="926"/>
      <c r="CPJ37" s="926"/>
      <c r="CPK37" s="926"/>
      <c r="CPL37" s="926"/>
      <c r="CPM37" s="926"/>
      <c r="CPN37" s="926"/>
      <c r="CPO37" s="926"/>
      <c r="CPP37" s="926"/>
      <c r="CPQ37" s="926"/>
      <c r="CPR37" s="926"/>
      <c r="CPS37" s="926"/>
      <c r="CPT37" s="926"/>
      <c r="CPU37" s="926"/>
      <c r="CPV37" s="926"/>
      <c r="CPW37" s="926"/>
      <c r="CPX37" s="926"/>
      <c r="CPY37" s="926"/>
      <c r="CPZ37" s="926"/>
      <c r="CQA37" s="926"/>
      <c r="CQB37" s="926"/>
      <c r="CQC37" s="926"/>
      <c r="CQD37" s="926"/>
      <c r="CQE37" s="926"/>
      <c r="CQF37" s="926"/>
      <c r="CQG37" s="926"/>
      <c r="CQH37" s="926"/>
      <c r="CQI37" s="926"/>
      <c r="CQJ37" s="926"/>
      <c r="CQK37" s="926"/>
      <c r="CQL37" s="926"/>
      <c r="CQM37" s="926"/>
      <c r="CQN37" s="926"/>
      <c r="CQO37" s="926"/>
      <c r="CQP37" s="926"/>
      <c r="CQQ37" s="926"/>
      <c r="CQR37" s="926"/>
      <c r="CQS37" s="926"/>
      <c r="CQT37" s="926"/>
      <c r="CQU37" s="926"/>
      <c r="CQV37" s="926"/>
      <c r="CQW37" s="926"/>
      <c r="CQX37" s="926"/>
      <c r="CQY37" s="926"/>
      <c r="CQZ37" s="926"/>
      <c r="CRA37" s="926"/>
      <c r="CRB37" s="926"/>
      <c r="CRC37" s="926"/>
      <c r="CRD37" s="926"/>
      <c r="CRE37" s="926"/>
      <c r="CRF37" s="926"/>
      <c r="CRG37" s="926"/>
      <c r="CRH37" s="926"/>
      <c r="CRI37" s="926"/>
      <c r="CRJ37" s="926"/>
      <c r="CRK37" s="926"/>
      <c r="CRL37" s="926"/>
      <c r="CRM37" s="926"/>
      <c r="CRN37" s="926"/>
      <c r="CRO37" s="926"/>
      <c r="CRP37" s="926"/>
      <c r="CRQ37" s="926"/>
      <c r="CRR37" s="926"/>
      <c r="CRS37" s="926"/>
      <c r="CRT37" s="926"/>
      <c r="CRU37" s="926"/>
      <c r="CRV37" s="926"/>
      <c r="CRW37" s="926"/>
      <c r="CRX37" s="926"/>
      <c r="CRY37" s="926"/>
      <c r="CRZ37" s="926"/>
      <c r="CSA37" s="926"/>
      <c r="CSB37" s="926"/>
      <c r="CSC37" s="926"/>
      <c r="CSD37" s="926"/>
      <c r="CSE37" s="926"/>
      <c r="CSF37" s="926"/>
      <c r="CSG37" s="926"/>
      <c r="CSH37" s="926"/>
      <c r="CSI37" s="926"/>
      <c r="CSJ37" s="926"/>
      <c r="CSK37" s="926"/>
      <c r="CSL37" s="926"/>
      <c r="CSM37" s="926"/>
      <c r="CSN37" s="926"/>
      <c r="CSO37" s="926"/>
      <c r="CSP37" s="926"/>
      <c r="CSQ37" s="926"/>
      <c r="CSR37" s="926"/>
      <c r="CSS37" s="926"/>
      <c r="CST37" s="926"/>
      <c r="CSU37" s="926"/>
      <c r="CSV37" s="926"/>
      <c r="CSW37" s="926"/>
      <c r="CSX37" s="926"/>
      <c r="CSY37" s="926"/>
      <c r="CSZ37" s="926"/>
      <c r="CTA37" s="926"/>
      <c r="CTB37" s="926"/>
      <c r="CTC37" s="926"/>
      <c r="CTD37" s="926"/>
      <c r="CTE37" s="926"/>
      <c r="CTF37" s="926"/>
      <c r="CTG37" s="926"/>
      <c r="CTH37" s="926"/>
      <c r="CTI37" s="926"/>
      <c r="CTJ37" s="926"/>
      <c r="CTK37" s="926"/>
      <c r="CTL37" s="926"/>
      <c r="CTM37" s="926"/>
      <c r="CTN37" s="926"/>
      <c r="CTO37" s="926"/>
      <c r="CTP37" s="926"/>
      <c r="CTQ37" s="926"/>
      <c r="CTR37" s="926"/>
      <c r="CTS37" s="926"/>
      <c r="CTT37" s="926"/>
      <c r="CTU37" s="926"/>
      <c r="CTV37" s="926"/>
      <c r="CTW37" s="926"/>
      <c r="CTX37" s="926"/>
      <c r="CTY37" s="926"/>
      <c r="CTZ37" s="926"/>
      <c r="CUA37" s="926"/>
      <c r="CUB37" s="926"/>
      <c r="CUC37" s="926"/>
      <c r="CUD37" s="926"/>
      <c r="CUE37" s="926"/>
      <c r="CUF37" s="926"/>
      <c r="CUG37" s="926"/>
      <c r="CUH37" s="926"/>
      <c r="CUI37" s="926"/>
      <c r="CUJ37" s="926"/>
      <c r="CUK37" s="926"/>
      <c r="CUL37" s="926"/>
      <c r="CUM37" s="926"/>
      <c r="CUN37" s="926"/>
      <c r="CUO37" s="926"/>
      <c r="CUP37" s="926"/>
      <c r="CUQ37" s="926"/>
      <c r="CUR37" s="926"/>
      <c r="CUS37" s="926"/>
      <c r="CUT37" s="926"/>
      <c r="CUU37" s="926"/>
      <c r="CUV37" s="926"/>
      <c r="CUW37" s="926"/>
      <c r="CUX37" s="926"/>
      <c r="CUY37" s="926"/>
      <c r="CUZ37" s="926"/>
      <c r="CVA37" s="926"/>
      <c r="CVB37" s="926"/>
      <c r="CVC37" s="926"/>
      <c r="CVD37" s="926"/>
      <c r="CVE37" s="926"/>
      <c r="CVF37" s="926"/>
      <c r="CVG37" s="926"/>
      <c r="CVH37" s="926"/>
      <c r="CVI37" s="926"/>
      <c r="CVJ37" s="926"/>
      <c r="CVK37" s="926"/>
      <c r="CVL37" s="926"/>
      <c r="CVM37" s="926"/>
      <c r="CVN37" s="926"/>
      <c r="CVO37" s="926"/>
      <c r="CVP37" s="926"/>
      <c r="CVQ37" s="926"/>
      <c r="CVR37" s="926"/>
      <c r="CVS37" s="926"/>
      <c r="CVT37" s="926"/>
      <c r="CVU37" s="926"/>
      <c r="CVV37" s="926"/>
      <c r="CVW37" s="926"/>
      <c r="CVX37" s="926"/>
      <c r="CVY37" s="926"/>
      <c r="CVZ37" s="926"/>
      <c r="CWA37" s="926"/>
      <c r="CWB37" s="926"/>
      <c r="CWC37" s="926"/>
      <c r="CWD37" s="926"/>
      <c r="CWE37" s="926"/>
      <c r="CWF37" s="926"/>
      <c r="CWG37" s="926"/>
      <c r="CWH37" s="926"/>
      <c r="CWI37" s="926"/>
      <c r="CWJ37" s="926"/>
      <c r="CWK37" s="926"/>
      <c r="CWL37" s="926"/>
      <c r="CWM37" s="926"/>
      <c r="CWN37" s="926"/>
      <c r="CWO37" s="926"/>
      <c r="CWP37" s="926"/>
      <c r="CWQ37" s="926"/>
      <c r="CWR37" s="926"/>
      <c r="CWS37" s="926"/>
      <c r="CWT37" s="926"/>
      <c r="CWU37" s="926"/>
      <c r="CWV37" s="926"/>
      <c r="CWW37" s="926"/>
      <c r="CWX37" s="926"/>
      <c r="CWY37" s="926"/>
      <c r="CWZ37" s="926"/>
      <c r="CXA37" s="926"/>
      <c r="CXB37" s="926"/>
      <c r="CXC37" s="926"/>
      <c r="CXD37" s="926"/>
      <c r="CXE37" s="926"/>
      <c r="CXF37" s="926"/>
      <c r="CXG37" s="926"/>
      <c r="CXH37" s="926"/>
      <c r="CXI37" s="926"/>
      <c r="CXJ37" s="926"/>
      <c r="CXK37" s="926"/>
      <c r="CXL37" s="926"/>
      <c r="CXM37" s="926"/>
      <c r="CXN37" s="926"/>
      <c r="CXO37" s="926"/>
      <c r="CXP37" s="926"/>
      <c r="CXQ37" s="926"/>
      <c r="CXR37" s="926"/>
      <c r="CXS37" s="926"/>
      <c r="CXT37" s="926"/>
      <c r="CXU37" s="926"/>
      <c r="CXV37" s="926"/>
      <c r="CXW37" s="926"/>
      <c r="CXX37" s="926"/>
      <c r="CXY37" s="926"/>
      <c r="CXZ37" s="926"/>
      <c r="CYA37" s="926"/>
      <c r="CYB37" s="926"/>
      <c r="CYC37" s="926"/>
      <c r="CYD37" s="926"/>
      <c r="CYE37" s="926"/>
      <c r="CYF37" s="926"/>
      <c r="CYG37" s="926"/>
      <c r="CYH37" s="926"/>
      <c r="CYI37" s="926"/>
      <c r="CYJ37" s="926"/>
      <c r="CYK37" s="926"/>
      <c r="CYL37" s="926"/>
      <c r="CYM37" s="926"/>
      <c r="CYN37" s="926"/>
      <c r="CYO37" s="926"/>
      <c r="CYP37" s="926"/>
      <c r="CYQ37" s="926"/>
      <c r="CYR37" s="926"/>
      <c r="CYS37" s="926"/>
      <c r="CYT37" s="926"/>
      <c r="CYU37" s="926"/>
      <c r="CYV37" s="926"/>
      <c r="CYW37" s="926"/>
      <c r="CYX37" s="926"/>
      <c r="CYY37" s="926"/>
      <c r="CYZ37" s="926"/>
      <c r="CZA37" s="926"/>
      <c r="CZB37" s="926"/>
      <c r="CZC37" s="926"/>
      <c r="CZD37" s="926"/>
      <c r="CZE37" s="926"/>
      <c r="CZF37" s="926"/>
      <c r="CZG37" s="926"/>
      <c r="CZH37" s="926"/>
      <c r="CZI37" s="926"/>
      <c r="CZJ37" s="926"/>
      <c r="CZK37" s="926"/>
      <c r="CZL37" s="926"/>
      <c r="CZM37" s="926"/>
      <c r="CZN37" s="926"/>
      <c r="CZO37" s="926"/>
      <c r="CZP37" s="926"/>
      <c r="CZQ37" s="926"/>
      <c r="CZR37" s="926"/>
      <c r="CZS37" s="926"/>
      <c r="CZT37" s="926"/>
      <c r="CZU37" s="926"/>
      <c r="CZV37" s="926"/>
      <c r="CZW37" s="926"/>
      <c r="CZX37" s="926"/>
      <c r="CZY37" s="926"/>
      <c r="CZZ37" s="926"/>
      <c r="DAA37" s="926"/>
      <c r="DAB37" s="926"/>
      <c r="DAC37" s="926"/>
      <c r="DAD37" s="926"/>
      <c r="DAE37" s="926"/>
      <c r="DAF37" s="926"/>
      <c r="DAG37" s="926"/>
      <c r="DAH37" s="926"/>
      <c r="DAI37" s="926"/>
      <c r="DAJ37" s="926"/>
      <c r="DAK37" s="926"/>
      <c r="DAL37" s="926"/>
      <c r="DAM37" s="926"/>
      <c r="DAN37" s="926"/>
      <c r="DAO37" s="926"/>
      <c r="DAP37" s="926"/>
      <c r="DAQ37" s="926"/>
      <c r="DAR37" s="926"/>
      <c r="DAS37" s="926"/>
      <c r="DAT37" s="926"/>
      <c r="DAU37" s="926"/>
      <c r="DAV37" s="926"/>
      <c r="DAW37" s="926"/>
      <c r="DAX37" s="926"/>
      <c r="DAY37" s="926"/>
      <c r="DAZ37" s="926"/>
      <c r="DBA37" s="926"/>
      <c r="DBB37" s="926"/>
      <c r="DBC37" s="926"/>
      <c r="DBD37" s="926"/>
      <c r="DBE37" s="926"/>
      <c r="DBF37" s="926"/>
      <c r="DBG37" s="926"/>
      <c r="DBH37" s="926"/>
      <c r="DBI37" s="926"/>
      <c r="DBJ37" s="926"/>
      <c r="DBK37" s="926"/>
      <c r="DBL37" s="926"/>
      <c r="DBM37" s="926"/>
      <c r="DBN37" s="926"/>
      <c r="DBO37" s="926"/>
      <c r="DBP37" s="926"/>
      <c r="DBQ37" s="926"/>
      <c r="DBR37" s="926"/>
      <c r="DBS37" s="926"/>
      <c r="DBT37" s="926"/>
      <c r="DBU37" s="926"/>
      <c r="DBV37" s="926"/>
      <c r="DBW37" s="926"/>
      <c r="DBX37" s="926"/>
      <c r="DBY37" s="926"/>
      <c r="DBZ37" s="926"/>
      <c r="DCA37" s="926"/>
      <c r="DCB37" s="926"/>
      <c r="DCC37" s="926"/>
      <c r="DCD37" s="926"/>
      <c r="DCE37" s="926"/>
      <c r="DCF37" s="926"/>
      <c r="DCG37" s="926"/>
      <c r="DCH37" s="926"/>
      <c r="DCI37" s="926"/>
      <c r="DCJ37" s="926"/>
      <c r="DCK37" s="926"/>
      <c r="DCL37" s="926"/>
      <c r="DCM37" s="926"/>
      <c r="DCN37" s="926"/>
      <c r="DCO37" s="926"/>
      <c r="DCP37" s="926"/>
      <c r="DCQ37" s="926"/>
      <c r="DCR37" s="926"/>
      <c r="DCS37" s="926"/>
      <c r="DCT37" s="926"/>
      <c r="DCU37" s="926"/>
      <c r="DCV37" s="926"/>
      <c r="DCW37" s="926"/>
      <c r="DCX37" s="926"/>
      <c r="DCY37" s="926"/>
      <c r="DCZ37" s="926"/>
      <c r="DDA37" s="926"/>
      <c r="DDB37" s="926"/>
      <c r="DDC37" s="926"/>
      <c r="DDD37" s="926"/>
      <c r="DDE37" s="926"/>
      <c r="DDF37" s="926"/>
      <c r="DDG37" s="926"/>
      <c r="DDH37" s="926"/>
      <c r="DDI37" s="926"/>
      <c r="DDJ37" s="926"/>
      <c r="DDK37" s="926"/>
      <c r="DDL37" s="926"/>
      <c r="DDM37" s="926"/>
      <c r="DDN37" s="926"/>
      <c r="DDO37" s="926"/>
      <c r="DDP37" s="926"/>
      <c r="DDQ37" s="926"/>
      <c r="DDR37" s="926"/>
      <c r="DDS37" s="926"/>
      <c r="DDT37" s="926"/>
      <c r="DDU37" s="926"/>
      <c r="DDV37" s="926"/>
      <c r="DDW37" s="926"/>
      <c r="DDX37" s="926"/>
      <c r="DDY37" s="926"/>
      <c r="DDZ37" s="926"/>
      <c r="DEA37" s="926"/>
      <c r="DEB37" s="926"/>
      <c r="DEC37" s="926"/>
      <c r="DED37" s="926"/>
      <c r="DEE37" s="926"/>
      <c r="DEF37" s="926"/>
      <c r="DEG37" s="926"/>
      <c r="DEH37" s="926"/>
      <c r="DEI37" s="926"/>
      <c r="DEJ37" s="926"/>
      <c r="DEK37" s="926"/>
      <c r="DEL37" s="926"/>
      <c r="DEM37" s="926"/>
      <c r="DEN37" s="926"/>
      <c r="DEO37" s="926"/>
      <c r="DEP37" s="926"/>
      <c r="DEQ37" s="926"/>
      <c r="DER37" s="926"/>
      <c r="DES37" s="926"/>
      <c r="DET37" s="926"/>
      <c r="DEU37" s="926"/>
      <c r="DEV37" s="926"/>
      <c r="DEW37" s="926"/>
      <c r="DEX37" s="926"/>
      <c r="DEY37" s="926"/>
      <c r="DEZ37" s="926"/>
      <c r="DFA37" s="926"/>
      <c r="DFB37" s="926"/>
      <c r="DFC37" s="926"/>
      <c r="DFD37" s="926"/>
      <c r="DFE37" s="926"/>
      <c r="DFF37" s="926"/>
      <c r="DFG37" s="926"/>
      <c r="DFH37" s="926"/>
      <c r="DFI37" s="926"/>
      <c r="DFJ37" s="926"/>
      <c r="DFK37" s="926"/>
      <c r="DFL37" s="926"/>
      <c r="DFM37" s="926"/>
      <c r="DFN37" s="926"/>
      <c r="DFO37" s="926"/>
      <c r="DFP37" s="926"/>
      <c r="DFQ37" s="926"/>
      <c r="DFR37" s="926"/>
      <c r="DFS37" s="926"/>
      <c r="DFT37" s="926"/>
      <c r="DFU37" s="926"/>
      <c r="DFV37" s="926"/>
      <c r="DFW37" s="926"/>
      <c r="DFX37" s="926"/>
      <c r="DFY37" s="926"/>
      <c r="DFZ37" s="926"/>
      <c r="DGA37" s="926"/>
      <c r="DGB37" s="926"/>
      <c r="DGC37" s="926"/>
      <c r="DGD37" s="926"/>
      <c r="DGE37" s="926"/>
      <c r="DGF37" s="926"/>
      <c r="DGG37" s="926"/>
      <c r="DGH37" s="926"/>
      <c r="DGI37" s="926"/>
      <c r="DGJ37" s="926"/>
      <c r="DGK37" s="926"/>
      <c r="DGL37" s="926"/>
      <c r="DGM37" s="926"/>
      <c r="DGN37" s="926"/>
      <c r="DGO37" s="926"/>
      <c r="DGP37" s="926"/>
      <c r="DGQ37" s="926"/>
      <c r="DGR37" s="926"/>
      <c r="DGS37" s="926"/>
      <c r="DGT37" s="926"/>
      <c r="DGU37" s="926"/>
      <c r="DGV37" s="926"/>
      <c r="DGW37" s="926"/>
      <c r="DGX37" s="926"/>
      <c r="DGY37" s="926"/>
      <c r="DGZ37" s="926"/>
      <c r="DHA37" s="926"/>
      <c r="DHB37" s="926"/>
      <c r="DHC37" s="926"/>
      <c r="DHD37" s="926"/>
      <c r="DHE37" s="926"/>
      <c r="DHF37" s="926"/>
      <c r="DHG37" s="926"/>
      <c r="DHH37" s="926"/>
      <c r="DHI37" s="926"/>
      <c r="DHJ37" s="926"/>
      <c r="DHK37" s="926"/>
      <c r="DHL37" s="926"/>
      <c r="DHM37" s="926"/>
      <c r="DHN37" s="926"/>
      <c r="DHO37" s="926"/>
      <c r="DHP37" s="926"/>
      <c r="DHQ37" s="926"/>
      <c r="DHR37" s="926"/>
      <c r="DHS37" s="926"/>
      <c r="DHT37" s="926"/>
      <c r="DHU37" s="926"/>
      <c r="DHV37" s="926"/>
      <c r="DHW37" s="926"/>
      <c r="DHX37" s="926"/>
      <c r="DHY37" s="926"/>
      <c r="DHZ37" s="926"/>
      <c r="DIA37" s="926"/>
      <c r="DIB37" s="926"/>
      <c r="DIC37" s="926"/>
      <c r="DID37" s="926"/>
      <c r="DIE37" s="926"/>
      <c r="DIF37" s="926"/>
      <c r="DIG37" s="926"/>
      <c r="DIH37" s="926"/>
      <c r="DII37" s="926"/>
      <c r="DIJ37" s="926"/>
      <c r="DIK37" s="926"/>
      <c r="DIL37" s="926"/>
      <c r="DIM37" s="926"/>
      <c r="DIN37" s="926"/>
      <c r="DIO37" s="926"/>
      <c r="DIP37" s="926"/>
      <c r="DIQ37" s="926"/>
      <c r="DIR37" s="926"/>
      <c r="DIS37" s="926"/>
      <c r="DIT37" s="926"/>
      <c r="DIU37" s="926"/>
      <c r="DIV37" s="926"/>
      <c r="DIW37" s="926"/>
      <c r="DIX37" s="926"/>
      <c r="DIY37" s="926"/>
      <c r="DIZ37" s="926"/>
      <c r="DJA37" s="926"/>
      <c r="DJB37" s="926"/>
      <c r="DJC37" s="926"/>
      <c r="DJD37" s="926"/>
      <c r="DJE37" s="926"/>
      <c r="DJF37" s="926"/>
      <c r="DJG37" s="926"/>
      <c r="DJH37" s="926"/>
      <c r="DJI37" s="926"/>
      <c r="DJJ37" s="926"/>
      <c r="DJK37" s="926"/>
      <c r="DJL37" s="926"/>
      <c r="DJM37" s="926"/>
      <c r="DJN37" s="926"/>
      <c r="DJO37" s="926"/>
      <c r="DJP37" s="926"/>
      <c r="DJQ37" s="926"/>
      <c r="DJR37" s="926"/>
      <c r="DJS37" s="926"/>
      <c r="DJT37" s="926"/>
      <c r="DJU37" s="926"/>
      <c r="DJV37" s="926"/>
      <c r="DJW37" s="926"/>
      <c r="DJX37" s="926"/>
      <c r="DJY37" s="926"/>
      <c r="DJZ37" s="926"/>
      <c r="DKA37" s="926"/>
      <c r="DKB37" s="926"/>
      <c r="DKC37" s="926"/>
      <c r="DKD37" s="926"/>
      <c r="DKE37" s="926"/>
      <c r="DKF37" s="926"/>
      <c r="DKG37" s="926"/>
      <c r="DKH37" s="926"/>
      <c r="DKI37" s="926"/>
      <c r="DKJ37" s="926"/>
      <c r="DKK37" s="926"/>
      <c r="DKL37" s="926"/>
      <c r="DKM37" s="926"/>
      <c r="DKN37" s="926"/>
      <c r="DKO37" s="926"/>
      <c r="DKP37" s="926"/>
      <c r="DKQ37" s="926"/>
      <c r="DKR37" s="926"/>
      <c r="DKS37" s="926"/>
      <c r="DKT37" s="926"/>
      <c r="DKU37" s="926"/>
      <c r="DKV37" s="926"/>
      <c r="DKW37" s="926"/>
      <c r="DKX37" s="926"/>
      <c r="DKY37" s="926"/>
      <c r="DKZ37" s="926"/>
      <c r="DLA37" s="926"/>
      <c r="DLB37" s="926"/>
      <c r="DLC37" s="926"/>
      <c r="DLD37" s="926"/>
      <c r="DLE37" s="926"/>
      <c r="DLF37" s="926"/>
      <c r="DLG37" s="926"/>
      <c r="DLH37" s="926"/>
      <c r="DLI37" s="926"/>
      <c r="DLJ37" s="926"/>
      <c r="DLK37" s="926"/>
      <c r="DLL37" s="926"/>
      <c r="DLM37" s="926"/>
      <c r="DLN37" s="926"/>
      <c r="DLO37" s="926"/>
      <c r="DLP37" s="926"/>
      <c r="DLQ37" s="926"/>
      <c r="DLR37" s="926"/>
      <c r="DLS37" s="926"/>
      <c r="DLT37" s="926"/>
      <c r="DLU37" s="926"/>
      <c r="DLV37" s="926"/>
      <c r="DLW37" s="926"/>
      <c r="DLX37" s="926"/>
      <c r="DLY37" s="926"/>
      <c r="DLZ37" s="926"/>
      <c r="DMA37" s="926"/>
      <c r="DMB37" s="926"/>
      <c r="DMC37" s="926"/>
      <c r="DMD37" s="926"/>
      <c r="DME37" s="926"/>
      <c r="DMF37" s="926"/>
      <c r="DMG37" s="926"/>
      <c r="DMH37" s="926"/>
      <c r="DMI37" s="926"/>
      <c r="DMJ37" s="926"/>
      <c r="DMK37" s="926"/>
      <c r="DML37" s="926"/>
      <c r="DMM37" s="926"/>
      <c r="DMN37" s="926"/>
      <c r="DMO37" s="926"/>
      <c r="DMP37" s="926"/>
      <c r="DMQ37" s="926"/>
      <c r="DMR37" s="926"/>
      <c r="DMS37" s="926"/>
      <c r="DMT37" s="926"/>
      <c r="DMU37" s="926"/>
      <c r="DMV37" s="926"/>
      <c r="DMW37" s="926"/>
      <c r="DMX37" s="926"/>
      <c r="DMY37" s="926"/>
      <c r="DMZ37" s="926"/>
      <c r="DNA37" s="926"/>
      <c r="DNB37" s="926"/>
      <c r="DNC37" s="926"/>
      <c r="DND37" s="926"/>
      <c r="DNE37" s="926"/>
      <c r="DNF37" s="926"/>
      <c r="DNG37" s="926"/>
      <c r="DNH37" s="926"/>
      <c r="DNI37" s="926"/>
      <c r="DNJ37" s="926"/>
      <c r="DNK37" s="926"/>
      <c r="DNL37" s="926"/>
      <c r="DNM37" s="926"/>
      <c r="DNN37" s="926"/>
      <c r="DNO37" s="926"/>
      <c r="DNP37" s="926"/>
      <c r="DNQ37" s="926"/>
      <c r="DNR37" s="926"/>
      <c r="DNS37" s="926"/>
      <c r="DNT37" s="926"/>
      <c r="DNU37" s="926"/>
      <c r="DNV37" s="926"/>
      <c r="DNW37" s="926"/>
      <c r="DNX37" s="926"/>
      <c r="DNY37" s="926"/>
      <c r="DNZ37" s="926"/>
      <c r="DOA37" s="926"/>
      <c r="DOB37" s="926"/>
      <c r="DOC37" s="926"/>
      <c r="DOD37" s="926"/>
      <c r="DOE37" s="926"/>
      <c r="DOF37" s="926"/>
      <c r="DOG37" s="926"/>
      <c r="DOH37" s="926"/>
      <c r="DOI37" s="926"/>
      <c r="DOJ37" s="926"/>
      <c r="DOK37" s="926"/>
      <c r="DOL37" s="926"/>
      <c r="DOM37" s="926"/>
      <c r="DON37" s="926"/>
      <c r="DOO37" s="926"/>
      <c r="DOP37" s="926"/>
      <c r="DOQ37" s="926"/>
      <c r="DOR37" s="926"/>
      <c r="DOS37" s="926"/>
      <c r="DOT37" s="926"/>
      <c r="DOU37" s="926"/>
      <c r="DOV37" s="926"/>
      <c r="DOW37" s="926"/>
      <c r="DOX37" s="926"/>
      <c r="DOY37" s="926"/>
      <c r="DOZ37" s="926"/>
      <c r="DPA37" s="926"/>
      <c r="DPB37" s="926"/>
      <c r="DPC37" s="926"/>
      <c r="DPD37" s="926"/>
      <c r="DPE37" s="926"/>
      <c r="DPF37" s="926"/>
      <c r="DPG37" s="926"/>
      <c r="DPH37" s="926"/>
      <c r="DPI37" s="926"/>
      <c r="DPJ37" s="926"/>
      <c r="DPK37" s="926"/>
      <c r="DPL37" s="926"/>
      <c r="DPM37" s="926"/>
      <c r="DPN37" s="926"/>
      <c r="DPO37" s="926"/>
      <c r="DPP37" s="926"/>
      <c r="DPQ37" s="926"/>
      <c r="DPR37" s="926"/>
      <c r="DPS37" s="926"/>
      <c r="DPT37" s="926"/>
      <c r="DPU37" s="926"/>
      <c r="DPV37" s="926"/>
      <c r="DPW37" s="926"/>
      <c r="DPX37" s="926"/>
      <c r="DPY37" s="926"/>
      <c r="DPZ37" s="926"/>
      <c r="DQA37" s="926"/>
      <c r="DQB37" s="926"/>
      <c r="DQC37" s="926"/>
      <c r="DQD37" s="926"/>
      <c r="DQE37" s="926"/>
      <c r="DQF37" s="926"/>
      <c r="DQG37" s="926"/>
      <c r="DQH37" s="926"/>
      <c r="DQI37" s="926"/>
      <c r="DQJ37" s="926"/>
      <c r="DQK37" s="926"/>
      <c r="DQL37" s="926"/>
      <c r="DQM37" s="926"/>
      <c r="DQN37" s="926"/>
      <c r="DQO37" s="926"/>
      <c r="DQP37" s="926"/>
      <c r="DQQ37" s="926"/>
      <c r="DQR37" s="926"/>
      <c r="DQS37" s="926"/>
      <c r="DQT37" s="926"/>
      <c r="DQU37" s="926"/>
      <c r="DQV37" s="926"/>
      <c r="DQW37" s="926"/>
      <c r="DQX37" s="926"/>
      <c r="DQY37" s="926"/>
      <c r="DQZ37" s="926"/>
      <c r="DRA37" s="926"/>
      <c r="DRB37" s="926"/>
      <c r="DRC37" s="926"/>
      <c r="DRD37" s="926"/>
      <c r="DRE37" s="926"/>
      <c r="DRF37" s="926"/>
      <c r="DRG37" s="926"/>
      <c r="DRH37" s="926"/>
      <c r="DRI37" s="926"/>
      <c r="DRJ37" s="926"/>
      <c r="DRK37" s="926"/>
      <c r="DRL37" s="926"/>
      <c r="DRM37" s="926"/>
      <c r="DRN37" s="926"/>
      <c r="DRO37" s="926"/>
      <c r="DRP37" s="926"/>
      <c r="DRQ37" s="926"/>
      <c r="DRR37" s="926"/>
      <c r="DRS37" s="926"/>
      <c r="DRT37" s="926"/>
      <c r="DRU37" s="926"/>
      <c r="DRV37" s="926"/>
      <c r="DRW37" s="926"/>
      <c r="DRX37" s="926"/>
      <c r="DRY37" s="926"/>
      <c r="DRZ37" s="926"/>
      <c r="DSA37" s="926"/>
      <c r="DSB37" s="926"/>
      <c r="DSC37" s="926"/>
      <c r="DSD37" s="926"/>
      <c r="DSE37" s="926"/>
      <c r="DSF37" s="926"/>
      <c r="DSG37" s="926"/>
      <c r="DSH37" s="926"/>
      <c r="DSI37" s="926"/>
      <c r="DSJ37" s="926"/>
      <c r="DSK37" s="926"/>
      <c r="DSL37" s="926"/>
      <c r="DSM37" s="926"/>
      <c r="DSN37" s="926"/>
      <c r="DSO37" s="926"/>
      <c r="DSP37" s="926"/>
      <c r="DSQ37" s="926"/>
      <c r="DSR37" s="926"/>
      <c r="DSS37" s="926"/>
      <c r="DST37" s="926"/>
      <c r="DSU37" s="926"/>
      <c r="DSV37" s="926"/>
      <c r="DSW37" s="926"/>
      <c r="DSX37" s="926"/>
      <c r="DSY37" s="926"/>
      <c r="DSZ37" s="926"/>
      <c r="DTA37" s="926"/>
      <c r="DTB37" s="926"/>
      <c r="DTC37" s="926"/>
      <c r="DTD37" s="926"/>
      <c r="DTE37" s="926"/>
      <c r="DTF37" s="926"/>
      <c r="DTG37" s="926"/>
      <c r="DTH37" s="926"/>
      <c r="DTI37" s="926"/>
      <c r="DTJ37" s="926"/>
      <c r="DTK37" s="926"/>
      <c r="DTL37" s="926"/>
      <c r="DTM37" s="926"/>
      <c r="DTN37" s="926"/>
      <c r="DTO37" s="926"/>
      <c r="DTP37" s="926"/>
      <c r="DTQ37" s="926"/>
      <c r="DTR37" s="926"/>
      <c r="DTS37" s="926"/>
      <c r="DTT37" s="926"/>
      <c r="DTU37" s="926"/>
      <c r="DTV37" s="926"/>
      <c r="DTW37" s="926"/>
      <c r="DTX37" s="926"/>
      <c r="DTY37" s="926"/>
      <c r="DTZ37" s="926"/>
      <c r="DUA37" s="926"/>
      <c r="DUB37" s="926"/>
      <c r="DUC37" s="926"/>
      <c r="DUD37" s="926"/>
      <c r="DUE37" s="926"/>
      <c r="DUF37" s="926"/>
      <c r="DUG37" s="926"/>
      <c r="DUH37" s="926"/>
      <c r="DUI37" s="926"/>
      <c r="DUJ37" s="926"/>
      <c r="DUK37" s="926"/>
      <c r="DUL37" s="926"/>
      <c r="DUM37" s="926"/>
      <c r="DUN37" s="926"/>
      <c r="DUO37" s="926"/>
      <c r="DUP37" s="926"/>
      <c r="DUQ37" s="926"/>
      <c r="DUR37" s="926"/>
      <c r="DUS37" s="926"/>
      <c r="DUT37" s="926"/>
      <c r="DUU37" s="926"/>
      <c r="DUV37" s="926"/>
      <c r="DUW37" s="926"/>
      <c r="DUX37" s="926"/>
      <c r="DUY37" s="926"/>
      <c r="DUZ37" s="926"/>
      <c r="DVA37" s="926"/>
      <c r="DVB37" s="926"/>
      <c r="DVC37" s="926"/>
      <c r="DVD37" s="926"/>
      <c r="DVE37" s="926"/>
      <c r="DVF37" s="926"/>
      <c r="DVG37" s="926"/>
      <c r="DVH37" s="926"/>
      <c r="DVI37" s="926"/>
      <c r="DVJ37" s="926"/>
      <c r="DVK37" s="926"/>
      <c r="DVL37" s="926"/>
      <c r="DVM37" s="926"/>
      <c r="DVN37" s="926"/>
      <c r="DVO37" s="926"/>
      <c r="DVP37" s="926"/>
      <c r="DVQ37" s="926"/>
      <c r="DVR37" s="926"/>
      <c r="DVS37" s="926"/>
      <c r="DVT37" s="926"/>
      <c r="DVU37" s="926"/>
      <c r="DVV37" s="926"/>
      <c r="DVW37" s="926"/>
      <c r="DVX37" s="926"/>
      <c r="DVY37" s="926"/>
      <c r="DVZ37" s="926"/>
      <c r="DWA37" s="926"/>
      <c r="DWB37" s="926"/>
      <c r="DWC37" s="926"/>
      <c r="DWD37" s="926"/>
      <c r="DWE37" s="926"/>
      <c r="DWF37" s="926"/>
      <c r="DWG37" s="926"/>
      <c r="DWH37" s="926"/>
      <c r="DWI37" s="926"/>
      <c r="DWJ37" s="926"/>
      <c r="DWK37" s="926"/>
      <c r="DWL37" s="926"/>
      <c r="DWM37" s="926"/>
      <c r="DWN37" s="926"/>
      <c r="DWO37" s="926"/>
      <c r="DWP37" s="926"/>
      <c r="DWQ37" s="926"/>
      <c r="DWR37" s="926"/>
      <c r="DWS37" s="926"/>
      <c r="DWT37" s="926"/>
      <c r="DWU37" s="926"/>
      <c r="DWV37" s="926"/>
      <c r="DWW37" s="926"/>
      <c r="DWX37" s="926"/>
      <c r="DWY37" s="926"/>
      <c r="DWZ37" s="926"/>
      <c r="DXA37" s="926"/>
      <c r="DXB37" s="926"/>
      <c r="DXC37" s="926"/>
      <c r="DXD37" s="926"/>
      <c r="DXE37" s="926"/>
      <c r="DXF37" s="926"/>
      <c r="DXG37" s="926"/>
      <c r="DXH37" s="926"/>
      <c r="DXI37" s="926"/>
      <c r="DXJ37" s="926"/>
      <c r="DXK37" s="926"/>
      <c r="DXL37" s="926"/>
      <c r="DXM37" s="926"/>
      <c r="DXN37" s="926"/>
      <c r="DXO37" s="926"/>
      <c r="DXP37" s="926"/>
      <c r="DXQ37" s="926"/>
      <c r="DXR37" s="926"/>
      <c r="DXS37" s="926"/>
      <c r="DXT37" s="926"/>
      <c r="DXU37" s="926"/>
      <c r="DXV37" s="926"/>
      <c r="DXW37" s="926"/>
      <c r="DXX37" s="926"/>
      <c r="DXY37" s="926"/>
      <c r="DXZ37" s="926"/>
      <c r="DYA37" s="926"/>
      <c r="DYB37" s="926"/>
      <c r="DYC37" s="926"/>
      <c r="DYD37" s="926"/>
      <c r="DYE37" s="926"/>
      <c r="DYF37" s="926"/>
      <c r="DYG37" s="926"/>
      <c r="DYH37" s="926"/>
      <c r="DYI37" s="926"/>
      <c r="DYJ37" s="926"/>
      <c r="DYK37" s="926"/>
      <c r="DYL37" s="926"/>
      <c r="DYM37" s="926"/>
      <c r="DYN37" s="926"/>
      <c r="DYO37" s="926"/>
      <c r="DYP37" s="926"/>
      <c r="DYQ37" s="926"/>
      <c r="DYR37" s="926"/>
      <c r="DYS37" s="926"/>
      <c r="DYT37" s="926"/>
      <c r="DYU37" s="926"/>
      <c r="DYV37" s="926"/>
      <c r="DYW37" s="926"/>
      <c r="DYX37" s="926"/>
      <c r="DYY37" s="926"/>
      <c r="DYZ37" s="926"/>
      <c r="DZA37" s="926"/>
      <c r="DZB37" s="926"/>
      <c r="DZC37" s="926"/>
      <c r="DZD37" s="926"/>
      <c r="DZE37" s="926"/>
      <c r="DZF37" s="926"/>
      <c r="DZG37" s="926"/>
      <c r="DZH37" s="926"/>
      <c r="DZI37" s="926"/>
      <c r="DZJ37" s="926"/>
      <c r="DZK37" s="926"/>
      <c r="DZL37" s="926"/>
      <c r="DZM37" s="926"/>
      <c r="DZN37" s="926"/>
      <c r="DZO37" s="926"/>
      <c r="DZP37" s="926"/>
      <c r="DZQ37" s="926"/>
      <c r="DZR37" s="926"/>
      <c r="DZS37" s="926"/>
      <c r="DZT37" s="926"/>
      <c r="DZU37" s="926"/>
      <c r="DZV37" s="926"/>
      <c r="DZW37" s="926"/>
      <c r="DZX37" s="926"/>
      <c r="DZY37" s="926"/>
      <c r="DZZ37" s="926"/>
      <c r="EAA37" s="926"/>
      <c r="EAB37" s="926"/>
      <c r="EAC37" s="926"/>
      <c r="EAD37" s="926"/>
      <c r="EAE37" s="926"/>
      <c r="EAF37" s="926"/>
      <c r="EAG37" s="926"/>
      <c r="EAH37" s="926"/>
      <c r="EAI37" s="926"/>
      <c r="EAJ37" s="926"/>
      <c r="EAK37" s="926"/>
      <c r="EAL37" s="926"/>
      <c r="EAM37" s="926"/>
      <c r="EAN37" s="926"/>
      <c r="EAO37" s="926"/>
      <c r="EAP37" s="926"/>
      <c r="EAQ37" s="926"/>
      <c r="EAR37" s="926"/>
      <c r="EAS37" s="926"/>
      <c r="EAT37" s="926"/>
      <c r="EAU37" s="926"/>
      <c r="EAV37" s="926"/>
      <c r="EAW37" s="926"/>
      <c r="EAX37" s="926"/>
      <c r="EAY37" s="926"/>
      <c r="EAZ37" s="926"/>
      <c r="EBA37" s="926"/>
      <c r="EBB37" s="926"/>
      <c r="EBC37" s="926"/>
      <c r="EBD37" s="926"/>
      <c r="EBE37" s="926"/>
      <c r="EBF37" s="926"/>
      <c r="EBG37" s="926"/>
      <c r="EBH37" s="926"/>
      <c r="EBI37" s="926"/>
      <c r="EBJ37" s="926"/>
      <c r="EBK37" s="926"/>
      <c r="EBL37" s="926"/>
      <c r="EBM37" s="926"/>
      <c r="EBN37" s="926"/>
      <c r="EBO37" s="926"/>
      <c r="EBP37" s="926"/>
      <c r="EBQ37" s="926"/>
      <c r="EBR37" s="926"/>
      <c r="EBS37" s="926"/>
      <c r="EBT37" s="926"/>
      <c r="EBU37" s="926"/>
      <c r="EBV37" s="926"/>
      <c r="EBW37" s="926"/>
      <c r="EBX37" s="926"/>
      <c r="EBY37" s="926"/>
      <c r="EBZ37" s="926"/>
      <c r="ECA37" s="926"/>
      <c r="ECB37" s="926"/>
      <c r="ECC37" s="926"/>
      <c r="ECD37" s="926"/>
      <c r="ECE37" s="926"/>
      <c r="ECF37" s="926"/>
      <c r="ECG37" s="926"/>
      <c r="ECH37" s="926"/>
      <c r="ECI37" s="926"/>
      <c r="ECJ37" s="926"/>
      <c r="ECK37" s="926"/>
      <c r="ECL37" s="926"/>
      <c r="ECM37" s="926"/>
      <c r="ECN37" s="926"/>
      <c r="ECO37" s="926"/>
      <c r="ECP37" s="926"/>
      <c r="ECQ37" s="926"/>
      <c r="ECR37" s="926"/>
      <c r="ECS37" s="926"/>
      <c r="ECT37" s="926"/>
      <c r="ECU37" s="926"/>
      <c r="ECV37" s="926"/>
      <c r="ECW37" s="926"/>
      <c r="ECX37" s="926"/>
      <c r="ECY37" s="926"/>
      <c r="ECZ37" s="926"/>
      <c r="EDA37" s="926"/>
      <c r="EDB37" s="926"/>
      <c r="EDC37" s="926"/>
      <c r="EDD37" s="926"/>
      <c r="EDE37" s="926"/>
      <c r="EDF37" s="926"/>
      <c r="EDG37" s="926"/>
      <c r="EDH37" s="926"/>
      <c r="EDI37" s="926"/>
      <c r="EDJ37" s="926"/>
      <c r="EDK37" s="926"/>
      <c r="EDL37" s="926"/>
      <c r="EDM37" s="926"/>
      <c r="EDN37" s="926"/>
      <c r="EDO37" s="926"/>
      <c r="EDP37" s="926"/>
      <c r="EDQ37" s="926"/>
      <c r="EDR37" s="926"/>
      <c r="EDS37" s="926"/>
      <c r="EDT37" s="926"/>
      <c r="EDU37" s="926"/>
      <c r="EDV37" s="926"/>
      <c r="EDW37" s="926"/>
      <c r="EDX37" s="926"/>
      <c r="EDY37" s="926"/>
      <c r="EDZ37" s="926"/>
      <c r="EEA37" s="926"/>
      <c r="EEB37" s="926"/>
      <c r="EEC37" s="926"/>
      <c r="EED37" s="926"/>
      <c r="EEE37" s="926"/>
      <c r="EEF37" s="926"/>
      <c r="EEG37" s="926"/>
      <c r="EEH37" s="926"/>
      <c r="EEI37" s="926"/>
      <c r="EEJ37" s="926"/>
      <c r="EEK37" s="926"/>
      <c r="EEL37" s="926"/>
      <c r="EEM37" s="926"/>
      <c r="EEN37" s="926"/>
      <c r="EEO37" s="926"/>
      <c r="EEP37" s="926"/>
      <c r="EEQ37" s="926"/>
      <c r="EER37" s="926"/>
      <c r="EES37" s="926"/>
      <c r="EET37" s="926"/>
      <c r="EEU37" s="926"/>
      <c r="EEV37" s="926"/>
      <c r="EEW37" s="926"/>
      <c r="EEX37" s="926"/>
      <c r="EEY37" s="926"/>
      <c r="EEZ37" s="926"/>
      <c r="EFA37" s="926"/>
      <c r="EFB37" s="926"/>
      <c r="EFC37" s="926"/>
      <c r="EFD37" s="926"/>
      <c r="EFE37" s="926"/>
      <c r="EFF37" s="926"/>
      <c r="EFG37" s="926"/>
      <c r="EFH37" s="926"/>
      <c r="EFI37" s="926"/>
      <c r="EFJ37" s="926"/>
      <c r="EFK37" s="926"/>
      <c r="EFL37" s="926"/>
      <c r="EFM37" s="926"/>
      <c r="EFN37" s="926"/>
      <c r="EFO37" s="926"/>
      <c r="EFP37" s="926"/>
      <c r="EFQ37" s="926"/>
      <c r="EFR37" s="926"/>
      <c r="EFS37" s="926"/>
      <c r="EFT37" s="926"/>
      <c r="EFU37" s="926"/>
      <c r="EFV37" s="926"/>
      <c r="EFW37" s="926"/>
      <c r="EFX37" s="926"/>
      <c r="EFY37" s="926"/>
      <c r="EFZ37" s="926"/>
      <c r="EGA37" s="926"/>
      <c r="EGB37" s="926"/>
      <c r="EGC37" s="926"/>
      <c r="EGD37" s="926"/>
      <c r="EGE37" s="926"/>
      <c r="EGF37" s="926"/>
      <c r="EGG37" s="926"/>
      <c r="EGH37" s="926"/>
      <c r="EGI37" s="926"/>
      <c r="EGJ37" s="926"/>
      <c r="EGK37" s="926"/>
      <c r="EGL37" s="926"/>
      <c r="EGM37" s="926"/>
      <c r="EGN37" s="926"/>
      <c r="EGO37" s="926"/>
      <c r="EGP37" s="926"/>
      <c r="EGQ37" s="926"/>
      <c r="EGR37" s="926"/>
      <c r="EGS37" s="926"/>
      <c r="EGT37" s="926"/>
      <c r="EGU37" s="926"/>
      <c r="EGV37" s="926"/>
      <c r="EGW37" s="926"/>
      <c r="EGX37" s="926"/>
      <c r="EGY37" s="926"/>
      <c r="EGZ37" s="926"/>
      <c r="EHA37" s="926"/>
      <c r="EHB37" s="926"/>
      <c r="EHC37" s="926"/>
      <c r="EHD37" s="926"/>
      <c r="EHE37" s="926"/>
      <c r="EHF37" s="926"/>
      <c r="EHG37" s="926"/>
      <c r="EHH37" s="926"/>
      <c r="EHI37" s="926"/>
      <c r="EHJ37" s="926"/>
      <c r="EHK37" s="926"/>
      <c r="EHL37" s="926"/>
      <c r="EHM37" s="926"/>
      <c r="EHN37" s="926"/>
      <c r="EHO37" s="926"/>
      <c r="EHP37" s="926"/>
      <c r="EHQ37" s="926"/>
      <c r="EHR37" s="926"/>
      <c r="EHS37" s="926"/>
      <c r="EHT37" s="926"/>
      <c r="EHU37" s="926"/>
      <c r="EHV37" s="926"/>
      <c r="EHW37" s="926"/>
      <c r="EHX37" s="926"/>
      <c r="EHY37" s="926"/>
      <c r="EHZ37" s="926"/>
      <c r="EIA37" s="926"/>
      <c r="EIB37" s="926"/>
      <c r="EIC37" s="926"/>
      <c r="EID37" s="926"/>
      <c r="EIE37" s="926"/>
      <c r="EIF37" s="926"/>
      <c r="EIG37" s="926"/>
      <c r="EIH37" s="926"/>
      <c r="EII37" s="926"/>
      <c r="EIJ37" s="926"/>
      <c r="EIK37" s="926"/>
      <c r="EIL37" s="926"/>
      <c r="EIM37" s="926"/>
      <c r="EIN37" s="926"/>
      <c r="EIO37" s="926"/>
      <c r="EIP37" s="926"/>
      <c r="EIQ37" s="926"/>
      <c r="EIR37" s="926"/>
      <c r="EIS37" s="926"/>
      <c r="EIT37" s="926"/>
      <c r="EIU37" s="926"/>
      <c r="EIV37" s="926"/>
      <c r="EIW37" s="926"/>
      <c r="EIX37" s="926"/>
      <c r="EIY37" s="926"/>
      <c r="EIZ37" s="926"/>
      <c r="EJA37" s="926"/>
      <c r="EJB37" s="926"/>
      <c r="EJC37" s="926"/>
      <c r="EJD37" s="926"/>
      <c r="EJE37" s="926"/>
      <c r="EJF37" s="926"/>
      <c r="EJG37" s="926"/>
      <c r="EJH37" s="926"/>
      <c r="EJI37" s="926"/>
      <c r="EJJ37" s="926"/>
      <c r="EJK37" s="926"/>
      <c r="EJL37" s="926"/>
      <c r="EJM37" s="926"/>
      <c r="EJN37" s="926"/>
      <c r="EJO37" s="926"/>
      <c r="EJP37" s="926"/>
      <c r="EJQ37" s="926"/>
      <c r="EJR37" s="926"/>
      <c r="EJS37" s="926"/>
      <c r="EJT37" s="926"/>
      <c r="EJU37" s="926"/>
      <c r="EJV37" s="926"/>
      <c r="EJW37" s="926"/>
      <c r="EJX37" s="926"/>
      <c r="EJY37" s="926"/>
      <c r="EJZ37" s="926"/>
      <c r="EKA37" s="926"/>
      <c r="EKB37" s="926"/>
      <c r="EKC37" s="926"/>
      <c r="EKD37" s="926"/>
      <c r="EKE37" s="926"/>
      <c r="EKF37" s="926"/>
      <c r="EKG37" s="926"/>
      <c r="EKH37" s="926"/>
      <c r="EKI37" s="926"/>
      <c r="EKJ37" s="926"/>
      <c r="EKK37" s="926"/>
      <c r="EKL37" s="926"/>
      <c r="EKM37" s="926"/>
      <c r="EKN37" s="926"/>
      <c r="EKO37" s="926"/>
      <c r="EKP37" s="926"/>
      <c r="EKQ37" s="926"/>
      <c r="EKR37" s="926"/>
      <c r="EKS37" s="926"/>
      <c r="EKT37" s="926"/>
      <c r="EKU37" s="926"/>
      <c r="EKV37" s="926"/>
      <c r="EKW37" s="926"/>
      <c r="EKX37" s="926"/>
      <c r="EKY37" s="926"/>
      <c r="EKZ37" s="926"/>
      <c r="ELA37" s="926"/>
      <c r="ELB37" s="926"/>
      <c r="ELC37" s="926"/>
      <c r="ELD37" s="926"/>
      <c r="ELE37" s="926"/>
      <c r="ELF37" s="926"/>
      <c r="ELG37" s="926"/>
      <c r="ELH37" s="926"/>
      <c r="ELI37" s="926"/>
      <c r="ELJ37" s="926"/>
      <c r="ELK37" s="926"/>
      <c r="ELL37" s="926"/>
      <c r="ELM37" s="926"/>
      <c r="ELN37" s="926"/>
      <c r="ELO37" s="926"/>
      <c r="ELP37" s="926"/>
      <c r="ELQ37" s="926"/>
      <c r="ELR37" s="926"/>
      <c r="ELS37" s="926"/>
      <c r="ELT37" s="926"/>
      <c r="ELU37" s="926"/>
      <c r="ELV37" s="926"/>
      <c r="ELW37" s="926"/>
      <c r="ELX37" s="926"/>
      <c r="ELY37" s="926"/>
      <c r="ELZ37" s="926"/>
      <c r="EMA37" s="926"/>
      <c r="EMB37" s="926"/>
      <c r="EMC37" s="926"/>
      <c r="EMD37" s="926"/>
      <c r="EME37" s="926"/>
      <c r="EMF37" s="926"/>
      <c r="EMG37" s="926"/>
      <c r="EMH37" s="926"/>
      <c r="EMI37" s="926"/>
      <c r="EMJ37" s="926"/>
      <c r="EMK37" s="926"/>
      <c r="EML37" s="926"/>
      <c r="EMM37" s="926"/>
      <c r="EMN37" s="926"/>
      <c r="EMO37" s="926"/>
      <c r="EMP37" s="926"/>
      <c r="EMQ37" s="926"/>
      <c r="EMR37" s="926"/>
      <c r="EMS37" s="926"/>
      <c r="EMT37" s="926"/>
      <c r="EMU37" s="926"/>
      <c r="EMV37" s="926"/>
      <c r="EMW37" s="926"/>
      <c r="EMX37" s="926"/>
      <c r="EMY37" s="926"/>
      <c r="EMZ37" s="926"/>
      <c r="ENA37" s="926"/>
      <c r="ENB37" s="926"/>
      <c r="ENC37" s="926"/>
      <c r="END37" s="926"/>
      <c r="ENE37" s="926"/>
      <c r="ENF37" s="926"/>
      <c r="ENG37" s="926"/>
      <c r="ENH37" s="926"/>
      <c r="ENI37" s="926"/>
      <c r="ENJ37" s="926"/>
      <c r="ENK37" s="926"/>
      <c r="ENL37" s="926"/>
      <c r="ENM37" s="926"/>
      <c r="ENN37" s="926"/>
      <c r="ENO37" s="926"/>
      <c r="ENP37" s="926"/>
      <c r="ENQ37" s="926"/>
      <c r="ENR37" s="926"/>
      <c r="ENS37" s="926"/>
      <c r="ENT37" s="926"/>
      <c r="ENU37" s="926"/>
      <c r="ENV37" s="926"/>
      <c r="ENW37" s="926"/>
      <c r="ENX37" s="926"/>
      <c r="ENY37" s="926"/>
      <c r="ENZ37" s="926"/>
      <c r="EOA37" s="926"/>
      <c r="EOB37" s="926"/>
      <c r="EOC37" s="926"/>
      <c r="EOD37" s="926"/>
      <c r="EOE37" s="926"/>
      <c r="EOF37" s="926"/>
      <c r="EOG37" s="926"/>
      <c r="EOH37" s="926"/>
      <c r="EOI37" s="926"/>
      <c r="EOJ37" s="926"/>
      <c r="EOK37" s="926"/>
      <c r="EOL37" s="926"/>
      <c r="EOM37" s="926"/>
      <c r="EON37" s="926"/>
      <c r="EOO37" s="926"/>
      <c r="EOP37" s="926"/>
      <c r="EOQ37" s="926"/>
      <c r="EOR37" s="926"/>
      <c r="EOS37" s="926"/>
      <c r="EOT37" s="926"/>
      <c r="EOU37" s="926"/>
      <c r="EOV37" s="926"/>
      <c r="EOW37" s="926"/>
      <c r="EOX37" s="926"/>
      <c r="EOY37" s="926"/>
      <c r="EOZ37" s="926"/>
      <c r="EPA37" s="926"/>
      <c r="EPB37" s="926"/>
      <c r="EPC37" s="926"/>
      <c r="EPD37" s="926"/>
      <c r="EPE37" s="926"/>
      <c r="EPF37" s="926"/>
      <c r="EPG37" s="926"/>
      <c r="EPH37" s="926"/>
      <c r="EPI37" s="926"/>
      <c r="EPJ37" s="926"/>
      <c r="EPK37" s="926"/>
      <c r="EPL37" s="926"/>
      <c r="EPM37" s="926"/>
      <c r="EPN37" s="926"/>
      <c r="EPO37" s="926"/>
      <c r="EPP37" s="926"/>
      <c r="EPQ37" s="926"/>
      <c r="EPR37" s="926"/>
      <c r="EPS37" s="926"/>
      <c r="EPT37" s="926"/>
      <c r="EPU37" s="926"/>
      <c r="EPV37" s="926"/>
      <c r="EPW37" s="926"/>
      <c r="EPX37" s="926"/>
      <c r="EPY37" s="926"/>
      <c r="EPZ37" s="926"/>
      <c r="EQA37" s="926"/>
      <c r="EQB37" s="926"/>
      <c r="EQC37" s="926"/>
      <c r="EQD37" s="926"/>
      <c r="EQE37" s="926"/>
      <c r="EQF37" s="926"/>
      <c r="EQG37" s="926"/>
      <c r="EQH37" s="926"/>
      <c r="EQI37" s="926"/>
      <c r="EQJ37" s="926"/>
      <c r="EQK37" s="926"/>
      <c r="EQL37" s="926"/>
      <c r="EQM37" s="926"/>
      <c r="EQN37" s="926"/>
      <c r="EQO37" s="926"/>
      <c r="EQP37" s="926"/>
      <c r="EQQ37" s="926"/>
      <c r="EQR37" s="926"/>
      <c r="EQS37" s="926"/>
      <c r="EQT37" s="926"/>
      <c r="EQU37" s="926"/>
      <c r="EQV37" s="926"/>
      <c r="EQW37" s="926"/>
      <c r="EQX37" s="926"/>
      <c r="EQY37" s="926"/>
      <c r="EQZ37" s="926"/>
      <c r="ERA37" s="926"/>
      <c r="ERB37" s="926"/>
      <c r="ERC37" s="926"/>
      <c r="ERD37" s="926"/>
      <c r="ERE37" s="926"/>
      <c r="ERF37" s="926"/>
      <c r="ERG37" s="926"/>
      <c r="ERH37" s="926"/>
      <c r="ERI37" s="926"/>
      <c r="ERJ37" s="926"/>
      <c r="ERK37" s="926"/>
      <c r="ERL37" s="926"/>
      <c r="ERM37" s="926"/>
      <c r="ERN37" s="926"/>
      <c r="ERO37" s="926"/>
      <c r="ERP37" s="926"/>
      <c r="ERQ37" s="926"/>
      <c r="ERR37" s="926"/>
      <c r="ERS37" s="926"/>
      <c r="ERT37" s="926"/>
      <c r="ERU37" s="926"/>
      <c r="ERV37" s="926"/>
      <c r="ERW37" s="926"/>
      <c r="ERX37" s="926"/>
      <c r="ERY37" s="926"/>
      <c r="ERZ37" s="926"/>
      <c r="ESA37" s="926"/>
      <c r="ESB37" s="926"/>
      <c r="ESC37" s="926"/>
      <c r="ESD37" s="926"/>
      <c r="ESE37" s="926"/>
      <c r="ESF37" s="926"/>
      <c r="ESG37" s="926"/>
      <c r="ESH37" s="926"/>
      <c r="ESI37" s="926"/>
      <c r="ESJ37" s="926"/>
      <c r="ESK37" s="926"/>
      <c r="ESL37" s="926"/>
      <c r="ESM37" s="926"/>
      <c r="ESN37" s="926"/>
      <c r="ESO37" s="926"/>
      <c r="ESP37" s="926"/>
      <c r="ESQ37" s="926"/>
      <c r="ESR37" s="926"/>
      <c r="ESS37" s="926"/>
      <c r="EST37" s="926"/>
      <c r="ESU37" s="926"/>
      <c r="ESV37" s="926"/>
      <c r="ESW37" s="926"/>
      <c r="ESX37" s="926"/>
      <c r="ESY37" s="926"/>
      <c r="ESZ37" s="926"/>
      <c r="ETA37" s="926"/>
      <c r="ETB37" s="926"/>
      <c r="ETC37" s="926"/>
      <c r="ETD37" s="926"/>
      <c r="ETE37" s="926"/>
      <c r="ETF37" s="926"/>
      <c r="ETG37" s="926"/>
      <c r="ETH37" s="926"/>
      <c r="ETI37" s="926"/>
      <c r="ETJ37" s="926"/>
      <c r="ETK37" s="926"/>
      <c r="ETL37" s="926"/>
      <c r="ETM37" s="926"/>
      <c r="ETN37" s="926"/>
      <c r="ETO37" s="926"/>
      <c r="ETP37" s="926"/>
      <c r="ETQ37" s="926"/>
      <c r="ETR37" s="926"/>
      <c r="ETS37" s="926"/>
      <c r="ETT37" s="926"/>
      <c r="ETU37" s="926"/>
      <c r="ETV37" s="926"/>
      <c r="ETW37" s="926"/>
      <c r="ETX37" s="926"/>
      <c r="ETY37" s="926"/>
      <c r="ETZ37" s="926"/>
      <c r="EUA37" s="926"/>
      <c r="EUB37" s="926"/>
      <c r="EUC37" s="926"/>
      <c r="EUD37" s="926"/>
      <c r="EUE37" s="926"/>
      <c r="EUF37" s="926"/>
      <c r="EUG37" s="926"/>
      <c r="EUH37" s="926"/>
      <c r="EUI37" s="926"/>
      <c r="EUJ37" s="926"/>
      <c r="EUK37" s="926"/>
      <c r="EUL37" s="926"/>
      <c r="EUM37" s="926"/>
      <c r="EUN37" s="926"/>
      <c r="EUO37" s="926"/>
      <c r="EUP37" s="926"/>
      <c r="EUQ37" s="926"/>
      <c r="EUR37" s="926"/>
      <c r="EUS37" s="926"/>
      <c r="EUT37" s="926"/>
      <c r="EUU37" s="926"/>
      <c r="EUV37" s="926"/>
      <c r="EUW37" s="926"/>
      <c r="EUX37" s="926"/>
      <c r="EUY37" s="926"/>
      <c r="EUZ37" s="926"/>
      <c r="EVA37" s="926"/>
      <c r="EVB37" s="926"/>
      <c r="EVC37" s="926"/>
      <c r="EVD37" s="926"/>
      <c r="EVE37" s="926"/>
      <c r="EVF37" s="926"/>
      <c r="EVG37" s="926"/>
      <c r="EVH37" s="926"/>
      <c r="EVI37" s="926"/>
      <c r="EVJ37" s="926"/>
      <c r="EVK37" s="926"/>
      <c r="EVL37" s="926"/>
      <c r="EVM37" s="926"/>
      <c r="EVN37" s="926"/>
      <c r="EVO37" s="926"/>
      <c r="EVP37" s="926"/>
      <c r="EVQ37" s="926"/>
      <c r="EVR37" s="926"/>
      <c r="EVS37" s="926"/>
      <c r="EVT37" s="926"/>
      <c r="EVU37" s="926"/>
      <c r="EVV37" s="926"/>
      <c r="EVW37" s="926"/>
      <c r="EVX37" s="926"/>
      <c r="EVY37" s="926"/>
      <c r="EVZ37" s="926"/>
      <c r="EWA37" s="926"/>
      <c r="EWB37" s="926"/>
      <c r="EWC37" s="926"/>
      <c r="EWD37" s="926"/>
      <c r="EWE37" s="926"/>
      <c r="EWF37" s="926"/>
      <c r="EWG37" s="926"/>
      <c r="EWH37" s="926"/>
      <c r="EWI37" s="926"/>
      <c r="EWJ37" s="926"/>
      <c r="EWK37" s="926"/>
      <c r="EWL37" s="926"/>
      <c r="EWM37" s="926"/>
      <c r="EWN37" s="926"/>
      <c r="EWO37" s="926"/>
      <c r="EWP37" s="926"/>
      <c r="EWQ37" s="926"/>
      <c r="EWR37" s="926"/>
      <c r="EWS37" s="926"/>
      <c r="EWT37" s="926"/>
      <c r="EWU37" s="926"/>
      <c r="EWV37" s="926"/>
      <c r="EWW37" s="926"/>
      <c r="EWX37" s="926"/>
      <c r="EWY37" s="926"/>
      <c r="EWZ37" s="926"/>
      <c r="EXA37" s="926"/>
      <c r="EXB37" s="926"/>
      <c r="EXC37" s="926"/>
      <c r="EXD37" s="926"/>
      <c r="EXE37" s="926"/>
      <c r="EXF37" s="926"/>
      <c r="EXG37" s="926"/>
      <c r="EXH37" s="926"/>
      <c r="EXI37" s="926"/>
      <c r="EXJ37" s="926"/>
      <c r="EXK37" s="926"/>
      <c r="EXL37" s="926"/>
      <c r="EXM37" s="926"/>
      <c r="EXN37" s="926"/>
      <c r="EXO37" s="926"/>
      <c r="EXP37" s="926"/>
      <c r="EXQ37" s="926"/>
      <c r="EXR37" s="926"/>
      <c r="EXS37" s="926"/>
      <c r="EXT37" s="926"/>
      <c r="EXU37" s="926"/>
      <c r="EXV37" s="926"/>
      <c r="EXW37" s="926"/>
      <c r="EXX37" s="926"/>
      <c r="EXY37" s="926"/>
      <c r="EXZ37" s="926"/>
      <c r="EYA37" s="926"/>
      <c r="EYB37" s="926"/>
      <c r="EYC37" s="926"/>
      <c r="EYD37" s="926"/>
      <c r="EYE37" s="926"/>
      <c r="EYF37" s="926"/>
      <c r="EYG37" s="926"/>
      <c r="EYH37" s="926"/>
      <c r="EYI37" s="926"/>
      <c r="EYJ37" s="926"/>
      <c r="EYK37" s="926"/>
      <c r="EYL37" s="926"/>
      <c r="EYM37" s="926"/>
      <c r="EYN37" s="926"/>
      <c r="EYO37" s="926"/>
      <c r="EYP37" s="926"/>
      <c r="EYQ37" s="926"/>
      <c r="EYR37" s="926"/>
      <c r="EYS37" s="926"/>
      <c r="EYT37" s="926"/>
      <c r="EYU37" s="926"/>
      <c r="EYV37" s="926"/>
      <c r="EYW37" s="926"/>
      <c r="EYX37" s="926"/>
      <c r="EYY37" s="926"/>
      <c r="EYZ37" s="926"/>
      <c r="EZA37" s="926"/>
      <c r="EZB37" s="926"/>
      <c r="EZC37" s="926"/>
      <c r="EZD37" s="926"/>
      <c r="EZE37" s="926"/>
      <c r="EZF37" s="926"/>
      <c r="EZG37" s="926"/>
      <c r="EZH37" s="926"/>
      <c r="EZI37" s="926"/>
      <c r="EZJ37" s="926"/>
      <c r="EZK37" s="926"/>
      <c r="EZL37" s="926"/>
      <c r="EZM37" s="926"/>
      <c r="EZN37" s="926"/>
      <c r="EZO37" s="926"/>
      <c r="EZP37" s="926"/>
      <c r="EZQ37" s="926"/>
      <c r="EZR37" s="926"/>
      <c r="EZS37" s="926"/>
      <c r="EZT37" s="926"/>
      <c r="EZU37" s="926"/>
      <c r="EZV37" s="926"/>
      <c r="EZW37" s="926"/>
      <c r="EZX37" s="926"/>
      <c r="EZY37" s="926"/>
      <c r="EZZ37" s="926"/>
      <c r="FAA37" s="926"/>
      <c r="FAB37" s="926"/>
      <c r="FAC37" s="926"/>
      <c r="FAD37" s="926"/>
      <c r="FAE37" s="926"/>
      <c r="FAF37" s="926"/>
      <c r="FAG37" s="926"/>
      <c r="FAH37" s="926"/>
      <c r="FAI37" s="926"/>
      <c r="FAJ37" s="926"/>
      <c r="FAK37" s="926"/>
      <c r="FAL37" s="926"/>
      <c r="FAM37" s="926"/>
      <c r="FAN37" s="926"/>
      <c r="FAO37" s="926"/>
      <c r="FAP37" s="926"/>
      <c r="FAQ37" s="926"/>
      <c r="FAR37" s="926"/>
      <c r="FAS37" s="926"/>
      <c r="FAT37" s="926"/>
      <c r="FAU37" s="926"/>
      <c r="FAV37" s="926"/>
      <c r="FAW37" s="926"/>
      <c r="FAX37" s="926"/>
      <c r="FAY37" s="926"/>
      <c r="FAZ37" s="926"/>
      <c r="FBA37" s="926"/>
      <c r="FBB37" s="926"/>
      <c r="FBC37" s="926"/>
      <c r="FBD37" s="926"/>
      <c r="FBE37" s="926"/>
      <c r="FBF37" s="926"/>
      <c r="FBG37" s="926"/>
      <c r="FBH37" s="926"/>
      <c r="FBI37" s="926"/>
      <c r="FBJ37" s="926"/>
      <c r="FBK37" s="926"/>
      <c r="FBL37" s="926"/>
      <c r="FBM37" s="926"/>
      <c r="FBN37" s="926"/>
      <c r="FBO37" s="926"/>
      <c r="FBP37" s="926"/>
      <c r="FBQ37" s="926"/>
      <c r="FBR37" s="926"/>
      <c r="FBS37" s="926"/>
      <c r="FBT37" s="926"/>
      <c r="FBU37" s="926"/>
      <c r="FBV37" s="926"/>
      <c r="FBW37" s="926"/>
      <c r="FBX37" s="926"/>
      <c r="FBY37" s="926"/>
      <c r="FBZ37" s="926"/>
      <c r="FCA37" s="926"/>
      <c r="FCB37" s="926"/>
      <c r="FCC37" s="926"/>
      <c r="FCD37" s="926"/>
      <c r="FCE37" s="926"/>
      <c r="FCF37" s="926"/>
      <c r="FCG37" s="926"/>
      <c r="FCH37" s="926"/>
      <c r="FCI37" s="926"/>
      <c r="FCJ37" s="926"/>
      <c r="FCK37" s="926"/>
      <c r="FCL37" s="926"/>
      <c r="FCM37" s="926"/>
      <c r="FCN37" s="926"/>
      <c r="FCO37" s="926"/>
      <c r="FCP37" s="926"/>
      <c r="FCQ37" s="926"/>
      <c r="FCR37" s="926"/>
      <c r="FCS37" s="926"/>
      <c r="FCT37" s="926"/>
      <c r="FCU37" s="926"/>
      <c r="FCV37" s="926"/>
      <c r="FCW37" s="926"/>
      <c r="FCX37" s="926"/>
      <c r="FCY37" s="926"/>
      <c r="FCZ37" s="926"/>
      <c r="FDA37" s="926"/>
      <c r="FDB37" s="926"/>
      <c r="FDC37" s="926"/>
      <c r="FDD37" s="926"/>
      <c r="FDE37" s="926"/>
      <c r="FDF37" s="926"/>
      <c r="FDG37" s="926"/>
      <c r="FDH37" s="926"/>
      <c r="FDI37" s="926"/>
      <c r="FDJ37" s="926"/>
      <c r="FDK37" s="926"/>
      <c r="FDL37" s="926"/>
      <c r="FDM37" s="926"/>
      <c r="FDN37" s="926"/>
      <c r="FDO37" s="926"/>
      <c r="FDP37" s="926"/>
      <c r="FDQ37" s="926"/>
      <c r="FDR37" s="926"/>
      <c r="FDS37" s="926"/>
      <c r="FDT37" s="926"/>
      <c r="FDU37" s="926"/>
      <c r="FDV37" s="926"/>
      <c r="FDW37" s="926"/>
      <c r="FDX37" s="926"/>
      <c r="FDY37" s="926"/>
      <c r="FDZ37" s="926"/>
      <c r="FEA37" s="926"/>
      <c r="FEB37" s="926"/>
      <c r="FEC37" s="926"/>
      <c r="FED37" s="926"/>
      <c r="FEE37" s="926"/>
      <c r="FEF37" s="926"/>
      <c r="FEG37" s="926"/>
      <c r="FEH37" s="926"/>
      <c r="FEI37" s="926"/>
      <c r="FEJ37" s="926"/>
      <c r="FEK37" s="926"/>
      <c r="FEL37" s="926"/>
      <c r="FEM37" s="926"/>
      <c r="FEN37" s="926"/>
      <c r="FEO37" s="926"/>
      <c r="FEP37" s="926"/>
      <c r="FEQ37" s="926"/>
      <c r="FER37" s="926"/>
      <c r="FES37" s="926"/>
      <c r="FET37" s="926"/>
      <c r="FEU37" s="926"/>
      <c r="FEV37" s="926"/>
      <c r="FEW37" s="926"/>
      <c r="FEX37" s="926"/>
      <c r="FEY37" s="926"/>
      <c r="FEZ37" s="926"/>
      <c r="FFA37" s="926"/>
      <c r="FFB37" s="926"/>
      <c r="FFC37" s="926"/>
      <c r="FFD37" s="926"/>
      <c r="FFE37" s="926"/>
      <c r="FFF37" s="926"/>
      <c r="FFG37" s="926"/>
      <c r="FFH37" s="926"/>
      <c r="FFI37" s="926"/>
      <c r="FFJ37" s="926"/>
      <c r="FFK37" s="926"/>
      <c r="FFL37" s="926"/>
      <c r="FFM37" s="926"/>
      <c r="FFN37" s="926"/>
      <c r="FFO37" s="926"/>
      <c r="FFP37" s="926"/>
      <c r="FFQ37" s="926"/>
      <c r="FFR37" s="926"/>
      <c r="FFS37" s="926"/>
      <c r="FFT37" s="926"/>
      <c r="FFU37" s="926"/>
      <c r="FFV37" s="926"/>
      <c r="FFW37" s="926"/>
      <c r="FFX37" s="926"/>
      <c r="FFY37" s="926"/>
      <c r="FFZ37" s="926"/>
      <c r="FGA37" s="926"/>
      <c r="FGB37" s="926"/>
      <c r="FGC37" s="926"/>
      <c r="FGD37" s="926"/>
      <c r="FGE37" s="926"/>
      <c r="FGF37" s="926"/>
      <c r="FGG37" s="926"/>
      <c r="FGH37" s="926"/>
      <c r="FGI37" s="926"/>
      <c r="FGJ37" s="926"/>
      <c r="FGK37" s="926"/>
      <c r="FGL37" s="926"/>
      <c r="FGM37" s="926"/>
      <c r="FGN37" s="926"/>
      <c r="FGO37" s="926"/>
      <c r="FGP37" s="926"/>
      <c r="FGQ37" s="926"/>
      <c r="FGR37" s="926"/>
      <c r="FGS37" s="926"/>
      <c r="FGT37" s="926"/>
      <c r="FGU37" s="926"/>
      <c r="FGV37" s="926"/>
      <c r="FGW37" s="926"/>
      <c r="FGX37" s="926"/>
      <c r="FGY37" s="926"/>
      <c r="FGZ37" s="926"/>
      <c r="FHA37" s="926"/>
      <c r="FHB37" s="926"/>
      <c r="FHC37" s="926"/>
      <c r="FHD37" s="926"/>
      <c r="FHE37" s="926"/>
      <c r="FHF37" s="926"/>
      <c r="FHG37" s="926"/>
      <c r="FHH37" s="926"/>
      <c r="FHI37" s="926"/>
      <c r="FHJ37" s="926"/>
      <c r="FHK37" s="926"/>
      <c r="FHL37" s="926"/>
      <c r="FHM37" s="926"/>
      <c r="FHN37" s="926"/>
      <c r="FHO37" s="926"/>
      <c r="FHP37" s="926"/>
      <c r="FHQ37" s="926"/>
      <c r="FHR37" s="926"/>
      <c r="FHS37" s="926"/>
      <c r="FHT37" s="926"/>
      <c r="FHU37" s="926"/>
      <c r="FHV37" s="926"/>
      <c r="FHW37" s="926"/>
      <c r="FHX37" s="926"/>
      <c r="FHY37" s="926"/>
      <c r="FHZ37" s="926"/>
      <c r="FIA37" s="926"/>
      <c r="FIB37" s="926"/>
      <c r="FIC37" s="926"/>
      <c r="FID37" s="926"/>
      <c r="FIE37" s="926"/>
      <c r="FIF37" s="926"/>
      <c r="FIG37" s="926"/>
      <c r="FIH37" s="926"/>
      <c r="FII37" s="926"/>
      <c r="FIJ37" s="926"/>
      <c r="FIK37" s="926"/>
      <c r="FIL37" s="926"/>
      <c r="FIM37" s="926"/>
      <c r="FIN37" s="926"/>
      <c r="FIO37" s="926"/>
      <c r="FIP37" s="926"/>
      <c r="FIQ37" s="926"/>
      <c r="FIR37" s="926"/>
      <c r="FIS37" s="926"/>
      <c r="FIT37" s="926"/>
      <c r="FIU37" s="926"/>
      <c r="FIV37" s="926"/>
      <c r="FIW37" s="926"/>
      <c r="FIX37" s="926"/>
      <c r="FIY37" s="926"/>
      <c r="FIZ37" s="926"/>
      <c r="FJA37" s="926"/>
      <c r="FJB37" s="926"/>
      <c r="FJC37" s="926"/>
      <c r="FJD37" s="926"/>
      <c r="FJE37" s="926"/>
      <c r="FJF37" s="926"/>
      <c r="FJG37" s="926"/>
      <c r="FJH37" s="926"/>
      <c r="FJI37" s="926"/>
      <c r="FJJ37" s="926"/>
      <c r="FJK37" s="926"/>
      <c r="FJL37" s="926"/>
      <c r="FJM37" s="926"/>
      <c r="FJN37" s="926"/>
      <c r="FJO37" s="926"/>
      <c r="FJP37" s="926"/>
      <c r="FJQ37" s="926"/>
      <c r="FJR37" s="926"/>
      <c r="FJS37" s="926"/>
      <c r="FJT37" s="926"/>
      <c r="FJU37" s="926"/>
      <c r="FJV37" s="926"/>
      <c r="FJW37" s="926"/>
      <c r="FJX37" s="926"/>
      <c r="FJY37" s="926"/>
      <c r="FJZ37" s="926"/>
      <c r="FKA37" s="926"/>
      <c r="FKB37" s="926"/>
      <c r="FKC37" s="926"/>
      <c r="FKD37" s="926"/>
      <c r="FKE37" s="926"/>
      <c r="FKF37" s="926"/>
      <c r="FKG37" s="926"/>
      <c r="FKH37" s="926"/>
      <c r="FKI37" s="926"/>
      <c r="FKJ37" s="926"/>
      <c r="FKK37" s="926"/>
      <c r="FKL37" s="926"/>
      <c r="FKM37" s="926"/>
      <c r="FKN37" s="926"/>
      <c r="FKO37" s="926"/>
      <c r="FKP37" s="926"/>
      <c r="FKQ37" s="926"/>
      <c r="FKR37" s="926"/>
      <c r="FKS37" s="926"/>
      <c r="FKT37" s="926"/>
      <c r="FKU37" s="926"/>
      <c r="FKV37" s="926"/>
      <c r="FKW37" s="926"/>
      <c r="FKX37" s="926"/>
      <c r="FKY37" s="926"/>
      <c r="FKZ37" s="926"/>
      <c r="FLA37" s="926"/>
      <c r="FLB37" s="926"/>
      <c r="FLC37" s="926"/>
      <c r="FLD37" s="926"/>
      <c r="FLE37" s="926"/>
      <c r="FLF37" s="926"/>
      <c r="FLG37" s="926"/>
      <c r="FLH37" s="926"/>
      <c r="FLI37" s="926"/>
      <c r="FLJ37" s="926"/>
      <c r="FLK37" s="926"/>
      <c r="FLL37" s="926"/>
      <c r="FLM37" s="926"/>
      <c r="FLN37" s="926"/>
      <c r="FLO37" s="926"/>
      <c r="FLP37" s="926"/>
      <c r="FLQ37" s="926"/>
      <c r="FLR37" s="926"/>
      <c r="FLS37" s="926"/>
      <c r="FLT37" s="926"/>
      <c r="FLU37" s="926"/>
      <c r="FLV37" s="926"/>
      <c r="FLW37" s="926"/>
      <c r="FLX37" s="926"/>
      <c r="FLY37" s="926"/>
      <c r="FLZ37" s="926"/>
      <c r="FMA37" s="926"/>
      <c r="FMB37" s="926"/>
      <c r="FMC37" s="926"/>
      <c r="FMD37" s="926"/>
      <c r="FME37" s="926"/>
      <c r="FMF37" s="926"/>
      <c r="FMG37" s="926"/>
      <c r="FMH37" s="926"/>
      <c r="FMI37" s="926"/>
      <c r="FMJ37" s="926"/>
      <c r="FMK37" s="926"/>
      <c r="FML37" s="926"/>
      <c r="FMM37" s="926"/>
      <c r="FMN37" s="926"/>
      <c r="FMO37" s="926"/>
      <c r="FMP37" s="926"/>
      <c r="FMQ37" s="926"/>
      <c r="FMR37" s="926"/>
      <c r="FMS37" s="926"/>
      <c r="FMT37" s="926"/>
      <c r="FMU37" s="926"/>
      <c r="FMV37" s="926"/>
      <c r="FMW37" s="926"/>
      <c r="FMX37" s="926"/>
      <c r="FMY37" s="926"/>
      <c r="FMZ37" s="926"/>
      <c r="FNA37" s="926"/>
      <c r="FNB37" s="926"/>
      <c r="FNC37" s="926"/>
      <c r="FND37" s="926"/>
      <c r="FNE37" s="926"/>
      <c r="FNF37" s="926"/>
      <c r="FNG37" s="926"/>
      <c r="FNH37" s="926"/>
      <c r="FNI37" s="926"/>
      <c r="FNJ37" s="926"/>
      <c r="FNK37" s="926"/>
      <c r="FNL37" s="926"/>
      <c r="FNM37" s="926"/>
      <c r="FNN37" s="926"/>
      <c r="FNO37" s="926"/>
      <c r="FNP37" s="926"/>
      <c r="FNQ37" s="926"/>
      <c r="FNR37" s="926"/>
      <c r="FNS37" s="926"/>
      <c r="FNT37" s="926"/>
      <c r="FNU37" s="926"/>
      <c r="FNV37" s="926"/>
      <c r="FNW37" s="926"/>
      <c r="FNX37" s="926"/>
      <c r="FNY37" s="926"/>
      <c r="FNZ37" s="926"/>
      <c r="FOA37" s="926"/>
      <c r="FOB37" s="926"/>
      <c r="FOC37" s="926"/>
      <c r="FOD37" s="926"/>
      <c r="FOE37" s="926"/>
      <c r="FOF37" s="926"/>
      <c r="FOG37" s="926"/>
      <c r="FOH37" s="926"/>
      <c r="FOI37" s="926"/>
      <c r="FOJ37" s="926"/>
      <c r="FOK37" s="926"/>
      <c r="FOL37" s="926"/>
      <c r="FOM37" s="926"/>
      <c r="FON37" s="926"/>
      <c r="FOO37" s="926"/>
      <c r="FOP37" s="926"/>
      <c r="FOQ37" s="926"/>
      <c r="FOR37" s="926"/>
      <c r="FOS37" s="926"/>
      <c r="FOT37" s="926"/>
      <c r="FOU37" s="926"/>
      <c r="FOV37" s="926"/>
      <c r="FOW37" s="926"/>
      <c r="FOX37" s="926"/>
      <c r="FOY37" s="926"/>
      <c r="FOZ37" s="926"/>
      <c r="FPA37" s="926"/>
      <c r="FPB37" s="926"/>
      <c r="FPC37" s="926"/>
      <c r="FPD37" s="926"/>
      <c r="FPE37" s="926"/>
      <c r="FPF37" s="926"/>
      <c r="FPG37" s="926"/>
      <c r="FPH37" s="926"/>
      <c r="FPI37" s="926"/>
      <c r="FPJ37" s="926"/>
      <c r="FPK37" s="926"/>
      <c r="FPL37" s="926"/>
      <c r="FPM37" s="926"/>
      <c r="FPN37" s="926"/>
      <c r="FPO37" s="926"/>
      <c r="FPP37" s="926"/>
      <c r="FPQ37" s="926"/>
      <c r="FPR37" s="926"/>
      <c r="FPS37" s="926"/>
      <c r="FPT37" s="926"/>
      <c r="FPU37" s="926"/>
      <c r="FPV37" s="926"/>
      <c r="FPW37" s="926"/>
      <c r="FPX37" s="926"/>
      <c r="FPY37" s="926"/>
      <c r="FPZ37" s="926"/>
      <c r="FQA37" s="926"/>
      <c r="FQB37" s="926"/>
      <c r="FQC37" s="926"/>
      <c r="FQD37" s="926"/>
      <c r="FQE37" s="926"/>
      <c r="FQF37" s="926"/>
      <c r="FQG37" s="926"/>
      <c r="FQH37" s="926"/>
      <c r="FQI37" s="926"/>
      <c r="FQJ37" s="926"/>
      <c r="FQK37" s="926"/>
      <c r="FQL37" s="926"/>
      <c r="FQM37" s="926"/>
      <c r="FQN37" s="926"/>
      <c r="FQO37" s="926"/>
      <c r="FQP37" s="926"/>
      <c r="FQQ37" s="926"/>
      <c r="FQR37" s="926"/>
      <c r="FQS37" s="926"/>
      <c r="FQT37" s="926"/>
      <c r="FQU37" s="926"/>
      <c r="FQV37" s="926"/>
      <c r="FQW37" s="926"/>
      <c r="FQX37" s="926"/>
      <c r="FQY37" s="926"/>
      <c r="FQZ37" s="926"/>
      <c r="FRA37" s="926"/>
      <c r="FRB37" s="926"/>
      <c r="FRC37" s="926"/>
      <c r="FRD37" s="926"/>
      <c r="FRE37" s="926"/>
      <c r="FRF37" s="926"/>
      <c r="FRG37" s="926"/>
      <c r="FRH37" s="926"/>
      <c r="FRI37" s="926"/>
      <c r="FRJ37" s="926"/>
      <c r="FRK37" s="926"/>
      <c r="FRL37" s="926"/>
      <c r="FRM37" s="926"/>
      <c r="FRN37" s="926"/>
      <c r="FRO37" s="926"/>
      <c r="FRP37" s="926"/>
      <c r="FRQ37" s="926"/>
      <c r="FRR37" s="926"/>
      <c r="FRS37" s="926"/>
      <c r="FRT37" s="926"/>
      <c r="FRU37" s="926"/>
      <c r="FRV37" s="926"/>
      <c r="FRW37" s="926"/>
      <c r="FRX37" s="926"/>
      <c r="FRY37" s="926"/>
      <c r="FRZ37" s="926"/>
      <c r="FSA37" s="926"/>
      <c r="FSB37" s="926"/>
      <c r="FSC37" s="926"/>
      <c r="FSD37" s="926"/>
      <c r="FSE37" s="926"/>
      <c r="FSF37" s="926"/>
      <c r="FSG37" s="926"/>
      <c r="FSH37" s="926"/>
      <c r="FSI37" s="926"/>
      <c r="FSJ37" s="926"/>
      <c r="FSK37" s="926"/>
      <c r="FSL37" s="926"/>
      <c r="FSM37" s="926"/>
      <c r="FSN37" s="926"/>
      <c r="FSO37" s="926"/>
      <c r="FSP37" s="926"/>
      <c r="FSQ37" s="926"/>
      <c r="FSR37" s="926"/>
      <c r="FSS37" s="926"/>
      <c r="FST37" s="926"/>
      <c r="FSU37" s="926"/>
      <c r="FSV37" s="926"/>
      <c r="FSW37" s="926"/>
      <c r="FSX37" s="926"/>
      <c r="FSY37" s="926"/>
      <c r="FSZ37" s="926"/>
      <c r="FTA37" s="926"/>
      <c r="FTB37" s="926"/>
      <c r="FTC37" s="926"/>
      <c r="FTD37" s="926"/>
      <c r="FTE37" s="926"/>
      <c r="FTF37" s="926"/>
      <c r="FTG37" s="926"/>
      <c r="FTH37" s="926"/>
      <c r="FTI37" s="926"/>
      <c r="FTJ37" s="926"/>
      <c r="FTK37" s="926"/>
      <c r="FTL37" s="926"/>
      <c r="FTM37" s="926"/>
      <c r="FTN37" s="926"/>
      <c r="FTO37" s="926"/>
      <c r="FTP37" s="926"/>
      <c r="FTQ37" s="926"/>
      <c r="FTR37" s="926"/>
      <c r="FTS37" s="926"/>
      <c r="FTT37" s="926"/>
      <c r="FTU37" s="926"/>
      <c r="FTV37" s="926"/>
      <c r="FTW37" s="926"/>
      <c r="FTX37" s="926"/>
      <c r="FTY37" s="926"/>
      <c r="FTZ37" s="926"/>
      <c r="FUA37" s="926"/>
      <c r="FUB37" s="926"/>
      <c r="FUC37" s="926"/>
      <c r="FUD37" s="926"/>
      <c r="FUE37" s="926"/>
      <c r="FUF37" s="926"/>
      <c r="FUG37" s="926"/>
      <c r="FUH37" s="926"/>
      <c r="FUI37" s="926"/>
      <c r="FUJ37" s="926"/>
      <c r="FUK37" s="926"/>
      <c r="FUL37" s="926"/>
      <c r="FUM37" s="926"/>
      <c r="FUN37" s="926"/>
      <c r="FUO37" s="926"/>
      <c r="FUP37" s="926"/>
      <c r="FUQ37" s="926"/>
      <c r="FUR37" s="926"/>
      <c r="FUS37" s="926"/>
      <c r="FUT37" s="926"/>
      <c r="FUU37" s="926"/>
      <c r="FUV37" s="926"/>
      <c r="FUW37" s="926"/>
      <c r="FUX37" s="926"/>
      <c r="FUY37" s="926"/>
      <c r="FUZ37" s="926"/>
      <c r="FVA37" s="926"/>
      <c r="FVB37" s="926"/>
      <c r="FVC37" s="926"/>
      <c r="FVD37" s="926"/>
      <c r="FVE37" s="926"/>
      <c r="FVF37" s="926"/>
      <c r="FVG37" s="926"/>
      <c r="FVH37" s="926"/>
      <c r="FVI37" s="926"/>
      <c r="FVJ37" s="926"/>
      <c r="FVK37" s="926"/>
      <c r="FVL37" s="926"/>
      <c r="FVM37" s="926"/>
      <c r="FVN37" s="926"/>
      <c r="FVO37" s="926"/>
      <c r="FVP37" s="926"/>
      <c r="FVQ37" s="926"/>
      <c r="FVR37" s="926"/>
      <c r="FVS37" s="926"/>
      <c r="FVT37" s="926"/>
      <c r="FVU37" s="926"/>
      <c r="FVV37" s="926"/>
      <c r="FVW37" s="926"/>
      <c r="FVX37" s="926"/>
      <c r="FVY37" s="926"/>
      <c r="FVZ37" s="926"/>
      <c r="FWA37" s="926"/>
      <c r="FWB37" s="926"/>
      <c r="FWC37" s="926"/>
      <c r="FWD37" s="926"/>
      <c r="FWE37" s="926"/>
      <c r="FWF37" s="926"/>
      <c r="FWG37" s="926"/>
      <c r="FWH37" s="926"/>
      <c r="FWI37" s="926"/>
      <c r="FWJ37" s="926"/>
      <c r="FWK37" s="926"/>
      <c r="FWL37" s="926"/>
      <c r="FWM37" s="926"/>
      <c r="FWN37" s="926"/>
      <c r="FWO37" s="926"/>
      <c r="FWP37" s="926"/>
      <c r="FWQ37" s="926"/>
      <c r="FWR37" s="926"/>
      <c r="FWS37" s="926"/>
      <c r="FWT37" s="926"/>
      <c r="FWU37" s="926"/>
      <c r="FWV37" s="926"/>
      <c r="FWW37" s="926"/>
      <c r="FWX37" s="926"/>
      <c r="FWY37" s="926"/>
      <c r="FWZ37" s="926"/>
      <c r="FXA37" s="926"/>
      <c r="FXB37" s="926"/>
      <c r="FXC37" s="926"/>
      <c r="FXD37" s="926"/>
      <c r="FXE37" s="926"/>
      <c r="FXF37" s="926"/>
      <c r="FXG37" s="926"/>
      <c r="FXH37" s="926"/>
      <c r="FXI37" s="926"/>
      <c r="FXJ37" s="926"/>
      <c r="FXK37" s="926"/>
      <c r="FXL37" s="926"/>
      <c r="FXM37" s="926"/>
      <c r="FXN37" s="926"/>
      <c r="FXO37" s="926"/>
      <c r="FXP37" s="926"/>
      <c r="FXQ37" s="926"/>
      <c r="FXR37" s="926"/>
      <c r="FXS37" s="926"/>
      <c r="FXT37" s="926"/>
      <c r="FXU37" s="926"/>
      <c r="FXV37" s="926"/>
      <c r="FXW37" s="926"/>
      <c r="FXX37" s="926"/>
      <c r="FXY37" s="926"/>
      <c r="FXZ37" s="926"/>
      <c r="FYA37" s="926"/>
      <c r="FYB37" s="926"/>
      <c r="FYC37" s="926"/>
      <c r="FYD37" s="926"/>
      <c r="FYE37" s="926"/>
      <c r="FYF37" s="926"/>
      <c r="FYG37" s="926"/>
      <c r="FYH37" s="926"/>
      <c r="FYI37" s="926"/>
      <c r="FYJ37" s="926"/>
      <c r="FYK37" s="926"/>
      <c r="FYL37" s="926"/>
      <c r="FYM37" s="926"/>
      <c r="FYN37" s="926"/>
      <c r="FYO37" s="926"/>
      <c r="FYP37" s="926"/>
      <c r="FYQ37" s="926"/>
      <c r="FYR37" s="926"/>
      <c r="FYS37" s="926"/>
      <c r="FYT37" s="926"/>
      <c r="FYU37" s="926"/>
      <c r="FYV37" s="926"/>
      <c r="FYW37" s="926"/>
      <c r="FYX37" s="926"/>
      <c r="FYY37" s="926"/>
      <c r="FYZ37" s="926"/>
      <c r="FZA37" s="926"/>
      <c r="FZB37" s="926"/>
      <c r="FZC37" s="926"/>
      <c r="FZD37" s="926"/>
      <c r="FZE37" s="926"/>
      <c r="FZF37" s="926"/>
      <c r="FZG37" s="926"/>
      <c r="FZH37" s="926"/>
      <c r="FZI37" s="926"/>
      <c r="FZJ37" s="926"/>
      <c r="FZK37" s="926"/>
      <c r="FZL37" s="926"/>
      <c r="FZM37" s="926"/>
      <c r="FZN37" s="926"/>
      <c r="FZO37" s="926"/>
      <c r="FZP37" s="926"/>
      <c r="FZQ37" s="926"/>
      <c r="FZR37" s="926"/>
      <c r="FZS37" s="926"/>
      <c r="FZT37" s="926"/>
      <c r="FZU37" s="926"/>
      <c r="FZV37" s="926"/>
      <c r="FZW37" s="926"/>
      <c r="FZX37" s="926"/>
      <c r="FZY37" s="926"/>
      <c r="FZZ37" s="926"/>
      <c r="GAA37" s="926"/>
      <c r="GAB37" s="926"/>
      <c r="GAC37" s="926"/>
      <c r="GAD37" s="926"/>
      <c r="GAE37" s="926"/>
      <c r="GAF37" s="926"/>
      <c r="GAG37" s="926"/>
      <c r="GAH37" s="926"/>
      <c r="GAI37" s="926"/>
      <c r="GAJ37" s="926"/>
      <c r="GAK37" s="926"/>
      <c r="GAL37" s="926"/>
      <c r="GAM37" s="926"/>
      <c r="GAN37" s="926"/>
      <c r="GAO37" s="926"/>
      <c r="GAP37" s="926"/>
      <c r="GAQ37" s="926"/>
      <c r="GAR37" s="926"/>
      <c r="GAS37" s="926"/>
      <c r="GAT37" s="926"/>
      <c r="GAU37" s="926"/>
      <c r="GAV37" s="926"/>
      <c r="GAW37" s="926"/>
      <c r="GAX37" s="926"/>
      <c r="GAY37" s="926"/>
      <c r="GAZ37" s="926"/>
      <c r="GBA37" s="926"/>
      <c r="GBB37" s="926"/>
      <c r="GBC37" s="926"/>
      <c r="GBD37" s="926"/>
      <c r="GBE37" s="926"/>
      <c r="GBF37" s="926"/>
      <c r="GBG37" s="926"/>
      <c r="GBH37" s="926"/>
      <c r="GBI37" s="926"/>
      <c r="GBJ37" s="926"/>
      <c r="GBK37" s="926"/>
      <c r="GBL37" s="926"/>
      <c r="GBM37" s="926"/>
      <c r="GBN37" s="926"/>
      <c r="GBO37" s="926"/>
      <c r="GBP37" s="926"/>
      <c r="GBQ37" s="926"/>
      <c r="GBR37" s="926"/>
      <c r="GBS37" s="926"/>
      <c r="GBT37" s="926"/>
      <c r="GBU37" s="926"/>
      <c r="GBV37" s="926"/>
      <c r="GBW37" s="926"/>
      <c r="GBX37" s="926"/>
      <c r="GBY37" s="926"/>
      <c r="GBZ37" s="926"/>
      <c r="GCA37" s="926"/>
      <c r="GCB37" s="926"/>
      <c r="GCC37" s="926"/>
      <c r="GCD37" s="926"/>
      <c r="GCE37" s="926"/>
      <c r="GCF37" s="926"/>
      <c r="GCG37" s="926"/>
      <c r="GCH37" s="926"/>
      <c r="GCI37" s="926"/>
      <c r="GCJ37" s="926"/>
      <c r="GCK37" s="926"/>
      <c r="GCL37" s="926"/>
      <c r="GCM37" s="926"/>
      <c r="GCN37" s="926"/>
      <c r="GCO37" s="926"/>
      <c r="GCP37" s="926"/>
      <c r="GCQ37" s="926"/>
      <c r="GCR37" s="926"/>
      <c r="GCS37" s="926"/>
      <c r="GCT37" s="926"/>
      <c r="GCU37" s="926"/>
      <c r="GCV37" s="926"/>
      <c r="GCW37" s="926"/>
      <c r="GCX37" s="926"/>
      <c r="GCY37" s="926"/>
      <c r="GCZ37" s="926"/>
      <c r="GDA37" s="926"/>
      <c r="GDB37" s="926"/>
      <c r="GDC37" s="926"/>
      <c r="GDD37" s="926"/>
      <c r="GDE37" s="926"/>
      <c r="GDF37" s="926"/>
      <c r="GDG37" s="926"/>
      <c r="GDH37" s="926"/>
      <c r="GDI37" s="926"/>
      <c r="GDJ37" s="926"/>
      <c r="GDK37" s="926"/>
      <c r="GDL37" s="926"/>
      <c r="GDM37" s="926"/>
      <c r="GDN37" s="926"/>
      <c r="GDO37" s="926"/>
      <c r="GDP37" s="926"/>
      <c r="GDQ37" s="926"/>
      <c r="GDR37" s="926"/>
      <c r="GDS37" s="926"/>
      <c r="GDT37" s="926"/>
      <c r="GDU37" s="926"/>
      <c r="GDV37" s="926"/>
      <c r="GDW37" s="926"/>
      <c r="GDX37" s="926"/>
      <c r="GDY37" s="926"/>
      <c r="GDZ37" s="926"/>
      <c r="GEA37" s="926"/>
      <c r="GEB37" s="926"/>
      <c r="GEC37" s="926"/>
      <c r="GED37" s="926"/>
      <c r="GEE37" s="926"/>
      <c r="GEF37" s="926"/>
      <c r="GEG37" s="926"/>
      <c r="GEH37" s="926"/>
      <c r="GEI37" s="926"/>
      <c r="GEJ37" s="926"/>
      <c r="GEK37" s="926"/>
      <c r="GEL37" s="926"/>
      <c r="GEM37" s="926"/>
      <c r="GEN37" s="926"/>
      <c r="GEO37" s="926"/>
      <c r="GEP37" s="926"/>
      <c r="GEQ37" s="926"/>
      <c r="GER37" s="926"/>
      <c r="GES37" s="926"/>
      <c r="GET37" s="926"/>
      <c r="GEU37" s="926"/>
      <c r="GEV37" s="926"/>
      <c r="GEW37" s="926"/>
      <c r="GEX37" s="926"/>
      <c r="GEY37" s="926"/>
      <c r="GEZ37" s="926"/>
      <c r="GFA37" s="926"/>
      <c r="GFB37" s="926"/>
      <c r="GFC37" s="926"/>
      <c r="GFD37" s="926"/>
      <c r="GFE37" s="926"/>
      <c r="GFF37" s="926"/>
      <c r="GFG37" s="926"/>
      <c r="GFH37" s="926"/>
      <c r="GFI37" s="926"/>
      <c r="GFJ37" s="926"/>
      <c r="GFK37" s="926"/>
      <c r="GFL37" s="926"/>
      <c r="GFM37" s="926"/>
      <c r="GFN37" s="926"/>
      <c r="GFO37" s="926"/>
      <c r="GFP37" s="926"/>
      <c r="GFQ37" s="926"/>
      <c r="GFR37" s="926"/>
      <c r="GFS37" s="926"/>
      <c r="GFT37" s="926"/>
      <c r="GFU37" s="926"/>
      <c r="GFV37" s="926"/>
      <c r="GFW37" s="926"/>
      <c r="GFX37" s="926"/>
      <c r="GFY37" s="926"/>
      <c r="GFZ37" s="926"/>
      <c r="GGA37" s="926"/>
      <c r="GGB37" s="926"/>
      <c r="GGC37" s="926"/>
      <c r="GGD37" s="926"/>
      <c r="GGE37" s="926"/>
      <c r="GGF37" s="926"/>
      <c r="GGG37" s="926"/>
      <c r="GGH37" s="926"/>
      <c r="GGI37" s="926"/>
      <c r="GGJ37" s="926"/>
      <c r="GGK37" s="926"/>
      <c r="GGL37" s="926"/>
      <c r="GGM37" s="926"/>
      <c r="GGN37" s="926"/>
      <c r="GGO37" s="926"/>
      <c r="GGP37" s="926"/>
      <c r="GGQ37" s="926"/>
      <c r="GGR37" s="926"/>
      <c r="GGS37" s="926"/>
      <c r="GGT37" s="926"/>
      <c r="GGU37" s="926"/>
      <c r="GGV37" s="926"/>
      <c r="GGW37" s="926"/>
      <c r="GGX37" s="926"/>
      <c r="GGY37" s="926"/>
      <c r="GGZ37" s="926"/>
      <c r="GHA37" s="926"/>
      <c r="GHB37" s="926"/>
      <c r="GHC37" s="926"/>
      <c r="GHD37" s="926"/>
      <c r="GHE37" s="926"/>
      <c r="GHF37" s="926"/>
      <c r="GHG37" s="926"/>
      <c r="GHH37" s="926"/>
      <c r="GHI37" s="926"/>
      <c r="GHJ37" s="926"/>
      <c r="GHK37" s="926"/>
      <c r="GHL37" s="926"/>
      <c r="GHM37" s="926"/>
      <c r="GHN37" s="926"/>
      <c r="GHO37" s="926"/>
      <c r="GHP37" s="926"/>
      <c r="GHQ37" s="926"/>
      <c r="GHR37" s="926"/>
      <c r="GHS37" s="926"/>
      <c r="GHT37" s="926"/>
      <c r="GHU37" s="926"/>
      <c r="GHV37" s="926"/>
      <c r="GHW37" s="926"/>
      <c r="GHX37" s="926"/>
      <c r="GHY37" s="926"/>
      <c r="GHZ37" s="926"/>
      <c r="GIA37" s="926"/>
      <c r="GIB37" s="926"/>
      <c r="GIC37" s="926"/>
      <c r="GID37" s="926"/>
      <c r="GIE37" s="926"/>
      <c r="GIF37" s="926"/>
      <c r="GIG37" s="926"/>
      <c r="GIH37" s="926"/>
      <c r="GII37" s="926"/>
      <c r="GIJ37" s="926"/>
      <c r="GIK37" s="926"/>
      <c r="GIL37" s="926"/>
      <c r="GIM37" s="926"/>
      <c r="GIN37" s="926"/>
      <c r="GIO37" s="926"/>
      <c r="GIP37" s="926"/>
      <c r="GIQ37" s="926"/>
      <c r="GIR37" s="926"/>
      <c r="GIS37" s="926"/>
      <c r="GIT37" s="926"/>
      <c r="GIU37" s="926"/>
      <c r="GIV37" s="926"/>
      <c r="GIW37" s="926"/>
      <c r="GIX37" s="926"/>
      <c r="GIY37" s="926"/>
      <c r="GIZ37" s="926"/>
      <c r="GJA37" s="926"/>
      <c r="GJB37" s="926"/>
      <c r="GJC37" s="926"/>
      <c r="GJD37" s="926"/>
      <c r="GJE37" s="926"/>
      <c r="GJF37" s="926"/>
      <c r="GJG37" s="926"/>
      <c r="GJH37" s="926"/>
      <c r="GJI37" s="926"/>
      <c r="GJJ37" s="926"/>
      <c r="GJK37" s="926"/>
      <c r="GJL37" s="926"/>
      <c r="GJM37" s="926"/>
      <c r="GJN37" s="926"/>
      <c r="GJO37" s="926"/>
      <c r="GJP37" s="926"/>
      <c r="GJQ37" s="926"/>
      <c r="GJR37" s="926"/>
      <c r="GJS37" s="926"/>
      <c r="GJT37" s="926"/>
      <c r="GJU37" s="926"/>
      <c r="GJV37" s="926"/>
      <c r="GJW37" s="926"/>
      <c r="GJX37" s="926"/>
      <c r="GJY37" s="926"/>
      <c r="GJZ37" s="926"/>
      <c r="GKA37" s="926"/>
      <c r="GKB37" s="926"/>
      <c r="GKC37" s="926"/>
      <c r="GKD37" s="926"/>
      <c r="GKE37" s="926"/>
      <c r="GKF37" s="926"/>
      <c r="GKG37" s="926"/>
      <c r="GKH37" s="926"/>
      <c r="GKI37" s="926"/>
      <c r="GKJ37" s="926"/>
      <c r="GKK37" s="926"/>
      <c r="GKL37" s="926"/>
      <c r="GKM37" s="926"/>
      <c r="GKN37" s="926"/>
      <c r="GKO37" s="926"/>
      <c r="GKP37" s="926"/>
      <c r="GKQ37" s="926"/>
      <c r="GKR37" s="926"/>
      <c r="GKS37" s="926"/>
      <c r="GKT37" s="926"/>
      <c r="GKU37" s="926"/>
      <c r="GKV37" s="926"/>
      <c r="GKW37" s="926"/>
      <c r="GKX37" s="926"/>
      <c r="GKY37" s="926"/>
      <c r="GKZ37" s="926"/>
      <c r="GLA37" s="926"/>
      <c r="GLB37" s="926"/>
      <c r="GLC37" s="926"/>
      <c r="GLD37" s="926"/>
      <c r="GLE37" s="926"/>
      <c r="GLF37" s="926"/>
      <c r="GLG37" s="926"/>
      <c r="GLH37" s="926"/>
      <c r="GLI37" s="926"/>
      <c r="GLJ37" s="926"/>
      <c r="GLK37" s="926"/>
      <c r="GLL37" s="926"/>
      <c r="GLM37" s="926"/>
      <c r="GLN37" s="926"/>
      <c r="GLO37" s="926"/>
      <c r="GLP37" s="926"/>
      <c r="GLQ37" s="926"/>
      <c r="GLR37" s="926"/>
      <c r="GLS37" s="926"/>
      <c r="GLT37" s="926"/>
      <c r="GLU37" s="926"/>
      <c r="GLV37" s="926"/>
      <c r="GLW37" s="926"/>
      <c r="GLX37" s="926"/>
      <c r="GLY37" s="926"/>
      <c r="GLZ37" s="926"/>
      <c r="GMA37" s="926"/>
      <c r="GMB37" s="926"/>
      <c r="GMC37" s="926"/>
      <c r="GMD37" s="926"/>
      <c r="GME37" s="926"/>
      <c r="GMF37" s="926"/>
      <c r="GMG37" s="926"/>
      <c r="GMH37" s="926"/>
      <c r="GMI37" s="926"/>
      <c r="GMJ37" s="926"/>
      <c r="GMK37" s="926"/>
      <c r="GML37" s="926"/>
      <c r="GMM37" s="926"/>
      <c r="GMN37" s="926"/>
      <c r="GMO37" s="926"/>
      <c r="GMP37" s="926"/>
      <c r="GMQ37" s="926"/>
      <c r="GMR37" s="926"/>
      <c r="GMS37" s="926"/>
      <c r="GMT37" s="926"/>
      <c r="GMU37" s="926"/>
      <c r="GMV37" s="926"/>
      <c r="GMW37" s="926"/>
      <c r="GMX37" s="926"/>
      <c r="GMY37" s="926"/>
      <c r="GMZ37" s="926"/>
      <c r="GNA37" s="926"/>
      <c r="GNB37" s="926"/>
      <c r="GNC37" s="926"/>
      <c r="GND37" s="926"/>
      <c r="GNE37" s="926"/>
      <c r="GNF37" s="926"/>
      <c r="GNG37" s="926"/>
      <c r="GNH37" s="926"/>
      <c r="GNI37" s="926"/>
      <c r="GNJ37" s="926"/>
      <c r="GNK37" s="926"/>
      <c r="GNL37" s="926"/>
      <c r="GNM37" s="926"/>
      <c r="GNN37" s="926"/>
      <c r="GNO37" s="926"/>
      <c r="GNP37" s="926"/>
      <c r="GNQ37" s="926"/>
      <c r="GNR37" s="926"/>
      <c r="GNS37" s="926"/>
      <c r="GNT37" s="926"/>
      <c r="GNU37" s="926"/>
      <c r="GNV37" s="926"/>
      <c r="GNW37" s="926"/>
      <c r="GNX37" s="926"/>
      <c r="GNY37" s="926"/>
      <c r="GNZ37" s="926"/>
      <c r="GOA37" s="926"/>
      <c r="GOB37" s="926"/>
      <c r="GOC37" s="926"/>
      <c r="GOD37" s="926"/>
      <c r="GOE37" s="926"/>
      <c r="GOF37" s="926"/>
      <c r="GOG37" s="926"/>
      <c r="GOH37" s="926"/>
      <c r="GOI37" s="926"/>
      <c r="GOJ37" s="926"/>
      <c r="GOK37" s="926"/>
      <c r="GOL37" s="926"/>
      <c r="GOM37" s="926"/>
      <c r="GON37" s="926"/>
      <c r="GOO37" s="926"/>
      <c r="GOP37" s="926"/>
      <c r="GOQ37" s="926"/>
      <c r="GOR37" s="926"/>
      <c r="GOS37" s="926"/>
      <c r="GOT37" s="926"/>
      <c r="GOU37" s="926"/>
      <c r="GOV37" s="926"/>
      <c r="GOW37" s="926"/>
      <c r="GOX37" s="926"/>
      <c r="GOY37" s="926"/>
      <c r="GOZ37" s="926"/>
      <c r="GPA37" s="926"/>
      <c r="GPB37" s="926"/>
      <c r="GPC37" s="926"/>
      <c r="GPD37" s="926"/>
      <c r="GPE37" s="926"/>
      <c r="GPF37" s="926"/>
      <c r="GPG37" s="926"/>
      <c r="GPH37" s="926"/>
      <c r="GPI37" s="926"/>
      <c r="GPJ37" s="926"/>
      <c r="GPK37" s="926"/>
      <c r="GPL37" s="926"/>
      <c r="GPM37" s="926"/>
      <c r="GPN37" s="926"/>
      <c r="GPO37" s="926"/>
      <c r="GPP37" s="926"/>
      <c r="GPQ37" s="926"/>
      <c r="GPR37" s="926"/>
      <c r="GPS37" s="926"/>
      <c r="GPT37" s="926"/>
      <c r="GPU37" s="926"/>
      <c r="GPV37" s="926"/>
      <c r="GPW37" s="926"/>
      <c r="GPX37" s="926"/>
      <c r="GPY37" s="926"/>
      <c r="GPZ37" s="926"/>
      <c r="GQA37" s="926"/>
      <c r="GQB37" s="926"/>
      <c r="GQC37" s="926"/>
      <c r="GQD37" s="926"/>
      <c r="GQE37" s="926"/>
      <c r="GQF37" s="926"/>
      <c r="GQG37" s="926"/>
      <c r="GQH37" s="926"/>
      <c r="GQI37" s="926"/>
      <c r="GQJ37" s="926"/>
      <c r="GQK37" s="926"/>
      <c r="GQL37" s="926"/>
      <c r="GQM37" s="926"/>
      <c r="GQN37" s="926"/>
      <c r="GQO37" s="926"/>
      <c r="GQP37" s="926"/>
      <c r="GQQ37" s="926"/>
      <c r="GQR37" s="926"/>
      <c r="GQS37" s="926"/>
      <c r="GQT37" s="926"/>
      <c r="GQU37" s="926"/>
      <c r="GQV37" s="926"/>
      <c r="GQW37" s="926"/>
      <c r="GQX37" s="926"/>
      <c r="GQY37" s="926"/>
      <c r="GQZ37" s="926"/>
      <c r="GRA37" s="926"/>
      <c r="GRB37" s="926"/>
      <c r="GRC37" s="926"/>
      <c r="GRD37" s="926"/>
      <c r="GRE37" s="926"/>
      <c r="GRF37" s="926"/>
      <c r="GRG37" s="926"/>
      <c r="GRH37" s="926"/>
      <c r="GRI37" s="926"/>
      <c r="GRJ37" s="926"/>
      <c r="GRK37" s="926"/>
      <c r="GRL37" s="926"/>
      <c r="GRM37" s="926"/>
      <c r="GRN37" s="926"/>
      <c r="GRO37" s="926"/>
      <c r="GRP37" s="926"/>
      <c r="GRQ37" s="926"/>
      <c r="GRR37" s="926"/>
      <c r="GRS37" s="926"/>
      <c r="GRT37" s="926"/>
      <c r="GRU37" s="926"/>
      <c r="GRV37" s="926"/>
      <c r="GRW37" s="926"/>
      <c r="GRX37" s="926"/>
      <c r="GRY37" s="926"/>
      <c r="GRZ37" s="926"/>
      <c r="GSA37" s="926"/>
      <c r="GSB37" s="926"/>
      <c r="GSC37" s="926"/>
      <c r="GSD37" s="926"/>
      <c r="GSE37" s="926"/>
      <c r="GSF37" s="926"/>
      <c r="GSG37" s="926"/>
      <c r="GSH37" s="926"/>
      <c r="GSI37" s="926"/>
      <c r="GSJ37" s="926"/>
      <c r="GSK37" s="926"/>
      <c r="GSL37" s="926"/>
      <c r="GSM37" s="926"/>
      <c r="GSN37" s="926"/>
      <c r="GSO37" s="926"/>
      <c r="GSP37" s="926"/>
      <c r="GSQ37" s="926"/>
      <c r="GSR37" s="926"/>
      <c r="GSS37" s="926"/>
      <c r="GST37" s="926"/>
      <c r="GSU37" s="926"/>
      <c r="GSV37" s="926"/>
      <c r="GSW37" s="926"/>
      <c r="GSX37" s="926"/>
      <c r="GSY37" s="926"/>
      <c r="GSZ37" s="926"/>
      <c r="GTA37" s="926"/>
      <c r="GTB37" s="926"/>
      <c r="GTC37" s="926"/>
      <c r="GTD37" s="926"/>
      <c r="GTE37" s="926"/>
      <c r="GTF37" s="926"/>
      <c r="GTG37" s="926"/>
      <c r="GTH37" s="926"/>
      <c r="GTI37" s="926"/>
      <c r="GTJ37" s="926"/>
      <c r="GTK37" s="926"/>
      <c r="GTL37" s="926"/>
      <c r="GTM37" s="926"/>
      <c r="GTN37" s="926"/>
      <c r="GTO37" s="926"/>
      <c r="GTP37" s="926"/>
      <c r="GTQ37" s="926"/>
      <c r="GTR37" s="926"/>
      <c r="GTS37" s="926"/>
      <c r="GTT37" s="926"/>
      <c r="GTU37" s="926"/>
      <c r="GTV37" s="926"/>
      <c r="GTW37" s="926"/>
      <c r="GTX37" s="926"/>
      <c r="GTY37" s="926"/>
      <c r="GTZ37" s="926"/>
      <c r="GUA37" s="926"/>
      <c r="GUB37" s="926"/>
      <c r="GUC37" s="926"/>
      <c r="GUD37" s="926"/>
      <c r="GUE37" s="926"/>
      <c r="GUF37" s="926"/>
      <c r="GUG37" s="926"/>
      <c r="GUH37" s="926"/>
      <c r="GUI37" s="926"/>
      <c r="GUJ37" s="926"/>
      <c r="GUK37" s="926"/>
      <c r="GUL37" s="926"/>
      <c r="GUM37" s="926"/>
      <c r="GUN37" s="926"/>
      <c r="GUO37" s="926"/>
      <c r="GUP37" s="926"/>
      <c r="GUQ37" s="926"/>
      <c r="GUR37" s="926"/>
      <c r="GUS37" s="926"/>
      <c r="GUT37" s="926"/>
      <c r="GUU37" s="926"/>
      <c r="GUV37" s="926"/>
      <c r="GUW37" s="926"/>
      <c r="GUX37" s="926"/>
      <c r="GUY37" s="926"/>
      <c r="GUZ37" s="926"/>
      <c r="GVA37" s="926"/>
      <c r="GVB37" s="926"/>
      <c r="GVC37" s="926"/>
      <c r="GVD37" s="926"/>
      <c r="GVE37" s="926"/>
      <c r="GVF37" s="926"/>
      <c r="GVG37" s="926"/>
      <c r="GVH37" s="926"/>
      <c r="GVI37" s="926"/>
      <c r="GVJ37" s="926"/>
      <c r="GVK37" s="926"/>
      <c r="GVL37" s="926"/>
      <c r="GVM37" s="926"/>
      <c r="GVN37" s="926"/>
      <c r="GVO37" s="926"/>
      <c r="GVP37" s="926"/>
      <c r="GVQ37" s="926"/>
      <c r="GVR37" s="926"/>
      <c r="GVS37" s="926"/>
      <c r="GVT37" s="926"/>
      <c r="GVU37" s="926"/>
      <c r="GVV37" s="926"/>
      <c r="GVW37" s="926"/>
      <c r="GVX37" s="926"/>
      <c r="GVY37" s="926"/>
      <c r="GVZ37" s="926"/>
      <c r="GWA37" s="926"/>
      <c r="GWB37" s="926"/>
      <c r="GWC37" s="926"/>
      <c r="GWD37" s="926"/>
      <c r="GWE37" s="926"/>
      <c r="GWF37" s="926"/>
      <c r="GWG37" s="926"/>
      <c r="GWH37" s="926"/>
      <c r="GWI37" s="926"/>
      <c r="GWJ37" s="926"/>
      <c r="GWK37" s="926"/>
      <c r="GWL37" s="926"/>
      <c r="GWM37" s="926"/>
      <c r="GWN37" s="926"/>
      <c r="GWO37" s="926"/>
      <c r="GWP37" s="926"/>
      <c r="GWQ37" s="926"/>
      <c r="GWR37" s="926"/>
      <c r="GWS37" s="926"/>
      <c r="GWT37" s="926"/>
      <c r="GWU37" s="926"/>
      <c r="GWV37" s="926"/>
      <c r="GWW37" s="926"/>
      <c r="GWX37" s="926"/>
      <c r="GWY37" s="926"/>
      <c r="GWZ37" s="926"/>
      <c r="GXA37" s="926"/>
      <c r="GXB37" s="926"/>
      <c r="GXC37" s="926"/>
      <c r="GXD37" s="926"/>
      <c r="GXE37" s="926"/>
      <c r="GXF37" s="926"/>
      <c r="GXG37" s="926"/>
      <c r="GXH37" s="926"/>
      <c r="GXI37" s="926"/>
      <c r="GXJ37" s="926"/>
      <c r="GXK37" s="926"/>
      <c r="GXL37" s="926"/>
      <c r="GXM37" s="926"/>
      <c r="GXN37" s="926"/>
      <c r="GXO37" s="926"/>
      <c r="GXP37" s="926"/>
      <c r="GXQ37" s="926"/>
      <c r="GXR37" s="926"/>
      <c r="GXS37" s="926"/>
      <c r="GXT37" s="926"/>
      <c r="GXU37" s="926"/>
      <c r="GXV37" s="926"/>
      <c r="GXW37" s="926"/>
      <c r="GXX37" s="926"/>
      <c r="GXY37" s="926"/>
      <c r="GXZ37" s="926"/>
      <c r="GYA37" s="926"/>
      <c r="GYB37" s="926"/>
      <c r="GYC37" s="926"/>
      <c r="GYD37" s="926"/>
      <c r="GYE37" s="926"/>
      <c r="GYF37" s="926"/>
      <c r="GYG37" s="926"/>
      <c r="GYH37" s="926"/>
      <c r="GYI37" s="926"/>
      <c r="GYJ37" s="926"/>
      <c r="GYK37" s="926"/>
      <c r="GYL37" s="926"/>
      <c r="GYM37" s="926"/>
      <c r="GYN37" s="926"/>
      <c r="GYO37" s="926"/>
      <c r="GYP37" s="926"/>
      <c r="GYQ37" s="926"/>
      <c r="GYR37" s="926"/>
      <c r="GYS37" s="926"/>
      <c r="GYT37" s="926"/>
      <c r="GYU37" s="926"/>
      <c r="GYV37" s="926"/>
      <c r="GYW37" s="926"/>
      <c r="GYX37" s="926"/>
      <c r="GYY37" s="926"/>
      <c r="GYZ37" s="926"/>
      <c r="GZA37" s="926"/>
      <c r="GZB37" s="926"/>
      <c r="GZC37" s="926"/>
      <c r="GZD37" s="926"/>
      <c r="GZE37" s="926"/>
      <c r="GZF37" s="926"/>
      <c r="GZG37" s="926"/>
      <c r="GZH37" s="926"/>
      <c r="GZI37" s="926"/>
      <c r="GZJ37" s="926"/>
      <c r="GZK37" s="926"/>
      <c r="GZL37" s="926"/>
      <c r="GZM37" s="926"/>
      <c r="GZN37" s="926"/>
      <c r="GZO37" s="926"/>
      <c r="GZP37" s="926"/>
      <c r="GZQ37" s="926"/>
      <c r="GZR37" s="926"/>
      <c r="GZS37" s="926"/>
      <c r="GZT37" s="926"/>
      <c r="GZU37" s="926"/>
      <c r="GZV37" s="926"/>
      <c r="GZW37" s="926"/>
      <c r="GZX37" s="926"/>
      <c r="GZY37" s="926"/>
      <c r="GZZ37" s="926"/>
      <c r="HAA37" s="926"/>
      <c r="HAB37" s="926"/>
      <c r="HAC37" s="926"/>
      <c r="HAD37" s="926"/>
      <c r="HAE37" s="926"/>
      <c r="HAF37" s="926"/>
      <c r="HAG37" s="926"/>
      <c r="HAH37" s="926"/>
      <c r="HAI37" s="926"/>
      <c r="HAJ37" s="926"/>
      <c r="HAK37" s="926"/>
      <c r="HAL37" s="926"/>
      <c r="HAM37" s="926"/>
      <c r="HAN37" s="926"/>
      <c r="HAO37" s="926"/>
      <c r="HAP37" s="926"/>
      <c r="HAQ37" s="926"/>
      <c r="HAR37" s="926"/>
      <c r="HAS37" s="926"/>
      <c r="HAT37" s="926"/>
      <c r="HAU37" s="926"/>
      <c r="HAV37" s="926"/>
      <c r="HAW37" s="926"/>
      <c r="HAX37" s="926"/>
      <c r="HAY37" s="926"/>
      <c r="HAZ37" s="926"/>
      <c r="HBA37" s="926"/>
      <c r="HBB37" s="926"/>
      <c r="HBC37" s="926"/>
      <c r="HBD37" s="926"/>
      <c r="HBE37" s="926"/>
      <c r="HBF37" s="926"/>
      <c r="HBG37" s="926"/>
      <c r="HBH37" s="926"/>
      <c r="HBI37" s="926"/>
      <c r="HBJ37" s="926"/>
      <c r="HBK37" s="926"/>
      <c r="HBL37" s="926"/>
      <c r="HBM37" s="926"/>
      <c r="HBN37" s="926"/>
      <c r="HBO37" s="926"/>
      <c r="HBP37" s="926"/>
      <c r="HBQ37" s="926"/>
      <c r="HBR37" s="926"/>
      <c r="HBS37" s="926"/>
      <c r="HBT37" s="926"/>
      <c r="HBU37" s="926"/>
      <c r="HBV37" s="926"/>
      <c r="HBW37" s="926"/>
      <c r="HBX37" s="926"/>
      <c r="HBY37" s="926"/>
      <c r="HBZ37" s="926"/>
      <c r="HCA37" s="926"/>
      <c r="HCB37" s="926"/>
      <c r="HCC37" s="926"/>
      <c r="HCD37" s="926"/>
      <c r="HCE37" s="926"/>
      <c r="HCF37" s="926"/>
      <c r="HCG37" s="926"/>
      <c r="HCH37" s="926"/>
      <c r="HCI37" s="926"/>
      <c r="HCJ37" s="926"/>
      <c r="HCK37" s="926"/>
      <c r="HCL37" s="926"/>
      <c r="HCM37" s="926"/>
      <c r="HCN37" s="926"/>
      <c r="HCO37" s="926"/>
      <c r="HCP37" s="926"/>
      <c r="HCQ37" s="926"/>
      <c r="HCR37" s="926"/>
      <c r="HCS37" s="926"/>
      <c r="HCT37" s="926"/>
      <c r="HCU37" s="926"/>
      <c r="HCV37" s="926"/>
      <c r="HCW37" s="926"/>
      <c r="HCX37" s="926"/>
      <c r="HCY37" s="926"/>
      <c r="HCZ37" s="926"/>
      <c r="HDA37" s="926"/>
      <c r="HDB37" s="926"/>
      <c r="HDC37" s="926"/>
      <c r="HDD37" s="926"/>
      <c r="HDE37" s="926"/>
      <c r="HDF37" s="926"/>
      <c r="HDG37" s="926"/>
      <c r="HDH37" s="926"/>
      <c r="HDI37" s="926"/>
      <c r="HDJ37" s="926"/>
      <c r="HDK37" s="926"/>
      <c r="HDL37" s="926"/>
      <c r="HDM37" s="926"/>
      <c r="HDN37" s="926"/>
      <c r="HDO37" s="926"/>
      <c r="HDP37" s="926"/>
      <c r="HDQ37" s="926"/>
      <c r="HDR37" s="926"/>
      <c r="HDS37" s="926"/>
      <c r="HDT37" s="926"/>
      <c r="HDU37" s="926"/>
      <c r="HDV37" s="926"/>
      <c r="HDW37" s="926"/>
      <c r="HDX37" s="926"/>
      <c r="HDY37" s="926"/>
      <c r="HDZ37" s="926"/>
      <c r="HEA37" s="926"/>
      <c r="HEB37" s="926"/>
      <c r="HEC37" s="926"/>
      <c r="HED37" s="926"/>
      <c r="HEE37" s="926"/>
      <c r="HEF37" s="926"/>
      <c r="HEG37" s="926"/>
      <c r="HEH37" s="926"/>
      <c r="HEI37" s="926"/>
      <c r="HEJ37" s="926"/>
      <c r="HEK37" s="926"/>
      <c r="HEL37" s="926"/>
      <c r="HEM37" s="926"/>
      <c r="HEN37" s="926"/>
      <c r="HEO37" s="926"/>
      <c r="HEP37" s="926"/>
      <c r="HEQ37" s="926"/>
      <c r="HER37" s="926"/>
      <c r="HES37" s="926"/>
      <c r="HET37" s="926"/>
      <c r="HEU37" s="926"/>
      <c r="HEV37" s="926"/>
      <c r="HEW37" s="926"/>
      <c r="HEX37" s="926"/>
      <c r="HEY37" s="926"/>
      <c r="HEZ37" s="926"/>
      <c r="HFA37" s="926"/>
      <c r="HFB37" s="926"/>
      <c r="HFC37" s="926"/>
      <c r="HFD37" s="926"/>
      <c r="HFE37" s="926"/>
      <c r="HFF37" s="926"/>
      <c r="HFG37" s="926"/>
      <c r="HFH37" s="926"/>
      <c r="HFI37" s="926"/>
      <c r="HFJ37" s="926"/>
      <c r="HFK37" s="926"/>
      <c r="HFL37" s="926"/>
      <c r="HFM37" s="926"/>
      <c r="HFN37" s="926"/>
      <c r="HFO37" s="926"/>
      <c r="HFP37" s="926"/>
      <c r="HFQ37" s="926"/>
      <c r="HFR37" s="926"/>
      <c r="HFS37" s="926"/>
      <c r="HFT37" s="926"/>
      <c r="HFU37" s="926"/>
      <c r="HFV37" s="926"/>
      <c r="HFW37" s="926"/>
      <c r="HFX37" s="926"/>
      <c r="HFY37" s="926"/>
      <c r="HFZ37" s="926"/>
      <c r="HGA37" s="926"/>
      <c r="HGB37" s="926"/>
      <c r="HGC37" s="926"/>
      <c r="HGD37" s="926"/>
      <c r="HGE37" s="926"/>
      <c r="HGF37" s="926"/>
      <c r="HGG37" s="926"/>
      <c r="HGH37" s="926"/>
      <c r="HGI37" s="926"/>
      <c r="HGJ37" s="926"/>
      <c r="HGK37" s="926"/>
      <c r="HGL37" s="926"/>
      <c r="HGM37" s="926"/>
      <c r="HGN37" s="926"/>
      <c r="HGO37" s="926"/>
      <c r="HGP37" s="926"/>
      <c r="HGQ37" s="926"/>
      <c r="HGR37" s="926"/>
      <c r="HGS37" s="926"/>
      <c r="HGT37" s="926"/>
      <c r="HGU37" s="926"/>
      <c r="HGV37" s="926"/>
      <c r="HGW37" s="926"/>
      <c r="HGX37" s="926"/>
      <c r="HGY37" s="926"/>
      <c r="HGZ37" s="926"/>
      <c r="HHA37" s="926"/>
      <c r="HHB37" s="926"/>
      <c r="HHC37" s="926"/>
      <c r="HHD37" s="926"/>
      <c r="HHE37" s="926"/>
      <c r="HHF37" s="926"/>
      <c r="HHG37" s="926"/>
      <c r="HHH37" s="926"/>
      <c r="HHI37" s="926"/>
      <c r="HHJ37" s="926"/>
      <c r="HHK37" s="926"/>
      <c r="HHL37" s="926"/>
      <c r="HHM37" s="926"/>
      <c r="HHN37" s="926"/>
      <c r="HHO37" s="926"/>
      <c r="HHP37" s="926"/>
      <c r="HHQ37" s="926"/>
      <c r="HHR37" s="926"/>
      <c r="HHS37" s="926"/>
      <c r="HHT37" s="926"/>
      <c r="HHU37" s="926"/>
      <c r="HHV37" s="926"/>
      <c r="HHW37" s="926"/>
      <c r="HHX37" s="926"/>
      <c r="HHY37" s="926"/>
      <c r="HHZ37" s="926"/>
      <c r="HIA37" s="926"/>
      <c r="HIB37" s="926"/>
      <c r="HIC37" s="926"/>
      <c r="HID37" s="926"/>
      <c r="HIE37" s="926"/>
      <c r="HIF37" s="926"/>
      <c r="HIG37" s="926"/>
      <c r="HIH37" s="926"/>
      <c r="HII37" s="926"/>
      <c r="HIJ37" s="926"/>
      <c r="HIK37" s="926"/>
      <c r="HIL37" s="926"/>
      <c r="HIM37" s="926"/>
      <c r="HIN37" s="926"/>
      <c r="HIO37" s="926"/>
      <c r="HIP37" s="926"/>
      <c r="HIQ37" s="926"/>
      <c r="HIR37" s="926"/>
      <c r="HIS37" s="926"/>
      <c r="HIT37" s="926"/>
      <c r="HIU37" s="926"/>
      <c r="HIV37" s="926"/>
      <c r="HIW37" s="926"/>
      <c r="HIX37" s="926"/>
      <c r="HIY37" s="926"/>
      <c r="HIZ37" s="926"/>
      <c r="HJA37" s="926"/>
      <c r="HJB37" s="926"/>
      <c r="HJC37" s="926"/>
      <c r="HJD37" s="926"/>
      <c r="HJE37" s="926"/>
      <c r="HJF37" s="926"/>
      <c r="HJG37" s="926"/>
      <c r="HJH37" s="926"/>
      <c r="HJI37" s="926"/>
      <c r="HJJ37" s="926"/>
      <c r="HJK37" s="926"/>
      <c r="HJL37" s="926"/>
      <c r="HJM37" s="926"/>
      <c r="HJN37" s="926"/>
      <c r="HJO37" s="926"/>
      <c r="HJP37" s="926"/>
      <c r="HJQ37" s="926"/>
      <c r="HJR37" s="926"/>
      <c r="HJS37" s="926"/>
      <c r="HJT37" s="926"/>
      <c r="HJU37" s="926"/>
      <c r="HJV37" s="926"/>
      <c r="HJW37" s="926"/>
      <c r="HJX37" s="926"/>
      <c r="HJY37" s="926"/>
      <c r="HJZ37" s="926"/>
      <c r="HKA37" s="926"/>
      <c r="HKB37" s="926"/>
      <c r="HKC37" s="926"/>
      <c r="HKD37" s="926"/>
      <c r="HKE37" s="926"/>
      <c r="HKF37" s="926"/>
      <c r="HKG37" s="926"/>
      <c r="HKH37" s="926"/>
      <c r="HKI37" s="926"/>
      <c r="HKJ37" s="926"/>
      <c r="HKK37" s="926"/>
      <c r="HKL37" s="926"/>
      <c r="HKM37" s="926"/>
      <c r="HKN37" s="926"/>
      <c r="HKO37" s="926"/>
      <c r="HKP37" s="926"/>
      <c r="HKQ37" s="926"/>
      <c r="HKR37" s="926"/>
      <c r="HKS37" s="926"/>
      <c r="HKT37" s="926"/>
      <c r="HKU37" s="926"/>
      <c r="HKV37" s="926"/>
      <c r="HKW37" s="926"/>
      <c r="HKX37" s="926"/>
      <c r="HKY37" s="926"/>
      <c r="HKZ37" s="926"/>
      <c r="HLA37" s="926"/>
      <c r="HLB37" s="926"/>
      <c r="HLC37" s="926"/>
      <c r="HLD37" s="926"/>
      <c r="HLE37" s="926"/>
      <c r="HLF37" s="926"/>
      <c r="HLG37" s="926"/>
      <c r="HLH37" s="926"/>
      <c r="HLI37" s="926"/>
      <c r="HLJ37" s="926"/>
      <c r="HLK37" s="926"/>
      <c r="HLL37" s="926"/>
      <c r="HLM37" s="926"/>
      <c r="HLN37" s="926"/>
      <c r="HLO37" s="926"/>
      <c r="HLP37" s="926"/>
      <c r="HLQ37" s="926"/>
      <c r="HLR37" s="926"/>
      <c r="HLS37" s="926"/>
      <c r="HLT37" s="926"/>
      <c r="HLU37" s="926"/>
      <c r="HLV37" s="926"/>
      <c r="HLW37" s="926"/>
      <c r="HLX37" s="926"/>
      <c r="HLY37" s="926"/>
      <c r="HLZ37" s="926"/>
      <c r="HMA37" s="926"/>
      <c r="HMB37" s="926"/>
      <c r="HMC37" s="926"/>
      <c r="HMD37" s="926"/>
      <c r="HME37" s="926"/>
      <c r="HMF37" s="926"/>
      <c r="HMG37" s="926"/>
      <c r="HMH37" s="926"/>
      <c r="HMI37" s="926"/>
      <c r="HMJ37" s="926"/>
      <c r="HMK37" s="926"/>
      <c r="HML37" s="926"/>
      <c r="HMM37" s="926"/>
      <c r="HMN37" s="926"/>
      <c r="HMO37" s="926"/>
      <c r="HMP37" s="926"/>
      <c r="HMQ37" s="926"/>
      <c r="HMR37" s="926"/>
      <c r="HMS37" s="926"/>
      <c r="HMT37" s="926"/>
      <c r="HMU37" s="926"/>
      <c r="HMV37" s="926"/>
      <c r="HMW37" s="926"/>
      <c r="HMX37" s="926"/>
      <c r="HMY37" s="926"/>
      <c r="HMZ37" s="926"/>
      <c r="HNA37" s="926"/>
      <c r="HNB37" s="926"/>
      <c r="HNC37" s="926"/>
      <c r="HND37" s="926"/>
      <c r="HNE37" s="926"/>
      <c r="HNF37" s="926"/>
      <c r="HNG37" s="926"/>
      <c r="HNH37" s="926"/>
      <c r="HNI37" s="926"/>
      <c r="HNJ37" s="926"/>
      <c r="HNK37" s="926"/>
      <c r="HNL37" s="926"/>
      <c r="HNM37" s="926"/>
      <c r="HNN37" s="926"/>
      <c r="HNO37" s="926"/>
      <c r="HNP37" s="926"/>
      <c r="HNQ37" s="926"/>
      <c r="HNR37" s="926"/>
      <c r="HNS37" s="926"/>
      <c r="HNT37" s="926"/>
      <c r="HNU37" s="926"/>
      <c r="HNV37" s="926"/>
      <c r="HNW37" s="926"/>
      <c r="HNX37" s="926"/>
      <c r="HNY37" s="926"/>
      <c r="HNZ37" s="926"/>
      <c r="HOA37" s="926"/>
      <c r="HOB37" s="926"/>
      <c r="HOC37" s="926"/>
      <c r="HOD37" s="926"/>
      <c r="HOE37" s="926"/>
      <c r="HOF37" s="926"/>
      <c r="HOG37" s="926"/>
      <c r="HOH37" s="926"/>
      <c r="HOI37" s="926"/>
      <c r="HOJ37" s="926"/>
      <c r="HOK37" s="926"/>
      <c r="HOL37" s="926"/>
      <c r="HOM37" s="926"/>
      <c r="HON37" s="926"/>
      <c r="HOO37" s="926"/>
      <c r="HOP37" s="926"/>
      <c r="HOQ37" s="926"/>
      <c r="HOR37" s="926"/>
      <c r="HOS37" s="926"/>
      <c r="HOT37" s="926"/>
      <c r="HOU37" s="926"/>
      <c r="HOV37" s="926"/>
      <c r="HOW37" s="926"/>
      <c r="HOX37" s="926"/>
      <c r="HOY37" s="926"/>
      <c r="HOZ37" s="926"/>
      <c r="HPA37" s="926"/>
      <c r="HPB37" s="926"/>
      <c r="HPC37" s="926"/>
      <c r="HPD37" s="926"/>
      <c r="HPE37" s="926"/>
      <c r="HPF37" s="926"/>
      <c r="HPG37" s="926"/>
      <c r="HPH37" s="926"/>
      <c r="HPI37" s="926"/>
      <c r="HPJ37" s="926"/>
      <c r="HPK37" s="926"/>
      <c r="HPL37" s="926"/>
      <c r="HPM37" s="926"/>
      <c r="HPN37" s="926"/>
      <c r="HPO37" s="926"/>
      <c r="HPP37" s="926"/>
      <c r="HPQ37" s="926"/>
      <c r="HPR37" s="926"/>
      <c r="HPS37" s="926"/>
      <c r="HPT37" s="926"/>
      <c r="HPU37" s="926"/>
      <c r="HPV37" s="926"/>
      <c r="HPW37" s="926"/>
      <c r="HPX37" s="926"/>
      <c r="HPY37" s="926"/>
      <c r="HPZ37" s="926"/>
      <c r="HQA37" s="926"/>
      <c r="HQB37" s="926"/>
      <c r="HQC37" s="926"/>
      <c r="HQD37" s="926"/>
      <c r="HQE37" s="926"/>
      <c r="HQF37" s="926"/>
      <c r="HQG37" s="926"/>
      <c r="HQH37" s="926"/>
      <c r="HQI37" s="926"/>
      <c r="HQJ37" s="926"/>
      <c r="HQK37" s="926"/>
      <c r="HQL37" s="926"/>
      <c r="HQM37" s="926"/>
      <c r="HQN37" s="926"/>
      <c r="HQO37" s="926"/>
      <c r="HQP37" s="926"/>
      <c r="HQQ37" s="926"/>
      <c r="HQR37" s="926"/>
      <c r="HQS37" s="926"/>
      <c r="HQT37" s="926"/>
      <c r="HQU37" s="926"/>
      <c r="HQV37" s="926"/>
      <c r="HQW37" s="926"/>
      <c r="HQX37" s="926"/>
      <c r="HQY37" s="926"/>
      <c r="HQZ37" s="926"/>
      <c r="HRA37" s="926"/>
      <c r="HRB37" s="926"/>
      <c r="HRC37" s="926"/>
      <c r="HRD37" s="926"/>
      <c r="HRE37" s="926"/>
      <c r="HRF37" s="926"/>
      <c r="HRG37" s="926"/>
      <c r="HRH37" s="926"/>
      <c r="HRI37" s="926"/>
      <c r="HRJ37" s="926"/>
      <c r="HRK37" s="926"/>
      <c r="HRL37" s="926"/>
      <c r="HRM37" s="926"/>
      <c r="HRN37" s="926"/>
      <c r="HRO37" s="926"/>
      <c r="HRP37" s="926"/>
      <c r="HRQ37" s="926"/>
      <c r="HRR37" s="926"/>
      <c r="HRS37" s="926"/>
      <c r="HRT37" s="926"/>
      <c r="HRU37" s="926"/>
      <c r="HRV37" s="926"/>
      <c r="HRW37" s="926"/>
      <c r="HRX37" s="926"/>
      <c r="HRY37" s="926"/>
      <c r="HRZ37" s="926"/>
      <c r="HSA37" s="926"/>
      <c r="HSB37" s="926"/>
      <c r="HSC37" s="926"/>
      <c r="HSD37" s="926"/>
      <c r="HSE37" s="926"/>
      <c r="HSF37" s="926"/>
      <c r="HSG37" s="926"/>
      <c r="HSH37" s="926"/>
      <c r="HSI37" s="926"/>
      <c r="HSJ37" s="926"/>
      <c r="HSK37" s="926"/>
      <c r="HSL37" s="926"/>
      <c r="HSM37" s="926"/>
      <c r="HSN37" s="926"/>
      <c r="HSO37" s="926"/>
      <c r="HSP37" s="926"/>
      <c r="HSQ37" s="926"/>
      <c r="HSR37" s="926"/>
      <c r="HSS37" s="926"/>
      <c r="HST37" s="926"/>
      <c r="HSU37" s="926"/>
      <c r="HSV37" s="926"/>
      <c r="HSW37" s="926"/>
      <c r="HSX37" s="926"/>
      <c r="HSY37" s="926"/>
      <c r="HSZ37" s="926"/>
      <c r="HTA37" s="926"/>
      <c r="HTB37" s="926"/>
      <c r="HTC37" s="926"/>
      <c r="HTD37" s="926"/>
      <c r="HTE37" s="926"/>
      <c r="HTF37" s="926"/>
      <c r="HTG37" s="926"/>
      <c r="HTH37" s="926"/>
      <c r="HTI37" s="926"/>
      <c r="HTJ37" s="926"/>
      <c r="HTK37" s="926"/>
      <c r="HTL37" s="926"/>
      <c r="HTM37" s="926"/>
      <c r="HTN37" s="926"/>
      <c r="HTO37" s="926"/>
      <c r="HTP37" s="926"/>
      <c r="HTQ37" s="926"/>
      <c r="HTR37" s="926"/>
      <c r="HTS37" s="926"/>
      <c r="HTT37" s="926"/>
      <c r="HTU37" s="926"/>
      <c r="HTV37" s="926"/>
      <c r="HTW37" s="926"/>
      <c r="HTX37" s="926"/>
      <c r="HTY37" s="926"/>
      <c r="HTZ37" s="926"/>
      <c r="HUA37" s="926"/>
      <c r="HUB37" s="926"/>
      <c r="HUC37" s="926"/>
      <c r="HUD37" s="926"/>
      <c r="HUE37" s="926"/>
      <c r="HUF37" s="926"/>
      <c r="HUG37" s="926"/>
      <c r="HUH37" s="926"/>
      <c r="HUI37" s="926"/>
      <c r="HUJ37" s="926"/>
      <c r="HUK37" s="926"/>
      <c r="HUL37" s="926"/>
      <c r="HUM37" s="926"/>
      <c r="HUN37" s="926"/>
      <c r="HUO37" s="926"/>
      <c r="HUP37" s="926"/>
      <c r="HUQ37" s="926"/>
      <c r="HUR37" s="926"/>
      <c r="HUS37" s="926"/>
      <c r="HUT37" s="926"/>
      <c r="HUU37" s="926"/>
      <c r="HUV37" s="926"/>
      <c r="HUW37" s="926"/>
      <c r="HUX37" s="926"/>
      <c r="HUY37" s="926"/>
      <c r="HUZ37" s="926"/>
      <c r="HVA37" s="926"/>
      <c r="HVB37" s="926"/>
      <c r="HVC37" s="926"/>
      <c r="HVD37" s="926"/>
      <c r="HVE37" s="926"/>
      <c r="HVF37" s="926"/>
      <c r="HVG37" s="926"/>
      <c r="HVH37" s="926"/>
      <c r="HVI37" s="926"/>
      <c r="HVJ37" s="926"/>
      <c r="HVK37" s="926"/>
      <c r="HVL37" s="926"/>
      <c r="HVM37" s="926"/>
      <c r="HVN37" s="926"/>
      <c r="HVO37" s="926"/>
      <c r="HVP37" s="926"/>
      <c r="HVQ37" s="926"/>
      <c r="HVR37" s="926"/>
      <c r="HVS37" s="926"/>
      <c r="HVT37" s="926"/>
      <c r="HVU37" s="926"/>
      <c r="HVV37" s="926"/>
      <c r="HVW37" s="926"/>
      <c r="HVX37" s="926"/>
      <c r="HVY37" s="926"/>
      <c r="HVZ37" s="926"/>
      <c r="HWA37" s="926"/>
      <c r="HWB37" s="926"/>
      <c r="HWC37" s="926"/>
      <c r="HWD37" s="926"/>
      <c r="HWE37" s="926"/>
      <c r="HWF37" s="926"/>
      <c r="HWG37" s="926"/>
      <c r="HWH37" s="926"/>
      <c r="HWI37" s="926"/>
      <c r="HWJ37" s="926"/>
      <c r="HWK37" s="926"/>
      <c r="HWL37" s="926"/>
      <c r="HWM37" s="926"/>
      <c r="HWN37" s="926"/>
      <c r="HWO37" s="926"/>
      <c r="HWP37" s="926"/>
      <c r="HWQ37" s="926"/>
      <c r="HWR37" s="926"/>
      <c r="HWS37" s="926"/>
      <c r="HWT37" s="926"/>
      <c r="HWU37" s="926"/>
      <c r="HWV37" s="926"/>
      <c r="HWW37" s="926"/>
      <c r="HWX37" s="926"/>
      <c r="HWY37" s="926"/>
      <c r="HWZ37" s="926"/>
      <c r="HXA37" s="926"/>
      <c r="HXB37" s="926"/>
      <c r="HXC37" s="926"/>
      <c r="HXD37" s="926"/>
      <c r="HXE37" s="926"/>
      <c r="HXF37" s="926"/>
      <c r="HXG37" s="926"/>
      <c r="HXH37" s="926"/>
      <c r="HXI37" s="926"/>
      <c r="HXJ37" s="926"/>
      <c r="HXK37" s="926"/>
      <c r="HXL37" s="926"/>
      <c r="HXM37" s="926"/>
      <c r="HXN37" s="926"/>
      <c r="HXO37" s="926"/>
      <c r="HXP37" s="926"/>
      <c r="HXQ37" s="926"/>
      <c r="HXR37" s="926"/>
      <c r="HXS37" s="926"/>
      <c r="HXT37" s="926"/>
      <c r="HXU37" s="926"/>
      <c r="HXV37" s="926"/>
      <c r="HXW37" s="926"/>
      <c r="HXX37" s="926"/>
      <c r="HXY37" s="926"/>
      <c r="HXZ37" s="926"/>
      <c r="HYA37" s="926"/>
      <c r="HYB37" s="926"/>
      <c r="HYC37" s="926"/>
      <c r="HYD37" s="926"/>
      <c r="HYE37" s="926"/>
      <c r="HYF37" s="926"/>
      <c r="HYG37" s="926"/>
      <c r="HYH37" s="926"/>
      <c r="HYI37" s="926"/>
      <c r="HYJ37" s="926"/>
      <c r="HYK37" s="926"/>
      <c r="HYL37" s="926"/>
      <c r="HYM37" s="926"/>
      <c r="HYN37" s="926"/>
      <c r="HYO37" s="926"/>
      <c r="HYP37" s="926"/>
      <c r="HYQ37" s="926"/>
      <c r="HYR37" s="926"/>
      <c r="HYS37" s="926"/>
      <c r="HYT37" s="926"/>
      <c r="HYU37" s="926"/>
      <c r="HYV37" s="926"/>
      <c r="HYW37" s="926"/>
      <c r="HYX37" s="926"/>
      <c r="HYY37" s="926"/>
      <c r="HYZ37" s="926"/>
      <c r="HZA37" s="926"/>
      <c r="HZB37" s="926"/>
      <c r="HZC37" s="926"/>
      <c r="HZD37" s="926"/>
      <c r="HZE37" s="926"/>
      <c r="HZF37" s="926"/>
      <c r="HZG37" s="926"/>
      <c r="HZH37" s="926"/>
      <c r="HZI37" s="926"/>
      <c r="HZJ37" s="926"/>
      <c r="HZK37" s="926"/>
      <c r="HZL37" s="926"/>
      <c r="HZM37" s="926"/>
      <c r="HZN37" s="926"/>
      <c r="HZO37" s="926"/>
      <c r="HZP37" s="926"/>
      <c r="HZQ37" s="926"/>
      <c r="HZR37" s="926"/>
      <c r="HZS37" s="926"/>
      <c r="HZT37" s="926"/>
      <c r="HZU37" s="926"/>
      <c r="HZV37" s="926"/>
      <c r="HZW37" s="926"/>
      <c r="HZX37" s="926"/>
      <c r="HZY37" s="926"/>
      <c r="HZZ37" s="926"/>
      <c r="IAA37" s="926"/>
      <c r="IAB37" s="926"/>
      <c r="IAC37" s="926"/>
      <c r="IAD37" s="926"/>
      <c r="IAE37" s="926"/>
      <c r="IAF37" s="926"/>
      <c r="IAG37" s="926"/>
      <c r="IAH37" s="926"/>
      <c r="IAI37" s="926"/>
      <c r="IAJ37" s="926"/>
      <c r="IAK37" s="926"/>
      <c r="IAL37" s="926"/>
      <c r="IAM37" s="926"/>
      <c r="IAN37" s="926"/>
      <c r="IAO37" s="926"/>
      <c r="IAP37" s="926"/>
      <c r="IAQ37" s="926"/>
      <c r="IAR37" s="926"/>
      <c r="IAS37" s="926"/>
      <c r="IAT37" s="926"/>
      <c r="IAU37" s="926"/>
      <c r="IAV37" s="926"/>
      <c r="IAW37" s="926"/>
      <c r="IAX37" s="926"/>
      <c r="IAY37" s="926"/>
      <c r="IAZ37" s="926"/>
      <c r="IBA37" s="926"/>
      <c r="IBB37" s="926"/>
      <c r="IBC37" s="926"/>
      <c r="IBD37" s="926"/>
      <c r="IBE37" s="926"/>
      <c r="IBF37" s="926"/>
      <c r="IBG37" s="926"/>
      <c r="IBH37" s="926"/>
      <c r="IBI37" s="926"/>
      <c r="IBJ37" s="926"/>
      <c r="IBK37" s="926"/>
      <c r="IBL37" s="926"/>
      <c r="IBM37" s="926"/>
      <c r="IBN37" s="926"/>
      <c r="IBO37" s="926"/>
      <c r="IBP37" s="926"/>
      <c r="IBQ37" s="926"/>
      <c r="IBR37" s="926"/>
      <c r="IBS37" s="926"/>
      <c r="IBT37" s="926"/>
      <c r="IBU37" s="926"/>
      <c r="IBV37" s="926"/>
      <c r="IBW37" s="926"/>
      <c r="IBX37" s="926"/>
      <c r="IBY37" s="926"/>
      <c r="IBZ37" s="926"/>
      <c r="ICA37" s="926"/>
      <c r="ICB37" s="926"/>
      <c r="ICC37" s="926"/>
      <c r="ICD37" s="926"/>
      <c r="ICE37" s="926"/>
      <c r="ICF37" s="926"/>
      <c r="ICG37" s="926"/>
      <c r="ICH37" s="926"/>
      <c r="ICI37" s="926"/>
      <c r="ICJ37" s="926"/>
      <c r="ICK37" s="926"/>
      <c r="ICL37" s="926"/>
      <c r="ICM37" s="926"/>
      <c r="ICN37" s="926"/>
      <c r="ICO37" s="926"/>
      <c r="ICP37" s="926"/>
      <c r="ICQ37" s="926"/>
      <c r="ICR37" s="926"/>
      <c r="ICS37" s="926"/>
      <c r="ICT37" s="926"/>
      <c r="ICU37" s="926"/>
      <c r="ICV37" s="926"/>
      <c r="ICW37" s="926"/>
      <c r="ICX37" s="926"/>
      <c r="ICY37" s="926"/>
      <c r="ICZ37" s="926"/>
      <c r="IDA37" s="926"/>
      <c r="IDB37" s="926"/>
      <c r="IDC37" s="926"/>
      <c r="IDD37" s="926"/>
      <c r="IDE37" s="926"/>
      <c r="IDF37" s="926"/>
      <c r="IDG37" s="926"/>
      <c r="IDH37" s="926"/>
      <c r="IDI37" s="926"/>
      <c r="IDJ37" s="926"/>
      <c r="IDK37" s="926"/>
      <c r="IDL37" s="926"/>
      <c r="IDM37" s="926"/>
      <c r="IDN37" s="926"/>
      <c r="IDO37" s="926"/>
      <c r="IDP37" s="926"/>
      <c r="IDQ37" s="926"/>
      <c r="IDR37" s="926"/>
      <c r="IDS37" s="926"/>
      <c r="IDT37" s="926"/>
      <c r="IDU37" s="926"/>
      <c r="IDV37" s="926"/>
      <c r="IDW37" s="926"/>
      <c r="IDX37" s="926"/>
      <c r="IDY37" s="926"/>
      <c r="IDZ37" s="926"/>
      <c r="IEA37" s="926"/>
      <c r="IEB37" s="926"/>
      <c r="IEC37" s="926"/>
      <c r="IED37" s="926"/>
      <c r="IEE37" s="926"/>
      <c r="IEF37" s="926"/>
      <c r="IEG37" s="926"/>
      <c r="IEH37" s="926"/>
      <c r="IEI37" s="926"/>
      <c r="IEJ37" s="926"/>
      <c r="IEK37" s="926"/>
      <c r="IEL37" s="926"/>
      <c r="IEM37" s="926"/>
      <c r="IEN37" s="926"/>
      <c r="IEO37" s="926"/>
      <c r="IEP37" s="926"/>
      <c r="IEQ37" s="926"/>
      <c r="IER37" s="926"/>
      <c r="IES37" s="926"/>
      <c r="IET37" s="926"/>
      <c r="IEU37" s="926"/>
      <c r="IEV37" s="926"/>
      <c r="IEW37" s="926"/>
      <c r="IEX37" s="926"/>
      <c r="IEY37" s="926"/>
      <c r="IEZ37" s="926"/>
      <c r="IFA37" s="926"/>
      <c r="IFB37" s="926"/>
      <c r="IFC37" s="926"/>
      <c r="IFD37" s="926"/>
      <c r="IFE37" s="926"/>
      <c r="IFF37" s="926"/>
      <c r="IFG37" s="926"/>
      <c r="IFH37" s="926"/>
      <c r="IFI37" s="926"/>
      <c r="IFJ37" s="926"/>
      <c r="IFK37" s="926"/>
      <c r="IFL37" s="926"/>
      <c r="IFM37" s="926"/>
      <c r="IFN37" s="926"/>
      <c r="IFO37" s="926"/>
      <c r="IFP37" s="926"/>
      <c r="IFQ37" s="926"/>
      <c r="IFR37" s="926"/>
      <c r="IFS37" s="926"/>
      <c r="IFT37" s="926"/>
      <c r="IFU37" s="926"/>
      <c r="IFV37" s="926"/>
      <c r="IFW37" s="926"/>
      <c r="IFX37" s="926"/>
      <c r="IFY37" s="926"/>
      <c r="IFZ37" s="926"/>
      <c r="IGA37" s="926"/>
      <c r="IGB37" s="926"/>
      <c r="IGC37" s="926"/>
      <c r="IGD37" s="926"/>
      <c r="IGE37" s="926"/>
      <c r="IGF37" s="926"/>
      <c r="IGG37" s="926"/>
      <c r="IGH37" s="926"/>
      <c r="IGI37" s="926"/>
      <c r="IGJ37" s="926"/>
      <c r="IGK37" s="926"/>
      <c r="IGL37" s="926"/>
      <c r="IGM37" s="926"/>
      <c r="IGN37" s="926"/>
      <c r="IGO37" s="926"/>
      <c r="IGP37" s="926"/>
      <c r="IGQ37" s="926"/>
      <c r="IGR37" s="926"/>
      <c r="IGS37" s="926"/>
      <c r="IGT37" s="926"/>
      <c r="IGU37" s="926"/>
      <c r="IGV37" s="926"/>
      <c r="IGW37" s="926"/>
      <c r="IGX37" s="926"/>
      <c r="IGY37" s="926"/>
      <c r="IGZ37" s="926"/>
      <c r="IHA37" s="926"/>
      <c r="IHB37" s="926"/>
      <c r="IHC37" s="926"/>
      <c r="IHD37" s="926"/>
      <c r="IHE37" s="926"/>
      <c r="IHF37" s="926"/>
      <c r="IHG37" s="926"/>
      <c r="IHH37" s="926"/>
      <c r="IHI37" s="926"/>
      <c r="IHJ37" s="926"/>
      <c r="IHK37" s="926"/>
      <c r="IHL37" s="926"/>
      <c r="IHM37" s="926"/>
      <c r="IHN37" s="926"/>
      <c r="IHO37" s="926"/>
      <c r="IHP37" s="926"/>
      <c r="IHQ37" s="926"/>
      <c r="IHR37" s="926"/>
      <c r="IHS37" s="926"/>
      <c r="IHT37" s="926"/>
      <c r="IHU37" s="926"/>
      <c r="IHV37" s="926"/>
      <c r="IHW37" s="926"/>
      <c r="IHX37" s="926"/>
      <c r="IHY37" s="926"/>
      <c r="IHZ37" s="926"/>
      <c r="IIA37" s="926"/>
      <c r="IIB37" s="926"/>
      <c r="IIC37" s="926"/>
      <c r="IID37" s="926"/>
      <c r="IIE37" s="926"/>
      <c r="IIF37" s="926"/>
      <c r="IIG37" s="926"/>
      <c r="IIH37" s="926"/>
      <c r="III37" s="926"/>
      <c r="IIJ37" s="926"/>
      <c r="IIK37" s="926"/>
      <c r="IIL37" s="926"/>
      <c r="IIM37" s="926"/>
      <c r="IIN37" s="926"/>
      <c r="IIO37" s="926"/>
      <c r="IIP37" s="926"/>
      <c r="IIQ37" s="926"/>
      <c r="IIR37" s="926"/>
      <c r="IIS37" s="926"/>
      <c r="IIT37" s="926"/>
      <c r="IIU37" s="926"/>
      <c r="IIV37" s="926"/>
      <c r="IIW37" s="926"/>
      <c r="IIX37" s="926"/>
      <c r="IIY37" s="926"/>
      <c r="IIZ37" s="926"/>
      <c r="IJA37" s="926"/>
      <c r="IJB37" s="926"/>
      <c r="IJC37" s="926"/>
      <c r="IJD37" s="926"/>
      <c r="IJE37" s="926"/>
      <c r="IJF37" s="926"/>
      <c r="IJG37" s="926"/>
      <c r="IJH37" s="926"/>
      <c r="IJI37" s="926"/>
      <c r="IJJ37" s="926"/>
      <c r="IJK37" s="926"/>
      <c r="IJL37" s="926"/>
      <c r="IJM37" s="926"/>
      <c r="IJN37" s="926"/>
      <c r="IJO37" s="926"/>
      <c r="IJP37" s="926"/>
      <c r="IJQ37" s="926"/>
      <c r="IJR37" s="926"/>
      <c r="IJS37" s="926"/>
      <c r="IJT37" s="926"/>
      <c r="IJU37" s="926"/>
      <c r="IJV37" s="926"/>
      <c r="IJW37" s="926"/>
      <c r="IJX37" s="926"/>
      <c r="IJY37" s="926"/>
      <c r="IJZ37" s="926"/>
      <c r="IKA37" s="926"/>
      <c r="IKB37" s="926"/>
      <c r="IKC37" s="926"/>
      <c r="IKD37" s="926"/>
      <c r="IKE37" s="926"/>
      <c r="IKF37" s="926"/>
      <c r="IKG37" s="926"/>
      <c r="IKH37" s="926"/>
      <c r="IKI37" s="926"/>
      <c r="IKJ37" s="926"/>
      <c r="IKK37" s="926"/>
      <c r="IKL37" s="926"/>
      <c r="IKM37" s="926"/>
      <c r="IKN37" s="926"/>
      <c r="IKO37" s="926"/>
      <c r="IKP37" s="926"/>
      <c r="IKQ37" s="926"/>
      <c r="IKR37" s="926"/>
      <c r="IKS37" s="926"/>
      <c r="IKT37" s="926"/>
      <c r="IKU37" s="926"/>
      <c r="IKV37" s="926"/>
      <c r="IKW37" s="926"/>
      <c r="IKX37" s="926"/>
      <c r="IKY37" s="926"/>
      <c r="IKZ37" s="926"/>
      <c r="ILA37" s="926"/>
      <c r="ILB37" s="926"/>
      <c r="ILC37" s="926"/>
      <c r="ILD37" s="926"/>
      <c r="ILE37" s="926"/>
      <c r="ILF37" s="926"/>
      <c r="ILG37" s="926"/>
      <c r="ILH37" s="926"/>
      <c r="ILI37" s="926"/>
      <c r="ILJ37" s="926"/>
      <c r="ILK37" s="926"/>
      <c r="ILL37" s="926"/>
      <c r="ILM37" s="926"/>
      <c r="ILN37" s="926"/>
      <c r="ILO37" s="926"/>
      <c r="ILP37" s="926"/>
      <c r="ILQ37" s="926"/>
      <c r="ILR37" s="926"/>
      <c r="ILS37" s="926"/>
      <c r="ILT37" s="926"/>
      <c r="ILU37" s="926"/>
      <c r="ILV37" s="926"/>
      <c r="ILW37" s="926"/>
      <c r="ILX37" s="926"/>
      <c r="ILY37" s="926"/>
      <c r="ILZ37" s="926"/>
      <c r="IMA37" s="926"/>
      <c r="IMB37" s="926"/>
      <c r="IMC37" s="926"/>
      <c r="IMD37" s="926"/>
      <c r="IME37" s="926"/>
      <c r="IMF37" s="926"/>
      <c r="IMG37" s="926"/>
      <c r="IMH37" s="926"/>
      <c r="IMI37" s="926"/>
      <c r="IMJ37" s="926"/>
      <c r="IMK37" s="926"/>
      <c r="IML37" s="926"/>
      <c r="IMM37" s="926"/>
      <c r="IMN37" s="926"/>
      <c r="IMO37" s="926"/>
      <c r="IMP37" s="926"/>
      <c r="IMQ37" s="926"/>
      <c r="IMR37" s="926"/>
      <c r="IMS37" s="926"/>
      <c r="IMT37" s="926"/>
      <c r="IMU37" s="926"/>
      <c r="IMV37" s="926"/>
      <c r="IMW37" s="926"/>
      <c r="IMX37" s="926"/>
      <c r="IMY37" s="926"/>
      <c r="IMZ37" s="926"/>
      <c r="INA37" s="926"/>
      <c r="INB37" s="926"/>
      <c r="INC37" s="926"/>
      <c r="IND37" s="926"/>
      <c r="INE37" s="926"/>
      <c r="INF37" s="926"/>
      <c r="ING37" s="926"/>
      <c r="INH37" s="926"/>
      <c r="INI37" s="926"/>
      <c r="INJ37" s="926"/>
      <c r="INK37" s="926"/>
      <c r="INL37" s="926"/>
      <c r="INM37" s="926"/>
      <c r="INN37" s="926"/>
      <c r="INO37" s="926"/>
      <c r="INP37" s="926"/>
      <c r="INQ37" s="926"/>
      <c r="INR37" s="926"/>
      <c r="INS37" s="926"/>
      <c r="INT37" s="926"/>
      <c r="INU37" s="926"/>
      <c r="INV37" s="926"/>
      <c r="INW37" s="926"/>
      <c r="INX37" s="926"/>
      <c r="INY37" s="926"/>
      <c r="INZ37" s="926"/>
      <c r="IOA37" s="926"/>
      <c r="IOB37" s="926"/>
      <c r="IOC37" s="926"/>
      <c r="IOD37" s="926"/>
      <c r="IOE37" s="926"/>
      <c r="IOF37" s="926"/>
      <c r="IOG37" s="926"/>
      <c r="IOH37" s="926"/>
      <c r="IOI37" s="926"/>
      <c r="IOJ37" s="926"/>
      <c r="IOK37" s="926"/>
      <c r="IOL37" s="926"/>
      <c r="IOM37" s="926"/>
      <c r="ION37" s="926"/>
      <c r="IOO37" s="926"/>
      <c r="IOP37" s="926"/>
      <c r="IOQ37" s="926"/>
      <c r="IOR37" s="926"/>
      <c r="IOS37" s="926"/>
      <c r="IOT37" s="926"/>
      <c r="IOU37" s="926"/>
      <c r="IOV37" s="926"/>
      <c r="IOW37" s="926"/>
      <c r="IOX37" s="926"/>
      <c r="IOY37" s="926"/>
      <c r="IOZ37" s="926"/>
      <c r="IPA37" s="926"/>
      <c r="IPB37" s="926"/>
      <c r="IPC37" s="926"/>
      <c r="IPD37" s="926"/>
      <c r="IPE37" s="926"/>
      <c r="IPF37" s="926"/>
      <c r="IPG37" s="926"/>
      <c r="IPH37" s="926"/>
      <c r="IPI37" s="926"/>
      <c r="IPJ37" s="926"/>
      <c r="IPK37" s="926"/>
      <c r="IPL37" s="926"/>
      <c r="IPM37" s="926"/>
      <c r="IPN37" s="926"/>
      <c r="IPO37" s="926"/>
      <c r="IPP37" s="926"/>
      <c r="IPQ37" s="926"/>
      <c r="IPR37" s="926"/>
      <c r="IPS37" s="926"/>
      <c r="IPT37" s="926"/>
      <c r="IPU37" s="926"/>
      <c r="IPV37" s="926"/>
      <c r="IPW37" s="926"/>
      <c r="IPX37" s="926"/>
      <c r="IPY37" s="926"/>
      <c r="IPZ37" s="926"/>
      <c r="IQA37" s="926"/>
      <c r="IQB37" s="926"/>
      <c r="IQC37" s="926"/>
      <c r="IQD37" s="926"/>
      <c r="IQE37" s="926"/>
      <c r="IQF37" s="926"/>
      <c r="IQG37" s="926"/>
      <c r="IQH37" s="926"/>
      <c r="IQI37" s="926"/>
      <c r="IQJ37" s="926"/>
      <c r="IQK37" s="926"/>
      <c r="IQL37" s="926"/>
      <c r="IQM37" s="926"/>
      <c r="IQN37" s="926"/>
      <c r="IQO37" s="926"/>
      <c r="IQP37" s="926"/>
      <c r="IQQ37" s="926"/>
      <c r="IQR37" s="926"/>
      <c r="IQS37" s="926"/>
      <c r="IQT37" s="926"/>
      <c r="IQU37" s="926"/>
      <c r="IQV37" s="926"/>
      <c r="IQW37" s="926"/>
      <c r="IQX37" s="926"/>
      <c r="IQY37" s="926"/>
      <c r="IQZ37" s="926"/>
      <c r="IRA37" s="926"/>
      <c r="IRB37" s="926"/>
      <c r="IRC37" s="926"/>
      <c r="IRD37" s="926"/>
      <c r="IRE37" s="926"/>
      <c r="IRF37" s="926"/>
      <c r="IRG37" s="926"/>
      <c r="IRH37" s="926"/>
      <c r="IRI37" s="926"/>
      <c r="IRJ37" s="926"/>
      <c r="IRK37" s="926"/>
      <c r="IRL37" s="926"/>
      <c r="IRM37" s="926"/>
      <c r="IRN37" s="926"/>
      <c r="IRO37" s="926"/>
      <c r="IRP37" s="926"/>
      <c r="IRQ37" s="926"/>
      <c r="IRR37" s="926"/>
      <c r="IRS37" s="926"/>
      <c r="IRT37" s="926"/>
      <c r="IRU37" s="926"/>
      <c r="IRV37" s="926"/>
      <c r="IRW37" s="926"/>
      <c r="IRX37" s="926"/>
      <c r="IRY37" s="926"/>
      <c r="IRZ37" s="926"/>
      <c r="ISA37" s="926"/>
      <c r="ISB37" s="926"/>
      <c r="ISC37" s="926"/>
      <c r="ISD37" s="926"/>
      <c r="ISE37" s="926"/>
      <c r="ISF37" s="926"/>
      <c r="ISG37" s="926"/>
      <c r="ISH37" s="926"/>
      <c r="ISI37" s="926"/>
      <c r="ISJ37" s="926"/>
      <c r="ISK37" s="926"/>
      <c r="ISL37" s="926"/>
      <c r="ISM37" s="926"/>
      <c r="ISN37" s="926"/>
      <c r="ISO37" s="926"/>
      <c r="ISP37" s="926"/>
      <c r="ISQ37" s="926"/>
      <c r="ISR37" s="926"/>
      <c r="ISS37" s="926"/>
      <c r="IST37" s="926"/>
      <c r="ISU37" s="926"/>
      <c r="ISV37" s="926"/>
      <c r="ISW37" s="926"/>
      <c r="ISX37" s="926"/>
      <c r="ISY37" s="926"/>
      <c r="ISZ37" s="926"/>
      <c r="ITA37" s="926"/>
      <c r="ITB37" s="926"/>
      <c r="ITC37" s="926"/>
      <c r="ITD37" s="926"/>
      <c r="ITE37" s="926"/>
      <c r="ITF37" s="926"/>
      <c r="ITG37" s="926"/>
      <c r="ITH37" s="926"/>
      <c r="ITI37" s="926"/>
      <c r="ITJ37" s="926"/>
      <c r="ITK37" s="926"/>
      <c r="ITL37" s="926"/>
      <c r="ITM37" s="926"/>
      <c r="ITN37" s="926"/>
      <c r="ITO37" s="926"/>
      <c r="ITP37" s="926"/>
      <c r="ITQ37" s="926"/>
      <c r="ITR37" s="926"/>
      <c r="ITS37" s="926"/>
      <c r="ITT37" s="926"/>
      <c r="ITU37" s="926"/>
      <c r="ITV37" s="926"/>
      <c r="ITW37" s="926"/>
      <c r="ITX37" s="926"/>
      <c r="ITY37" s="926"/>
      <c r="ITZ37" s="926"/>
      <c r="IUA37" s="926"/>
      <c r="IUB37" s="926"/>
      <c r="IUC37" s="926"/>
      <c r="IUD37" s="926"/>
      <c r="IUE37" s="926"/>
      <c r="IUF37" s="926"/>
      <c r="IUG37" s="926"/>
      <c r="IUH37" s="926"/>
      <c r="IUI37" s="926"/>
      <c r="IUJ37" s="926"/>
      <c r="IUK37" s="926"/>
      <c r="IUL37" s="926"/>
      <c r="IUM37" s="926"/>
      <c r="IUN37" s="926"/>
      <c r="IUO37" s="926"/>
      <c r="IUP37" s="926"/>
      <c r="IUQ37" s="926"/>
      <c r="IUR37" s="926"/>
      <c r="IUS37" s="926"/>
      <c r="IUT37" s="926"/>
      <c r="IUU37" s="926"/>
      <c r="IUV37" s="926"/>
      <c r="IUW37" s="926"/>
      <c r="IUX37" s="926"/>
      <c r="IUY37" s="926"/>
      <c r="IUZ37" s="926"/>
      <c r="IVA37" s="926"/>
      <c r="IVB37" s="926"/>
      <c r="IVC37" s="926"/>
      <c r="IVD37" s="926"/>
      <c r="IVE37" s="926"/>
      <c r="IVF37" s="926"/>
      <c r="IVG37" s="926"/>
      <c r="IVH37" s="926"/>
      <c r="IVI37" s="926"/>
      <c r="IVJ37" s="926"/>
      <c r="IVK37" s="926"/>
      <c r="IVL37" s="926"/>
      <c r="IVM37" s="926"/>
      <c r="IVN37" s="926"/>
      <c r="IVO37" s="926"/>
      <c r="IVP37" s="926"/>
      <c r="IVQ37" s="926"/>
      <c r="IVR37" s="926"/>
      <c r="IVS37" s="926"/>
      <c r="IVT37" s="926"/>
      <c r="IVU37" s="926"/>
      <c r="IVV37" s="926"/>
      <c r="IVW37" s="926"/>
      <c r="IVX37" s="926"/>
      <c r="IVY37" s="926"/>
      <c r="IVZ37" s="926"/>
      <c r="IWA37" s="926"/>
      <c r="IWB37" s="926"/>
      <c r="IWC37" s="926"/>
      <c r="IWD37" s="926"/>
      <c r="IWE37" s="926"/>
      <c r="IWF37" s="926"/>
      <c r="IWG37" s="926"/>
      <c r="IWH37" s="926"/>
      <c r="IWI37" s="926"/>
      <c r="IWJ37" s="926"/>
      <c r="IWK37" s="926"/>
      <c r="IWL37" s="926"/>
      <c r="IWM37" s="926"/>
      <c r="IWN37" s="926"/>
      <c r="IWO37" s="926"/>
      <c r="IWP37" s="926"/>
      <c r="IWQ37" s="926"/>
      <c r="IWR37" s="926"/>
      <c r="IWS37" s="926"/>
      <c r="IWT37" s="926"/>
      <c r="IWU37" s="926"/>
      <c r="IWV37" s="926"/>
      <c r="IWW37" s="926"/>
      <c r="IWX37" s="926"/>
      <c r="IWY37" s="926"/>
      <c r="IWZ37" s="926"/>
      <c r="IXA37" s="926"/>
      <c r="IXB37" s="926"/>
      <c r="IXC37" s="926"/>
      <c r="IXD37" s="926"/>
      <c r="IXE37" s="926"/>
      <c r="IXF37" s="926"/>
      <c r="IXG37" s="926"/>
      <c r="IXH37" s="926"/>
      <c r="IXI37" s="926"/>
      <c r="IXJ37" s="926"/>
      <c r="IXK37" s="926"/>
      <c r="IXL37" s="926"/>
      <c r="IXM37" s="926"/>
      <c r="IXN37" s="926"/>
      <c r="IXO37" s="926"/>
      <c r="IXP37" s="926"/>
      <c r="IXQ37" s="926"/>
      <c r="IXR37" s="926"/>
      <c r="IXS37" s="926"/>
      <c r="IXT37" s="926"/>
      <c r="IXU37" s="926"/>
      <c r="IXV37" s="926"/>
      <c r="IXW37" s="926"/>
      <c r="IXX37" s="926"/>
      <c r="IXY37" s="926"/>
      <c r="IXZ37" s="926"/>
      <c r="IYA37" s="926"/>
      <c r="IYB37" s="926"/>
      <c r="IYC37" s="926"/>
      <c r="IYD37" s="926"/>
      <c r="IYE37" s="926"/>
      <c r="IYF37" s="926"/>
      <c r="IYG37" s="926"/>
      <c r="IYH37" s="926"/>
      <c r="IYI37" s="926"/>
      <c r="IYJ37" s="926"/>
      <c r="IYK37" s="926"/>
      <c r="IYL37" s="926"/>
      <c r="IYM37" s="926"/>
      <c r="IYN37" s="926"/>
      <c r="IYO37" s="926"/>
      <c r="IYP37" s="926"/>
      <c r="IYQ37" s="926"/>
      <c r="IYR37" s="926"/>
      <c r="IYS37" s="926"/>
      <c r="IYT37" s="926"/>
      <c r="IYU37" s="926"/>
      <c r="IYV37" s="926"/>
      <c r="IYW37" s="926"/>
      <c r="IYX37" s="926"/>
      <c r="IYY37" s="926"/>
      <c r="IYZ37" s="926"/>
      <c r="IZA37" s="926"/>
      <c r="IZB37" s="926"/>
      <c r="IZC37" s="926"/>
      <c r="IZD37" s="926"/>
      <c r="IZE37" s="926"/>
      <c r="IZF37" s="926"/>
      <c r="IZG37" s="926"/>
      <c r="IZH37" s="926"/>
      <c r="IZI37" s="926"/>
      <c r="IZJ37" s="926"/>
      <c r="IZK37" s="926"/>
      <c r="IZL37" s="926"/>
      <c r="IZM37" s="926"/>
      <c r="IZN37" s="926"/>
      <c r="IZO37" s="926"/>
      <c r="IZP37" s="926"/>
      <c r="IZQ37" s="926"/>
      <c r="IZR37" s="926"/>
      <c r="IZS37" s="926"/>
      <c r="IZT37" s="926"/>
      <c r="IZU37" s="926"/>
      <c r="IZV37" s="926"/>
      <c r="IZW37" s="926"/>
      <c r="IZX37" s="926"/>
      <c r="IZY37" s="926"/>
      <c r="IZZ37" s="926"/>
      <c r="JAA37" s="926"/>
      <c r="JAB37" s="926"/>
      <c r="JAC37" s="926"/>
      <c r="JAD37" s="926"/>
      <c r="JAE37" s="926"/>
      <c r="JAF37" s="926"/>
      <c r="JAG37" s="926"/>
      <c r="JAH37" s="926"/>
      <c r="JAI37" s="926"/>
      <c r="JAJ37" s="926"/>
      <c r="JAK37" s="926"/>
      <c r="JAL37" s="926"/>
      <c r="JAM37" s="926"/>
      <c r="JAN37" s="926"/>
      <c r="JAO37" s="926"/>
      <c r="JAP37" s="926"/>
      <c r="JAQ37" s="926"/>
      <c r="JAR37" s="926"/>
      <c r="JAS37" s="926"/>
      <c r="JAT37" s="926"/>
      <c r="JAU37" s="926"/>
      <c r="JAV37" s="926"/>
      <c r="JAW37" s="926"/>
      <c r="JAX37" s="926"/>
      <c r="JAY37" s="926"/>
      <c r="JAZ37" s="926"/>
      <c r="JBA37" s="926"/>
      <c r="JBB37" s="926"/>
      <c r="JBC37" s="926"/>
      <c r="JBD37" s="926"/>
      <c r="JBE37" s="926"/>
      <c r="JBF37" s="926"/>
      <c r="JBG37" s="926"/>
      <c r="JBH37" s="926"/>
      <c r="JBI37" s="926"/>
      <c r="JBJ37" s="926"/>
      <c r="JBK37" s="926"/>
      <c r="JBL37" s="926"/>
      <c r="JBM37" s="926"/>
      <c r="JBN37" s="926"/>
      <c r="JBO37" s="926"/>
      <c r="JBP37" s="926"/>
      <c r="JBQ37" s="926"/>
      <c r="JBR37" s="926"/>
      <c r="JBS37" s="926"/>
      <c r="JBT37" s="926"/>
      <c r="JBU37" s="926"/>
      <c r="JBV37" s="926"/>
      <c r="JBW37" s="926"/>
      <c r="JBX37" s="926"/>
      <c r="JBY37" s="926"/>
      <c r="JBZ37" s="926"/>
      <c r="JCA37" s="926"/>
      <c r="JCB37" s="926"/>
      <c r="JCC37" s="926"/>
      <c r="JCD37" s="926"/>
      <c r="JCE37" s="926"/>
      <c r="JCF37" s="926"/>
      <c r="JCG37" s="926"/>
      <c r="JCH37" s="926"/>
      <c r="JCI37" s="926"/>
      <c r="JCJ37" s="926"/>
      <c r="JCK37" s="926"/>
      <c r="JCL37" s="926"/>
      <c r="JCM37" s="926"/>
      <c r="JCN37" s="926"/>
      <c r="JCO37" s="926"/>
      <c r="JCP37" s="926"/>
      <c r="JCQ37" s="926"/>
      <c r="JCR37" s="926"/>
      <c r="JCS37" s="926"/>
      <c r="JCT37" s="926"/>
      <c r="JCU37" s="926"/>
      <c r="JCV37" s="926"/>
      <c r="JCW37" s="926"/>
      <c r="JCX37" s="926"/>
      <c r="JCY37" s="926"/>
      <c r="JCZ37" s="926"/>
      <c r="JDA37" s="926"/>
      <c r="JDB37" s="926"/>
      <c r="JDC37" s="926"/>
      <c r="JDD37" s="926"/>
      <c r="JDE37" s="926"/>
      <c r="JDF37" s="926"/>
      <c r="JDG37" s="926"/>
      <c r="JDH37" s="926"/>
      <c r="JDI37" s="926"/>
      <c r="JDJ37" s="926"/>
      <c r="JDK37" s="926"/>
      <c r="JDL37" s="926"/>
      <c r="JDM37" s="926"/>
      <c r="JDN37" s="926"/>
      <c r="JDO37" s="926"/>
      <c r="JDP37" s="926"/>
      <c r="JDQ37" s="926"/>
      <c r="JDR37" s="926"/>
      <c r="JDS37" s="926"/>
      <c r="JDT37" s="926"/>
      <c r="JDU37" s="926"/>
      <c r="JDV37" s="926"/>
      <c r="JDW37" s="926"/>
      <c r="JDX37" s="926"/>
      <c r="JDY37" s="926"/>
      <c r="JDZ37" s="926"/>
      <c r="JEA37" s="926"/>
      <c r="JEB37" s="926"/>
      <c r="JEC37" s="926"/>
      <c r="JED37" s="926"/>
      <c r="JEE37" s="926"/>
      <c r="JEF37" s="926"/>
      <c r="JEG37" s="926"/>
      <c r="JEH37" s="926"/>
      <c r="JEI37" s="926"/>
      <c r="JEJ37" s="926"/>
      <c r="JEK37" s="926"/>
      <c r="JEL37" s="926"/>
      <c r="JEM37" s="926"/>
      <c r="JEN37" s="926"/>
      <c r="JEO37" s="926"/>
      <c r="JEP37" s="926"/>
      <c r="JEQ37" s="926"/>
      <c r="JER37" s="926"/>
      <c r="JES37" s="926"/>
      <c r="JET37" s="926"/>
      <c r="JEU37" s="926"/>
      <c r="JEV37" s="926"/>
      <c r="JEW37" s="926"/>
      <c r="JEX37" s="926"/>
      <c r="JEY37" s="926"/>
      <c r="JEZ37" s="926"/>
      <c r="JFA37" s="926"/>
      <c r="JFB37" s="926"/>
      <c r="JFC37" s="926"/>
      <c r="JFD37" s="926"/>
      <c r="JFE37" s="926"/>
      <c r="JFF37" s="926"/>
      <c r="JFG37" s="926"/>
      <c r="JFH37" s="926"/>
      <c r="JFI37" s="926"/>
      <c r="JFJ37" s="926"/>
      <c r="JFK37" s="926"/>
      <c r="JFL37" s="926"/>
      <c r="JFM37" s="926"/>
      <c r="JFN37" s="926"/>
      <c r="JFO37" s="926"/>
      <c r="JFP37" s="926"/>
      <c r="JFQ37" s="926"/>
      <c r="JFR37" s="926"/>
      <c r="JFS37" s="926"/>
      <c r="JFT37" s="926"/>
      <c r="JFU37" s="926"/>
      <c r="JFV37" s="926"/>
      <c r="JFW37" s="926"/>
      <c r="JFX37" s="926"/>
      <c r="JFY37" s="926"/>
      <c r="JFZ37" s="926"/>
      <c r="JGA37" s="926"/>
      <c r="JGB37" s="926"/>
      <c r="JGC37" s="926"/>
      <c r="JGD37" s="926"/>
      <c r="JGE37" s="926"/>
      <c r="JGF37" s="926"/>
      <c r="JGG37" s="926"/>
      <c r="JGH37" s="926"/>
      <c r="JGI37" s="926"/>
      <c r="JGJ37" s="926"/>
      <c r="JGK37" s="926"/>
      <c r="JGL37" s="926"/>
      <c r="JGM37" s="926"/>
      <c r="JGN37" s="926"/>
      <c r="JGO37" s="926"/>
      <c r="JGP37" s="926"/>
      <c r="JGQ37" s="926"/>
      <c r="JGR37" s="926"/>
      <c r="JGS37" s="926"/>
      <c r="JGT37" s="926"/>
      <c r="JGU37" s="926"/>
      <c r="JGV37" s="926"/>
      <c r="JGW37" s="926"/>
      <c r="JGX37" s="926"/>
      <c r="JGY37" s="926"/>
      <c r="JGZ37" s="926"/>
      <c r="JHA37" s="926"/>
      <c r="JHB37" s="926"/>
      <c r="JHC37" s="926"/>
      <c r="JHD37" s="926"/>
      <c r="JHE37" s="926"/>
      <c r="JHF37" s="926"/>
      <c r="JHG37" s="926"/>
      <c r="JHH37" s="926"/>
      <c r="JHI37" s="926"/>
      <c r="JHJ37" s="926"/>
      <c r="JHK37" s="926"/>
      <c r="JHL37" s="926"/>
      <c r="JHM37" s="926"/>
      <c r="JHN37" s="926"/>
      <c r="JHO37" s="926"/>
      <c r="JHP37" s="926"/>
      <c r="JHQ37" s="926"/>
      <c r="JHR37" s="926"/>
      <c r="JHS37" s="926"/>
      <c r="JHT37" s="926"/>
      <c r="JHU37" s="926"/>
      <c r="JHV37" s="926"/>
      <c r="JHW37" s="926"/>
      <c r="JHX37" s="926"/>
      <c r="JHY37" s="926"/>
      <c r="JHZ37" s="926"/>
      <c r="JIA37" s="926"/>
      <c r="JIB37" s="926"/>
      <c r="JIC37" s="926"/>
      <c r="JID37" s="926"/>
      <c r="JIE37" s="926"/>
      <c r="JIF37" s="926"/>
      <c r="JIG37" s="926"/>
      <c r="JIH37" s="926"/>
      <c r="JII37" s="926"/>
      <c r="JIJ37" s="926"/>
      <c r="JIK37" s="926"/>
      <c r="JIL37" s="926"/>
      <c r="JIM37" s="926"/>
      <c r="JIN37" s="926"/>
      <c r="JIO37" s="926"/>
      <c r="JIP37" s="926"/>
      <c r="JIQ37" s="926"/>
      <c r="JIR37" s="926"/>
      <c r="JIS37" s="926"/>
      <c r="JIT37" s="926"/>
      <c r="JIU37" s="926"/>
      <c r="JIV37" s="926"/>
      <c r="JIW37" s="926"/>
      <c r="JIX37" s="926"/>
      <c r="JIY37" s="926"/>
      <c r="JIZ37" s="926"/>
      <c r="JJA37" s="926"/>
      <c r="JJB37" s="926"/>
      <c r="JJC37" s="926"/>
      <c r="JJD37" s="926"/>
      <c r="JJE37" s="926"/>
      <c r="JJF37" s="926"/>
      <c r="JJG37" s="926"/>
      <c r="JJH37" s="926"/>
      <c r="JJI37" s="926"/>
      <c r="JJJ37" s="926"/>
      <c r="JJK37" s="926"/>
      <c r="JJL37" s="926"/>
      <c r="JJM37" s="926"/>
      <c r="JJN37" s="926"/>
      <c r="JJO37" s="926"/>
      <c r="JJP37" s="926"/>
      <c r="JJQ37" s="926"/>
      <c r="JJR37" s="926"/>
      <c r="JJS37" s="926"/>
      <c r="JJT37" s="926"/>
      <c r="JJU37" s="926"/>
      <c r="JJV37" s="926"/>
      <c r="JJW37" s="926"/>
      <c r="JJX37" s="926"/>
      <c r="JJY37" s="926"/>
      <c r="JJZ37" s="926"/>
      <c r="JKA37" s="926"/>
      <c r="JKB37" s="926"/>
      <c r="JKC37" s="926"/>
      <c r="JKD37" s="926"/>
      <c r="JKE37" s="926"/>
      <c r="JKF37" s="926"/>
      <c r="JKG37" s="926"/>
      <c r="JKH37" s="926"/>
      <c r="JKI37" s="926"/>
      <c r="JKJ37" s="926"/>
      <c r="JKK37" s="926"/>
      <c r="JKL37" s="926"/>
      <c r="JKM37" s="926"/>
      <c r="JKN37" s="926"/>
      <c r="JKO37" s="926"/>
      <c r="JKP37" s="926"/>
      <c r="JKQ37" s="926"/>
      <c r="JKR37" s="926"/>
      <c r="JKS37" s="926"/>
      <c r="JKT37" s="926"/>
      <c r="JKU37" s="926"/>
      <c r="JKV37" s="926"/>
      <c r="JKW37" s="926"/>
      <c r="JKX37" s="926"/>
      <c r="JKY37" s="926"/>
      <c r="JKZ37" s="926"/>
      <c r="JLA37" s="926"/>
      <c r="JLB37" s="926"/>
      <c r="JLC37" s="926"/>
      <c r="JLD37" s="926"/>
      <c r="JLE37" s="926"/>
      <c r="JLF37" s="926"/>
      <c r="JLG37" s="926"/>
      <c r="JLH37" s="926"/>
      <c r="JLI37" s="926"/>
      <c r="JLJ37" s="926"/>
      <c r="JLK37" s="926"/>
      <c r="JLL37" s="926"/>
      <c r="JLM37" s="926"/>
      <c r="JLN37" s="926"/>
      <c r="JLO37" s="926"/>
      <c r="JLP37" s="926"/>
      <c r="JLQ37" s="926"/>
      <c r="JLR37" s="926"/>
      <c r="JLS37" s="926"/>
      <c r="JLT37" s="926"/>
      <c r="JLU37" s="926"/>
      <c r="JLV37" s="926"/>
      <c r="JLW37" s="926"/>
      <c r="JLX37" s="926"/>
      <c r="JLY37" s="926"/>
      <c r="JLZ37" s="926"/>
      <c r="JMA37" s="926"/>
      <c r="JMB37" s="926"/>
      <c r="JMC37" s="926"/>
      <c r="JMD37" s="926"/>
      <c r="JME37" s="926"/>
      <c r="JMF37" s="926"/>
      <c r="JMG37" s="926"/>
      <c r="JMH37" s="926"/>
      <c r="JMI37" s="926"/>
      <c r="JMJ37" s="926"/>
      <c r="JMK37" s="926"/>
      <c r="JML37" s="926"/>
      <c r="JMM37" s="926"/>
      <c r="JMN37" s="926"/>
      <c r="JMO37" s="926"/>
      <c r="JMP37" s="926"/>
      <c r="JMQ37" s="926"/>
      <c r="JMR37" s="926"/>
      <c r="JMS37" s="926"/>
      <c r="JMT37" s="926"/>
      <c r="JMU37" s="926"/>
      <c r="JMV37" s="926"/>
      <c r="JMW37" s="926"/>
      <c r="JMX37" s="926"/>
      <c r="JMY37" s="926"/>
      <c r="JMZ37" s="926"/>
      <c r="JNA37" s="926"/>
      <c r="JNB37" s="926"/>
      <c r="JNC37" s="926"/>
      <c r="JND37" s="926"/>
      <c r="JNE37" s="926"/>
      <c r="JNF37" s="926"/>
      <c r="JNG37" s="926"/>
      <c r="JNH37" s="926"/>
      <c r="JNI37" s="926"/>
      <c r="JNJ37" s="926"/>
      <c r="JNK37" s="926"/>
      <c r="JNL37" s="926"/>
      <c r="JNM37" s="926"/>
      <c r="JNN37" s="926"/>
      <c r="JNO37" s="926"/>
      <c r="JNP37" s="926"/>
      <c r="JNQ37" s="926"/>
      <c r="JNR37" s="926"/>
      <c r="JNS37" s="926"/>
      <c r="JNT37" s="926"/>
      <c r="JNU37" s="926"/>
      <c r="JNV37" s="926"/>
      <c r="JNW37" s="926"/>
      <c r="JNX37" s="926"/>
      <c r="JNY37" s="926"/>
      <c r="JNZ37" s="926"/>
      <c r="JOA37" s="926"/>
      <c r="JOB37" s="926"/>
      <c r="JOC37" s="926"/>
      <c r="JOD37" s="926"/>
      <c r="JOE37" s="926"/>
      <c r="JOF37" s="926"/>
      <c r="JOG37" s="926"/>
      <c r="JOH37" s="926"/>
      <c r="JOI37" s="926"/>
      <c r="JOJ37" s="926"/>
      <c r="JOK37" s="926"/>
      <c r="JOL37" s="926"/>
      <c r="JOM37" s="926"/>
      <c r="JON37" s="926"/>
      <c r="JOO37" s="926"/>
      <c r="JOP37" s="926"/>
      <c r="JOQ37" s="926"/>
      <c r="JOR37" s="926"/>
      <c r="JOS37" s="926"/>
      <c r="JOT37" s="926"/>
      <c r="JOU37" s="926"/>
      <c r="JOV37" s="926"/>
      <c r="JOW37" s="926"/>
      <c r="JOX37" s="926"/>
      <c r="JOY37" s="926"/>
      <c r="JOZ37" s="926"/>
      <c r="JPA37" s="926"/>
      <c r="JPB37" s="926"/>
      <c r="JPC37" s="926"/>
      <c r="JPD37" s="926"/>
      <c r="JPE37" s="926"/>
      <c r="JPF37" s="926"/>
      <c r="JPG37" s="926"/>
      <c r="JPH37" s="926"/>
      <c r="JPI37" s="926"/>
      <c r="JPJ37" s="926"/>
      <c r="JPK37" s="926"/>
      <c r="JPL37" s="926"/>
      <c r="JPM37" s="926"/>
      <c r="JPN37" s="926"/>
      <c r="JPO37" s="926"/>
      <c r="JPP37" s="926"/>
      <c r="JPQ37" s="926"/>
      <c r="JPR37" s="926"/>
      <c r="JPS37" s="926"/>
      <c r="JPT37" s="926"/>
      <c r="JPU37" s="926"/>
      <c r="JPV37" s="926"/>
      <c r="JPW37" s="926"/>
      <c r="JPX37" s="926"/>
      <c r="JPY37" s="926"/>
      <c r="JPZ37" s="926"/>
      <c r="JQA37" s="926"/>
      <c r="JQB37" s="926"/>
      <c r="JQC37" s="926"/>
      <c r="JQD37" s="926"/>
      <c r="JQE37" s="926"/>
      <c r="JQF37" s="926"/>
      <c r="JQG37" s="926"/>
      <c r="JQH37" s="926"/>
      <c r="JQI37" s="926"/>
      <c r="JQJ37" s="926"/>
      <c r="JQK37" s="926"/>
      <c r="JQL37" s="926"/>
      <c r="JQM37" s="926"/>
      <c r="JQN37" s="926"/>
      <c r="JQO37" s="926"/>
      <c r="JQP37" s="926"/>
      <c r="JQQ37" s="926"/>
      <c r="JQR37" s="926"/>
      <c r="JQS37" s="926"/>
      <c r="JQT37" s="926"/>
      <c r="JQU37" s="926"/>
      <c r="JQV37" s="926"/>
      <c r="JQW37" s="926"/>
      <c r="JQX37" s="926"/>
      <c r="JQY37" s="926"/>
      <c r="JQZ37" s="926"/>
      <c r="JRA37" s="926"/>
      <c r="JRB37" s="926"/>
      <c r="JRC37" s="926"/>
      <c r="JRD37" s="926"/>
      <c r="JRE37" s="926"/>
      <c r="JRF37" s="926"/>
      <c r="JRG37" s="926"/>
      <c r="JRH37" s="926"/>
      <c r="JRI37" s="926"/>
      <c r="JRJ37" s="926"/>
      <c r="JRK37" s="926"/>
      <c r="JRL37" s="926"/>
      <c r="JRM37" s="926"/>
      <c r="JRN37" s="926"/>
      <c r="JRO37" s="926"/>
      <c r="JRP37" s="926"/>
      <c r="JRQ37" s="926"/>
      <c r="JRR37" s="926"/>
      <c r="JRS37" s="926"/>
      <c r="JRT37" s="926"/>
      <c r="JRU37" s="926"/>
      <c r="JRV37" s="926"/>
      <c r="JRW37" s="926"/>
      <c r="JRX37" s="926"/>
      <c r="JRY37" s="926"/>
      <c r="JRZ37" s="926"/>
      <c r="JSA37" s="926"/>
      <c r="JSB37" s="926"/>
      <c r="JSC37" s="926"/>
      <c r="JSD37" s="926"/>
      <c r="JSE37" s="926"/>
      <c r="JSF37" s="926"/>
      <c r="JSG37" s="926"/>
      <c r="JSH37" s="926"/>
      <c r="JSI37" s="926"/>
      <c r="JSJ37" s="926"/>
      <c r="JSK37" s="926"/>
      <c r="JSL37" s="926"/>
      <c r="JSM37" s="926"/>
      <c r="JSN37" s="926"/>
      <c r="JSO37" s="926"/>
      <c r="JSP37" s="926"/>
      <c r="JSQ37" s="926"/>
      <c r="JSR37" s="926"/>
      <c r="JSS37" s="926"/>
      <c r="JST37" s="926"/>
      <c r="JSU37" s="926"/>
      <c r="JSV37" s="926"/>
      <c r="JSW37" s="926"/>
      <c r="JSX37" s="926"/>
      <c r="JSY37" s="926"/>
      <c r="JSZ37" s="926"/>
      <c r="JTA37" s="926"/>
      <c r="JTB37" s="926"/>
      <c r="JTC37" s="926"/>
      <c r="JTD37" s="926"/>
      <c r="JTE37" s="926"/>
      <c r="JTF37" s="926"/>
      <c r="JTG37" s="926"/>
      <c r="JTH37" s="926"/>
      <c r="JTI37" s="926"/>
      <c r="JTJ37" s="926"/>
      <c r="JTK37" s="926"/>
      <c r="JTL37" s="926"/>
      <c r="JTM37" s="926"/>
      <c r="JTN37" s="926"/>
      <c r="JTO37" s="926"/>
      <c r="JTP37" s="926"/>
      <c r="JTQ37" s="926"/>
      <c r="JTR37" s="926"/>
      <c r="JTS37" s="926"/>
      <c r="JTT37" s="926"/>
      <c r="JTU37" s="926"/>
      <c r="JTV37" s="926"/>
      <c r="JTW37" s="926"/>
      <c r="JTX37" s="926"/>
      <c r="JTY37" s="926"/>
      <c r="JTZ37" s="926"/>
      <c r="JUA37" s="926"/>
      <c r="JUB37" s="926"/>
      <c r="JUC37" s="926"/>
      <c r="JUD37" s="926"/>
      <c r="JUE37" s="926"/>
      <c r="JUF37" s="926"/>
      <c r="JUG37" s="926"/>
      <c r="JUH37" s="926"/>
      <c r="JUI37" s="926"/>
      <c r="JUJ37" s="926"/>
      <c r="JUK37" s="926"/>
      <c r="JUL37" s="926"/>
      <c r="JUM37" s="926"/>
      <c r="JUN37" s="926"/>
      <c r="JUO37" s="926"/>
      <c r="JUP37" s="926"/>
      <c r="JUQ37" s="926"/>
      <c r="JUR37" s="926"/>
      <c r="JUS37" s="926"/>
      <c r="JUT37" s="926"/>
      <c r="JUU37" s="926"/>
      <c r="JUV37" s="926"/>
      <c r="JUW37" s="926"/>
      <c r="JUX37" s="926"/>
      <c r="JUY37" s="926"/>
      <c r="JUZ37" s="926"/>
      <c r="JVA37" s="926"/>
      <c r="JVB37" s="926"/>
      <c r="JVC37" s="926"/>
      <c r="JVD37" s="926"/>
      <c r="JVE37" s="926"/>
      <c r="JVF37" s="926"/>
      <c r="JVG37" s="926"/>
      <c r="JVH37" s="926"/>
      <c r="JVI37" s="926"/>
      <c r="JVJ37" s="926"/>
      <c r="JVK37" s="926"/>
      <c r="JVL37" s="926"/>
      <c r="JVM37" s="926"/>
      <c r="JVN37" s="926"/>
      <c r="JVO37" s="926"/>
      <c r="JVP37" s="926"/>
      <c r="JVQ37" s="926"/>
      <c r="JVR37" s="926"/>
      <c r="JVS37" s="926"/>
      <c r="JVT37" s="926"/>
      <c r="JVU37" s="926"/>
      <c r="JVV37" s="926"/>
      <c r="JVW37" s="926"/>
      <c r="JVX37" s="926"/>
      <c r="JVY37" s="926"/>
      <c r="JVZ37" s="926"/>
      <c r="JWA37" s="926"/>
      <c r="JWB37" s="926"/>
      <c r="JWC37" s="926"/>
      <c r="JWD37" s="926"/>
      <c r="JWE37" s="926"/>
      <c r="JWF37" s="926"/>
      <c r="JWG37" s="926"/>
      <c r="JWH37" s="926"/>
      <c r="JWI37" s="926"/>
      <c r="JWJ37" s="926"/>
      <c r="JWK37" s="926"/>
      <c r="JWL37" s="926"/>
      <c r="JWM37" s="926"/>
      <c r="JWN37" s="926"/>
      <c r="JWO37" s="926"/>
      <c r="JWP37" s="926"/>
      <c r="JWQ37" s="926"/>
      <c r="JWR37" s="926"/>
      <c r="JWS37" s="926"/>
      <c r="JWT37" s="926"/>
      <c r="JWU37" s="926"/>
      <c r="JWV37" s="926"/>
      <c r="JWW37" s="926"/>
      <c r="JWX37" s="926"/>
      <c r="JWY37" s="926"/>
      <c r="JWZ37" s="926"/>
      <c r="JXA37" s="926"/>
      <c r="JXB37" s="926"/>
      <c r="JXC37" s="926"/>
      <c r="JXD37" s="926"/>
      <c r="JXE37" s="926"/>
      <c r="JXF37" s="926"/>
      <c r="JXG37" s="926"/>
      <c r="JXH37" s="926"/>
      <c r="JXI37" s="926"/>
      <c r="JXJ37" s="926"/>
      <c r="JXK37" s="926"/>
      <c r="JXL37" s="926"/>
      <c r="JXM37" s="926"/>
      <c r="JXN37" s="926"/>
      <c r="JXO37" s="926"/>
      <c r="JXP37" s="926"/>
      <c r="JXQ37" s="926"/>
      <c r="JXR37" s="926"/>
      <c r="JXS37" s="926"/>
      <c r="JXT37" s="926"/>
      <c r="JXU37" s="926"/>
      <c r="JXV37" s="926"/>
      <c r="JXW37" s="926"/>
      <c r="JXX37" s="926"/>
      <c r="JXY37" s="926"/>
      <c r="JXZ37" s="926"/>
      <c r="JYA37" s="926"/>
      <c r="JYB37" s="926"/>
      <c r="JYC37" s="926"/>
      <c r="JYD37" s="926"/>
      <c r="JYE37" s="926"/>
      <c r="JYF37" s="926"/>
      <c r="JYG37" s="926"/>
      <c r="JYH37" s="926"/>
      <c r="JYI37" s="926"/>
      <c r="JYJ37" s="926"/>
      <c r="JYK37" s="926"/>
      <c r="JYL37" s="926"/>
      <c r="JYM37" s="926"/>
      <c r="JYN37" s="926"/>
      <c r="JYO37" s="926"/>
      <c r="JYP37" s="926"/>
      <c r="JYQ37" s="926"/>
      <c r="JYR37" s="926"/>
      <c r="JYS37" s="926"/>
      <c r="JYT37" s="926"/>
      <c r="JYU37" s="926"/>
      <c r="JYV37" s="926"/>
      <c r="JYW37" s="926"/>
      <c r="JYX37" s="926"/>
      <c r="JYY37" s="926"/>
      <c r="JYZ37" s="926"/>
      <c r="JZA37" s="926"/>
      <c r="JZB37" s="926"/>
      <c r="JZC37" s="926"/>
      <c r="JZD37" s="926"/>
      <c r="JZE37" s="926"/>
      <c r="JZF37" s="926"/>
      <c r="JZG37" s="926"/>
      <c r="JZH37" s="926"/>
      <c r="JZI37" s="926"/>
      <c r="JZJ37" s="926"/>
      <c r="JZK37" s="926"/>
      <c r="JZL37" s="926"/>
      <c r="JZM37" s="926"/>
      <c r="JZN37" s="926"/>
      <c r="JZO37" s="926"/>
      <c r="JZP37" s="926"/>
      <c r="JZQ37" s="926"/>
      <c r="JZR37" s="926"/>
      <c r="JZS37" s="926"/>
      <c r="JZT37" s="926"/>
      <c r="JZU37" s="926"/>
      <c r="JZV37" s="926"/>
      <c r="JZW37" s="926"/>
      <c r="JZX37" s="926"/>
      <c r="JZY37" s="926"/>
      <c r="JZZ37" s="926"/>
      <c r="KAA37" s="926"/>
      <c r="KAB37" s="926"/>
      <c r="KAC37" s="926"/>
      <c r="KAD37" s="926"/>
      <c r="KAE37" s="926"/>
      <c r="KAF37" s="926"/>
      <c r="KAG37" s="926"/>
      <c r="KAH37" s="926"/>
      <c r="KAI37" s="926"/>
      <c r="KAJ37" s="926"/>
      <c r="KAK37" s="926"/>
      <c r="KAL37" s="926"/>
      <c r="KAM37" s="926"/>
      <c r="KAN37" s="926"/>
      <c r="KAO37" s="926"/>
      <c r="KAP37" s="926"/>
      <c r="KAQ37" s="926"/>
      <c r="KAR37" s="926"/>
      <c r="KAS37" s="926"/>
      <c r="KAT37" s="926"/>
      <c r="KAU37" s="926"/>
      <c r="KAV37" s="926"/>
      <c r="KAW37" s="926"/>
      <c r="KAX37" s="926"/>
      <c r="KAY37" s="926"/>
      <c r="KAZ37" s="926"/>
      <c r="KBA37" s="926"/>
      <c r="KBB37" s="926"/>
      <c r="KBC37" s="926"/>
      <c r="KBD37" s="926"/>
      <c r="KBE37" s="926"/>
      <c r="KBF37" s="926"/>
      <c r="KBG37" s="926"/>
      <c r="KBH37" s="926"/>
      <c r="KBI37" s="926"/>
      <c r="KBJ37" s="926"/>
      <c r="KBK37" s="926"/>
      <c r="KBL37" s="926"/>
      <c r="KBM37" s="926"/>
      <c r="KBN37" s="926"/>
      <c r="KBO37" s="926"/>
      <c r="KBP37" s="926"/>
      <c r="KBQ37" s="926"/>
      <c r="KBR37" s="926"/>
      <c r="KBS37" s="926"/>
      <c r="KBT37" s="926"/>
      <c r="KBU37" s="926"/>
      <c r="KBV37" s="926"/>
      <c r="KBW37" s="926"/>
      <c r="KBX37" s="926"/>
      <c r="KBY37" s="926"/>
      <c r="KBZ37" s="926"/>
      <c r="KCA37" s="926"/>
      <c r="KCB37" s="926"/>
      <c r="KCC37" s="926"/>
      <c r="KCD37" s="926"/>
      <c r="KCE37" s="926"/>
      <c r="KCF37" s="926"/>
      <c r="KCG37" s="926"/>
      <c r="KCH37" s="926"/>
      <c r="KCI37" s="926"/>
      <c r="KCJ37" s="926"/>
      <c r="KCK37" s="926"/>
      <c r="KCL37" s="926"/>
      <c r="KCM37" s="926"/>
      <c r="KCN37" s="926"/>
      <c r="KCO37" s="926"/>
      <c r="KCP37" s="926"/>
      <c r="KCQ37" s="926"/>
      <c r="KCR37" s="926"/>
      <c r="KCS37" s="926"/>
      <c r="KCT37" s="926"/>
      <c r="KCU37" s="926"/>
      <c r="KCV37" s="926"/>
      <c r="KCW37" s="926"/>
      <c r="KCX37" s="926"/>
      <c r="KCY37" s="926"/>
      <c r="KCZ37" s="926"/>
      <c r="KDA37" s="926"/>
      <c r="KDB37" s="926"/>
      <c r="KDC37" s="926"/>
      <c r="KDD37" s="926"/>
      <c r="KDE37" s="926"/>
      <c r="KDF37" s="926"/>
      <c r="KDG37" s="926"/>
      <c r="KDH37" s="926"/>
      <c r="KDI37" s="926"/>
      <c r="KDJ37" s="926"/>
      <c r="KDK37" s="926"/>
      <c r="KDL37" s="926"/>
      <c r="KDM37" s="926"/>
      <c r="KDN37" s="926"/>
      <c r="KDO37" s="926"/>
      <c r="KDP37" s="926"/>
      <c r="KDQ37" s="926"/>
      <c r="KDR37" s="926"/>
      <c r="KDS37" s="926"/>
      <c r="KDT37" s="926"/>
      <c r="KDU37" s="926"/>
      <c r="KDV37" s="926"/>
      <c r="KDW37" s="926"/>
      <c r="KDX37" s="926"/>
      <c r="KDY37" s="926"/>
      <c r="KDZ37" s="926"/>
      <c r="KEA37" s="926"/>
      <c r="KEB37" s="926"/>
      <c r="KEC37" s="926"/>
      <c r="KED37" s="926"/>
      <c r="KEE37" s="926"/>
      <c r="KEF37" s="926"/>
      <c r="KEG37" s="926"/>
      <c r="KEH37" s="926"/>
      <c r="KEI37" s="926"/>
      <c r="KEJ37" s="926"/>
      <c r="KEK37" s="926"/>
      <c r="KEL37" s="926"/>
      <c r="KEM37" s="926"/>
      <c r="KEN37" s="926"/>
      <c r="KEO37" s="926"/>
      <c r="KEP37" s="926"/>
      <c r="KEQ37" s="926"/>
      <c r="KER37" s="926"/>
      <c r="KES37" s="926"/>
      <c r="KET37" s="926"/>
      <c r="KEU37" s="926"/>
      <c r="KEV37" s="926"/>
      <c r="KEW37" s="926"/>
      <c r="KEX37" s="926"/>
      <c r="KEY37" s="926"/>
      <c r="KEZ37" s="926"/>
      <c r="KFA37" s="926"/>
      <c r="KFB37" s="926"/>
      <c r="KFC37" s="926"/>
      <c r="KFD37" s="926"/>
      <c r="KFE37" s="926"/>
      <c r="KFF37" s="926"/>
      <c r="KFG37" s="926"/>
      <c r="KFH37" s="926"/>
      <c r="KFI37" s="926"/>
      <c r="KFJ37" s="926"/>
      <c r="KFK37" s="926"/>
      <c r="KFL37" s="926"/>
      <c r="KFM37" s="926"/>
      <c r="KFN37" s="926"/>
      <c r="KFO37" s="926"/>
      <c r="KFP37" s="926"/>
      <c r="KFQ37" s="926"/>
      <c r="KFR37" s="926"/>
      <c r="KFS37" s="926"/>
      <c r="KFT37" s="926"/>
      <c r="KFU37" s="926"/>
      <c r="KFV37" s="926"/>
      <c r="KFW37" s="926"/>
      <c r="KFX37" s="926"/>
      <c r="KFY37" s="926"/>
      <c r="KFZ37" s="926"/>
      <c r="KGA37" s="926"/>
      <c r="KGB37" s="926"/>
      <c r="KGC37" s="926"/>
      <c r="KGD37" s="926"/>
      <c r="KGE37" s="926"/>
      <c r="KGF37" s="926"/>
      <c r="KGG37" s="926"/>
      <c r="KGH37" s="926"/>
      <c r="KGI37" s="926"/>
      <c r="KGJ37" s="926"/>
      <c r="KGK37" s="926"/>
      <c r="KGL37" s="926"/>
      <c r="KGM37" s="926"/>
      <c r="KGN37" s="926"/>
      <c r="KGO37" s="926"/>
      <c r="KGP37" s="926"/>
      <c r="KGQ37" s="926"/>
      <c r="KGR37" s="926"/>
      <c r="KGS37" s="926"/>
      <c r="KGT37" s="926"/>
      <c r="KGU37" s="926"/>
      <c r="KGV37" s="926"/>
      <c r="KGW37" s="926"/>
      <c r="KGX37" s="926"/>
      <c r="KGY37" s="926"/>
      <c r="KGZ37" s="926"/>
      <c r="KHA37" s="926"/>
      <c r="KHB37" s="926"/>
      <c r="KHC37" s="926"/>
      <c r="KHD37" s="926"/>
      <c r="KHE37" s="926"/>
      <c r="KHF37" s="926"/>
      <c r="KHG37" s="926"/>
      <c r="KHH37" s="926"/>
      <c r="KHI37" s="926"/>
      <c r="KHJ37" s="926"/>
      <c r="KHK37" s="926"/>
      <c r="KHL37" s="926"/>
      <c r="KHM37" s="926"/>
      <c r="KHN37" s="926"/>
      <c r="KHO37" s="926"/>
      <c r="KHP37" s="926"/>
      <c r="KHQ37" s="926"/>
      <c r="KHR37" s="926"/>
      <c r="KHS37" s="926"/>
      <c r="KHT37" s="926"/>
      <c r="KHU37" s="926"/>
      <c r="KHV37" s="926"/>
      <c r="KHW37" s="926"/>
      <c r="KHX37" s="926"/>
      <c r="KHY37" s="926"/>
      <c r="KHZ37" s="926"/>
      <c r="KIA37" s="926"/>
      <c r="KIB37" s="926"/>
      <c r="KIC37" s="926"/>
      <c r="KID37" s="926"/>
      <c r="KIE37" s="926"/>
      <c r="KIF37" s="926"/>
      <c r="KIG37" s="926"/>
      <c r="KIH37" s="926"/>
      <c r="KII37" s="926"/>
      <c r="KIJ37" s="926"/>
      <c r="KIK37" s="926"/>
      <c r="KIL37" s="926"/>
      <c r="KIM37" s="926"/>
      <c r="KIN37" s="926"/>
      <c r="KIO37" s="926"/>
      <c r="KIP37" s="926"/>
      <c r="KIQ37" s="926"/>
      <c r="KIR37" s="926"/>
      <c r="KIS37" s="926"/>
      <c r="KIT37" s="926"/>
      <c r="KIU37" s="926"/>
      <c r="KIV37" s="926"/>
      <c r="KIW37" s="926"/>
      <c r="KIX37" s="926"/>
      <c r="KIY37" s="926"/>
      <c r="KIZ37" s="926"/>
      <c r="KJA37" s="926"/>
      <c r="KJB37" s="926"/>
      <c r="KJC37" s="926"/>
      <c r="KJD37" s="926"/>
      <c r="KJE37" s="926"/>
      <c r="KJF37" s="926"/>
      <c r="KJG37" s="926"/>
      <c r="KJH37" s="926"/>
      <c r="KJI37" s="926"/>
      <c r="KJJ37" s="926"/>
      <c r="KJK37" s="926"/>
      <c r="KJL37" s="926"/>
      <c r="KJM37" s="926"/>
      <c r="KJN37" s="926"/>
      <c r="KJO37" s="926"/>
      <c r="KJP37" s="926"/>
      <c r="KJQ37" s="926"/>
      <c r="KJR37" s="926"/>
      <c r="KJS37" s="926"/>
      <c r="KJT37" s="926"/>
      <c r="KJU37" s="926"/>
      <c r="KJV37" s="926"/>
      <c r="KJW37" s="926"/>
      <c r="KJX37" s="926"/>
      <c r="KJY37" s="926"/>
      <c r="KJZ37" s="926"/>
      <c r="KKA37" s="926"/>
      <c r="KKB37" s="926"/>
      <c r="KKC37" s="926"/>
      <c r="KKD37" s="926"/>
      <c r="KKE37" s="926"/>
      <c r="KKF37" s="926"/>
      <c r="KKG37" s="926"/>
      <c r="KKH37" s="926"/>
      <c r="KKI37" s="926"/>
      <c r="KKJ37" s="926"/>
      <c r="KKK37" s="926"/>
      <c r="KKL37" s="926"/>
      <c r="KKM37" s="926"/>
      <c r="KKN37" s="926"/>
      <c r="KKO37" s="926"/>
      <c r="KKP37" s="926"/>
      <c r="KKQ37" s="926"/>
      <c r="KKR37" s="926"/>
      <c r="KKS37" s="926"/>
      <c r="KKT37" s="926"/>
      <c r="KKU37" s="926"/>
      <c r="KKV37" s="926"/>
      <c r="KKW37" s="926"/>
      <c r="KKX37" s="926"/>
      <c r="KKY37" s="926"/>
      <c r="KKZ37" s="926"/>
      <c r="KLA37" s="926"/>
      <c r="KLB37" s="926"/>
      <c r="KLC37" s="926"/>
      <c r="KLD37" s="926"/>
      <c r="KLE37" s="926"/>
      <c r="KLF37" s="926"/>
      <c r="KLG37" s="926"/>
      <c r="KLH37" s="926"/>
      <c r="KLI37" s="926"/>
      <c r="KLJ37" s="926"/>
      <c r="KLK37" s="926"/>
      <c r="KLL37" s="926"/>
      <c r="KLM37" s="926"/>
      <c r="KLN37" s="926"/>
      <c r="KLO37" s="926"/>
      <c r="KLP37" s="926"/>
      <c r="KLQ37" s="926"/>
      <c r="KLR37" s="926"/>
      <c r="KLS37" s="926"/>
      <c r="KLT37" s="926"/>
      <c r="KLU37" s="926"/>
      <c r="KLV37" s="926"/>
      <c r="KLW37" s="926"/>
      <c r="KLX37" s="926"/>
      <c r="KLY37" s="926"/>
      <c r="KLZ37" s="926"/>
      <c r="KMA37" s="926"/>
      <c r="KMB37" s="926"/>
      <c r="KMC37" s="926"/>
      <c r="KMD37" s="926"/>
      <c r="KME37" s="926"/>
      <c r="KMF37" s="926"/>
      <c r="KMG37" s="926"/>
      <c r="KMH37" s="926"/>
      <c r="KMI37" s="926"/>
      <c r="KMJ37" s="926"/>
      <c r="KMK37" s="926"/>
      <c r="KML37" s="926"/>
      <c r="KMM37" s="926"/>
      <c r="KMN37" s="926"/>
      <c r="KMO37" s="926"/>
      <c r="KMP37" s="926"/>
      <c r="KMQ37" s="926"/>
      <c r="KMR37" s="926"/>
      <c r="KMS37" s="926"/>
      <c r="KMT37" s="926"/>
      <c r="KMU37" s="926"/>
      <c r="KMV37" s="926"/>
      <c r="KMW37" s="926"/>
      <c r="KMX37" s="926"/>
      <c r="KMY37" s="926"/>
      <c r="KMZ37" s="926"/>
      <c r="KNA37" s="926"/>
      <c r="KNB37" s="926"/>
      <c r="KNC37" s="926"/>
      <c r="KND37" s="926"/>
      <c r="KNE37" s="926"/>
      <c r="KNF37" s="926"/>
      <c r="KNG37" s="926"/>
      <c r="KNH37" s="926"/>
      <c r="KNI37" s="926"/>
      <c r="KNJ37" s="926"/>
      <c r="KNK37" s="926"/>
      <c r="KNL37" s="926"/>
      <c r="KNM37" s="926"/>
      <c r="KNN37" s="926"/>
      <c r="KNO37" s="926"/>
      <c r="KNP37" s="926"/>
      <c r="KNQ37" s="926"/>
      <c r="KNR37" s="926"/>
      <c r="KNS37" s="926"/>
      <c r="KNT37" s="926"/>
      <c r="KNU37" s="926"/>
      <c r="KNV37" s="926"/>
      <c r="KNW37" s="926"/>
      <c r="KNX37" s="926"/>
      <c r="KNY37" s="926"/>
      <c r="KNZ37" s="926"/>
      <c r="KOA37" s="926"/>
      <c r="KOB37" s="926"/>
      <c r="KOC37" s="926"/>
      <c r="KOD37" s="926"/>
      <c r="KOE37" s="926"/>
      <c r="KOF37" s="926"/>
      <c r="KOG37" s="926"/>
      <c r="KOH37" s="926"/>
      <c r="KOI37" s="926"/>
      <c r="KOJ37" s="926"/>
      <c r="KOK37" s="926"/>
      <c r="KOL37" s="926"/>
      <c r="KOM37" s="926"/>
      <c r="KON37" s="926"/>
      <c r="KOO37" s="926"/>
      <c r="KOP37" s="926"/>
      <c r="KOQ37" s="926"/>
      <c r="KOR37" s="926"/>
      <c r="KOS37" s="926"/>
      <c r="KOT37" s="926"/>
      <c r="KOU37" s="926"/>
      <c r="KOV37" s="926"/>
      <c r="KOW37" s="926"/>
      <c r="KOX37" s="926"/>
      <c r="KOY37" s="926"/>
      <c r="KOZ37" s="926"/>
      <c r="KPA37" s="926"/>
      <c r="KPB37" s="926"/>
      <c r="KPC37" s="926"/>
      <c r="KPD37" s="926"/>
      <c r="KPE37" s="926"/>
      <c r="KPF37" s="926"/>
      <c r="KPG37" s="926"/>
      <c r="KPH37" s="926"/>
      <c r="KPI37" s="926"/>
      <c r="KPJ37" s="926"/>
      <c r="KPK37" s="926"/>
      <c r="KPL37" s="926"/>
      <c r="KPM37" s="926"/>
      <c r="KPN37" s="926"/>
      <c r="KPO37" s="926"/>
      <c r="KPP37" s="926"/>
      <c r="KPQ37" s="926"/>
      <c r="KPR37" s="926"/>
      <c r="KPS37" s="926"/>
      <c r="KPT37" s="926"/>
      <c r="KPU37" s="926"/>
      <c r="KPV37" s="926"/>
      <c r="KPW37" s="926"/>
      <c r="KPX37" s="926"/>
      <c r="KPY37" s="926"/>
      <c r="KPZ37" s="926"/>
      <c r="KQA37" s="926"/>
      <c r="KQB37" s="926"/>
      <c r="KQC37" s="926"/>
      <c r="KQD37" s="926"/>
      <c r="KQE37" s="926"/>
      <c r="KQF37" s="926"/>
      <c r="KQG37" s="926"/>
      <c r="KQH37" s="926"/>
      <c r="KQI37" s="926"/>
      <c r="KQJ37" s="926"/>
      <c r="KQK37" s="926"/>
      <c r="KQL37" s="926"/>
      <c r="KQM37" s="926"/>
      <c r="KQN37" s="926"/>
      <c r="KQO37" s="926"/>
      <c r="KQP37" s="926"/>
      <c r="KQQ37" s="926"/>
      <c r="KQR37" s="926"/>
      <c r="KQS37" s="926"/>
      <c r="KQT37" s="926"/>
      <c r="KQU37" s="926"/>
      <c r="KQV37" s="926"/>
      <c r="KQW37" s="926"/>
      <c r="KQX37" s="926"/>
      <c r="KQY37" s="926"/>
      <c r="KQZ37" s="926"/>
      <c r="KRA37" s="926"/>
      <c r="KRB37" s="926"/>
      <c r="KRC37" s="926"/>
      <c r="KRD37" s="926"/>
      <c r="KRE37" s="926"/>
      <c r="KRF37" s="926"/>
      <c r="KRG37" s="926"/>
      <c r="KRH37" s="926"/>
      <c r="KRI37" s="926"/>
      <c r="KRJ37" s="926"/>
      <c r="KRK37" s="926"/>
      <c r="KRL37" s="926"/>
      <c r="KRM37" s="926"/>
      <c r="KRN37" s="926"/>
      <c r="KRO37" s="926"/>
      <c r="KRP37" s="926"/>
      <c r="KRQ37" s="926"/>
      <c r="KRR37" s="926"/>
      <c r="KRS37" s="926"/>
      <c r="KRT37" s="926"/>
      <c r="KRU37" s="926"/>
      <c r="KRV37" s="926"/>
      <c r="KRW37" s="926"/>
      <c r="KRX37" s="926"/>
      <c r="KRY37" s="926"/>
      <c r="KRZ37" s="926"/>
      <c r="KSA37" s="926"/>
      <c r="KSB37" s="926"/>
      <c r="KSC37" s="926"/>
      <c r="KSD37" s="926"/>
      <c r="KSE37" s="926"/>
      <c r="KSF37" s="926"/>
      <c r="KSG37" s="926"/>
      <c r="KSH37" s="926"/>
      <c r="KSI37" s="926"/>
      <c r="KSJ37" s="926"/>
      <c r="KSK37" s="926"/>
      <c r="KSL37" s="926"/>
      <c r="KSM37" s="926"/>
      <c r="KSN37" s="926"/>
      <c r="KSO37" s="926"/>
      <c r="KSP37" s="926"/>
      <c r="KSQ37" s="926"/>
      <c r="KSR37" s="926"/>
      <c r="KSS37" s="926"/>
      <c r="KST37" s="926"/>
      <c r="KSU37" s="926"/>
      <c r="KSV37" s="926"/>
      <c r="KSW37" s="926"/>
      <c r="KSX37" s="926"/>
      <c r="KSY37" s="926"/>
      <c r="KSZ37" s="926"/>
      <c r="KTA37" s="926"/>
      <c r="KTB37" s="926"/>
      <c r="KTC37" s="926"/>
      <c r="KTD37" s="926"/>
      <c r="KTE37" s="926"/>
      <c r="KTF37" s="926"/>
      <c r="KTG37" s="926"/>
      <c r="KTH37" s="926"/>
      <c r="KTI37" s="926"/>
      <c r="KTJ37" s="926"/>
      <c r="KTK37" s="926"/>
      <c r="KTL37" s="926"/>
      <c r="KTM37" s="926"/>
      <c r="KTN37" s="926"/>
      <c r="KTO37" s="926"/>
      <c r="KTP37" s="926"/>
      <c r="KTQ37" s="926"/>
      <c r="KTR37" s="926"/>
      <c r="KTS37" s="926"/>
      <c r="KTT37" s="926"/>
      <c r="KTU37" s="926"/>
      <c r="KTV37" s="926"/>
      <c r="KTW37" s="926"/>
      <c r="KTX37" s="926"/>
      <c r="KTY37" s="926"/>
      <c r="KTZ37" s="926"/>
      <c r="KUA37" s="926"/>
      <c r="KUB37" s="926"/>
      <c r="KUC37" s="926"/>
      <c r="KUD37" s="926"/>
      <c r="KUE37" s="926"/>
      <c r="KUF37" s="926"/>
      <c r="KUG37" s="926"/>
      <c r="KUH37" s="926"/>
      <c r="KUI37" s="926"/>
      <c r="KUJ37" s="926"/>
      <c r="KUK37" s="926"/>
      <c r="KUL37" s="926"/>
      <c r="KUM37" s="926"/>
      <c r="KUN37" s="926"/>
      <c r="KUO37" s="926"/>
      <c r="KUP37" s="926"/>
      <c r="KUQ37" s="926"/>
      <c r="KUR37" s="926"/>
      <c r="KUS37" s="926"/>
      <c r="KUT37" s="926"/>
      <c r="KUU37" s="926"/>
      <c r="KUV37" s="926"/>
      <c r="KUW37" s="926"/>
      <c r="KUX37" s="926"/>
      <c r="KUY37" s="926"/>
      <c r="KUZ37" s="926"/>
      <c r="KVA37" s="926"/>
      <c r="KVB37" s="926"/>
      <c r="KVC37" s="926"/>
      <c r="KVD37" s="926"/>
      <c r="KVE37" s="926"/>
      <c r="KVF37" s="926"/>
      <c r="KVG37" s="926"/>
      <c r="KVH37" s="926"/>
      <c r="KVI37" s="926"/>
      <c r="KVJ37" s="926"/>
      <c r="KVK37" s="926"/>
      <c r="KVL37" s="926"/>
      <c r="KVM37" s="926"/>
      <c r="KVN37" s="926"/>
      <c r="KVO37" s="926"/>
      <c r="KVP37" s="926"/>
      <c r="KVQ37" s="926"/>
      <c r="KVR37" s="926"/>
      <c r="KVS37" s="926"/>
      <c r="KVT37" s="926"/>
      <c r="KVU37" s="926"/>
      <c r="KVV37" s="926"/>
      <c r="KVW37" s="926"/>
      <c r="KVX37" s="926"/>
      <c r="KVY37" s="926"/>
      <c r="KVZ37" s="926"/>
      <c r="KWA37" s="926"/>
      <c r="KWB37" s="926"/>
      <c r="KWC37" s="926"/>
      <c r="KWD37" s="926"/>
      <c r="KWE37" s="926"/>
      <c r="KWF37" s="926"/>
      <c r="KWG37" s="926"/>
      <c r="KWH37" s="926"/>
      <c r="KWI37" s="926"/>
      <c r="KWJ37" s="926"/>
      <c r="KWK37" s="926"/>
      <c r="KWL37" s="926"/>
      <c r="KWM37" s="926"/>
      <c r="KWN37" s="926"/>
      <c r="KWO37" s="926"/>
      <c r="KWP37" s="926"/>
      <c r="KWQ37" s="926"/>
      <c r="KWR37" s="926"/>
      <c r="KWS37" s="926"/>
      <c r="KWT37" s="926"/>
      <c r="KWU37" s="926"/>
      <c r="KWV37" s="926"/>
      <c r="KWW37" s="926"/>
      <c r="KWX37" s="926"/>
      <c r="KWY37" s="926"/>
      <c r="KWZ37" s="926"/>
      <c r="KXA37" s="926"/>
      <c r="KXB37" s="926"/>
      <c r="KXC37" s="926"/>
      <c r="KXD37" s="926"/>
      <c r="KXE37" s="926"/>
      <c r="KXF37" s="926"/>
      <c r="KXG37" s="926"/>
      <c r="KXH37" s="926"/>
      <c r="KXI37" s="926"/>
      <c r="KXJ37" s="926"/>
      <c r="KXK37" s="926"/>
      <c r="KXL37" s="926"/>
      <c r="KXM37" s="926"/>
      <c r="KXN37" s="926"/>
      <c r="KXO37" s="926"/>
      <c r="KXP37" s="926"/>
      <c r="KXQ37" s="926"/>
      <c r="KXR37" s="926"/>
      <c r="KXS37" s="926"/>
      <c r="KXT37" s="926"/>
      <c r="KXU37" s="926"/>
      <c r="KXV37" s="926"/>
      <c r="KXW37" s="926"/>
      <c r="KXX37" s="926"/>
      <c r="KXY37" s="926"/>
      <c r="KXZ37" s="926"/>
      <c r="KYA37" s="926"/>
      <c r="KYB37" s="926"/>
      <c r="KYC37" s="926"/>
      <c r="KYD37" s="926"/>
      <c r="KYE37" s="926"/>
      <c r="KYF37" s="926"/>
      <c r="KYG37" s="926"/>
      <c r="KYH37" s="926"/>
      <c r="KYI37" s="926"/>
      <c r="KYJ37" s="926"/>
      <c r="KYK37" s="926"/>
      <c r="KYL37" s="926"/>
      <c r="KYM37" s="926"/>
      <c r="KYN37" s="926"/>
      <c r="KYO37" s="926"/>
      <c r="KYP37" s="926"/>
      <c r="KYQ37" s="926"/>
      <c r="KYR37" s="926"/>
      <c r="KYS37" s="926"/>
      <c r="KYT37" s="926"/>
      <c r="KYU37" s="926"/>
      <c r="KYV37" s="926"/>
      <c r="KYW37" s="926"/>
      <c r="KYX37" s="926"/>
      <c r="KYY37" s="926"/>
      <c r="KYZ37" s="926"/>
      <c r="KZA37" s="926"/>
      <c r="KZB37" s="926"/>
      <c r="KZC37" s="926"/>
      <c r="KZD37" s="926"/>
      <c r="KZE37" s="926"/>
      <c r="KZF37" s="926"/>
      <c r="KZG37" s="926"/>
      <c r="KZH37" s="926"/>
      <c r="KZI37" s="926"/>
      <c r="KZJ37" s="926"/>
      <c r="KZK37" s="926"/>
      <c r="KZL37" s="926"/>
      <c r="KZM37" s="926"/>
      <c r="KZN37" s="926"/>
      <c r="KZO37" s="926"/>
      <c r="KZP37" s="926"/>
      <c r="KZQ37" s="926"/>
      <c r="KZR37" s="926"/>
      <c r="KZS37" s="926"/>
      <c r="KZT37" s="926"/>
      <c r="KZU37" s="926"/>
      <c r="KZV37" s="926"/>
      <c r="KZW37" s="926"/>
      <c r="KZX37" s="926"/>
      <c r="KZY37" s="926"/>
      <c r="KZZ37" s="926"/>
      <c r="LAA37" s="926"/>
      <c r="LAB37" s="926"/>
      <c r="LAC37" s="926"/>
      <c r="LAD37" s="926"/>
      <c r="LAE37" s="926"/>
      <c r="LAF37" s="926"/>
      <c r="LAG37" s="926"/>
      <c r="LAH37" s="926"/>
      <c r="LAI37" s="926"/>
      <c r="LAJ37" s="926"/>
      <c r="LAK37" s="926"/>
      <c r="LAL37" s="926"/>
      <c r="LAM37" s="926"/>
      <c r="LAN37" s="926"/>
      <c r="LAO37" s="926"/>
      <c r="LAP37" s="926"/>
      <c r="LAQ37" s="926"/>
      <c r="LAR37" s="926"/>
      <c r="LAS37" s="926"/>
      <c r="LAT37" s="926"/>
      <c r="LAU37" s="926"/>
      <c r="LAV37" s="926"/>
      <c r="LAW37" s="926"/>
      <c r="LAX37" s="926"/>
      <c r="LAY37" s="926"/>
      <c r="LAZ37" s="926"/>
      <c r="LBA37" s="926"/>
      <c r="LBB37" s="926"/>
      <c r="LBC37" s="926"/>
      <c r="LBD37" s="926"/>
      <c r="LBE37" s="926"/>
      <c r="LBF37" s="926"/>
      <c r="LBG37" s="926"/>
      <c r="LBH37" s="926"/>
      <c r="LBI37" s="926"/>
      <c r="LBJ37" s="926"/>
      <c r="LBK37" s="926"/>
      <c r="LBL37" s="926"/>
      <c r="LBM37" s="926"/>
      <c r="LBN37" s="926"/>
      <c r="LBO37" s="926"/>
      <c r="LBP37" s="926"/>
      <c r="LBQ37" s="926"/>
      <c r="LBR37" s="926"/>
      <c r="LBS37" s="926"/>
      <c r="LBT37" s="926"/>
      <c r="LBU37" s="926"/>
      <c r="LBV37" s="926"/>
      <c r="LBW37" s="926"/>
      <c r="LBX37" s="926"/>
      <c r="LBY37" s="926"/>
      <c r="LBZ37" s="926"/>
      <c r="LCA37" s="926"/>
      <c r="LCB37" s="926"/>
      <c r="LCC37" s="926"/>
      <c r="LCD37" s="926"/>
      <c r="LCE37" s="926"/>
      <c r="LCF37" s="926"/>
      <c r="LCG37" s="926"/>
      <c r="LCH37" s="926"/>
      <c r="LCI37" s="926"/>
      <c r="LCJ37" s="926"/>
      <c r="LCK37" s="926"/>
      <c r="LCL37" s="926"/>
      <c r="LCM37" s="926"/>
      <c r="LCN37" s="926"/>
      <c r="LCO37" s="926"/>
      <c r="LCP37" s="926"/>
      <c r="LCQ37" s="926"/>
      <c r="LCR37" s="926"/>
      <c r="LCS37" s="926"/>
      <c r="LCT37" s="926"/>
      <c r="LCU37" s="926"/>
      <c r="LCV37" s="926"/>
      <c r="LCW37" s="926"/>
      <c r="LCX37" s="926"/>
      <c r="LCY37" s="926"/>
      <c r="LCZ37" s="926"/>
      <c r="LDA37" s="926"/>
      <c r="LDB37" s="926"/>
      <c r="LDC37" s="926"/>
      <c r="LDD37" s="926"/>
      <c r="LDE37" s="926"/>
      <c r="LDF37" s="926"/>
      <c r="LDG37" s="926"/>
      <c r="LDH37" s="926"/>
      <c r="LDI37" s="926"/>
      <c r="LDJ37" s="926"/>
      <c r="LDK37" s="926"/>
      <c r="LDL37" s="926"/>
      <c r="LDM37" s="926"/>
      <c r="LDN37" s="926"/>
      <c r="LDO37" s="926"/>
      <c r="LDP37" s="926"/>
      <c r="LDQ37" s="926"/>
      <c r="LDR37" s="926"/>
      <c r="LDS37" s="926"/>
      <c r="LDT37" s="926"/>
      <c r="LDU37" s="926"/>
      <c r="LDV37" s="926"/>
      <c r="LDW37" s="926"/>
      <c r="LDX37" s="926"/>
      <c r="LDY37" s="926"/>
      <c r="LDZ37" s="926"/>
      <c r="LEA37" s="926"/>
      <c r="LEB37" s="926"/>
      <c r="LEC37" s="926"/>
      <c r="LED37" s="926"/>
      <c r="LEE37" s="926"/>
      <c r="LEF37" s="926"/>
      <c r="LEG37" s="926"/>
      <c r="LEH37" s="926"/>
      <c r="LEI37" s="926"/>
      <c r="LEJ37" s="926"/>
      <c r="LEK37" s="926"/>
      <c r="LEL37" s="926"/>
      <c r="LEM37" s="926"/>
      <c r="LEN37" s="926"/>
      <c r="LEO37" s="926"/>
      <c r="LEP37" s="926"/>
      <c r="LEQ37" s="926"/>
      <c r="LER37" s="926"/>
      <c r="LES37" s="926"/>
      <c r="LET37" s="926"/>
      <c r="LEU37" s="926"/>
      <c r="LEV37" s="926"/>
      <c r="LEW37" s="926"/>
      <c r="LEX37" s="926"/>
      <c r="LEY37" s="926"/>
      <c r="LEZ37" s="926"/>
      <c r="LFA37" s="926"/>
      <c r="LFB37" s="926"/>
      <c r="LFC37" s="926"/>
      <c r="LFD37" s="926"/>
      <c r="LFE37" s="926"/>
      <c r="LFF37" s="926"/>
      <c r="LFG37" s="926"/>
      <c r="LFH37" s="926"/>
      <c r="LFI37" s="926"/>
      <c r="LFJ37" s="926"/>
      <c r="LFK37" s="926"/>
      <c r="LFL37" s="926"/>
      <c r="LFM37" s="926"/>
      <c r="LFN37" s="926"/>
      <c r="LFO37" s="926"/>
      <c r="LFP37" s="926"/>
      <c r="LFQ37" s="926"/>
      <c r="LFR37" s="926"/>
      <c r="LFS37" s="926"/>
      <c r="LFT37" s="926"/>
      <c r="LFU37" s="926"/>
      <c r="LFV37" s="926"/>
      <c r="LFW37" s="926"/>
      <c r="LFX37" s="926"/>
      <c r="LFY37" s="926"/>
      <c r="LFZ37" s="926"/>
      <c r="LGA37" s="926"/>
      <c r="LGB37" s="926"/>
      <c r="LGC37" s="926"/>
      <c r="LGD37" s="926"/>
      <c r="LGE37" s="926"/>
      <c r="LGF37" s="926"/>
      <c r="LGG37" s="926"/>
      <c r="LGH37" s="926"/>
      <c r="LGI37" s="926"/>
      <c r="LGJ37" s="926"/>
      <c r="LGK37" s="926"/>
      <c r="LGL37" s="926"/>
      <c r="LGM37" s="926"/>
      <c r="LGN37" s="926"/>
      <c r="LGO37" s="926"/>
      <c r="LGP37" s="926"/>
      <c r="LGQ37" s="926"/>
      <c r="LGR37" s="926"/>
      <c r="LGS37" s="926"/>
      <c r="LGT37" s="926"/>
      <c r="LGU37" s="926"/>
      <c r="LGV37" s="926"/>
      <c r="LGW37" s="926"/>
      <c r="LGX37" s="926"/>
      <c r="LGY37" s="926"/>
      <c r="LGZ37" s="926"/>
      <c r="LHA37" s="926"/>
      <c r="LHB37" s="926"/>
      <c r="LHC37" s="926"/>
      <c r="LHD37" s="926"/>
      <c r="LHE37" s="926"/>
      <c r="LHF37" s="926"/>
      <c r="LHG37" s="926"/>
      <c r="LHH37" s="926"/>
      <c r="LHI37" s="926"/>
      <c r="LHJ37" s="926"/>
      <c r="LHK37" s="926"/>
      <c r="LHL37" s="926"/>
      <c r="LHM37" s="926"/>
      <c r="LHN37" s="926"/>
      <c r="LHO37" s="926"/>
      <c r="LHP37" s="926"/>
      <c r="LHQ37" s="926"/>
      <c r="LHR37" s="926"/>
      <c r="LHS37" s="926"/>
      <c r="LHT37" s="926"/>
      <c r="LHU37" s="926"/>
      <c r="LHV37" s="926"/>
      <c r="LHW37" s="926"/>
      <c r="LHX37" s="926"/>
      <c r="LHY37" s="926"/>
      <c r="LHZ37" s="926"/>
      <c r="LIA37" s="926"/>
      <c r="LIB37" s="926"/>
      <c r="LIC37" s="926"/>
      <c r="LID37" s="926"/>
      <c r="LIE37" s="926"/>
      <c r="LIF37" s="926"/>
      <c r="LIG37" s="926"/>
      <c r="LIH37" s="926"/>
      <c r="LII37" s="926"/>
      <c r="LIJ37" s="926"/>
      <c r="LIK37" s="926"/>
      <c r="LIL37" s="926"/>
      <c r="LIM37" s="926"/>
      <c r="LIN37" s="926"/>
      <c r="LIO37" s="926"/>
      <c r="LIP37" s="926"/>
      <c r="LIQ37" s="926"/>
      <c r="LIR37" s="926"/>
      <c r="LIS37" s="926"/>
      <c r="LIT37" s="926"/>
      <c r="LIU37" s="926"/>
      <c r="LIV37" s="926"/>
      <c r="LIW37" s="926"/>
      <c r="LIX37" s="926"/>
      <c r="LIY37" s="926"/>
      <c r="LIZ37" s="926"/>
      <c r="LJA37" s="926"/>
      <c r="LJB37" s="926"/>
      <c r="LJC37" s="926"/>
      <c r="LJD37" s="926"/>
      <c r="LJE37" s="926"/>
      <c r="LJF37" s="926"/>
      <c r="LJG37" s="926"/>
      <c r="LJH37" s="926"/>
      <c r="LJI37" s="926"/>
      <c r="LJJ37" s="926"/>
      <c r="LJK37" s="926"/>
      <c r="LJL37" s="926"/>
      <c r="LJM37" s="926"/>
      <c r="LJN37" s="926"/>
      <c r="LJO37" s="926"/>
      <c r="LJP37" s="926"/>
      <c r="LJQ37" s="926"/>
      <c r="LJR37" s="926"/>
      <c r="LJS37" s="926"/>
      <c r="LJT37" s="926"/>
      <c r="LJU37" s="926"/>
      <c r="LJV37" s="926"/>
      <c r="LJW37" s="926"/>
      <c r="LJX37" s="926"/>
      <c r="LJY37" s="926"/>
      <c r="LJZ37" s="926"/>
      <c r="LKA37" s="926"/>
      <c r="LKB37" s="926"/>
      <c r="LKC37" s="926"/>
      <c r="LKD37" s="926"/>
      <c r="LKE37" s="926"/>
      <c r="LKF37" s="926"/>
      <c r="LKG37" s="926"/>
      <c r="LKH37" s="926"/>
      <c r="LKI37" s="926"/>
      <c r="LKJ37" s="926"/>
      <c r="LKK37" s="926"/>
      <c r="LKL37" s="926"/>
      <c r="LKM37" s="926"/>
      <c r="LKN37" s="926"/>
      <c r="LKO37" s="926"/>
      <c r="LKP37" s="926"/>
      <c r="LKQ37" s="926"/>
      <c r="LKR37" s="926"/>
      <c r="LKS37" s="926"/>
      <c r="LKT37" s="926"/>
      <c r="LKU37" s="926"/>
      <c r="LKV37" s="926"/>
      <c r="LKW37" s="926"/>
      <c r="LKX37" s="926"/>
      <c r="LKY37" s="926"/>
      <c r="LKZ37" s="926"/>
      <c r="LLA37" s="926"/>
      <c r="LLB37" s="926"/>
      <c r="LLC37" s="926"/>
      <c r="LLD37" s="926"/>
      <c r="LLE37" s="926"/>
      <c r="LLF37" s="926"/>
      <c r="LLG37" s="926"/>
      <c r="LLH37" s="926"/>
      <c r="LLI37" s="926"/>
      <c r="LLJ37" s="926"/>
      <c r="LLK37" s="926"/>
      <c r="LLL37" s="926"/>
      <c r="LLM37" s="926"/>
      <c r="LLN37" s="926"/>
      <c r="LLO37" s="926"/>
      <c r="LLP37" s="926"/>
      <c r="LLQ37" s="926"/>
      <c r="LLR37" s="926"/>
      <c r="LLS37" s="926"/>
      <c r="LLT37" s="926"/>
      <c r="LLU37" s="926"/>
      <c r="LLV37" s="926"/>
      <c r="LLW37" s="926"/>
      <c r="LLX37" s="926"/>
      <c r="LLY37" s="926"/>
      <c r="LLZ37" s="926"/>
      <c r="LMA37" s="926"/>
      <c r="LMB37" s="926"/>
      <c r="LMC37" s="926"/>
      <c r="LMD37" s="926"/>
      <c r="LME37" s="926"/>
      <c r="LMF37" s="926"/>
      <c r="LMG37" s="926"/>
      <c r="LMH37" s="926"/>
      <c r="LMI37" s="926"/>
      <c r="LMJ37" s="926"/>
      <c r="LMK37" s="926"/>
      <c r="LML37" s="926"/>
      <c r="LMM37" s="926"/>
      <c r="LMN37" s="926"/>
      <c r="LMO37" s="926"/>
      <c r="LMP37" s="926"/>
      <c r="LMQ37" s="926"/>
      <c r="LMR37" s="926"/>
      <c r="LMS37" s="926"/>
      <c r="LMT37" s="926"/>
      <c r="LMU37" s="926"/>
      <c r="LMV37" s="926"/>
      <c r="LMW37" s="926"/>
      <c r="LMX37" s="926"/>
      <c r="LMY37" s="926"/>
      <c r="LMZ37" s="926"/>
      <c r="LNA37" s="926"/>
      <c r="LNB37" s="926"/>
      <c r="LNC37" s="926"/>
      <c r="LND37" s="926"/>
      <c r="LNE37" s="926"/>
      <c r="LNF37" s="926"/>
      <c r="LNG37" s="926"/>
      <c r="LNH37" s="926"/>
      <c r="LNI37" s="926"/>
      <c r="LNJ37" s="926"/>
      <c r="LNK37" s="926"/>
      <c r="LNL37" s="926"/>
      <c r="LNM37" s="926"/>
      <c r="LNN37" s="926"/>
      <c r="LNO37" s="926"/>
      <c r="LNP37" s="926"/>
      <c r="LNQ37" s="926"/>
      <c r="LNR37" s="926"/>
      <c r="LNS37" s="926"/>
      <c r="LNT37" s="926"/>
      <c r="LNU37" s="926"/>
      <c r="LNV37" s="926"/>
      <c r="LNW37" s="926"/>
      <c r="LNX37" s="926"/>
      <c r="LNY37" s="926"/>
      <c r="LNZ37" s="926"/>
      <c r="LOA37" s="926"/>
      <c r="LOB37" s="926"/>
      <c r="LOC37" s="926"/>
      <c r="LOD37" s="926"/>
      <c r="LOE37" s="926"/>
      <c r="LOF37" s="926"/>
      <c r="LOG37" s="926"/>
      <c r="LOH37" s="926"/>
      <c r="LOI37" s="926"/>
      <c r="LOJ37" s="926"/>
      <c r="LOK37" s="926"/>
      <c r="LOL37" s="926"/>
      <c r="LOM37" s="926"/>
      <c r="LON37" s="926"/>
      <c r="LOO37" s="926"/>
      <c r="LOP37" s="926"/>
      <c r="LOQ37" s="926"/>
      <c r="LOR37" s="926"/>
      <c r="LOS37" s="926"/>
      <c r="LOT37" s="926"/>
      <c r="LOU37" s="926"/>
      <c r="LOV37" s="926"/>
      <c r="LOW37" s="926"/>
      <c r="LOX37" s="926"/>
      <c r="LOY37" s="926"/>
      <c r="LOZ37" s="926"/>
      <c r="LPA37" s="926"/>
      <c r="LPB37" s="926"/>
      <c r="LPC37" s="926"/>
      <c r="LPD37" s="926"/>
      <c r="LPE37" s="926"/>
      <c r="LPF37" s="926"/>
      <c r="LPG37" s="926"/>
      <c r="LPH37" s="926"/>
      <c r="LPI37" s="926"/>
      <c r="LPJ37" s="926"/>
      <c r="LPK37" s="926"/>
      <c r="LPL37" s="926"/>
      <c r="LPM37" s="926"/>
      <c r="LPN37" s="926"/>
      <c r="LPO37" s="926"/>
      <c r="LPP37" s="926"/>
      <c r="LPQ37" s="926"/>
      <c r="LPR37" s="926"/>
      <c r="LPS37" s="926"/>
      <c r="LPT37" s="926"/>
      <c r="LPU37" s="926"/>
      <c r="LPV37" s="926"/>
      <c r="LPW37" s="926"/>
      <c r="LPX37" s="926"/>
      <c r="LPY37" s="926"/>
      <c r="LPZ37" s="926"/>
      <c r="LQA37" s="926"/>
      <c r="LQB37" s="926"/>
      <c r="LQC37" s="926"/>
      <c r="LQD37" s="926"/>
      <c r="LQE37" s="926"/>
      <c r="LQF37" s="926"/>
      <c r="LQG37" s="926"/>
      <c r="LQH37" s="926"/>
      <c r="LQI37" s="926"/>
      <c r="LQJ37" s="926"/>
      <c r="LQK37" s="926"/>
      <c r="LQL37" s="926"/>
      <c r="LQM37" s="926"/>
      <c r="LQN37" s="926"/>
      <c r="LQO37" s="926"/>
      <c r="LQP37" s="926"/>
      <c r="LQQ37" s="926"/>
      <c r="LQR37" s="926"/>
      <c r="LQS37" s="926"/>
      <c r="LQT37" s="926"/>
      <c r="LQU37" s="926"/>
      <c r="LQV37" s="926"/>
      <c r="LQW37" s="926"/>
      <c r="LQX37" s="926"/>
      <c r="LQY37" s="926"/>
      <c r="LQZ37" s="926"/>
      <c r="LRA37" s="926"/>
      <c r="LRB37" s="926"/>
      <c r="LRC37" s="926"/>
      <c r="LRD37" s="926"/>
      <c r="LRE37" s="926"/>
      <c r="LRF37" s="926"/>
      <c r="LRG37" s="926"/>
      <c r="LRH37" s="926"/>
      <c r="LRI37" s="926"/>
      <c r="LRJ37" s="926"/>
      <c r="LRK37" s="926"/>
      <c r="LRL37" s="926"/>
      <c r="LRM37" s="926"/>
      <c r="LRN37" s="926"/>
      <c r="LRO37" s="926"/>
      <c r="LRP37" s="926"/>
      <c r="LRQ37" s="926"/>
      <c r="LRR37" s="926"/>
      <c r="LRS37" s="926"/>
      <c r="LRT37" s="926"/>
      <c r="LRU37" s="926"/>
      <c r="LRV37" s="926"/>
      <c r="LRW37" s="926"/>
      <c r="LRX37" s="926"/>
      <c r="LRY37" s="926"/>
      <c r="LRZ37" s="926"/>
      <c r="LSA37" s="926"/>
      <c r="LSB37" s="926"/>
      <c r="LSC37" s="926"/>
      <c r="LSD37" s="926"/>
      <c r="LSE37" s="926"/>
      <c r="LSF37" s="926"/>
      <c r="LSG37" s="926"/>
      <c r="LSH37" s="926"/>
      <c r="LSI37" s="926"/>
      <c r="LSJ37" s="926"/>
      <c r="LSK37" s="926"/>
      <c r="LSL37" s="926"/>
      <c r="LSM37" s="926"/>
      <c r="LSN37" s="926"/>
      <c r="LSO37" s="926"/>
      <c r="LSP37" s="926"/>
      <c r="LSQ37" s="926"/>
      <c r="LSR37" s="926"/>
      <c r="LSS37" s="926"/>
      <c r="LST37" s="926"/>
      <c r="LSU37" s="926"/>
      <c r="LSV37" s="926"/>
      <c r="LSW37" s="926"/>
      <c r="LSX37" s="926"/>
      <c r="LSY37" s="926"/>
      <c r="LSZ37" s="926"/>
      <c r="LTA37" s="926"/>
      <c r="LTB37" s="926"/>
      <c r="LTC37" s="926"/>
      <c r="LTD37" s="926"/>
      <c r="LTE37" s="926"/>
      <c r="LTF37" s="926"/>
      <c r="LTG37" s="926"/>
      <c r="LTH37" s="926"/>
      <c r="LTI37" s="926"/>
      <c r="LTJ37" s="926"/>
      <c r="LTK37" s="926"/>
      <c r="LTL37" s="926"/>
      <c r="LTM37" s="926"/>
      <c r="LTN37" s="926"/>
      <c r="LTO37" s="926"/>
      <c r="LTP37" s="926"/>
      <c r="LTQ37" s="926"/>
      <c r="LTR37" s="926"/>
      <c r="LTS37" s="926"/>
      <c r="LTT37" s="926"/>
      <c r="LTU37" s="926"/>
      <c r="LTV37" s="926"/>
      <c r="LTW37" s="926"/>
      <c r="LTX37" s="926"/>
      <c r="LTY37" s="926"/>
      <c r="LTZ37" s="926"/>
      <c r="LUA37" s="926"/>
      <c r="LUB37" s="926"/>
      <c r="LUC37" s="926"/>
      <c r="LUD37" s="926"/>
      <c r="LUE37" s="926"/>
      <c r="LUF37" s="926"/>
      <c r="LUG37" s="926"/>
      <c r="LUH37" s="926"/>
      <c r="LUI37" s="926"/>
      <c r="LUJ37" s="926"/>
      <c r="LUK37" s="926"/>
      <c r="LUL37" s="926"/>
      <c r="LUM37" s="926"/>
      <c r="LUN37" s="926"/>
      <c r="LUO37" s="926"/>
      <c r="LUP37" s="926"/>
      <c r="LUQ37" s="926"/>
      <c r="LUR37" s="926"/>
      <c r="LUS37" s="926"/>
      <c r="LUT37" s="926"/>
      <c r="LUU37" s="926"/>
      <c r="LUV37" s="926"/>
      <c r="LUW37" s="926"/>
      <c r="LUX37" s="926"/>
      <c r="LUY37" s="926"/>
      <c r="LUZ37" s="926"/>
      <c r="LVA37" s="926"/>
      <c r="LVB37" s="926"/>
      <c r="LVC37" s="926"/>
      <c r="LVD37" s="926"/>
      <c r="LVE37" s="926"/>
      <c r="LVF37" s="926"/>
      <c r="LVG37" s="926"/>
      <c r="LVH37" s="926"/>
      <c r="LVI37" s="926"/>
      <c r="LVJ37" s="926"/>
      <c r="LVK37" s="926"/>
      <c r="LVL37" s="926"/>
      <c r="LVM37" s="926"/>
      <c r="LVN37" s="926"/>
      <c r="LVO37" s="926"/>
      <c r="LVP37" s="926"/>
      <c r="LVQ37" s="926"/>
      <c r="LVR37" s="926"/>
      <c r="LVS37" s="926"/>
      <c r="LVT37" s="926"/>
      <c r="LVU37" s="926"/>
      <c r="LVV37" s="926"/>
      <c r="LVW37" s="926"/>
      <c r="LVX37" s="926"/>
      <c r="LVY37" s="926"/>
      <c r="LVZ37" s="926"/>
      <c r="LWA37" s="926"/>
      <c r="LWB37" s="926"/>
      <c r="LWC37" s="926"/>
      <c r="LWD37" s="926"/>
      <c r="LWE37" s="926"/>
      <c r="LWF37" s="926"/>
      <c r="LWG37" s="926"/>
      <c r="LWH37" s="926"/>
      <c r="LWI37" s="926"/>
      <c r="LWJ37" s="926"/>
      <c r="LWK37" s="926"/>
      <c r="LWL37" s="926"/>
      <c r="LWM37" s="926"/>
      <c r="LWN37" s="926"/>
      <c r="LWO37" s="926"/>
      <c r="LWP37" s="926"/>
      <c r="LWQ37" s="926"/>
      <c r="LWR37" s="926"/>
      <c r="LWS37" s="926"/>
      <c r="LWT37" s="926"/>
      <c r="LWU37" s="926"/>
      <c r="LWV37" s="926"/>
      <c r="LWW37" s="926"/>
      <c r="LWX37" s="926"/>
      <c r="LWY37" s="926"/>
      <c r="LWZ37" s="926"/>
      <c r="LXA37" s="926"/>
      <c r="LXB37" s="926"/>
      <c r="LXC37" s="926"/>
      <c r="LXD37" s="926"/>
      <c r="LXE37" s="926"/>
      <c r="LXF37" s="926"/>
      <c r="LXG37" s="926"/>
      <c r="LXH37" s="926"/>
      <c r="LXI37" s="926"/>
      <c r="LXJ37" s="926"/>
      <c r="LXK37" s="926"/>
      <c r="LXL37" s="926"/>
      <c r="LXM37" s="926"/>
      <c r="LXN37" s="926"/>
      <c r="LXO37" s="926"/>
      <c r="LXP37" s="926"/>
      <c r="LXQ37" s="926"/>
      <c r="LXR37" s="926"/>
      <c r="LXS37" s="926"/>
      <c r="LXT37" s="926"/>
      <c r="LXU37" s="926"/>
      <c r="LXV37" s="926"/>
      <c r="LXW37" s="926"/>
      <c r="LXX37" s="926"/>
      <c r="LXY37" s="926"/>
      <c r="LXZ37" s="926"/>
      <c r="LYA37" s="926"/>
      <c r="LYB37" s="926"/>
      <c r="LYC37" s="926"/>
      <c r="LYD37" s="926"/>
      <c r="LYE37" s="926"/>
      <c r="LYF37" s="926"/>
      <c r="LYG37" s="926"/>
      <c r="LYH37" s="926"/>
      <c r="LYI37" s="926"/>
      <c r="LYJ37" s="926"/>
      <c r="LYK37" s="926"/>
      <c r="LYL37" s="926"/>
      <c r="LYM37" s="926"/>
      <c r="LYN37" s="926"/>
      <c r="LYO37" s="926"/>
      <c r="LYP37" s="926"/>
      <c r="LYQ37" s="926"/>
      <c r="LYR37" s="926"/>
      <c r="LYS37" s="926"/>
      <c r="LYT37" s="926"/>
      <c r="LYU37" s="926"/>
      <c r="LYV37" s="926"/>
      <c r="LYW37" s="926"/>
      <c r="LYX37" s="926"/>
      <c r="LYY37" s="926"/>
      <c r="LYZ37" s="926"/>
      <c r="LZA37" s="926"/>
      <c r="LZB37" s="926"/>
      <c r="LZC37" s="926"/>
      <c r="LZD37" s="926"/>
      <c r="LZE37" s="926"/>
      <c r="LZF37" s="926"/>
      <c r="LZG37" s="926"/>
      <c r="LZH37" s="926"/>
      <c r="LZI37" s="926"/>
      <c r="LZJ37" s="926"/>
      <c r="LZK37" s="926"/>
      <c r="LZL37" s="926"/>
      <c r="LZM37" s="926"/>
      <c r="LZN37" s="926"/>
      <c r="LZO37" s="926"/>
      <c r="LZP37" s="926"/>
      <c r="LZQ37" s="926"/>
      <c r="LZR37" s="926"/>
      <c r="LZS37" s="926"/>
      <c r="LZT37" s="926"/>
      <c r="LZU37" s="926"/>
      <c r="LZV37" s="926"/>
      <c r="LZW37" s="926"/>
      <c r="LZX37" s="926"/>
      <c r="LZY37" s="926"/>
      <c r="LZZ37" s="926"/>
      <c r="MAA37" s="926"/>
      <c r="MAB37" s="926"/>
      <c r="MAC37" s="926"/>
      <c r="MAD37" s="926"/>
      <c r="MAE37" s="926"/>
      <c r="MAF37" s="926"/>
      <c r="MAG37" s="926"/>
      <c r="MAH37" s="926"/>
      <c r="MAI37" s="926"/>
      <c r="MAJ37" s="926"/>
      <c r="MAK37" s="926"/>
      <c r="MAL37" s="926"/>
      <c r="MAM37" s="926"/>
      <c r="MAN37" s="926"/>
      <c r="MAO37" s="926"/>
      <c r="MAP37" s="926"/>
      <c r="MAQ37" s="926"/>
      <c r="MAR37" s="926"/>
      <c r="MAS37" s="926"/>
      <c r="MAT37" s="926"/>
      <c r="MAU37" s="926"/>
      <c r="MAV37" s="926"/>
      <c r="MAW37" s="926"/>
      <c r="MAX37" s="926"/>
      <c r="MAY37" s="926"/>
      <c r="MAZ37" s="926"/>
      <c r="MBA37" s="926"/>
      <c r="MBB37" s="926"/>
      <c r="MBC37" s="926"/>
      <c r="MBD37" s="926"/>
      <c r="MBE37" s="926"/>
      <c r="MBF37" s="926"/>
      <c r="MBG37" s="926"/>
      <c r="MBH37" s="926"/>
      <c r="MBI37" s="926"/>
      <c r="MBJ37" s="926"/>
      <c r="MBK37" s="926"/>
      <c r="MBL37" s="926"/>
      <c r="MBM37" s="926"/>
      <c r="MBN37" s="926"/>
      <c r="MBO37" s="926"/>
      <c r="MBP37" s="926"/>
      <c r="MBQ37" s="926"/>
      <c r="MBR37" s="926"/>
      <c r="MBS37" s="926"/>
      <c r="MBT37" s="926"/>
      <c r="MBU37" s="926"/>
      <c r="MBV37" s="926"/>
      <c r="MBW37" s="926"/>
      <c r="MBX37" s="926"/>
      <c r="MBY37" s="926"/>
      <c r="MBZ37" s="926"/>
      <c r="MCA37" s="926"/>
      <c r="MCB37" s="926"/>
      <c r="MCC37" s="926"/>
      <c r="MCD37" s="926"/>
      <c r="MCE37" s="926"/>
      <c r="MCF37" s="926"/>
      <c r="MCG37" s="926"/>
      <c r="MCH37" s="926"/>
      <c r="MCI37" s="926"/>
      <c r="MCJ37" s="926"/>
      <c r="MCK37" s="926"/>
      <c r="MCL37" s="926"/>
      <c r="MCM37" s="926"/>
      <c r="MCN37" s="926"/>
      <c r="MCO37" s="926"/>
      <c r="MCP37" s="926"/>
      <c r="MCQ37" s="926"/>
      <c r="MCR37" s="926"/>
      <c r="MCS37" s="926"/>
      <c r="MCT37" s="926"/>
      <c r="MCU37" s="926"/>
      <c r="MCV37" s="926"/>
      <c r="MCW37" s="926"/>
      <c r="MCX37" s="926"/>
      <c r="MCY37" s="926"/>
      <c r="MCZ37" s="926"/>
      <c r="MDA37" s="926"/>
      <c r="MDB37" s="926"/>
      <c r="MDC37" s="926"/>
      <c r="MDD37" s="926"/>
      <c r="MDE37" s="926"/>
      <c r="MDF37" s="926"/>
      <c r="MDG37" s="926"/>
      <c r="MDH37" s="926"/>
      <c r="MDI37" s="926"/>
      <c r="MDJ37" s="926"/>
      <c r="MDK37" s="926"/>
      <c r="MDL37" s="926"/>
      <c r="MDM37" s="926"/>
      <c r="MDN37" s="926"/>
      <c r="MDO37" s="926"/>
      <c r="MDP37" s="926"/>
      <c r="MDQ37" s="926"/>
      <c r="MDR37" s="926"/>
      <c r="MDS37" s="926"/>
      <c r="MDT37" s="926"/>
      <c r="MDU37" s="926"/>
      <c r="MDV37" s="926"/>
      <c r="MDW37" s="926"/>
      <c r="MDX37" s="926"/>
      <c r="MDY37" s="926"/>
      <c r="MDZ37" s="926"/>
      <c r="MEA37" s="926"/>
      <c r="MEB37" s="926"/>
      <c r="MEC37" s="926"/>
      <c r="MED37" s="926"/>
      <c r="MEE37" s="926"/>
      <c r="MEF37" s="926"/>
      <c r="MEG37" s="926"/>
      <c r="MEH37" s="926"/>
      <c r="MEI37" s="926"/>
      <c r="MEJ37" s="926"/>
      <c r="MEK37" s="926"/>
      <c r="MEL37" s="926"/>
      <c r="MEM37" s="926"/>
      <c r="MEN37" s="926"/>
      <c r="MEO37" s="926"/>
      <c r="MEP37" s="926"/>
      <c r="MEQ37" s="926"/>
      <c r="MER37" s="926"/>
      <c r="MES37" s="926"/>
      <c r="MET37" s="926"/>
      <c r="MEU37" s="926"/>
      <c r="MEV37" s="926"/>
      <c r="MEW37" s="926"/>
      <c r="MEX37" s="926"/>
      <c r="MEY37" s="926"/>
      <c r="MEZ37" s="926"/>
      <c r="MFA37" s="926"/>
      <c r="MFB37" s="926"/>
      <c r="MFC37" s="926"/>
      <c r="MFD37" s="926"/>
      <c r="MFE37" s="926"/>
      <c r="MFF37" s="926"/>
      <c r="MFG37" s="926"/>
      <c r="MFH37" s="926"/>
      <c r="MFI37" s="926"/>
      <c r="MFJ37" s="926"/>
      <c r="MFK37" s="926"/>
      <c r="MFL37" s="926"/>
      <c r="MFM37" s="926"/>
      <c r="MFN37" s="926"/>
      <c r="MFO37" s="926"/>
      <c r="MFP37" s="926"/>
      <c r="MFQ37" s="926"/>
      <c r="MFR37" s="926"/>
      <c r="MFS37" s="926"/>
      <c r="MFT37" s="926"/>
      <c r="MFU37" s="926"/>
      <c r="MFV37" s="926"/>
      <c r="MFW37" s="926"/>
      <c r="MFX37" s="926"/>
      <c r="MFY37" s="926"/>
      <c r="MFZ37" s="926"/>
      <c r="MGA37" s="926"/>
      <c r="MGB37" s="926"/>
      <c r="MGC37" s="926"/>
      <c r="MGD37" s="926"/>
      <c r="MGE37" s="926"/>
      <c r="MGF37" s="926"/>
      <c r="MGG37" s="926"/>
      <c r="MGH37" s="926"/>
      <c r="MGI37" s="926"/>
      <c r="MGJ37" s="926"/>
      <c r="MGK37" s="926"/>
      <c r="MGL37" s="926"/>
      <c r="MGM37" s="926"/>
      <c r="MGN37" s="926"/>
      <c r="MGO37" s="926"/>
      <c r="MGP37" s="926"/>
      <c r="MGQ37" s="926"/>
      <c r="MGR37" s="926"/>
      <c r="MGS37" s="926"/>
      <c r="MGT37" s="926"/>
      <c r="MGU37" s="926"/>
      <c r="MGV37" s="926"/>
      <c r="MGW37" s="926"/>
      <c r="MGX37" s="926"/>
      <c r="MGY37" s="926"/>
      <c r="MGZ37" s="926"/>
      <c r="MHA37" s="926"/>
      <c r="MHB37" s="926"/>
      <c r="MHC37" s="926"/>
      <c r="MHD37" s="926"/>
      <c r="MHE37" s="926"/>
      <c r="MHF37" s="926"/>
      <c r="MHG37" s="926"/>
      <c r="MHH37" s="926"/>
      <c r="MHI37" s="926"/>
      <c r="MHJ37" s="926"/>
      <c r="MHK37" s="926"/>
      <c r="MHL37" s="926"/>
      <c r="MHM37" s="926"/>
      <c r="MHN37" s="926"/>
      <c r="MHO37" s="926"/>
      <c r="MHP37" s="926"/>
      <c r="MHQ37" s="926"/>
      <c r="MHR37" s="926"/>
      <c r="MHS37" s="926"/>
      <c r="MHT37" s="926"/>
      <c r="MHU37" s="926"/>
      <c r="MHV37" s="926"/>
      <c r="MHW37" s="926"/>
      <c r="MHX37" s="926"/>
      <c r="MHY37" s="926"/>
      <c r="MHZ37" s="926"/>
      <c r="MIA37" s="926"/>
      <c r="MIB37" s="926"/>
      <c r="MIC37" s="926"/>
      <c r="MID37" s="926"/>
      <c r="MIE37" s="926"/>
      <c r="MIF37" s="926"/>
      <c r="MIG37" s="926"/>
      <c r="MIH37" s="926"/>
      <c r="MII37" s="926"/>
      <c r="MIJ37" s="926"/>
      <c r="MIK37" s="926"/>
      <c r="MIL37" s="926"/>
      <c r="MIM37" s="926"/>
      <c r="MIN37" s="926"/>
      <c r="MIO37" s="926"/>
      <c r="MIP37" s="926"/>
      <c r="MIQ37" s="926"/>
      <c r="MIR37" s="926"/>
      <c r="MIS37" s="926"/>
      <c r="MIT37" s="926"/>
      <c r="MIU37" s="926"/>
      <c r="MIV37" s="926"/>
      <c r="MIW37" s="926"/>
      <c r="MIX37" s="926"/>
      <c r="MIY37" s="926"/>
      <c r="MIZ37" s="926"/>
      <c r="MJA37" s="926"/>
      <c r="MJB37" s="926"/>
      <c r="MJC37" s="926"/>
      <c r="MJD37" s="926"/>
      <c r="MJE37" s="926"/>
      <c r="MJF37" s="926"/>
      <c r="MJG37" s="926"/>
      <c r="MJH37" s="926"/>
      <c r="MJI37" s="926"/>
      <c r="MJJ37" s="926"/>
      <c r="MJK37" s="926"/>
      <c r="MJL37" s="926"/>
      <c r="MJM37" s="926"/>
      <c r="MJN37" s="926"/>
      <c r="MJO37" s="926"/>
      <c r="MJP37" s="926"/>
      <c r="MJQ37" s="926"/>
      <c r="MJR37" s="926"/>
      <c r="MJS37" s="926"/>
      <c r="MJT37" s="926"/>
      <c r="MJU37" s="926"/>
      <c r="MJV37" s="926"/>
      <c r="MJW37" s="926"/>
      <c r="MJX37" s="926"/>
      <c r="MJY37" s="926"/>
      <c r="MJZ37" s="926"/>
      <c r="MKA37" s="926"/>
      <c r="MKB37" s="926"/>
      <c r="MKC37" s="926"/>
      <c r="MKD37" s="926"/>
      <c r="MKE37" s="926"/>
      <c r="MKF37" s="926"/>
      <c r="MKG37" s="926"/>
      <c r="MKH37" s="926"/>
      <c r="MKI37" s="926"/>
      <c r="MKJ37" s="926"/>
      <c r="MKK37" s="926"/>
      <c r="MKL37" s="926"/>
      <c r="MKM37" s="926"/>
      <c r="MKN37" s="926"/>
      <c r="MKO37" s="926"/>
      <c r="MKP37" s="926"/>
      <c r="MKQ37" s="926"/>
      <c r="MKR37" s="926"/>
      <c r="MKS37" s="926"/>
      <c r="MKT37" s="926"/>
      <c r="MKU37" s="926"/>
      <c r="MKV37" s="926"/>
      <c r="MKW37" s="926"/>
      <c r="MKX37" s="926"/>
      <c r="MKY37" s="926"/>
      <c r="MKZ37" s="926"/>
      <c r="MLA37" s="926"/>
      <c r="MLB37" s="926"/>
      <c r="MLC37" s="926"/>
      <c r="MLD37" s="926"/>
      <c r="MLE37" s="926"/>
      <c r="MLF37" s="926"/>
      <c r="MLG37" s="926"/>
      <c r="MLH37" s="926"/>
      <c r="MLI37" s="926"/>
      <c r="MLJ37" s="926"/>
      <c r="MLK37" s="926"/>
      <c r="MLL37" s="926"/>
      <c r="MLM37" s="926"/>
      <c r="MLN37" s="926"/>
      <c r="MLO37" s="926"/>
      <c r="MLP37" s="926"/>
      <c r="MLQ37" s="926"/>
      <c r="MLR37" s="926"/>
      <c r="MLS37" s="926"/>
      <c r="MLT37" s="926"/>
      <c r="MLU37" s="926"/>
      <c r="MLV37" s="926"/>
      <c r="MLW37" s="926"/>
      <c r="MLX37" s="926"/>
      <c r="MLY37" s="926"/>
      <c r="MLZ37" s="926"/>
      <c r="MMA37" s="926"/>
      <c r="MMB37" s="926"/>
      <c r="MMC37" s="926"/>
      <c r="MMD37" s="926"/>
      <c r="MME37" s="926"/>
      <c r="MMF37" s="926"/>
      <c r="MMG37" s="926"/>
      <c r="MMH37" s="926"/>
      <c r="MMI37" s="926"/>
      <c r="MMJ37" s="926"/>
      <c r="MMK37" s="926"/>
      <c r="MML37" s="926"/>
      <c r="MMM37" s="926"/>
      <c r="MMN37" s="926"/>
      <c r="MMO37" s="926"/>
      <c r="MMP37" s="926"/>
      <c r="MMQ37" s="926"/>
      <c r="MMR37" s="926"/>
      <c r="MMS37" s="926"/>
      <c r="MMT37" s="926"/>
      <c r="MMU37" s="926"/>
      <c r="MMV37" s="926"/>
      <c r="MMW37" s="926"/>
      <c r="MMX37" s="926"/>
      <c r="MMY37" s="926"/>
      <c r="MMZ37" s="926"/>
      <c r="MNA37" s="926"/>
      <c r="MNB37" s="926"/>
      <c r="MNC37" s="926"/>
      <c r="MND37" s="926"/>
      <c r="MNE37" s="926"/>
      <c r="MNF37" s="926"/>
      <c r="MNG37" s="926"/>
      <c r="MNH37" s="926"/>
      <c r="MNI37" s="926"/>
      <c r="MNJ37" s="926"/>
      <c r="MNK37" s="926"/>
      <c r="MNL37" s="926"/>
      <c r="MNM37" s="926"/>
      <c r="MNN37" s="926"/>
      <c r="MNO37" s="926"/>
      <c r="MNP37" s="926"/>
      <c r="MNQ37" s="926"/>
      <c r="MNR37" s="926"/>
      <c r="MNS37" s="926"/>
      <c r="MNT37" s="926"/>
      <c r="MNU37" s="926"/>
      <c r="MNV37" s="926"/>
      <c r="MNW37" s="926"/>
      <c r="MNX37" s="926"/>
      <c r="MNY37" s="926"/>
      <c r="MNZ37" s="926"/>
      <c r="MOA37" s="926"/>
      <c r="MOB37" s="926"/>
      <c r="MOC37" s="926"/>
      <c r="MOD37" s="926"/>
      <c r="MOE37" s="926"/>
      <c r="MOF37" s="926"/>
      <c r="MOG37" s="926"/>
      <c r="MOH37" s="926"/>
      <c r="MOI37" s="926"/>
      <c r="MOJ37" s="926"/>
      <c r="MOK37" s="926"/>
      <c r="MOL37" s="926"/>
      <c r="MOM37" s="926"/>
      <c r="MON37" s="926"/>
      <c r="MOO37" s="926"/>
      <c r="MOP37" s="926"/>
      <c r="MOQ37" s="926"/>
      <c r="MOR37" s="926"/>
      <c r="MOS37" s="926"/>
      <c r="MOT37" s="926"/>
      <c r="MOU37" s="926"/>
      <c r="MOV37" s="926"/>
      <c r="MOW37" s="926"/>
      <c r="MOX37" s="926"/>
      <c r="MOY37" s="926"/>
      <c r="MOZ37" s="926"/>
      <c r="MPA37" s="926"/>
      <c r="MPB37" s="926"/>
      <c r="MPC37" s="926"/>
      <c r="MPD37" s="926"/>
      <c r="MPE37" s="926"/>
      <c r="MPF37" s="926"/>
      <c r="MPG37" s="926"/>
      <c r="MPH37" s="926"/>
      <c r="MPI37" s="926"/>
      <c r="MPJ37" s="926"/>
      <c r="MPK37" s="926"/>
      <c r="MPL37" s="926"/>
      <c r="MPM37" s="926"/>
      <c r="MPN37" s="926"/>
      <c r="MPO37" s="926"/>
      <c r="MPP37" s="926"/>
      <c r="MPQ37" s="926"/>
      <c r="MPR37" s="926"/>
      <c r="MPS37" s="926"/>
      <c r="MPT37" s="926"/>
      <c r="MPU37" s="926"/>
      <c r="MPV37" s="926"/>
      <c r="MPW37" s="926"/>
      <c r="MPX37" s="926"/>
      <c r="MPY37" s="926"/>
      <c r="MPZ37" s="926"/>
      <c r="MQA37" s="926"/>
      <c r="MQB37" s="926"/>
      <c r="MQC37" s="926"/>
      <c r="MQD37" s="926"/>
      <c r="MQE37" s="926"/>
      <c r="MQF37" s="926"/>
      <c r="MQG37" s="926"/>
      <c r="MQH37" s="926"/>
      <c r="MQI37" s="926"/>
      <c r="MQJ37" s="926"/>
      <c r="MQK37" s="926"/>
      <c r="MQL37" s="926"/>
      <c r="MQM37" s="926"/>
      <c r="MQN37" s="926"/>
      <c r="MQO37" s="926"/>
      <c r="MQP37" s="926"/>
      <c r="MQQ37" s="926"/>
      <c r="MQR37" s="926"/>
      <c r="MQS37" s="926"/>
      <c r="MQT37" s="926"/>
      <c r="MQU37" s="926"/>
      <c r="MQV37" s="926"/>
      <c r="MQW37" s="926"/>
      <c r="MQX37" s="926"/>
      <c r="MQY37" s="926"/>
      <c r="MQZ37" s="926"/>
      <c r="MRA37" s="926"/>
      <c r="MRB37" s="926"/>
      <c r="MRC37" s="926"/>
      <c r="MRD37" s="926"/>
      <c r="MRE37" s="926"/>
      <c r="MRF37" s="926"/>
      <c r="MRG37" s="926"/>
      <c r="MRH37" s="926"/>
      <c r="MRI37" s="926"/>
      <c r="MRJ37" s="926"/>
      <c r="MRK37" s="926"/>
      <c r="MRL37" s="926"/>
      <c r="MRM37" s="926"/>
      <c r="MRN37" s="926"/>
      <c r="MRO37" s="926"/>
      <c r="MRP37" s="926"/>
      <c r="MRQ37" s="926"/>
      <c r="MRR37" s="926"/>
      <c r="MRS37" s="926"/>
      <c r="MRT37" s="926"/>
      <c r="MRU37" s="926"/>
      <c r="MRV37" s="926"/>
      <c r="MRW37" s="926"/>
      <c r="MRX37" s="926"/>
      <c r="MRY37" s="926"/>
      <c r="MRZ37" s="926"/>
      <c r="MSA37" s="926"/>
      <c r="MSB37" s="926"/>
      <c r="MSC37" s="926"/>
      <c r="MSD37" s="926"/>
      <c r="MSE37" s="926"/>
      <c r="MSF37" s="926"/>
      <c r="MSG37" s="926"/>
      <c r="MSH37" s="926"/>
      <c r="MSI37" s="926"/>
      <c r="MSJ37" s="926"/>
      <c r="MSK37" s="926"/>
      <c r="MSL37" s="926"/>
      <c r="MSM37" s="926"/>
      <c r="MSN37" s="926"/>
      <c r="MSO37" s="926"/>
      <c r="MSP37" s="926"/>
      <c r="MSQ37" s="926"/>
      <c r="MSR37" s="926"/>
      <c r="MSS37" s="926"/>
      <c r="MST37" s="926"/>
      <c r="MSU37" s="926"/>
      <c r="MSV37" s="926"/>
      <c r="MSW37" s="926"/>
      <c r="MSX37" s="926"/>
      <c r="MSY37" s="926"/>
      <c r="MSZ37" s="926"/>
      <c r="MTA37" s="926"/>
      <c r="MTB37" s="926"/>
      <c r="MTC37" s="926"/>
      <c r="MTD37" s="926"/>
      <c r="MTE37" s="926"/>
      <c r="MTF37" s="926"/>
      <c r="MTG37" s="926"/>
      <c r="MTH37" s="926"/>
      <c r="MTI37" s="926"/>
      <c r="MTJ37" s="926"/>
      <c r="MTK37" s="926"/>
      <c r="MTL37" s="926"/>
      <c r="MTM37" s="926"/>
      <c r="MTN37" s="926"/>
      <c r="MTO37" s="926"/>
      <c r="MTP37" s="926"/>
      <c r="MTQ37" s="926"/>
      <c r="MTR37" s="926"/>
      <c r="MTS37" s="926"/>
      <c r="MTT37" s="926"/>
      <c r="MTU37" s="926"/>
      <c r="MTV37" s="926"/>
      <c r="MTW37" s="926"/>
      <c r="MTX37" s="926"/>
      <c r="MTY37" s="926"/>
      <c r="MTZ37" s="926"/>
      <c r="MUA37" s="926"/>
      <c r="MUB37" s="926"/>
      <c r="MUC37" s="926"/>
      <c r="MUD37" s="926"/>
      <c r="MUE37" s="926"/>
      <c r="MUF37" s="926"/>
      <c r="MUG37" s="926"/>
      <c r="MUH37" s="926"/>
      <c r="MUI37" s="926"/>
      <c r="MUJ37" s="926"/>
      <c r="MUK37" s="926"/>
      <c r="MUL37" s="926"/>
      <c r="MUM37" s="926"/>
      <c r="MUN37" s="926"/>
      <c r="MUO37" s="926"/>
      <c r="MUP37" s="926"/>
      <c r="MUQ37" s="926"/>
      <c r="MUR37" s="926"/>
      <c r="MUS37" s="926"/>
      <c r="MUT37" s="926"/>
      <c r="MUU37" s="926"/>
      <c r="MUV37" s="926"/>
      <c r="MUW37" s="926"/>
      <c r="MUX37" s="926"/>
      <c r="MUY37" s="926"/>
      <c r="MUZ37" s="926"/>
      <c r="MVA37" s="926"/>
      <c r="MVB37" s="926"/>
      <c r="MVC37" s="926"/>
      <c r="MVD37" s="926"/>
      <c r="MVE37" s="926"/>
      <c r="MVF37" s="926"/>
      <c r="MVG37" s="926"/>
      <c r="MVH37" s="926"/>
      <c r="MVI37" s="926"/>
      <c r="MVJ37" s="926"/>
      <c r="MVK37" s="926"/>
      <c r="MVL37" s="926"/>
      <c r="MVM37" s="926"/>
      <c r="MVN37" s="926"/>
      <c r="MVO37" s="926"/>
      <c r="MVP37" s="926"/>
      <c r="MVQ37" s="926"/>
      <c r="MVR37" s="926"/>
      <c r="MVS37" s="926"/>
      <c r="MVT37" s="926"/>
      <c r="MVU37" s="926"/>
      <c r="MVV37" s="926"/>
      <c r="MVW37" s="926"/>
      <c r="MVX37" s="926"/>
      <c r="MVY37" s="926"/>
      <c r="MVZ37" s="926"/>
      <c r="MWA37" s="926"/>
      <c r="MWB37" s="926"/>
      <c r="MWC37" s="926"/>
      <c r="MWD37" s="926"/>
      <c r="MWE37" s="926"/>
      <c r="MWF37" s="926"/>
      <c r="MWG37" s="926"/>
      <c r="MWH37" s="926"/>
      <c r="MWI37" s="926"/>
      <c r="MWJ37" s="926"/>
      <c r="MWK37" s="926"/>
      <c r="MWL37" s="926"/>
      <c r="MWM37" s="926"/>
      <c r="MWN37" s="926"/>
      <c r="MWO37" s="926"/>
      <c r="MWP37" s="926"/>
      <c r="MWQ37" s="926"/>
      <c r="MWR37" s="926"/>
      <c r="MWS37" s="926"/>
      <c r="MWT37" s="926"/>
      <c r="MWU37" s="926"/>
      <c r="MWV37" s="926"/>
      <c r="MWW37" s="926"/>
      <c r="MWX37" s="926"/>
      <c r="MWY37" s="926"/>
      <c r="MWZ37" s="926"/>
      <c r="MXA37" s="926"/>
      <c r="MXB37" s="926"/>
      <c r="MXC37" s="926"/>
      <c r="MXD37" s="926"/>
      <c r="MXE37" s="926"/>
      <c r="MXF37" s="926"/>
      <c r="MXG37" s="926"/>
      <c r="MXH37" s="926"/>
      <c r="MXI37" s="926"/>
      <c r="MXJ37" s="926"/>
      <c r="MXK37" s="926"/>
      <c r="MXL37" s="926"/>
      <c r="MXM37" s="926"/>
      <c r="MXN37" s="926"/>
      <c r="MXO37" s="926"/>
      <c r="MXP37" s="926"/>
      <c r="MXQ37" s="926"/>
      <c r="MXR37" s="926"/>
      <c r="MXS37" s="926"/>
      <c r="MXT37" s="926"/>
      <c r="MXU37" s="926"/>
      <c r="MXV37" s="926"/>
      <c r="MXW37" s="926"/>
      <c r="MXX37" s="926"/>
      <c r="MXY37" s="926"/>
      <c r="MXZ37" s="926"/>
      <c r="MYA37" s="926"/>
      <c r="MYB37" s="926"/>
      <c r="MYC37" s="926"/>
      <c r="MYD37" s="926"/>
      <c r="MYE37" s="926"/>
      <c r="MYF37" s="926"/>
      <c r="MYG37" s="926"/>
      <c r="MYH37" s="926"/>
      <c r="MYI37" s="926"/>
      <c r="MYJ37" s="926"/>
      <c r="MYK37" s="926"/>
      <c r="MYL37" s="926"/>
      <c r="MYM37" s="926"/>
      <c r="MYN37" s="926"/>
      <c r="MYO37" s="926"/>
      <c r="MYP37" s="926"/>
      <c r="MYQ37" s="926"/>
      <c r="MYR37" s="926"/>
      <c r="MYS37" s="926"/>
      <c r="MYT37" s="926"/>
      <c r="MYU37" s="926"/>
      <c r="MYV37" s="926"/>
      <c r="MYW37" s="926"/>
      <c r="MYX37" s="926"/>
      <c r="MYY37" s="926"/>
      <c r="MYZ37" s="926"/>
      <c r="MZA37" s="926"/>
      <c r="MZB37" s="926"/>
      <c r="MZC37" s="926"/>
      <c r="MZD37" s="926"/>
      <c r="MZE37" s="926"/>
      <c r="MZF37" s="926"/>
      <c r="MZG37" s="926"/>
      <c r="MZH37" s="926"/>
      <c r="MZI37" s="926"/>
      <c r="MZJ37" s="926"/>
      <c r="MZK37" s="926"/>
      <c r="MZL37" s="926"/>
      <c r="MZM37" s="926"/>
      <c r="MZN37" s="926"/>
      <c r="MZO37" s="926"/>
      <c r="MZP37" s="926"/>
      <c r="MZQ37" s="926"/>
      <c r="MZR37" s="926"/>
      <c r="MZS37" s="926"/>
      <c r="MZT37" s="926"/>
      <c r="MZU37" s="926"/>
      <c r="MZV37" s="926"/>
      <c r="MZW37" s="926"/>
      <c r="MZX37" s="926"/>
      <c r="MZY37" s="926"/>
      <c r="MZZ37" s="926"/>
      <c r="NAA37" s="926"/>
      <c r="NAB37" s="926"/>
      <c r="NAC37" s="926"/>
      <c r="NAD37" s="926"/>
      <c r="NAE37" s="926"/>
      <c r="NAF37" s="926"/>
      <c r="NAG37" s="926"/>
      <c r="NAH37" s="926"/>
      <c r="NAI37" s="926"/>
      <c r="NAJ37" s="926"/>
      <c r="NAK37" s="926"/>
      <c r="NAL37" s="926"/>
      <c r="NAM37" s="926"/>
      <c r="NAN37" s="926"/>
      <c r="NAO37" s="926"/>
      <c r="NAP37" s="926"/>
      <c r="NAQ37" s="926"/>
      <c r="NAR37" s="926"/>
      <c r="NAS37" s="926"/>
      <c r="NAT37" s="926"/>
      <c r="NAU37" s="926"/>
      <c r="NAV37" s="926"/>
      <c r="NAW37" s="926"/>
      <c r="NAX37" s="926"/>
      <c r="NAY37" s="926"/>
      <c r="NAZ37" s="926"/>
      <c r="NBA37" s="926"/>
      <c r="NBB37" s="926"/>
      <c r="NBC37" s="926"/>
      <c r="NBD37" s="926"/>
      <c r="NBE37" s="926"/>
      <c r="NBF37" s="926"/>
      <c r="NBG37" s="926"/>
      <c r="NBH37" s="926"/>
      <c r="NBI37" s="926"/>
      <c r="NBJ37" s="926"/>
      <c r="NBK37" s="926"/>
      <c r="NBL37" s="926"/>
      <c r="NBM37" s="926"/>
      <c r="NBN37" s="926"/>
      <c r="NBO37" s="926"/>
      <c r="NBP37" s="926"/>
      <c r="NBQ37" s="926"/>
      <c r="NBR37" s="926"/>
      <c r="NBS37" s="926"/>
      <c r="NBT37" s="926"/>
      <c r="NBU37" s="926"/>
      <c r="NBV37" s="926"/>
      <c r="NBW37" s="926"/>
      <c r="NBX37" s="926"/>
      <c r="NBY37" s="926"/>
      <c r="NBZ37" s="926"/>
      <c r="NCA37" s="926"/>
      <c r="NCB37" s="926"/>
      <c r="NCC37" s="926"/>
      <c r="NCD37" s="926"/>
      <c r="NCE37" s="926"/>
      <c r="NCF37" s="926"/>
      <c r="NCG37" s="926"/>
      <c r="NCH37" s="926"/>
      <c r="NCI37" s="926"/>
      <c r="NCJ37" s="926"/>
      <c r="NCK37" s="926"/>
      <c r="NCL37" s="926"/>
      <c r="NCM37" s="926"/>
      <c r="NCN37" s="926"/>
      <c r="NCO37" s="926"/>
      <c r="NCP37" s="926"/>
      <c r="NCQ37" s="926"/>
      <c r="NCR37" s="926"/>
      <c r="NCS37" s="926"/>
      <c r="NCT37" s="926"/>
      <c r="NCU37" s="926"/>
      <c r="NCV37" s="926"/>
      <c r="NCW37" s="926"/>
      <c r="NCX37" s="926"/>
      <c r="NCY37" s="926"/>
      <c r="NCZ37" s="926"/>
      <c r="NDA37" s="926"/>
      <c r="NDB37" s="926"/>
      <c r="NDC37" s="926"/>
      <c r="NDD37" s="926"/>
      <c r="NDE37" s="926"/>
      <c r="NDF37" s="926"/>
      <c r="NDG37" s="926"/>
      <c r="NDH37" s="926"/>
      <c r="NDI37" s="926"/>
      <c r="NDJ37" s="926"/>
      <c r="NDK37" s="926"/>
      <c r="NDL37" s="926"/>
      <c r="NDM37" s="926"/>
      <c r="NDN37" s="926"/>
      <c r="NDO37" s="926"/>
      <c r="NDP37" s="926"/>
      <c r="NDQ37" s="926"/>
      <c r="NDR37" s="926"/>
      <c r="NDS37" s="926"/>
      <c r="NDT37" s="926"/>
      <c r="NDU37" s="926"/>
      <c r="NDV37" s="926"/>
      <c r="NDW37" s="926"/>
      <c r="NDX37" s="926"/>
      <c r="NDY37" s="926"/>
      <c r="NDZ37" s="926"/>
      <c r="NEA37" s="926"/>
      <c r="NEB37" s="926"/>
      <c r="NEC37" s="926"/>
      <c r="NED37" s="926"/>
      <c r="NEE37" s="926"/>
      <c r="NEF37" s="926"/>
      <c r="NEG37" s="926"/>
      <c r="NEH37" s="926"/>
      <c r="NEI37" s="926"/>
      <c r="NEJ37" s="926"/>
      <c r="NEK37" s="926"/>
      <c r="NEL37" s="926"/>
      <c r="NEM37" s="926"/>
      <c r="NEN37" s="926"/>
      <c r="NEO37" s="926"/>
      <c r="NEP37" s="926"/>
      <c r="NEQ37" s="926"/>
      <c r="NER37" s="926"/>
      <c r="NES37" s="926"/>
      <c r="NET37" s="926"/>
      <c r="NEU37" s="926"/>
      <c r="NEV37" s="926"/>
      <c r="NEW37" s="926"/>
      <c r="NEX37" s="926"/>
      <c r="NEY37" s="926"/>
      <c r="NEZ37" s="926"/>
      <c r="NFA37" s="926"/>
      <c r="NFB37" s="926"/>
      <c r="NFC37" s="926"/>
      <c r="NFD37" s="926"/>
      <c r="NFE37" s="926"/>
      <c r="NFF37" s="926"/>
      <c r="NFG37" s="926"/>
      <c r="NFH37" s="926"/>
      <c r="NFI37" s="926"/>
      <c r="NFJ37" s="926"/>
      <c r="NFK37" s="926"/>
      <c r="NFL37" s="926"/>
      <c r="NFM37" s="926"/>
      <c r="NFN37" s="926"/>
      <c r="NFO37" s="926"/>
      <c r="NFP37" s="926"/>
      <c r="NFQ37" s="926"/>
      <c r="NFR37" s="926"/>
      <c r="NFS37" s="926"/>
      <c r="NFT37" s="926"/>
      <c r="NFU37" s="926"/>
      <c r="NFV37" s="926"/>
      <c r="NFW37" s="926"/>
      <c r="NFX37" s="926"/>
      <c r="NFY37" s="926"/>
      <c r="NFZ37" s="926"/>
      <c r="NGA37" s="926"/>
      <c r="NGB37" s="926"/>
      <c r="NGC37" s="926"/>
      <c r="NGD37" s="926"/>
      <c r="NGE37" s="926"/>
      <c r="NGF37" s="926"/>
      <c r="NGG37" s="926"/>
      <c r="NGH37" s="926"/>
      <c r="NGI37" s="926"/>
      <c r="NGJ37" s="926"/>
      <c r="NGK37" s="926"/>
      <c r="NGL37" s="926"/>
      <c r="NGM37" s="926"/>
      <c r="NGN37" s="926"/>
      <c r="NGO37" s="926"/>
      <c r="NGP37" s="926"/>
      <c r="NGQ37" s="926"/>
      <c r="NGR37" s="926"/>
      <c r="NGS37" s="926"/>
      <c r="NGT37" s="926"/>
      <c r="NGU37" s="926"/>
      <c r="NGV37" s="926"/>
      <c r="NGW37" s="926"/>
      <c r="NGX37" s="926"/>
      <c r="NGY37" s="926"/>
      <c r="NGZ37" s="926"/>
      <c r="NHA37" s="926"/>
      <c r="NHB37" s="926"/>
      <c r="NHC37" s="926"/>
      <c r="NHD37" s="926"/>
      <c r="NHE37" s="926"/>
      <c r="NHF37" s="926"/>
      <c r="NHG37" s="926"/>
      <c r="NHH37" s="926"/>
      <c r="NHI37" s="926"/>
      <c r="NHJ37" s="926"/>
      <c r="NHK37" s="926"/>
      <c r="NHL37" s="926"/>
      <c r="NHM37" s="926"/>
      <c r="NHN37" s="926"/>
      <c r="NHO37" s="926"/>
      <c r="NHP37" s="926"/>
      <c r="NHQ37" s="926"/>
      <c r="NHR37" s="926"/>
      <c r="NHS37" s="926"/>
      <c r="NHT37" s="926"/>
      <c r="NHU37" s="926"/>
      <c r="NHV37" s="926"/>
      <c r="NHW37" s="926"/>
      <c r="NHX37" s="926"/>
      <c r="NHY37" s="926"/>
      <c r="NHZ37" s="926"/>
      <c r="NIA37" s="926"/>
      <c r="NIB37" s="926"/>
      <c r="NIC37" s="926"/>
      <c r="NID37" s="926"/>
      <c r="NIE37" s="926"/>
      <c r="NIF37" s="926"/>
      <c r="NIG37" s="926"/>
      <c r="NIH37" s="926"/>
      <c r="NII37" s="926"/>
      <c r="NIJ37" s="926"/>
      <c r="NIK37" s="926"/>
      <c r="NIL37" s="926"/>
      <c r="NIM37" s="926"/>
      <c r="NIN37" s="926"/>
      <c r="NIO37" s="926"/>
      <c r="NIP37" s="926"/>
      <c r="NIQ37" s="926"/>
      <c r="NIR37" s="926"/>
      <c r="NIS37" s="926"/>
      <c r="NIT37" s="926"/>
      <c r="NIU37" s="926"/>
      <c r="NIV37" s="926"/>
      <c r="NIW37" s="926"/>
      <c r="NIX37" s="926"/>
      <c r="NIY37" s="926"/>
      <c r="NIZ37" s="926"/>
      <c r="NJA37" s="926"/>
      <c r="NJB37" s="926"/>
      <c r="NJC37" s="926"/>
      <c r="NJD37" s="926"/>
      <c r="NJE37" s="926"/>
      <c r="NJF37" s="926"/>
      <c r="NJG37" s="926"/>
      <c r="NJH37" s="926"/>
      <c r="NJI37" s="926"/>
      <c r="NJJ37" s="926"/>
      <c r="NJK37" s="926"/>
      <c r="NJL37" s="926"/>
      <c r="NJM37" s="926"/>
      <c r="NJN37" s="926"/>
      <c r="NJO37" s="926"/>
      <c r="NJP37" s="926"/>
      <c r="NJQ37" s="926"/>
      <c r="NJR37" s="926"/>
      <c r="NJS37" s="926"/>
      <c r="NJT37" s="926"/>
      <c r="NJU37" s="926"/>
      <c r="NJV37" s="926"/>
      <c r="NJW37" s="926"/>
      <c r="NJX37" s="926"/>
      <c r="NJY37" s="926"/>
      <c r="NJZ37" s="926"/>
      <c r="NKA37" s="926"/>
      <c r="NKB37" s="926"/>
      <c r="NKC37" s="926"/>
      <c r="NKD37" s="926"/>
      <c r="NKE37" s="926"/>
      <c r="NKF37" s="926"/>
      <c r="NKG37" s="926"/>
      <c r="NKH37" s="926"/>
      <c r="NKI37" s="926"/>
      <c r="NKJ37" s="926"/>
      <c r="NKK37" s="926"/>
      <c r="NKL37" s="926"/>
      <c r="NKM37" s="926"/>
      <c r="NKN37" s="926"/>
      <c r="NKO37" s="926"/>
      <c r="NKP37" s="926"/>
      <c r="NKQ37" s="926"/>
      <c r="NKR37" s="926"/>
      <c r="NKS37" s="926"/>
      <c r="NKT37" s="926"/>
      <c r="NKU37" s="926"/>
      <c r="NKV37" s="926"/>
      <c r="NKW37" s="926"/>
      <c r="NKX37" s="926"/>
      <c r="NKY37" s="926"/>
      <c r="NKZ37" s="926"/>
      <c r="NLA37" s="926"/>
      <c r="NLB37" s="926"/>
      <c r="NLC37" s="926"/>
      <c r="NLD37" s="926"/>
      <c r="NLE37" s="926"/>
      <c r="NLF37" s="926"/>
      <c r="NLG37" s="926"/>
      <c r="NLH37" s="926"/>
      <c r="NLI37" s="926"/>
      <c r="NLJ37" s="926"/>
      <c r="NLK37" s="926"/>
      <c r="NLL37" s="926"/>
      <c r="NLM37" s="926"/>
      <c r="NLN37" s="926"/>
      <c r="NLO37" s="926"/>
      <c r="NLP37" s="926"/>
      <c r="NLQ37" s="926"/>
      <c r="NLR37" s="926"/>
      <c r="NLS37" s="926"/>
      <c r="NLT37" s="926"/>
      <c r="NLU37" s="926"/>
      <c r="NLV37" s="926"/>
      <c r="NLW37" s="926"/>
      <c r="NLX37" s="926"/>
      <c r="NLY37" s="926"/>
      <c r="NLZ37" s="926"/>
      <c r="NMA37" s="926"/>
      <c r="NMB37" s="926"/>
      <c r="NMC37" s="926"/>
      <c r="NMD37" s="926"/>
      <c r="NME37" s="926"/>
      <c r="NMF37" s="926"/>
      <c r="NMG37" s="926"/>
      <c r="NMH37" s="926"/>
      <c r="NMI37" s="926"/>
      <c r="NMJ37" s="926"/>
      <c r="NMK37" s="926"/>
      <c r="NML37" s="926"/>
      <c r="NMM37" s="926"/>
      <c r="NMN37" s="926"/>
      <c r="NMO37" s="926"/>
      <c r="NMP37" s="926"/>
      <c r="NMQ37" s="926"/>
      <c r="NMR37" s="926"/>
      <c r="NMS37" s="926"/>
      <c r="NMT37" s="926"/>
      <c r="NMU37" s="926"/>
      <c r="NMV37" s="926"/>
      <c r="NMW37" s="926"/>
      <c r="NMX37" s="926"/>
      <c r="NMY37" s="926"/>
      <c r="NMZ37" s="926"/>
      <c r="NNA37" s="926"/>
      <c r="NNB37" s="926"/>
      <c r="NNC37" s="926"/>
      <c r="NND37" s="926"/>
      <c r="NNE37" s="926"/>
      <c r="NNF37" s="926"/>
      <c r="NNG37" s="926"/>
      <c r="NNH37" s="926"/>
      <c r="NNI37" s="926"/>
      <c r="NNJ37" s="926"/>
      <c r="NNK37" s="926"/>
      <c r="NNL37" s="926"/>
      <c r="NNM37" s="926"/>
      <c r="NNN37" s="926"/>
      <c r="NNO37" s="926"/>
      <c r="NNP37" s="926"/>
      <c r="NNQ37" s="926"/>
      <c r="NNR37" s="926"/>
      <c r="NNS37" s="926"/>
      <c r="NNT37" s="926"/>
      <c r="NNU37" s="926"/>
      <c r="NNV37" s="926"/>
      <c r="NNW37" s="926"/>
      <c r="NNX37" s="926"/>
      <c r="NNY37" s="926"/>
      <c r="NNZ37" s="926"/>
      <c r="NOA37" s="926"/>
      <c r="NOB37" s="926"/>
      <c r="NOC37" s="926"/>
      <c r="NOD37" s="926"/>
      <c r="NOE37" s="926"/>
      <c r="NOF37" s="926"/>
      <c r="NOG37" s="926"/>
      <c r="NOH37" s="926"/>
      <c r="NOI37" s="926"/>
      <c r="NOJ37" s="926"/>
      <c r="NOK37" s="926"/>
      <c r="NOL37" s="926"/>
      <c r="NOM37" s="926"/>
      <c r="NON37" s="926"/>
      <c r="NOO37" s="926"/>
      <c r="NOP37" s="926"/>
      <c r="NOQ37" s="926"/>
      <c r="NOR37" s="926"/>
      <c r="NOS37" s="926"/>
      <c r="NOT37" s="926"/>
      <c r="NOU37" s="926"/>
      <c r="NOV37" s="926"/>
      <c r="NOW37" s="926"/>
      <c r="NOX37" s="926"/>
      <c r="NOY37" s="926"/>
      <c r="NOZ37" s="926"/>
      <c r="NPA37" s="926"/>
      <c r="NPB37" s="926"/>
      <c r="NPC37" s="926"/>
      <c r="NPD37" s="926"/>
      <c r="NPE37" s="926"/>
      <c r="NPF37" s="926"/>
      <c r="NPG37" s="926"/>
      <c r="NPH37" s="926"/>
      <c r="NPI37" s="926"/>
      <c r="NPJ37" s="926"/>
      <c r="NPK37" s="926"/>
      <c r="NPL37" s="926"/>
      <c r="NPM37" s="926"/>
      <c r="NPN37" s="926"/>
      <c r="NPO37" s="926"/>
      <c r="NPP37" s="926"/>
      <c r="NPQ37" s="926"/>
      <c r="NPR37" s="926"/>
      <c r="NPS37" s="926"/>
      <c r="NPT37" s="926"/>
      <c r="NPU37" s="926"/>
      <c r="NPV37" s="926"/>
      <c r="NPW37" s="926"/>
      <c r="NPX37" s="926"/>
      <c r="NPY37" s="926"/>
      <c r="NPZ37" s="926"/>
      <c r="NQA37" s="926"/>
      <c r="NQB37" s="926"/>
      <c r="NQC37" s="926"/>
      <c r="NQD37" s="926"/>
      <c r="NQE37" s="926"/>
      <c r="NQF37" s="926"/>
      <c r="NQG37" s="926"/>
      <c r="NQH37" s="926"/>
      <c r="NQI37" s="926"/>
      <c r="NQJ37" s="926"/>
      <c r="NQK37" s="926"/>
      <c r="NQL37" s="926"/>
      <c r="NQM37" s="926"/>
      <c r="NQN37" s="926"/>
      <c r="NQO37" s="926"/>
      <c r="NQP37" s="926"/>
      <c r="NQQ37" s="926"/>
      <c r="NQR37" s="926"/>
      <c r="NQS37" s="926"/>
      <c r="NQT37" s="926"/>
      <c r="NQU37" s="926"/>
      <c r="NQV37" s="926"/>
      <c r="NQW37" s="926"/>
      <c r="NQX37" s="926"/>
      <c r="NQY37" s="926"/>
      <c r="NQZ37" s="926"/>
      <c r="NRA37" s="926"/>
      <c r="NRB37" s="926"/>
      <c r="NRC37" s="926"/>
      <c r="NRD37" s="926"/>
      <c r="NRE37" s="926"/>
      <c r="NRF37" s="926"/>
      <c r="NRG37" s="926"/>
      <c r="NRH37" s="926"/>
      <c r="NRI37" s="926"/>
      <c r="NRJ37" s="926"/>
      <c r="NRK37" s="926"/>
      <c r="NRL37" s="926"/>
      <c r="NRM37" s="926"/>
      <c r="NRN37" s="926"/>
      <c r="NRO37" s="926"/>
      <c r="NRP37" s="926"/>
      <c r="NRQ37" s="926"/>
      <c r="NRR37" s="926"/>
      <c r="NRS37" s="926"/>
      <c r="NRT37" s="926"/>
      <c r="NRU37" s="926"/>
      <c r="NRV37" s="926"/>
      <c r="NRW37" s="926"/>
      <c r="NRX37" s="926"/>
      <c r="NRY37" s="926"/>
      <c r="NRZ37" s="926"/>
      <c r="NSA37" s="926"/>
      <c r="NSB37" s="926"/>
      <c r="NSC37" s="926"/>
      <c r="NSD37" s="926"/>
      <c r="NSE37" s="926"/>
      <c r="NSF37" s="926"/>
      <c r="NSG37" s="926"/>
      <c r="NSH37" s="926"/>
      <c r="NSI37" s="926"/>
      <c r="NSJ37" s="926"/>
      <c r="NSK37" s="926"/>
      <c r="NSL37" s="926"/>
      <c r="NSM37" s="926"/>
      <c r="NSN37" s="926"/>
      <c r="NSO37" s="926"/>
      <c r="NSP37" s="926"/>
      <c r="NSQ37" s="926"/>
      <c r="NSR37" s="926"/>
      <c r="NSS37" s="926"/>
      <c r="NST37" s="926"/>
      <c r="NSU37" s="926"/>
      <c r="NSV37" s="926"/>
      <c r="NSW37" s="926"/>
      <c r="NSX37" s="926"/>
      <c r="NSY37" s="926"/>
      <c r="NSZ37" s="926"/>
      <c r="NTA37" s="926"/>
      <c r="NTB37" s="926"/>
      <c r="NTC37" s="926"/>
      <c r="NTD37" s="926"/>
      <c r="NTE37" s="926"/>
      <c r="NTF37" s="926"/>
      <c r="NTG37" s="926"/>
      <c r="NTH37" s="926"/>
      <c r="NTI37" s="926"/>
      <c r="NTJ37" s="926"/>
      <c r="NTK37" s="926"/>
      <c r="NTL37" s="926"/>
      <c r="NTM37" s="926"/>
      <c r="NTN37" s="926"/>
      <c r="NTO37" s="926"/>
      <c r="NTP37" s="926"/>
      <c r="NTQ37" s="926"/>
      <c r="NTR37" s="926"/>
      <c r="NTS37" s="926"/>
      <c r="NTT37" s="926"/>
      <c r="NTU37" s="926"/>
      <c r="NTV37" s="926"/>
      <c r="NTW37" s="926"/>
      <c r="NTX37" s="926"/>
      <c r="NTY37" s="926"/>
      <c r="NTZ37" s="926"/>
      <c r="NUA37" s="926"/>
      <c r="NUB37" s="926"/>
      <c r="NUC37" s="926"/>
      <c r="NUD37" s="926"/>
      <c r="NUE37" s="926"/>
      <c r="NUF37" s="926"/>
      <c r="NUG37" s="926"/>
      <c r="NUH37" s="926"/>
      <c r="NUI37" s="926"/>
      <c r="NUJ37" s="926"/>
      <c r="NUK37" s="926"/>
      <c r="NUL37" s="926"/>
      <c r="NUM37" s="926"/>
      <c r="NUN37" s="926"/>
      <c r="NUO37" s="926"/>
      <c r="NUP37" s="926"/>
      <c r="NUQ37" s="926"/>
      <c r="NUR37" s="926"/>
      <c r="NUS37" s="926"/>
      <c r="NUT37" s="926"/>
      <c r="NUU37" s="926"/>
      <c r="NUV37" s="926"/>
      <c r="NUW37" s="926"/>
      <c r="NUX37" s="926"/>
      <c r="NUY37" s="926"/>
      <c r="NUZ37" s="926"/>
      <c r="NVA37" s="926"/>
      <c r="NVB37" s="926"/>
      <c r="NVC37" s="926"/>
      <c r="NVD37" s="926"/>
      <c r="NVE37" s="926"/>
      <c r="NVF37" s="926"/>
      <c r="NVG37" s="926"/>
      <c r="NVH37" s="926"/>
      <c r="NVI37" s="926"/>
      <c r="NVJ37" s="926"/>
      <c r="NVK37" s="926"/>
      <c r="NVL37" s="926"/>
      <c r="NVM37" s="926"/>
      <c r="NVN37" s="926"/>
      <c r="NVO37" s="926"/>
      <c r="NVP37" s="926"/>
      <c r="NVQ37" s="926"/>
      <c r="NVR37" s="926"/>
      <c r="NVS37" s="926"/>
      <c r="NVT37" s="926"/>
      <c r="NVU37" s="926"/>
      <c r="NVV37" s="926"/>
      <c r="NVW37" s="926"/>
      <c r="NVX37" s="926"/>
      <c r="NVY37" s="926"/>
      <c r="NVZ37" s="926"/>
      <c r="NWA37" s="926"/>
      <c r="NWB37" s="926"/>
      <c r="NWC37" s="926"/>
      <c r="NWD37" s="926"/>
      <c r="NWE37" s="926"/>
      <c r="NWF37" s="926"/>
      <c r="NWG37" s="926"/>
      <c r="NWH37" s="926"/>
      <c r="NWI37" s="926"/>
      <c r="NWJ37" s="926"/>
      <c r="NWK37" s="926"/>
      <c r="NWL37" s="926"/>
      <c r="NWM37" s="926"/>
      <c r="NWN37" s="926"/>
      <c r="NWO37" s="926"/>
      <c r="NWP37" s="926"/>
      <c r="NWQ37" s="926"/>
      <c r="NWR37" s="926"/>
      <c r="NWS37" s="926"/>
      <c r="NWT37" s="926"/>
      <c r="NWU37" s="926"/>
      <c r="NWV37" s="926"/>
      <c r="NWW37" s="926"/>
      <c r="NWX37" s="926"/>
      <c r="NWY37" s="926"/>
      <c r="NWZ37" s="926"/>
      <c r="NXA37" s="926"/>
      <c r="NXB37" s="926"/>
      <c r="NXC37" s="926"/>
      <c r="NXD37" s="926"/>
      <c r="NXE37" s="926"/>
      <c r="NXF37" s="926"/>
      <c r="NXG37" s="926"/>
      <c r="NXH37" s="926"/>
      <c r="NXI37" s="926"/>
      <c r="NXJ37" s="926"/>
      <c r="NXK37" s="926"/>
      <c r="NXL37" s="926"/>
      <c r="NXM37" s="926"/>
      <c r="NXN37" s="926"/>
      <c r="NXO37" s="926"/>
      <c r="NXP37" s="926"/>
      <c r="NXQ37" s="926"/>
      <c r="NXR37" s="926"/>
      <c r="NXS37" s="926"/>
      <c r="NXT37" s="926"/>
      <c r="NXU37" s="926"/>
      <c r="NXV37" s="926"/>
      <c r="NXW37" s="926"/>
      <c r="NXX37" s="926"/>
      <c r="NXY37" s="926"/>
      <c r="NXZ37" s="926"/>
      <c r="NYA37" s="926"/>
      <c r="NYB37" s="926"/>
      <c r="NYC37" s="926"/>
      <c r="NYD37" s="926"/>
      <c r="NYE37" s="926"/>
      <c r="NYF37" s="926"/>
      <c r="NYG37" s="926"/>
      <c r="NYH37" s="926"/>
      <c r="NYI37" s="926"/>
      <c r="NYJ37" s="926"/>
      <c r="NYK37" s="926"/>
      <c r="NYL37" s="926"/>
      <c r="NYM37" s="926"/>
      <c r="NYN37" s="926"/>
      <c r="NYO37" s="926"/>
      <c r="NYP37" s="926"/>
      <c r="NYQ37" s="926"/>
      <c r="NYR37" s="926"/>
      <c r="NYS37" s="926"/>
      <c r="NYT37" s="926"/>
      <c r="NYU37" s="926"/>
      <c r="NYV37" s="926"/>
      <c r="NYW37" s="926"/>
      <c r="NYX37" s="926"/>
      <c r="NYY37" s="926"/>
      <c r="NYZ37" s="926"/>
      <c r="NZA37" s="926"/>
      <c r="NZB37" s="926"/>
      <c r="NZC37" s="926"/>
      <c r="NZD37" s="926"/>
      <c r="NZE37" s="926"/>
      <c r="NZF37" s="926"/>
      <c r="NZG37" s="926"/>
      <c r="NZH37" s="926"/>
      <c r="NZI37" s="926"/>
      <c r="NZJ37" s="926"/>
      <c r="NZK37" s="926"/>
      <c r="NZL37" s="926"/>
      <c r="NZM37" s="926"/>
      <c r="NZN37" s="926"/>
      <c r="NZO37" s="926"/>
      <c r="NZP37" s="926"/>
      <c r="NZQ37" s="926"/>
      <c r="NZR37" s="926"/>
      <c r="NZS37" s="926"/>
      <c r="NZT37" s="926"/>
      <c r="NZU37" s="926"/>
      <c r="NZV37" s="926"/>
      <c r="NZW37" s="926"/>
      <c r="NZX37" s="926"/>
      <c r="NZY37" s="926"/>
      <c r="NZZ37" s="926"/>
      <c r="OAA37" s="926"/>
      <c r="OAB37" s="926"/>
      <c r="OAC37" s="926"/>
      <c r="OAD37" s="926"/>
      <c r="OAE37" s="926"/>
      <c r="OAF37" s="926"/>
      <c r="OAG37" s="926"/>
      <c r="OAH37" s="926"/>
      <c r="OAI37" s="926"/>
      <c r="OAJ37" s="926"/>
      <c r="OAK37" s="926"/>
      <c r="OAL37" s="926"/>
      <c r="OAM37" s="926"/>
      <c r="OAN37" s="926"/>
      <c r="OAO37" s="926"/>
      <c r="OAP37" s="926"/>
      <c r="OAQ37" s="926"/>
      <c r="OAR37" s="926"/>
      <c r="OAS37" s="926"/>
      <c r="OAT37" s="926"/>
      <c r="OAU37" s="926"/>
      <c r="OAV37" s="926"/>
      <c r="OAW37" s="926"/>
      <c r="OAX37" s="926"/>
      <c r="OAY37" s="926"/>
      <c r="OAZ37" s="926"/>
      <c r="OBA37" s="926"/>
      <c r="OBB37" s="926"/>
      <c r="OBC37" s="926"/>
      <c r="OBD37" s="926"/>
      <c r="OBE37" s="926"/>
      <c r="OBF37" s="926"/>
      <c r="OBG37" s="926"/>
      <c r="OBH37" s="926"/>
      <c r="OBI37" s="926"/>
      <c r="OBJ37" s="926"/>
      <c r="OBK37" s="926"/>
      <c r="OBL37" s="926"/>
      <c r="OBM37" s="926"/>
      <c r="OBN37" s="926"/>
      <c r="OBO37" s="926"/>
      <c r="OBP37" s="926"/>
      <c r="OBQ37" s="926"/>
      <c r="OBR37" s="926"/>
      <c r="OBS37" s="926"/>
      <c r="OBT37" s="926"/>
      <c r="OBU37" s="926"/>
      <c r="OBV37" s="926"/>
      <c r="OBW37" s="926"/>
      <c r="OBX37" s="926"/>
      <c r="OBY37" s="926"/>
      <c r="OBZ37" s="926"/>
      <c r="OCA37" s="926"/>
      <c r="OCB37" s="926"/>
      <c r="OCC37" s="926"/>
      <c r="OCD37" s="926"/>
      <c r="OCE37" s="926"/>
      <c r="OCF37" s="926"/>
      <c r="OCG37" s="926"/>
      <c r="OCH37" s="926"/>
      <c r="OCI37" s="926"/>
      <c r="OCJ37" s="926"/>
      <c r="OCK37" s="926"/>
      <c r="OCL37" s="926"/>
      <c r="OCM37" s="926"/>
      <c r="OCN37" s="926"/>
      <c r="OCO37" s="926"/>
      <c r="OCP37" s="926"/>
      <c r="OCQ37" s="926"/>
      <c r="OCR37" s="926"/>
      <c r="OCS37" s="926"/>
      <c r="OCT37" s="926"/>
      <c r="OCU37" s="926"/>
      <c r="OCV37" s="926"/>
      <c r="OCW37" s="926"/>
      <c r="OCX37" s="926"/>
      <c r="OCY37" s="926"/>
      <c r="OCZ37" s="926"/>
      <c r="ODA37" s="926"/>
      <c r="ODB37" s="926"/>
      <c r="ODC37" s="926"/>
      <c r="ODD37" s="926"/>
      <c r="ODE37" s="926"/>
      <c r="ODF37" s="926"/>
      <c r="ODG37" s="926"/>
      <c r="ODH37" s="926"/>
      <c r="ODI37" s="926"/>
      <c r="ODJ37" s="926"/>
      <c r="ODK37" s="926"/>
      <c r="ODL37" s="926"/>
      <c r="ODM37" s="926"/>
      <c r="ODN37" s="926"/>
      <c r="ODO37" s="926"/>
      <c r="ODP37" s="926"/>
      <c r="ODQ37" s="926"/>
      <c r="ODR37" s="926"/>
      <c r="ODS37" s="926"/>
      <c r="ODT37" s="926"/>
      <c r="ODU37" s="926"/>
      <c r="ODV37" s="926"/>
      <c r="ODW37" s="926"/>
      <c r="ODX37" s="926"/>
      <c r="ODY37" s="926"/>
      <c r="ODZ37" s="926"/>
      <c r="OEA37" s="926"/>
      <c r="OEB37" s="926"/>
      <c r="OEC37" s="926"/>
      <c r="OED37" s="926"/>
      <c r="OEE37" s="926"/>
      <c r="OEF37" s="926"/>
      <c r="OEG37" s="926"/>
      <c r="OEH37" s="926"/>
      <c r="OEI37" s="926"/>
      <c r="OEJ37" s="926"/>
      <c r="OEK37" s="926"/>
      <c r="OEL37" s="926"/>
      <c r="OEM37" s="926"/>
      <c r="OEN37" s="926"/>
      <c r="OEO37" s="926"/>
      <c r="OEP37" s="926"/>
      <c r="OEQ37" s="926"/>
      <c r="OER37" s="926"/>
      <c r="OES37" s="926"/>
      <c r="OET37" s="926"/>
      <c r="OEU37" s="926"/>
      <c r="OEV37" s="926"/>
      <c r="OEW37" s="926"/>
      <c r="OEX37" s="926"/>
      <c r="OEY37" s="926"/>
      <c r="OEZ37" s="926"/>
      <c r="OFA37" s="926"/>
      <c r="OFB37" s="926"/>
      <c r="OFC37" s="926"/>
      <c r="OFD37" s="926"/>
      <c r="OFE37" s="926"/>
      <c r="OFF37" s="926"/>
      <c r="OFG37" s="926"/>
      <c r="OFH37" s="926"/>
      <c r="OFI37" s="926"/>
      <c r="OFJ37" s="926"/>
      <c r="OFK37" s="926"/>
      <c r="OFL37" s="926"/>
      <c r="OFM37" s="926"/>
      <c r="OFN37" s="926"/>
      <c r="OFO37" s="926"/>
      <c r="OFP37" s="926"/>
      <c r="OFQ37" s="926"/>
      <c r="OFR37" s="926"/>
      <c r="OFS37" s="926"/>
      <c r="OFT37" s="926"/>
      <c r="OFU37" s="926"/>
      <c r="OFV37" s="926"/>
      <c r="OFW37" s="926"/>
      <c r="OFX37" s="926"/>
      <c r="OFY37" s="926"/>
      <c r="OFZ37" s="926"/>
      <c r="OGA37" s="926"/>
      <c r="OGB37" s="926"/>
      <c r="OGC37" s="926"/>
      <c r="OGD37" s="926"/>
      <c r="OGE37" s="926"/>
      <c r="OGF37" s="926"/>
      <c r="OGG37" s="926"/>
      <c r="OGH37" s="926"/>
      <c r="OGI37" s="926"/>
      <c r="OGJ37" s="926"/>
      <c r="OGK37" s="926"/>
      <c r="OGL37" s="926"/>
      <c r="OGM37" s="926"/>
      <c r="OGN37" s="926"/>
      <c r="OGO37" s="926"/>
      <c r="OGP37" s="926"/>
      <c r="OGQ37" s="926"/>
      <c r="OGR37" s="926"/>
      <c r="OGS37" s="926"/>
      <c r="OGT37" s="926"/>
      <c r="OGU37" s="926"/>
      <c r="OGV37" s="926"/>
      <c r="OGW37" s="926"/>
      <c r="OGX37" s="926"/>
      <c r="OGY37" s="926"/>
      <c r="OGZ37" s="926"/>
      <c r="OHA37" s="926"/>
      <c r="OHB37" s="926"/>
      <c r="OHC37" s="926"/>
      <c r="OHD37" s="926"/>
      <c r="OHE37" s="926"/>
      <c r="OHF37" s="926"/>
      <c r="OHG37" s="926"/>
      <c r="OHH37" s="926"/>
      <c r="OHI37" s="926"/>
      <c r="OHJ37" s="926"/>
      <c r="OHK37" s="926"/>
      <c r="OHL37" s="926"/>
      <c r="OHM37" s="926"/>
      <c r="OHN37" s="926"/>
      <c r="OHO37" s="926"/>
      <c r="OHP37" s="926"/>
      <c r="OHQ37" s="926"/>
      <c r="OHR37" s="926"/>
      <c r="OHS37" s="926"/>
      <c r="OHT37" s="926"/>
      <c r="OHU37" s="926"/>
      <c r="OHV37" s="926"/>
      <c r="OHW37" s="926"/>
      <c r="OHX37" s="926"/>
      <c r="OHY37" s="926"/>
      <c r="OHZ37" s="926"/>
      <c r="OIA37" s="926"/>
      <c r="OIB37" s="926"/>
      <c r="OIC37" s="926"/>
      <c r="OID37" s="926"/>
      <c r="OIE37" s="926"/>
      <c r="OIF37" s="926"/>
      <c r="OIG37" s="926"/>
      <c r="OIH37" s="926"/>
      <c r="OII37" s="926"/>
      <c r="OIJ37" s="926"/>
      <c r="OIK37" s="926"/>
      <c r="OIL37" s="926"/>
      <c r="OIM37" s="926"/>
      <c r="OIN37" s="926"/>
      <c r="OIO37" s="926"/>
      <c r="OIP37" s="926"/>
      <c r="OIQ37" s="926"/>
      <c r="OIR37" s="926"/>
      <c r="OIS37" s="926"/>
      <c r="OIT37" s="926"/>
      <c r="OIU37" s="926"/>
      <c r="OIV37" s="926"/>
      <c r="OIW37" s="926"/>
      <c r="OIX37" s="926"/>
      <c r="OIY37" s="926"/>
      <c r="OIZ37" s="926"/>
      <c r="OJA37" s="926"/>
      <c r="OJB37" s="926"/>
      <c r="OJC37" s="926"/>
      <c r="OJD37" s="926"/>
      <c r="OJE37" s="926"/>
      <c r="OJF37" s="926"/>
      <c r="OJG37" s="926"/>
      <c r="OJH37" s="926"/>
      <c r="OJI37" s="926"/>
      <c r="OJJ37" s="926"/>
      <c r="OJK37" s="926"/>
      <c r="OJL37" s="926"/>
      <c r="OJM37" s="926"/>
      <c r="OJN37" s="926"/>
      <c r="OJO37" s="926"/>
      <c r="OJP37" s="926"/>
      <c r="OJQ37" s="926"/>
      <c r="OJR37" s="926"/>
      <c r="OJS37" s="926"/>
      <c r="OJT37" s="926"/>
      <c r="OJU37" s="926"/>
      <c r="OJV37" s="926"/>
      <c r="OJW37" s="926"/>
      <c r="OJX37" s="926"/>
      <c r="OJY37" s="926"/>
      <c r="OJZ37" s="926"/>
      <c r="OKA37" s="926"/>
      <c r="OKB37" s="926"/>
      <c r="OKC37" s="926"/>
      <c r="OKD37" s="926"/>
      <c r="OKE37" s="926"/>
      <c r="OKF37" s="926"/>
      <c r="OKG37" s="926"/>
      <c r="OKH37" s="926"/>
      <c r="OKI37" s="926"/>
      <c r="OKJ37" s="926"/>
      <c r="OKK37" s="926"/>
      <c r="OKL37" s="926"/>
      <c r="OKM37" s="926"/>
      <c r="OKN37" s="926"/>
      <c r="OKO37" s="926"/>
      <c r="OKP37" s="926"/>
      <c r="OKQ37" s="926"/>
      <c r="OKR37" s="926"/>
      <c r="OKS37" s="926"/>
      <c r="OKT37" s="926"/>
      <c r="OKU37" s="926"/>
      <c r="OKV37" s="926"/>
      <c r="OKW37" s="926"/>
      <c r="OKX37" s="926"/>
      <c r="OKY37" s="926"/>
      <c r="OKZ37" s="926"/>
      <c r="OLA37" s="926"/>
      <c r="OLB37" s="926"/>
      <c r="OLC37" s="926"/>
      <c r="OLD37" s="926"/>
      <c r="OLE37" s="926"/>
      <c r="OLF37" s="926"/>
      <c r="OLG37" s="926"/>
      <c r="OLH37" s="926"/>
      <c r="OLI37" s="926"/>
      <c r="OLJ37" s="926"/>
      <c r="OLK37" s="926"/>
      <c r="OLL37" s="926"/>
      <c r="OLM37" s="926"/>
      <c r="OLN37" s="926"/>
      <c r="OLO37" s="926"/>
      <c r="OLP37" s="926"/>
      <c r="OLQ37" s="926"/>
      <c r="OLR37" s="926"/>
      <c r="OLS37" s="926"/>
      <c r="OLT37" s="926"/>
      <c r="OLU37" s="926"/>
      <c r="OLV37" s="926"/>
      <c r="OLW37" s="926"/>
      <c r="OLX37" s="926"/>
      <c r="OLY37" s="926"/>
      <c r="OLZ37" s="926"/>
      <c r="OMA37" s="926"/>
      <c r="OMB37" s="926"/>
      <c r="OMC37" s="926"/>
      <c r="OMD37" s="926"/>
      <c r="OME37" s="926"/>
      <c r="OMF37" s="926"/>
      <c r="OMG37" s="926"/>
      <c r="OMH37" s="926"/>
      <c r="OMI37" s="926"/>
      <c r="OMJ37" s="926"/>
      <c r="OMK37" s="926"/>
      <c r="OML37" s="926"/>
      <c r="OMM37" s="926"/>
      <c r="OMN37" s="926"/>
      <c r="OMO37" s="926"/>
      <c r="OMP37" s="926"/>
      <c r="OMQ37" s="926"/>
      <c r="OMR37" s="926"/>
      <c r="OMS37" s="926"/>
      <c r="OMT37" s="926"/>
      <c r="OMU37" s="926"/>
      <c r="OMV37" s="926"/>
      <c r="OMW37" s="926"/>
      <c r="OMX37" s="926"/>
      <c r="OMY37" s="926"/>
      <c r="OMZ37" s="926"/>
      <c r="ONA37" s="926"/>
      <c r="ONB37" s="926"/>
      <c r="ONC37" s="926"/>
      <c r="OND37" s="926"/>
      <c r="ONE37" s="926"/>
      <c r="ONF37" s="926"/>
      <c r="ONG37" s="926"/>
      <c r="ONH37" s="926"/>
      <c r="ONI37" s="926"/>
      <c r="ONJ37" s="926"/>
      <c r="ONK37" s="926"/>
      <c r="ONL37" s="926"/>
      <c r="ONM37" s="926"/>
      <c r="ONN37" s="926"/>
      <c r="ONO37" s="926"/>
      <c r="ONP37" s="926"/>
      <c r="ONQ37" s="926"/>
      <c r="ONR37" s="926"/>
      <c r="ONS37" s="926"/>
      <c r="ONT37" s="926"/>
      <c r="ONU37" s="926"/>
      <c r="ONV37" s="926"/>
      <c r="ONW37" s="926"/>
      <c r="ONX37" s="926"/>
      <c r="ONY37" s="926"/>
      <c r="ONZ37" s="926"/>
      <c r="OOA37" s="926"/>
      <c r="OOB37" s="926"/>
      <c r="OOC37" s="926"/>
      <c r="OOD37" s="926"/>
      <c r="OOE37" s="926"/>
      <c r="OOF37" s="926"/>
      <c r="OOG37" s="926"/>
      <c r="OOH37" s="926"/>
      <c r="OOI37" s="926"/>
      <c r="OOJ37" s="926"/>
      <c r="OOK37" s="926"/>
      <c r="OOL37" s="926"/>
      <c r="OOM37" s="926"/>
      <c r="OON37" s="926"/>
      <c r="OOO37" s="926"/>
      <c r="OOP37" s="926"/>
      <c r="OOQ37" s="926"/>
      <c r="OOR37" s="926"/>
      <c r="OOS37" s="926"/>
      <c r="OOT37" s="926"/>
      <c r="OOU37" s="926"/>
      <c r="OOV37" s="926"/>
      <c r="OOW37" s="926"/>
      <c r="OOX37" s="926"/>
      <c r="OOY37" s="926"/>
      <c r="OOZ37" s="926"/>
      <c r="OPA37" s="926"/>
      <c r="OPB37" s="926"/>
      <c r="OPC37" s="926"/>
      <c r="OPD37" s="926"/>
      <c r="OPE37" s="926"/>
      <c r="OPF37" s="926"/>
      <c r="OPG37" s="926"/>
      <c r="OPH37" s="926"/>
      <c r="OPI37" s="926"/>
      <c r="OPJ37" s="926"/>
      <c r="OPK37" s="926"/>
      <c r="OPL37" s="926"/>
      <c r="OPM37" s="926"/>
      <c r="OPN37" s="926"/>
      <c r="OPO37" s="926"/>
      <c r="OPP37" s="926"/>
      <c r="OPQ37" s="926"/>
      <c r="OPR37" s="926"/>
      <c r="OPS37" s="926"/>
      <c r="OPT37" s="926"/>
      <c r="OPU37" s="926"/>
      <c r="OPV37" s="926"/>
      <c r="OPW37" s="926"/>
      <c r="OPX37" s="926"/>
      <c r="OPY37" s="926"/>
      <c r="OPZ37" s="926"/>
      <c r="OQA37" s="926"/>
      <c r="OQB37" s="926"/>
      <c r="OQC37" s="926"/>
      <c r="OQD37" s="926"/>
      <c r="OQE37" s="926"/>
      <c r="OQF37" s="926"/>
      <c r="OQG37" s="926"/>
      <c r="OQH37" s="926"/>
      <c r="OQI37" s="926"/>
      <c r="OQJ37" s="926"/>
      <c r="OQK37" s="926"/>
      <c r="OQL37" s="926"/>
      <c r="OQM37" s="926"/>
      <c r="OQN37" s="926"/>
      <c r="OQO37" s="926"/>
      <c r="OQP37" s="926"/>
      <c r="OQQ37" s="926"/>
      <c r="OQR37" s="926"/>
      <c r="OQS37" s="926"/>
      <c r="OQT37" s="926"/>
      <c r="OQU37" s="926"/>
      <c r="OQV37" s="926"/>
      <c r="OQW37" s="926"/>
      <c r="OQX37" s="926"/>
      <c r="OQY37" s="926"/>
      <c r="OQZ37" s="926"/>
      <c r="ORA37" s="926"/>
      <c r="ORB37" s="926"/>
      <c r="ORC37" s="926"/>
      <c r="ORD37" s="926"/>
      <c r="ORE37" s="926"/>
      <c r="ORF37" s="926"/>
      <c r="ORG37" s="926"/>
      <c r="ORH37" s="926"/>
      <c r="ORI37" s="926"/>
      <c r="ORJ37" s="926"/>
      <c r="ORK37" s="926"/>
      <c r="ORL37" s="926"/>
      <c r="ORM37" s="926"/>
      <c r="ORN37" s="926"/>
      <c r="ORO37" s="926"/>
      <c r="ORP37" s="926"/>
      <c r="ORQ37" s="926"/>
      <c r="ORR37" s="926"/>
      <c r="ORS37" s="926"/>
      <c r="ORT37" s="926"/>
      <c r="ORU37" s="926"/>
      <c r="ORV37" s="926"/>
      <c r="ORW37" s="926"/>
      <c r="ORX37" s="926"/>
      <c r="ORY37" s="926"/>
      <c r="ORZ37" s="926"/>
      <c r="OSA37" s="926"/>
      <c r="OSB37" s="926"/>
      <c r="OSC37" s="926"/>
      <c r="OSD37" s="926"/>
      <c r="OSE37" s="926"/>
      <c r="OSF37" s="926"/>
      <c r="OSG37" s="926"/>
      <c r="OSH37" s="926"/>
      <c r="OSI37" s="926"/>
      <c r="OSJ37" s="926"/>
      <c r="OSK37" s="926"/>
      <c r="OSL37" s="926"/>
      <c r="OSM37" s="926"/>
      <c r="OSN37" s="926"/>
      <c r="OSO37" s="926"/>
      <c r="OSP37" s="926"/>
      <c r="OSQ37" s="926"/>
      <c r="OSR37" s="926"/>
      <c r="OSS37" s="926"/>
      <c r="OST37" s="926"/>
      <c r="OSU37" s="926"/>
      <c r="OSV37" s="926"/>
      <c r="OSW37" s="926"/>
      <c r="OSX37" s="926"/>
      <c r="OSY37" s="926"/>
      <c r="OSZ37" s="926"/>
      <c r="OTA37" s="926"/>
      <c r="OTB37" s="926"/>
      <c r="OTC37" s="926"/>
      <c r="OTD37" s="926"/>
      <c r="OTE37" s="926"/>
      <c r="OTF37" s="926"/>
      <c r="OTG37" s="926"/>
      <c r="OTH37" s="926"/>
      <c r="OTI37" s="926"/>
      <c r="OTJ37" s="926"/>
      <c r="OTK37" s="926"/>
      <c r="OTL37" s="926"/>
      <c r="OTM37" s="926"/>
      <c r="OTN37" s="926"/>
      <c r="OTO37" s="926"/>
      <c r="OTP37" s="926"/>
      <c r="OTQ37" s="926"/>
      <c r="OTR37" s="926"/>
      <c r="OTS37" s="926"/>
      <c r="OTT37" s="926"/>
      <c r="OTU37" s="926"/>
      <c r="OTV37" s="926"/>
      <c r="OTW37" s="926"/>
      <c r="OTX37" s="926"/>
      <c r="OTY37" s="926"/>
      <c r="OTZ37" s="926"/>
      <c r="OUA37" s="926"/>
      <c r="OUB37" s="926"/>
      <c r="OUC37" s="926"/>
      <c r="OUD37" s="926"/>
      <c r="OUE37" s="926"/>
      <c r="OUF37" s="926"/>
      <c r="OUG37" s="926"/>
      <c r="OUH37" s="926"/>
      <c r="OUI37" s="926"/>
      <c r="OUJ37" s="926"/>
      <c r="OUK37" s="926"/>
      <c r="OUL37" s="926"/>
      <c r="OUM37" s="926"/>
      <c r="OUN37" s="926"/>
      <c r="OUO37" s="926"/>
      <c r="OUP37" s="926"/>
      <c r="OUQ37" s="926"/>
      <c r="OUR37" s="926"/>
      <c r="OUS37" s="926"/>
      <c r="OUT37" s="926"/>
      <c r="OUU37" s="926"/>
      <c r="OUV37" s="926"/>
      <c r="OUW37" s="926"/>
      <c r="OUX37" s="926"/>
      <c r="OUY37" s="926"/>
      <c r="OUZ37" s="926"/>
      <c r="OVA37" s="926"/>
      <c r="OVB37" s="926"/>
      <c r="OVC37" s="926"/>
      <c r="OVD37" s="926"/>
      <c r="OVE37" s="926"/>
      <c r="OVF37" s="926"/>
      <c r="OVG37" s="926"/>
      <c r="OVH37" s="926"/>
      <c r="OVI37" s="926"/>
      <c r="OVJ37" s="926"/>
      <c r="OVK37" s="926"/>
      <c r="OVL37" s="926"/>
      <c r="OVM37" s="926"/>
      <c r="OVN37" s="926"/>
      <c r="OVO37" s="926"/>
      <c r="OVP37" s="926"/>
      <c r="OVQ37" s="926"/>
      <c r="OVR37" s="926"/>
      <c r="OVS37" s="926"/>
      <c r="OVT37" s="926"/>
      <c r="OVU37" s="926"/>
      <c r="OVV37" s="926"/>
      <c r="OVW37" s="926"/>
      <c r="OVX37" s="926"/>
      <c r="OVY37" s="926"/>
      <c r="OVZ37" s="926"/>
      <c r="OWA37" s="926"/>
      <c r="OWB37" s="926"/>
      <c r="OWC37" s="926"/>
      <c r="OWD37" s="926"/>
      <c r="OWE37" s="926"/>
      <c r="OWF37" s="926"/>
      <c r="OWG37" s="926"/>
      <c r="OWH37" s="926"/>
      <c r="OWI37" s="926"/>
      <c r="OWJ37" s="926"/>
      <c r="OWK37" s="926"/>
      <c r="OWL37" s="926"/>
      <c r="OWM37" s="926"/>
      <c r="OWN37" s="926"/>
      <c r="OWO37" s="926"/>
      <c r="OWP37" s="926"/>
      <c r="OWQ37" s="926"/>
      <c r="OWR37" s="926"/>
      <c r="OWS37" s="926"/>
      <c r="OWT37" s="926"/>
      <c r="OWU37" s="926"/>
      <c r="OWV37" s="926"/>
      <c r="OWW37" s="926"/>
      <c r="OWX37" s="926"/>
      <c r="OWY37" s="926"/>
      <c r="OWZ37" s="926"/>
      <c r="OXA37" s="926"/>
      <c r="OXB37" s="926"/>
      <c r="OXC37" s="926"/>
      <c r="OXD37" s="926"/>
      <c r="OXE37" s="926"/>
      <c r="OXF37" s="926"/>
      <c r="OXG37" s="926"/>
      <c r="OXH37" s="926"/>
      <c r="OXI37" s="926"/>
      <c r="OXJ37" s="926"/>
      <c r="OXK37" s="926"/>
      <c r="OXL37" s="926"/>
      <c r="OXM37" s="926"/>
      <c r="OXN37" s="926"/>
      <c r="OXO37" s="926"/>
      <c r="OXP37" s="926"/>
      <c r="OXQ37" s="926"/>
      <c r="OXR37" s="926"/>
      <c r="OXS37" s="926"/>
      <c r="OXT37" s="926"/>
      <c r="OXU37" s="926"/>
      <c r="OXV37" s="926"/>
      <c r="OXW37" s="926"/>
      <c r="OXX37" s="926"/>
      <c r="OXY37" s="926"/>
      <c r="OXZ37" s="926"/>
      <c r="OYA37" s="926"/>
      <c r="OYB37" s="926"/>
      <c r="OYC37" s="926"/>
      <c r="OYD37" s="926"/>
      <c r="OYE37" s="926"/>
      <c r="OYF37" s="926"/>
      <c r="OYG37" s="926"/>
      <c r="OYH37" s="926"/>
      <c r="OYI37" s="926"/>
      <c r="OYJ37" s="926"/>
      <c r="OYK37" s="926"/>
      <c r="OYL37" s="926"/>
      <c r="OYM37" s="926"/>
      <c r="OYN37" s="926"/>
      <c r="OYO37" s="926"/>
      <c r="OYP37" s="926"/>
      <c r="OYQ37" s="926"/>
      <c r="OYR37" s="926"/>
      <c r="OYS37" s="926"/>
      <c r="OYT37" s="926"/>
      <c r="OYU37" s="926"/>
      <c r="OYV37" s="926"/>
      <c r="OYW37" s="926"/>
      <c r="OYX37" s="926"/>
      <c r="OYY37" s="926"/>
      <c r="OYZ37" s="926"/>
      <c r="OZA37" s="926"/>
      <c r="OZB37" s="926"/>
      <c r="OZC37" s="926"/>
      <c r="OZD37" s="926"/>
      <c r="OZE37" s="926"/>
      <c r="OZF37" s="926"/>
      <c r="OZG37" s="926"/>
      <c r="OZH37" s="926"/>
      <c r="OZI37" s="926"/>
      <c r="OZJ37" s="926"/>
      <c r="OZK37" s="926"/>
      <c r="OZL37" s="926"/>
      <c r="OZM37" s="926"/>
      <c r="OZN37" s="926"/>
      <c r="OZO37" s="926"/>
      <c r="OZP37" s="926"/>
      <c r="OZQ37" s="926"/>
      <c r="OZR37" s="926"/>
      <c r="OZS37" s="926"/>
      <c r="OZT37" s="926"/>
      <c r="OZU37" s="926"/>
      <c r="OZV37" s="926"/>
      <c r="OZW37" s="926"/>
      <c r="OZX37" s="926"/>
      <c r="OZY37" s="926"/>
      <c r="OZZ37" s="926"/>
      <c r="PAA37" s="926"/>
      <c r="PAB37" s="926"/>
      <c r="PAC37" s="926"/>
      <c r="PAD37" s="926"/>
      <c r="PAE37" s="926"/>
      <c r="PAF37" s="926"/>
      <c r="PAG37" s="926"/>
      <c r="PAH37" s="926"/>
      <c r="PAI37" s="926"/>
      <c r="PAJ37" s="926"/>
      <c r="PAK37" s="926"/>
      <c r="PAL37" s="926"/>
      <c r="PAM37" s="926"/>
      <c r="PAN37" s="926"/>
      <c r="PAO37" s="926"/>
      <c r="PAP37" s="926"/>
      <c r="PAQ37" s="926"/>
      <c r="PAR37" s="926"/>
      <c r="PAS37" s="926"/>
      <c r="PAT37" s="926"/>
      <c r="PAU37" s="926"/>
      <c r="PAV37" s="926"/>
      <c r="PAW37" s="926"/>
      <c r="PAX37" s="926"/>
      <c r="PAY37" s="926"/>
      <c r="PAZ37" s="926"/>
      <c r="PBA37" s="926"/>
      <c r="PBB37" s="926"/>
      <c r="PBC37" s="926"/>
      <c r="PBD37" s="926"/>
      <c r="PBE37" s="926"/>
      <c r="PBF37" s="926"/>
      <c r="PBG37" s="926"/>
      <c r="PBH37" s="926"/>
      <c r="PBI37" s="926"/>
      <c r="PBJ37" s="926"/>
      <c r="PBK37" s="926"/>
      <c r="PBL37" s="926"/>
      <c r="PBM37" s="926"/>
      <c r="PBN37" s="926"/>
      <c r="PBO37" s="926"/>
      <c r="PBP37" s="926"/>
      <c r="PBQ37" s="926"/>
      <c r="PBR37" s="926"/>
      <c r="PBS37" s="926"/>
      <c r="PBT37" s="926"/>
      <c r="PBU37" s="926"/>
      <c r="PBV37" s="926"/>
      <c r="PBW37" s="926"/>
      <c r="PBX37" s="926"/>
      <c r="PBY37" s="926"/>
      <c r="PBZ37" s="926"/>
      <c r="PCA37" s="926"/>
      <c r="PCB37" s="926"/>
      <c r="PCC37" s="926"/>
      <c r="PCD37" s="926"/>
      <c r="PCE37" s="926"/>
      <c r="PCF37" s="926"/>
      <c r="PCG37" s="926"/>
      <c r="PCH37" s="926"/>
      <c r="PCI37" s="926"/>
      <c r="PCJ37" s="926"/>
      <c r="PCK37" s="926"/>
      <c r="PCL37" s="926"/>
      <c r="PCM37" s="926"/>
      <c r="PCN37" s="926"/>
      <c r="PCO37" s="926"/>
      <c r="PCP37" s="926"/>
      <c r="PCQ37" s="926"/>
      <c r="PCR37" s="926"/>
      <c r="PCS37" s="926"/>
      <c r="PCT37" s="926"/>
      <c r="PCU37" s="926"/>
      <c r="PCV37" s="926"/>
      <c r="PCW37" s="926"/>
      <c r="PCX37" s="926"/>
      <c r="PCY37" s="926"/>
      <c r="PCZ37" s="926"/>
      <c r="PDA37" s="926"/>
      <c r="PDB37" s="926"/>
      <c r="PDC37" s="926"/>
      <c r="PDD37" s="926"/>
      <c r="PDE37" s="926"/>
      <c r="PDF37" s="926"/>
      <c r="PDG37" s="926"/>
      <c r="PDH37" s="926"/>
      <c r="PDI37" s="926"/>
      <c r="PDJ37" s="926"/>
      <c r="PDK37" s="926"/>
      <c r="PDL37" s="926"/>
      <c r="PDM37" s="926"/>
      <c r="PDN37" s="926"/>
      <c r="PDO37" s="926"/>
      <c r="PDP37" s="926"/>
      <c r="PDQ37" s="926"/>
      <c r="PDR37" s="926"/>
      <c r="PDS37" s="926"/>
      <c r="PDT37" s="926"/>
      <c r="PDU37" s="926"/>
      <c r="PDV37" s="926"/>
      <c r="PDW37" s="926"/>
      <c r="PDX37" s="926"/>
      <c r="PDY37" s="926"/>
      <c r="PDZ37" s="926"/>
      <c r="PEA37" s="926"/>
      <c r="PEB37" s="926"/>
      <c r="PEC37" s="926"/>
      <c r="PED37" s="926"/>
      <c r="PEE37" s="926"/>
      <c r="PEF37" s="926"/>
      <c r="PEG37" s="926"/>
      <c r="PEH37" s="926"/>
      <c r="PEI37" s="926"/>
      <c r="PEJ37" s="926"/>
      <c r="PEK37" s="926"/>
      <c r="PEL37" s="926"/>
      <c r="PEM37" s="926"/>
      <c r="PEN37" s="926"/>
      <c r="PEO37" s="926"/>
      <c r="PEP37" s="926"/>
      <c r="PEQ37" s="926"/>
      <c r="PER37" s="926"/>
      <c r="PES37" s="926"/>
      <c r="PET37" s="926"/>
      <c r="PEU37" s="926"/>
      <c r="PEV37" s="926"/>
      <c r="PEW37" s="926"/>
      <c r="PEX37" s="926"/>
      <c r="PEY37" s="926"/>
      <c r="PEZ37" s="926"/>
      <c r="PFA37" s="926"/>
      <c r="PFB37" s="926"/>
      <c r="PFC37" s="926"/>
      <c r="PFD37" s="926"/>
      <c r="PFE37" s="926"/>
      <c r="PFF37" s="926"/>
      <c r="PFG37" s="926"/>
      <c r="PFH37" s="926"/>
      <c r="PFI37" s="926"/>
      <c r="PFJ37" s="926"/>
      <c r="PFK37" s="926"/>
      <c r="PFL37" s="926"/>
      <c r="PFM37" s="926"/>
      <c r="PFN37" s="926"/>
      <c r="PFO37" s="926"/>
      <c r="PFP37" s="926"/>
      <c r="PFQ37" s="926"/>
      <c r="PFR37" s="926"/>
      <c r="PFS37" s="926"/>
      <c r="PFT37" s="926"/>
      <c r="PFU37" s="926"/>
      <c r="PFV37" s="926"/>
      <c r="PFW37" s="926"/>
      <c r="PFX37" s="926"/>
      <c r="PFY37" s="926"/>
      <c r="PFZ37" s="926"/>
      <c r="PGA37" s="926"/>
      <c r="PGB37" s="926"/>
      <c r="PGC37" s="926"/>
      <c r="PGD37" s="926"/>
      <c r="PGE37" s="926"/>
      <c r="PGF37" s="926"/>
      <c r="PGG37" s="926"/>
      <c r="PGH37" s="926"/>
      <c r="PGI37" s="926"/>
      <c r="PGJ37" s="926"/>
      <c r="PGK37" s="926"/>
      <c r="PGL37" s="926"/>
      <c r="PGM37" s="926"/>
      <c r="PGN37" s="926"/>
      <c r="PGO37" s="926"/>
      <c r="PGP37" s="926"/>
      <c r="PGQ37" s="926"/>
      <c r="PGR37" s="926"/>
      <c r="PGS37" s="926"/>
      <c r="PGT37" s="926"/>
      <c r="PGU37" s="926"/>
      <c r="PGV37" s="926"/>
      <c r="PGW37" s="926"/>
      <c r="PGX37" s="926"/>
      <c r="PGY37" s="926"/>
      <c r="PGZ37" s="926"/>
      <c r="PHA37" s="926"/>
      <c r="PHB37" s="926"/>
      <c r="PHC37" s="926"/>
      <c r="PHD37" s="926"/>
      <c r="PHE37" s="926"/>
      <c r="PHF37" s="926"/>
      <c r="PHG37" s="926"/>
      <c r="PHH37" s="926"/>
      <c r="PHI37" s="926"/>
      <c r="PHJ37" s="926"/>
      <c r="PHK37" s="926"/>
      <c r="PHL37" s="926"/>
      <c r="PHM37" s="926"/>
      <c r="PHN37" s="926"/>
      <c r="PHO37" s="926"/>
      <c r="PHP37" s="926"/>
      <c r="PHQ37" s="926"/>
      <c r="PHR37" s="926"/>
      <c r="PHS37" s="926"/>
      <c r="PHT37" s="926"/>
      <c r="PHU37" s="926"/>
      <c r="PHV37" s="926"/>
      <c r="PHW37" s="926"/>
      <c r="PHX37" s="926"/>
      <c r="PHY37" s="926"/>
      <c r="PHZ37" s="926"/>
      <c r="PIA37" s="926"/>
      <c r="PIB37" s="926"/>
      <c r="PIC37" s="926"/>
      <c r="PID37" s="926"/>
      <c r="PIE37" s="926"/>
      <c r="PIF37" s="926"/>
      <c r="PIG37" s="926"/>
      <c r="PIH37" s="926"/>
      <c r="PII37" s="926"/>
      <c r="PIJ37" s="926"/>
      <c r="PIK37" s="926"/>
      <c r="PIL37" s="926"/>
      <c r="PIM37" s="926"/>
      <c r="PIN37" s="926"/>
      <c r="PIO37" s="926"/>
      <c r="PIP37" s="926"/>
      <c r="PIQ37" s="926"/>
      <c r="PIR37" s="926"/>
      <c r="PIS37" s="926"/>
      <c r="PIT37" s="926"/>
      <c r="PIU37" s="926"/>
      <c r="PIV37" s="926"/>
      <c r="PIW37" s="926"/>
      <c r="PIX37" s="926"/>
      <c r="PIY37" s="926"/>
      <c r="PIZ37" s="926"/>
      <c r="PJA37" s="926"/>
      <c r="PJB37" s="926"/>
      <c r="PJC37" s="926"/>
      <c r="PJD37" s="926"/>
      <c r="PJE37" s="926"/>
      <c r="PJF37" s="926"/>
      <c r="PJG37" s="926"/>
      <c r="PJH37" s="926"/>
      <c r="PJI37" s="926"/>
      <c r="PJJ37" s="926"/>
      <c r="PJK37" s="926"/>
      <c r="PJL37" s="926"/>
      <c r="PJM37" s="926"/>
      <c r="PJN37" s="926"/>
      <c r="PJO37" s="926"/>
      <c r="PJP37" s="926"/>
      <c r="PJQ37" s="926"/>
      <c r="PJR37" s="926"/>
      <c r="PJS37" s="926"/>
      <c r="PJT37" s="926"/>
      <c r="PJU37" s="926"/>
      <c r="PJV37" s="926"/>
      <c r="PJW37" s="926"/>
      <c r="PJX37" s="926"/>
      <c r="PJY37" s="926"/>
      <c r="PJZ37" s="926"/>
      <c r="PKA37" s="926"/>
      <c r="PKB37" s="926"/>
      <c r="PKC37" s="926"/>
      <c r="PKD37" s="926"/>
      <c r="PKE37" s="926"/>
      <c r="PKF37" s="926"/>
      <c r="PKG37" s="926"/>
      <c r="PKH37" s="926"/>
      <c r="PKI37" s="926"/>
      <c r="PKJ37" s="926"/>
      <c r="PKK37" s="926"/>
      <c r="PKL37" s="926"/>
      <c r="PKM37" s="926"/>
      <c r="PKN37" s="926"/>
      <c r="PKO37" s="926"/>
      <c r="PKP37" s="926"/>
      <c r="PKQ37" s="926"/>
      <c r="PKR37" s="926"/>
      <c r="PKS37" s="926"/>
      <c r="PKT37" s="926"/>
      <c r="PKU37" s="926"/>
      <c r="PKV37" s="926"/>
      <c r="PKW37" s="926"/>
      <c r="PKX37" s="926"/>
      <c r="PKY37" s="926"/>
      <c r="PKZ37" s="926"/>
      <c r="PLA37" s="926"/>
      <c r="PLB37" s="926"/>
      <c r="PLC37" s="926"/>
      <c r="PLD37" s="926"/>
      <c r="PLE37" s="926"/>
      <c r="PLF37" s="926"/>
      <c r="PLG37" s="926"/>
      <c r="PLH37" s="926"/>
      <c r="PLI37" s="926"/>
      <c r="PLJ37" s="926"/>
      <c r="PLK37" s="926"/>
      <c r="PLL37" s="926"/>
      <c r="PLM37" s="926"/>
      <c r="PLN37" s="926"/>
      <c r="PLO37" s="926"/>
      <c r="PLP37" s="926"/>
      <c r="PLQ37" s="926"/>
      <c r="PLR37" s="926"/>
      <c r="PLS37" s="926"/>
      <c r="PLT37" s="926"/>
      <c r="PLU37" s="926"/>
      <c r="PLV37" s="926"/>
      <c r="PLW37" s="926"/>
      <c r="PLX37" s="926"/>
      <c r="PLY37" s="926"/>
      <c r="PLZ37" s="926"/>
      <c r="PMA37" s="926"/>
      <c r="PMB37" s="926"/>
      <c r="PMC37" s="926"/>
      <c r="PMD37" s="926"/>
      <c r="PME37" s="926"/>
      <c r="PMF37" s="926"/>
      <c r="PMG37" s="926"/>
      <c r="PMH37" s="926"/>
      <c r="PMI37" s="926"/>
      <c r="PMJ37" s="926"/>
      <c r="PMK37" s="926"/>
      <c r="PML37" s="926"/>
      <c r="PMM37" s="926"/>
      <c r="PMN37" s="926"/>
      <c r="PMO37" s="926"/>
      <c r="PMP37" s="926"/>
      <c r="PMQ37" s="926"/>
      <c r="PMR37" s="926"/>
      <c r="PMS37" s="926"/>
      <c r="PMT37" s="926"/>
      <c r="PMU37" s="926"/>
      <c r="PMV37" s="926"/>
      <c r="PMW37" s="926"/>
      <c r="PMX37" s="926"/>
      <c r="PMY37" s="926"/>
      <c r="PMZ37" s="926"/>
      <c r="PNA37" s="926"/>
      <c r="PNB37" s="926"/>
      <c r="PNC37" s="926"/>
      <c r="PND37" s="926"/>
      <c r="PNE37" s="926"/>
      <c r="PNF37" s="926"/>
      <c r="PNG37" s="926"/>
      <c r="PNH37" s="926"/>
      <c r="PNI37" s="926"/>
      <c r="PNJ37" s="926"/>
      <c r="PNK37" s="926"/>
      <c r="PNL37" s="926"/>
      <c r="PNM37" s="926"/>
      <c r="PNN37" s="926"/>
      <c r="PNO37" s="926"/>
      <c r="PNP37" s="926"/>
      <c r="PNQ37" s="926"/>
      <c r="PNR37" s="926"/>
      <c r="PNS37" s="926"/>
      <c r="PNT37" s="926"/>
      <c r="PNU37" s="926"/>
      <c r="PNV37" s="926"/>
      <c r="PNW37" s="926"/>
      <c r="PNX37" s="926"/>
      <c r="PNY37" s="926"/>
      <c r="PNZ37" s="926"/>
      <c r="POA37" s="926"/>
      <c r="POB37" s="926"/>
      <c r="POC37" s="926"/>
      <c r="POD37" s="926"/>
      <c r="POE37" s="926"/>
      <c r="POF37" s="926"/>
      <c r="POG37" s="926"/>
      <c r="POH37" s="926"/>
      <c r="POI37" s="926"/>
      <c r="POJ37" s="926"/>
      <c r="POK37" s="926"/>
      <c r="POL37" s="926"/>
      <c r="POM37" s="926"/>
      <c r="PON37" s="926"/>
      <c r="POO37" s="926"/>
      <c r="POP37" s="926"/>
      <c r="POQ37" s="926"/>
      <c r="POR37" s="926"/>
      <c r="POS37" s="926"/>
      <c r="POT37" s="926"/>
      <c r="POU37" s="926"/>
      <c r="POV37" s="926"/>
      <c r="POW37" s="926"/>
      <c r="POX37" s="926"/>
      <c r="POY37" s="926"/>
      <c r="POZ37" s="926"/>
      <c r="PPA37" s="926"/>
      <c r="PPB37" s="926"/>
      <c r="PPC37" s="926"/>
      <c r="PPD37" s="926"/>
      <c r="PPE37" s="926"/>
      <c r="PPF37" s="926"/>
      <c r="PPG37" s="926"/>
      <c r="PPH37" s="926"/>
      <c r="PPI37" s="926"/>
      <c r="PPJ37" s="926"/>
      <c r="PPK37" s="926"/>
      <c r="PPL37" s="926"/>
      <c r="PPM37" s="926"/>
      <c r="PPN37" s="926"/>
      <c r="PPO37" s="926"/>
      <c r="PPP37" s="926"/>
      <c r="PPQ37" s="926"/>
      <c r="PPR37" s="926"/>
      <c r="PPS37" s="926"/>
      <c r="PPT37" s="926"/>
      <c r="PPU37" s="926"/>
      <c r="PPV37" s="926"/>
      <c r="PPW37" s="926"/>
      <c r="PPX37" s="926"/>
      <c r="PPY37" s="926"/>
      <c r="PPZ37" s="926"/>
      <c r="PQA37" s="926"/>
      <c r="PQB37" s="926"/>
      <c r="PQC37" s="926"/>
      <c r="PQD37" s="926"/>
      <c r="PQE37" s="926"/>
      <c r="PQF37" s="926"/>
      <c r="PQG37" s="926"/>
      <c r="PQH37" s="926"/>
      <c r="PQI37" s="926"/>
      <c r="PQJ37" s="926"/>
      <c r="PQK37" s="926"/>
      <c r="PQL37" s="926"/>
      <c r="PQM37" s="926"/>
      <c r="PQN37" s="926"/>
      <c r="PQO37" s="926"/>
      <c r="PQP37" s="926"/>
      <c r="PQQ37" s="926"/>
      <c r="PQR37" s="926"/>
      <c r="PQS37" s="926"/>
      <c r="PQT37" s="926"/>
      <c r="PQU37" s="926"/>
      <c r="PQV37" s="926"/>
      <c r="PQW37" s="926"/>
      <c r="PQX37" s="926"/>
      <c r="PQY37" s="926"/>
      <c r="PQZ37" s="926"/>
      <c r="PRA37" s="926"/>
      <c r="PRB37" s="926"/>
      <c r="PRC37" s="926"/>
      <c r="PRD37" s="926"/>
      <c r="PRE37" s="926"/>
      <c r="PRF37" s="926"/>
      <c r="PRG37" s="926"/>
      <c r="PRH37" s="926"/>
      <c r="PRI37" s="926"/>
      <c r="PRJ37" s="926"/>
      <c r="PRK37" s="926"/>
      <c r="PRL37" s="926"/>
      <c r="PRM37" s="926"/>
      <c r="PRN37" s="926"/>
      <c r="PRO37" s="926"/>
      <c r="PRP37" s="926"/>
      <c r="PRQ37" s="926"/>
      <c r="PRR37" s="926"/>
      <c r="PRS37" s="926"/>
      <c r="PRT37" s="926"/>
      <c r="PRU37" s="926"/>
      <c r="PRV37" s="926"/>
      <c r="PRW37" s="926"/>
      <c r="PRX37" s="926"/>
      <c r="PRY37" s="926"/>
      <c r="PRZ37" s="926"/>
      <c r="PSA37" s="926"/>
      <c r="PSB37" s="926"/>
      <c r="PSC37" s="926"/>
      <c r="PSD37" s="926"/>
      <c r="PSE37" s="926"/>
      <c r="PSF37" s="926"/>
      <c r="PSG37" s="926"/>
      <c r="PSH37" s="926"/>
      <c r="PSI37" s="926"/>
      <c r="PSJ37" s="926"/>
      <c r="PSK37" s="926"/>
      <c r="PSL37" s="926"/>
      <c r="PSM37" s="926"/>
      <c r="PSN37" s="926"/>
      <c r="PSO37" s="926"/>
      <c r="PSP37" s="926"/>
      <c r="PSQ37" s="926"/>
      <c r="PSR37" s="926"/>
      <c r="PSS37" s="926"/>
      <c r="PST37" s="926"/>
      <c r="PSU37" s="926"/>
      <c r="PSV37" s="926"/>
      <c r="PSW37" s="926"/>
      <c r="PSX37" s="926"/>
      <c r="PSY37" s="926"/>
      <c r="PSZ37" s="926"/>
      <c r="PTA37" s="926"/>
      <c r="PTB37" s="926"/>
      <c r="PTC37" s="926"/>
      <c r="PTD37" s="926"/>
      <c r="PTE37" s="926"/>
      <c r="PTF37" s="926"/>
      <c r="PTG37" s="926"/>
      <c r="PTH37" s="926"/>
      <c r="PTI37" s="926"/>
      <c r="PTJ37" s="926"/>
      <c r="PTK37" s="926"/>
      <c r="PTL37" s="926"/>
      <c r="PTM37" s="926"/>
      <c r="PTN37" s="926"/>
      <c r="PTO37" s="926"/>
      <c r="PTP37" s="926"/>
      <c r="PTQ37" s="926"/>
      <c r="PTR37" s="926"/>
      <c r="PTS37" s="926"/>
      <c r="PTT37" s="926"/>
      <c r="PTU37" s="926"/>
      <c r="PTV37" s="926"/>
      <c r="PTW37" s="926"/>
      <c r="PTX37" s="926"/>
      <c r="PTY37" s="926"/>
      <c r="PTZ37" s="926"/>
      <c r="PUA37" s="926"/>
      <c r="PUB37" s="926"/>
      <c r="PUC37" s="926"/>
      <c r="PUD37" s="926"/>
      <c r="PUE37" s="926"/>
      <c r="PUF37" s="926"/>
      <c r="PUG37" s="926"/>
      <c r="PUH37" s="926"/>
      <c r="PUI37" s="926"/>
      <c r="PUJ37" s="926"/>
      <c r="PUK37" s="926"/>
      <c r="PUL37" s="926"/>
      <c r="PUM37" s="926"/>
      <c r="PUN37" s="926"/>
      <c r="PUO37" s="926"/>
      <c r="PUP37" s="926"/>
      <c r="PUQ37" s="926"/>
      <c r="PUR37" s="926"/>
      <c r="PUS37" s="926"/>
      <c r="PUT37" s="926"/>
      <c r="PUU37" s="926"/>
      <c r="PUV37" s="926"/>
      <c r="PUW37" s="926"/>
      <c r="PUX37" s="926"/>
      <c r="PUY37" s="926"/>
      <c r="PUZ37" s="926"/>
      <c r="PVA37" s="926"/>
      <c r="PVB37" s="926"/>
      <c r="PVC37" s="926"/>
      <c r="PVD37" s="926"/>
      <c r="PVE37" s="926"/>
      <c r="PVF37" s="926"/>
      <c r="PVG37" s="926"/>
      <c r="PVH37" s="926"/>
      <c r="PVI37" s="926"/>
      <c r="PVJ37" s="926"/>
      <c r="PVK37" s="926"/>
      <c r="PVL37" s="926"/>
      <c r="PVM37" s="926"/>
      <c r="PVN37" s="926"/>
      <c r="PVO37" s="926"/>
      <c r="PVP37" s="926"/>
      <c r="PVQ37" s="926"/>
      <c r="PVR37" s="926"/>
      <c r="PVS37" s="926"/>
      <c r="PVT37" s="926"/>
      <c r="PVU37" s="926"/>
      <c r="PVV37" s="926"/>
      <c r="PVW37" s="926"/>
      <c r="PVX37" s="926"/>
      <c r="PVY37" s="926"/>
      <c r="PVZ37" s="926"/>
      <c r="PWA37" s="926"/>
      <c r="PWB37" s="926"/>
      <c r="PWC37" s="926"/>
      <c r="PWD37" s="926"/>
      <c r="PWE37" s="926"/>
      <c r="PWF37" s="926"/>
      <c r="PWG37" s="926"/>
      <c r="PWH37" s="926"/>
      <c r="PWI37" s="926"/>
      <c r="PWJ37" s="926"/>
      <c r="PWK37" s="926"/>
      <c r="PWL37" s="926"/>
      <c r="PWM37" s="926"/>
      <c r="PWN37" s="926"/>
      <c r="PWO37" s="926"/>
      <c r="PWP37" s="926"/>
      <c r="PWQ37" s="926"/>
      <c r="PWR37" s="926"/>
      <c r="PWS37" s="926"/>
      <c r="PWT37" s="926"/>
      <c r="PWU37" s="926"/>
      <c r="PWV37" s="926"/>
      <c r="PWW37" s="926"/>
      <c r="PWX37" s="926"/>
      <c r="PWY37" s="926"/>
      <c r="PWZ37" s="926"/>
      <c r="PXA37" s="926"/>
      <c r="PXB37" s="926"/>
      <c r="PXC37" s="926"/>
      <c r="PXD37" s="926"/>
      <c r="PXE37" s="926"/>
      <c r="PXF37" s="926"/>
      <c r="PXG37" s="926"/>
      <c r="PXH37" s="926"/>
      <c r="PXI37" s="926"/>
      <c r="PXJ37" s="926"/>
      <c r="PXK37" s="926"/>
      <c r="PXL37" s="926"/>
      <c r="PXM37" s="926"/>
      <c r="PXN37" s="926"/>
      <c r="PXO37" s="926"/>
      <c r="PXP37" s="926"/>
      <c r="PXQ37" s="926"/>
      <c r="PXR37" s="926"/>
      <c r="PXS37" s="926"/>
      <c r="PXT37" s="926"/>
      <c r="PXU37" s="926"/>
      <c r="PXV37" s="926"/>
      <c r="PXW37" s="926"/>
      <c r="PXX37" s="926"/>
      <c r="PXY37" s="926"/>
      <c r="PXZ37" s="926"/>
      <c r="PYA37" s="926"/>
      <c r="PYB37" s="926"/>
      <c r="PYC37" s="926"/>
      <c r="PYD37" s="926"/>
      <c r="PYE37" s="926"/>
      <c r="PYF37" s="926"/>
      <c r="PYG37" s="926"/>
      <c r="PYH37" s="926"/>
      <c r="PYI37" s="926"/>
      <c r="PYJ37" s="926"/>
      <c r="PYK37" s="926"/>
      <c r="PYL37" s="926"/>
      <c r="PYM37" s="926"/>
      <c r="PYN37" s="926"/>
      <c r="PYO37" s="926"/>
      <c r="PYP37" s="926"/>
      <c r="PYQ37" s="926"/>
      <c r="PYR37" s="926"/>
      <c r="PYS37" s="926"/>
      <c r="PYT37" s="926"/>
      <c r="PYU37" s="926"/>
      <c r="PYV37" s="926"/>
      <c r="PYW37" s="926"/>
      <c r="PYX37" s="926"/>
      <c r="PYY37" s="926"/>
      <c r="PYZ37" s="926"/>
      <c r="PZA37" s="926"/>
      <c r="PZB37" s="926"/>
      <c r="PZC37" s="926"/>
      <c r="PZD37" s="926"/>
      <c r="PZE37" s="926"/>
      <c r="PZF37" s="926"/>
      <c r="PZG37" s="926"/>
      <c r="PZH37" s="926"/>
      <c r="PZI37" s="926"/>
      <c r="PZJ37" s="926"/>
      <c r="PZK37" s="926"/>
      <c r="PZL37" s="926"/>
      <c r="PZM37" s="926"/>
      <c r="PZN37" s="926"/>
      <c r="PZO37" s="926"/>
      <c r="PZP37" s="926"/>
      <c r="PZQ37" s="926"/>
      <c r="PZR37" s="926"/>
      <c r="PZS37" s="926"/>
      <c r="PZT37" s="926"/>
      <c r="PZU37" s="926"/>
      <c r="PZV37" s="926"/>
      <c r="PZW37" s="926"/>
      <c r="PZX37" s="926"/>
      <c r="PZY37" s="926"/>
      <c r="PZZ37" s="926"/>
      <c r="QAA37" s="926"/>
      <c r="QAB37" s="926"/>
      <c r="QAC37" s="926"/>
      <c r="QAD37" s="926"/>
      <c r="QAE37" s="926"/>
      <c r="QAF37" s="926"/>
      <c r="QAG37" s="926"/>
      <c r="QAH37" s="926"/>
      <c r="QAI37" s="926"/>
      <c r="QAJ37" s="926"/>
      <c r="QAK37" s="926"/>
      <c r="QAL37" s="926"/>
      <c r="QAM37" s="926"/>
      <c r="QAN37" s="926"/>
      <c r="QAO37" s="926"/>
      <c r="QAP37" s="926"/>
      <c r="QAQ37" s="926"/>
      <c r="QAR37" s="926"/>
      <c r="QAS37" s="926"/>
      <c r="QAT37" s="926"/>
      <c r="QAU37" s="926"/>
      <c r="QAV37" s="926"/>
      <c r="QAW37" s="926"/>
      <c r="QAX37" s="926"/>
      <c r="QAY37" s="926"/>
      <c r="QAZ37" s="926"/>
      <c r="QBA37" s="926"/>
      <c r="QBB37" s="926"/>
      <c r="QBC37" s="926"/>
      <c r="QBD37" s="926"/>
      <c r="QBE37" s="926"/>
      <c r="QBF37" s="926"/>
      <c r="QBG37" s="926"/>
      <c r="QBH37" s="926"/>
      <c r="QBI37" s="926"/>
      <c r="QBJ37" s="926"/>
      <c r="QBK37" s="926"/>
      <c r="QBL37" s="926"/>
      <c r="QBM37" s="926"/>
      <c r="QBN37" s="926"/>
      <c r="QBO37" s="926"/>
      <c r="QBP37" s="926"/>
      <c r="QBQ37" s="926"/>
      <c r="QBR37" s="926"/>
      <c r="QBS37" s="926"/>
      <c r="QBT37" s="926"/>
      <c r="QBU37" s="926"/>
      <c r="QBV37" s="926"/>
      <c r="QBW37" s="926"/>
      <c r="QBX37" s="926"/>
      <c r="QBY37" s="926"/>
      <c r="QBZ37" s="926"/>
      <c r="QCA37" s="926"/>
      <c r="QCB37" s="926"/>
      <c r="QCC37" s="926"/>
      <c r="QCD37" s="926"/>
      <c r="QCE37" s="926"/>
      <c r="QCF37" s="926"/>
      <c r="QCG37" s="926"/>
      <c r="QCH37" s="926"/>
      <c r="QCI37" s="926"/>
      <c r="QCJ37" s="926"/>
      <c r="QCK37" s="926"/>
      <c r="QCL37" s="926"/>
      <c r="QCM37" s="926"/>
      <c r="QCN37" s="926"/>
      <c r="QCO37" s="926"/>
      <c r="QCP37" s="926"/>
      <c r="QCQ37" s="926"/>
      <c r="QCR37" s="926"/>
      <c r="QCS37" s="926"/>
      <c r="QCT37" s="926"/>
      <c r="QCU37" s="926"/>
      <c r="QCV37" s="926"/>
      <c r="QCW37" s="926"/>
      <c r="QCX37" s="926"/>
      <c r="QCY37" s="926"/>
      <c r="QCZ37" s="926"/>
      <c r="QDA37" s="926"/>
      <c r="QDB37" s="926"/>
      <c r="QDC37" s="926"/>
      <c r="QDD37" s="926"/>
      <c r="QDE37" s="926"/>
      <c r="QDF37" s="926"/>
      <c r="QDG37" s="926"/>
      <c r="QDH37" s="926"/>
      <c r="QDI37" s="926"/>
      <c r="QDJ37" s="926"/>
      <c r="QDK37" s="926"/>
      <c r="QDL37" s="926"/>
      <c r="QDM37" s="926"/>
      <c r="QDN37" s="926"/>
      <c r="QDO37" s="926"/>
      <c r="QDP37" s="926"/>
      <c r="QDQ37" s="926"/>
      <c r="QDR37" s="926"/>
      <c r="QDS37" s="926"/>
      <c r="QDT37" s="926"/>
      <c r="QDU37" s="926"/>
      <c r="QDV37" s="926"/>
      <c r="QDW37" s="926"/>
      <c r="QDX37" s="926"/>
      <c r="QDY37" s="926"/>
      <c r="QDZ37" s="926"/>
      <c r="QEA37" s="926"/>
      <c r="QEB37" s="926"/>
      <c r="QEC37" s="926"/>
      <c r="QED37" s="926"/>
      <c r="QEE37" s="926"/>
      <c r="QEF37" s="926"/>
      <c r="QEG37" s="926"/>
      <c r="QEH37" s="926"/>
      <c r="QEI37" s="926"/>
      <c r="QEJ37" s="926"/>
      <c r="QEK37" s="926"/>
      <c r="QEL37" s="926"/>
      <c r="QEM37" s="926"/>
      <c r="QEN37" s="926"/>
      <c r="QEO37" s="926"/>
      <c r="QEP37" s="926"/>
      <c r="QEQ37" s="926"/>
      <c r="QER37" s="926"/>
      <c r="QES37" s="926"/>
      <c r="QET37" s="926"/>
      <c r="QEU37" s="926"/>
      <c r="QEV37" s="926"/>
      <c r="QEW37" s="926"/>
      <c r="QEX37" s="926"/>
      <c r="QEY37" s="926"/>
      <c r="QEZ37" s="926"/>
      <c r="QFA37" s="926"/>
      <c r="QFB37" s="926"/>
      <c r="QFC37" s="926"/>
      <c r="QFD37" s="926"/>
      <c r="QFE37" s="926"/>
      <c r="QFF37" s="926"/>
      <c r="QFG37" s="926"/>
      <c r="QFH37" s="926"/>
      <c r="QFI37" s="926"/>
      <c r="QFJ37" s="926"/>
      <c r="QFK37" s="926"/>
      <c r="QFL37" s="926"/>
      <c r="QFM37" s="926"/>
      <c r="QFN37" s="926"/>
      <c r="QFO37" s="926"/>
      <c r="QFP37" s="926"/>
      <c r="QFQ37" s="926"/>
      <c r="QFR37" s="926"/>
      <c r="QFS37" s="926"/>
      <c r="QFT37" s="926"/>
      <c r="QFU37" s="926"/>
      <c r="QFV37" s="926"/>
      <c r="QFW37" s="926"/>
      <c r="QFX37" s="926"/>
      <c r="QFY37" s="926"/>
      <c r="QFZ37" s="926"/>
      <c r="QGA37" s="926"/>
      <c r="QGB37" s="926"/>
      <c r="QGC37" s="926"/>
      <c r="QGD37" s="926"/>
      <c r="QGE37" s="926"/>
      <c r="QGF37" s="926"/>
      <c r="QGG37" s="926"/>
      <c r="QGH37" s="926"/>
      <c r="QGI37" s="926"/>
      <c r="QGJ37" s="926"/>
      <c r="QGK37" s="926"/>
      <c r="QGL37" s="926"/>
      <c r="QGM37" s="926"/>
      <c r="QGN37" s="926"/>
      <c r="QGO37" s="926"/>
      <c r="QGP37" s="926"/>
      <c r="QGQ37" s="926"/>
      <c r="QGR37" s="926"/>
      <c r="QGS37" s="926"/>
      <c r="QGT37" s="926"/>
      <c r="QGU37" s="926"/>
      <c r="QGV37" s="926"/>
      <c r="QGW37" s="926"/>
      <c r="QGX37" s="926"/>
      <c r="QGY37" s="926"/>
      <c r="QGZ37" s="926"/>
      <c r="QHA37" s="926"/>
      <c r="QHB37" s="926"/>
      <c r="QHC37" s="926"/>
      <c r="QHD37" s="926"/>
      <c r="QHE37" s="926"/>
      <c r="QHF37" s="926"/>
      <c r="QHG37" s="926"/>
      <c r="QHH37" s="926"/>
      <c r="QHI37" s="926"/>
      <c r="QHJ37" s="926"/>
      <c r="QHK37" s="926"/>
      <c r="QHL37" s="926"/>
      <c r="QHM37" s="926"/>
      <c r="QHN37" s="926"/>
      <c r="QHO37" s="926"/>
      <c r="QHP37" s="926"/>
      <c r="QHQ37" s="926"/>
      <c r="QHR37" s="926"/>
      <c r="QHS37" s="926"/>
      <c r="QHT37" s="926"/>
      <c r="QHU37" s="926"/>
      <c r="QHV37" s="926"/>
      <c r="QHW37" s="926"/>
      <c r="QHX37" s="926"/>
      <c r="QHY37" s="926"/>
      <c r="QHZ37" s="926"/>
      <c r="QIA37" s="926"/>
      <c r="QIB37" s="926"/>
      <c r="QIC37" s="926"/>
      <c r="QID37" s="926"/>
      <c r="QIE37" s="926"/>
      <c r="QIF37" s="926"/>
      <c r="QIG37" s="926"/>
      <c r="QIH37" s="926"/>
      <c r="QII37" s="926"/>
      <c r="QIJ37" s="926"/>
      <c r="QIK37" s="926"/>
      <c r="QIL37" s="926"/>
      <c r="QIM37" s="926"/>
      <c r="QIN37" s="926"/>
      <c r="QIO37" s="926"/>
      <c r="QIP37" s="926"/>
      <c r="QIQ37" s="926"/>
      <c r="QIR37" s="926"/>
      <c r="QIS37" s="926"/>
      <c r="QIT37" s="926"/>
      <c r="QIU37" s="926"/>
      <c r="QIV37" s="926"/>
      <c r="QIW37" s="926"/>
      <c r="QIX37" s="926"/>
      <c r="QIY37" s="926"/>
      <c r="QIZ37" s="926"/>
      <c r="QJA37" s="926"/>
      <c r="QJB37" s="926"/>
      <c r="QJC37" s="926"/>
      <c r="QJD37" s="926"/>
      <c r="QJE37" s="926"/>
      <c r="QJF37" s="926"/>
      <c r="QJG37" s="926"/>
      <c r="QJH37" s="926"/>
      <c r="QJI37" s="926"/>
      <c r="QJJ37" s="926"/>
      <c r="QJK37" s="926"/>
      <c r="QJL37" s="926"/>
      <c r="QJM37" s="926"/>
      <c r="QJN37" s="926"/>
      <c r="QJO37" s="926"/>
      <c r="QJP37" s="926"/>
      <c r="QJQ37" s="926"/>
      <c r="QJR37" s="926"/>
      <c r="QJS37" s="926"/>
      <c r="QJT37" s="926"/>
      <c r="QJU37" s="926"/>
      <c r="QJV37" s="926"/>
      <c r="QJW37" s="926"/>
      <c r="QJX37" s="926"/>
      <c r="QJY37" s="926"/>
      <c r="QJZ37" s="926"/>
      <c r="QKA37" s="926"/>
      <c r="QKB37" s="926"/>
      <c r="QKC37" s="926"/>
      <c r="QKD37" s="926"/>
      <c r="QKE37" s="926"/>
      <c r="QKF37" s="926"/>
      <c r="QKG37" s="926"/>
      <c r="QKH37" s="926"/>
      <c r="QKI37" s="926"/>
      <c r="QKJ37" s="926"/>
      <c r="QKK37" s="926"/>
      <c r="QKL37" s="926"/>
      <c r="QKM37" s="926"/>
      <c r="QKN37" s="926"/>
      <c r="QKO37" s="926"/>
      <c r="QKP37" s="926"/>
      <c r="QKQ37" s="926"/>
      <c r="QKR37" s="926"/>
      <c r="QKS37" s="926"/>
      <c r="QKT37" s="926"/>
      <c r="QKU37" s="926"/>
      <c r="QKV37" s="926"/>
      <c r="QKW37" s="926"/>
      <c r="QKX37" s="926"/>
      <c r="QKY37" s="926"/>
      <c r="QKZ37" s="926"/>
      <c r="QLA37" s="926"/>
      <c r="QLB37" s="926"/>
      <c r="QLC37" s="926"/>
      <c r="QLD37" s="926"/>
      <c r="QLE37" s="926"/>
      <c r="QLF37" s="926"/>
      <c r="QLG37" s="926"/>
      <c r="QLH37" s="926"/>
      <c r="QLI37" s="926"/>
      <c r="QLJ37" s="926"/>
      <c r="QLK37" s="926"/>
      <c r="QLL37" s="926"/>
      <c r="QLM37" s="926"/>
      <c r="QLN37" s="926"/>
      <c r="QLO37" s="926"/>
      <c r="QLP37" s="926"/>
      <c r="QLQ37" s="926"/>
      <c r="QLR37" s="926"/>
      <c r="QLS37" s="926"/>
      <c r="QLT37" s="926"/>
      <c r="QLU37" s="926"/>
      <c r="QLV37" s="926"/>
      <c r="QLW37" s="926"/>
      <c r="QLX37" s="926"/>
      <c r="QLY37" s="926"/>
      <c r="QLZ37" s="926"/>
      <c r="QMA37" s="926"/>
      <c r="QMB37" s="926"/>
      <c r="QMC37" s="926"/>
      <c r="QMD37" s="926"/>
      <c r="QME37" s="926"/>
      <c r="QMF37" s="926"/>
      <c r="QMG37" s="926"/>
      <c r="QMH37" s="926"/>
      <c r="QMI37" s="926"/>
      <c r="QMJ37" s="926"/>
      <c r="QMK37" s="926"/>
      <c r="QML37" s="926"/>
      <c r="QMM37" s="926"/>
      <c r="QMN37" s="926"/>
      <c r="QMO37" s="926"/>
      <c r="QMP37" s="926"/>
      <c r="QMQ37" s="926"/>
      <c r="QMR37" s="926"/>
      <c r="QMS37" s="926"/>
      <c r="QMT37" s="926"/>
      <c r="QMU37" s="926"/>
      <c r="QMV37" s="926"/>
      <c r="QMW37" s="926"/>
      <c r="QMX37" s="926"/>
      <c r="QMY37" s="926"/>
      <c r="QMZ37" s="926"/>
      <c r="QNA37" s="926"/>
      <c r="QNB37" s="926"/>
      <c r="QNC37" s="926"/>
      <c r="QND37" s="926"/>
      <c r="QNE37" s="926"/>
      <c r="QNF37" s="926"/>
      <c r="QNG37" s="926"/>
      <c r="QNH37" s="926"/>
      <c r="QNI37" s="926"/>
      <c r="QNJ37" s="926"/>
      <c r="QNK37" s="926"/>
      <c r="QNL37" s="926"/>
      <c r="QNM37" s="926"/>
      <c r="QNN37" s="926"/>
      <c r="QNO37" s="926"/>
      <c r="QNP37" s="926"/>
      <c r="QNQ37" s="926"/>
      <c r="QNR37" s="926"/>
      <c r="QNS37" s="926"/>
      <c r="QNT37" s="926"/>
      <c r="QNU37" s="926"/>
      <c r="QNV37" s="926"/>
      <c r="QNW37" s="926"/>
      <c r="QNX37" s="926"/>
      <c r="QNY37" s="926"/>
      <c r="QNZ37" s="926"/>
      <c r="QOA37" s="926"/>
      <c r="QOB37" s="926"/>
      <c r="QOC37" s="926"/>
      <c r="QOD37" s="926"/>
      <c r="QOE37" s="926"/>
      <c r="QOF37" s="926"/>
      <c r="QOG37" s="926"/>
      <c r="QOH37" s="926"/>
      <c r="QOI37" s="926"/>
      <c r="QOJ37" s="926"/>
      <c r="QOK37" s="926"/>
      <c r="QOL37" s="926"/>
      <c r="QOM37" s="926"/>
      <c r="QON37" s="926"/>
      <c r="QOO37" s="926"/>
      <c r="QOP37" s="926"/>
      <c r="QOQ37" s="926"/>
      <c r="QOR37" s="926"/>
      <c r="QOS37" s="926"/>
      <c r="QOT37" s="926"/>
      <c r="QOU37" s="926"/>
      <c r="QOV37" s="926"/>
      <c r="QOW37" s="926"/>
      <c r="QOX37" s="926"/>
      <c r="QOY37" s="926"/>
      <c r="QOZ37" s="926"/>
      <c r="QPA37" s="926"/>
      <c r="QPB37" s="926"/>
      <c r="QPC37" s="926"/>
      <c r="QPD37" s="926"/>
      <c r="QPE37" s="926"/>
      <c r="QPF37" s="926"/>
      <c r="QPG37" s="926"/>
      <c r="QPH37" s="926"/>
      <c r="QPI37" s="926"/>
      <c r="QPJ37" s="926"/>
      <c r="QPK37" s="926"/>
      <c r="QPL37" s="926"/>
      <c r="QPM37" s="926"/>
      <c r="QPN37" s="926"/>
      <c r="QPO37" s="926"/>
      <c r="QPP37" s="926"/>
      <c r="QPQ37" s="926"/>
      <c r="QPR37" s="926"/>
      <c r="QPS37" s="926"/>
      <c r="QPT37" s="926"/>
      <c r="QPU37" s="926"/>
      <c r="QPV37" s="926"/>
      <c r="QPW37" s="926"/>
      <c r="QPX37" s="926"/>
      <c r="QPY37" s="926"/>
      <c r="QPZ37" s="926"/>
      <c r="QQA37" s="926"/>
      <c r="QQB37" s="926"/>
      <c r="QQC37" s="926"/>
      <c r="QQD37" s="926"/>
      <c r="QQE37" s="926"/>
      <c r="QQF37" s="926"/>
      <c r="QQG37" s="926"/>
      <c r="QQH37" s="926"/>
      <c r="QQI37" s="926"/>
      <c r="QQJ37" s="926"/>
      <c r="QQK37" s="926"/>
      <c r="QQL37" s="926"/>
      <c r="QQM37" s="926"/>
      <c r="QQN37" s="926"/>
      <c r="QQO37" s="926"/>
      <c r="QQP37" s="926"/>
      <c r="QQQ37" s="926"/>
      <c r="QQR37" s="926"/>
      <c r="QQS37" s="926"/>
      <c r="QQT37" s="926"/>
      <c r="QQU37" s="926"/>
      <c r="QQV37" s="926"/>
      <c r="QQW37" s="926"/>
      <c r="QQX37" s="926"/>
      <c r="QQY37" s="926"/>
      <c r="QQZ37" s="926"/>
      <c r="QRA37" s="926"/>
      <c r="QRB37" s="926"/>
      <c r="QRC37" s="926"/>
      <c r="QRD37" s="926"/>
      <c r="QRE37" s="926"/>
      <c r="QRF37" s="926"/>
      <c r="QRG37" s="926"/>
      <c r="QRH37" s="926"/>
      <c r="QRI37" s="926"/>
      <c r="QRJ37" s="926"/>
      <c r="QRK37" s="926"/>
      <c r="QRL37" s="926"/>
      <c r="QRM37" s="926"/>
      <c r="QRN37" s="926"/>
      <c r="QRO37" s="926"/>
      <c r="QRP37" s="926"/>
      <c r="QRQ37" s="926"/>
      <c r="QRR37" s="926"/>
      <c r="QRS37" s="926"/>
      <c r="QRT37" s="926"/>
      <c r="QRU37" s="926"/>
      <c r="QRV37" s="926"/>
      <c r="QRW37" s="926"/>
      <c r="QRX37" s="926"/>
      <c r="QRY37" s="926"/>
      <c r="QRZ37" s="926"/>
      <c r="QSA37" s="926"/>
      <c r="QSB37" s="926"/>
      <c r="QSC37" s="926"/>
      <c r="QSD37" s="926"/>
      <c r="QSE37" s="926"/>
      <c r="QSF37" s="926"/>
      <c r="QSG37" s="926"/>
      <c r="QSH37" s="926"/>
      <c r="QSI37" s="926"/>
      <c r="QSJ37" s="926"/>
      <c r="QSK37" s="926"/>
      <c r="QSL37" s="926"/>
      <c r="QSM37" s="926"/>
      <c r="QSN37" s="926"/>
      <c r="QSO37" s="926"/>
      <c r="QSP37" s="926"/>
      <c r="QSQ37" s="926"/>
      <c r="QSR37" s="926"/>
      <c r="QSS37" s="926"/>
      <c r="QST37" s="926"/>
      <c r="QSU37" s="926"/>
      <c r="QSV37" s="926"/>
      <c r="QSW37" s="926"/>
      <c r="QSX37" s="926"/>
      <c r="QSY37" s="926"/>
      <c r="QSZ37" s="926"/>
      <c r="QTA37" s="926"/>
      <c r="QTB37" s="926"/>
      <c r="QTC37" s="926"/>
      <c r="QTD37" s="926"/>
      <c r="QTE37" s="926"/>
      <c r="QTF37" s="926"/>
      <c r="QTG37" s="926"/>
      <c r="QTH37" s="926"/>
      <c r="QTI37" s="926"/>
      <c r="QTJ37" s="926"/>
      <c r="QTK37" s="926"/>
      <c r="QTL37" s="926"/>
      <c r="QTM37" s="926"/>
      <c r="QTN37" s="926"/>
      <c r="QTO37" s="926"/>
      <c r="QTP37" s="926"/>
      <c r="QTQ37" s="926"/>
      <c r="QTR37" s="926"/>
      <c r="QTS37" s="926"/>
      <c r="QTT37" s="926"/>
      <c r="QTU37" s="926"/>
      <c r="QTV37" s="926"/>
      <c r="QTW37" s="926"/>
      <c r="QTX37" s="926"/>
      <c r="QTY37" s="926"/>
      <c r="QTZ37" s="926"/>
      <c r="QUA37" s="926"/>
      <c r="QUB37" s="926"/>
      <c r="QUC37" s="926"/>
      <c r="QUD37" s="926"/>
      <c r="QUE37" s="926"/>
      <c r="QUF37" s="926"/>
      <c r="QUG37" s="926"/>
      <c r="QUH37" s="926"/>
      <c r="QUI37" s="926"/>
      <c r="QUJ37" s="926"/>
      <c r="QUK37" s="926"/>
      <c r="QUL37" s="926"/>
      <c r="QUM37" s="926"/>
      <c r="QUN37" s="926"/>
      <c r="QUO37" s="926"/>
      <c r="QUP37" s="926"/>
      <c r="QUQ37" s="926"/>
      <c r="QUR37" s="926"/>
      <c r="QUS37" s="926"/>
      <c r="QUT37" s="926"/>
      <c r="QUU37" s="926"/>
      <c r="QUV37" s="926"/>
      <c r="QUW37" s="926"/>
      <c r="QUX37" s="926"/>
      <c r="QUY37" s="926"/>
      <c r="QUZ37" s="926"/>
      <c r="QVA37" s="926"/>
      <c r="QVB37" s="926"/>
      <c r="QVC37" s="926"/>
      <c r="QVD37" s="926"/>
      <c r="QVE37" s="926"/>
      <c r="QVF37" s="926"/>
      <c r="QVG37" s="926"/>
      <c r="QVH37" s="926"/>
      <c r="QVI37" s="926"/>
      <c r="QVJ37" s="926"/>
      <c r="QVK37" s="926"/>
      <c r="QVL37" s="926"/>
      <c r="QVM37" s="926"/>
      <c r="QVN37" s="926"/>
      <c r="QVO37" s="926"/>
      <c r="QVP37" s="926"/>
      <c r="QVQ37" s="926"/>
      <c r="QVR37" s="926"/>
      <c r="QVS37" s="926"/>
      <c r="QVT37" s="926"/>
      <c r="QVU37" s="926"/>
      <c r="QVV37" s="926"/>
      <c r="QVW37" s="926"/>
      <c r="QVX37" s="926"/>
      <c r="QVY37" s="926"/>
      <c r="QVZ37" s="926"/>
      <c r="QWA37" s="926"/>
      <c r="QWB37" s="926"/>
      <c r="QWC37" s="926"/>
      <c r="QWD37" s="926"/>
      <c r="QWE37" s="926"/>
      <c r="QWF37" s="926"/>
      <c r="QWG37" s="926"/>
      <c r="QWH37" s="926"/>
      <c r="QWI37" s="926"/>
      <c r="QWJ37" s="926"/>
      <c r="QWK37" s="926"/>
      <c r="QWL37" s="926"/>
      <c r="QWM37" s="926"/>
      <c r="QWN37" s="926"/>
      <c r="QWO37" s="926"/>
      <c r="QWP37" s="926"/>
      <c r="QWQ37" s="926"/>
      <c r="QWR37" s="926"/>
      <c r="QWS37" s="926"/>
      <c r="QWT37" s="926"/>
      <c r="QWU37" s="926"/>
      <c r="QWV37" s="926"/>
      <c r="QWW37" s="926"/>
      <c r="QWX37" s="926"/>
      <c r="QWY37" s="926"/>
      <c r="QWZ37" s="926"/>
      <c r="QXA37" s="926"/>
      <c r="QXB37" s="926"/>
      <c r="QXC37" s="926"/>
      <c r="QXD37" s="926"/>
      <c r="QXE37" s="926"/>
      <c r="QXF37" s="926"/>
      <c r="QXG37" s="926"/>
      <c r="QXH37" s="926"/>
      <c r="QXI37" s="926"/>
      <c r="QXJ37" s="926"/>
      <c r="QXK37" s="926"/>
      <c r="QXL37" s="926"/>
      <c r="QXM37" s="926"/>
      <c r="QXN37" s="926"/>
      <c r="QXO37" s="926"/>
      <c r="QXP37" s="926"/>
      <c r="QXQ37" s="926"/>
      <c r="QXR37" s="926"/>
      <c r="QXS37" s="926"/>
      <c r="QXT37" s="926"/>
      <c r="QXU37" s="926"/>
      <c r="QXV37" s="926"/>
      <c r="QXW37" s="926"/>
      <c r="QXX37" s="926"/>
      <c r="QXY37" s="926"/>
      <c r="QXZ37" s="926"/>
      <c r="QYA37" s="926"/>
      <c r="QYB37" s="926"/>
      <c r="QYC37" s="926"/>
      <c r="QYD37" s="926"/>
      <c r="QYE37" s="926"/>
      <c r="QYF37" s="926"/>
      <c r="QYG37" s="926"/>
      <c r="QYH37" s="926"/>
      <c r="QYI37" s="926"/>
      <c r="QYJ37" s="926"/>
      <c r="QYK37" s="926"/>
      <c r="QYL37" s="926"/>
      <c r="QYM37" s="926"/>
      <c r="QYN37" s="926"/>
      <c r="QYO37" s="926"/>
      <c r="QYP37" s="926"/>
      <c r="QYQ37" s="926"/>
      <c r="QYR37" s="926"/>
      <c r="QYS37" s="926"/>
      <c r="QYT37" s="926"/>
      <c r="QYU37" s="926"/>
      <c r="QYV37" s="926"/>
      <c r="QYW37" s="926"/>
      <c r="QYX37" s="926"/>
      <c r="QYY37" s="926"/>
      <c r="QYZ37" s="926"/>
      <c r="QZA37" s="926"/>
      <c r="QZB37" s="926"/>
      <c r="QZC37" s="926"/>
      <c r="QZD37" s="926"/>
      <c r="QZE37" s="926"/>
      <c r="QZF37" s="926"/>
      <c r="QZG37" s="926"/>
      <c r="QZH37" s="926"/>
      <c r="QZI37" s="926"/>
      <c r="QZJ37" s="926"/>
      <c r="QZK37" s="926"/>
      <c r="QZL37" s="926"/>
      <c r="QZM37" s="926"/>
      <c r="QZN37" s="926"/>
      <c r="QZO37" s="926"/>
      <c r="QZP37" s="926"/>
      <c r="QZQ37" s="926"/>
      <c r="QZR37" s="926"/>
      <c r="QZS37" s="926"/>
      <c r="QZT37" s="926"/>
      <c r="QZU37" s="926"/>
      <c r="QZV37" s="926"/>
      <c r="QZW37" s="926"/>
      <c r="QZX37" s="926"/>
      <c r="QZY37" s="926"/>
      <c r="QZZ37" s="926"/>
      <c r="RAA37" s="926"/>
      <c r="RAB37" s="926"/>
      <c r="RAC37" s="926"/>
      <c r="RAD37" s="926"/>
      <c r="RAE37" s="926"/>
      <c r="RAF37" s="926"/>
      <c r="RAG37" s="926"/>
      <c r="RAH37" s="926"/>
      <c r="RAI37" s="926"/>
      <c r="RAJ37" s="926"/>
      <c r="RAK37" s="926"/>
      <c r="RAL37" s="926"/>
      <c r="RAM37" s="926"/>
      <c r="RAN37" s="926"/>
      <c r="RAO37" s="926"/>
      <c r="RAP37" s="926"/>
      <c r="RAQ37" s="926"/>
      <c r="RAR37" s="926"/>
      <c r="RAS37" s="926"/>
      <c r="RAT37" s="926"/>
      <c r="RAU37" s="926"/>
      <c r="RAV37" s="926"/>
      <c r="RAW37" s="926"/>
      <c r="RAX37" s="926"/>
      <c r="RAY37" s="926"/>
      <c r="RAZ37" s="926"/>
      <c r="RBA37" s="926"/>
      <c r="RBB37" s="926"/>
      <c r="RBC37" s="926"/>
      <c r="RBD37" s="926"/>
      <c r="RBE37" s="926"/>
      <c r="RBF37" s="926"/>
      <c r="RBG37" s="926"/>
      <c r="RBH37" s="926"/>
      <c r="RBI37" s="926"/>
      <c r="RBJ37" s="926"/>
      <c r="RBK37" s="926"/>
      <c r="RBL37" s="926"/>
      <c r="RBM37" s="926"/>
      <c r="RBN37" s="926"/>
      <c r="RBO37" s="926"/>
      <c r="RBP37" s="926"/>
      <c r="RBQ37" s="926"/>
      <c r="RBR37" s="926"/>
      <c r="RBS37" s="926"/>
      <c r="RBT37" s="926"/>
      <c r="RBU37" s="926"/>
      <c r="RBV37" s="926"/>
      <c r="RBW37" s="926"/>
      <c r="RBX37" s="926"/>
      <c r="RBY37" s="926"/>
      <c r="RBZ37" s="926"/>
      <c r="RCA37" s="926"/>
      <c r="RCB37" s="926"/>
      <c r="RCC37" s="926"/>
      <c r="RCD37" s="926"/>
      <c r="RCE37" s="926"/>
      <c r="RCF37" s="926"/>
      <c r="RCG37" s="926"/>
      <c r="RCH37" s="926"/>
      <c r="RCI37" s="926"/>
      <c r="RCJ37" s="926"/>
      <c r="RCK37" s="926"/>
      <c r="RCL37" s="926"/>
      <c r="RCM37" s="926"/>
      <c r="RCN37" s="926"/>
      <c r="RCO37" s="926"/>
      <c r="RCP37" s="926"/>
      <c r="RCQ37" s="926"/>
      <c r="RCR37" s="926"/>
      <c r="RCS37" s="926"/>
      <c r="RCT37" s="926"/>
      <c r="RCU37" s="926"/>
      <c r="RCV37" s="926"/>
      <c r="RCW37" s="926"/>
      <c r="RCX37" s="926"/>
      <c r="RCY37" s="926"/>
      <c r="RCZ37" s="926"/>
      <c r="RDA37" s="926"/>
      <c r="RDB37" s="926"/>
      <c r="RDC37" s="926"/>
      <c r="RDD37" s="926"/>
      <c r="RDE37" s="926"/>
      <c r="RDF37" s="926"/>
      <c r="RDG37" s="926"/>
      <c r="RDH37" s="926"/>
      <c r="RDI37" s="926"/>
      <c r="RDJ37" s="926"/>
      <c r="RDK37" s="926"/>
      <c r="RDL37" s="926"/>
      <c r="RDM37" s="926"/>
      <c r="RDN37" s="926"/>
      <c r="RDO37" s="926"/>
      <c r="RDP37" s="926"/>
      <c r="RDQ37" s="926"/>
      <c r="RDR37" s="926"/>
      <c r="RDS37" s="926"/>
      <c r="RDT37" s="926"/>
      <c r="RDU37" s="926"/>
      <c r="RDV37" s="926"/>
      <c r="RDW37" s="926"/>
      <c r="RDX37" s="926"/>
      <c r="RDY37" s="926"/>
      <c r="RDZ37" s="926"/>
      <c r="REA37" s="926"/>
      <c r="REB37" s="926"/>
      <c r="REC37" s="926"/>
      <c r="RED37" s="926"/>
      <c r="REE37" s="926"/>
      <c r="REF37" s="926"/>
      <c r="REG37" s="926"/>
      <c r="REH37" s="926"/>
      <c r="REI37" s="926"/>
      <c r="REJ37" s="926"/>
      <c r="REK37" s="926"/>
      <c r="REL37" s="926"/>
      <c r="REM37" s="926"/>
      <c r="REN37" s="926"/>
      <c r="REO37" s="926"/>
      <c r="REP37" s="926"/>
      <c r="REQ37" s="926"/>
      <c r="RER37" s="926"/>
      <c r="RES37" s="926"/>
      <c r="RET37" s="926"/>
      <c r="REU37" s="926"/>
      <c r="REV37" s="926"/>
      <c r="REW37" s="926"/>
      <c r="REX37" s="926"/>
      <c r="REY37" s="926"/>
      <c r="REZ37" s="926"/>
      <c r="RFA37" s="926"/>
      <c r="RFB37" s="926"/>
      <c r="RFC37" s="926"/>
      <c r="RFD37" s="926"/>
      <c r="RFE37" s="926"/>
      <c r="RFF37" s="926"/>
      <c r="RFG37" s="926"/>
      <c r="RFH37" s="926"/>
      <c r="RFI37" s="926"/>
      <c r="RFJ37" s="926"/>
      <c r="RFK37" s="926"/>
      <c r="RFL37" s="926"/>
      <c r="RFM37" s="926"/>
      <c r="RFN37" s="926"/>
      <c r="RFO37" s="926"/>
      <c r="RFP37" s="926"/>
      <c r="RFQ37" s="926"/>
      <c r="RFR37" s="926"/>
      <c r="RFS37" s="926"/>
      <c r="RFT37" s="926"/>
      <c r="RFU37" s="926"/>
      <c r="RFV37" s="926"/>
      <c r="RFW37" s="926"/>
      <c r="RFX37" s="926"/>
      <c r="RFY37" s="926"/>
      <c r="RFZ37" s="926"/>
      <c r="RGA37" s="926"/>
      <c r="RGB37" s="926"/>
      <c r="RGC37" s="926"/>
      <c r="RGD37" s="926"/>
      <c r="RGE37" s="926"/>
      <c r="RGF37" s="926"/>
      <c r="RGG37" s="926"/>
      <c r="RGH37" s="926"/>
      <c r="RGI37" s="926"/>
      <c r="RGJ37" s="926"/>
      <c r="RGK37" s="926"/>
      <c r="RGL37" s="926"/>
      <c r="RGM37" s="926"/>
      <c r="RGN37" s="926"/>
      <c r="RGO37" s="926"/>
      <c r="RGP37" s="926"/>
      <c r="RGQ37" s="926"/>
      <c r="RGR37" s="926"/>
      <c r="RGS37" s="926"/>
      <c r="RGT37" s="926"/>
      <c r="RGU37" s="926"/>
      <c r="RGV37" s="926"/>
      <c r="RGW37" s="926"/>
      <c r="RGX37" s="926"/>
      <c r="RGY37" s="926"/>
      <c r="RGZ37" s="926"/>
      <c r="RHA37" s="926"/>
      <c r="RHB37" s="926"/>
      <c r="RHC37" s="926"/>
      <c r="RHD37" s="926"/>
      <c r="RHE37" s="926"/>
      <c r="RHF37" s="926"/>
      <c r="RHG37" s="926"/>
      <c r="RHH37" s="926"/>
      <c r="RHI37" s="926"/>
      <c r="RHJ37" s="926"/>
      <c r="RHK37" s="926"/>
      <c r="RHL37" s="926"/>
      <c r="RHM37" s="926"/>
      <c r="RHN37" s="926"/>
      <c r="RHO37" s="926"/>
      <c r="RHP37" s="926"/>
      <c r="RHQ37" s="926"/>
      <c r="RHR37" s="926"/>
      <c r="RHS37" s="926"/>
      <c r="RHT37" s="926"/>
      <c r="RHU37" s="926"/>
      <c r="RHV37" s="926"/>
      <c r="RHW37" s="926"/>
      <c r="RHX37" s="926"/>
      <c r="RHY37" s="926"/>
      <c r="RHZ37" s="926"/>
      <c r="RIA37" s="926"/>
      <c r="RIB37" s="926"/>
      <c r="RIC37" s="926"/>
      <c r="RID37" s="926"/>
      <c r="RIE37" s="926"/>
      <c r="RIF37" s="926"/>
      <c r="RIG37" s="926"/>
      <c r="RIH37" s="926"/>
      <c r="RII37" s="926"/>
      <c r="RIJ37" s="926"/>
      <c r="RIK37" s="926"/>
      <c r="RIL37" s="926"/>
      <c r="RIM37" s="926"/>
      <c r="RIN37" s="926"/>
      <c r="RIO37" s="926"/>
      <c r="RIP37" s="926"/>
      <c r="RIQ37" s="926"/>
      <c r="RIR37" s="926"/>
      <c r="RIS37" s="926"/>
      <c r="RIT37" s="926"/>
      <c r="RIU37" s="926"/>
      <c r="RIV37" s="926"/>
      <c r="RIW37" s="926"/>
      <c r="RIX37" s="926"/>
      <c r="RIY37" s="926"/>
      <c r="RIZ37" s="926"/>
      <c r="RJA37" s="926"/>
      <c r="RJB37" s="926"/>
      <c r="RJC37" s="926"/>
      <c r="RJD37" s="926"/>
      <c r="RJE37" s="926"/>
      <c r="RJF37" s="926"/>
      <c r="RJG37" s="926"/>
      <c r="RJH37" s="926"/>
      <c r="RJI37" s="926"/>
      <c r="RJJ37" s="926"/>
      <c r="RJK37" s="926"/>
      <c r="RJL37" s="926"/>
      <c r="RJM37" s="926"/>
      <c r="RJN37" s="926"/>
      <c r="RJO37" s="926"/>
      <c r="RJP37" s="926"/>
      <c r="RJQ37" s="926"/>
      <c r="RJR37" s="926"/>
      <c r="RJS37" s="926"/>
      <c r="RJT37" s="926"/>
      <c r="RJU37" s="926"/>
      <c r="RJV37" s="926"/>
      <c r="RJW37" s="926"/>
      <c r="RJX37" s="926"/>
      <c r="RJY37" s="926"/>
      <c r="RJZ37" s="926"/>
      <c r="RKA37" s="926"/>
      <c r="RKB37" s="926"/>
      <c r="RKC37" s="926"/>
      <c r="RKD37" s="926"/>
      <c r="RKE37" s="926"/>
      <c r="RKF37" s="926"/>
      <c r="RKG37" s="926"/>
      <c r="RKH37" s="926"/>
      <c r="RKI37" s="926"/>
      <c r="RKJ37" s="926"/>
      <c r="RKK37" s="926"/>
      <c r="RKL37" s="926"/>
      <c r="RKM37" s="926"/>
      <c r="RKN37" s="926"/>
      <c r="RKO37" s="926"/>
      <c r="RKP37" s="926"/>
      <c r="RKQ37" s="926"/>
      <c r="RKR37" s="926"/>
      <c r="RKS37" s="926"/>
      <c r="RKT37" s="926"/>
      <c r="RKU37" s="926"/>
      <c r="RKV37" s="926"/>
      <c r="RKW37" s="926"/>
      <c r="RKX37" s="926"/>
      <c r="RKY37" s="926"/>
      <c r="RKZ37" s="926"/>
      <c r="RLA37" s="926"/>
      <c r="RLB37" s="926"/>
      <c r="RLC37" s="926"/>
      <c r="RLD37" s="926"/>
      <c r="RLE37" s="926"/>
      <c r="RLF37" s="926"/>
      <c r="RLG37" s="926"/>
      <c r="RLH37" s="926"/>
      <c r="RLI37" s="926"/>
      <c r="RLJ37" s="926"/>
      <c r="RLK37" s="926"/>
      <c r="RLL37" s="926"/>
      <c r="RLM37" s="926"/>
      <c r="RLN37" s="926"/>
      <c r="RLO37" s="926"/>
      <c r="RLP37" s="926"/>
      <c r="RLQ37" s="926"/>
      <c r="RLR37" s="926"/>
      <c r="RLS37" s="926"/>
      <c r="RLT37" s="926"/>
      <c r="RLU37" s="926"/>
      <c r="RLV37" s="926"/>
      <c r="RLW37" s="926"/>
      <c r="RLX37" s="926"/>
      <c r="RLY37" s="926"/>
      <c r="RLZ37" s="926"/>
      <c r="RMA37" s="926"/>
      <c r="RMB37" s="926"/>
      <c r="RMC37" s="926"/>
      <c r="RMD37" s="926"/>
      <c r="RME37" s="926"/>
      <c r="RMF37" s="926"/>
      <c r="RMG37" s="926"/>
      <c r="RMH37" s="926"/>
      <c r="RMI37" s="926"/>
      <c r="RMJ37" s="926"/>
      <c r="RMK37" s="926"/>
      <c r="RML37" s="926"/>
      <c r="RMM37" s="926"/>
      <c r="RMN37" s="926"/>
      <c r="RMO37" s="926"/>
      <c r="RMP37" s="926"/>
      <c r="RMQ37" s="926"/>
      <c r="RMR37" s="926"/>
      <c r="RMS37" s="926"/>
      <c r="RMT37" s="926"/>
      <c r="RMU37" s="926"/>
      <c r="RMV37" s="926"/>
      <c r="RMW37" s="926"/>
      <c r="RMX37" s="926"/>
      <c r="RMY37" s="926"/>
      <c r="RMZ37" s="926"/>
      <c r="RNA37" s="926"/>
      <c r="RNB37" s="926"/>
      <c r="RNC37" s="926"/>
      <c r="RND37" s="926"/>
      <c r="RNE37" s="926"/>
      <c r="RNF37" s="926"/>
      <c r="RNG37" s="926"/>
      <c r="RNH37" s="926"/>
      <c r="RNI37" s="926"/>
      <c r="RNJ37" s="926"/>
      <c r="RNK37" s="926"/>
      <c r="RNL37" s="926"/>
      <c r="RNM37" s="926"/>
      <c r="RNN37" s="926"/>
      <c r="RNO37" s="926"/>
      <c r="RNP37" s="926"/>
      <c r="RNQ37" s="926"/>
      <c r="RNR37" s="926"/>
      <c r="RNS37" s="926"/>
      <c r="RNT37" s="926"/>
      <c r="RNU37" s="926"/>
      <c r="RNV37" s="926"/>
      <c r="RNW37" s="926"/>
      <c r="RNX37" s="926"/>
      <c r="RNY37" s="926"/>
      <c r="RNZ37" s="926"/>
      <c r="ROA37" s="926"/>
      <c r="ROB37" s="926"/>
      <c r="ROC37" s="926"/>
      <c r="ROD37" s="926"/>
      <c r="ROE37" s="926"/>
      <c r="ROF37" s="926"/>
      <c r="ROG37" s="926"/>
      <c r="ROH37" s="926"/>
      <c r="ROI37" s="926"/>
      <c r="ROJ37" s="926"/>
      <c r="ROK37" s="926"/>
      <c r="ROL37" s="926"/>
      <c r="ROM37" s="926"/>
      <c r="RON37" s="926"/>
      <c r="ROO37" s="926"/>
      <c r="ROP37" s="926"/>
      <c r="ROQ37" s="926"/>
      <c r="ROR37" s="926"/>
      <c r="ROS37" s="926"/>
      <c r="ROT37" s="926"/>
      <c r="ROU37" s="926"/>
      <c r="ROV37" s="926"/>
      <c r="ROW37" s="926"/>
      <c r="ROX37" s="926"/>
      <c r="ROY37" s="926"/>
      <c r="ROZ37" s="926"/>
      <c r="RPA37" s="926"/>
      <c r="RPB37" s="926"/>
      <c r="RPC37" s="926"/>
      <c r="RPD37" s="926"/>
      <c r="RPE37" s="926"/>
      <c r="RPF37" s="926"/>
      <c r="RPG37" s="926"/>
      <c r="RPH37" s="926"/>
      <c r="RPI37" s="926"/>
      <c r="RPJ37" s="926"/>
      <c r="RPK37" s="926"/>
      <c r="RPL37" s="926"/>
      <c r="RPM37" s="926"/>
      <c r="RPN37" s="926"/>
      <c r="RPO37" s="926"/>
      <c r="RPP37" s="926"/>
      <c r="RPQ37" s="926"/>
      <c r="RPR37" s="926"/>
      <c r="RPS37" s="926"/>
      <c r="RPT37" s="926"/>
      <c r="RPU37" s="926"/>
      <c r="RPV37" s="926"/>
      <c r="RPW37" s="926"/>
      <c r="RPX37" s="926"/>
      <c r="RPY37" s="926"/>
      <c r="RPZ37" s="926"/>
      <c r="RQA37" s="926"/>
      <c r="RQB37" s="926"/>
      <c r="RQC37" s="926"/>
      <c r="RQD37" s="926"/>
      <c r="RQE37" s="926"/>
      <c r="RQF37" s="926"/>
      <c r="RQG37" s="926"/>
      <c r="RQH37" s="926"/>
      <c r="RQI37" s="926"/>
      <c r="RQJ37" s="926"/>
      <c r="RQK37" s="926"/>
      <c r="RQL37" s="926"/>
      <c r="RQM37" s="926"/>
      <c r="RQN37" s="926"/>
      <c r="RQO37" s="926"/>
      <c r="RQP37" s="926"/>
      <c r="RQQ37" s="926"/>
      <c r="RQR37" s="926"/>
      <c r="RQS37" s="926"/>
      <c r="RQT37" s="926"/>
      <c r="RQU37" s="926"/>
      <c r="RQV37" s="926"/>
      <c r="RQW37" s="926"/>
      <c r="RQX37" s="926"/>
      <c r="RQY37" s="926"/>
      <c r="RQZ37" s="926"/>
      <c r="RRA37" s="926"/>
      <c r="RRB37" s="926"/>
      <c r="RRC37" s="926"/>
      <c r="RRD37" s="926"/>
      <c r="RRE37" s="926"/>
      <c r="RRF37" s="926"/>
      <c r="RRG37" s="926"/>
      <c r="RRH37" s="926"/>
      <c r="RRI37" s="926"/>
      <c r="RRJ37" s="926"/>
      <c r="RRK37" s="926"/>
      <c r="RRL37" s="926"/>
      <c r="RRM37" s="926"/>
      <c r="RRN37" s="926"/>
      <c r="RRO37" s="926"/>
      <c r="RRP37" s="926"/>
      <c r="RRQ37" s="926"/>
      <c r="RRR37" s="926"/>
      <c r="RRS37" s="926"/>
      <c r="RRT37" s="926"/>
      <c r="RRU37" s="926"/>
      <c r="RRV37" s="926"/>
      <c r="RRW37" s="926"/>
      <c r="RRX37" s="926"/>
      <c r="RRY37" s="926"/>
      <c r="RRZ37" s="926"/>
      <c r="RSA37" s="926"/>
      <c r="RSB37" s="926"/>
      <c r="RSC37" s="926"/>
      <c r="RSD37" s="926"/>
      <c r="RSE37" s="926"/>
      <c r="RSF37" s="926"/>
      <c r="RSG37" s="926"/>
      <c r="RSH37" s="926"/>
      <c r="RSI37" s="926"/>
      <c r="RSJ37" s="926"/>
      <c r="RSK37" s="926"/>
      <c r="RSL37" s="926"/>
      <c r="RSM37" s="926"/>
      <c r="RSN37" s="926"/>
      <c r="RSO37" s="926"/>
      <c r="RSP37" s="926"/>
      <c r="RSQ37" s="926"/>
      <c r="RSR37" s="926"/>
      <c r="RSS37" s="926"/>
      <c r="RST37" s="926"/>
      <c r="RSU37" s="926"/>
      <c r="RSV37" s="926"/>
      <c r="RSW37" s="926"/>
      <c r="RSX37" s="926"/>
      <c r="RSY37" s="926"/>
      <c r="RSZ37" s="926"/>
      <c r="RTA37" s="926"/>
      <c r="RTB37" s="926"/>
      <c r="RTC37" s="926"/>
      <c r="RTD37" s="926"/>
      <c r="RTE37" s="926"/>
      <c r="RTF37" s="926"/>
      <c r="RTG37" s="926"/>
      <c r="RTH37" s="926"/>
      <c r="RTI37" s="926"/>
      <c r="RTJ37" s="926"/>
      <c r="RTK37" s="926"/>
      <c r="RTL37" s="926"/>
      <c r="RTM37" s="926"/>
      <c r="RTN37" s="926"/>
      <c r="RTO37" s="926"/>
      <c r="RTP37" s="926"/>
      <c r="RTQ37" s="926"/>
      <c r="RTR37" s="926"/>
      <c r="RTS37" s="926"/>
      <c r="RTT37" s="926"/>
      <c r="RTU37" s="926"/>
      <c r="RTV37" s="926"/>
      <c r="RTW37" s="926"/>
      <c r="RTX37" s="926"/>
      <c r="RTY37" s="926"/>
      <c r="RTZ37" s="926"/>
      <c r="RUA37" s="926"/>
      <c r="RUB37" s="926"/>
      <c r="RUC37" s="926"/>
      <c r="RUD37" s="926"/>
      <c r="RUE37" s="926"/>
      <c r="RUF37" s="926"/>
      <c r="RUG37" s="926"/>
      <c r="RUH37" s="926"/>
      <c r="RUI37" s="926"/>
      <c r="RUJ37" s="926"/>
      <c r="RUK37" s="926"/>
      <c r="RUL37" s="926"/>
      <c r="RUM37" s="926"/>
      <c r="RUN37" s="926"/>
      <c r="RUO37" s="926"/>
      <c r="RUP37" s="926"/>
      <c r="RUQ37" s="926"/>
      <c r="RUR37" s="926"/>
      <c r="RUS37" s="926"/>
      <c r="RUT37" s="926"/>
      <c r="RUU37" s="926"/>
      <c r="RUV37" s="926"/>
      <c r="RUW37" s="926"/>
      <c r="RUX37" s="926"/>
      <c r="RUY37" s="926"/>
      <c r="RUZ37" s="926"/>
      <c r="RVA37" s="926"/>
      <c r="RVB37" s="926"/>
      <c r="RVC37" s="926"/>
      <c r="RVD37" s="926"/>
      <c r="RVE37" s="926"/>
      <c r="RVF37" s="926"/>
      <c r="RVG37" s="926"/>
      <c r="RVH37" s="926"/>
      <c r="RVI37" s="926"/>
      <c r="RVJ37" s="926"/>
      <c r="RVK37" s="926"/>
      <c r="RVL37" s="926"/>
      <c r="RVM37" s="926"/>
      <c r="RVN37" s="926"/>
      <c r="RVO37" s="926"/>
      <c r="RVP37" s="926"/>
      <c r="RVQ37" s="926"/>
      <c r="RVR37" s="926"/>
      <c r="RVS37" s="926"/>
      <c r="RVT37" s="926"/>
      <c r="RVU37" s="926"/>
      <c r="RVV37" s="926"/>
      <c r="RVW37" s="926"/>
      <c r="RVX37" s="926"/>
      <c r="RVY37" s="926"/>
      <c r="RVZ37" s="926"/>
      <c r="RWA37" s="926"/>
      <c r="RWB37" s="926"/>
      <c r="RWC37" s="926"/>
      <c r="RWD37" s="926"/>
      <c r="RWE37" s="926"/>
      <c r="RWF37" s="926"/>
      <c r="RWG37" s="926"/>
      <c r="RWH37" s="926"/>
      <c r="RWI37" s="926"/>
      <c r="RWJ37" s="926"/>
      <c r="RWK37" s="926"/>
      <c r="RWL37" s="926"/>
      <c r="RWM37" s="926"/>
      <c r="RWN37" s="926"/>
      <c r="RWO37" s="926"/>
      <c r="RWP37" s="926"/>
      <c r="RWQ37" s="926"/>
      <c r="RWR37" s="926"/>
      <c r="RWS37" s="926"/>
      <c r="RWT37" s="926"/>
      <c r="RWU37" s="926"/>
      <c r="RWV37" s="926"/>
      <c r="RWW37" s="926"/>
      <c r="RWX37" s="926"/>
      <c r="RWY37" s="926"/>
      <c r="RWZ37" s="926"/>
      <c r="RXA37" s="926"/>
      <c r="RXB37" s="926"/>
      <c r="RXC37" s="926"/>
      <c r="RXD37" s="926"/>
      <c r="RXE37" s="926"/>
      <c r="RXF37" s="926"/>
      <c r="RXG37" s="926"/>
      <c r="RXH37" s="926"/>
      <c r="RXI37" s="926"/>
      <c r="RXJ37" s="926"/>
      <c r="RXK37" s="926"/>
      <c r="RXL37" s="926"/>
      <c r="RXM37" s="926"/>
      <c r="RXN37" s="926"/>
      <c r="RXO37" s="926"/>
      <c r="RXP37" s="926"/>
      <c r="RXQ37" s="926"/>
      <c r="RXR37" s="926"/>
      <c r="RXS37" s="926"/>
      <c r="RXT37" s="926"/>
      <c r="RXU37" s="926"/>
      <c r="RXV37" s="926"/>
      <c r="RXW37" s="926"/>
      <c r="RXX37" s="926"/>
      <c r="RXY37" s="926"/>
      <c r="RXZ37" s="926"/>
      <c r="RYA37" s="926"/>
      <c r="RYB37" s="926"/>
      <c r="RYC37" s="926"/>
      <c r="RYD37" s="926"/>
      <c r="RYE37" s="926"/>
      <c r="RYF37" s="926"/>
      <c r="RYG37" s="926"/>
      <c r="RYH37" s="926"/>
      <c r="RYI37" s="926"/>
      <c r="RYJ37" s="926"/>
      <c r="RYK37" s="926"/>
      <c r="RYL37" s="926"/>
      <c r="RYM37" s="926"/>
      <c r="RYN37" s="926"/>
      <c r="RYO37" s="926"/>
      <c r="RYP37" s="926"/>
      <c r="RYQ37" s="926"/>
      <c r="RYR37" s="926"/>
      <c r="RYS37" s="926"/>
      <c r="RYT37" s="926"/>
      <c r="RYU37" s="926"/>
      <c r="RYV37" s="926"/>
      <c r="RYW37" s="926"/>
      <c r="RYX37" s="926"/>
      <c r="RYY37" s="926"/>
      <c r="RYZ37" s="926"/>
      <c r="RZA37" s="926"/>
      <c r="RZB37" s="926"/>
      <c r="RZC37" s="926"/>
      <c r="RZD37" s="926"/>
      <c r="RZE37" s="926"/>
      <c r="RZF37" s="926"/>
      <c r="RZG37" s="926"/>
      <c r="RZH37" s="926"/>
      <c r="RZI37" s="926"/>
      <c r="RZJ37" s="926"/>
      <c r="RZK37" s="926"/>
      <c r="RZL37" s="926"/>
      <c r="RZM37" s="926"/>
      <c r="RZN37" s="926"/>
      <c r="RZO37" s="926"/>
      <c r="RZP37" s="926"/>
      <c r="RZQ37" s="926"/>
      <c r="RZR37" s="926"/>
      <c r="RZS37" s="926"/>
      <c r="RZT37" s="926"/>
      <c r="RZU37" s="926"/>
      <c r="RZV37" s="926"/>
      <c r="RZW37" s="926"/>
      <c r="RZX37" s="926"/>
      <c r="RZY37" s="926"/>
      <c r="RZZ37" s="926"/>
      <c r="SAA37" s="926"/>
      <c r="SAB37" s="926"/>
      <c r="SAC37" s="926"/>
      <c r="SAD37" s="926"/>
      <c r="SAE37" s="926"/>
      <c r="SAF37" s="926"/>
      <c r="SAG37" s="926"/>
      <c r="SAH37" s="926"/>
      <c r="SAI37" s="926"/>
      <c r="SAJ37" s="926"/>
      <c r="SAK37" s="926"/>
      <c r="SAL37" s="926"/>
      <c r="SAM37" s="926"/>
      <c r="SAN37" s="926"/>
      <c r="SAO37" s="926"/>
      <c r="SAP37" s="926"/>
      <c r="SAQ37" s="926"/>
      <c r="SAR37" s="926"/>
      <c r="SAS37" s="926"/>
      <c r="SAT37" s="926"/>
      <c r="SAU37" s="926"/>
      <c r="SAV37" s="926"/>
      <c r="SAW37" s="926"/>
      <c r="SAX37" s="926"/>
      <c r="SAY37" s="926"/>
      <c r="SAZ37" s="926"/>
      <c r="SBA37" s="926"/>
      <c r="SBB37" s="926"/>
      <c r="SBC37" s="926"/>
      <c r="SBD37" s="926"/>
      <c r="SBE37" s="926"/>
      <c r="SBF37" s="926"/>
      <c r="SBG37" s="926"/>
      <c r="SBH37" s="926"/>
      <c r="SBI37" s="926"/>
      <c r="SBJ37" s="926"/>
      <c r="SBK37" s="926"/>
      <c r="SBL37" s="926"/>
      <c r="SBM37" s="926"/>
      <c r="SBN37" s="926"/>
      <c r="SBO37" s="926"/>
      <c r="SBP37" s="926"/>
      <c r="SBQ37" s="926"/>
      <c r="SBR37" s="926"/>
      <c r="SBS37" s="926"/>
      <c r="SBT37" s="926"/>
      <c r="SBU37" s="926"/>
      <c r="SBV37" s="926"/>
      <c r="SBW37" s="926"/>
      <c r="SBX37" s="926"/>
      <c r="SBY37" s="926"/>
      <c r="SBZ37" s="926"/>
      <c r="SCA37" s="926"/>
      <c r="SCB37" s="926"/>
      <c r="SCC37" s="926"/>
      <c r="SCD37" s="926"/>
      <c r="SCE37" s="926"/>
      <c r="SCF37" s="926"/>
      <c r="SCG37" s="926"/>
      <c r="SCH37" s="926"/>
      <c r="SCI37" s="926"/>
      <c r="SCJ37" s="926"/>
      <c r="SCK37" s="926"/>
      <c r="SCL37" s="926"/>
      <c r="SCM37" s="926"/>
      <c r="SCN37" s="926"/>
      <c r="SCO37" s="926"/>
      <c r="SCP37" s="926"/>
      <c r="SCQ37" s="926"/>
      <c r="SCR37" s="926"/>
      <c r="SCS37" s="926"/>
      <c r="SCT37" s="926"/>
      <c r="SCU37" s="926"/>
      <c r="SCV37" s="926"/>
      <c r="SCW37" s="926"/>
      <c r="SCX37" s="926"/>
      <c r="SCY37" s="926"/>
      <c r="SCZ37" s="926"/>
      <c r="SDA37" s="926"/>
      <c r="SDB37" s="926"/>
      <c r="SDC37" s="926"/>
      <c r="SDD37" s="926"/>
      <c r="SDE37" s="926"/>
      <c r="SDF37" s="926"/>
      <c r="SDG37" s="926"/>
      <c r="SDH37" s="926"/>
      <c r="SDI37" s="926"/>
      <c r="SDJ37" s="926"/>
      <c r="SDK37" s="926"/>
      <c r="SDL37" s="926"/>
      <c r="SDM37" s="926"/>
      <c r="SDN37" s="926"/>
      <c r="SDO37" s="926"/>
      <c r="SDP37" s="926"/>
      <c r="SDQ37" s="926"/>
      <c r="SDR37" s="926"/>
      <c r="SDS37" s="926"/>
      <c r="SDT37" s="926"/>
      <c r="SDU37" s="926"/>
      <c r="SDV37" s="926"/>
      <c r="SDW37" s="926"/>
      <c r="SDX37" s="926"/>
      <c r="SDY37" s="926"/>
      <c r="SDZ37" s="926"/>
      <c r="SEA37" s="926"/>
      <c r="SEB37" s="926"/>
      <c r="SEC37" s="926"/>
      <c r="SED37" s="926"/>
      <c r="SEE37" s="926"/>
      <c r="SEF37" s="926"/>
      <c r="SEG37" s="926"/>
      <c r="SEH37" s="926"/>
      <c r="SEI37" s="926"/>
      <c r="SEJ37" s="926"/>
      <c r="SEK37" s="926"/>
      <c r="SEL37" s="926"/>
      <c r="SEM37" s="926"/>
      <c r="SEN37" s="926"/>
      <c r="SEO37" s="926"/>
      <c r="SEP37" s="926"/>
      <c r="SEQ37" s="926"/>
      <c r="SER37" s="926"/>
      <c r="SES37" s="926"/>
      <c r="SET37" s="926"/>
      <c r="SEU37" s="926"/>
      <c r="SEV37" s="926"/>
      <c r="SEW37" s="926"/>
      <c r="SEX37" s="926"/>
      <c r="SEY37" s="926"/>
      <c r="SEZ37" s="926"/>
      <c r="SFA37" s="926"/>
      <c r="SFB37" s="926"/>
      <c r="SFC37" s="926"/>
      <c r="SFD37" s="926"/>
      <c r="SFE37" s="926"/>
      <c r="SFF37" s="926"/>
      <c r="SFG37" s="926"/>
      <c r="SFH37" s="926"/>
      <c r="SFI37" s="926"/>
      <c r="SFJ37" s="926"/>
      <c r="SFK37" s="926"/>
      <c r="SFL37" s="926"/>
      <c r="SFM37" s="926"/>
      <c r="SFN37" s="926"/>
      <c r="SFO37" s="926"/>
      <c r="SFP37" s="926"/>
      <c r="SFQ37" s="926"/>
      <c r="SFR37" s="926"/>
      <c r="SFS37" s="926"/>
      <c r="SFT37" s="926"/>
      <c r="SFU37" s="926"/>
      <c r="SFV37" s="926"/>
      <c r="SFW37" s="926"/>
      <c r="SFX37" s="926"/>
      <c r="SFY37" s="926"/>
      <c r="SFZ37" s="926"/>
      <c r="SGA37" s="926"/>
      <c r="SGB37" s="926"/>
      <c r="SGC37" s="926"/>
      <c r="SGD37" s="926"/>
      <c r="SGE37" s="926"/>
      <c r="SGF37" s="926"/>
      <c r="SGG37" s="926"/>
      <c r="SGH37" s="926"/>
      <c r="SGI37" s="926"/>
      <c r="SGJ37" s="926"/>
      <c r="SGK37" s="926"/>
      <c r="SGL37" s="926"/>
      <c r="SGM37" s="926"/>
      <c r="SGN37" s="926"/>
      <c r="SGO37" s="926"/>
      <c r="SGP37" s="926"/>
      <c r="SGQ37" s="926"/>
      <c r="SGR37" s="926"/>
      <c r="SGS37" s="926"/>
      <c r="SGT37" s="926"/>
      <c r="SGU37" s="926"/>
      <c r="SGV37" s="926"/>
      <c r="SGW37" s="926"/>
      <c r="SGX37" s="926"/>
      <c r="SGY37" s="926"/>
      <c r="SGZ37" s="926"/>
      <c r="SHA37" s="926"/>
      <c r="SHB37" s="926"/>
      <c r="SHC37" s="926"/>
      <c r="SHD37" s="926"/>
      <c r="SHE37" s="926"/>
      <c r="SHF37" s="926"/>
      <c r="SHG37" s="926"/>
      <c r="SHH37" s="926"/>
      <c r="SHI37" s="926"/>
      <c r="SHJ37" s="926"/>
      <c r="SHK37" s="926"/>
      <c r="SHL37" s="926"/>
      <c r="SHM37" s="926"/>
      <c r="SHN37" s="926"/>
      <c r="SHO37" s="926"/>
      <c r="SHP37" s="926"/>
      <c r="SHQ37" s="926"/>
      <c r="SHR37" s="926"/>
      <c r="SHS37" s="926"/>
      <c r="SHT37" s="926"/>
      <c r="SHU37" s="926"/>
      <c r="SHV37" s="926"/>
      <c r="SHW37" s="926"/>
      <c r="SHX37" s="926"/>
      <c r="SHY37" s="926"/>
      <c r="SHZ37" s="926"/>
      <c r="SIA37" s="926"/>
      <c r="SIB37" s="926"/>
      <c r="SIC37" s="926"/>
      <c r="SID37" s="926"/>
      <c r="SIE37" s="926"/>
      <c r="SIF37" s="926"/>
      <c r="SIG37" s="926"/>
      <c r="SIH37" s="926"/>
      <c r="SII37" s="926"/>
      <c r="SIJ37" s="926"/>
      <c r="SIK37" s="926"/>
      <c r="SIL37" s="926"/>
      <c r="SIM37" s="926"/>
      <c r="SIN37" s="926"/>
      <c r="SIO37" s="926"/>
      <c r="SIP37" s="926"/>
      <c r="SIQ37" s="926"/>
      <c r="SIR37" s="926"/>
      <c r="SIS37" s="926"/>
      <c r="SIT37" s="926"/>
      <c r="SIU37" s="926"/>
      <c r="SIV37" s="926"/>
      <c r="SIW37" s="926"/>
      <c r="SIX37" s="926"/>
      <c r="SIY37" s="926"/>
      <c r="SIZ37" s="926"/>
      <c r="SJA37" s="926"/>
      <c r="SJB37" s="926"/>
      <c r="SJC37" s="926"/>
      <c r="SJD37" s="926"/>
      <c r="SJE37" s="926"/>
      <c r="SJF37" s="926"/>
      <c r="SJG37" s="926"/>
      <c r="SJH37" s="926"/>
      <c r="SJI37" s="926"/>
      <c r="SJJ37" s="926"/>
      <c r="SJK37" s="926"/>
      <c r="SJL37" s="926"/>
      <c r="SJM37" s="926"/>
      <c r="SJN37" s="926"/>
      <c r="SJO37" s="926"/>
      <c r="SJP37" s="926"/>
      <c r="SJQ37" s="926"/>
      <c r="SJR37" s="926"/>
      <c r="SJS37" s="926"/>
      <c r="SJT37" s="926"/>
      <c r="SJU37" s="926"/>
      <c r="SJV37" s="926"/>
      <c r="SJW37" s="926"/>
      <c r="SJX37" s="926"/>
      <c r="SJY37" s="926"/>
      <c r="SJZ37" s="926"/>
      <c r="SKA37" s="926"/>
      <c r="SKB37" s="926"/>
      <c r="SKC37" s="926"/>
      <c r="SKD37" s="926"/>
      <c r="SKE37" s="926"/>
      <c r="SKF37" s="926"/>
      <c r="SKG37" s="926"/>
      <c r="SKH37" s="926"/>
      <c r="SKI37" s="926"/>
      <c r="SKJ37" s="926"/>
      <c r="SKK37" s="926"/>
      <c r="SKL37" s="926"/>
      <c r="SKM37" s="926"/>
      <c r="SKN37" s="926"/>
      <c r="SKO37" s="926"/>
      <c r="SKP37" s="926"/>
      <c r="SKQ37" s="926"/>
      <c r="SKR37" s="926"/>
      <c r="SKS37" s="926"/>
      <c r="SKT37" s="926"/>
      <c r="SKU37" s="926"/>
      <c r="SKV37" s="926"/>
      <c r="SKW37" s="926"/>
      <c r="SKX37" s="926"/>
      <c r="SKY37" s="926"/>
      <c r="SKZ37" s="926"/>
      <c r="SLA37" s="926"/>
      <c r="SLB37" s="926"/>
      <c r="SLC37" s="926"/>
      <c r="SLD37" s="926"/>
      <c r="SLE37" s="926"/>
      <c r="SLF37" s="926"/>
      <c r="SLG37" s="926"/>
      <c r="SLH37" s="926"/>
      <c r="SLI37" s="926"/>
      <c r="SLJ37" s="926"/>
      <c r="SLK37" s="926"/>
      <c r="SLL37" s="926"/>
      <c r="SLM37" s="926"/>
      <c r="SLN37" s="926"/>
      <c r="SLO37" s="926"/>
      <c r="SLP37" s="926"/>
      <c r="SLQ37" s="926"/>
      <c r="SLR37" s="926"/>
      <c r="SLS37" s="926"/>
      <c r="SLT37" s="926"/>
      <c r="SLU37" s="926"/>
      <c r="SLV37" s="926"/>
      <c r="SLW37" s="926"/>
      <c r="SLX37" s="926"/>
      <c r="SLY37" s="926"/>
      <c r="SLZ37" s="926"/>
      <c r="SMA37" s="926"/>
      <c r="SMB37" s="926"/>
      <c r="SMC37" s="926"/>
      <c r="SMD37" s="926"/>
      <c r="SME37" s="926"/>
      <c r="SMF37" s="926"/>
      <c r="SMG37" s="926"/>
      <c r="SMH37" s="926"/>
      <c r="SMI37" s="926"/>
      <c r="SMJ37" s="926"/>
      <c r="SMK37" s="926"/>
      <c r="SML37" s="926"/>
      <c r="SMM37" s="926"/>
      <c r="SMN37" s="926"/>
      <c r="SMO37" s="926"/>
      <c r="SMP37" s="926"/>
      <c r="SMQ37" s="926"/>
      <c r="SMR37" s="926"/>
      <c r="SMS37" s="926"/>
      <c r="SMT37" s="926"/>
      <c r="SMU37" s="926"/>
      <c r="SMV37" s="926"/>
      <c r="SMW37" s="926"/>
      <c r="SMX37" s="926"/>
      <c r="SMY37" s="926"/>
      <c r="SMZ37" s="926"/>
      <c r="SNA37" s="926"/>
      <c r="SNB37" s="926"/>
      <c r="SNC37" s="926"/>
      <c r="SND37" s="926"/>
      <c r="SNE37" s="926"/>
      <c r="SNF37" s="926"/>
      <c r="SNG37" s="926"/>
      <c r="SNH37" s="926"/>
      <c r="SNI37" s="926"/>
      <c r="SNJ37" s="926"/>
      <c r="SNK37" s="926"/>
      <c r="SNL37" s="926"/>
      <c r="SNM37" s="926"/>
      <c r="SNN37" s="926"/>
      <c r="SNO37" s="926"/>
      <c r="SNP37" s="926"/>
      <c r="SNQ37" s="926"/>
      <c r="SNR37" s="926"/>
      <c r="SNS37" s="926"/>
      <c r="SNT37" s="926"/>
      <c r="SNU37" s="926"/>
      <c r="SNV37" s="926"/>
      <c r="SNW37" s="926"/>
      <c r="SNX37" s="926"/>
      <c r="SNY37" s="926"/>
      <c r="SNZ37" s="926"/>
      <c r="SOA37" s="926"/>
      <c r="SOB37" s="926"/>
      <c r="SOC37" s="926"/>
      <c r="SOD37" s="926"/>
      <c r="SOE37" s="926"/>
      <c r="SOF37" s="926"/>
      <c r="SOG37" s="926"/>
      <c r="SOH37" s="926"/>
      <c r="SOI37" s="926"/>
      <c r="SOJ37" s="926"/>
      <c r="SOK37" s="926"/>
      <c r="SOL37" s="926"/>
      <c r="SOM37" s="926"/>
      <c r="SON37" s="926"/>
      <c r="SOO37" s="926"/>
      <c r="SOP37" s="926"/>
      <c r="SOQ37" s="926"/>
      <c r="SOR37" s="926"/>
      <c r="SOS37" s="926"/>
      <c r="SOT37" s="926"/>
      <c r="SOU37" s="926"/>
      <c r="SOV37" s="926"/>
      <c r="SOW37" s="926"/>
      <c r="SOX37" s="926"/>
      <c r="SOY37" s="926"/>
      <c r="SOZ37" s="926"/>
      <c r="SPA37" s="926"/>
      <c r="SPB37" s="926"/>
      <c r="SPC37" s="926"/>
      <c r="SPD37" s="926"/>
      <c r="SPE37" s="926"/>
      <c r="SPF37" s="926"/>
      <c r="SPG37" s="926"/>
      <c r="SPH37" s="926"/>
      <c r="SPI37" s="926"/>
      <c r="SPJ37" s="926"/>
      <c r="SPK37" s="926"/>
      <c r="SPL37" s="926"/>
      <c r="SPM37" s="926"/>
      <c r="SPN37" s="926"/>
      <c r="SPO37" s="926"/>
      <c r="SPP37" s="926"/>
      <c r="SPQ37" s="926"/>
      <c r="SPR37" s="926"/>
      <c r="SPS37" s="926"/>
      <c r="SPT37" s="926"/>
      <c r="SPU37" s="926"/>
      <c r="SPV37" s="926"/>
      <c r="SPW37" s="926"/>
      <c r="SPX37" s="926"/>
      <c r="SPY37" s="926"/>
      <c r="SPZ37" s="926"/>
      <c r="SQA37" s="926"/>
      <c r="SQB37" s="926"/>
      <c r="SQC37" s="926"/>
      <c r="SQD37" s="926"/>
      <c r="SQE37" s="926"/>
      <c r="SQF37" s="926"/>
      <c r="SQG37" s="926"/>
      <c r="SQH37" s="926"/>
      <c r="SQI37" s="926"/>
      <c r="SQJ37" s="926"/>
      <c r="SQK37" s="926"/>
      <c r="SQL37" s="926"/>
      <c r="SQM37" s="926"/>
      <c r="SQN37" s="926"/>
      <c r="SQO37" s="926"/>
      <c r="SQP37" s="926"/>
      <c r="SQQ37" s="926"/>
      <c r="SQR37" s="926"/>
      <c r="SQS37" s="926"/>
      <c r="SQT37" s="926"/>
      <c r="SQU37" s="926"/>
      <c r="SQV37" s="926"/>
      <c r="SQW37" s="926"/>
      <c r="SQX37" s="926"/>
      <c r="SQY37" s="926"/>
      <c r="SQZ37" s="926"/>
      <c r="SRA37" s="926"/>
      <c r="SRB37" s="926"/>
      <c r="SRC37" s="926"/>
      <c r="SRD37" s="926"/>
      <c r="SRE37" s="926"/>
      <c r="SRF37" s="926"/>
      <c r="SRG37" s="926"/>
      <c r="SRH37" s="926"/>
      <c r="SRI37" s="926"/>
      <c r="SRJ37" s="926"/>
      <c r="SRK37" s="926"/>
      <c r="SRL37" s="926"/>
      <c r="SRM37" s="926"/>
      <c r="SRN37" s="926"/>
      <c r="SRO37" s="926"/>
      <c r="SRP37" s="926"/>
      <c r="SRQ37" s="926"/>
      <c r="SRR37" s="926"/>
      <c r="SRS37" s="926"/>
      <c r="SRT37" s="926"/>
      <c r="SRU37" s="926"/>
      <c r="SRV37" s="926"/>
      <c r="SRW37" s="926"/>
      <c r="SRX37" s="926"/>
      <c r="SRY37" s="926"/>
      <c r="SRZ37" s="926"/>
      <c r="SSA37" s="926"/>
      <c r="SSB37" s="926"/>
      <c r="SSC37" s="926"/>
      <c r="SSD37" s="926"/>
      <c r="SSE37" s="926"/>
      <c r="SSF37" s="926"/>
      <c r="SSG37" s="926"/>
      <c r="SSH37" s="926"/>
      <c r="SSI37" s="926"/>
      <c r="SSJ37" s="926"/>
      <c r="SSK37" s="926"/>
      <c r="SSL37" s="926"/>
      <c r="SSM37" s="926"/>
      <c r="SSN37" s="926"/>
      <c r="SSO37" s="926"/>
      <c r="SSP37" s="926"/>
      <c r="SSQ37" s="926"/>
      <c r="SSR37" s="926"/>
      <c r="SSS37" s="926"/>
      <c r="SST37" s="926"/>
      <c r="SSU37" s="926"/>
      <c r="SSV37" s="926"/>
      <c r="SSW37" s="926"/>
      <c r="SSX37" s="926"/>
      <c r="SSY37" s="926"/>
      <c r="SSZ37" s="926"/>
      <c r="STA37" s="926"/>
      <c r="STB37" s="926"/>
      <c r="STC37" s="926"/>
      <c r="STD37" s="926"/>
      <c r="STE37" s="926"/>
      <c r="STF37" s="926"/>
      <c r="STG37" s="926"/>
      <c r="STH37" s="926"/>
      <c r="STI37" s="926"/>
      <c r="STJ37" s="926"/>
      <c r="STK37" s="926"/>
      <c r="STL37" s="926"/>
      <c r="STM37" s="926"/>
      <c r="STN37" s="926"/>
      <c r="STO37" s="926"/>
      <c r="STP37" s="926"/>
      <c r="STQ37" s="926"/>
      <c r="STR37" s="926"/>
      <c r="STS37" s="926"/>
      <c r="STT37" s="926"/>
      <c r="STU37" s="926"/>
      <c r="STV37" s="926"/>
      <c r="STW37" s="926"/>
      <c r="STX37" s="926"/>
      <c r="STY37" s="926"/>
      <c r="STZ37" s="926"/>
      <c r="SUA37" s="926"/>
      <c r="SUB37" s="926"/>
      <c r="SUC37" s="926"/>
      <c r="SUD37" s="926"/>
      <c r="SUE37" s="926"/>
      <c r="SUF37" s="926"/>
      <c r="SUG37" s="926"/>
      <c r="SUH37" s="926"/>
      <c r="SUI37" s="926"/>
      <c r="SUJ37" s="926"/>
      <c r="SUK37" s="926"/>
      <c r="SUL37" s="926"/>
      <c r="SUM37" s="926"/>
      <c r="SUN37" s="926"/>
      <c r="SUO37" s="926"/>
      <c r="SUP37" s="926"/>
      <c r="SUQ37" s="926"/>
      <c r="SUR37" s="926"/>
      <c r="SUS37" s="926"/>
      <c r="SUT37" s="926"/>
      <c r="SUU37" s="926"/>
      <c r="SUV37" s="926"/>
      <c r="SUW37" s="926"/>
      <c r="SUX37" s="926"/>
      <c r="SUY37" s="926"/>
      <c r="SUZ37" s="926"/>
      <c r="SVA37" s="926"/>
      <c r="SVB37" s="926"/>
      <c r="SVC37" s="926"/>
      <c r="SVD37" s="926"/>
      <c r="SVE37" s="926"/>
      <c r="SVF37" s="926"/>
      <c r="SVG37" s="926"/>
      <c r="SVH37" s="926"/>
      <c r="SVI37" s="926"/>
      <c r="SVJ37" s="926"/>
      <c r="SVK37" s="926"/>
      <c r="SVL37" s="926"/>
      <c r="SVM37" s="926"/>
      <c r="SVN37" s="926"/>
      <c r="SVO37" s="926"/>
      <c r="SVP37" s="926"/>
      <c r="SVQ37" s="926"/>
      <c r="SVR37" s="926"/>
      <c r="SVS37" s="926"/>
      <c r="SVT37" s="926"/>
      <c r="SVU37" s="926"/>
      <c r="SVV37" s="926"/>
      <c r="SVW37" s="926"/>
      <c r="SVX37" s="926"/>
      <c r="SVY37" s="926"/>
      <c r="SVZ37" s="926"/>
      <c r="SWA37" s="926"/>
      <c r="SWB37" s="926"/>
      <c r="SWC37" s="926"/>
      <c r="SWD37" s="926"/>
      <c r="SWE37" s="926"/>
      <c r="SWF37" s="926"/>
      <c r="SWG37" s="926"/>
      <c r="SWH37" s="926"/>
      <c r="SWI37" s="926"/>
      <c r="SWJ37" s="926"/>
      <c r="SWK37" s="926"/>
      <c r="SWL37" s="926"/>
      <c r="SWM37" s="926"/>
      <c r="SWN37" s="926"/>
      <c r="SWO37" s="926"/>
      <c r="SWP37" s="926"/>
      <c r="SWQ37" s="926"/>
      <c r="SWR37" s="926"/>
      <c r="SWS37" s="926"/>
      <c r="SWT37" s="926"/>
      <c r="SWU37" s="926"/>
      <c r="SWV37" s="926"/>
      <c r="SWW37" s="926"/>
      <c r="SWX37" s="926"/>
      <c r="SWY37" s="926"/>
      <c r="SWZ37" s="926"/>
      <c r="SXA37" s="926"/>
      <c r="SXB37" s="926"/>
      <c r="SXC37" s="926"/>
      <c r="SXD37" s="926"/>
      <c r="SXE37" s="926"/>
      <c r="SXF37" s="926"/>
      <c r="SXG37" s="926"/>
      <c r="SXH37" s="926"/>
      <c r="SXI37" s="926"/>
      <c r="SXJ37" s="926"/>
      <c r="SXK37" s="926"/>
      <c r="SXL37" s="926"/>
      <c r="SXM37" s="926"/>
      <c r="SXN37" s="926"/>
      <c r="SXO37" s="926"/>
      <c r="SXP37" s="926"/>
      <c r="SXQ37" s="926"/>
      <c r="SXR37" s="926"/>
      <c r="SXS37" s="926"/>
      <c r="SXT37" s="926"/>
      <c r="SXU37" s="926"/>
      <c r="SXV37" s="926"/>
      <c r="SXW37" s="926"/>
      <c r="SXX37" s="926"/>
      <c r="SXY37" s="926"/>
      <c r="SXZ37" s="926"/>
      <c r="SYA37" s="926"/>
      <c r="SYB37" s="926"/>
      <c r="SYC37" s="926"/>
      <c r="SYD37" s="926"/>
      <c r="SYE37" s="926"/>
      <c r="SYF37" s="926"/>
      <c r="SYG37" s="926"/>
      <c r="SYH37" s="926"/>
      <c r="SYI37" s="926"/>
      <c r="SYJ37" s="926"/>
      <c r="SYK37" s="926"/>
      <c r="SYL37" s="926"/>
      <c r="SYM37" s="926"/>
      <c r="SYN37" s="926"/>
      <c r="SYO37" s="926"/>
      <c r="SYP37" s="926"/>
      <c r="SYQ37" s="926"/>
      <c r="SYR37" s="926"/>
      <c r="SYS37" s="926"/>
      <c r="SYT37" s="926"/>
      <c r="SYU37" s="926"/>
      <c r="SYV37" s="926"/>
      <c r="SYW37" s="926"/>
      <c r="SYX37" s="926"/>
      <c r="SYY37" s="926"/>
      <c r="SYZ37" s="926"/>
      <c r="SZA37" s="926"/>
      <c r="SZB37" s="926"/>
      <c r="SZC37" s="926"/>
      <c r="SZD37" s="926"/>
      <c r="SZE37" s="926"/>
      <c r="SZF37" s="926"/>
      <c r="SZG37" s="926"/>
      <c r="SZH37" s="926"/>
      <c r="SZI37" s="926"/>
      <c r="SZJ37" s="926"/>
      <c r="SZK37" s="926"/>
      <c r="SZL37" s="926"/>
      <c r="SZM37" s="926"/>
      <c r="SZN37" s="926"/>
      <c r="SZO37" s="926"/>
      <c r="SZP37" s="926"/>
      <c r="SZQ37" s="926"/>
      <c r="SZR37" s="926"/>
      <c r="SZS37" s="926"/>
      <c r="SZT37" s="926"/>
      <c r="SZU37" s="926"/>
      <c r="SZV37" s="926"/>
      <c r="SZW37" s="926"/>
      <c r="SZX37" s="926"/>
      <c r="SZY37" s="926"/>
      <c r="SZZ37" s="926"/>
      <c r="TAA37" s="926"/>
      <c r="TAB37" s="926"/>
      <c r="TAC37" s="926"/>
      <c r="TAD37" s="926"/>
      <c r="TAE37" s="926"/>
      <c r="TAF37" s="926"/>
      <c r="TAG37" s="926"/>
      <c r="TAH37" s="926"/>
      <c r="TAI37" s="926"/>
      <c r="TAJ37" s="926"/>
      <c r="TAK37" s="926"/>
      <c r="TAL37" s="926"/>
      <c r="TAM37" s="926"/>
      <c r="TAN37" s="926"/>
      <c r="TAO37" s="926"/>
      <c r="TAP37" s="926"/>
      <c r="TAQ37" s="926"/>
      <c r="TAR37" s="926"/>
      <c r="TAS37" s="926"/>
      <c r="TAT37" s="926"/>
      <c r="TAU37" s="926"/>
      <c r="TAV37" s="926"/>
      <c r="TAW37" s="926"/>
      <c r="TAX37" s="926"/>
      <c r="TAY37" s="926"/>
      <c r="TAZ37" s="926"/>
      <c r="TBA37" s="926"/>
      <c r="TBB37" s="926"/>
      <c r="TBC37" s="926"/>
      <c r="TBD37" s="926"/>
      <c r="TBE37" s="926"/>
      <c r="TBF37" s="926"/>
      <c r="TBG37" s="926"/>
      <c r="TBH37" s="926"/>
      <c r="TBI37" s="926"/>
      <c r="TBJ37" s="926"/>
      <c r="TBK37" s="926"/>
      <c r="TBL37" s="926"/>
      <c r="TBM37" s="926"/>
      <c r="TBN37" s="926"/>
      <c r="TBO37" s="926"/>
      <c r="TBP37" s="926"/>
      <c r="TBQ37" s="926"/>
      <c r="TBR37" s="926"/>
      <c r="TBS37" s="926"/>
      <c r="TBT37" s="926"/>
      <c r="TBU37" s="926"/>
      <c r="TBV37" s="926"/>
      <c r="TBW37" s="926"/>
      <c r="TBX37" s="926"/>
      <c r="TBY37" s="926"/>
      <c r="TBZ37" s="926"/>
      <c r="TCA37" s="926"/>
      <c r="TCB37" s="926"/>
      <c r="TCC37" s="926"/>
      <c r="TCD37" s="926"/>
      <c r="TCE37" s="926"/>
      <c r="TCF37" s="926"/>
      <c r="TCG37" s="926"/>
      <c r="TCH37" s="926"/>
      <c r="TCI37" s="926"/>
      <c r="TCJ37" s="926"/>
      <c r="TCK37" s="926"/>
      <c r="TCL37" s="926"/>
      <c r="TCM37" s="926"/>
      <c r="TCN37" s="926"/>
      <c r="TCO37" s="926"/>
      <c r="TCP37" s="926"/>
      <c r="TCQ37" s="926"/>
      <c r="TCR37" s="926"/>
      <c r="TCS37" s="926"/>
      <c r="TCT37" s="926"/>
      <c r="TCU37" s="926"/>
      <c r="TCV37" s="926"/>
      <c r="TCW37" s="926"/>
      <c r="TCX37" s="926"/>
      <c r="TCY37" s="926"/>
      <c r="TCZ37" s="926"/>
      <c r="TDA37" s="926"/>
      <c r="TDB37" s="926"/>
      <c r="TDC37" s="926"/>
      <c r="TDD37" s="926"/>
      <c r="TDE37" s="926"/>
      <c r="TDF37" s="926"/>
      <c r="TDG37" s="926"/>
      <c r="TDH37" s="926"/>
      <c r="TDI37" s="926"/>
      <c r="TDJ37" s="926"/>
      <c r="TDK37" s="926"/>
      <c r="TDL37" s="926"/>
      <c r="TDM37" s="926"/>
      <c r="TDN37" s="926"/>
      <c r="TDO37" s="926"/>
      <c r="TDP37" s="926"/>
      <c r="TDQ37" s="926"/>
      <c r="TDR37" s="926"/>
      <c r="TDS37" s="926"/>
      <c r="TDT37" s="926"/>
      <c r="TDU37" s="926"/>
      <c r="TDV37" s="926"/>
      <c r="TDW37" s="926"/>
      <c r="TDX37" s="926"/>
      <c r="TDY37" s="926"/>
      <c r="TDZ37" s="926"/>
      <c r="TEA37" s="926"/>
      <c r="TEB37" s="926"/>
      <c r="TEC37" s="926"/>
      <c r="TED37" s="926"/>
      <c r="TEE37" s="926"/>
      <c r="TEF37" s="926"/>
      <c r="TEG37" s="926"/>
      <c r="TEH37" s="926"/>
      <c r="TEI37" s="926"/>
      <c r="TEJ37" s="926"/>
      <c r="TEK37" s="926"/>
      <c r="TEL37" s="926"/>
      <c r="TEM37" s="926"/>
      <c r="TEN37" s="926"/>
      <c r="TEO37" s="926"/>
      <c r="TEP37" s="926"/>
      <c r="TEQ37" s="926"/>
      <c r="TER37" s="926"/>
      <c r="TES37" s="926"/>
      <c r="TET37" s="926"/>
      <c r="TEU37" s="926"/>
      <c r="TEV37" s="926"/>
      <c r="TEW37" s="926"/>
      <c r="TEX37" s="926"/>
      <c r="TEY37" s="926"/>
      <c r="TEZ37" s="926"/>
      <c r="TFA37" s="926"/>
      <c r="TFB37" s="926"/>
      <c r="TFC37" s="926"/>
      <c r="TFD37" s="926"/>
      <c r="TFE37" s="926"/>
      <c r="TFF37" s="926"/>
      <c r="TFG37" s="926"/>
      <c r="TFH37" s="926"/>
      <c r="TFI37" s="926"/>
      <c r="TFJ37" s="926"/>
      <c r="TFK37" s="926"/>
      <c r="TFL37" s="926"/>
      <c r="TFM37" s="926"/>
      <c r="TFN37" s="926"/>
      <c r="TFO37" s="926"/>
      <c r="TFP37" s="926"/>
      <c r="TFQ37" s="926"/>
      <c r="TFR37" s="926"/>
      <c r="TFS37" s="926"/>
      <c r="TFT37" s="926"/>
      <c r="TFU37" s="926"/>
      <c r="TFV37" s="926"/>
      <c r="TFW37" s="926"/>
      <c r="TFX37" s="926"/>
      <c r="TFY37" s="926"/>
      <c r="TFZ37" s="926"/>
      <c r="TGA37" s="926"/>
      <c r="TGB37" s="926"/>
      <c r="TGC37" s="926"/>
      <c r="TGD37" s="926"/>
      <c r="TGE37" s="926"/>
      <c r="TGF37" s="926"/>
      <c r="TGG37" s="926"/>
      <c r="TGH37" s="926"/>
      <c r="TGI37" s="926"/>
      <c r="TGJ37" s="926"/>
      <c r="TGK37" s="926"/>
      <c r="TGL37" s="926"/>
      <c r="TGM37" s="926"/>
      <c r="TGN37" s="926"/>
      <c r="TGO37" s="926"/>
      <c r="TGP37" s="926"/>
      <c r="TGQ37" s="926"/>
      <c r="TGR37" s="926"/>
      <c r="TGS37" s="926"/>
      <c r="TGT37" s="926"/>
      <c r="TGU37" s="926"/>
      <c r="TGV37" s="926"/>
      <c r="TGW37" s="926"/>
      <c r="TGX37" s="926"/>
      <c r="TGY37" s="926"/>
      <c r="TGZ37" s="926"/>
      <c r="THA37" s="926"/>
      <c r="THB37" s="926"/>
      <c r="THC37" s="926"/>
      <c r="THD37" s="926"/>
      <c r="THE37" s="926"/>
      <c r="THF37" s="926"/>
      <c r="THG37" s="926"/>
      <c r="THH37" s="926"/>
      <c r="THI37" s="926"/>
      <c r="THJ37" s="926"/>
      <c r="THK37" s="926"/>
      <c r="THL37" s="926"/>
      <c r="THM37" s="926"/>
      <c r="THN37" s="926"/>
      <c r="THO37" s="926"/>
      <c r="THP37" s="926"/>
      <c r="THQ37" s="926"/>
      <c r="THR37" s="926"/>
      <c r="THS37" s="926"/>
      <c r="THT37" s="926"/>
      <c r="THU37" s="926"/>
      <c r="THV37" s="926"/>
      <c r="THW37" s="926"/>
      <c r="THX37" s="926"/>
      <c r="THY37" s="926"/>
      <c r="THZ37" s="926"/>
      <c r="TIA37" s="926"/>
      <c r="TIB37" s="926"/>
      <c r="TIC37" s="926"/>
      <c r="TID37" s="926"/>
      <c r="TIE37" s="926"/>
      <c r="TIF37" s="926"/>
      <c r="TIG37" s="926"/>
      <c r="TIH37" s="926"/>
      <c r="TII37" s="926"/>
      <c r="TIJ37" s="926"/>
      <c r="TIK37" s="926"/>
      <c r="TIL37" s="926"/>
      <c r="TIM37" s="926"/>
      <c r="TIN37" s="926"/>
      <c r="TIO37" s="926"/>
      <c r="TIP37" s="926"/>
      <c r="TIQ37" s="926"/>
      <c r="TIR37" s="926"/>
      <c r="TIS37" s="926"/>
      <c r="TIT37" s="926"/>
      <c r="TIU37" s="926"/>
      <c r="TIV37" s="926"/>
      <c r="TIW37" s="926"/>
      <c r="TIX37" s="926"/>
      <c r="TIY37" s="926"/>
      <c r="TIZ37" s="926"/>
      <c r="TJA37" s="926"/>
      <c r="TJB37" s="926"/>
      <c r="TJC37" s="926"/>
      <c r="TJD37" s="926"/>
      <c r="TJE37" s="926"/>
      <c r="TJF37" s="926"/>
      <c r="TJG37" s="926"/>
      <c r="TJH37" s="926"/>
      <c r="TJI37" s="926"/>
      <c r="TJJ37" s="926"/>
      <c r="TJK37" s="926"/>
      <c r="TJL37" s="926"/>
      <c r="TJM37" s="926"/>
      <c r="TJN37" s="926"/>
      <c r="TJO37" s="926"/>
      <c r="TJP37" s="926"/>
      <c r="TJQ37" s="926"/>
      <c r="TJR37" s="926"/>
      <c r="TJS37" s="926"/>
      <c r="TJT37" s="926"/>
      <c r="TJU37" s="926"/>
      <c r="TJV37" s="926"/>
      <c r="TJW37" s="926"/>
      <c r="TJX37" s="926"/>
      <c r="TJY37" s="926"/>
      <c r="TJZ37" s="926"/>
      <c r="TKA37" s="926"/>
      <c r="TKB37" s="926"/>
      <c r="TKC37" s="926"/>
      <c r="TKD37" s="926"/>
      <c r="TKE37" s="926"/>
      <c r="TKF37" s="926"/>
      <c r="TKG37" s="926"/>
      <c r="TKH37" s="926"/>
      <c r="TKI37" s="926"/>
      <c r="TKJ37" s="926"/>
      <c r="TKK37" s="926"/>
      <c r="TKL37" s="926"/>
      <c r="TKM37" s="926"/>
      <c r="TKN37" s="926"/>
      <c r="TKO37" s="926"/>
      <c r="TKP37" s="926"/>
      <c r="TKQ37" s="926"/>
      <c r="TKR37" s="926"/>
      <c r="TKS37" s="926"/>
      <c r="TKT37" s="926"/>
      <c r="TKU37" s="926"/>
      <c r="TKV37" s="926"/>
      <c r="TKW37" s="926"/>
      <c r="TKX37" s="926"/>
      <c r="TKY37" s="926"/>
      <c r="TKZ37" s="926"/>
      <c r="TLA37" s="926"/>
      <c r="TLB37" s="926"/>
      <c r="TLC37" s="926"/>
      <c r="TLD37" s="926"/>
      <c r="TLE37" s="926"/>
      <c r="TLF37" s="926"/>
      <c r="TLG37" s="926"/>
      <c r="TLH37" s="926"/>
      <c r="TLI37" s="926"/>
      <c r="TLJ37" s="926"/>
      <c r="TLK37" s="926"/>
      <c r="TLL37" s="926"/>
      <c r="TLM37" s="926"/>
      <c r="TLN37" s="926"/>
      <c r="TLO37" s="926"/>
      <c r="TLP37" s="926"/>
      <c r="TLQ37" s="926"/>
      <c r="TLR37" s="926"/>
      <c r="TLS37" s="926"/>
      <c r="TLT37" s="926"/>
      <c r="TLU37" s="926"/>
      <c r="TLV37" s="926"/>
      <c r="TLW37" s="926"/>
      <c r="TLX37" s="926"/>
      <c r="TLY37" s="926"/>
      <c r="TLZ37" s="926"/>
      <c r="TMA37" s="926"/>
      <c r="TMB37" s="926"/>
      <c r="TMC37" s="926"/>
      <c r="TMD37" s="926"/>
      <c r="TME37" s="926"/>
      <c r="TMF37" s="926"/>
      <c r="TMG37" s="926"/>
      <c r="TMH37" s="926"/>
      <c r="TMI37" s="926"/>
      <c r="TMJ37" s="926"/>
      <c r="TMK37" s="926"/>
      <c r="TML37" s="926"/>
      <c r="TMM37" s="926"/>
      <c r="TMN37" s="926"/>
      <c r="TMO37" s="926"/>
      <c r="TMP37" s="926"/>
      <c r="TMQ37" s="926"/>
      <c r="TMR37" s="926"/>
      <c r="TMS37" s="926"/>
      <c r="TMT37" s="926"/>
      <c r="TMU37" s="926"/>
      <c r="TMV37" s="926"/>
      <c r="TMW37" s="926"/>
      <c r="TMX37" s="926"/>
      <c r="TMY37" s="926"/>
      <c r="TMZ37" s="926"/>
      <c r="TNA37" s="926"/>
      <c r="TNB37" s="926"/>
      <c r="TNC37" s="926"/>
      <c r="TND37" s="926"/>
      <c r="TNE37" s="926"/>
      <c r="TNF37" s="926"/>
      <c r="TNG37" s="926"/>
      <c r="TNH37" s="926"/>
      <c r="TNI37" s="926"/>
      <c r="TNJ37" s="926"/>
      <c r="TNK37" s="926"/>
      <c r="TNL37" s="926"/>
      <c r="TNM37" s="926"/>
      <c r="TNN37" s="926"/>
      <c r="TNO37" s="926"/>
      <c r="TNP37" s="926"/>
      <c r="TNQ37" s="926"/>
      <c r="TNR37" s="926"/>
      <c r="TNS37" s="926"/>
      <c r="TNT37" s="926"/>
      <c r="TNU37" s="926"/>
      <c r="TNV37" s="926"/>
      <c r="TNW37" s="926"/>
      <c r="TNX37" s="926"/>
      <c r="TNY37" s="926"/>
      <c r="TNZ37" s="926"/>
      <c r="TOA37" s="926"/>
      <c r="TOB37" s="926"/>
      <c r="TOC37" s="926"/>
      <c r="TOD37" s="926"/>
      <c r="TOE37" s="926"/>
      <c r="TOF37" s="926"/>
      <c r="TOG37" s="926"/>
      <c r="TOH37" s="926"/>
      <c r="TOI37" s="926"/>
      <c r="TOJ37" s="926"/>
      <c r="TOK37" s="926"/>
      <c r="TOL37" s="926"/>
      <c r="TOM37" s="926"/>
      <c r="TON37" s="926"/>
      <c r="TOO37" s="926"/>
      <c r="TOP37" s="926"/>
      <c r="TOQ37" s="926"/>
      <c r="TOR37" s="926"/>
      <c r="TOS37" s="926"/>
      <c r="TOT37" s="926"/>
      <c r="TOU37" s="926"/>
      <c r="TOV37" s="926"/>
      <c r="TOW37" s="926"/>
      <c r="TOX37" s="926"/>
      <c r="TOY37" s="926"/>
      <c r="TOZ37" s="926"/>
      <c r="TPA37" s="926"/>
      <c r="TPB37" s="926"/>
      <c r="TPC37" s="926"/>
      <c r="TPD37" s="926"/>
      <c r="TPE37" s="926"/>
      <c r="TPF37" s="926"/>
      <c r="TPG37" s="926"/>
      <c r="TPH37" s="926"/>
      <c r="TPI37" s="926"/>
      <c r="TPJ37" s="926"/>
      <c r="TPK37" s="926"/>
      <c r="TPL37" s="926"/>
      <c r="TPM37" s="926"/>
      <c r="TPN37" s="926"/>
      <c r="TPO37" s="926"/>
      <c r="TPP37" s="926"/>
      <c r="TPQ37" s="926"/>
      <c r="TPR37" s="926"/>
      <c r="TPS37" s="926"/>
      <c r="TPT37" s="926"/>
      <c r="TPU37" s="926"/>
      <c r="TPV37" s="926"/>
      <c r="TPW37" s="926"/>
      <c r="TPX37" s="926"/>
      <c r="TPY37" s="926"/>
      <c r="TPZ37" s="926"/>
      <c r="TQA37" s="926"/>
      <c r="TQB37" s="926"/>
      <c r="TQC37" s="926"/>
      <c r="TQD37" s="926"/>
      <c r="TQE37" s="926"/>
      <c r="TQF37" s="926"/>
      <c r="TQG37" s="926"/>
      <c r="TQH37" s="926"/>
      <c r="TQI37" s="926"/>
      <c r="TQJ37" s="926"/>
      <c r="TQK37" s="926"/>
      <c r="TQL37" s="926"/>
      <c r="TQM37" s="926"/>
      <c r="TQN37" s="926"/>
      <c r="TQO37" s="926"/>
      <c r="TQP37" s="926"/>
      <c r="TQQ37" s="926"/>
      <c r="TQR37" s="926"/>
      <c r="TQS37" s="926"/>
      <c r="TQT37" s="926"/>
      <c r="TQU37" s="926"/>
      <c r="TQV37" s="926"/>
      <c r="TQW37" s="926"/>
      <c r="TQX37" s="926"/>
      <c r="TQY37" s="926"/>
      <c r="TQZ37" s="926"/>
      <c r="TRA37" s="926"/>
      <c r="TRB37" s="926"/>
      <c r="TRC37" s="926"/>
      <c r="TRD37" s="926"/>
      <c r="TRE37" s="926"/>
      <c r="TRF37" s="926"/>
      <c r="TRG37" s="926"/>
      <c r="TRH37" s="926"/>
      <c r="TRI37" s="926"/>
      <c r="TRJ37" s="926"/>
      <c r="TRK37" s="926"/>
      <c r="TRL37" s="926"/>
      <c r="TRM37" s="926"/>
      <c r="TRN37" s="926"/>
      <c r="TRO37" s="926"/>
      <c r="TRP37" s="926"/>
      <c r="TRQ37" s="926"/>
      <c r="TRR37" s="926"/>
      <c r="TRS37" s="926"/>
      <c r="TRT37" s="926"/>
      <c r="TRU37" s="926"/>
      <c r="TRV37" s="926"/>
      <c r="TRW37" s="926"/>
      <c r="TRX37" s="926"/>
      <c r="TRY37" s="926"/>
      <c r="TRZ37" s="926"/>
      <c r="TSA37" s="926"/>
      <c r="TSB37" s="926"/>
      <c r="TSC37" s="926"/>
      <c r="TSD37" s="926"/>
      <c r="TSE37" s="926"/>
      <c r="TSF37" s="926"/>
      <c r="TSG37" s="926"/>
      <c r="TSH37" s="926"/>
      <c r="TSI37" s="926"/>
      <c r="TSJ37" s="926"/>
      <c r="TSK37" s="926"/>
      <c r="TSL37" s="926"/>
      <c r="TSM37" s="926"/>
      <c r="TSN37" s="926"/>
      <c r="TSO37" s="926"/>
      <c r="TSP37" s="926"/>
      <c r="TSQ37" s="926"/>
      <c r="TSR37" s="926"/>
      <c r="TSS37" s="926"/>
      <c r="TST37" s="926"/>
      <c r="TSU37" s="926"/>
      <c r="TSV37" s="926"/>
      <c r="TSW37" s="926"/>
      <c r="TSX37" s="926"/>
      <c r="TSY37" s="926"/>
      <c r="TSZ37" s="926"/>
      <c r="TTA37" s="926"/>
      <c r="TTB37" s="926"/>
      <c r="TTC37" s="926"/>
      <c r="TTD37" s="926"/>
      <c r="TTE37" s="926"/>
      <c r="TTF37" s="926"/>
      <c r="TTG37" s="926"/>
      <c r="TTH37" s="926"/>
      <c r="TTI37" s="926"/>
      <c r="TTJ37" s="926"/>
      <c r="TTK37" s="926"/>
      <c r="TTL37" s="926"/>
      <c r="TTM37" s="926"/>
      <c r="TTN37" s="926"/>
      <c r="TTO37" s="926"/>
      <c r="TTP37" s="926"/>
      <c r="TTQ37" s="926"/>
      <c r="TTR37" s="926"/>
      <c r="TTS37" s="926"/>
      <c r="TTT37" s="926"/>
      <c r="TTU37" s="926"/>
      <c r="TTV37" s="926"/>
      <c r="TTW37" s="926"/>
      <c r="TTX37" s="926"/>
      <c r="TTY37" s="926"/>
      <c r="TTZ37" s="926"/>
      <c r="TUA37" s="926"/>
      <c r="TUB37" s="926"/>
      <c r="TUC37" s="926"/>
      <c r="TUD37" s="926"/>
      <c r="TUE37" s="926"/>
      <c r="TUF37" s="926"/>
      <c r="TUG37" s="926"/>
      <c r="TUH37" s="926"/>
      <c r="TUI37" s="926"/>
      <c r="TUJ37" s="926"/>
      <c r="TUK37" s="926"/>
      <c r="TUL37" s="926"/>
      <c r="TUM37" s="926"/>
      <c r="TUN37" s="926"/>
      <c r="TUO37" s="926"/>
      <c r="TUP37" s="926"/>
      <c r="TUQ37" s="926"/>
      <c r="TUR37" s="926"/>
      <c r="TUS37" s="926"/>
      <c r="TUT37" s="926"/>
      <c r="TUU37" s="926"/>
      <c r="TUV37" s="926"/>
      <c r="TUW37" s="926"/>
      <c r="TUX37" s="926"/>
      <c r="TUY37" s="926"/>
      <c r="TUZ37" s="926"/>
      <c r="TVA37" s="926"/>
      <c r="TVB37" s="926"/>
      <c r="TVC37" s="926"/>
      <c r="TVD37" s="926"/>
      <c r="TVE37" s="926"/>
      <c r="TVF37" s="926"/>
      <c r="TVG37" s="926"/>
      <c r="TVH37" s="926"/>
      <c r="TVI37" s="926"/>
      <c r="TVJ37" s="926"/>
      <c r="TVK37" s="926"/>
      <c r="TVL37" s="926"/>
      <c r="TVM37" s="926"/>
      <c r="TVN37" s="926"/>
      <c r="TVO37" s="926"/>
      <c r="TVP37" s="926"/>
      <c r="TVQ37" s="926"/>
      <c r="TVR37" s="926"/>
      <c r="TVS37" s="926"/>
      <c r="TVT37" s="926"/>
      <c r="TVU37" s="926"/>
      <c r="TVV37" s="926"/>
      <c r="TVW37" s="926"/>
      <c r="TVX37" s="926"/>
      <c r="TVY37" s="926"/>
      <c r="TVZ37" s="926"/>
      <c r="TWA37" s="926"/>
      <c r="TWB37" s="926"/>
      <c r="TWC37" s="926"/>
      <c r="TWD37" s="926"/>
      <c r="TWE37" s="926"/>
      <c r="TWF37" s="926"/>
      <c r="TWG37" s="926"/>
      <c r="TWH37" s="926"/>
      <c r="TWI37" s="926"/>
      <c r="TWJ37" s="926"/>
      <c r="TWK37" s="926"/>
      <c r="TWL37" s="926"/>
      <c r="TWM37" s="926"/>
      <c r="TWN37" s="926"/>
      <c r="TWO37" s="926"/>
      <c r="TWP37" s="926"/>
      <c r="TWQ37" s="926"/>
      <c r="TWR37" s="926"/>
      <c r="TWS37" s="926"/>
      <c r="TWT37" s="926"/>
      <c r="TWU37" s="926"/>
      <c r="TWV37" s="926"/>
      <c r="TWW37" s="926"/>
      <c r="TWX37" s="926"/>
      <c r="TWY37" s="926"/>
      <c r="TWZ37" s="926"/>
      <c r="TXA37" s="926"/>
      <c r="TXB37" s="926"/>
      <c r="TXC37" s="926"/>
      <c r="TXD37" s="926"/>
      <c r="TXE37" s="926"/>
      <c r="TXF37" s="926"/>
      <c r="TXG37" s="926"/>
      <c r="TXH37" s="926"/>
      <c r="TXI37" s="926"/>
      <c r="TXJ37" s="926"/>
      <c r="TXK37" s="926"/>
      <c r="TXL37" s="926"/>
      <c r="TXM37" s="926"/>
      <c r="TXN37" s="926"/>
      <c r="TXO37" s="926"/>
      <c r="TXP37" s="926"/>
      <c r="TXQ37" s="926"/>
      <c r="TXR37" s="926"/>
      <c r="TXS37" s="926"/>
      <c r="TXT37" s="926"/>
      <c r="TXU37" s="926"/>
      <c r="TXV37" s="926"/>
      <c r="TXW37" s="926"/>
      <c r="TXX37" s="926"/>
      <c r="TXY37" s="926"/>
      <c r="TXZ37" s="926"/>
      <c r="TYA37" s="926"/>
      <c r="TYB37" s="926"/>
      <c r="TYC37" s="926"/>
      <c r="TYD37" s="926"/>
      <c r="TYE37" s="926"/>
      <c r="TYF37" s="926"/>
      <c r="TYG37" s="926"/>
      <c r="TYH37" s="926"/>
      <c r="TYI37" s="926"/>
      <c r="TYJ37" s="926"/>
      <c r="TYK37" s="926"/>
      <c r="TYL37" s="926"/>
      <c r="TYM37" s="926"/>
      <c r="TYN37" s="926"/>
      <c r="TYO37" s="926"/>
      <c r="TYP37" s="926"/>
      <c r="TYQ37" s="926"/>
      <c r="TYR37" s="926"/>
      <c r="TYS37" s="926"/>
      <c r="TYT37" s="926"/>
      <c r="TYU37" s="926"/>
      <c r="TYV37" s="926"/>
      <c r="TYW37" s="926"/>
      <c r="TYX37" s="926"/>
      <c r="TYY37" s="926"/>
      <c r="TYZ37" s="926"/>
      <c r="TZA37" s="926"/>
      <c r="TZB37" s="926"/>
      <c r="TZC37" s="926"/>
      <c r="TZD37" s="926"/>
      <c r="TZE37" s="926"/>
      <c r="TZF37" s="926"/>
      <c r="TZG37" s="926"/>
      <c r="TZH37" s="926"/>
      <c r="TZI37" s="926"/>
      <c r="TZJ37" s="926"/>
      <c r="TZK37" s="926"/>
      <c r="TZL37" s="926"/>
      <c r="TZM37" s="926"/>
      <c r="TZN37" s="926"/>
      <c r="TZO37" s="926"/>
      <c r="TZP37" s="926"/>
      <c r="TZQ37" s="926"/>
      <c r="TZR37" s="926"/>
      <c r="TZS37" s="926"/>
      <c r="TZT37" s="926"/>
      <c r="TZU37" s="926"/>
      <c r="TZV37" s="926"/>
      <c r="TZW37" s="926"/>
      <c r="TZX37" s="926"/>
      <c r="TZY37" s="926"/>
      <c r="TZZ37" s="926"/>
      <c r="UAA37" s="926"/>
      <c r="UAB37" s="926"/>
      <c r="UAC37" s="926"/>
      <c r="UAD37" s="926"/>
      <c r="UAE37" s="926"/>
      <c r="UAF37" s="926"/>
      <c r="UAG37" s="926"/>
      <c r="UAH37" s="926"/>
      <c r="UAI37" s="926"/>
      <c r="UAJ37" s="926"/>
      <c r="UAK37" s="926"/>
      <c r="UAL37" s="926"/>
      <c r="UAM37" s="926"/>
      <c r="UAN37" s="926"/>
      <c r="UAO37" s="926"/>
      <c r="UAP37" s="926"/>
      <c r="UAQ37" s="926"/>
      <c r="UAR37" s="926"/>
      <c r="UAS37" s="926"/>
      <c r="UAT37" s="926"/>
      <c r="UAU37" s="926"/>
      <c r="UAV37" s="926"/>
      <c r="UAW37" s="926"/>
      <c r="UAX37" s="926"/>
      <c r="UAY37" s="926"/>
      <c r="UAZ37" s="926"/>
      <c r="UBA37" s="926"/>
      <c r="UBB37" s="926"/>
      <c r="UBC37" s="926"/>
      <c r="UBD37" s="926"/>
      <c r="UBE37" s="926"/>
      <c r="UBF37" s="926"/>
      <c r="UBG37" s="926"/>
      <c r="UBH37" s="926"/>
      <c r="UBI37" s="926"/>
      <c r="UBJ37" s="926"/>
      <c r="UBK37" s="926"/>
      <c r="UBL37" s="926"/>
      <c r="UBM37" s="926"/>
      <c r="UBN37" s="926"/>
      <c r="UBO37" s="926"/>
      <c r="UBP37" s="926"/>
      <c r="UBQ37" s="926"/>
      <c r="UBR37" s="926"/>
      <c r="UBS37" s="926"/>
      <c r="UBT37" s="926"/>
      <c r="UBU37" s="926"/>
      <c r="UBV37" s="926"/>
      <c r="UBW37" s="926"/>
      <c r="UBX37" s="926"/>
      <c r="UBY37" s="926"/>
      <c r="UBZ37" s="926"/>
      <c r="UCA37" s="926"/>
      <c r="UCB37" s="926"/>
      <c r="UCC37" s="926"/>
      <c r="UCD37" s="926"/>
      <c r="UCE37" s="926"/>
      <c r="UCF37" s="926"/>
      <c r="UCG37" s="926"/>
      <c r="UCH37" s="926"/>
      <c r="UCI37" s="926"/>
      <c r="UCJ37" s="926"/>
      <c r="UCK37" s="926"/>
      <c r="UCL37" s="926"/>
      <c r="UCM37" s="926"/>
      <c r="UCN37" s="926"/>
      <c r="UCO37" s="926"/>
      <c r="UCP37" s="926"/>
      <c r="UCQ37" s="926"/>
      <c r="UCR37" s="926"/>
      <c r="UCS37" s="926"/>
      <c r="UCT37" s="926"/>
      <c r="UCU37" s="926"/>
      <c r="UCV37" s="926"/>
      <c r="UCW37" s="926"/>
      <c r="UCX37" s="926"/>
      <c r="UCY37" s="926"/>
      <c r="UCZ37" s="926"/>
      <c r="UDA37" s="926"/>
      <c r="UDB37" s="926"/>
      <c r="UDC37" s="926"/>
      <c r="UDD37" s="926"/>
      <c r="UDE37" s="926"/>
      <c r="UDF37" s="926"/>
      <c r="UDG37" s="926"/>
      <c r="UDH37" s="926"/>
      <c r="UDI37" s="926"/>
      <c r="UDJ37" s="926"/>
      <c r="UDK37" s="926"/>
      <c r="UDL37" s="926"/>
      <c r="UDM37" s="926"/>
      <c r="UDN37" s="926"/>
      <c r="UDO37" s="926"/>
      <c r="UDP37" s="926"/>
      <c r="UDQ37" s="926"/>
      <c r="UDR37" s="926"/>
      <c r="UDS37" s="926"/>
      <c r="UDT37" s="926"/>
      <c r="UDU37" s="926"/>
      <c r="UDV37" s="926"/>
      <c r="UDW37" s="926"/>
      <c r="UDX37" s="926"/>
      <c r="UDY37" s="926"/>
      <c r="UDZ37" s="926"/>
      <c r="UEA37" s="926"/>
      <c r="UEB37" s="926"/>
      <c r="UEC37" s="926"/>
      <c r="UED37" s="926"/>
      <c r="UEE37" s="926"/>
      <c r="UEF37" s="926"/>
      <c r="UEG37" s="926"/>
      <c r="UEH37" s="926"/>
      <c r="UEI37" s="926"/>
      <c r="UEJ37" s="926"/>
      <c r="UEK37" s="926"/>
      <c r="UEL37" s="926"/>
      <c r="UEM37" s="926"/>
      <c r="UEN37" s="926"/>
      <c r="UEO37" s="926"/>
      <c r="UEP37" s="926"/>
      <c r="UEQ37" s="926"/>
      <c r="UER37" s="926"/>
      <c r="UES37" s="926"/>
      <c r="UET37" s="926"/>
      <c r="UEU37" s="926"/>
      <c r="UEV37" s="926"/>
      <c r="UEW37" s="926"/>
      <c r="UEX37" s="926"/>
      <c r="UEY37" s="926"/>
      <c r="UEZ37" s="926"/>
      <c r="UFA37" s="926"/>
      <c r="UFB37" s="926"/>
      <c r="UFC37" s="926"/>
      <c r="UFD37" s="926"/>
      <c r="UFE37" s="926"/>
      <c r="UFF37" s="926"/>
      <c r="UFG37" s="926"/>
      <c r="UFH37" s="926"/>
      <c r="UFI37" s="926"/>
      <c r="UFJ37" s="926"/>
      <c r="UFK37" s="926"/>
      <c r="UFL37" s="926"/>
      <c r="UFM37" s="926"/>
      <c r="UFN37" s="926"/>
      <c r="UFO37" s="926"/>
      <c r="UFP37" s="926"/>
      <c r="UFQ37" s="926"/>
      <c r="UFR37" s="926"/>
      <c r="UFS37" s="926"/>
      <c r="UFT37" s="926"/>
      <c r="UFU37" s="926"/>
      <c r="UFV37" s="926"/>
      <c r="UFW37" s="926"/>
      <c r="UFX37" s="926"/>
      <c r="UFY37" s="926"/>
      <c r="UFZ37" s="926"/>
      <c r="UGA37" s="926"/>
      <c r="UGB37" s="926"/>
      <c r="UGC37" s="926"/>
      <c r="UGD37" s="926"/>
      <c r="UGE37" s="926"/>
      <c r="UGF37" s="926"/>
      <c r="UGG37" s="926"/>
      <c r="UGH37" s="926"/>
      <c r="UGI37" s="926"/>
      <c r="UGJ37" s="926"/>
      <c r="UGK37" s="926"/>
      <c r="UGL37" s="926"/>
      <c r="UGM37" s="926"/>
      <c r="UGN37" s="926"/>
      <c r="UGO37" s="926"/>
      <c r="UGP37" s="926"/>
      <c r="UGQ37" s="926"/>
      <c r="UGR37" s="926"/>
      <c r="UGS37" s="926"/>
      <c r="UGT37" s="926"/>
      <c r="UGU37" s="926"/>
      <c r="UGV37" s="926"/>
      <c r="UGW37" s="926"/>
      <c r="UGX37" s="926"/>
      <c r="UGY37" s="926"/>
      <c r="UGZ37" s="926"/>
      <c r="UHA37" s="926"/>
      <c r="UHB37" s="926"/>
      <c r="UHC37" s="926"/>
      <c r="UHD37" s="926"/>
      <c r="UHE37" s="926"/>
      <c r="UHF37" s="926"/>
      <c r="UHG37" s="926"/>
      <c r="UHH37" s="926"/>
      <c r="UHI37" s="926"/>
      <c r="UHJ37" s="926"/>
      <c r="UHK37" s="926"/>
      <c r="UHL37" s="926"/>
      <c r="UHM37" s="926"/>
      <c r="UHN37" s="926"/>
      <c r="UHO37" s="926"/>
      <c r="UHP37" s="926"/>
      <c r="UHQ37" s="926"/>
      <c r="UHR37" s="926"/>
      <c r="UHS37" s="926"/>
      <c r="UHT37" s="926"/>
      <c r="UHU37" s="926"/>
      <c r="UHV37" s="926"/>
      <c r="UHW37" s="926"/>
      <c r="UHX37" s="926"/>
      <c r="UHY37" s="926"/>
      <c r="UHZ37" s="926"/>
      <c r="UIA37" s="926"/>
      <c r="UIB37" s="926"/>
      <c r="UIC37" s="926"/>
      <c r="UID37" s="926"/>
      <c r="UIE37" s="926"/>
      <c r="UIF37" s="926"/>
      <c r="UIG37" s="926"/>
      <c r="UIH37" s="926"/>
      <c r="UII37" s="926"/>
      <c r="UIJ37" s="926"/>
      <c r="UIK37" s="926"/>
      <c r="UIL37" s="926"/>
      <c r="UIM37" s="926"/>
      <c r="UIN37" s="926"/>
      <c r="UIO37" s="926"/>
      <c r="UIP37" s="926"/>
      <c r="UIQ37" s="926"/>
      <c r="UIR37" s="926"/>
      <c r="UIS37" s="926"/>
      <c r="UIT37" s="926"/>
      <c r="UIU37" s="926"/>
      <c r="UIV37" s="926"/>
      <c r="UIW37" s="926"/>
      <c r="UIX37" s="926"/>
      <c r="UIY37" s="926"/>
      <c r="UIZ37" s="926"/>
      <c r="UJA37" s="926"/>
      <c r="UJB37" s="926"/>
      <c r="UJC37" s="926"/>
      <c r="UJD37" s="926"/>
      <c r="UJE37" s="926"/>
      <c r="UJF37" s="926"/>
      <c r="UJG37" s="926"/>
      <c r="UJH37" s="926"/>
      <c r="UJI37" s="926"/>
      <c r="UJJ37" s="926"/>
      <c r="UJK37" s="926"/>
      <c r="UJL37" s="926"/>
      <c r="UJM37" s="926"/>
      <c r="UJN37" s="926"/>
      <c r="UJO37" s="926"/>
      <c r="UJP37" s="926"/>
      <c r="UJQ37" s="926"/>
      <c r="UJR37" s="926"/>
      <c r="UJS37" s="926"/>
      <c r="UJT37" s="926"/>
      <c r="UJU37" s="926"/>
      <c r="UJV37" s="926"/>
      <c r="UJW37" s="926"/>
      <c r="UJX37" s="926"/>
      <c r="UJY37" s="926"/>
      <c r="UJZ37" s="926"/>
      <c r="UKA37" s="926"/>
      <c r="UKB37" s="926"/>
      <c r="UKC37" s="926"/>
      <c r="UKD37" s="926"/>
      <c r="UKE37" s="926"/>
      <c r="UKF37" s="926"/>
      <c r="UKG37" s="926"/>
      <c r="UKH37" s="926"/>
      <c r="UKI37" s="926"/>
      <c r="UKJ37" s="926"/>
      <c r="UKK37" s="926"/>
      <c r="UKL37" s="926"/>
      <c r="UKM37" s="926"/>
      <c r="UKN37" s="926"/>
      <c r="UKO37" s="926"/>
      <c r="UKP37" s="926"/>
      <c r="UKQ37" s="926"/>
      <c r="UKR37" s="926"/>
      <c r="UKS37" s="926"/>
      <c r="UKT37" s="926"/>
      <c r="UKU37" s="926"/>
      <c r="UKV37" s="926"/>
      <c r="UKW37" s="926"/>
      <c r="UKX37" s="926"/>
      <c r="UKY37" s="926"/>
      <c r="UKZ37" s="926"/>
      <c r="ULA37" s="926"/>
      <c r="ULB37" s="926"/>
      <c r="ULC37" s="926"/>
      <c r="ULD37" s="926"/>
      <c r="ULE37" s="926"/>
      <c r="ULF37" s="926"/>
      <c r="ULG37" s="926"/>
      <c r="ULH37" s="926"/>
      <c r="ULI37" s="926"/>
      <c r="ULJ37" s="926"/>
      <c r="ULK37" s="926"/>
      <c r="ULL37" s="926"/>
      <c r="ULM37" s="926"/>
      <c r="ULN37" s="926"/>
      <c r="ULO37" s="926"/>
      <c r="ULP37" s="926"/>
      <c r="ULQ37" s="926"/>
      <c r="ULR37" s="926"/>
      <c r="ULS37" s="926"/>
      <c r="ULT37" s="926"/>
      <c r="ULU37" s="926"/>
      <c r="ULV37" s="926"/>
      <c r="ULW37" s="926"/>
      <c r="ULX37" s="926"/>
      <c r="ULY37" s="926"/>
      <c r="ULZ37" s="926"/>
      <c r="UMA37" s="926"/>
      <c r="UMB37" s="926"/>
      <c r="UMC37" s="926"/>
      <c r="UMD37" s="926"/>
      <c r="UME37" s="926"/>
      <c r="UMF37" s="926"/>
      <c r="UMG37" s="926"/>
      <c r="UMH37" s="926"/>
      <c r="UMI37" s="926"/>
      <c r="UMJ37" s="926"/>
      <c r="UMK37" s="926"/>
      <c r="UML37" s="926"/>
      <c r="UMM37" s="926"/>
      <c r="UMN37" s="926"/>
      <c r="UMO37" s="926"/>
      <c r="UMP37" s="926"/>
      <c r="UMQ37" s="926"/>
      <c r="UMR37" s="926"/>
      <c r="UMS37" s="926"/>
      <c r="UMT37" s="926"/>
      <c r="UMU37" s="926"/>
      <c r="UMV37" s="926"/>
      <c r="UMW37" s="926"/>
      <c r="UMX37" s="926"/>
      <c r="UMY37" s="926"/>
      <c r="UMZ37" s="926"/>
      <c r="UNA37" s="926"/>
      <c r="UNB37" s="926"/>
      <c r="UNC37" s="926"/>
      <c r="UND37" s="926"/>
      <c r="UNE37" s="926"/>
      <c r="UNF37" s="926"/>
      <c r="UNG37" s="926"/>
      <c r="UNH37" s="926"/>
      <c r="UNI37" s="926"/>
      <c r="UNJ37" s="926"/>
      <c r="UNK37" s="926"/>
      <c r="UNL37" s="926"/>
      <c r="UNM37" s="926"/>
      <c r="UNN37" s="926"/>
      <c r="UNO37" s="926"/>
      <c r="UNP37" s="926"/>
      <c r="UNQ37" s="926"/>
      <c r="UNR37" s="926"/>
      <c r="UNS37" s="926"/>
      <c r="UNT37" s="926"/>
      <c r="UNU37" s="926"/>
      <c r="UNV37" s="926"/>
      <c r="UNW37" s="926"/>
      <c r="UNX37" s="926"/>
      <c r="UNY37" s="926"/>
      <c r="UNZ37" s="926"/>
      <c r="UOA37" s="926"/>
      <c r="UOB37" s="926"/>
      <c r="UOC37" s="926"/>
      <c r="UOD37" s="926"/>
      <c r="UOE37" s="926"/>
      <c r="UOF37" s="926"/>
      <c r="UOG37" s="926"/>
      <c r="UOH37" s="926"/>
      <c r="UOI37" s="926"/>
      <c r="UOJ37" s="926"/>
      <c r="UOK37" s="926"/>
      <c r="UOL37" s="926"/>
      <c r="UOM37" s="926"/>
      <c r="UON37" s="926"/>
      <c r="UOO37" s="926"/>
      <c r="UOP37" s="926"/>
      <c r="UOQ37" s="926"/>
      <c r="UOR37" s="926"/>
      <c r="UOS37" s="926"/>
      <c r="UOT37" s="926"/>
      <c r="UOU37" s="926"/>
      <c r="UOV37" s="926"/>
      <c r="UOW37" s="926"/>
      <c r="UOX37" s="926"/>
      <c r="UOY37" s="926"/>
      <c r="UOZ37" s="926"/>
      <c r="UPA37" s="926"/>
      <c r="UPB37" s="926"/>
      <c r="UPC37" s="926"/>
      <c r="UPD37" s="926"/>
      <c r="UPE37" s="926"/>
      <c r="UPF37" s="926"/>
      <c r="UPG37" s="926"/>
      <c r="UPH37" s="926"/>
      <c r="UPI37" s="926"/>
      <c r="UPJ37" s="926"/>
      <c r="UPK37" s="926"/>
      <c r="UPL37" s="926"/>
      <c r="UPM37" s="926"/>
      <c r="UPN37" s="926"/>
      <c r="UPO37" s="926"/>
      <c r="UPP37" s="926"/>
      <c r="UPQ37" s="926"/>
      <c r="UPR37" s="926"/>
      <c r="UPS37" s="926"/>
      <c r="UPT37" s="926"/>
      <c r="UPU37" s="926"/>
      <c r="UPV37" s="926"/>
      <c r="UPW37" s="926"/>
      <c r="UPX37" s="926"/>
      <c r="UPY37" s="926"/>
      <c r="UPZ37" s="926"/>
      <c r="UQA37" s="926"/>
      <c r="UQB37" s="926"/>
      <c r="UQC37" s="926"/>
      <c r="UQD37" s="926"/>
      <c r="UQE37" s="926"/>
      <c r="UQF37" s="926"/>
      <c r="UQG37" s="926"/>
      <c r="UQH37" s="926"/>
      <c r="UQI37" s="926"/>
      <c r="UQJ37" s="926"/>
      <c r="UQK37" s="926"/>
      <c r="UQL37" s="926"/>
      <c r="UQM37" s="926"/>
      <c r="UQN37" s="926"/>
      <c r="UQO37" s="926"/>
      <c r="UQP37" s="926"/>
      <c r="UQQ37" s="926"/>
      <c r="UQR37" s="926"/>
      <c r="UQS37" s="926"/>
      <c r="UQT37" s="926"/>
      <c r="UQU37" s="926"/>
      <c r="UQV37" s="926"/>
      <c r="UQW37" s="926"/>
      <c r="UQX37" s="926"/>
      <c r="UQY37" s="926"/>
      <c r="UQZ37" s="926"/>
      <c r="URA37" s="926"/>
      <c r="URB37" s="926"/>
      <c r="URC37" s="926"/>
      <c r="URD37" s="926"/>
      <c r="URE37" s="926"/>
      <c r="URF37" s="926"/>
      <c r="URG37" s="926"/>
      <c r="URH37" s="926"/>
      <c r="URI37" s="926"/>
      <c r="URJ37" s="926"/>
      <c r="URK37" s="926"/>
      <c r="URL37" s="926"/>
      <c r="URM37" s="926"/>
      <c r="URN37" s="926"/>
      <c r="URO37" s="926"/>
      <c r="URP37" s="926"/>
      <c r="URQ37" s="926"/>
      <c r="URR37" s="926"/>
      <c r="URS37" s="926"/>
      <c r="URT37" s="926"/>
      <c r="URU37" s="926"/>
      <c r="URV37" s="926"/>
      <c r="URW37" s="926"/>
      <c r="URX37" s="926"/>
      <c r="URY37" s="926"/>
      <c r="URZ37" s="926"/>
      <c r="USA37" s="926"/>
      <c r="USB37" s="926"/>
      <c r="USC37" s="926"/>
      <c r="USD37" s="926"/>
      <c r="USE37" s="926"/>
      <c r="USF37" s="926"/>
      <c r="USG37" s="926"/>
      <c r="USH37" s="926"/>
      <c r="USI37" s="926"/>
      <c r="USJ37" s="926"/>
      <c r="USK37" s="926"/>
      <c r="USL37" s="926"/>
      <c r="USM37" s="926"/>
      <c r="USN37" s="926"/>
      <c r="USO37" s="926"/>
      <c r="USP37" s="926"/>
      <c r="USQ37" s="926"/>
      <c r="USR37" s="926"/>
      <c r="USS37" s="926"/>
      <c r="UST37" s="926"/>
      <c r="USU37" s="926"/>
      <c r="USV37" s="926"/>
      <c r="USW37" s="926"/>
      <c r="USX37" s="926"/>
      <c r="USY37" s="926"/>
      <c r="USZ37" s="926"/>
      <c r="UTA37" s="926"/>
      <c r="UTB37" s="926"/>
      <c r="UTC37" s="926"/>
      <c r="UTD37" s="926"/>
      <c r="UTE37" s="926"/>
      <c r="UTF37" s="926"/>
      <c r="UTG37" s="926"/>
      <c r="UTH37" s="926"/>
      <c r="UTI37" s="926"/>
      <c r="UTJ37" s="926"/>
      <c r="UTK37" s="926"/>
      <c r="UTL37" s="926"/>
      <c r="UTM37" s="926"/>
      <c r="UTN37" s="926"/>
      <c r="UTO37" s="926"/>
      <c r="UTP37" s="926"/>
      <c r="UTQ37" s="926"/>
      <c r="UTR37" s="926"/>
      <c r="UTS37" s="926"/>
      <c r="UTT37" s="926"/>
      <c r="UTU37" s="926"/>
      <c r="UTV37" s="926"/>
      <c r="UTW37" s="926"/>
      <c r="UTX37" s="926"/>
      <c r="UTY37" s="926"/>
      <c r="UTZ37" s="926"/>
      <c r="UUA37" s="926"/>
      <c r="UUB37" s="926"/>
      <c r="UUC37" s="926"/>
      <c r="UUD37" s="926"/>
      <c r="UUE37" s="926"/>
      <c r="UUF37" s="926"/>
      <c r="UUG37" s="926"/>
      <c r="UUH37" s="926"/>
      <c r="UUI37" s="926"/>
      <c r="UUJ37" s="926"/>
      <c r="UUK37" s="926"/>
      <c r="UUL37" s="926"/>
      <c r="UUM37" s="926"/>
      <c r="UUN37" s="926"/>
      <c r="UUO37" s="926"/>
      <c r="UUP37" s="926"/>
      <c r="UUQ37" s="926"/>
      <c r="UUR37" s="926"/>
      <c r="UUS37" s="926"/>
      <c r="UUT37" s="926"/>
      <c r="UUU37" s="926"/>
      <c r="UUV37" s="926"/>
      <c r="UUW37" s="926"/>
      <c r="UUX37" s="926"/>
      <c r="UUY37" s="926"/>
      <c r="UUZ37" s="926"/>
      <c r="UVA37" s="926"/>
      <c r="UVB37" s="926"/>
      <c r="UVC37" s="926"/>
      <c r="UVD37" s="926"/>
      <c r="UVE37" s="926"/>
      <c r="UVF37" s="926"/>
      <c r="UVG37" s="926"/>
      <c r="UVH37" s="926"/>
      <c r="UVI37" s="926"/>
      <c r="UVJ37" s="926"/>
      <c r="UVK37" s="926"/>
      <c r="UVL37" s="926"/>
      <c r="UVM37" s="926"/>
      <c r="UVN37" s="926"/>
      <c r="UVO37" s="926"/>
      <c r="UVP37" s="926"/>
      <c r="UVQ37" s="926"/>
      <c r="UVR37" s="926"/>
      <c r="UVS37" s="926"/>
      <c r="UVT37" s="926"/>
      <c r="UVU37" s="926"/>
      <c r="UVV37" s="926"/>
      <c r="UVW37" s="926"/>
      <c r="UVX37" s="926"/>
      <c r="UVY37" s="926"/>
      <c r="UVZ37" s="926"/>
      <c r="UWA37" s="926"/>
      <c r="UWB37" s="926"/>
      <c r="UWC37" s="926"/>
      <c r="UWD37" s="926"/>
      <c r="UWE37" s="926"/>
      <c r="UWF37" s="926"/>
      <c r="UWG37" s="926"/>
      <c r="UWH37" s="926"/>
      <c r="UWI37" s="926"/>
      <c r="UWJ37" s="926"/>
      <c r="UWK37" s="926"/>
      <c r="UWL37" s="926"/>
      <c r="UWM37" s="926"/>
      <c r="UWN37" s="926"/>
      <c r="UWO37" s="926"/>
      <c r="UWP37" s="926"/>
      <c r="UWQ37" s="926"/>
      <c r="UWR37" s="926"/>
      <c r="UWS37" s="926"/>
      <c r="UWT37" s="926"/>
      <c r="UWU37" s="926"/>
      <c r="UWV37" s="926"/>
      <c r="UWW37" s="926"/>
      <c r="UWX37" s="926"/>
      <c r="UWY37" s="926"/>
      <c r="UWZ37" s="926"/>
      <c r="UXA37" s="926"/>
      <c r="UXB37" s="926"/>
      <c r="UXC37" s="926"/>
      <c r="UXD37" s="926"/>
      <c r="UXE37" s="926"/>
      <c r="UXF37" s="926"/>
      <c r="UXG37" s="926"/>
      <c r="UXH37" s="926"/>
      <c r="UXI37" s="926"/>
      <c r="UXJ37" s="926"/>
      <c r="UXK37" s="926"/>
      <c r="UXL37" s="926"/>
      <c r="UXM37" s="926"/>
      <c r="UXN37" s="926"/>
      <c r="UXO37" s="926"/>
      <c r="UXP37" s="926"/>
      <c r="UXQ37" s="926"/>
      <c r="UXR37" s="926"/>
      <c r="UXS37" s="926"/>
      <c r="UXT37" s="926"/>
      <c r="UXU37" s="926"/>
      <c r="UXV37" s="926"/>
      <c r="UXW37" s="926"/>
      <c r="UXX37" s="926"/>
      <c r="UXY37" s="926"/>
      <c r="UXZ37" s="926"/>
      <c r="UYA37" s="926"/>
      <c r="UYB37" s="926"/>
      <c r="UYC37" s="926"/>
      <c r="UYD37" s="926"/>
      <c r="UYE37" s="926"/>
      <c r="UYF37" s="926"/>
      <c r="UYG37" s="926"/>
      <c r="UYH37" s="926"/>
      <c r="UYI37" s="926"/>
      <c r="UYJ37" s="926"/>
      <c r="UYK37" s="926"/>
      <c r="UYL37" s="926"/>
      <c r="UYM37" s="926"/>
      <c r="UYN37" s="926"/>
      <c r="UYO37" s="926"/>
      <c r="UYP37" s="926"/>
      <c r="UYQ37" s="926"/>
      <c r="UYR37" s="926"/>
      <c r="UYS37" s="926"/>
      <c r="UYT37" s="926"/>
      <c r="UYU37" s="926"/>
      <c r="UYV37" s="926"/>
      <c r="UYW37" s="926"/>
      <c r="UYX37" s="926"/>
      <c r="UYY37" s="926"/>
      <c r="UYZ37" s="926"/>
      <c r="UZA37" s="926"/>
      <c r="UZB37" s="926"/>
      <c r="UZC37" s="926"/>
      <c r="UZD37" s="926"/>
      <c r="UZE37" s="926"/>
      <c r="UZF37" s="926"/>
      <c r="UZG37" s="926"/>
      <c r="UZH37" s="926"/>
      <c r="UZI37" s="926"/>
      <c r="UZJ37" s="926"/>
      <c r="UZK37" s="926"/>
      <c r="UZL37" s="926"/>
      <c r="UZM37" s="926"/>
      <c r="UZN37" s="926"/>
      <c r="UZO37" s="926"/>
      <c r="UZP37" s="926"/>
      <c r="UZQ37" s="926"/>
      <c r="UZR37" s="926"/>
      <c r="UZS37" s="926"/>
      <c r="UZT37" s="926"/>
      <c r="UZU37" s="926"/>
      <c r="UZV37" s="926"/>
      <c r="UZW37" s="926"/>
      <c r="UZX37" s="926"/>
      <c r="UZY37" s="926"/>
      <c r="UZZ37" s="926"/>
      <c r="VAA37" s="926"/>
      <c r="VAB37" s="926"/>
      <c r="VAC37" s="926"/>
      <c r="VAD37" s="926"/>
      <c r="VAE37" s="926"/>
      <c r="VAF37" s="926"/>
      <c r="VAG37" s="926"/>
      <c r="VAH37" s="926"/>
      <c r="VAI37" s="926"/>
      <c r="VAJ37" s="926"/>
      <c r="VAK37" s="926"/>
      <c r="VAL37" s="926"/>
      <c r="VAM37" s="926"/>
      <c r="VAN37" s="926"/>
      <c r="VAO37" s="926"/>
      <c r="VAP37" s="926"/>
      <c r="VAQ37" s="926"/>
      <c r="VAR37" s="926"/>
      <c r="VAS37" s="926"/>
      <c r="VAT37" s="926"/>
      <c r="VAU37" s="926"/>
      <c r="VAV37" s="926"/>
      <c r="VAW37" s="926"/>
      <c r="VAX37" s="926"/>
      <c r="VAY37" s="926"/>
      <c r="VAZ37" s="926"/>
      <c r="VBA37" s="926"/>
      <c r="VBB37" s="926"/>
      <c r="VBC37" s="926"/>
      <c r="VBD37" s="926"/>
      <c r="VBE37" s="926"/>
      <c r="VBF37" s="926"/>
      <c r="VBG37" s="926"/>
      <c r="VBH37" s="926"/>
      <c r="VBI37" s="926"/>
      <c r="VBJ37" s="926"/>
      <c r="VBK37" s="926"/>
      <c r="VBL37" s="926"/>
      <c r="VBM37" s="926"/>
      <c r="VBN37" s="926"/>
      <c r="VBO37" s="926"/>
      <c r="VBP37" s="926"/>
      <c r="VBQ37" s="926"/>
      <c r="VBR37" s="926"/>
      <c r="VBS37" s="926"/>
      <c r="VBT37" s="926"/>
      <c r="VBU37" s="926"/>
      <c r="VBV37" s="926"/>
      <c r="VBW37" s="926"/>
      <c r="VBX37" s="926"/>
      <c r="VBY37" s="926"/>
      <c r="VBZ37" s="926"/>
      <c r="VCA37" s="926"/>
      <c r="VCB37" s="926"/>
      <c r="VCC37" s="926"/>
      <c r="VCD37" s="926"/>
      <c r="VCE37" s="926"/>
      <c r="VCF37" s="926"/>
      <c r="VCG37" s="926"/>
      <c r="VCH37" s="926"/>
      <c r="VCI37" s="926"/>
      <c r="VCJ37" s="926"/>
      <c r="VCK37" s="926"/>
      <c r="VCL37" s="926"/>
      <c r="VCM37" s="926"/>
      <c r="VCN37" s="926"/>
      <c r="VCO37" s="926"/>
      <c r="VCP37" s="926"/>
      <c r="VCQ37" s="926"/>
      <c r="VCR37" s="926"/>
      <c r="VCS37" s="926"/>
      <c r="VCT37" s="926"/>
      <c r="VCU37" s="926"/>
      <c r="VCV37" s="926"/>
      <c r="VCW37" s="926"/>
      <c r="VCX37" s="926"/>
      <c r="VCY37" s="926"/>
      <c r="VCZ37" s="926"/>
      <c r="VDA37" s="926"/>
      <c r="VDB37" s="926"/>
      <c r="VDC37" s="926"/>
      <c r="VDD37" s="926"/>
      <c r="VDE37" s="926"/>
      <c r="VDF37" s="926"/>
      <c r="VDG37" s="926"/>
      <c r="VDH37" s="926"/>
      <c r="VDI37" s="926"/>
      <c r="VDJ37" s="926"/>
      <c r="VDK37" s="926"/>
      <c r="VDL37" s="926"/>
      <c r="VDM37" s="926"/>
      <c r="VDN37" s="926"/>
      <c r="VDO37" s="926"/>
      <c r="VDP37" s="926"/>
      <c r="VDQ37" s="926"/>
      <c r="VDR37" s="926"/>
      <c r="VDS37" s="926"/>
      <c r="VDT37" s="926"/>
      <c r="VDU37" s="926"/>
      <c r="VDV37" s="926"/>
      <c r="VDW37" s="926"/>
      <c r="VDX37" s="926"/>
      <c r="VDY37" s="926"/>
      <c r="VDZ37" s="926"/>
      <c r="VEA37" s="926"/>
      <c r="VEB37" s="926"/>
      <c r="VEC37" s="926"/>
      <c r="VED37" s="926"/>
      <c r="VEE37" s="926"/>
      <c r="VEF37" s="926"/>
      <c r="VEG37" s="926"/>
      <c r="VEH37" s="926"/>
      <c r="VEI37" s="926"/>
      <c r="VEJ37" s="926"/>
      <c r="VEK37" s="926"/>
      <c r="VEL37" s="926"/>
      <c r="VEM37" s="926"/>
      <c r="VEN37" s="926"/>
      <c r="VEO37" s="926"/>
      <c r="VEP37" s="926"/>
      <c r="VEQ37" s="926"/>
      <c r="VER37" s="926"/>
      <c r="VES37" s="926"/>
      <c r="VET37" s="926"/>
      <c r="VEU37" s="926"/>
      <c r="VEV37" s="926"/>
      <c r="VEW37" s="926"/>
      <c r="VEX37" s="926"/>
      <c r="VEY37" s="926"/>
      <c r="VEZ37" s="926"/>
      <c r="VFA37" s="926"/>
      <c r="VFB37" s="926"/>
      <c r="VFC37" s="926"/>
      <c r="VFD37" s="926"/>
      <c r="VFE37" s="926"/>
      <c r="VFF37" s="926"/>
      <c r="VFG37" s="926"/>
      <c r="VFH37" s="926"/>
      <c r="VFI37" s="926"/>
      <c r="VFJ37" s="926"/>
      <c r="VFK37" s="926"/>
      <c r="VFL37" s="926"/>
      <c r="VFM37" s="926"/>
      <c r="VFN37" s="926"/>
      <c r="VFO37" s="926"/>
      <c r="VFP37" s="926"/>
      <c r="VFQ37" s="926"/>
      <c r="VFR37" s="926"/>
      <c r="VFS37" s="926"/>
      <c r="VFT37" s="926"/>
      <c r="VFU37" s="926"/>
      <c r="VFV37" s="926"/>
      <c r="VFW37" s="926"/>
      <c r="VFX37" s="926"/>
      <c r="VFY37" s="926"/>
      <c r="VFZ37" s="926"/>
      <c r="VGA37" s="926"/>
      <c r="VGB37" s="926"/>
      <c r="VGC37" s="926"/>
      <c r="VGD37" s="926"/>
      <c r="VGE37" s="926"/>
      <c r="VGF37" s="926"/>
      <c r="VGG37" s="926"/>
      <c r="VGH37" s="926"/>
      <c r="VGI37" s="926"/>
      <c r="VGJ37" s="926"/>
      <c r="VGK37" s="926"/>
      <c r="VGL37" s="926"/>
      <c r="VGM37" s="926"/>
      <c r="VGN37" s="926"/>
      <c r="VGO37" s="926"/>
      <c r="VGP37" s="926"/>
      <c r="VGQ37" s="926"/>
      <c r="VGR37" s="926"/>
      <c r="VGS37" s="926"/>
      <c r="VGT37" s="926"/>
      <c r="VGU37" s="926"/>
      <c r="VGV37" s="926"/>
      <c r="VGW37" s="926"/>
      <c r="VGX37" s="926"/>
      <c r="VGY37" s="926"/>
      <c r="VGZ37" s="926"/>
      <c r="VHA37" s="926"/>
      <c r="VHB37" s="926"/>
      <c r="VHC37" s="926"/>
      <c r="VHD37" s="926"/>
      <c r="VHE37" s="926"/>
      <c r="VHF37" s="926"/>
      <c r="VHG37" s="926"/>
      <c r="VHH37" s="926"/>
      <c r="VHI37" s="926"/>
      <c r="VHJ37" s="926"/>
      <c r="VHK37" s="926"/>
      <c r="VHL37" s="926"/>
      <c r="VHM37" s="926"/>
      <c r="VHN37" s="926"/>
      <c r="VHO37" s="926"/>
      <c r="VHP37" s="926"/>
      <c r="VHQ37" s="926"/>
      <c r="VHR37" s="926"/>
      <c r="VHS37" s="926"/>
      <c r="VHT37" s="926"/>
      <c r="VHU37" s="926"/>
      <c r="VHV37" s="926"/>
      <c r="VHW37" s="926"/>
      <c r="VHX37" s="926"/>
      <c r="VHY37" s="926"/>
      <c r="VHZ37" s="926"/>
      <c r="VIA37" s="926"/>
      <c r="VIB37" s="926"/>
      <c r="VIC37" s="926"/>
      <c r="VID37" s="926"/>
      <c r="VIE37" s="926"/>
      <c r="VIF37" s="926"/>
      <c r="VIG37" s="926"/>
      <c r="VIH37" s="926"/>
      <c r="VII37" s="926"/>
      <c r="VIJ37" s="926"/>
      <c r="VIK37" s="926"/>
      <c r="VIL37" s="926"/>
      <c r="VIM37" s="926"/>
      <c r="VIN37" s="926"/>
      <c r="VIO37" s="926"/>
      <c r="VIP37" s="926"/>
      <c r="VIQ37" s="926"/>
      <c r="VIR37" s="926"/>
      <c r="VIS37" s="926"/>
      <c r="VIT37" s="926"/>
      <c r="VIU37" s="926"/>
      <c r="VIV37" s="926"/>
      <c r="VIW37" s="926"/>
      <c r="VIX37" s="926"/>
      <c r="VIY37" s="926"/>
      <c r="VIZ37" s="926"/>
      <c r="VJA37" s="926"/>
      <c r="VJB37" s="926"/>
      <c r="VJC37" s="926"/>
      <c r="VJD37" s="926"/>
      <c r="VJE37" s="926"/>
      <c r="VJF37" s="926"/>
      <c r="VJG37" s="926"/>
      <c r="VJH37" s="926"/>
      <c r="VJI37" s="926"/>
      <c r="VJJ37" s="926"/>
      <c r="VJK37" s="926"/>
      <c r="VJL37" s="926"/>
      <c r="VJM37" s="926"/>
      <c r="VJN37" s="926"/>
      <c r="VJO37" s="926"/>
      <c r="VJP37" s="926"/>
      <c r="VJQ37" s="926"/>
      <c r="VJR37" s="926"/>
      <c r="VJS37" s="926"/>
      <c r="VJT37" s="926"/>
      <c r="VJU37" s="926"/>
      <c r="VJV37" s="926"/>
      <c r="VJW37" s="926"/>
      <c r="VJX37" s="926"/>
      <c r="VJY37" s="926"/>
      <c r="VJZ37" s="926"/>
      <c r="VKA37" s="926"/>
      <c r="VKB37" s="926"/>
      <c r="VKC37" s="926"/>
      <c r="VKD37" s="926"/>
      <c r="VKE37" s="926"/>
      <c r="VKF37" s="926"/>
      <c r="VKG37" s="926"/>
      <c r="VKH37" s="926"/>
      <c r="VKI37" s="926"/>
      <c r="VKJ37" s="926"/>
      <c r="VKK37" s="926"/>
      <c r="VKL37" s="926"/>
      <c r="VKM37" s="926"/>
      <c r="VKN37" s="926"/>
      <c r="VKO37" s="926"/>
      <c r="VKP37" s="926"/>
      <c r="VKQ37" s="926"/>
      <c r="VKR37" s="926"/>
      <c r="VKS37" s="926"/>
      <c r="VKT37" s="926"/>
      <c r="VKU37" s="926"/>
      <c r="VKV37" s="926"/>
      <c r="VKW37" s="926"/>
      <c r="VKX37" s="926"/>
      <c r="VKY37" s="926"/>
      <c r="VKZ37" s="926"/>
      <c r="VLA37" s="926"/>
      <c r="VLB37" s="926"/>
      <c r="VLC37" s="926"/>
      <c r="VLD37" s="926"/>
      <c r="VLE37" s="926"/>
      <c r="VLF37" s="926"/>
      <c r="VLG37" s="926"/>
      <c r="VLH37" s="926"/>
      <c r="VLI37" s="926"/>
      <c r="VLJ37" s="926"/>
      <c r="VLK37" s="926"/>
      <c r="VLL37" s="926"/>
      <c r="VLM37" s="926"/>
      <c r="VLN37" s="926"/>
      <c r="VLO37" s="926"/>
      <c r="VLP37" s="926"/>
      <c r="VLQ37" s="926"/>
      <c r="VLR37" s="926"/>
      <c r="VLS37" s="926"/>
      <c r="VLT37" s="926"/>
      <c r="VLU37" s="926"/>
      <c r="VLV37" s="926"/>
      <c r="VLW37" s="926"/>
      <c r="VLX37" s="926"/>
      <c r="VLY37" s="926"/>
      <c r="VLZ37" s="926"/>
      <c r="VMA37" s="926"/>
      <c r="VMB37" s="926"/>
      <c r="VMC37" s="926"/>
      <c r="VMD37" s="926"/>
      <c r="VME37" s="926"/>
      <c r="VMF37" s="926"/>
      <c r="VMG37" s="926"/>
      <c r="VMH37" s="926"/>
      <c r="VMI37" s="926"/>
      <c r="VMJ37" s="926"/>
      <c r="VMK37" s="926"/>
      <c r="VML37" s="926"/>
      <c r="VMM37" s="926"/>
      <c r="VMN37" s="926"/>
      <c r="VMO37" s="926"/>
      <c r="VMP37" s="926"/>
      <c r="VMQ37" s="926"/>
      <c r="VMR37" s="926"/>
      <c r="VMS37" s="926"/>
      <c r="VMT37" s="926"/>
      <c r="VMU37" s="926"/>
      <c r="VMV37" s="926"/>
      <c r="VMW37" s="926"/>
      <c r="VMX37" s="926"/>
      <c r="VMY37" s="926"/>
      <c r="VMZ37" s="926"/>
      <c r="VNA37" s="926"/>
      <c r="VNB37" s="926"/>
      <c r="VNC37" s="926"/>
      <c r="VND37" s="926"/>
      <c r="VNE37" s="926"/>
      <c r="VNF37" s="926"/>
      <c r="VNG37" s="926"/>
      <c r="VNH37" s="926"/>
      <c r="VNI37" s="926"/>
      <c r="VNJ37" s="926"/>
      <c r="VNK37" s="926"/>
      <c r="VNL37" s="926"/>
      <c r="VNM37" s="926"/>
      <c r="VNN37" s="926"/>
      <c r="VNO37" s="926"/>
      <c r="VNP37" s="926"/>
      <c r="VNQ37" s="926"/>
      <c r="VNR37" s="926"/>
      <c r="VNS37" s="926"/>
      <c r="VNT37" s="926"/>
      <c r="VNU37" s="926"/>
      <c r="VNV37" s="926"/>
      <c r="VNW37" s="926"/>
      <c r="VNX37" s="926"/>
      <c r="VNY37" s="926"/>
      <c r="VNZ37" s="926"/>
      <c r="VOA37" s="926"/>
      <c r="VOB37" s="926"/>
      <c r="VOC37" s="926"/>
      <c r="VOD37" s="926"/>
      <c r="VOE37" s="926"/>
      <c r="VOF37" s="926"/>
      <c r="VOG37" s="926"/>
      <c r="VOH37" s="926"/>
      <c r="VOI37" s="926"/>
      <c r="VOJ37" s="926"/>
      <c r="VOK37" s="926"/>
      <c r="VOL37" s="926"/>
      <c r="VOM37" s="926"/>
      <c r="VON37" s="926"/>
      <c r="VOO37" s="926"/>
      <c r="VOP37" s="926"/>
      <c r="VOQ37" s="926"/>
      <c r="VOR37" s="926"/>
      <c r="VOS37" s="926"/>
      <c r="VOT37" s="926"/>
      <c r="VOU37" s="926"/>
      <c r="VOV37" s="926"/>
      <c r="VOW37" s="926"/>
      <c r="VOX37" s="926"/>
      <c r="VOY37" s="926"/>
      <c r="VOZ37" s="926"/>
      <c r="VPA37" s="926"/>
      <c r="VPB37" s="926"/>
      <c r="VPC37" s="926"/>
      <c r="VPD37" s="926"/>
      <c r="VPE37" s="926"/>
      <c r="VPF37" s="926"/>
      <c r="VPG37" s="926"/>
      <c r="VPH37" s="926"/>
      <c r="VPI37" s="926"/>
      <c r="VPJ37" s="926"/>
      <c r="VPK37" s="926"/>
      <c r="VPL37" s="926"/>
      <c r="VPM37" s="926"/>
      <c r="VPN37" s="926"/>
      <c r="VPO37" s="926"/>
      <c r="VPP37" s="926"/>
      <c r="VPQ37" s="926"/>
      <c r="VPR37" s="926"/>
      <c r="VPS37" s="926"/>
      <c r="VPT37" s="926"/>
      <c r="VPU37" s="926"/>
      <c r="VPV37" s="926"/>
      <c r="VPW37" s="926"/>
      <c r="VPX37" s="926"/>
      <c r="VPY37" s="926"/>
      <c r="VPZ37" s="926"/>
      <c r="VQA37" s="926"/>
      <c r="VQB37" s="926"/>
      <c r="VQC37" s="926"/>
      <c r="VQD37" s="926"/>
      <c r="VQE37" s="926"/>
      <c r="VQF37" s="926"/>
      <c r="VQG37" s="926"/>
      <c r="VQH37" s="926"/>
      <c r="VQI37" s="926"/>
      <c r="VQJ37" s="926"/>
      <c r="VQK37" s="926"/>
      <c r="VQL37" s="926"/>
      <c r="VQM37" s="926"/>
      <c r="VQN37" s="926"/>
      <c r="VQO37" s="926"/>
      <c r="VQP37" s="926"/>
      <c r="VQQ37" s="926"/>
      <c r="VQR37" s="926"/>
      <c r="VQS37" s="926"/>
      <c r="VQT37" s="926"/>
      <c r="VQU37" s="926"/>
      <c r="VQV37" s="926"/>
      <c r="VQW37" s="926"/>
      <c r="VQX37" s="926"/>
      <c r="VQY37" s="926"/>
      <c r="VQZ37" s="926"/>
      <c r="VRA37" s="926"/>
      <c r="VRB37" s="926"/>
      <c r="VRC37" s="926"/>
      <c r="VRD37" s="926"/>
      <c r="VRE37" s="926"/>
      <c r="VRF37" s="926"/>
      <c r="VRG37" s="926"/>
      <c r="VRH37" s="926"/>
      <c r="VRI37" s="926"/>
      <c r="VRJ37" s="926"/>
      <c r="VRK37" s="926"/>
      <c r="VRL37" s="926"/>
      <c r="VRM37" s="926"/>
      <c r="VRN37" s="926"/>
      <c r="VRO37" s="926"/>
      <c r="VRP37" s="926"/>
      <c r="VRQ37" s="926"/>
      <c r="VRR37" s="926"/>
      <c r="VRS37" s="926"/>
      <c r="VRT37" s="926"/>
      <c r="VRU37" s="926"/>
      <c r="VRV37" s="926"/>
      <c r="VRW37" s="926"/>
      <c r="VRX37" s="926"/>
      <c r="VRY37" s="926"/>
      <c r="VRZ37" s="926"/>
      <c r="VSA37" s="926"/>
      <c r="VSB37" s="926"/>
      <c r="VSC37" s="926"/>
      <c r="VSD37" s="926"/>
      <c r="VSE37" s="926"/>
      <c r="VSF37" s="926"/>
      <c r="VSG37" s="926"/>
      <c r="VSH37" s="926"/>
      <c r="VSI37" s="926"/>
      <c r="VSJ37" s="926"/>
      <c r="VSK37" s="926"/>
      <c r="VSL37" s="926"/>
      <c r="VSM37" s="926"/>
      <c r="VSN37" s="926"/>
      <c r="VSO37" s="926"/>
      <c r="VSP37" s="926"/>
      <c r="VSQ37" s="926"/>
      <c r="VSR37" s="926"/>
      <c r="VSS37" s="926"/>
      <c r="VST37" s="926"/>
      <c r="VSU37" s="926"/>
      <c r="VSV37" s="926"/>
      <c r="VSW37" s="926"/>
      <c r="VSX37" s="926"/>
      <c r="VSY37" s="926"/>
      <c r="VSZ37" s="926"/>
      <c r="VTA37" s="926"/>
      <c r="VTB37" s="926"/>
      <c r="VTC37" s="926"/>
      <c r="VTD37" s="926"/>
      <c r="VTE37" s="926"/>
      <c r="VTF37" s="926"/>
      <c r="VTG37" s="926"/>
      <c r="VTH37" s="926"/>
      <c r="VTI37" s="926"/>
      <c r="VTJ37" s="926"/>
      <c r="VTK37" s="926"/>
      <c r="VTL37" s="926"/>
      <c r="VTM37" s="926"/>
      <c r="VTN37" s="926"/>
      <c r="VTO37" s="926"/>
      <c r="VTP37" s="926"/>
      <c r="VTQ37" s="926"/>
      <c r="VTR37" s="926"/>
      <c r="VTS37" s="926"/>
      <c r="VTT37" s="926"/>
      <c r="VTU37" s="926"/>
      <c r="VTV37" s="926"/>
      <c r="VTW37" s="926"/>
      <c r="VTX37" s="926"/>
      <c r="VTY37" s="926"/>
      <c r="VTZ37" s="926"/>
      <c r="VUA37" s="926"/>
      <c r="VUB37" s="926"/>
      <c r="VUC37" s="926"/>
      <c r="VUD37" s="926"/>
      <c r="VUE37" s="926"/>
      <c r="VUF37" s="926"/>
      <c r="VUG37" s="926"/>
      <c r="VUH37" s="926"/>
      <c r="VUI37" s="926"/>
      <c r="VUJ37" s="926"/>
      <c r="VUK37" s="926"/>
      <c r="VUL37" s="926"/>
      <c r="VUM37" s="926"/>
      <c r="VUN37" s="926"/>
      <c r="VUO37" s="926"/>
      <c r="VUP37" s="926"/>
      <c r="VUQ37" s="926"/>
      <c r="VUR37" s="926"/>
      <c r="VUS37" s="926"/>
      <c r="VUT37" s="926"/>
      <c r="VUU37" s="926"/>
      <c r="VUV37" s="926"/>
      <c r="VUW37" s="926"/>
      <c r="VUX37" s="926"/>
      <c r="VUY37" s="926"/>
      <c r="VUZ37" s="926"/>
      <c r="VVA37" s="926"/>
      <c r="VVB37" s="926"/>
      <c r="VVC37" s="926"/>
      <c r="VVD37" s="926"/>
      <c r="VVE37" s="926"/>
      <c r="VVF37" s="926"/>
      <c r="VVG37" s="926"/>
      <c r="VVH37" s="926"/>
      <c r="VVI37" s="926"/>
      <c r="VVJ37" s="926"/>
      <c r="VVK37" s="926"/>
      <c r="VVL37" s="926"/>
      <c r="VVM37" s="926"/>
      <c r="VVN37" s="926"/>
      <c r="VVO37" s="926"/>
      <c r="VVP37" s="926"/>
      <c r="VVQ37" s="926"/>
      <c r="VVR37" s="926"/>
      <c r="VVS37" s="926"/>
      <c r="VVT37" s="926"/>
      <c r="VVU37" s="926"/>
      <c r="VVV37" s="926"/>
      <c r="VVW37" s="926"/>
      <c r="VVX37" s="926"/>
      <c r="VVY37" s="926"/>
      <c r="VVZ37" s="926"/>
      <c r="VWA37" s="926"/>
      <c r="VWB37" s="926"/>
      <c r="VWC37" s="926"/>
      <c r="VWD37" s="926"/>
      <c r="VWE37" s="926"/>
      <c r="VWF37" s="926"/>
      <c r="VWG37" s="926"/>
      <c r="VWH37" s="926"/>
      <c r="VWI37" s="926"/>
      <c r="VWJ37" s="926"/>
      <c r="VWK37" s="926"/>
      <c r="VWL37" s="926"/>
      <c r="VWM37" s="926"/>
      <c r="VWN37" s="926"/>
      <c r="VWO37" s="926"/>
      <c r="VWP37" s="926"/>
      <c r="VWQ37" s="926"/>
      <c r="VWR37" s="926"/>
      <c r="VWS37" s="926"/>
      <c r="VWT37" s="926"/>
      <c r="VWU37" s="926"/>
      <c r="VWV37" s="926"/>
      <c r="VWW37" s="926"/>
      <c r="VWX37" s="926"/>
      <c r="VWY37" s="926"/>
      <c r="VWZ37" s="926"/>
      <c r="VXA37" s="926"/>
      <c r="VXB37" s="926"/>
      <c r="VXC37" s="926"/>
      <c r="VXD37" s="926"/>
      <c r="VXE37" s="926"/>
      <c r="VXF37" s="926"/>
      <c r="VXG37" s="926"/>
      <c r="VXH37" s="926"/>
      <c r="VXI37" s="926"/>
      <c r="VXJ37" s="926"/>
      <c r="VXK37" s="926"/>
      <c r="VXL37" s="926"/>
      <c r="VXM37" s="926"/>
      <c r="VXN37" s="926"/>
      <c r="VXO37" s="926"/>
      <c r="VXP37" s="926"/>
      <c r="VXQ37" s="926"/>
      <c r="VXR37" s="926"/>
      <c r="VXS37" s="926"/>
      <c r="VXT37" s="926"/>
      <c r="VXU37" s="926"/>
      <c r="VXV37" s="926"/>
      <c r="VXW37" s="926"/>
      <c r="VXX37" s="926"/>
      <c r="VXY37" s="926"/>
      <c r="VXZ37" s="926"/>
      <c r="VYA37" s="926"/>
      <c r="VYB37" s="926"/>
      <c r="VYC37" s="926"/>
      <c r="VYD37" s="926"/>
      <c r="VYE37" s="926"/>
      <c r="VYF37" s="926"/>
      <c r="VYG37" s="926"/>
      <c r="VYH37" s="926"/>
      <c r="VYI37" s="926"/>
      <c r="VYJ37" s="926"/>
      <c r="VYK37" s="926"/>
      <c r="VYL37" s="926"/>
      <c r="VYM37" s="926"/>
      <c r="VYN37" s="926"/>
      <c r="VYO37" s="926"/>
      <c r="VYP37" s="926"/>
      <c r="VYQ37" s="926"/>
      <c r="VYR37" s="926"/>
      <c r="VYS37" s="926"/>
      <c r="VYT37" s="926"/>
      <c r="VYU37" s="926"/>
      <c r="VYV37" s="926"/>
      <c r="VYW37" s="926"/>
      <c r="VYX37" s="926"/>
      <c r="VYY37" s="926"/>
      <c r="VYZ37" s="926"/>
      <c r="VZA37" s="926"/>
      <c r="VZB37" s="926"/>
      <c r="VZC37" s="926"/>
      <c r="VZD37" s="926"/>
      <c r="VZE37" s="926"/>
      <c r="VZF37" s="926"/>
      <c r="VZG37" s="926"/>
      <c r="VZH37" s="926"/>
      <c r="VZI37" s="926"/>
      <c r="VZJ37" s="926"/>
      <c r="VZK37" s="926"/>
      <c r="VZL37" s="926"/>
      <c r="VZM37" s="926"/>
      <c r="VZN37" s="926"/>
      <c r="VZO37" s="926"/>
      <c r="VZP37" s="926"/>
      <c r="VZQ37" s="926"/>
      <c r="VZR37" s="926"/>
      <c r="VZS37" s="926"/>
      <c r="VZT37" s="926"/>
      <c r="VZU37" s="926"/>
      <c r="VZV37" s="926"/>
      <c r="VZW37" s="926"/>
      <c r="VZX37" s="926"/>
      <c r="VZY37" s="926"/>
      <c r="VZZ37" s="926"/>
      <c r="WAA37" s="926"/>
      <c r="WAB37" s="926"/>
      <c r="WAC37" s="926"/>
      <c r="WAD37" s="926"/>
      <c r="WAE37" s="926"/>
      <c r="WAF37" s="926"/>
      <c r="WAG37" s="926"/>
      <c r="WAH37" s="926"/>
      <c r="WAI37" s="926"/>
      <c r="WAJ37" s="926"/>
      <c r="WAK37" s="926"/>
      <c r="WAL37" s="926"/>
      <c r="WAM37" s="926"/>
      <c r="WAN37" s="926"/>
      <c r="WAO37" s="926"/>
      <c r="WAP37" s="926"/>
      <c r="WAQ37" s="926"/>
      <c r="WAR37" s="926"/>
      <c r="WAS37" s="926"/>
      <c r="WAT37" s="926"/>
      <c r="WAU37" s="926"/>
      <c r="WAV37" s="926"/>
      <c r="WAW37" s="926"/>
      <c r="WAX37" s="926"/>
      <c r="WAY37" s="926"/>
      <c r="WAZ37" s="926"/>
      <c r="WBA37" s="926"/>
      <c r="WBB37" s="926"/>
      <c r="WBC37" s="926"/>
      <c r="WBD37" s="926"/>
      <c r="WBE37" s="926"/>
      <c r="WBF37" s="926"/>
      <c r="WBG37" s="926"/>
      <c r="WBH37" s="926"/>
      <c r="WBI37" s="926"/>
      <c r="WBJ37" s="926"/>
      <c r="WBK37" s="926"/>
      <c r="WBL37" s="926"/>
      <c r="WBM37" s="926"/>
      <c r="WBN37" s="926"/>
      <c r="WBO37" s="926"/>
      <c r="WBP37" s="926"/>
      <c r="WBQ37" s="926"/>
      <c r="WBR37" s="926"/>
      <c r="WBS37" s="926"/>
      <c r="WBT37" s="926"/>
      <c r="WBU37" s="926"/>
      <c r="WBV37" s="926"/>
      <c r="WBW37" s="926"/>
      <c r="WBX37" s="926"/>
      <c r="WBY37" s="926"/>
      <c r="WBZ37" s="926"/>
      <c r="WCA37" s="926"/>
      <c r="WCB37" s="926"/>
      <c r="WCC37" s="926"/>
      <c r="WCD37" s="926"/>
      <c r="WCE37" s="926"/>
      <c r="WCF37" s="926"/>
      <c r="WCG37" s="926"/>
      <c r="WCH37" s="926"/>
      <c r="WCI37" s="926"/>
      <c r="WCJ37" s="926"/>
      <c r="WCK37" s="926"/>
      <c r="WCL37" s="926"/>
      <c r="WCM37" s="926"/>
      <c r="WCN37" s="926"/>
      <c r="WCO37" s="926"/>
      <c r="WCP37" s="926"/>
      <c r="WCQ37" s="926"/>
      <c r="WCR37" s="926"/>
      <c r="WCS37" s="926"/>
      <c r="WCT37" s="926"/>
      <c r="WCU37" s="926"/>
      <c r="WCV37" s="926"/>
      <c r="WCW37" s="926"/>
      <c r="WCX37" s="926"/>
      <c r="WCY37" s="926"/>
      <c r="WCZ37" s="926"/>
      <c r="WDA37" s="926"/>
      <c r="WDB37" s="926"/>
      <c r="WDC37" s="926"/>
      <c r="WDD37" s="926"/>
      <c r="WDE37" s="926"/>
      <c r="WDF37" s="926"/>
      <c r="WDG37" s="926"/>
      <c r="WDH37" s="926"/>
      <c r="WDI37" s="926"/>
      <c r="WDJ37" s="926"/>
      <c r="WDK37" s="926"/>
      <c r="WDL37" s="926"/>
      <c r="WDM37" s="926"/>
      <c r="WDN37" s="926"/>
      <c r="WDO37" s="926"/>
      <c r="WDP37" s="926"/>
      <c r="WDQ37" s="926"/>
      <c r="WDR37" s="926"/>
      <c r="WDS37" s="926"/>
      <c r="WDT37" s="926"/>
      <c r="WDU37" s="926"/>
      <c r="WDV37" s="926"/>
      <c r="WDW37" s="926"/>
      <c r="WDX37" s="926"/>
      <c r="WDY37" s="926"/>
      <c r="WDZ37" s="926"/>
      <c r="WEA37" s="926"/>
      <c r="WEB37" s="926"/>
      <c r="WEC37" s="926"/>
      <c r="WED37" s="926"/>
      <c r="WEE37" s="926"/>
      <c r="WEF37" s="926"/>
      <c r="WEG37" s="926"/>
      <c r="WEH37" s="926"/>
      <c r="WEI37" s="926"/>
      <c r="WEJ37" s="926"/>
      <c r="WEK37" s="926"/>
      <c r="WEL37" s="926"/>
      <c r="WEM37" s="926"/>
      <c r="WEN37" s="926"/>
      <c r="WEO37" s="926"/>
      <c r="WEP37" s="926"/>
      <c r="WEQ37" s="926"/>
      <c r="WER37" s="926"/>
      <c r="WES37" s="926"/>
      <c r="WET37" s="926"/>
      <c r="WEU37" s="926"/>
      <c r="WEV37" s="926"/>
      <c r="WEW37" s="926"/>
      <c r="WEX37" s="926"/>
      <c r="WEY37" s="926"/>
      <c r="WEZ37" s="926"/>
      <c r="WFA37" s="926"/>
      <c r="WFB37" s="926"/>
      <c r="WFC37" s="926"/>
      <c r="WFD37" s="926"/>
      <c r="WFE37" s="926"/>
      <c r="WFF37" s="926"/>
      <c r="WFG37" s="926"/>
      <c r="WFH37" s="926"/>
      <c r="WFI37" s="926"/>
      <c r="WFJ37" s="926"/>
      <c r="WFK37" s="926"/>
      <c r="WFL37" s="926"/>
      <c r="WFM37" s="926"/>
      <c r="WFN37" s="926"/>
      <c r="WFO37" s="926"/>
      <c r="WFP37" s="926"/>
      <c r="WFQ37" s="926"/>
      <c r="WFR37" s="926"/>
      <c r="WFS37" s="926"/>
      <c r="WFT37" s="926"/>
      <c r="WFU37" s="926"/>
      <c r="WFV37" s="926"/>
      <c r="WFW37" s="926"/>
      <c r="WFX37" s="926"/>
      <c r="WFY37" s="926"/>
      <c r="WFZ37" s="926"/>
      <c r="WGA37" s="926"/>
      <c r="WGB37" s="926"/>
      <c r="WGC37" s="926"/>
      <c r="WGD37" s="926"/>
      <c r="WGE37" s="926"/>
      <c r="WGF37" s="926"/>
      <c r="WGG37" s="926"/>
      <c r="WGH37" s="926"/>
      <c r="WGI37" s="926"/>
      <c r="WGJ37" s="926"/>
      <c r="WGK37" s="926"/>
      <c r="WGL37" s="926"/>
      <c r="WGM37" s="926"/>
      <c r="WGN37" s="926"/>
      <c r="WGO37" s="926"/>
      <c r="WGP37" s="926"/>
      <c r="WGQ37" s="926"/>
      <c r="WGR37" s="926"/>
      <c r="WGS37" s="926"/>
      <c r="WGT37" s="926"/>
      <c r="WGU37" s="926"/>
      <c r="WGV37" s="926"/>
      <c r="WGW37" s="926"/>
      <c r="WGX37" s="926"/>
      <c r="WGY37" s="926"/>
      <c r="WGZ37" s="926"/>
      <c r="WHA37" s="926"/>
      <c r="WHB37" s="926"/>
      <c r="WHC37" s="926"/>
      <c r="WHD37" s="926"/>
      <c r="WHE37" s="926"/>
      <c r="WHF37" s="926"/>
      <c r="WHG37" s="926"/>
      <c r="WHH37" s="926"/>
      <c r="WHI37" s="926"/>
      <c r="WHJ37" s="926"/>
      <c r="WHK37" s="926"/>
      <c r="WHL37" s="926"/>
      <c r="WHM37" s="926"/>
      <c r="WHN37" s="926"/>
      <c r="WHO37" s="926"/>
      <c r="WHP37" s="926"/>
      <c r="WHQ37" s="926"/>
      <c r="WHR37" s="926"/>
      <c r="WHS37" s="926"/>
      <c r="WHT37" s="926"/>
      <c r="WHU37" s="926"/>
      <c r="WHV37" s="926"/>
      <c r="WHW37" s="926"/>
      <c r="WHX37" s="926"/>
      <c r="WHY37" s="926"/>
      <c r="WHZ37" s="926"/>
      <c r="WIA37" s="926"/>
      <c r="WIB37" s="926"/>
      <c r="WIC37" s="926"/>
      <c r="WID37" s="926"/>
      <c r="WIE37" s="926"/>
      <c r="WIF37" s="926"/>
      <c r="WIG37" s="926"/>
      <c r="WIH37" s="926"/>
      <c r="WII37" s="926"/>
      <c r="WIJ37" s="926"/>
      <c r="WIK37" s="926"/>
      <c r="WIL37" s="926"/>
      <c r="WIM37" s="926"/>
      <c r="WIN37" s="926"/>
      <c r="WIO37" s="926"/>
      <c r="WIP37" s="926"/>
      <c r="WIQ37" s="926"/>
      <c r="WIR37" s="926"/>
      <c r="WIS37" s="926"/>
      <c r="WIT37" s="926"/>
      <c r="WIU37" s="926"/>
      <c r="WIV37" s="926"/>
      <c r="WIW37" s="926"/>
      <c r="WIX37" s="926"/>
      <c r="WIY37" s="926"/>
      <c r="WIZ37" s="926"/>
      <c r="WJA37" s="926"/>
      <c r="WJB37" s="926"/>
      <c r="WJC37" s="926"/>
      <c r="WJD37" s="926"/>
      <c r="WJE37" s="926"/>
      <c r="WJF37" s="926"/>
      <c r="WJG37" s="926"/>
      <c r="WJH37" s="926"/>
      <c r="WJI37" s="926"/>
      <c r="WJJ37" s="926"/>
      <c r="WJK37" s="926"/>
      <c r="WJL37" s="926"/>
      <c r="WJM37" s="926"/>
      <c r="WJN37" s="926"/>
      <c r="WJO37" s="926"/>
      <c r="WJP37" s="926"/>
      <c r="WJQ37" s="926"/>
      <c r="WJR37" s="926"/>
      <c r="WJS37" s="926"/>
      <c r="WJT37" s="926"/>
      <c r="WJU37" s="926"/>
      <c r="WJV37" s="926"/>
      <c r="WJW37" s="926"/>
      <c r="WJX37" s="926"/>
      <c r="WJY37" s="926"/>
      <c r="WJZ37" s="926"/>
      <c r="WKA37" s="926"/>
      <c r="WKB37" s="926"/>
      <c r="WKC37" s="926"/>
      <c r="WKD37" s="926"/>
      <c r="WKE37" s="926"/>
      <c r="WKF37" s="926"/>
      <c r="WKG37" s="926"/>
      <c r="WKH37" s="926"/>
      <c r="WKI37" s="926"/>
      <c r="WKJ37" s="926"/>
      <c r="WKK37" s="926"/>
      <c r="WKL37" s="926"/>
      <c r="WKM37" s="926"/>
      <c r="WKN37" s="926"/>
      <c r="WKO37" s="926"/>
      <c r="WKP37" s="926"/>
      <c r="WKQ37" s="926"/>
      <c r="WKR37" s="926"/>
      <c r="WKS37" s="926"/>
      <c r="WKT37" s="926"/>
      <c r="WKU37" s="926"/>
      <c r="WKV37" s="926"/>
      <c r="WKW37" s="926"/>
      <c r="WKX37" s="926"/>
      <c r="WKY37" s="926"/>
      <c r="WKZ37" s="926"/>
      <c r="WLA37" s="926"/>
      <c r="WLB37" s="926"/>
      <c r="WLC37" s="926"/>
      <c r="WLD37" s="926"/>
      <c r="WLE37" s="926"/>
      <c r="WLF37" s="926"/>
      <c r="WLG37" s="926"/>
      <c r="WLH37" s="926"/>
      <c r="WLI37" s="926"/>
      <c r="WLJ37" s="926"/>
      <c r="WLK37" s="926"/>
      <c r="WLL37" s="926"/>
      <c r="WLM37" s="926"/>
      <c r="WLN37" s="926"/>
      <c r="WLO37" s="926"/>
      <c r="WLP37" s="926"/>
      <c r="WLQ37" s="926"/>
      <c r="WLR37" s="926"/>
      <c r="WLS37" s="926"/>
      <c r="WLT37" s="926"/>
      <c r="WLU37" s="926"/>
      <c r="WLV37" s="926"/>
      <c r="WLW37" s="926"/>
      <c r="WLX37" s="926"/>
      <c r="WLY37" s="926"/>
      <c r="WLZ37" s="926"/>
      <c r="WMA37" s="926"/>
      <c r="WMB37" s="926"/>
      <c r="WMC37" s="926"/>
      <c r="WMD37" s="926"/>
      <c r="WME37" s="926"/>
      <c r="WMF37" s="926"/>
      <c r="WMG37" s="926"/>
      <c r="WMH37" s="926"/>
      <c r="WMI37" s="926"/>
      <c r="WMJ37" s="926"/>
      <c r="WMK37" s="926"/>
      <c r="WML37" s="926"/>
      <c r="WMM37" s="926"/>
      <c r="WMN37" s="926"/>
      <c r="WMO37" s="926"/>
      <c r="WMP37" s="926"/>
      <c r="WMQ37" s="926"/>
      <c r="WMR37" s="926"/>
      <c r="WMS37" s="926"/>
      <c r="WMT37" s="926"/>
      <c r="WMU37" s="926"/>
      <c r="WMV37" s="926"/>
      <c r="WMW37" s="926"/>
      <c r="WMX37" s="926"/>
      <c r="WMY37" s="926"/>
      <c r="WMZ37" s="926"/>
      <c r="WNA37" s="926"/>
      <c r="WNB37" s="926"/>
      <c r="WNC37" s="926"/>
      <c r="WND37" s="926"/>
      <c r="WNE37" s="926"/>
      <c r="WNF37" s="926"/>
      <c r="WNG37" s="926"/>
      <c r="WNH37" s="926"/>
      <c r="WNI37" s="926"/>
      <c r="WNJ37" s="926"/>
      <c r="WNK37" s="926"/>
      <c r="WNL37" s="926"/>
      <c r="WNM37" s="926"/>
      <c r="WNN37" s="926"/>
      <c r="WNO37" s="926"/>
      <c r="WNP37" s="926"/>
      <c r="WNQ37" s="926"/>
      <c r="WNR37" s="926"/>
      <c r="WNS37" s="926"/>
      <c r="WNT37" s="926"/>
      <c r="WNU37" s="926"/>
      <c r="WNV37" s="926"/>
      <c r="WNW37" s="926"/>
      <c r="WNX37" s="926"/>
      <c r="WNY37" s="926"/>
      <c r="WNZ37" s="926"/>
      <c r="WOA37" s="926"/>
      <c r="WOB37" s="926"/>
      <c r="WOC37" s="926"/>
      <c r="WOD37" s="926"/>
      <c r="WOE37" s="926"/>
      <c r="WOF37" s="926"/>
      <c r="WOG37" s="926"/>
      <c r="WOH37" s="926"/>
      <c r="WOI37" s="926"/>
      <c r="WOJ37" s="926"/>
      <c r="WOK37" s="926"/>
      <c r="WOL37" s="926"/>
      <c r="WOM37" s="926"/>
      <c r="WON37" s="926"/>
      <c r="WOO37" s="926"/>
      <c r="WOP37" s="926"/>
      <c r="WOQ37" s="926"/>
      <c r="WOR37" s="926"/>
      <c r="WOS37" s="926"/>
      <c r="WOT37" s="926"/>
      <c r="WOU37" s="926"/>
      <c r="WOV37" s="926"/>
      <c r="WOW37" s="926"/>
      <c r="WOX37" s="926"/>
      <c r="WOY37" s="926"/>
      <c r="WOZ37" s="926"/>
      <c r="WPA37" s="926"/>
      <c r="WPB37" s="926"/>
      <c r="WPC37" s="926"/>
      <c r="WPD37" s="926"/>
      <c r="WPE37" s="926"/>
      <c r="WPF37" s="926"/>
      <c r="WPG37" s="926"/>
      <c r="WPH37" s="926"/>
      <c r="WPI37" s="926"/>
      <c r="WPJ37" s="926"/>
      <c r="WPK37" s="926"/>
      <c r="WPL37" s="926"/>
      <c r="WPM37" s="926"/>
      <c r="WPN37" s="926"/>
      <c r="WPO37" s="926"/>
      <c r="WPP37" s="926"/>
      <c r="WPQ37" s="926"/>
      <c r="WPR37" s="926"/>
      <c r="WPS37" s="926"/>
      <c r="WPT37" s="926"/>
      <c r="WPU37" s="926"/>
      <c r="WPV37" s="926"/>
      <c r="WPW37" s="926"/>
      <c r="WPX37" s="926"/>
      <c r="WPY37" s="926"/>
      <c r="WPZ37" s="926"/>
      <c r="WQA37" s="926"/>
      <c r="WQB37" s="926"/>
      <c r="WQC37" s="926"/>
      <c r="WQD37" s="926"/>
      <c r="WQE37" s="926"/>
      <c r="WQF37" s="926"/>
      <c r="WQG37" s="926"/>
      <c r="WQH37" s="926"/>
      <c r="WQI37" s="926"/>
      <c r="WQJ37" s="926"/>
      <c r="WQK37" s="926"/>
      <c r="WQL37" s="926"/>
      <c r="WQM37" s="926"/>
      <c r="WQN37" s="926"/>
      <c r="WQO37" s="926"/>
      <c r="WQP37" s="926"/>
      <c r="WQQ37" s="926"/>
      <c r="WQR37" s="926"/>
      <c r="WQS37" s="926"/>
      <c r="WQT37" s="926"/>
      <c r="WQU37" s="926"/>
      <c r="WQV37" s="926"/>
      <c r="WQW37" s="926"/>
      <c r="WQX37" s="926"/>
      <c r="WQY37" s="926"/>
      <c r="WQZ37" s="926"/>
      <c r="WRA37" s="926"/>
      <c r="WRB37" s="926"/>
      <c r="WRC37" s="926"/>
      <c r="WRD37" s="926"/>
      <c r="WRE37" s="926"/>
      <c r="WRF37" s="926"/>
      <c r="WRG37" s="926"/>
      <c r="WRH37" s="926"/>
      <c r="WRI37" s="926"/>
      <c r="WRJ37" s="926"/>
      <c r="WRK37" s="926"/>
      <c r="WRL37" s="926"/>
      <c r="WRM37" s="926"/>
      <c r="WRN37" s="926"/>
      <c r="WRO37" s="926"/>
      <c r="WRP37" s="926"/>
      <c r="WRQ37" s="926"/>
      <c r="WRR37" s="926"/>
      <c r="WRS37" s="926"/>
      <c r="WRT37" s="926"/>
      <c r="WRU37" s="926"/>
      <c r="WRV37" s="926"/>
      <c r="WRW37" s="926"/>
      <c r="WRX37" s="926"/>
      <c r="WRY37" s="926"/>
      <c r="WRZ37" s="926"/>
      <c r="WSA37" s="926"/>
      <c r="WSB37" s="926"/>
      <c r="WSC37" s="926"/>
      <c r="WSD37" s="926"/>
      <c r="WSE37" s="926"/>
      <c r="WSF37" s="926"/>
      <c r="WSG37" s="926"/>
      <c r="WSH37" s="926"/>
      <c r="WSI37" s="926"/>
      <c r="WSJ37" s="926"/>
      <c r="WSK37" s="926"/>
      <c r="WSL37" s="926"/>
      <c r="WSM37" s="926"/>
      <c r="WSN37" s="926"/>
      <c r="WSO37" s="926"/>
      <c r="WSP37" s="926"/>
      <c r="WSQ37" s="926"/>
      <c r="WSR37" s="926"/>
      <c r="WSS37" s="926"/>
      <c r="WST37" s="926"/>
      <c r="WSU37" s="926"/>
      <c r="WSV37" s="926"/>
      <c r="WSW37" s="926"/>
      <c r="WSX37" s="926"/>
      <c r="WSY37" s="926"/>
      <c r="WSZ37" s="926"/>
      <c r="WTA37" s="926"/>
      <c r="WTB37" s="926"/>
      <c r="WTC37" s="926"/>
      <c r="WTD37" s="926"/>
      <c r="WTE37" s="926"/>
      <c r="WTF37" s="926"/>
      <c r="WTG37" s="926"/>
      <c r="WTH37" s="926"/>
      <c r="WTI37" s="926"/>
      <c r="WTJ37" s="926"/>
      <c r="WTK37" s="926"/>
      <c r="WTL37" s="926"/>
      <c r="WTM37" s="926"/>
      <c r="WTN37" s="926"/>
      <c r="WTO37" s="926"/>
      <c r="WTP37" s="926"/>
      <c r="WTQ37" s="926"/>
      <c r="WTR37" s="926"/>
      <c r="WTS37" s="926"/>
      <c r="WTT37" s="926"/>
      <c r="WTU37" s="926"/>
      <c r="WTV37" s="926"/>
      <c r="WTW37" s="926"/>
      <c r="WTX37" s="926"/>
      <c r="WTY37" s="926"/>
      <c r="WTZ37" s="926"/>
      <c r="WUA37" s="926"/>
      <c r="WUB37" s="926"/>
      <c r="WUC37" s="926"/>
      <c r="WUD37" s="926"/>
      <c r="WUE37" s="926"/>
      <c r="WUF37" s="926"/>
      <c r="WUG37" s="926"/>
      <c r="WUH37" s="926"/>
      <c r="WUI37" s="926"/>
      <c r="WUJ37" s="926"/>
      <c r="WUK37" s="926"/>
      <c r="WUL37" s="926"/>
      <c r="WUM37" s="926"/>
      <c r="WUN37" s="926"/>
      <c r="WUO37" s="926"/>
      <c r="WUP37" s="926"/>
      <c r="WUQ37" s="926"/>
      <c r="WUR37" s="926"/>
      <c r="WUS37" s="926"/>
      <c r="WUT37" s="926"/>
      <c r="WUU37" s="926"/>
      <c r="WUV37" s="926"/>
      <c r="WUW37" s="926"/>
      <c r="WUX37" s="926"/>
      <c r="WUY37" s="926"/>
      <c r="WUZ37" s="926"/>
      <c r="WVA37" s="926"/>
      <c r="WVB37" s="926"/>
      <c r="WVC37" s="926"/>
      <c r="WVD37" s="926"/>
      <c r="WVE37" s="926"/>
      <c r="WVF37" s="926"/>
      <c r="WVG37" s="926"/>
      <c r="WVH37" s="926"/>
      <c r="WVI37" s="926"/>
      <c r="WVJ37" s="926"/>
      <c r="WVK37" s="926"/>
      <c r="WVL37" s="926"/>
      <c r="WVM37" s="926"/>
      <c r="WVN37" s="926"/>
      <c r="WVO37" s="926"/>
      <c r="WVP37" s="926"/>
      <c r="WVQ37" s="926"/>
      <c r="WVR37" s="926"/>
      <c r="WVS37" s="926"/>
      <c r="WVT37" s="926"/>
      <c r="WVU37" s="926"/>
      <c r="WVV37" s="926"/>
      <c r="WVW37" s="926"/>
      <c r="WVX37" s="926"/>
      <c r="WVY37" s="926"/>
      <c r="WVZ37" s="926"/>
      <c r="WWA37" s="926"/>
      <c r="WWB37" s="926"/>
      <c r="WWC37" s="926"/>
      <c r="WWD37" s="926"/>
      <c r="WWE37" s="926"/>
      <c r="WWF37" s="926"/>
      <c r="WWG37" s="926"/>
      <c r="WWH37" s="926"/>
      <c r="WWI37" s="926"/>
      <c r="WWJ37" s="926"/>
      <c r="WWK37" s="926"/>
      <c r="WWL37" s="926"/>
      <c r="WWM37" s="926"/>
      <c r="WWN37" s="926"/>
      <c r="WWO37" s="926"/>
      <c r="WWP37" s="926"/>
      <c r="WWQ37" s="926"/>
      <c r="WWR37" s="926"/>
      <c r="WWS37" s="926"/>
      <c r="WWT37" s="926"/>
      <c r="WWU37" s="926"/>
      <c r="WWV37" s="926"/>
      <c r="WWW37" s="926"/>
      <c r="WWX37" s="926"/>
      <c r="WWY37" s="926"/>
      <c r="WWZ37" s="926"/>
      <c r="WXA37" s="926"/>
      <c r="WXB37" s="926"/>
      <c r="WXC37" s="926"/>
      <c r="WXD37" s="926"/>
      <c r="WXE37" s="926"/>
      <c r="WXF37" s="926"/>
      <c r="WXG37" s="926"/>
      <c r="WXH37" s="926"/>
      <c r="WXI37" s="926"/>
      <c r="WXJ37" s="926"/>
      <c r="WXK37" s="926"/>
      <c r="WXL37" s="926"/>
      <c r="WXM37" s="926"/>
      <c r="WXN37" s="926"/>
      <c r="WXO37" s="926"/>
      <c r="WXP37" s="926"/>
      <c r="WXQ37" s="926"/>
      <c r="WXR37" s="926"/>
      <c r="WXS37" s="926"/>
      <c r="WXT37" s="926"/>
      <c r="WXU37" s="926"/>
      <c r="WXV37" s="926"/>
      <c r="WXW37" s="926"/>
      <c r="WXX37" s="926"/>
      <c r="WXY37" s="926"/>
      <c r="WXZ37" s="926"/>
      <c r="WYA37" s="926"/>
      <c r="WYB37" s="926"/>
      <c r="WYC37" s="926"/>
      <c r="WYD37" s="926"/>
      <c r="WYE37" s="926"/>
      <c r="WYF37" s="926"/>
      <c r="WYG37" s="926"/>
      <c r="WYH37" s="926"/>
      <c r="WYI37" s="926"/>
      <c r="WYJ37" s="926"/>
      <c r="WYK37" s="926"/>
      <c r="WYL37" s="926"/>
      <c r="WYM37" s="926"/>
      <c r="WYN37" s="926"/>
      <c r="WYO37" s="926"/>
      <c r="WYP37" s="926"/>
      <c r="WYQ37" s="926"/>
      <c r="WYR37" s="926"/>
      <c r="WYS37" s="926"/>
      <c r="WYT37" s="926"/>
      <c r="WYU37" s="926"/>
      <c r="WYV37" s="926"/>
      <c r="WYW37" s="926"/>
      <c r="WYX37" s="926"/>
      <c r="WYY37" s="926"/>
      <c r="WYZ37" s="926"/>
      <c r="WZA37" s="926"/>
      <c r="WZB37" s="926"/>
      <c r="WZC37" s="926"/>
      <c r="WZD37" s="926"/>
      <c r="WZE37" s="926"/>
      <c r="WZF37" s="926"/>
      <c r="WZG37" s="926"/>
      <c r="WZH37" s="926"/>
      <c r="WZI37" s="926"/>
      <c r="WZJ37" s="926"/>
      <c r="WZK37" s="926"/>
      <c r="WZL37" s="926"/>
      <c r="WZM37" s="926"/>
      <c r="WZN37" s="926"/>
      <c r="WZO37" s="926"/>
      <c r="WZP37" s="926"/>
      <c r="WZQ37" s="926"/>
      <c r="WZR37" s="926"/>
      <c r="WZS37" s="926"/>
      <c r="WZT37" s="926"/>
      <c r="WZU37" s="926"/>
      <c r="WZV37" s="926"/>
      <c r="WZW37" s="926"/>
      <c r="WZX37" s="926"/>
      <c r="WZY37" s="926"/>
      <c r="WZZ37" s="926"/>
      <c r="XAA37" s="926"/>
      <c r="XAB37" s="926"/>
      <c r="XAC37" s="926"/>
      <c r="XAD37" s="926"/>
      <c r="XAE37" s="926"/>
      <c r="XAF37" s="926"/>
      <c r="XAG37" s="926"/>
      <c r="XAH37" s="926"/>
      <c r="XAI37" s="926"/>
      <c r="XAJ37" s="926"/>
      <c r="XAK37" s="926"/>
      <c r="XAL37" s="926"/>
      <c r="XAM37" s="926"/>
      <c r="XAN37" s="926"/>
      <c r="XAO37" s="926"/>
      <c r="XAP37" s="926"/>
      <c r="XAQ37" s="926"/>
      <c r="XAR37" s="926"/>
      <c r="XAS37" s="926"/>
      <c r="XAT37" s="926"/>
      <c r="XAU37" s="926"/>
      <c r="XAV37" s="926"/>
      <c r="XAW37" s="926"/>
      <c r="XAX37" s="926"/>
      <c r="XAY37" s="926"/>
      <c r="XAZ37" s="926"/>
      <c r="XBA37" s="926"/>
      <c r="XBB37" s="926"/>
      <c r="XBC37" s="926"/>
      <c r="XBD37" s="926"/>
      <c r="XBE37" s="926"/>
      <c r="XBF37" s="926"/>
      <c r="XBG37" s="926"/>
      <c r="XBH37" s="926"/>
      <c r="XBI37" s="926"/>
      <c r="XBJ37" s="926"/>
      <c r="XBK37" s="926"/>
      <c r="XBL37" s="926"/>
      <c r="XBM37" s="926"/>
      <c r="XBN37" s="926"/>
      <c r="XBO37" s="926"/>
      <c r="XBP37" s="926"/>
      <c r="XBQ37" s="926"/>
      <c r="XBR37" s="926"/>
      <c r="XBS37" s="926"/>
      <c r="XBT37" s="926"/>
      <c r="XBU37" s="926"/>
      <c r="XBV37" s="926"/>
      <c r="XBW37" s="926"/>
      <c r="XBX37" s="926"/>
      <c r="XBY37" s="926"/>
      <c r="XBZ37" s="926"/>
      <c r="XCA37" s="926"/>
      <c r="XCB37" s="926"/>
      <c r="XCC37" s="926"/>
      <c r="XCD37" s="926"/>
      <c r="XCE37" s="926"/>
      <c r="XCF37" s="926"/>
      <c r="XCG37" s="926"/>
      <c r="XCH37" s="926"/>
      <c r="XCI37" s="926"/>
      <c r="XCJ37" s="926"/>
      <c r="XCK37" s="926"/>
      <c r="XCL37" s="926"/>
      <c r="XCM37" s="926"/>
      <c r="XCN37" s="926"/>
      <c r="XCO37" s="926"/>
      <c r="XCP37" s="926"/>
      <c r="XCQ37" s="926"/>
      <c r="XCR37" s="926"/>
      <c r="XCS37" s="926"/>
      <c r="XCT37" s="926"/>
      <c r="XCU37" s="926"/>
      <c r="XCV37" s="926"/>
      <c r="XCW37" s="926"/>
      <c r="XCX37" s="926"/>
      <c r="XCY37" s="926"/>
      <c r="XCZ37" s="926"/>
      <c r="XDA37" s="926"/>
      <c r="XDB37" s="926"/>
      <c r="XDC37" s="926"/>
      <c r="XDD37" s="926"/>
      <c r="XDE37" s="926"/>
      <c r="XDF37" s="926"/>
      <c r="XDG37" s="926"/>
      <c r="XDH37" s="926"/>
      <c r="XDI37" s="926"/>
      <c r="XDJ37" s="926"/>
      <c r="XDK37" s="926"/>
      <c r="XDL37" s="926"/>
      <c r="XDM37" s="926"/>
      <c r="XDN37" s="926"/>
      <c r="XDO37" s="926"/>
      <c r="XDP37" s="926"/>
      <c r="XDQ37" s="926"/>
      <c r="XDR37" s="926"/>
      <c r="XDS37" s="926"/>
      <c r="XDT37" s="926"/>
      <c r="XDU37" s="926"/>
      <c r="XDV37" s="926"/>
      <c r="XDW37" s="926"/>
      <c r="XDX37" s="926"/>
      <c r="XDY37" s="926"/>
      <c r="XDZ37" s="926"/>
      <c r="XEA37" s="926"/>
      <c r="XEB37" s="926"/>
      <c r="XEC37" s="926"/>
      <c r="XED37" s="926"/>
      <c r="XEE37" s="926"/>
      <c r="XEF37" s="926"/>
      <c r="XEG37" s="926"/>
      <c r="XEH37" s="926"/>
      <c r="XEI37" s="926"/>
      <c r="XEJ37" s="926"/>
      <c r="XEK37" s="926"/>
      <c r="XEL37" s="926"/>
      <c r="XEM37" s="926"/>
      <c r="XEN37" s="926"/>
      <c r="XEO37" s="926"/>
      <c r="XEP37" s="926"/>
      <c r="XEQ37" s="926"/>
      <c r="XER37" s="926"/>
      <c r="XES37" s="926"/>
      <c r="XET37" s="926"/>
      <c r="XEU37" s="926"/>
      <c r="XEV37" s="926"/>
      <c r="XEW37" s="926"/>
      <c r="XEX37" s="926"/>
      <c r="XEY37" s="926"/>
      <c r="XEZ37" s="926"/>
      <c r="XFA37" s="926"/>
      <c r="XFB37" s="926"/>
      <c r="XFC37" s="926"/>
      <c r="XFD37" s="926"/>
    </row>
    <row r="38" spans="3:16384" x14ac:dyDescent="0.35">
      <c r="C38" s="931" t="s">
        <v>5</v>
      </c>
      <c r="D38" s="932"/>
      <c r="E38" s="811">
        <f t="shared" si="7"/>
        <v>4036579.2723144032</v>
      </c>
      <c r="F38" s="876">
        <f t="shared" ref="F38:AN38" si="11">$F$51*F29</f>
        <v>0</v>
      </c>
      <c r="G38" s="876">
        <f t="shared" si="11"/>
        <v>0</v>
      </c>
      <c r="H38" s="876">
        <f t="shared" si="11"/>
        <v>144163.54543980001</v>
      </c>
      <c r="I38" s="876">
        <f t="shared" si="11"/>
        <v>144163.54543980001</v>
      </c>
      <c r="J38" s="876">
        <f t="shared" si="11"/>
        <v>144163.54543980001</v>
      </c>
      <c r="K38" s="876">
        <f t="shared" si="11"/>
        <v>144163.54543980001</v>
      </c>
      <c r="L38" s="876">
        <f t="shared" si="11"/>
        <v>144163.54543980001</v>
      </c>
      <c r="M38" s="876">
        <f t="shared" si="11"/>
        <v>144163.54543980001</v>
      </c>
      <c r="N38" s="876">
        <f t="shared" si="11"/>
        <v>144163.54543980001</v>
      </c>
      <c r="O38" s="876">
        <f t="shared" si="11"/>
        <v>144163.54543980001</v>
      </c>
      <c r="P38" s="876">
        <f t="shared" si="11"/>
        <v>144163.54543980001</v>
      </c>
      <c r="Q38" s="876">
        <f t="shared" si="11"/>
        <v>144163.54543980001</v>
      </c>
      <c r="R38" s="876">
        <f t="shared" si="11"/>
        <v>144163.54543980001</v>
      </c>
      <c r="S38" s="876">
        <f t="shared" si="11"/>
        <v>144163.54543980001</v>
      </c>
      <c r="T38" s="876">
        <f t="shared" si="11"/>
        <v>144163.54543980001</v>
      </c>
      <c r="U38" s="876">
        <f t="shared" si="11"/>
        <v>144163.54543980001</v>
      </c>
      <c r="V38" s="876">
        <f t="shared" si="11"/>
        <v>144163.54543980001</v>
      </c>
      <c r="W38" s="876">
        <f t="shared" si="11"/>
        <v>144163.54543980001</v>
      </c>
      <c r="X38" s="876">
        <f t="shared" si="11"/>
        <v>144163.54543980001</v>
      </c>
      <c r="Y38" s="876">
        <f t="shared" si="11"/>
        <v>144163.54543980001</v>
      </c>
      <c r="Z38" s="876">
        <f t="shared" si="11"/>
        <v>144163.54543980001</v>
      </c>
      <c r="AA38" s="876">
        <f t="shared" si="11"/>
        <v>144163.54543980001</v>
      </c>
      <c r="AB38" s="876">
        <f t="shared" si="11"/>
        <v>144163.54543980001</v>
      </c>
      <c r="AC38" s="876">
        <f t="shared" si="11"/>
        <v>144163.54543980001</v>
      </c>
      <c r="AD38" s="876">
        <f t="shared" si="11"/>
        <v>144163.54543980001</v>
      </c>
      <c r="AE38" s="876">
        <f t="shared" si="11"/>
        <v>144163.54543980001</v>
      </c>
      <c r="AF38" s="876">
        <f t="shared" si="11"/>
        <v>144163.54543980001</v>
      </c>
      <c r="AG38" s="876">
        <f t="shared" si="11"/>
        <v>144163.54543980001</v>
      </c>
      <c r="AH38" s="876">
        <f t="shared" si="11"/>
        <v>144163.54543980001</v>
      </c>
      <c r="AI38" s="876">
        <f t="shared" si="11"/>
        <v>144163.54543980001</v>
      </c>
      <c r="AJ38" s="876">
        <f t="shared" si="11"/>
        <v>0</v>
      </c>
      <c r="AK38" s="876">
        <f t="shared" si="11"/>
        <v>0</v>
      </c>
      <c r="AL38" s="876">
        <f t="shared" si="11"/>
        <v>0</v>
      </c>
      <c r="AM38" s="876">
        <f t="shared" si="11"/>
        <v>0</v>
      </c>
      <c r="AN38" s="876">
        <f t="shared" si="11"/>
        <v>0</v>
      </c>
      <c r="AO38" s="926"/>
      <c r="AP38" s="926"/>
      <c r="AQ38" s="926"/>
      <c r="AR38" s="926"/>
      <c r="AS38" s="926"/>
      <c r="AT38" s="926"/>
      <c r="AU38" s="926"/>
      <c r="AV38" s="926"/>
      <c r="AW38" s="926"/>
      <c r="AX38" s="926"/>
      <c r="AY38" s="926"/>
      <c r="AZ38" s="926"/>
      <c r="BA38" s="926"/>
      <c r="BB38" s="926"/>
      <c r="BC38" s="926"/>
      <c r="BD38" s="926"/>
      <c r="BE38" s="926"/>
      <c r="BF38" s="926"/>
      <c r="BG38" s="926"/>
      <c r="BH38" s="926"/>
      <c r="BI38" s="926"/>
      <c r="BJ38" s="926"/>
      <c r="BK38" s="926"/>
      <c r="BL38" s="926"/>
      <c r="BM38" s="926"/>
      <c r="BN38" s="926"/>
      <c r="BO38" s="926"/>
      <c r="BP38" s="926"/>
      <c r="BQ38" s="926"/>
      <c r="BR38" s="926"/>
      <c r="BS38" s="926"/>
      <c r="BT38" s="926"/>
      <c r="BU38" s="926"/>
      <c r="BV38" s="926"/>
      <c r="BW38" s="926"/>
      <c r="BX38" s="926"/>
      <c r="BY38" s="926"/>
      <c r="BZ38" s="926"/>
      <c r="CA38" s="926"/>
      <c r="CB38" s="926"/>
      <c r="CC38" s="926"/>
      <c r="CD38" s="926"/>
      <c r="CE38" s="926"/>
      <c r="CF38" s="926"/>
      <c r="CG38" s="926"/>
      <c r="CH38" s="926"/>
      <c r="CI38" s="926"/>
      <c r="CJ38" s="926"/>
      <c r="CK38" s="926"/>
      <c r="CL38" s="926"/>
      <c r="CM38" s="926"/>
      <c r="CN38" s="926"/>
      <c r="CO38" s="926"/>
      <c r="CP38" s="926"/>
      <c r="CQ38" s="926"/>
      <c r="CR38" s="926"/>
      <c r="CS38" s="926"/>
      <c r="CT38" s="926"/>
      <c r="CU38" s="926"/>
      <c r="CV38" s="926"/>
      <c r="CW38" s="926"/>
      <c r="CX38" s="926"/>
      <c r="CY38" s="926"/>
      <c r="CZ38" s="926"/>
      <c r="DA38" s="926"/>
      <c r="DB38" s="926"/>
      <c r="DC38" s="926"/>
      <c r="DD38" s="926"/>
      <c r="DE38" s="926"/>
      <c r="DF38" s="926"/>
      <c r="DG38" s="926"/>
      <c r="DH38" s="926"/>
      <c r="DI38" s="926"/>
      <c r="DJ38" s="926"/>
      <c r="DK38" s="926"/>
      <c r="DL38" s="926"/>
      <c r="DM38" s="926"/>
      <c r="DN38" s="926"/>
      <c r="DO38" s="926"/>
      <c r="DP38" s="926"/>
      <c r="DQ38" s="926"/>
      <c r="DR38" s="926"/>
      <c r="DS38" s="926"/>
      <c r="DT38" s="926"/>
      <c r="DU38" s="926"/>
      <c r="DV38" s="926"/>
      <c r="DW38" s="926"/>
      <c r="DX38" s="926"/>
      <c r="DY38" s="926"/>
      <c r="DZ38" s="926"/>
      <c r="EA38" s="926"/>
      <c r="EB38" s="926"/>
      <c r="EC38" s="926"/>
      <c r="ED38" s="926"/>
      <c r="EE38" s="926"/>
      <c r="EF38" s="926"/>
      <c r="EG38" s="926"/>
      <c r="EH38" s="926"/>
      <c r="EI38" s="926"/>
      <c r="EJ38" s="926"/>
      <c r="EK38" s="926"/>
      <c r="EL38" s="926"/>
      <c r="EM38" s="926"/>
      <c r="EN38" s="926"/>
      <c r="EO38" s="926"/>
      <c r="EP38" s="926"/>
      <c r="EQ38" s="926"/>
      <c r="ER38" s="926"/>
      <c r="ES38" s="926"/>
      <c r="ET38" s="926"/>
      <c r="EU38" s="926"/>
      <c r="EV38" s="926"/>
      <c r="EW38" s="926"/>
      <c r="EX38" s="926"/>
      <c r="EY38" s="926"/>
      <c r="EZ38" s="926"/>
      <c r="FA38" s="926"/>
      <c r="FB38" s="926"/>
      <c r="FC38" s="926"/>
      <c r="FD38" s="926"/>
      <c r="FE38" s="926"/>
      <c r="FF38" s="926"/>
      <c r="FG38" s="926"/>
      <c r="FH38" s="926"/>
      <c r="FI38" s="926"/>
      <c r="FJ38" s="926"/>
      <c r="FK38" s="926"/>
      <c r="FL38" s="926"/>
      <c r="FM38" s="926"/>
      <c r="FN38" s="926"/>
      <c r="FO38" s="926"/>
      <c r="FP38" s="926"/>
      <c r="FQ38" s="926"/>
      <c r="FR38" s="926"/>
      <c r="FS38" s="926"/>
      <c r="FT38" s="926"/>
      <c r="FU38" s="926"/>
      <c r="FV38" s="926"/>
      <c r="FW38" s="926"/>
      <c r="FX38" s="926"/>
      <c r="FY38" s="926"/>
      <c r="FZ38" s="926"/>
      <c r="GA38" s="926"/>
      <c r="GB38" s="926"/>
      <c r="GC38" s="926"/>
      <c r="GD38" s="926"/>
      <c r="GE38" s="926"/>
      <c r="GF38" s="926"/>
      <c r="GG38" s="926"/>
      <c r="GH38" s="926"/>
      <c r="GI38" s="926"/>
      <c r="GJ38" s="926"/>
      <c r="GK38" s="926"/>
      <c r="GL38" s="926"/>
      <c r="GM38" s="926"/>
      <c r="GN38" s="926"/>
      <c r="GO38" s="926"/>
      <c r="GP38" s="926"/>
      <c r="GQ38" s="926"/>
      <c r="GR38" s="926"/>
      <c r="GS38" s="926"/>
      <c r="GT38" s="926"/>
      <c r="GU38" s="926"/>
      <c r="GV38" s="926"/>
      <c r="GW38" s="926"/>
      <c r="GX38" s="926"/>
      <c r="GY38" s="926"/>
      <c r="GZ38" s="926"/>
      <c r="HA38" s="926"/>
      <c r="HB38" s="926"/>
      <c r="HC38" s="926"/>
      <c r="HD38" s="926"/>
      <c r="HE38" s="926"/>
      <c r="HF38" s="926"/>
      <c r="HG38" s="926"/>
      <c r="HH38" s="926"/>
      <c r="HI38" s="926"/>
      <c r="HJ38" s="926"/>
      <c r="HK38" s="926"/>
      <c r="HL38" s="926"/>
      <c r="HM38" s="926"/>
      <c r="HN38" s="926"/>
      <c r="HO38" s="926"/>
      <c r="HP38" s="926"/>
      <c r="HQ38" s="926"/>
      <c r="HR38" s="926"/>
      <c r="HS38" s="926"/>
      <c r="HT38" s="926"/>
      <c r="HU38" s="926"/>
      <c r="HV38" s="926"/>
      <c r="HW38" s="926"/>
      <c r="HX38" s="926"/>
      <c r="HY38" s="926"/>
      <c r="HZ38" s="926"/>
      <c r="IA38" s="926"/>
      <c r="IB38" s="926"/>
      <c r="IC38" s="926"/>
      <c r="ID38" s="926"/>
      <c r="IE38" s="926"/>
      <c r="IF38" s="926"/>
      <c r="IG38" s="926"/>
      <c r="IH38" s="926"/>
      <c r="II38" s="926"/>
      <c r="IJ38" s="926"/>
      <c r="IK38" s="926"/>
      <c r="IL38" s="926"/>
      <c r="IM38" s="926"/>
      <c r="IN38" s="926"/>
      <c r="IO38" s="926"/>
      <c r="IP38" s="926"/>
      <c r="IQ38" s="926"/>
      <c r="IR38" s="926"/>
      <c r="IS38" s="926"/>
      <c r="IT38" s="926"/>
      <c r="IU38" s="926"/>
      <c r="IV38" s="926"/>
      <c r="IW38" s="926"/>
      <c r="IX38" s="926"/>
      <c r="IY38" s="926"/>
      <c r="IZ38" s="926"/>
      <c r="JA38" s="926"/>
      <c r="JB38" s="926"/>
      <c r="JC38" s="926"/>
      <c r="JD38" s="926"/>
      <c r="JE38" s="926"/>
      <c r="JF38" s="926"/>
      <c r="JG38" s="926"/>
      <c r="JH38" s="926"/>
      <c r="JI38" s="926"/>
      <c r="JJ38" s="926"/>
      <c r="JK38" s="926"/>
      <c r="JL38" s="926"/>
      <c r="JM38" s="926"/>
      <c r="JN38" s="926"/>
      <c r="JO38" s="926"/>
      <c r="JP38" s="926"/>
      <c r="JQ38" s="926"/>
      <c r="JR38" s="926"/>
      <c r="JS38" s="926"/>
      <c r="JT38" s="926"/>
      <c r="JU38" s="926"/>
      <c r="JV38" s="926"/>
      <c r="JW38" s="926"/>
      <c r="JX38" s="926"/>
      <c r="JY38" s="926"/>
      <c r="JZ38" s="926"/>
      <c r="KA38" s="926"/>
      <c r="KB38" s="926"/>
      <c r="KC38" s="926"/>
      <c r="KD38" s="926"/>
      <c r="KE38" s="926"/>
      <c r="KF38" s="926"/>
      <c r="KG38" s="926"/>
      <c r="KH38" s="926"/>
      <c r="KI38" s="926"/>
      <c r="KJ38" s="926"/>
      <c r="KK38" s="926"/>
      <c r="KL38" s="926"/>
      <c r="KM38" s="926"/>
      <c r="KN38" s="926"/>
      <c r="KO38" s="926"/>
      <c r="KP38" s="926"/>
      <c r="KQ38" s="926"/>
      <c r="KR38" s="926"/>
      <c r="KS38" s="926"/>
      <c r="KT38" s="926"/>
      <c r="KU38" s="926"/>
      <c r="KV38" s="926"/>
      <c r="KW38" s="926"/>
      <c r="KX38" s="926"/>
      <c r="KY38" s="926"/>
      <c r="KZ38" s="926"/>
      <c r="LA38" s="926"/>
      <c r="LB38" s="926"/>
      <c r="LC38" s="926"/>
      <c r="LD38" s="926"/>
      <c r="LE38" s="926"/>
      <c r="LF38" s="926"/>
      <c r="LG38" s="926"/>
      <c r="LH38" s="926"/>
      <c r="LI38" s="926"/>
      <c r="LJ38" s="926"/>
      <c r="LK38" s="926"/>
      <c r="LL38" s="926"/>
      <c r="LM38" s="926"/>
      <c r="LN38" s="926"/>
      <c r="LO38" s="926"/>
      <c r="LP38" s="926"/>
      <c r="LQ38" s="926"/>
      <c r="LR38" s="926"/>
      <c r="LS38" s="926"/>
      <c r="LT38" s="926"/>
      <c r="LU38" s="926"/>
      <c r="LV38" s="926"/>
      <c r="LW38" s="926"/>
      <c r="LX38" s="926"/>
      <c r="LY38" s="926"/>
      <c r="LZ38" s="926"/>
      <c r="MA38" s="926"/>
      <c r="MB38" s="926"/>
      <c r="MC38" s="926"/>
      <c r="MD38" s="926"/>
      <c r="ME38" s="926"/>
      <c r="MF38" s="926"/>
      <c r="MG38" s="926"/>
      <c r="MH38" s="926"/>
      <c r="MI38" s="926"/>
      <c r="MJ38" s="926"/>
      <c r="MK38" s="926"/>
      <c r="ML38" s="926"/>
      <c r="MM38" s="926"/>
      <c r="MN38" s="926"/>
      <c r="MO38" s="926"/>
      <c r="MP38" s="926"/>
      <c r="MQ38" s="926"/>
      <c r="MR38" s="926"/>
      <c r="MS38" s="926"/>
      <c r="MT38" s="926"/>
      <c r="MU38" s="926"/>
      <c r="MV38" s="926"/>
      <c r="MW38" s="926"/>
      <c r="MX38" s="926"/>
      <c r="MY38" s="926"/>
      <c r="MZ38" s="926"/>
      <c r="NA38" s="926"/>
      <c r="NB38" s="926"/>
      <c r="NC38" s="926"/>
      <c r="ND38" s="926"/>
      <c r="NE38" s="926"/>
      <c r="NF38" s="926"/>
      <c r="NG38" s="926"/>
      <c r="NH38" s="926"/>
      <c r="NI38" s="926"/>
      <c r="NJ38" s="926"/>
      <c r="NK38" s="926"/>
      <c r="NL38" s="926"/>
      <c r="NM38" s="926"/>
      <c r="NN38" s="926"/>
      <c r="NO38" s="926"/>
      <c r="NP38" s="926"/>
      <c r="NQ38" s="926"/>
      <c r="NR38" s="926"/>
      <c r="NS38" s="926"/>
      <c r="NT38" s="926"/>
      <c r="NU38" s="926"/>
      <c r="NV38" s="926"/>
      <c r="NW38" s="926"/>
      <c r="NX38" s="926"/>
      <c r="NY38" s="926"/>
      <c r="NZ38" s="926"/>
      <c r="OA38" s="926"/>
      <c r="OB38" s="926"/>
      <c r="OC38" s="926"/>
      <c r="OD38" s="926"/>
      <c r="OE38" s="926"/>
      <c r="OF38" s="926"/>
      <c r="OG38" s="926"/>
      <c r="OH38" s="926"/>
      <c r="OI38" s="926"/>
      <c r="OJ38" s="926"/>
      <c r="OK38" s="926"/>
      <c r="OL38" s="926"/>
      <c r="OM38" s="926"/>
      <c r="ON38" s="926"/>
      <c r="OO38" s="926"/>
      <c r="OP38" s="926"/>
      <c r="OQ38" s="926"/>
      <c r="OR38" s="926"/>
      <c r="OS38" s="926"/>
      <c r="OT38" s="926"/>
      <c r="OU38" s="926"/>
      <c r="OV38" s="926"/>
      <c r="OW38" s="926"/>
      <c r="OX38" s="926"/>
      <c r="OY38" s="926"/>
      <c r="OZ38" s="926"/>
      <c r="PA38" s="926"/>
      <c r="PB38" s="926"/>
      <c r="PC38" s="926"/>
      <c r="PD38" s="926"/>
      <c r="PE38" s="926"/>
      <c r="PF38" s="926"/>
      <c r="PG38" s="926"/>
      <c r="PH38" s="926"/>
      <c r="PI38" s="926"/>
      <c r="PJ38" s="926"/>
      <c r="PK38" s="926"/>
      <c r="PL38" s="926"/>
      <c r="PM38" s="926"/>
      <c r="PN38" s="926"/>
      <c r="PO38" s="926"/>
      <c r="PP38" s="926"/>
      <c r="PQ38" s="926"/>
      <c r="PR38" s="926"/>
      <c r="PS38" s="926"/>
      <c r="PT38" s="926"/>
      <c r="PU38" s="926"/>
      <c r="PV38" s="926"/>
      <c r="PW38" s="926"/>
      <c r="PX38" s="926"/>
      <c r="PY38" s="926"/>
      <c r="PZ38" s="926"/>
      <c r="QA38" s="926"/>
      <c r="QB38" s="926"/>
      <c r="QC38" s="926"/>
      <c r="QD38" s="926"/>
      <c r="QE38" s="926"/>
      <c r="QF38" s="926"/>
      <c r="QG38" s="926"/>
      <c r="QH38" s="926"/>
      <c r="QI38" s="926"/>
      <c r="QJ38" s="926"/>
      <c r="QK38" s="926"/>
      <c r="QL38" s="926"/>
      <c r="QM38" s="926"/>
      <c r="QN38" s="926"/>
      <c r="QO38" s="926"/>
      <c r="QP38" s="926"/>
      <c r="QQ38" s="926"/>
      <c r="QR38" s="926"/>
      <c r="QS38" s="926"/>
      <c r="QT38" s="926"/>
      <c r="QU38" s="926"/>
      <c r="QV38" s="926"/>
      <c r="QW38" s="926"/>
      <c r="QX38" s="926"/>
      <c r="QY38" s="926"/>
      <c r="QZ38" s="926"/>
      <c r="RA38" s="926"/>
      <c r="RB38" s="926"/>
      <c r="RC38" s="926"/>
      <c r="RD38" s="926"/>
      <c r="RE38" s="926"/>
      <c r="RF38" s="926"/>
      <c r="RG38" s="926"/>
      <c r="RH38" s="926"/>
      <c r="RI38" s="926"/>
      <c r="RJ38" s="926"/>
      <c r="RK38" s="926"/>
      <c r="RL38" s="926"/>
      <c r="RM38" s="926"/>
      <c r="RN38" s="926"/>
      <c r="RO38" s="926"/>
      <c r="RP38" s="926"/>
      <c r="RQ38" s="926"/>
      <c r="RR38" s="926"/>
      <c r="RS38" s="926"/>
      <c r="RT38" s="926"/>
      <c r="RU38" s="926"/>
      <c r="RV38" s="926"/>
      <c r="RW38" s="926"/>
      <c r="RX38" s="926"/>
      <c r="RY38" s="926"/>
      <c r="RZ38" s="926"/>
      <c r="SA38" s="926"/>
      <c r="SB38" s="926"/>
      <c r="SC38" s="926"/>
      <c r="SD38" s="926"/>
      <c r="SE38" s="926"/>
      <c r="SF38" s="926"/>
      <c r="SG38" s="926"/>
      <c r="SH38" s="926"/>
      <c r="SI38" s="926"/>
      <c r="SJ38" s="926"/>
      <c r="SK38" s="926"/>
      <c r="SL38" s="926"/>
      <c r="SM38" s="926"/>
      <c r="SN38" s="926"/>
      <c r="SO38" s="926"/>
      <c r="SP38" s="926"/>
      <c r="SQ38" s="926"/>
      <c r="SR38" s="926"/>
      <c r="SS38" s="926"/>
      <c r="ST38" s="926"/>
      <c r="SU38" s="926"/>
      <c r="SV38" s="926"/>
      <c r="SW38" s="926"/>
      <c r="SX38" s="926"/>
      <c r="SY38" s="926"/>
      <c r="SZ38" s="926"/>
      <c r="TA38" s="926"/>
      <c r="TB38" s="926"/>
      <c r="TC38" s="926"/>
      <c r="TD38" s="926"/>
      <c r="TE38" s="926"/>
      <c r="TF38" s="926"/>
      <c r="TG38" s="926"/>
      <c r="TH38" s="926"/>
      <c r="TI38" s="926"/>
      <c r="TJ38" s="926"/>
      <c r="TK38" s="926"/>
      <c r="TL38" s="926"/>
      <c r="TM38" s="926"/>
      <c r="TN38" s="926"/>
      <c r="TO38" s="926"/>
      <c r="TP38" s="926"/>
      <c r="TQ38" s="926"/>
      <c r="TR38" s="926"/>
      <c r="TS38" s="926"/>
      <c r="TT38" s="926"/>
      <c r="TU38" s="926"/>
      <c r="TV38" s="926"/>
      <c r="TW38" s="926"/>
      <c r="TX38" s="926"/>
      <c r="TY38" s="926"/>
      <c r="TZ38" s="926"/>
      <c r="UA38" s="926"/>
      <c r="UB38" s="926"/>
      <c r="UC38" s="926"/>
      <c r="UD38" s="926"/>
      <c r="UE38" s="926"/>
      <c r="UF38" s="926"/>
      <c r="UG38" s="926"/>
      <c r="UH38" s="926"/>
      <c r="UI38" s="926"/>
      <c r="UJ38" s="926"/>
      <c r="UK38" s="926"/>
      <c r="UL38" s="926"/>
      <c r="UM38" s="926"/>
      <c r="UN38" s="926"/>
      <c r="UO38" s="926"/>
      <c r="UP38" s="926"/>
      <c r="UQ38" s="926"/>
      <c r="UR38" s="926"/>
      <c r="US38" s="926"/>
      <c r="UT38" s="926"/>
      <c r="UU38" s="926"/>
      <c r="UV38" s="926"/>
      <c r="UW38" s="926"/>
      <c r="UX38" s="926"/>
      <c r="UY38" s="926"/>
      <c r="UZ38" s="926"/>
      <c r="VA38" s="926"/>
      <c r="VB38" s="926"/>
      <c r="VC38" s="926"/>
      <c r="VD38" s="926"/>
      <c r="VE38" s="926"/>
      <c r="VF38" s="926"/>
      <c r="VG38" s="926"/>
      <c r="VH38" s="926"/>
      <c r="VI38" s="926"/>
      <c r="VJ38" s="926"/>
      <c r="VK38" s="926"/>
      <c r="VL38" s="926"/>
      <c r="VM38" s="926"/>
      <c r="VN38" s="926"/>
      <c r="VO38" s="926"/>
      <c r="VP38" s="926"/>
      <c r="VQ38" s="926"/>
      <c r="VR38" s="926"/>
      <c r="VS38" s="926"/>
      <c r="VT38" s="926"/>
      <c r="VU38" s="926"/>
      <c r="VV38" s="926"/>
      <c r="VW38" s="926"/>
      <c r="VX38" s="926"/>
      <c r="VY38" s="926"/>
      <c r="VZ38" s="926"/>
      <c r="WA38" s="926"/>
      <c r="WB38" s="926"/>
      <c r="WC38" s="926"/>
      <c r="WD38" s="926"/>
      <c r="WE38" s="926"/>
      <c r="WF38" s="926"/>
      <c r="WG38" s="926"/>
      <c r="WH38" s="926"/>
      <c r="WI38" s="926"/>
      <c r="WJ38" s="926"/>
      <c r="WK38" s="926"/>
      <c r="WL38" s="926"/>
      <c r="WM38" s="926"/>
      <c r="WN38" s="926"/>
      <c r="WO38" s="926"/>
      <c r="WP38" s="926"/>
      <c r="WQ38" s="926"/>
      <c r="WR38" s="926"/>
      <c r="WS38" s="926"/>
      <c r="WT38" s="926"/>
      <c r="WU38" s="926"/>
      <c r="WV38" s="926"/>
      <c r="WW38" s="926"/>
      <c r="WX38" s="926"/>
      <c r="WY38" s="926"/>
      <c r="WZ38" s="926"/>
      <c r="XA38" s="926"/>
      <c r="XB38" s="926"/>
      <c r="XC38" s="926"/>
      <c r="XD38" s="926"/>
      <c r="XE38" s="926"/>
      <c r="XF38" s="926"/>
      <c r="XG38" s="926"/>
      <c r="XH38" s="926"/>
      <c r="XI38" s="926"/>
      <c r="XJ38" s="926"/>
      <c r="XK38" s="926"/>
      <c r="XL38" s="926"/>
      <c r="XM38" s="926"/>
      <c r="XN38" s="926"/>
      <c r="XO38" s="926"/>
      <c r="XP38" s="926"/>
      <c r="XQ38" s="926"/>
      <c r="XR38" s="926"/>
      <c r="XS38" s="926"/>
      <c r="XT38" s="926"/>
      <c r="XU38" s="926"/>
      <c r="XV38" s="926"/>
      <c r="XW38" s="926"/>
      <c r="XX38" s="926"/>
      <c r="XY38" s="926"/>
      <c r="XZ38" s="926"/>
      <c r="YA38" s="926"/>
      <c r="YB38" s="926"/>
      <c r="YC38" s="926"/>
      <c r="YD38" s="926"/>
      <c r="YE38" s="926"/>
      <c r="YF38" s="926"/>
      <c r="YG38" s="926"/>
      <c r="YH38" s="926"/>
      <c r="YI38" s="926"/>
      <c r="YJ38" s="926"/>
      <c r="YK38" s="926"/>
      <c r="YL38" s="926"/>
      <c r="YM38" s="926"/>
      <c r="YN38" s="926"/>
      <c r="YO38" s="926"/>
      <c r="YP38" s="926"/>
      <c r="YQ38" s="926"/>
      <c r="YR38" s="926"/>
      <c r="YS38" s="926"/>
      <c r="YT38" s="926"/>
      <c r="YU38" s="926"/>
      <c r="YV38" s="926"/>
      <c r="YW38" s="926"/>
      <c r="YX38" s="926"/>
      <c r="YY38" s="926"/>
      <c r="YZ38" s="926"/>
      <c r="ZA38" s="926"/>
      <c r="ZB38" s="926"/>
      <c r="ZC38" s="926"/>
      <c r="ZD38" s="926"/>
      <c r="ZE38" s="926"/>
      <c r="ZF38" s="926"/>
      <c r="ZG38" s="926"/>
      <c r="ZH38" s="926"/>
      <c r="ZI38" s="926"/>
      <c r="ZJ38" s="926"/>
      <c r="ZK38" s="926"/>
      <c r="ZL38" s="926"/>
      <c r="ZM38" s="926"/>
      <c r="ZN38" s="926"/>
      <c r="ZO38" s="926"/>
      <c r="ZP38" s="926"/>
      <c r="ZQ38" s="926"/>
      <c r="ZR38" s="926"/>
      <c r="ZS38" s="926"/>
      <c r="ZT38" s="926"/>
      <c r="ZU38" s="926"/>
      <c r="ZV38" s="926"/>
      <c r="ZW38" s="926"/>
      <c r="ZX38" s="926"/>
      <c r="ZY38" s="926"/>
      <c r="ZZ38" s="926"/>
      <c r="AAA38" s="926"/>
      <c r="AAB38" s="926"/>
      <c r="AAC38" s="926"/>
      <c r="AAD38" s="926"/>
      <c r="AAE38" s="926"/>
      <c r="AAF38" s="926"/>
      <c r="AAG38" s="926"/>
      <c r="AAH38" s="926"/>
      <c r="AAI38" s="926"/>
      <c r="AAJ38" s="926"/>
      <c r="AAK38" s="926"/>
      <c r="AAL38" s="926"/>
      <c r="AAM38" s="926"/>
      <c r="AAN38" s="926"/>
      <c r="AAO38" s="926"/>
      <c r="AAP38" s="926"/>
      <c r="AAQ38" s="926"/>
      <c r="AAR38" s="926"/>
      <c r="AAS38" s="926"/>
      <c r="AAT38" s="926"/>
      <c r="AAU38" s="926"/>
      <c r="AAV38" s="926"/>
      <c r="AAW38" s="926"/>
      <c r="AAX38" s="926"/>
      <c r="AAY38" s="926"/>
      <c r="AAZ38" s="926"/>
      <c r="ABA38" s="926"/>
      <c r="ABB38" s="926"/>
      <c r="ABC38" s="926"/>
      <c r="ABD38" s="926"/>
      <c r="ABE38" s="926"/>
      <c r="ABF38" s="926"/>
      <c r="ABG38" s="926"/>
      <c r="ABH38" s="926"/>
      <c r="ABI38" s="926"/>
      <c r="ABJ38" s="926"/>
      <c r="ABK38" s="926"/>
      <c r="ABL38" s="926"/>
      <c r="ABM38" s="926"/>
      <c r="ABN38" s="926"/>
      <c r="ABO38" s="926"/>
      <c r="ABP38" s="926"/>
      <c r="ABQ38" s="926"/>
      <c r="ABR38" s="926"/>
      <c r="ABS38" s="926"/>
      <c r="ABT38" s="926"/>
      <c r="ABU38" s="926"/>
      <c r="ABV38" s="926"/>
      <c r="ABW38" s="926"/>
      <c r="ABX38" s="926"/>
      <c r="ABY38" s="926"/>
      <c r="ABZ38" s="926"/>
      <c r="ACA38" s="926"/>
      <c r="ACB38" s="926"/>
      <c r="ACC38" s="926"/>
      <c r="ACD38" s="926"/>
      <c r="ACE38" s="926"/>
      <c r="ACF38" s="926"/>
      <c r="ACG38" s="926"/>
      <c r="ACH38" s="926"/>
      <c r="ACI38" s="926"/>
      <c r="ACJ38" s="926"/>
      <c r="ACK38" s="926"/>
      <c r="ACL38" s="926"/>
      <c r="ACM38" s="926"/>
      <c r="ACN38" s="926"/>
      <c r="ACO38" s="926"/>
      <c r="ACP38" s="926"/>
      <c r="ACQ38" s="926"/>
      <c r="ACR38" s="926"/>
      <c r="ACS38" s="926"/>
      <c r="ACT38" s="926"/>
      <c r="ACU38" s="926"/>
      <c r="ACV38" s="926"/>
      <c r="ACW38" s="926"/>
      <c r="ACX38" s="926"/>
      <c r="ACY38" s="926"/>
      <c r="ACZ38" s="926"/>
      <c r="ADA38" s="926"/>
      <c r="ADB38" s="926"/>
      <c r="ADC38" s="926"/>
      <c r="ADD38" s="926"/>
      <c r="ADE38" s="926"/>
      <c r="ADF38" s="926"/>
      <c r="ADG38" s="926"/>
      <c r="ADH38" s="926"/>
      <c r="ADI38" s="926"/>
      <c r="ADJ38" s="926"/>
      <c r="ADK38" s="926"/>
      <c r="ADL38" s="926"/>
      <c r="ADM38" s="926"/>
      <c r="ADN38" s="926"/>
      <c r="ADO38" s="926"/>
      <c r="ADP38" s="926"/>
      <c r="ADQ38" s="926"/>
      <c r="ADR38" s="926"/>
      <c r="ADS38" s="926"/>
      <c r="ADT38" s="926"/>
      <c r="ADU38" s="926"/>
      <c r="ADV38" s="926"/>
      <c r="ADW38" s="926"/>
      <c r="ADX38" s="926"/>
      <c r="ADY38" s="926"/>
      <c r="ADZ38" s="926"/>
      <c r="AEA38" s="926"/>
      <c r="AEB38" s="926"/>
      <c r="AEC38" s="926"/>
      <c r="AED38" s="926"/>
      <c r="AEE38" s="926"/>
      <c r="AEF38" s="926"/>
      <c r="AEG38" s="926"/>
      <c r="AEH38" s="926"/>
      <c r="AEI38" s="926"/>
      <c r="AEJ38" s="926"/>
      <c r="AEK38" s="926"/>
      <c r="AEL38" s="926"/>
      <c r="AEM38" s="926"/>
      <c r="AEN38" s="926"/>
      <c r="AEO38" s="926"/>
      <c r="AEP38" s="926"/>
      <c r="AEQ38" s="926"/>
      <c r="AER38" s="926"/>
      <c r="AES38" s="926"/>
      <c r="AET38" s="926"/>
      <c r="AEU38" s="926"/>
      <c r="AEV38" s="926"/>
      <c r="AEW38" s="926"/>
      <c r="AEX38" s="926"/>
      <c r="AEY38" s="926"/>
      <c r="AEZ38" s="926"/>
      <c r="AFA38" s="926"/>
      <c r="AFB38" s="926"/>
      <c r="AFC38" s="926"/>
      <c r="AFD38" s="926"/>
      <c r="AFE38" s="926"/>
      <c r="AFF38" s="926"/>
      <c r="AFG38" s="926"/>
      <c r="AFH38" s="926"/>
      <c r="AFI38" s="926"/>
      <c r="AFJ38" s="926"/>
      <c r="AFK38" s="926"/>
      <c r="AFL38" s="926"/>
      <c r="AFM38" s="926"/>
      <c r="AFN38" s="926"/>
      <c r="AFO38" s="926"/>
      <c r="AFP38" s="926"/>
      <c r="AFQ38" s="926"/>
      <c r="AFR38" s="926"/>
      <c r="AFS38" s="926"/>
      <c r="AFT38" s="926"/>
      <c r="AFU38" s="926"/>
      <c r="AFV38" s="926"/>
      <c r="AFW38" s="926"/>
      <c r="AFX38" s="926"/>
      <c r="AFY38" s="926"/>
      <c r="AFZ38" s="926"/>
      <c r="AGA38" s="926"/>
      <c r="AGB38" s="926"/>
      <c r="AGC38" s="926"/>
      <c r="AGD38" s="926"/>
      <c r="AGE38" s="926"/>
      <c r="AGF38" s="926"/>
      <c r="AGG38" s="926"/>
      <c r="AGH38" s="926"/>
      <c r="AGI38" s="926"/>
      <c r="AGJ38" s="926"/>
      <c r="AGK38" s="926"/>
      <c r="AGL38" s="926"/>
      <c r="AGM38" s="926"/>
      <c r="AGN38" s="926"/>
      <c r="AGO38" s="926"/>
      <c r="AGP38" s="926"/>
      <c r="AGQ38" s="926"/>
      <c r="AGR38" s="926"/>
      <c r="AGS38" s="926"/>
      <c r="AGT38" s="926"/>
      <c r="AGU38" s="926"/>
      <c r="AGV38" s="926"/>
      <c r="AGW38" s="926"/>
      <c r="AGX38" s="926"/>
      <c r="AGY38" s="926"/>
      <c r="AGZ38" s="926"/>
      <c r="AHA38" s="926"/>
      <c r="AHB38" s="926"/>
      <c r="AHC38" s="926"/>
      <c r="AHD38" s="926"/>
      <c r="AHE38" s="926"/>
      <c r="AHF38" s="926"/>
      <c r="AHG38" s="926"/>
      <c r="AHH38" s="926"/>
      <c r="AHI38" s="926"/>
      <c r="AHJ38" s="926"/>
      <c r="AHK38" s="926"/>
      <c r="AHL38" s="926"/>
      <c r="AHM38" s="926"/>
      <c r="AHN38" s="926"/>
      <c r="AHO38" s="926"/>
      <c r="AHP38" s="926"/>
      <c r="AHQ38" s="926"/>
      <c r="AHR38" s="926"/>
      <c r="AHS38" s="926"/>
      <c r="AHT38" s="926"/>
      <c r="AHU38" s="926"/>
      <c r="AHV38" s="926"/>
      <c r="AHW38" s="926"/>
      <c r="AHX38" s="926"/>
      <c r="AHY38" s="926"/>
      <c r="AHZ38" s="926"/>
      <c r="AIA38" s="926"/>
      <c r="AIB38" s="926"/>
      <c r="AIC38" s="926"/>
      <c r="AID38" s="926"/>
      <c r="AIE38" s="926"/>
      <c r="AIF38" s="926"/>
      <c r="AIG38" s="926"/>
      <c r="AIH38" s="926"/>
      <c r="AII38" s="926"/>
      <c r="AIJ38" s="926"/>
      <c r="AIK38" s="926"/>
      <c r="AIL38" s="926"/>
      <c r="AIM38" s="926"/>
      <c r="AIN38" s="926"/>
      <c r="AIO38" s="926"/>
      <c r="AIP38" s="926"/>
      <c r="AIQ38" s="926"/>
      <c r="AIR38" s="926"/>
      <c r="AIS38" s="926"/>
      <c r="AIT38" s="926"/>
      <c r="AIU38" s="926"/>
      <c r="AIV38" s="926"/>
      <c r="AIW38" s="926"/>
      <c r="AIX38" s="926"/>
      <c r="AIY38" s="926"/>
      <c r="AIZ38" s="926"/>
      <c r="AJA38" s="926"/>
      <c r="AJB38" s="926"/>
      <c r="AJC38" s="926"/>
      <c r="AJD38" s="926"/>
      <c r="AJE38" s="926"/>
      <c r="AJF38" s="926"/>
      <c r="AJG38" s="926"/>
      <c r="AJH38" s="926"/>
      <c r="AJI38" s="926"/>
      <c r="AJJ38" s="926"/>
      <c r="AJK38" s="926"/>
      <c r="AJL38" s="926"/>
      <c r="AJM38" s="926"/>
      <c r="AJN38" s="926"/>
      <c r="AJO38" s="926"/>
      <c r="AJP38" s="926"/>
      <c r="AJQ38" s="926"/>
      <c r="AJR38" s="926"/>
      <c r="AJS38" s="926"/>
      <c r="AJT38" s="926"/>
      <c r="AJU38" s="926"/>
      <c r="AJV38" s="926"/>
      <c r="AJW38" s="926"/>
      <c r="AJX38" s="926"/>
      <c r="AJY38" s="926"/>
      <c r="AJZ38" s="926"/>
      <c r="AKA38" s="926"/>
      <c r="AKB38" s="926"/>
      <c r="AKC38" s="926"/>
      <c r="AKD38" s="926"/>
      <c r="AKE38" s="926"/>
      <c r="AKF38" s="926"/>
      <c r="AKG38" s="926"/>
      <c r="AKH38" s="926"/>
      <c r="AKI38" s="926"/>
      <c r="AKJ38" s="926"/>
      <c r="AKK38" s="926"/>
      <c r="AKL38" s="926"/>
      <c r="AKM38" s="926"/>
      <c r="AKN38" s="926"/>
      <c r="AKO38" s="926"/>
      <c r="AKP38" s="926"/>
      <c r="AKQ38" s="926"/>
      <c r="AKR38" s="926"/>
      <c r="AKS38" s="926"/>
      <c r="AKT38" s="926"/>
      <c r="AKU38" s="926"/>
      <c r="AKV38" s="926"/>
      <c r="AKW38" s="926"/>
      <c r="AKX38" s="926"/>
      <c r="AKY38" s="926"/>
      <c r="AKZ38" s="926"/>
      <c r="ALA38" s="926"/>
      <c r="ALB38" s="926"/>
      <c r="ALC38" s="926"/>
      <c r="ALD38" s="926"/>
      <c r="ALE38" s="926"/>
      <c r="ALF38" s="926"/>
      <c r="ALG38" s="926"/>
      <c r="ALH38" s="926"/>
      <c r="ALI38" s="926"/>
      <c r="ALJ38" s="926"/>
      <c r="ALK38" s="926"/>
      <c r="ALL38" s="926"/>
      <c r="ALM38" s="926"/>
      <c r="ALN38" s="926"/>
      <c r="ALO38" s="926"/>
      <c r="ALP38" s="926"/>
      <c r="ALQ38" s="926"/>
      <c r="ALR38" s="926"/>
      <c r="ALS38" s="926"/>
      <c r="ALT38" s="926"/>
      <c r="ALU38" s="926"/>
      <c r="ALV38" s="926"/>
      <c r="ALW38" s="926"/>
      <c r="ALX38" s="926"/>
      <c r="ALY38" s="926"/>
      <c r="ALZ38" s="926"/>
      <c r="AMA38" s="926"/>
      <c r="AMB38" s="926"/>
      <c r="AMC38" s="926"/>
      <c r="AMD38" s="926"/>
      <c r="AME38" s="926"/>
      <c r="AMF38" s="926"/>
      <c r="AMG38" s="926"/>
      <c r="AMH38" s="926"/>
      <c r="AMI38" s="926"/>
      <c r="AMJ38" s="926"/>
      <c r="AMK38" s="926"/>
      <c r="AML38" s="926"/>
      <c r="AMM38" s="926"/>
      <c r="AMN38" s="926"/>
      <c r="AMO38" s="926"/>
      <c r="AMP38" s="926"/>
      <c r="AMQ38" s="926"/>
      <c r="AMR38" s="926"/>
      <c r="AMS38" s="926"/>
      <c r="AMT38" s="926"/>
      <c r="AMU38" s="926"/>
      <c r="AMV38" s="926"/>
      <c r="AMW38" s="926"/>
      <c r="AMX38" s="926"/>
      <c r="AMY38" s="926"/>
      <c r="AMZ38" s="926"/>
      <c r="ANA38" s="926"/>
      <c r="ANB38" s="926"/>
      <c r="ANC38" s="926"/>
      <c r="AND38" s="926"/>
      <c r="ANE38" s="926"/>
      <c r="ANF38" s="926"/>
      <c r="ANG38" s="926"/>
      <c r="ANH38" s="926"/>
      <c r="ANI38" s="926"/>
      <c r="ANJ38" s="926"/>
      <c r="ANK38" s="926"/>
      <c r="ANL38" s="926"/>
      <c r="ANM38" s="926"/>
      <c r="ANN38" s="926"/>
      <c r="ANO38" s="926"/>
      <c r="ANP38" s="926"/>
      <c r="ANQ38" s="926"/>
      <c r="ANR38" s="926"/>
      <c r="ANS38" s="926"/>
      <c r="ANT38" s="926"/>
      <c r="ANU38" s="926"/>
      <c r="ANV38" s="926"/>
      <c r="ANW38" s="926"/>
      <c r="ANX38" s="926"/>
      <c r="ANY38" s="926"/>
      <c r="ANZ38" s="926"/>
      <c r="AOA38" s="926"/>
      <c r="AOB38" s="926"/>
      <c r="AOC38" s="926"/>
      <c r="AOD38" s="926"/>
      <c r="AOE38" s="926"/>
      <c r="AOF38" s="926"/>
      <c r="AOG38" s="926"/>
      <c r="AOH38" s="926"/>
      <c r="AOI38" s="926"/>
      <c r="AOJ38" s="926"/>
      <c r="AOK38" s="926"/>
      <c r="AOL38" s="926"/>
      <c r="AOM38" s="926"/>
      <c r="AON38" s="926"/>
      <c r="AOO38" s="926"/>
      <c r="AOP38" s="926"/>
      <c r="AOQ38" s="926"/>
      <c r="AOR38" s="926"/>
      <c r="AOS38" s="926"/>
      <c r="AOT38" s="926"/>
      <c r="AOU38" s="926"/>
      <c r="AOV38" s="926"/>
      <c r="AOW38" s="926"/>
      <c r="AOX38" s="926"/>
      <c r="AOY38" s="926"/>
      <c r="AOZ38" s="926"/>
      <c r="APA38" s="926"/>
      <c r="APB38" s="926"/>
      <c r="APC38" s="926"/>
      <c r="APD38" s="926"/>
      <c r="APE38" s="926"/>
      <c r="APF38" s="926"/>
      <c r="APG38" s="926"/>
      <c r="APH38" s="926"/>
      <c r="API38" s="926"/>
      <c r="APJ38" s="926"/>
      <c r="APK38" s="926"/>
      <c r="APL38" s="926"/>
      <c r="APM38" s="926"/>
      <c r="APN38" s="926"/>
      <c r="APO38" s="926"/>
      <c r="APP38" s="926"/>
      <c r="APQ38" s="926"/>
      <c r="APR38" s="926"/>
      <c r="APS38" s="926"/>
      <c r="APT38" s="926"/>
      <c r="APU38" s="926"/>
      <c r="APV38" s="926"/>
      <c r="APW38" s="926"/>
      <c r="APX38" s="926"/>
      <c r="APY38" s="926"/>
      <c r="APZ38" s="926"/>
      <c r="AQA38" s="926"/>
      <c r="AQB38" s="926"/>
      <c r="AQC38" s="926"/>
      <c r="AQD38" s="926"/>
      <c r="AQE38" s="926"/>
      <c r="AQF38" s="926"/>
      <c r="AQG38" s="926"/>
      <c r="AQH38" s="926"/>
      <c r="AQI38" s="926"/>
      <c r="AQJ38" s="926"/>
      <c r="AQK38" s="926"/>
      <c r="AQL38" s="926"/>
      <c r="AQM38" s="926"/>
      <c r="AQN38" s="926"/>
      <c r="AQO38" s="926"/>
      <c r="AQP38" s="926"/>
      <c r="AQQ38" s="926"/>
      <c r="AQR38" s="926"/>
      <c r="AQS38" s="926"/>
      <c r="AQT38" s="926"/>
      <c r="AQU38" s="926"/>
      <c r="AQV38" s="926"/>
      <c r="AQW38" s="926"/>
      <c r="AQX38" s="926"/>
      <c r="AQY38" s="926"/>
      <c r="AQZ38" s="926"/>
      <c r="ARA38" s="926"/>
      <c r="ARB38" s="926"/>
      <c r="ARC38" s="926"/>
      <c r="ARD38" s="926"/>
      <c r="ARE38" s="926"/>
      <c r="ARF38" s="926"/>
      <c r="ARG38" s="926"/>
      <c r="ARH38" s="926"/>
      <c r="ARI38" s="926"/>
      <c r="ARJ38" s="926"/>
      <c r="ARK38" s="926"/>
      <c r="ARL38" s="926"/>
      <c r="ARM38" s="926"/>
      <c r="ARN38" s="926"/>
      <c r="ARO38" s="926"/>
      <c r="ARP38" s="926"/>
      <c r="ARQ38" s="926"/>
      <c r="ARR38" s="926"/>
      <c r="ARS38" s="926"/>
      <c r="ART38" s="926"/>
      <c r="ARU38" s="926"/>
      <c r="ARV38" s="926"/>
      <c r="ARW38" s="926"/>
      <c r="ARX38" s="926"/>
      <c r="ARY38" s="926"/>
      <c r="ARZ38" s="926"/>
      <c r="ASA38" s="926"/>
      <c r="ASB38" s="926"/>
      <c r="ASC38" s="926"/>
      <c r="ASD38" s="926"/>
      <c r="ASE38" s="926"/>
      <c r="ASF38" s="926"/>
      <c r="ASG38" s="926"/>
      <c r="ASH38" s="926"/>
      <c r="ASI38" s="926"/>
      <c r="ASJ38" s="926"/>
      <c r="ASK38" s="926"/>
      <c r="ASL38" s="926"/>
      <c r="ASM38" s="926"/>
      <c r="ASN38" s="926"/>
      <c r="ASO38" s="926"/>
      <c r="ASP38" s="926"/>
      <c r="ASQ38" s="926"/>
      <c r="ASR38" s="926"/>
      <c r="ASS38" s="926"/>
      <c r="AST38" s="926"/>
      <c r="ASU38" s="926"/>
      <c r="ASV38" s="926"/>
      <c r="ASW38" s="926"/>
      <c r="ASX38" s="926"/>
      <c r="ASY38" s="926"/>
      <c r="ASZ38" s="926"/>
      <c r="ATA38" s="926"/>
      <c r="ATB38" s="926"/>
      <c r="ATC38" s="926"/>
      <c r="ATD38" s="926"/>
      <c r="ATE38" s="926"/>
      <c r="ATF38" s="926"/>
      <c r="ATG38" s="926"/>
      <c r="ATH38" s="926"/>
      <c r="ATI38" s="926"/>
      <c r="ATJ38" s="926"/>
      <c r="ATK38" s="926"/>
      <c r="ATL38" s="926"/>
      <c r="ATM38" s="926"/>
      <c r="ATN38" s="926"/>
      <c r="ATO38" s="926"/>
      <c r="ATP38" s="926"/>
      <c r="ATQ38" s="926"/>
      <c r="ATR38" s="926"/>
      <c r="ATS38" s="926"/>
      <c r="ATT38" s="926"/>
      <c r="ATU38" s="926"/>
      <c r="ATV38" s="926"/>
      <c r="ATW38" s="926"/>
      <c r="ATX38" s="926"/>
      <c r="ATY38" s="926"/>
      <c r="ATZ38" s="926"/>
      <c r="AUA38" s="926"/>
      <c r="AUB38" s="926"/>
      <c r="AUC38" s="926"/>
      <c r="AUD38" s="926"/>
      <c r="AUE38" s="926"/>
      <c r="AUF38" s="926"/>
      <c r="AUG38" s="926"/>
      <c r="AUH38" s="926"/>
      <c r="AUI38" s="926"/>
      <c r="AUJ38" s="926"/>
      <c r="AUK38" s="926"/>
      <c r="AUL38" s="926"/>
      <c r="AUM38" s="926"/>
      <c r="AUN38" s="926"/>
      <c r="AUO38" s="926"/>
      <c r="AUP38" s="926"/>
      <c r="AUQ38" s="926"/>
      <c r="AUR38" s="926"/>
      <c r="AUS38" s="926"/>
      <c r="AUT38" s="926"/>
      <c r="AUU38" s="926"/>
      <c r="AUV38" s="926"/>
      <c r="AUW38" s="926"/>
      <c r="AUX38" s="926"/>
      <c r="AUY38" s="926"/>
      <c r="AUZ38" s="926"/>
      <c r="AVA38" s="926"/>
      <c r="AVB38" s="926"/>
      <c r="AVC38" s="926"/>
      <c r="AVD38" s="926"/>
      <c r="AVE38" s="926"/>
      <c r="AVF38" s="926"/>
      <c r="AVG38" s="926"/>
      <c r="AVH38" s="926"/>
      <c r="AVI38" s="926"/>
      <c r="AVJ38" s="926"/>
      <c r="AVK38" s="926"/>
      <c r="AVL38" s="926"/>
      <c r="AVM38" s="926"/>
      <c r="AVN38" s="926"/>
      <c r="AVO38" s="926"/>
      <c r="AVP38" s="926"/>
      <c r="AVQ38" s="926"/>
      <c r="AVR38" s="926"/>
      <c r="AVS38" s="926"/>
      <c r="AVT38" s="926"/>
      <c r="AVU38" s="926"/>
      <c r="AVV38" s="926"/>
      <c r="AVW38" s="926"/>
      <c r="AVX38" s="926"/>
      <c r="AVY38" s="926"/>
      <c r="AVZ38" s="926"/>
      <c r="AWA38" s="926"/>
      <c r="AWB38" s="926"/>
      <c r="AWC38" s="926"/>
      <c r="AWD38" s="926"/>
      <c r="AWE38" s="926"/>
      <c r="AWF38" s="926"/>
      <c r="AWG38" s="926"/>
      <c r="AWH38" s="926"/>
      <c r="AWI38" s="926"/>
      <c r="AWJ38" s="926"/>
      <c r="AWK38" s="926"/>
      <c r="AWL38" s="926"/>
      <c r="AWM38" s="926"/>
      <c r="AWN38" s="926"/>
      <c r="AWO38" s="926"/>
      <c r="AWP38" s="926"/>
      <c r="AWQ38" s="926"/>
      <c r="AWR38" s="926"/>
      <c r="AWS38" s="926"/>
      <c r="AWT38" s="926"/>
      <c r="AWU38" s="926"/>
      <c r="AWV38" s="926"/>
      <c r="AWW38" s="926"/>
      <c r="AWX38" s="926"/>
      <c r="AWY38" s="926"/>
      <c r="AWZ38" s="926"/>
      <c r="AXA38" s="926"/>
      <c r="AXB38" s="926"/>
      <c r="AXC38" s="926"/>
      <c r="AXD38" s="926"/>
      <c r="AXE38" s="926"/>
      <c r="AXF38" s="926"/>
      <c r="AXG38" s="926"/>
      <c r="AXH38" s="926"/>
      <c r="AXI38" s="926"/>
      <c r="AXJ38" s="926"/>
      <c r="AXK38" s="926"/>
      <c r="AXL38" s="926"/>
      <c r="AXM38" s="926"/>
      <c r="AXN38" s="926"/>
      <c r="AXO38" s="926"/>
      <c r="AXP38" s="926"/>
      <c r="AXQ38" s="926"/>
      <c r="AXR38" s="926"/>
      <c r="AXS38" s="926"/>
      <c r="AXT38" s="926"/>
      <c r="AXU38" s="926"/>
      <c r="AXV38" s="926"/>
      <c r="AXW38" s="926"/>
      <c r="AXX38" s="926"/>
      <c r="AXY38" s="926"/>
      <c r="AXZ38" s="926"/>
      <c r="AYA38" s="926"/>
      <c r="AYB38" s="926"/>
      <c r="AYC38" s="926"/>
      <c r="AYD38" s="926"/>
      <c r="AYE38" s="926"/>
      <c r="AYF38" s="926"/>
      <c r="AYG38" s="926"/>
      <c r="AYH38" s="926"/>
      <c r="AYI38" s="926"/>
      <c r="AYJ38" s="926"/>
      <c r="AYK38" s="926"/>
      <c r="AYL38" s="926"/>
      <c r="AYM38" s="926"/>
      <c r="AYN38" s="926"/>
      <c r="AYO38" s="926"/>
      <c r="AYP38" s="926"/>
      <c r="AYQ38" s="926"/>
      <c r="AYR38" s="926"/>
      <c r="AYS38" s="926"/>
      <c r="AYT38" s="926"/>
      <c r="AYU38" s="926"/>
      <c r="AYV38" s="926"/>
      <c r="AYW38" s="926"/>
      <c r="AYX38" s="926"/>
      <c r="AYY38" s="926"/>
      <c r="AYZ38" s="926"/>
      <c r="AZA38" s="926"/>
      <c r="AZB38" s="926"/>
      <c r="AZC38" s="926"/>
      <c r="AZD38" s="926"/>
      <c r="AZE38" s="926"/>
      <c r="AZF38" s="926"/>
      <c r="AZG38" s="926"/>
      <c r="AZH38" s="926"/>
      <c r="AZI38" s="926"/>
      <c r="AZJ38" s="926"/>
      <c r="AZK38" s="926"/>
      <c r="AZL38" s="926"/>
      <c r="AZM38" s="926"/>
      <c r="AZN38" s="926"/>
      <c r="AZO38" s="926"/>
      <c r="AZP38" s="926"/>
      <c r="AZQ38" s="926"/>
      <c r="AZR38" s="926"/>
      <c r="AZS38" s="926"/>
      <c r="AZT38" s="926"/>
      <c r="AZU38" s="926"/>
      <c r="AZV38" s="926"/>
      <c r="AZW38" s="926"/>
      <c r="AZX38" s="926"/>
      <c r="AZY38" s="926"/>
      <c r="AZZ38" s="926"/>
      <c r="BAA38" s="926"/>
      <c r="BAB38" s="926"/>
      <c r="BAC38" s="926"/>
      <c r="BAD38" s="926"/>
      <c r="BAE38" s="926"/>
      <c r="BAF38" s="926"/>
      <c r="BAG38" s="926"/>
      <c r="BAH38" s="926"/>
      <c r="BAI38" s="926"/>
      <c r="BAJ38" s="926"/>
      <c r="BAK38" s="926"/>
      <c r="BAL38" s="926"/>
      <c r="BAM38" s="926"/>
      <c r="BAN38" s="926"/>
      <c r="BAO38" s="926"/>
      <c r="BAP38" s="926"/>
      <c r="BAQ38" s="926"/>
      <c r="BAR38" s="926"/>
      <c r="BAS38" s="926"/>
      <c r="BAT38" s="926"/>
      <c r="BAU38" s="926"/>
      <c r="BAV38" s="926"/>
      <c r="BAW38" s="926"/>
      <c r="BAX38" s="926"/>
      <c r="BAY38" s="926"/>
      <c r="BAZ38" s="926"/>
      <c r="BBA38" s="926"/>
      <c r="BBB38" s="926"/>
      <c r="BBC38" s="926"/>
      <c r="BBD38" s="926"/>
      <c r="BBE38" s="926"/>
      <c r="BBF38" s="926"/>
      <c r="BBG38" s="926"/>
      <c r="BBH38" s="926"/>
      <c r="BBI38" s="926"/>
      <c r="BBJ38" s="926"/>
      <c r="BBK38" s="926"/>
      <c r="BBL38" s="926"/>
      <c r="BBM38" s="926"/>
      <c r="BBN38" s="926"/>
      <c r="BBO38" s="926"/>
      <c r="BBP38" s="926"/>
      <c r="BBQ38" s="926"/>
      <c r="BBR38" s="926"/>
      <c r="BBS38" s="926"/>
      <c r="BBT38" s="926"/>
      <c r="BBU38" s="926"/>
      <c r="BBV38" s="926"/>
      <c r="BBW38" s="926"/>
      <c r="BBX38" s="926"/>
      <c r="BBY38" s="926"/>
      <c r="BBZ38" s="926"/>
      <c r="BCA38" s="926"/>
      <c r="BCB38" s="926"/>
      <c r="BCC38" s="926"/>
      <c r="BCD38" s="926"/>
      <c r="BCE38" s="926"/>
      <c r="BCF38" s="926"/>
      <c r="BCG38" s="926"/>
      <c r="BCH38" s="926"/>
      <c r="BCI38" s="926"/>
      <c r="BCJ38" s="926"/>
      <c r="BCK38" s="926"/>
      <c r="BCL38" s="926"/>
      <c r="BCM38" s="926"/>
      <c r="BCN38" s="926"/>
      <c r="BCO38" s="926"/>
      <c r="BCP38" s="926"/>
      <c r="BCQ38" s="926"/>
      <c r="BCR38" s="926"/>
      <c r="BCS38" s="926"/>
      <c r="BCT38" s="926"/>
      <c r="BCU38" s="926"/>
      <c r="BCV38" s="926"/>
      <c r="BCW38" s="926"/>
      <c r="BCX38" s="926"/>
      <c r="BCY38" s="926"/>
      <c r="BCZ38" s="926"/>
      <c r="BDA38" s="926"/>
      <c r="BDB38" s="926"/>
      <c r="BDC38" s="926"/>
      <c r="BDD38" s="926"/>
      <c r="BDE38" s="926"/>
      <c r="BDF38" s="926"/>
      <c r="BDG38" s="926"/>
      <c r="BDH38" s="926"/>
      <c r="BDI38" s="926"/>
      <c r="BDJ38" s="926"/>
      <c r="BDK38" s="926"/>
      <c r="BDL38" s="926"/>
      <c r="BDM38" s="926"/>
      <c r="BDN38" s="926"/>
      <c r="BDO38" s="926"/>
      <c r="BDP38" s="926"/>
      <c r="BDQ38" s="926"/>
      <c r="BDR38" s="926"/>
      <c r="BDS38" s="926"/>
      <c r="BDT38" s="926"/>
      <c r="BDU38" s="926"/>
      <c r="BDV38" s="926"/>
      <c r="BDW38" s="926"/>
      <c r="BDX38" s="926"/>
      <c r="BDY38" s="926"/>
      <c r="BDZ38" s="926"/>
      <c r="BEA38" s="926"/>
      <c r="BEB38" s="926"/>
      <c r="BEC38" s="926"/>
      <c r="BED38" s="926"/>
      <c r="BEE38" s="926"/>
      <c r="BEF38" s="926"/>
      <c r="BEG38" s="926"/>
      <c r="BEH38" s="926"/>
      <c r="BEI38" s="926"/>
      <c r="BEJ38" s="926"/>
      <c r="BEK38" s="926"/>
      <c r="BEL38" s="926"/>
      <c r="BEM38" s="926"/>
      <c r="BEN38" s="926"/>
      <c r="BEO38" s="926"/>
      <c r="BEP38" s="926"/>
      <c r="BEQ38" s="926"/>
      <c r="BER38" s="926"/>
      <c r="BES38" s="926"/>
      <c r="BET38" s="926"/>
      <c r="BEU38" s="926"/>
      <c r="BEV38" s="926"/>
      <c r="BEW38" s="926"/>
      <c r="BEX38" s="926"/>
      <c r="BEY38" s="926"/>
      <c r="BEZ38" s="926"/>
      <c r="BFA38" s="926"/>
      <c r="BFB38" s="926"/>
      <c r="BFC38" s="926"/>
      <c r="BFD38" s="926"/>
      <c r="BFE38" s="926"/>
      <c r="BFF38" s="926"/>
      <c r="BFG38" s="926"/>
      <c r="BFH38" s="926"/>
      <c r="BFI38" s="926"/>
      <c r="BFJ38" s="926"/>
      <c r="BFK38" s="926"/>
      <c r="BFL38" s="926"/>
      <c r="BFM38" s="926"/>
      <c r="BFN38" s="926"/>
      <c r="BFO38" s="926"/>
      <c r="BFP38" s="926"/>
      <c r="BFQ38" s="926"/>
      <c r="BFR38" s="926"/>
      <c r="BFS38" s="926"/>
      <c r="BFT38" s="926"/>
      <c r="BFU38" s="926"/>
      <c r="BFV38" s="926"/>
      <c r="BFW38" s="926"/>
      <c r="BFX38" s="926"/>
      <c r="BFY38" s="926"/>
      <c r="BFZ38" s="926"/>
      <c r="BGA38" s="926"/>
      <c r="BGB38" s="926"/>
      <c r="BGC38" s="926"/>
      <c r="BGD38" s="926"/>
      <c r="BGE38" s="926"/>
      <c r="BGF38" s="926"/>
      <c r="BGG38" s="926"/>
      <c r="BGH38" s="926"/>
      <c r="BGI38" s="926"/>
      <c r="BGJ38" s="926"/>
      <c r="BGK38" s="926"/>
      <c r="BGL38" s="926"/>
      <c r="BGM38" s="926"/>
      <c r="BGN38" s="926"/>
      <c r="BGO38" s="926"/>
      <c r="BGP38" s="926"/>
      <c r="BGQ38" s="926"/>
      <c r="BGR38" s="926"/>
      <c r="BGS38" s="926"/>
      <c r="BGT38" s="926"/>
      <c r="BGU38" s="926"/>
      <c r="BGV38" s="926"/>
      <c r="BGW38" s="926"/>
      <c r="BGX38" s="926"/>
      <c r="BGY38" s="926"/>
      <c r="BGZ38" s="926"/>
      <c r="BHA38" s="926"/>
      <c r="BHB38" s="926"/>
      <c r="BHC38" s="926"/>
      <c r="BHD38" s="926"/>
      <c r="BHE38" s="926"/>
      <c r="BHF38" s="926"/>
      <c r="BHG38" s="926"/>
      <c r="BHH38" s="926"/>
      <c r="BHI38" s="926"/>
      <c r="BHJ38" s="926"/>
      <c r="BHK38" s="926"/>
      <c r="BHL38" s="926"/>
      <c r="BHM38" s="926"/>
      <c r="BHN38" s="926"/>
      <c r="BHO38" s="926"/>
      <c r="BHP38" s="926"/>
      <c r="BHQ38" s="926"/>
      <c r="BHR38" s="926"/>
      <c r="BHS38" s="926"/>
      <c r="BHT38" s="926"/>
      <c r="BHU38" s="926"/>
      <c r="BHV38" s="926"/>
      <c r="BHW38" s="926"/>
      <c r="BHX38" s="926"/>
      <c r="BHY38" s="926"/>
      <c r="BHZ38" s="926"/>
      <c r="BIA38" s="926"/>
      <c r="BIB38" s="926"/>
      <c r="BIC38" s="926"/>
      <c r="BID38" s="926"/>
      <c r="BIE38" s="926"/>
      <c r="BIF38" s="926"/>
      <c r="BIG38" s="926"/>
      <c r="BIH38" s="926"/>
      <c r="BII38" s="926"/>
      <c r="BIJ38" s="926"/>
      <c r="BIK38" s="926"/>
      <c r="BIL38" s="926"/>
      <c r="BIM38" s="926"/>
      <c r="BIN38" s="926"/>
      <c r="BIO38" s="926"/>
      <c r="BIP38" s="926"/>
      <c r="BIQ38" s="926"/>
      <c r="BIR38" s="926"/>
      <c r="BIS38" s="926"/>
      <c r="BIT38" s="926"/>
      <c r="BIU38" s="926"/>
      <c r="BIV38" s="926"/>
      <c r="BIW38" s="926"/>
      <c r="BIX38" s="926"/>
      <c r="BIY38" s="926"/>
      <c r="BIZ38" s="926"/>
      <c r="BJA38" s="926"/>
      <c r="BJB38" s="926"/>
      <c r="BJC38" s="926"/>
      <c r="BJD38" s="926"/>
      <c r="BJE38" s="926"/>
      <c r="BJF38" s="926"/>
      <c r="BJG38" s="926"/>
      <c r="BJH38" s="926"/>
      <c r="BJI38" s="926"/>
      <c r="BJJ38" s="926"/>
      <c r="BJK38" s="926"/>
      <c r="BJL38" s="926"/>
      <c r="BJM38" s="926"/>
      <c r="BJN38" s="926"/>
      <c r="BJO38" s="926"/>
      <c r="BJP38" s="926"/>
      <c r="BJQ38" s="926"/>
      <c r="BJR38" s="926"/>
      <c r="BJS38" s="926"/>
      <c r="BJT38" s="926"/>
      <c r="BJU38" s="926"/>
      <c r="BJV38" s="926"/>
      <c r="BJW38" s="926"/>
      <c r="BJX38" s="926"/>
      <c r="BJY38" s="926"/>
      <c r="BJZ38" s="926"/>
      <c r="BKA38" s="926"/>
      <c r="BKB38" s="926"/>
      <c r="BKC38" s="926"/>
      <c r="BKD38" s="926"/>
      <c r="BKE38" s="926"/>
      <c r="BKF38" s="926"/>
      <c r="BKG38" s="926"/>
      <c r="BKH38" s="926"/>
      <c r="BKI38" s="926"/>
      <c r="BKJ38" s="926"/>
      <c r="BKK38" s="926"/>
      <c r="BKL38" s="926"/>
      <c r="BKM38" s="926"/>
      <c r="BKN38" s="926"/>
      <c r="BKO38" s="926"/>
      <c r="BKP38" s="926"/>
      <c r="BKQ38" s="926"/>
      <c r="BKR38" s="926"/>
      <c r="BKS38" s="926"/>
      <c r="BKT38" s="926"/>
      <c r="BKU38" s="926"/>
      <c r="BKV38" s="926"/>
      <c r="BKW38" s="926"/>
      <c r="BKX38" s="926"/>
      <c r="BKY38" s="926"/>
      <c r="BKZ38" s="926"/>
      <c r="BLA38" s="926"/>
      <c r="BLB38" s="926"/>
      <c r="BLC38" s="926"/>
      <c r="BLD38" s="926"/>
      <c r="BLE38" s="926"/>
      <c r="BLF38" s="926"/>
      <c r="BLG38" s="926"/>
      <c r="BLH38" s="926"/>
      <c r="BLI38" s="926"/>
      <c r="BLJ38" s="926"/>
      <c r="BLK38" s="926"/>
      <c r="BLL38" s="926"/>
      <c r="BLM38" s="926"/>
      <c r="BLN38" s="926"/>
      <c r="BLO38" s="926"/>
      <c r="BLP38" s="926"/>
      <c r="BLQ38" s="926"/>
      <c r="BLR38" s="926"/>
      <c r="BLS38" s="926"/>
      <c r="BLT38" s="926"/>
      <c r="BLU38" s="926"/>
      <c r="BLV38" s="926"/>
      <c r="BLW38" s="926"/>
      <c r="BLX38" s="926"/>
      <c r="BLY38" s="926"/>
      <c r="BLZ38" s="926"/>
      <c r="BMA38" s="926"/>
      <c r="BMB38" s="926"/>
      <c r="BMC38" s="926"/>
      <c r="BMD38" s="926"/>
      <c r="BME38" s="926"/>
      <c r="BMF38" s="926"/>
      <c r="BMG38" s="926"/>
      <c r="BMH38" s="926"/>
      <c r="BMI38" s="926"/>
      <c r="BMJ38" s="926"/>
      <c r="BMK38" s="926"/>
      <c r="BML38" s="926"/>
      <c r="BMM38" s="926"/>
      <c r="BMN38" s="926"/>
      <c r="BMO38" s="926"/>
      <c r="BMP38" s="926"/>
      <c r="BMQ38" s="926"/>
      <c r="BMR38" s="926"/>
      <c r="BMS38" s="926"/>
      <c r="BMT38" s="926"/>
      <c r="BMU38" s="926"/>
      <c r="BMV38" s="926"/>
      <c r="BMW38" s="926"/>
      <c r="BMX38" s="926"/>
      <c r="BMY38" s="926"/>
      <c r="BMZ38" s="926"/>
      <c r="BNA38" s="926"/>
      <c r="BNB38" s="926"/>
      <c r="BNC38" s="926"/>
      <c r="BND38" s="926"/>
      <c r="BNE38" s="926"/>
      <c r="BNF38" s="926"/>
      <c r="BNG38" s="926"/>
      <c r="BNH38" s="926"/>
      <c r="BNI38" s="926"/>
      <c r="BNJ38" s="926"/>
      <c r="BNK38" s="926"/>
      <c r="BNL38" s="926"/>
      <c r="BNM38" s="926"/>
      <c r="BNN38" s="926"/>
      <c r="BNO38" s="926"/>
      <c r="BNP38" s="926"/>
      <c r="BNQ38" s="926"/>
      <c r="BNR38" s="926"/>
      <c r="BNS38" s="926"/>
      <c r="BNT38" s="926"/>
      <c r="BNU38" s="926"/>
      <c r="BNV38" s="926"/>
      <c r="BNW38" s="926"/>
      <c r="BNX38" s="926"/>
      <c r="BNY38" s="926"/>
      <c r="BNZ38" s="926"/>
      <c r="BOA38" s="926"/>
      <c r="BOB38" s="926"/>
      <c r="BOC38" s="926"/>
      <c r="BOD38" s="926"/>
      <c r="BOE38" s="926"/>
      <c r="BOF38" s="926"/>
      <c r="BOG38" s="926"/>
      <c r="BOH38" s="926"/>
      <c r="BOI38" s="926"/>
      <c r="BOJ38" s="926"/>
      <c r="BOK38" s="926"/>
      <c r="BOL38" s="926"/>
      <c r="BOM38" s="926"/>
      <c r="BON38" s="926"/>
      <c r="BOO38" s="926"/>
      <c r="BOP38" s="926"/>
      <c r="BOQ38" s="926"/>
      <c r="BOR38" s="926"/>
      <c r="BOS38" s="926"/>
      <c r="BOT38" s="926"/>
      <c r="BOU38" s="926"/>
      <c r="BOV38" s="926"/>
      <c r="BOW38" s="926"/>
      <c r="BOX38" s="926"/>
      <c r="BOY38" s="926"/>
      <c r="BOZ38" s="926"/>
      <c r="BPA38" s="926"/>
      <c r="BPB38" s="926"/>
      <c r="BPC38" s="926"/>
      <c r="BPD38" s="926"/>
      <c r="BPE38" s="926"/>
      <c r="BPF38" s="926"/>
      <c r="BPG38" s="926"/>
      <c r="BPH38" s="926"/>
      <c r="BPI38" s="926"/>
      <c r="BPJ38" s="926"/>
      <c r="BPK38" s="926"/>
      <c r="BPL38" s="926"/>
      <c r="BPM38" s="926"/>
      <c r="BPN38" s="926"/>
      <c r="BPO38" s="926"/>
      <c r="BPP38" s="926"/>
      <c r="BPQ38" s="926"/>
      <c r="BPR38" s="926"/>
      <c r="BPS38" s="926"/>
      <c r="BPT38" s="926"/>
      <c r="BPU38" s="926"/>
      <c r="BPV38" s="926"/>
      <c r="BPW38" s="926"/>
      <c r="BPX38" s="926"/>
      <c r="BPY38" s="926"/>
      <c r="BPZ38" s="926"/>
      <c r="BQA38" s="926"/>
      <c r="BQB38" s="926"/>
      <c r="BQC38" s="926"/>
      <c r="BQD38" s="926"/>
      <c r="BQE38" s="926"/>
      <c r="BQF38" s="926"/>
      <c r="BQG38" s="926"/>
      <c r="BQH38" s="926"/>
      <c r="BQI38" s="926"/>
      <c r="BQJ38" s="926"/>
      <c r="BQK38" s="926"/>
      <c r="BQL38" s="926"/>
      <c r="BQM38" s="926"/>
      <c r="BQN38" s="926"/>
      <c r="BQO38" s="926"/>
      <c r="BQP38" s="926"/>
      <c r="BQQ38" s="926"/>
      <c r="BQR38" s="926"/>
      <c r="BQS38" s="926"/>
      <c r="BQT38" s="926"/>
      <c r="BQU38" s="926"/>
      <c r="BQV38" s="926"/>
      <c r="BQW38" s="926"/>
      <c r="BQX38" s="926"/>
      <c r="BQY38" s="926"/>
      <c r="BQZ38" s="926"/>
      <c r="BRA38" s="926"/>
      <c r="BRB38" s="926"/>
      <c r="BRC38" s="926"/>
      <c r="BRD38" s="926"/>
      <c r="BRE38" s="926"/>
      <c r="BRF38" s="926"/>
      <c r="BRG38" s="926"/>
      <c r="BRH38" s="926"/>
      <c r="BRI38" s="926"/>
      <c r="BRJ38" s="926"/>
      <c r="BRK38" s="926"/>
      <c r="BRL38" s="926"/>
      <c r="BRM38" s="926"/>
      <c r="BRN38" s="926"/>
      <c r="BRO38" s="926"/>
      <c r="BRP38" s="926"/>
      <c r="BRQ38" s="926"/>
      <c r="BRR38" s="926"/>
      <c r="BRS38" s="926"/>
      <c r="BRT38" s="926"/>
      <c r="BRU38" s="926"/>
      <c r="BRV38" s="926"/>
      <c r="BRW38" s="926"/>
      <c r="BRX38" s="926"/>
      <c r="BRY38" s="926"/>
      <c r="BRZ38" s="926"/>
      <c r="BSA38" s="926"/>
      <c r="BSB38" s="926"/>
      <c r="BSC38" s="926"/>
      <c r="BSD38" s="926"/>
      <c r="BSE38" s="926"/>
      <c r="BSF38" s="926"/>
      <c r="BSG38" s="926"/>
      <c r="BSH38" s="926"/>
      <c r="BSI38" s="926"/>
      <c r="BSJ38" s="926"/>
      <c r="BSK38" s="926"/>
      <c r="BSL38" s="926"/>
      <c r="BSM38" s="926"/>
      <c r="BSN38" s="926"/>
      <c r="BSO38" s="926"/>
      <c r="BSP38" s="926"/>
      <c r="BSQ38" s="926"/>
      <c r="BSR38" s="926"/>
      <c r="BSS38" s="926"/>
      <c r="BST38" s="926"/>
      <c r="BSU38" s="926"/>
      <c r="BSV38" s="926"/>
      <c r="BSW38" s="926"/>
      <c r="BSX38" s="926"/>
      <c r="BSY38" s="926"/>
      <c r="BSZ38" s="926"/>
      <c r="BTA38" s="926"/>
      <c r="BTB38" s="926"/>
      <c r="BTC38" s="926"/>
      <c r="BTD38" s="926"/>
      <c r="BTE38" s="926"/>
      <c r="BTF38" s="926"/>
      <c r="BTG38" s="926"/>
      <c r="BTH38" s="926"/>
      <c r="BTI38" s="926"/>
      <c r="BTJ38" s="926"/>
      <c r="BTK38" s="926"/>
      <c r="BTL38" s="926"/>
      <c r="BTM38" s="926"/>
      <c r="BTN38" s="926"/>
      <c r="BTO38" s="926"/>
      <c r="BTP38" s="926"/>
      <c r="BTQ38" s="926"/>
      <c r="BTR38" s="926"/>
      <c r="BTS38" s="926"/>
      <c r="BTT38" s="926"/>
      <c r="BTU38" s="926"/>
      <c r="BTV38" s="926"/>
      <c r="BTW38" s="926"/>
      <c r="BTX38" s="926"/>
      <c r="BTY38" s="926"/>
      <c r="BTZ38" s="926"/>
      <c r="BUA38" s="926"/>
      <c r="BUB38" s="926"/>
      <c r="BUC38" s="926"/>
      <c r="BUD38" s="926"/>
      <c r="BUE38" s="926"/>
      <c r="BUF38" s="926"/>
      <c r="BUG38" s="926"/>
      <c r="BUH38" s="926"/>
      <c r="BUI38" s="926"/>
      <c r="BUJ38" s="926"/>
      <c r="BUK38" s="926"/>
      <c r="BUL38" s="926"/>
      <c r="BUM38" s="926"/>
      <c r="BUN38" s="926"/>
      <c r="BUO38" s="926"/>
      <c r="BUP38" s="926"/>
      <c r="BUQ38" s="926"/>
      <c r="BUR38" s="926"/>
      <c r="BUS38" s="926"/>
      <c r="BUT38" s="926"/>
      <c r="BUU38" s="926"/>
      <c r="BUV38" s="926"/>
      <c r="BUW38" s="926"/>
      <c r="BUX38" s="926"/>
      <c r="BUY38" s="926"/>
      <c r="BUZ38" s="926"/>
      <c r="BVA38" s="926"/>
      <c r="BVB38" s="926"/>
      <c r="BVC38" s="926"/>
      <c r="BVD38" s="926"/>
      <c r="BVE38" s="926"/>
      <c r="BVF38" s="926"/>
      <c r="BVG38" s="926"/>
      <c r="BVH38" s="926"/>
      <c r="BVI38" s="926"/>
      <c r="BVJ38" s="926"/>
      <c r="BVK38" s="926"/>
      <c r="BVL38" s="926"/>
      <c r="BVM38" s="926"/>
      <c r="BVN38" s="926"/>
      <c r="BVO38" s="926"/>
      <c r="BVP38" s="926"/>
      <c r="BVQ38" s="926"/>
      <c r="BVR38" s="926"/>
      <c r="BVS38" s="926"/>
      <c r="BVT38" s="926"/>
      <c r="BVU38" s="926"/>
      <c r="BVV38" s="926"/>
      <c r="BVW38" s="926"/>
      <c r="BVX38" s="926"/>
      <c r="BVY38" s="926"/>
      <c r="BVZ38" s="926"/>
      <c r="BWA38" s="926"/>
      <c r="BWB38" s="926"/>
      <c r="BWC38" s="926"/>
      <c r="BWD38" s="926"/>
      <c r="BWE38" s="926"/>
      <c r="BWF38" s="926"/>
      <c r="BWG38" s="926"/>
      <c r="BWH38" s="926"/>
      <c r="BWI38" s="926"/>
      <c r="BWJ38" s="926"/>
      <c r="BWK38" s="926"/>
      <c r="BWL38" s="926"/>
      <c r="BWM38" s="926"/>
      <c r="BWN38" s="926"/>
      <c r="BWO38" s="926"/>
      <c r="BWP38" s="926"/>
      <c r="BWQ38" s="926"/>
      <c r="BWR38" s="926"/>
      <c r="BWS38" s="926"/>
      <c r="BWT38" s="926"/>
      <c r="BWU38" s="926"/>
      <c r="BWV38" s="926"/>
      <c r="BWW38" s="926"/>
      <c r="BWX38" s="926"/>
      <c r="BWY38" s="926"/>
      <c r="BWZ38" s="926"/>
      <c r="BXA38" s="926"/>
      <c r="BXB38" s="926"/>
      <c r="BXC38" s="926"/>
      <c r="BXD38" s="926"/>
      <c r="BXE38" s="926"/>
      <c r="BXF38" s="926"/>
      <c r="BXG38" s="926"/>
      <c r="BXH38" s="926"/>
      <c r="BXI38" s="926"/>
      <c r="BXJ38" s="926"/>
      <c r="BXK38" s="926"/>
      <c r="BXL38" s="926"/>
      <c r="BXM38" s="926"/>
      <c r="BXN38" s="926"/>
      <c r="BXO38" s="926"/>
      <c r="BXP38" s="926"/>
      <c r="BXQ38" s="926"/>
      <c r="BXR38" s="926"/>
      <c r="BXS38" s="926"/>
      <c r="BXT38" s="926"/>
      <c r="BXU38" s="926"/>
      <c r="BXV38" s="926"/>
      <c r="BXW38" s="926"/>
      <c r="BXX38" s="926"/>
      <c r="BXY38" s="926"/>
      <c r="BXZ38" s="926"/>
      <c r="BYA38" s="926"/>
      <c r="BYB38" s="926"/>
      <c r="BYC38" s="926"/>
      <c r="BYD38" s="926"/>
      <c r="BYE38" s="926"/>
      <c r="BYF38" s="926"/>
      <c r="BYG38" s="926"/>
      <c r="BYH38" s="926"/>
      <c r="BYI38" s="926"/>
      <c r="BYJ38" s="926"/>
      <c r="BYK38" s="926"/>
      <c r="BYL38" s="926"/>
      <c r="BYM38" s="926"/>
      <c r="BYN38" s="926"/>
      <c r="BYO38" s="926"/>
      <c r="BYP38" s="926"/>
      <c r="BYQ38" s="926"/>
      <c r="BYR38" s="926"/>
      <c r="BYS38" s="926"/>
      <c r="BYT38" s="926"/>
      <c r="BYU38" s="926"/>
      <c r="BYV38" s="926"/>
      <c r="BYW38" s="926"/>
      <c r="BYX38" s="926"/>
      <c r="BYY38" s="926"/>
      <c r="BYZ38" s="926"/>
      <c r="BZA38" s="926"/>
      <c r="BZB38" s="926"/>
      <c r="BZC38" s="926"/>
      <c r="BZD38" s="926"/>
      <c r="BZE38" s="926"/>
      <c r="BZF38" s="926"/>
      <c r="BZG38" s="926"/>
      <c r="BZH38" s="926"/>
      <c r="BZI38" s="926"/>
      <c r="BZJ38" s="926"/>
      <c r="BZK38" s="926"/>
      <c r="BZL38" s="926"/>
      <c r="BZM38" s="926"/>
      <c r="BZN38" s="926"/>
      <c r="BZO38" s="926"/>
      <c r="BZP38" s="926"/>
      <c r="BZQ38" s="926"/>
      <c r="BZR38" s="926"/>
      <c r="BZS38" s="926"/>
      <c r="BZT38" s="926"/>
      <c r="BZU38" s="926"/>
      <c r="BZV38" s="926"/>
      <c r="BZW38" s="926"/>
      <c r="BZX38" s="926"/>
      <c r="BZY38" s="926"/>
      <c r="BZZ38" s="926"/>
      <c r="CAA38" s="926"/>
      <c r="CAB38" s="926"/>
      <c r="CAC38" s="926"/>
      <c r="CAD38" s="926"/>
      <c r="CAE38" s="926"/>
      <c r="CAF38" s="926"/>
      <c r="CAG38" s="926"/>
      <c r="CAH38" s="926"/>
      <c r="CAI38" s="926"/>
      <c r="CAJ38" s="926"/>
      <c r="CAK38" s="926"/>
      <c r="CAL38" s="926"/>
      <c r="CAM38" s="926"/>
      <c r="CAN38" s="926"/>
      <c r="CAO38" s="926"/>
      <c r="CAP38" s="926"/>
      <c r="CAQ38" s="926"/>
      <c r="CAR38" s="926"/>
      <c r="CAS38" s="926"/>
      <c r="CAT38" s="926"/>
      <c r="CAU38" s="926"/>
      <c r="CAV38" s="926"/>
      <c r="CAW38" s="926"/>
      <c r="CAX38" s="926"/>
      <c r="CAY38" s="926"/>
      <c r="CAZ38" s="926"/>
      <c r="CBA38" s="926"/>
      <c r="CBB38" s="926"/>
      <c r="CBC38" s="926"/>
      <c r="CBD38" s="926"/>
      <c r="CBE38" s="926"/>
      <c r="CBF38" s="926"/>
      <c r="CBG38" s="926"/>
      <c r="CBH38" s="926"/>
      <c r="CBI38" s="926"/>
      <c r="CBJ38" s="926"/>
      <c r="CBK38" s="926"/>
      <c r="CBL38" s="926"/>
      <c r="CBM38" s="926"/>
      <c r="CBN38" s="926"/>
      <c r="CBO38" s="926"/>
      <c r="CBP38" s="926"/>
      <c r="CBQ38" s="926"/>
      <c r="CBR38" s="926"/>
      <c r="CBS38" s="926"/>
      <c r="CBT38" s="926"/>
      <c r="CBU38" s="926"/>
      <c r="CBV38" s="926"/>
      <c r="CBW38" s="926"/>
      <c r="CBX38" s="926"/>
      <c r="CBY38" s="926"/>
      <c r="CBZ38" s="926"/>
      <c r="CCA38" s="926"/>
      <c r="CCB38" s="926"/>
      <c r="CCC38" s="926"/>
      <c r="CCD38" s="926"/>
      <c r="CCE38" s="926"/>
      <c r="CCF38" s="926"/>
      <c r="CCG38" s="926"/>
      <c r="CCH38" s="926"/>
      <c r="CCI38" s="926"/>
      <c r="CCJ38" s="926"/>
      <c r="CCK38" s="926"/>
      <c r="CCL38" s="926"/>
      <c r="CCM38" s="926"/>
      <c r="CCN38" s="926"/>
      <c r="CCO38" s="926"/>
      <c r="CCP38" s="926"/>
      <c r="CCQ38" s="926"/>
      <c r="CCR38" s="926"/>
      <c r="CCS38" s="926"/>
      <c r="CCT38" s="926"/>
      <c r="CCU38" s="926"/>
      <c r="CCV38" s="926"/>
      <c r="CCW38" s="926"/>
      <c r="CCX38" s="926"/>
      <c r="CCY38" s="926"/>
      <c r="CCZ38" s="926"/>
      <c r="CDA38" s="926"/>
      <c r="CDB38" s="926"/>
      <c r="CDC38" s="926"/>
      <c r="CDD38" s="926"/>
      <c r="CDE38" s="926"/>
      <c r="CDF38" s="926"/>
      <c r="CDG38" s="926"/>
      <c r="CDH38" s="926"/>
      <c r="CDI38" s="926"/>
      <c r="CDJ38" s="926"/>
      <c r="CDK38" s="926"/>
      <c r="CDL38" s="926"/>
      <c r="CDM38" s="926"/>
      <c r="CDN38" s="926"/>
      <c r="CDO38" s="926"/>
      <c r="CDP38" s="926"/>
      <c r="CDQ38" s="926"/>
      <c r="CDR38" s="926"/>
      <c r="CDS38" s="926"/>
      <c r="CDT38" s="926"/>
      <c r="CDU38" s="926"/>
      <c r="CDV38" s="926"/>
      <c r="CDW38" s="926"/>
      <c r="CDX38" s="926"/>
      <c r="CDY38" s="926"/>
      <c r="CDZ38" s="926"/>
      <c r="CEA38" s="926"/>
      <c r="CEB38" s="926"/>
      <c r="CEC38" s="926"/>
      <c r="CED38" s="926"/>
      <c r="CEE38" s="926"/>
      <c r="CEF38" s="926"/>
      <c r="CEG38" s="926"/>
      <c r="CEH38" s="926"/>
      <c r="CEI38" s="926"/>
      <c r="CEJ38" s="926"/>
      <c r="CEK38" s="926"/>
      <c r="CEL38" s="926"/>
      <c r="CEM38" s="926"/>
      <c r="CEN38" s="926"/>
      <c r="CEO38" s="926"/>
      <c r="CEP38" s="926"/>
      <c r="CEQ38" s="926"/>
      <c r="CER38" s="926"/>
      <c r="CES38" s="926"/>
      <c r="CET38" s="926"/>
      <c r="CEU38" s="926"/>
      <c r="CEV38" s="926"/>
      <c r="CEW38" s="926"/>
      <c r="CEX38" s="926"/>
      <c r="CEY38" s="926"/>
      <c r="CEZ38" s="926"/>
      <c r="CFA38" s="926"/>
      <c r="CFB38" s="926"/>
      <c r="CFC38" s="926"/>
      <c r="CFD38" s="926"/>
      <c r="CFE38" s="926"/>
      <c r="CFF38" s="926"/>
      <c r="CFG38" s="926"/>
      <c r="CFH38" s="926"/>
      <c r="CFI38" s="926"/>
      <c r="CFJ38" s="926"/>
      <c r="CFK38" s="926"/>
      <c r="CFL38" s="926"/>
      <c r="CFM38" s="926"/>
      <c r="CFN38" s="926"/>
      <c r="CFO38" s="926"/>
      <c r="CFP38" s="926"/>
      <c r="CFQ38" s="926"/>
      <c r="CFR38" s="926"/>
      <c r="CFS38" s="926"/>
      <c r="CFT38" s="926"/>
      <c r="CFU38" s="926"/>
      <c r="CFV38" s="926"/>
      <c r="CFW38" s="926"/>
      <c r="CFX38" s="926"/>
      <c r="CFY38" s="926"/>
      <c r="CFZ38" s="926"/>
      <c r="CGA38" s="926"/>
      <c r="CGB38" s="926"/>
      <c r="CGC38" s="926"/>
      <c r="CGD38" s="926"/>
      <c r="CGE38" s="926"/>
      <c r="CGF38" s="926"/>
      <c r="CGG38" s="926"/>
      <c r="CGH38" s="926"/>
      <c r="CGI38" s="926"/>
      <c r="CGJ38" s="926"/>
      <c r="CGK38" s="926"/>
      <c r="CGL38" s="926"/>
      <c r="CGM38" s="926"/>
      <c r="CGN38" s="926"/>
      <c r="CGO38" s="926"/>
      <c r="CGP38" s="926"/>
      <c r="CGQ38" s="926"/>
      <c r="CGR38" s="926"/>
      <c r="CGS38" s="926"/>
      <c r="CGT38" s="926"/>
      <c r="CGU38" s="926"/>
      <c r="CGV38" s="926"/>
      <c r="CGW38" s="926"/>
      <c r="CGX38" s="926"/>
      <c r="CGY38" s="926"/>
      <c r="CGZ38" s="926"/>
      <c r="CHA38" s="926"/>
      <c r="CHB38" s="926"/>
      <c r="CHC38" s="926"/>
      <c r="CHD38" s="926"/>
      <c r="CHE38" s="926"/>
      <c r="CHF38" s="926"/>
      <c r="CHG38" s="926"/>
      <c r="CHH38" s="926"/>
      <c r="CHI38" s="926"/>
      <c r="CHJ38" s="926"/>
      <c r="CHK38" s="926"/>
      <c r="CHL38" s="926"/>
      <c r="CHM38" s="926"/>
      <c r="CHN38" s="926"/>
      <c r="CHO38" s="926"/>
      <c r="CHP38" s="926"/>
      <c r="CHQ38" s="926"/>
      <c r="CHR38" s="926"/>
      <c r="CHS38" s="926"/>
      <c r="CHT38" s="926"/>
      <c r="CHU38" s="926"/>
      <c r="CHV38" s="926"/>
      <c r="CHW38" s="926"/>
      <c r="CHX38" s="926"/>
      <c r="CHY38" s="926"/>
      <c r="CHZ38" s="926"/>
      <c r="CIA38" s="926"/>
      <c r="CIB38" s="926"/>
      <c r="CIC38" s="926"/>
      <c r="CID38" s="926"/>
      <c r="CIE38" s="926"/>
      <c r="CIF38" s="926"/>
      <c r="CIG38" s="926"/>
      <c r="CIH38" s="926"/>
      <c r="CII38" s="926"/>
      <c r="CIJ38" s="926"/>
      <c r="CIK38" s="926"/>
      <c r="CIL38" s="926"/>
      <c r="CIM38" s="926"/>
      <c r="CIN38" s="926"/>
      <c r="CIO38" s="926"/>
      <c r="CIP38" s="926"/>
      <c r="CIQ38" s="926"/>
      <c r="CIR38" s="926"/>
      <c r="CIS38" s="926"/>
      <c r="CIT38" s="926"/>
      <c r="CIU38" s="926"/>
      <c r="CIV38" s="926"/>
      <c r="CIW38" s="926"/>
      <c r="CIX38" s="926"/>
      <c r="CIY38" s="926"/>
      <c r="CIZ38" s="926"/>
      <c r="CJA38" s="926"/>
      <c r="CJB38" s="926"/>
      <c r="CJC38" s="926"/>
      <c r="CJD38" s="926"/>
      <c r="CJE38" s="926"/>
      <c r="CJF38" s="926"/>
      <c r="CJG38" s="926"/>
      <c r="CJH38" s="926"/>
      <c r="CJI38" s="926"/>
      <c r="CJJ38" s="926"/>
      <c r="CJK38" s="926"/>
      <c r="CJL38" s="926"/>
      <c r="CJM38" s="926"/>
      <c r="CJN38" s="926"/>
      <c r="CJO38" s="926"/>
      <c r="CJP38" s="926"/>
      <c r="CJQ38" s="926"/>
      <c r="CJR38" s="926"/>
      <c r="CJS38" s="926"/>
      <c r="CJT38" s="926"/>
      <c r="CJU38" s="926"/>
      <c r="CJV38" s="926"/>
      <c r="CJW38" s="926"/>
      <c r="CJX38" s="926"/>
      <c r="CJY38" s="926"/>
      <c r="CJZ38" s="926"/>
      <c r="CKA38" s="926"/>
      <c r="CKB38" s="926"/>
      <c r="CKC38" s="926"/>
      <c r="CKD38" s="926"/>
      <c r="CKE38" s="926"/>
      <c r="CKF38" s="926"/>
      <c r="CKG38" s="926"/>
      <c r="CKH38" s="926"/>
      <c r="CKI38" s="926"/>
      <c r="CKJ38" s="926"/>
      <c r="CKK38" s="926"/>
      <c r="CKL38" s="926"/>
      <c r="CKM38" s="926"/>
      <c r="CKN38" s="926"/>
      <c r="CKO38" s="926"/>
      <c r="CKP38" s="926"/>
      <c r="CKQ38" s="926"/>
      <c r="CKR38" s="926"/>
      <c r="CKS38" s="926"/>
      <c r="CKT38" s="926"/>
      <c r="CKU38" s="926"/>
      <c r="CKV38" s="926"/>
      <c r="CKW38" s="926"/>
      <c r="CKX38" s="926"/>
      <c r="CKY38" s="926"/>
      <c r="CKZ38" s="926"/>
      <c r="CLA38" s="926"/>
      <c r="CLB38" s="926"/>
      <c r="CLC38" s="926"/>
      <c r="CLD38" s="926"/>
      <c r="CLE38" s="926"/>
      <c r="CLF38" s="926"/>
      <c r="CLG38" s="926"/>
      <c r="CLH38" s="926"/>
      <c r="CLI38" s="926"/>
      <c r="CLJ38" s="926"/>
      <c r="CLK38" s="926"/>
      <c r="CLL38" s="926"/>
      <c r="CLM38" s="926"/>
      <c r="CLN38" s="926"/>
      <c r="CLO38" s="926"/>
      <c r="CLP38" s="926"/>
      <c r="CLQ38" s="926"/>
      <c r="CLR38" s="926"/>
      <c r="CLS38" s="926"/>
      <c r="CLT38" s="926"/>
      <c r="CLU38" s="926"/>
      <c r="CLV38" s="926"/>
      <c r="CLW38" s="926"/>
      <c r="CLX38" s="926"/>
      <c r="CLY38" s="926"/>
      <c r="CLZ38" s="926"/>
      <c r="CMA38" s="926"/>
      <c r="CMB38" s="926"/>
      <c r="CMC38" s="926"/>
      <c r="CMD38" s="926"/>
      <c r="CME38" s="926"/>
      <c r="CMF38" s="926"/>
      <c r="CMG38" s="926"/>
      <c r="CMH38" s="926"/>
      <c r="CMI38" s="926"/>
      <c r="CMJ38" s="926"/>
      <c r="CMK38" s="926"/>
      <c r="CML38" s="926"/>
      <c r="CMM38" s="926"/>
      <c r="CMN38" s="926"/>
      <c r="CMO38" s="926"/>
      <c r="CMP38" s="926"/>
      <c r="CMQ38" s="926"/>
      <c r="CMR38" s="926"/>
      <c r="CMS38" s="926"/>
      <c r="CMT38" s="926"/>
      <c r="CMU38" s="926"/>
      <c r="CMV38" s="926"/>
      <c r="CMW38" s="926"/>
      <c r="CMX38" s="926"/>
      <c r="CMY38" s="926"/>
      <c r="CMZ38" s="926"/>
      <c r="CNA38" s="926"/>
      <c r="CNB38" s="926"/>
      <c r="CNC38" s="926"/>
      <c r="CND38" s="926"/>
      <c r="CNE38" s="926"/>
      <c r="CNF38" s="926"/>
      <c r="CNG38" s="926"/>
      <c r="CNH38" s="926"/>
      <c r="CNI38" s="926"/>
      <c r="CNJ38" s="926"/>
      <c r="CNK38" s="926"/>
      <c r="CNL38" s="926"/>
      <c r="CNM38" s="926"/>
      <c r="CNN38" s="926"/>
      <c r="CNO38" s="926"/>
      <c r="CNP38" s="926"/>
      <c r="CNQ38" s="926"/>
      <c r="CNR38" s="926"/>
      <c r="CNS38" s="926"/>
      <c r="CNT38" s="926"/>
      <c r="CNU38" s="926"/>
      <c r="CNV38" s="926"/>
      <c r="CNW38" s="926"/>
      <c r="CNX38" s="926"/>
      <c r="CNY38" s="926"/>
      <c r="CNZ38" s="926"/>
      <c r="COA38" s="926"/>
      <c r="COB38" s="926"/>
      <c r="COC38" s="926"/>
      <c r="COD38" s="926"/>
      <c r="COE38" s="926"/>
      <c r="COF38" s="926"/>
      <c r="COG38" s="926"/>
      <c r="COH38" s="926"/>
      <c r="COI38" s="926"/>
      <c r="COJ38" s="926"/>
      <c r="COK38" s="926"/>
      <c r="COL38" s="926"/>
      <c r="COM38" s="926"/>
      <c r="CON38" s="926"/>
      <c r="COO38" s="926"/>
      <c r="COP38" s="926"/>
      <c r="COQ38" s="926"/>
      <c r="COR38" s="926"/>
      <c r="COS38" s="926"/>
      <c r="COT38" s="926"/>
      <c r="COU38" s="926"/>
      <c r="COV38" s="926"/>
      <c r="COW38" s="926"/>
      <c r="COX38" s="926"/>
      <c r="COY38" s="926"/>
      <c r="COZ38" s="926"/>
      <c r="CPA38" s="926"/>
      <c r="CPB38" s="926"/>
      <c r="CPC38" s="926"/>
      <c r="CPD38" s="926"/>
      <c r="CPE38" s="926"/>
      <c r="CPF38" s="926"/>
      <c r="CPG38" s="926"/>
      <c r="CPH38" s="926"/>
      <c r="CPI38" s="926"/>
      <c r="CPJ38" s="926"/>
      <c r="CPK38" s="926"/>
      <c r="CPL38" s="926"/>
      <c r="CPM38" s="926"/>
      <c r="CPN38" s="926"/>
      <c r="CPO38" s="926"/>
      <c r="CPP38" s="926"/>
      <c r="CPQ38" s="926"/>
      <c r="CPR38" s="926"/>
      <c r="CPS38" s="926"/>
      <c r="CPT38" s="926"/>
      <c r="CPU38" s="926"/>
      <c r="CPV38" s="926"/>
      <c r="CPW38" s="926"/>
      <c r="CPX38" s="926"/>
      <c r="CPY38" s="926"/>
      <c r="CPZ38" s="926"/>
      <c r="CQA38" s="926"/>
      <c r="CQB38" s="926"/>
      <c r="CQC38" s="926"/>
      <c r="CQD38" s="926"/>
      <c r="CQE38" s="926"/>
      <c r="CQF38" s="926"/>
      <c r="CQG38" s="926"/>
      <c r="CQH38" s="926"/>
      <c r="CQI38" s="926"/>
      <c r="CQJ38" s="926"/>
      <c r="CQK38" s="926"/>
      <c r="CQL38" s="926"/>
      <c r="CQM38" s="926"/>
      <c r="CQN38" s="926"/>
      <c r="CQO38" s="926"/>
      <c r="CQP38" s="926"/>
      <c r="CQQ38" s="926"/>
      <c r="CQR38" s="926"/>
      <c r="CQS38" s="926"/>
      <c r="CQT38" s="926"/>
      <c r="CQU38" s="926"/>
      <c r="CQV38" s="926"/>
      <c r="CQW38" s="926"/>
      <c r="CQX38" s="926"/>
      <c r="CQY38" s="926"/>
      <c r="CQZ38" s="926"/>
      <c r="CRA38" s="926"/>
      <c r="CRB38" s="926"/>
      <c r="CRC38" s="926"/>
      <c r="CRD38" s="926"/>
      <c r="CRE38" s="926"/>
      <c r="CRF38" s="926"/>
      <c r="CRG38" s="926"/>
      <c r="CRH38" s="926"/>
      <c r="CRI38" s="926"/>
      <c r="CRJ38" s="926"/>
      <c r="CRK38" s="926"/>
      <c r="CRL38" s="926"/>
      <c r="CRM38" s="926"/>
      <c r="CRN38" s="926"/>
      <c r="CRO38" s="926"/>
      <c r="CRP38" s="926"/>
      <c r="CRQ38" s="926"/>
      <c r="CRR38" s="926"/>
      <c r="CRS38" s="926"/>
      <c r="CRT38" s="926"/>
      <c r="CRU38" s="926"/>
      <c r="CRV38" s="926"/>
      <c r="CRW38" s="926"/>
      <c r="CRX38" s="926"/>
      <c r="CRY38" s="926"/>
      <c r="CRZ38" s="926"/>
      <c r="CSA38" s="926"/>
      <c r="CSB38" s="926"/>
      <c r="CSC38" s="926"/>
      <c r="CSD38" s="926"/>
      <c r="CSE38" s="926"/>
      <c r="CSF38" s="926"/>
      <c r="CSG38" s="926"/>
      <c r="CSH38" s="926"/>
      <c r="CSI38" s="926"/>
      <c r="CSJ38" s="926"/>
      <c r="CSK38" s="926"/>
      <c r="CSL38" s="926"/>
      <c r="CSM38" s="926"/>
      <c r="CSN38" s="926"/>
      <c r="CSO38" s="926"/>
      <c r="CSP38" s="926"/>
      <c r="CSQ38" s="926"/>
      <c r="CSR38" s="926"/>
      <c r="CSS38" s="926"/>
      <c r="CST38" s="926"/>
      <c r="CSU38" s="926"/>
      <c r="CSV38" s="926"/>
      <c r="CSW38" s="926"/>
      <c r="CSX38" s="926"/>
      <c r="CSY38" s="926"/>
      <c r="CSZ38" s="926"/>
      <c r="CTA38" s="926"/>
      <c r="CTB38" s="926"/>
      <c r="CTC38" s="926"/>
      <c r="CTD38" s="926"/>
      <c r="CTE38" s="926"/>
      <c r="CTF38" s="926"/>
      <c r="CTG38" s="926"/>
      <c r="CTH38" s="926"/>
      <c r="CTI38" s="926"/>
      <c r="CTJ38" s="926"/>
      <c r="CTK38" s="926"/>
      <c r="CTL38" s="926"/>
      <c r="CTM38" s="926"/>
      <c r="CTN38" s="926"/>
      <c r="CTO38" s="926"/>
      <c r="CTP38" s="926"/>
      <c r="CTQ38" s="926"/>
      <c r="CTR38" s="926"/>
      <c r="CTS38" s="926"/>
      <c r="CTT38" s="926"/>
      <c r="CTU38" s="926"/>
      <c r="CTV38" s="926"/>
      <c r="CTW38" s="926"/>
      <c r="CTX38" s="926"/>
      <c r="CTY38" s="926"/>
      <c r="CTZ38" s="926"/>
      <c r="CUA38" s="926"/>
      <c r="CUB38" s="926"/>
      <c r="CUC38" s="926"/>
      <c r="CUD38" s="926"/>
      <c r="CUE38" s="926"/>
      <c r="CUF38" s="926"/>
      <c r="CUG38" s="926"/>
      <c r="CUH38" s="926"/>
      <c r="CUI38" s="926"/>
      <c r="CUJ38" s="926"/>
      <c r="CUK38" s="926"/>
      <c r="CUL38" s="926"/>
      <c r="CUM38" s="926"/>
      <c r="CUN38" s="926"/>
      <c r="CUO38" s="926"/>
      <c r="CUP38" s="926"/>
      <c r="CUQ38" s="926"/>
      <c r="CUR38" s="926"/>
      <c r="CUS38" s="926"/>
      <c r="CUT38" s="926"/>
      <c r="CUU38" s="926"/>
      <c r="CUV38" s="926"/>
      <c r="CUW38" s="926"/>
      <c r="CUX38" s="926"/>
      <c r="CUY38" s="926"/>
      <c r="CUZ38" s="926"/>
      <c r="CVA38" s="926"/>
      <c r="CVB38" s="926"/>
      <c r="CVC38" s="926"/>
      <c r="CVD38" s="926"/>
      <c r="CVE38" s="926"/>
      <c r="CVF38" s="926"/>
      <c r="CVG38" s="926"/>
      <c r="CVH38" s="926"/>
      <c r="CVI38" s="926"/>
      <c r="CVJ38" s="926"/>
      <c r="CVK38" s="926"/>
      <c r="CVL38" s="926"/>
      <c r="CVM38" s="926"/>
      <c r="CVN38" s="926"/>
      <c r="CVO38" s="926"/>
      <c r="CVP38" s="926"/>
      <c r="CVQ38" s="926"/>
      <c r="CVR38" s="926"/>
      <c r="CVS38" s="926"/>
      <c r="CVT38" s="926"/>
      <c r="CVU38" s="926"/>
      <c r="CVV38" s="926"/>
      <c r="CVW38" s="926"/>
      <c r="CVX38" s="926"/>
      <c r="CVY38" s="926"/>
      <c r="CVZ38" s="926"/>
      <c r="CWA38" s="926"/>
      <c r="CWB38" s="926"/>
      <c r="CWC38" s="926"/>
      <c r="CWD38" s="926"/>
      <c r="CWE38" s="926"/>
      <c r="CWF38" s="926"/>
      <c r="CWG38" s="926"/>
      <c r="CWH38" s="926"/>
      <c r="CWI38" s="926"/>
      <c r="CWJ38" s="926"/>
      <c r="CWK38" s="926"/>
      <c r="CWL38" s="926"/>
      <c r="CWM38" s="926"/>
      <c r="CWN38" s="926"/>
      <c r="CWO38" s="926"/>
      <c r="CWP38" s="926"/>
      <c r="CWQ38" s="926"/>
      <c r="CWR38" s="926"/>
      <c r="CWS38" s="926"/>
      <c r="CWT38" s="926"/>
      <c r="CWU38" s="926"/>
      <c r="CWV38" s="926"/>
      <c r="CWW38" s="926"/>
      <c r="CWX38" s="926"/>
      <c r="CWY38" s="926"/>
      <c r="CWZ38" s="926"/>
      <c r="CXA38" s="926"/>
      <c r="CXB38" s="926"/>
      <c r="CXC38" s="926"/>
      <c r="CXD38" s="926"/>
      <c r="CXE38" s="926"/>
      <c r="CXF38" s="926"/>
      <c r="CXG38" s="926"/>
      <c r="CXH38" s="926"/>
      <c r="CXI38" s="926"/>
      <c r="CXJ38" s="926"/>
      <c r="CXK38" s="926"/>
      <c r="CXL38" s="926"/>
      <c r="CXM38" s="926"/>
      <c r="CXN38" s="926"/>
      <c r="CXO38" s="926"/>
      <c r="CXP38" s="926"/>
      <c r="CXQ38" s="926"/>
      <c r="CXR38" s="926"/>
      <c r="CXS38" s="926"/>
      <c r="CXT38" s="926"/>
      <c r="CXU38" s="926"/>
      <c r="CXV38" s="926"/>
      <c r="CXW38" s="926"/>
      <c r="CXX38" s="926"/>
      <c r="CXY38" s="926"/>
      <c r="CXZ38" s="926"/>
      <c r="CYA38" s="926"/>
      <c r="CYB38" s="926"/>
      <c r="CYC38" s="926"/>
      <c r="CYD38" s="926"/>
      <c r="CYE38" s="926"/>
      <c r="CYF38" s="926"/>
      <c r="CYG38" s="926"/>
      <c r="CYH38" s="926"/>
      <c r="CYI38" s="926"/>
      <c r="CYJ38" s="926"/>
      <c r="CYK38" s="926"/>
      <c r="CYL38" s="926"/>
      <c r="CYM38" s="926"/>
      <c r="CYN38" s="926"/>
      <c r="CYO38" s="926"/>
      <c r="CYP38" s="926"/>
      <c r="CYQ38" s="926"/>
      <c r="CYR38" s="926"/>
      <c r="CYS38" s="926"/>
      <c r="CYT38" s="926"/>
      <c r="CYU38" s="926"/>
      <c r="CYV38" s="926"/>
      <c r="CYW38" s="926"/>
      <c r="CYX38" s="926"/>
      <c r="CYY38" s="926"/>
      <c r="CYZ38" s="926"/>
      <c r="CZA38" s="926"/>
      <c r="CZB38" s="926"/>
      <c r="CZC38" s="926"/>
      <c r="CZD38" s="926"/>
      <c r="CZE38" s="926"/>
      <c r="CZF38" s="926"/>
      <c r="CZG38" s="926"/>
      <c r="CZH38" s="926"/>
      <c r="CZI38" s="926"/>
      <c r="CZJ38" s="926"/>
      <c r="CZK38" s="926"/>
      <c r="CZL38" s="926"/>
      <c r="CZM38" s="926"/>
      <c r="CZN38" s="926"/>
      <c r="CZO38" s="926"/>
      <c r="CZP38" s="926"/>
      <c r="CZQ38" s="926"/>
      <c r="CZR38" s="926"/>
      <c r="CZS38" s="926"/>
      <c r="CZT38" s="926"/>
      <c r="CZU38" s="926"/>
      <c r="CZV38" s="926"/>
      <c r="CZW38" s="926"/>
      <c r="CZX38" s="926"/>
      <c r="CZY38" s="926"/>
      <c r="CZZ38" s="926"/>
      <c r="DAA38" s="926"/>
      <c r="DAB38" s="926"/>
      <c r="DAC38" s="926"/>
      <c r="DAD38" s="926"/>
      <c r="DAE38" s="926"/>
      <c r="DAF38" s="926"/>
      <c r="DAG38" s="926"/>
      <c r="DAH38" s="926"/>
      <c r="DAI38" s="926"/>
      <c r="DAJ38" s="926"/>
      <c r="DAK38" s="926"/>
      <c r="DAL38" s="926"/>
      <c r="DAM38" s="926"/>
      <c r="DAN38" s="926"/>
      <c r="DAO38" s="926"/>
      <c r="DAP38" s="926"/>
      <c r="DAQ38" s="926"/>
      <c r="DAR38" s="926"/>
      <c r="DAS38" s="926"/>
      <c r="DAT38" s="926"/>
      <c r="DAU38" s="926"/>
      <c r="DAV38" s="926"/>
      <c r="DAW38" s="926"/>
      <c r="DAX38" s="926"/>
      <c r="DAY38" s="926"/>
      <c r="DAZ38" s="926"/>
      <c r="DBA38" s="926"/>
      <c r="DBB38" s="926"/>
      <c r="DBC38" s="926"/>
      <c r="DBD38" s="926"/>
      <c r="DBE38" s="926"/>
      <c r="DBF38" s="926"/>
      <c r="DBG38" s="926"/>
      <c r="DBH38" s="926"/>
      <c r="DBI38" s="926"/>
      <c r="DBJ38" s="926"/>
      <c r="DBK38" s="926"/>
      <c r="DBL38" s="926"/>
      <c r="DBM38" s="926"/>
      <c r="DBN38" s="926"/>
      <c r="DBO38" s="926"/>
      <c r="DBP38" s="926"/>
      <c r="DBQ38" s="926"/>
      <c r="DBR38" s="926"/>
      <c r="DBS38" s="926"/>
      <c r="DBT38" s="926"/>
      <c r="DBU38" s="926"/>
      <c r="DBV38" s="926"/>
      <c r="DBW38" s="926"/>
      <c r="DBX38" s="926"/>
      <c r="DBY38" s="926"/>
      <c r="DBZ38" s="926"/>
      <c r="DCA38" s="926"/>
      <c r="DCB38" s="926"/>
      <c r="DCC38" s="926"/>
      <c r="DCD38" s="926"/>
      <c r="DCE38" s="926"/>
      <c r="DCF38" s="926"/>
      <c r="DCG38" s="926"/>
      <c r="DCH38" s="926"/>
      <c r="DCI38" s="926"/>
      <c r="DCJ38" s="926"/>
      <c r="DCK38" s="926"/>
      <c r="DCL38" s="926"/>
      <c r="DCM38" s="926"/>
      <c r="DCN38" s="926"/>
      <c r="DCO38" s="926"/>
      <c r="DCP38" s="926"/>
      <c r="DCQ38" s="926"/>
      <c r="DCR38" s="926"/>
      <c r="DCS38" s="926"/>
      <c r="DCT38" s="926"/>
      <c r="DCU38" s="926"/>
      <c r="DCV38" s="926"/>
      <c r="DCW38" s="926"/>
      <c r="DCX38" s="926"/>
      <c r="DCY38" s="926"/>
      <c r="DCZ38" s="926"/>
      <c r="DDA38" s="926"/>
      <c r="DDB38" s="926"/>
      <c r="DDC38" s="926"/>
      <c r="DDD38" s="926"/>
      <c r="DDE38" s="926"/>
      <c r="DDF38" s="926"/>
      <c r="DDG38" s="926"/>
      <c r="DDH38" s="926"/>
      <c r="DDI38" s="926"/>
      <c r="DDJ38" s="926"/>
      <c r="DDK38" s="926"/>
      <c r="DDL38" s="926"/>
      <c r="DDM38" s="926"/>
      <c r="DDN38" s="926"/>
      <c r="DDO38" s="926"/>
      <c r="DDP38" s="926"/>
      <c r="DDQ38" s="926"/>
      <c r="DDR38" s="926"/>
      <c r="DDS38" s="926"/>
      <c r="DDT38" s="926"/>
      <c r="DDU38" s="926"/>
      <c r="DDV38" s="926"/>
      <c r="DDW38" s="926"/>
      <c r="DDX38" s="926"/>
      <c r="DDY38" s="926"/>
      <c r="DDZ38" s="926"/>
      <c r="DEA38" s="926"/>
      <c r="DEB38" s="926"/>
      <c r="DEC38" s="926"/>
      <c r="DED38" s="926"/>
      <c r="DEE38" s="926"/>
      <c r="DEF38" s="926"/>
      <c r="DEG38" s="926"/>
      <c r="DEH38" s="926"/>
      <c r="DEI38" s="926"/>
      <c r="DEJ38" s="926"/>
      <c r="DEK38" s="926"/>
      <c r="DEL38" s="926"/>
      <c r="DEM38" s="926"/>
      <c r="DEN38" s="926"/>
      <c r="DEO38" s="926"/>
      <c r="DEP38" s="926"/>
      <c r="DEQ38" s="926"/>
      <c r="DER38" s="926"/>
      <c r="DES38" s="926"/>
      <c r="DET38" s="926"/>
      <c r="DEU38" s="926"/>
      <c r="DEV38" s="926"/>
      <c r="DEW38" s="926"/>
      <c r="DEX38" s="926"/>
      <c r="DEY38" s="926"/>
      <c r="DEZ38" s="926"/>
      <c r="DFA38" s="926"/>
      <c r="DFB38" s="926"/>
      <c r="DFC38" s="926"/>
      <c r="DFD38" s="926"/>
      <c r="DFE38" s="926"/>
      <c r="DFF38" s="926"/>
      <c r="DFG38" s="926"/>
      <c r="DFH38" s="926"/>
      <c r="DFI38" s="926"/>
      <c r="DFJ38" s="926"/>
      <c r="DFK38" s="926"/>
      <c r="DFL38" s="926"/>
      <c r="DFM38" s="926"/>
      <c r="DFN38" s="926"/>
      <c r="DFO38" s="926"/>
      <c r="DFP38" s="926"/>
      <c r="DFQ38" s="926"/>
      <c r="DFR38" s="926"/>
      <c r="DFS38" s="926"/>
      <c r="DFT38" s="926"/>
      <c r="DFU38" s="926"/>
      <c r="DFV38" s="926"/>
      <c r="DFW38" s="926"/>
      <c r="DFX38" s="926"/>
      <c r="DFY38" s="926"/>
      <c r="DFZ38" s="926"/>
      <c r="DGA38" s="926"/>
      <c r="DGB38" s="926"/>
      <c r="DGC38" s="926"/>
      <c r="DGD38" s="926"/>
      <c r="DGE38" s="926"/>
      <c r="DGF38" s="926"/>
      <c r="DGG38" s="926"/>
      <c r="DGH38" s="926"/>
      <c r="DGI38" s="926"/>
      <c r="DGJ38" s="926"/>
      <c r="DGK38" s="926"/>
      <c r="DGL38" s="926"/>
      <c r="DGM38" s="926"/>
      <c r="DGN38" s="926"/>
      <c r="DGO38" s="926"/>
      <c r="DGP38" s="926"/>
      <c r="DGQ38" s="926"/>
      <c r="DGR38" s="926"/>
      <c r="DGS38" s="926"/>
      <c r="DGT38" s="926"/>
      <c r="DGU38" s="926"/>
      <c r="DGV38" s="926"/>
      <c r="DGW38" s="926"/>
      <c r="DGX38" s="926"/>
      <c r="DGY38" s="926"/>
      <c r="DGZ38" s="926"/>
      <c r="DHA38" s="926"/>
      <c r="DHB38" s="926"/>
      <c r="DHC38" s="926"/>
      <c r="DHD38" s="926"/>
      <c r="DHE38" s="926"/>
      <c r="DHF38" s="926"/>
      <c r="DHG38" s="926"/>
      <c r="DHH38" s="926"/>
      <c r="DHI38" s="926"/>
      <c r="DHJ38" s="926"/>
      <c r="DHK38" s="926"/>
      <c r="DHL38" s="926"/>
      <c r="DHM38" s="926"/>
      <c r="DHN38" s="926"/>
      <c r="DHO38" s="926"/>
      <c r="DHP38" s="926"/>
      <c r="DHQ38" s="926"/>
      <c r="DHR38" s="926"/>
      <c r="DHS38" s="926"/>
      <c r="DHT38" s="926"/>
      <c r="DHU38" s="926"/>
      <c r="DHV38" s="926"/>
      <c r="DHW38" s="926"/>
      <c r="DHX38" s="926"/>
      <c r="DHY38" s="926"/>
      <c r="DHZ38" s="926"/>
      <c r="DIA38" s="926"/>
      <c r="DIB38" s="926"/>
      <c r="DIC38" s="926"/>
      <c r="DID38" s="926"/>
      <c r="DIE38" s="926"/>
      <c r="DIF38" s="926"/>
      <c r="DIG38" s="926"/>
      <c r="DIH38" s="926"/>
      <c r="DII38" s="926"/>
      <c r="DIJ38" s="926"/>
      <c r="DIK38" s="926"/>
      <c r="DIL38" s="926"/>
      <c r="DIM38" s="926"/>
      <c r="DIN38" s="926"/>
      <c r="DIO38" s="926"/>
      <c r="DIP38" s="926"/>
      <c r="DIQ38" s="926"/>
      <c r="DIR38" s="926"/>
      <c r="DIS38" s="926"/>
      <c r="DIT38" s="926"/>
      <c r="DIU38" s="926"/>
      <c r="DIV38" s="926"/>
      <c r="DIW38" s="926"/>
      <c r="DIX38" s="926"/>
      <c r="DIY38" s="926"/>
      <c r="DIZ38" s="926"/>
      <c r="DJA38" s="926"/>
      <c r="DJB38" s="926"/>
      <c r="DJC38" s="926"/>
      <c r="DJD38" s="926"/>
      <c r="DJE38" s="926"/>
      <c r="DJF38" s="926"/>
      <c r="DJG38" s="926"/>
      <c r="DJH38" s="926"/>
      <c r="DJI38" s="926"/>
      <c r="DJJ38" s="926"/>
      <c r="DJK38" s="926"/>
      <c r="DJL38" s="926"/>
      <c r="DJM38" s="926"/>
      <c r="DJN38" s="926"/>
      <c r="DJO38" s="926"/>
      <c r="DJP38" s="926"/>
      <c r="DJQ38" s="926"/>
      <c r="DJR38" s="926"/>
      <c r="DJS38" s="926"/>
      <c r="DJT38" s="926"/>
      <c r="DJU38" s="926"/>
      <c r="DJV38" s="926"/>
      <c r="DJW38" s="926"/>
      <c r="DJX38" s="926"/>
      <c r="DJY38" s="926"/>
      <c r="DJZ38" s="926"/>
      <c r="DKA38" s="926"/>
      <c r="DKB38" s="926"/>
      <c r="DKC38" s="926"/>
      <c r="DKD38" s="926"/>
      <c r="DKE38" s="926"/>
      <c r="DKF38" s="926"/>
      <c r="DKG38" s="926"/>
      <c r="DKH38" s="926"/>
      <c r="DKI38" s="926"/>
      <c r="DKJ38" s="926"/>
      <c r="DKK38" s="926"/>
      <c r="DKL38" s="926"/>
      <c r="DKM38" s="926"/>
      <c r="DKN38" s="926"/>
      <c r="DKO38" s="926"/>
      <c r="DKP38" s="926"/>
      <c r="DKQ38" s="926"/>
      <c r="DKR38" s="926"/>
      <c r="DKS38" s="926"/>
      <c r="DKT38" s="926"/>
      <c r="DKU38" s="926"/>
      <c r="DKV38" s="926"/>
      <c r="DKW38" s="926"/>
      <c r="DKX38" s="926"/>
      <c r="DKY38" s="926"/>
      <c r="DKZ38" s="926"/>
      <c r="DLA38" s="926"/>
      <c r="DLB38" s="926"/>
      <c r="DLC38" s="926"/>
      <c r="DLD38" s="926"/>
      <c r="DLE38" s="926"/>
      <c r="DLF38" s="926"/>
      <c r="DLG38" s="926"/>
      <c r="DLH38" s="926"/>
      <c r="DLI38" s="926"/>
      <c r="DLJ38" s="926"/>
      <c r="DLK38" s="926"/>
      <c r="DLL38" s="926"/>
      <c r="DLM38" s="926"/>
      <c r="DLN38" s="926"/>
      <c r="DLO38" s="926"/>
      <c r="DLP38" s="926"/>
      <c r="DLQ38" s="926"/>
      <c r="DLR38" s="926"/>
      <c r="DLS38" s="926"/>
      <c r="DLT38" s="926"/>
      <c r="DLU38" s="926"/>
      <c r="DLV38" s="926"/>
      <c r="DLW38" s="926"/>
      <c r="DLX38" s="926"/>
      <c r="DLY38" s="926"/>
      <c r="DLZ38" s="926"/>
      <c r="DMA38" s="926"/>
      <c r="DMB38" s="926"/>
      <c r="DMC38" s="926"/>
      <c r="DMD38" s="926"/>
      <c r="DME38" s="926"/>
      <c r="DMF38" s="926"/>
      <c r="DMG38" s="926"/>
      <c r="DMH38" s="926"/>
      <c r="DMI38" s="926"/>
      <c r="DMJ38" s="926"/>
      <c r="DMK38" s="926"/>
      <c r="DML38" s="926"/>
      <c r="DMM38" s="926"/>
      <c r="DMN38" s="926"/>
      <c r="DMO38" s="926"/>
      <c r="DMP38" s="926"/>
      <c r="DMQ38" s="926"/>
      <c r="DMR38" s="926"/>
      <c r="DMS38" s="926"/>
      <c r="DMT38" s="926"/>
      <c r="DMU38" s="926"/>
      <c r="DMV38" s="926"/>
      <c r="DMW38" s="926"/>
      <c r="DMX38" s="926"/>
      <c r="DMY38" s="926"/>
      <c r="DMZ38" s="926"/>
      <c r="DNA38" s="926"/>
      <c r="DNB38" s="926"/>
      <c r="DNC38" s="926"/>
      <c r="DND38" s="926"/>
      <c r="DNE38" s="926"/>
      <c r="DNF38" s="926"/>
      <c r="DNG38" s="926"/>
      <c r="DNH38" s="926"/>
      <c r="DNI38" s="926"/>
      <c r="DNJ38" s="926"/>
      <c r="DNK38" s="926"/>
      <c r="DNL38" s="926"/>
      <c r="DNM38" s="926"/>
      <c r="DNN38" s="926"/>
      <c r="DNO38" s="926"/>
      <c r="DNP38" s="926"/>
      <c r="DNQ38" s="926"/>
      <c r="DNR38" s="926"/>
      <c r="DNS38" s="926"/>
      <c r="DNT38" s="926"/>
      <c r="DNU38" s="926"/>
      <c r="DNV38" s="926"/>
      <c r="DNW38" s="926"/>
      <c r="DNX38" s="926"/>
      <c r="DNY38" s="926"/>
      <c r="DNZ38" s="926"/>
      <c r="DOA38" s="926"/>
      <c r="DOB38" s="926"/>
      <c r="DOC38" s="926"/>
      <c r="DOD38" s="926"/>
      <c r="DOE38" s="926"/>
      <c r="DOF38" s="926"/>
      <c r="DOG38" s="926"/>
      <c r="DOH38" s="926"/>
      <c r="DOI38" s="926"/>
      <c r="DOJ38" s="926"/>
      <c r="DOK38" s="926"/>
      <c r="DOL38" s="926"/>
      <c r="DOM38" s="926"/>
      <c r="DON38" s="926"/>
      <c r="DOO38" s="926"/>
      <c r="DOP38" s="926"/>
      <c r="DOQ38" s="926"/>
      <c r="DOR38" s="926"/>
      <c r="DOS38" s="926"/>
      <c r="DOT38" s="926"/>
      <c r="DOU38" s="926"/>
      <c r="DOV38" s="926"/>
      <c r="DOW38" s="926"/>
      <c r="DOX38" s="926"/>
      <c r="DOY38" s="926"/>
      <c r="DOZ38" s="926"/>
      <c r="DPA38" s="926"/>
      <c r="DPB38" s="926"/>
      <c r="DPC38" s="926"/>
      <c r="DPD38" s="926"/>
      <c r="DPE38" s="926"/>
      <c r="DPF38" s="926"/>
      <c r="DPG38" s="926"/>
      <c r="DPH38" s="926"/>
      <c r="DPI38" s="926"/>
      <c r="DPJ38" s="926"/>
      <c r="DPK38" s="926"/>
      <c r="DPL38" s="926"/>
      <c r="DPM38" s="926"/>
      <c r="DPN38" s="926"/>
      <c r="DPO38" s="926"/>
      <c r="DPP38" s="926"/>
      <c r="DPQ38" s="926"/>
      <c r="DPR38" s="926"/>
      <c r="DPS38" s="926"/>
      <c r="DPT38" s="926"/>
      <c r="DPU38" s="926"/>
      <c r="DPV38" s="926"/>
      <c r="DPW38" s="926"/>
      <c r="DPX38" s="926"/>
      <c r="DPY38" s="926"/>
      <c r="DPZ38" s="926"/>
      <c r="DQA38" s="926"/>
      <c r="DQB38" s="926"/>
      <c r="DQC38" s="926"/>
      <c r="DQD38" s="926"/>
      <c r="DQE38" s="926"/>
      <c r="DQF38" s="926"/>
      <c r="DQG38" s="926"/>
      <c r="DQH38" s="926"/>
      <c r="DQI38" s="926"/>
      <c r="DQJ38" s="926"/>
      <c r="DQK38" s="926"/>
      <c r="DQL38" s="926"/>
      <c r="DQM38" s="926"/>
      <c r="DQN38" s="926"/>
      <c r="DQO38" s="926"/>
      <c r="DQP38" s="926"/>
      <c r="DQQ38" s="926"/>
      <c r="DQR38" s="926"/>
      <c r="DQS38" s="926"/>
      <c r="DQT38" s="926"/>
      <c r="DQU38" s="926"/>
      <c r="DQV38" s="926"/>
      <c r="DQW38" s="926"/>
      <c r="DQX38" s="926"/>
      <c r="DQY38" s="926"/>
      <c r="DQZ38" s="926"/>
      <c r="DRA38" s="926"/>
      <c r="DRB38" s="926"/>
      <c r="DRC38" s="926"/>
      <c r="DRD38" s="926"/>
      <c r="DRE38" s="926"/>
      <c r="DRF38" s="926"/>
      <c r="DRG38" s="926"/>
      <c r="DRH38" s="926"/>
      <c r="DRI38" s="926"/>
      <c r="DRJ38" s="926"/>
      <c r="DRK38" s="926"/>
      <c r="DRL38" s="926"/>
      <c r="DRM38" s="926"/>
      <c r="DRN38" s="926"/>
      <c r="DRO38" s="926"/>
      <c r="DRP38" s="926"/>
      <c r="DRQ38" s="926"/>
      <c r="DRR38" s="926"/>
      <c r="DRS38" s="926"/>
      <c r="DRT38" s="926"/>
      <c r="DRU38" s="926"/>
      <c r="DRV38" s="926"/>
      <c r="DRW38" s="926"/>
      <c r="DRX38" s="926"/>
      <c r="DRY38" s="926"/>
      <c r="DRZ38" s="926"/>
      <c r="DSA38" s="926"/>
      <c r="DSB38" s="926"/>
      <c r="DSC38" s="926"/>
      <c r="DSD38" s="926"/>
      <c r="DSE38" s="926"/>
      <c r="DSF38" s="926"/>
      <c r="DSG38" s="926"/>
      <c r="DSH38" s="926"/>
      <c r="DSI38" s="926"/>
      <c r="DSJ38" s="926"/>
      <c r="DSK38" s="926"/>
      <c r="DSL38" s="926"/>
      <c r="DSM38" s="926"/>
      <c r="DSN38" s="926"/>
      <c r="DSO38" s="926"/>
      <c r="DSP38" s="926"/>
      <c r="DSQ38" s="926"/>
      <c r="DSR38" s="926"/>
      <c r="DSS38" s="926"/>
      <c r="DST38" s="926"/>
      <c r="DSU38" s="926"/>
      <c r="DSV38" s="926"/>
      <c r="DSW38" s="926"/>
      <c r="DSX38" s="926"/>
      <c r="DSY38" s="926"/>
      <c r="DSZ38" s="926"/>
      <c r="DTA38" s="926"/>
      <c r="DTB38" s="926"/>
      <c r="DTC38" s="926"/>
      <c r="DTD38" s="926"/>
      <c r="DTE38" s="926"/>
      <c r="DTF38" s="926"/>
      <c r="DTG38" s="926"/>
      <c r="DTH38" s="926"/>
      <c r="DTI38" s="926"/>
      <c r="DTJ38" s="926"/>
      <c r="DTK38" s="926"/>
      <c r="DTL38" s="926"/>
      <c r="DTM38" s="926"/>
      <c r="DTN38" s="926"/>
      <c r="DTO38" s="926"/>
      <c r="DTP38" s="926"/>
      <c r="DTQ38" s="926"/>
      <c r="DTR38" s="926"/>
      <c r="DTS38" s="926"/>
      <c r="DTT38" s="926"/>
      <c r="DTU38" s="926"/>
      <c r="DTV38" s="926"/>
      <c r="DTW38" s="926"/>
      <c r="DTX38" s="926"/>
      <c r="DTY38" s="926"/>
      <c r="DTZ38" s="926"/>
      <c r="DUA38" s="926"/>
      <c r="DUB38" s="926"/>
      <c r="DUC38" s="926"/>
      <c r="DUD38" s="926"/>
      <c r="DUE38" s="926"/>
      <c r="DUF38" s="926"/>
      <c r="DUG38" s="926"/>
      <c r="DUH38" s="926"/>
      <c r="DUI38" s="926"/>
      <c r="DUJ38" s="926"/>
      <c r="DUK38" s="926"/>
      <c r="DUL38" s="926"/>
      <c r="DUM38" s="926"/>
      <c r="DUN38" s="926"/>
      <c r="DUO38" s="926"/>
      <c r="DUP38" s="926"/>
      <c r="DUQ38" s="926"/>
      <c r="DUR38" s="926"/>
      <c r="DUS38" s="926"/>
      <c r="DUT38" s="926"/>
      <c r="DUU38" s="926"/>
      <c r="DUV38" s="926"/>
      <c r="DUW38" s="926"/>
      <c r="DUX38" s="926"/>
      <c r="DUY38" s="926"/>
      <c r="DUZ38" s="926"/>
      <c r="DVA38" s="926"/>
      <c r="DVB38" s="926"/>
      <c r="DVC38" s="926"/>
      <c r="DVD38" s="926"/>
      <c r="DVE38" s="926"/>
      <c r="DVF38" s="926"/>
      <c r="DVG38" s="926"/>
      <c r="DVH38" s="926"/>
      <c r="DVI38" s="926"/>
      <c r="DVJ38" s="926"/>
      <c r="DVK38" s="926"/>
      <c r="DVL38" s="926"/>
      <c r="DVM38" s="926"/>
      <c r="DVN38" s="926"/>
      <c r="DVO38" s="926"/>
      <c r="DVP38" s="926"/>
      <c r="DVQ38" s="926"/>
      <c r="DVR38" s="926"/>
      <c r="DVS38" s="926"/>
      <c r="DVT38" s="926"/>
      <c r="DVU38" s="926"/>
      <c r="DVV38" s="926"/>
      <c r="DVW38" s="926"/>
      <c r="DVX38" s="926"/>
      <c r="DVY38" s="926"/>
      <c r="DVZ38" s="926"/>
      <c r="DWA38" s="926"/>
      <c r="DWB38" s="926"/>
      <c r="DWC38" s="926"/>
      <c r="DWD38" s="926"/>
      <c r="DWE38" s="926"/>
      <c r="DWF38" s="926"/>
      <c r="DWG38" s="926"/>
      <c r="DWH38" s="926"/>
      <c r="DWI38" s="926"/>
      <c r="DWJ38" s="926"/>
      <c r="DWK38" s="926"/>
      <c r="DWL38" s="926"/>
      <c r="DWM38" s="926"/>
      <c r="DWN38" s="926"/>
      <c r="DWO38" s="926"/>
      <c r="DWP38" s="926"/>
      <c r="DWQ38" s="926"/>
      <c r="DWR38" s="926"/>
      <c r="DWS38" s="926"/>
      <c r="DWT38" s="926"/>
      <c r="DWU38" s="926"/>
      <c r="DWV38" s="926"/>
      <c r="DWW38" s="926"/>
      <c r="DWX38" s="926"/>
      <c r="DWY38" s="926"/>
      <c r="DWZ38" s="926"/>
      <c r="DXA38" s="926"/>
      <c r="DXB38" s="926"/>
      <c r="DXC38" s="926"/>
      <c r="DXD38" s="926"/>
      <c r="DXE38" s="926"/>
      <c r="DXF38" s="926"/>
      <c r="DXG38" s="926"/>
      <c r="DXH38" s="926"/>
      <c r="DXI38" s="926"/>
      <c r="DXJ38" s="926"/>
      <c r="DXK38" s="926"/>
      <c r="DXL38" s="926"/>
      <c r="DXM38" s="926"/>
      <c r="DXN38" s="926"/>
      <c r="DXO38" s="926"/>
      <c r="DXP38" s="926"/>
      <c r="DXQ38" s="926"/>
      <c r="DXR38" s="926"/>
      <c r="DXS38" s="926"/>
      <c r="DXT38" s="926"/>
      <c r="DXU38" s="926"/>
      <c r="DXV38" s="926"/>
      <c r="DXW38" s="926"/>
      <c r="DXX38" s="926"/>
      <c r="DXY38" s="926"/>
      <c r="DXZ38" s="926"/>
      <c r="DYA38" s="926"/>
      <c r="DYB38" s="926"/>
      <c r="DYC38" s="926"/>
      <c r="DYD38" s="926"/>
      <c r="DYE38" s="926"/>
      <c r="DYF38" s="926"/>
      <c r="DYG38" s="926"/>
      <c r="DYH38" s="926"/>
      <c r="DYI38" s="926"/>
      <c r="DYJ38" s="926"/>
      <c r="DYK38" s="926"/>
      <c r="DYL38" s="926"/>
      <c r="DYM38" s="926"/>
      <c r="DYN38" s="926"/>
      <c r="DYO38" s="926"/>
      <c r="DYP38" s="926"/>
      <c r="DYQ38" s="926"/>
      <c r="DYR38" s="926"/>
      <c r="DYS38" s="926"/>
      <c r="DYT38" s="926"/>
      <c r="DYU38" s="926"/>
      <c r="DYV38" s="926"/>
      <c r="DYW38" s="926"/>
      <c r="DYX38" s="926"/>
      <c r="DYY38" s="926"/>
      <c r="DYZ38" s="926"/>
      <c r="DZA38" s="926"/>
      <c r="DZB38" s="926"/>
      <c r="DZC38" s="926"/>
      <c r="DZD38" s="926"/>
      <c r="DZE38" s="926"/>
      <c r="DZF38" s="926"/>
      <c r="DZG38" s="926"/>
      <c r="DZH38" s="926"/>
      <c r="DZI38" s="926"/>
      <c r="DZJ38" s="926"/>
      <c r="DZK38" s="926"/>
      <c r="DZL38" s="926"/>
      <c r="DZM38" s="926"/>
      <c r="DZN38" s="926"/>
      <c r="DZO38" s="926"/>
      <c r="DZP38" s="926"/>
      <c r="DZQ38" s="926"/>
      <c r="DZR38" s="926"/>
      <c r="DZS38" s="926"/>
      <c r="DZT38" s="926"/>
      <c r="DZU38" s="926"/>
      <c r="DZV38" s="926"/>
      <c r="DZW38" s="926"/>
      <c r="DZX38" s="926"/>
      <c r="DZY38" s="926"/>
      <c r="DZZ38" s="926"/>
      <c r="EAA38" s="926"/>
      <c r="EAB38" s="926"/>
      <c r="EAC38" s="926"/>
      <c r="EAD38" s="926"/>
      <c r="EAE38" s="926"/>
      <c r="EAF38" s="926"/>
      <c r="EAG38" s="926"/>
      <c r="EAH38" s="926"/>
      <c r="EAI38" s="926"/>
      <c r="EAJ38" s="926"/>
      <c r="EAK38" s="926"/>
      <c r="EAL38" s="926"/>
      <c r="EAM38" s="926"/>
      <c r="EAN38" s="926"/>
      <c r="EAO38" s="926"/>
      <c r="EAP38" s="926"/>
      <c r="EAQ38" s="926"/>
      <c r="EAR38" s="926"/>
      <c r="EAS38" s="926"/>
      <c r="EAT38" s="926"/>
      <c r="EAU38" s="926"/>
      <c r="EAV38" s="926"/>
      <c r="EAW38" s="926"/>
      <c r="EAX38" s="926"/>
      <c r="EAY38" s="926"/>
      <c r="EAZ38" s="926"/>
      <c r="EBA38" s="926"/>
      <c r="EBB38" s="926"/>
      <c r="EBC38" s="926"/>
      <c r="EBD38" s="926"/>
      <c r="EBE38" s="926"/>
      <c r="EBF38" s="926"/>
      <c r="EBG38" s="926"/>
      <c r="EBH38" s="926"/>
      <c r="EBI38" s="926"/>
      <c r="EBJ38" s="926"/>
      <c r="EBK38" s="926"/>
      <c r="EBL38" s="926"/>
      <c r="EBM38" s="926"/>
      <c r="EBN38" s="926"/>
      <c r="EBO38" s="926"/>
      <c r="EBP38" s="926"/>
      <c r="EBQ38" s="926"/>
      <c r="EBR38" s="926"/>
      <c r="EBS38" s="926"/>
      <c r="EBT38" s="926"/>
      <c r="EBU38" s="926"/>
      <c r="EBV38" s="926"/>
      <c r="EBW38" s="926"/>
      <c r="EBX38" s="926"/>
      <c r="EBY38" s="926"/>
      <c r="EBZ38" s="926"/>
      <c r="ECA38" s="926"/>
      <c r="ECB38" s="926"/>
      <c r="ECC38" s="926"/>
      <c r="ECD38" s="926"/>
      <c r="ECE38" s="926"/>
      <c r="ECF38" s="926"/>
      <c r="ECG38" s="926"/>
      <c r="ECH38" s="926"/>
      <c r="ECI38" s="926"/>
      <c r="ECJ38" s="926"/>
      <c r="ECK38" s="926"/>
      <c r="ECL38" s="926"/>
      <c r="ECM38" s="926"/>
      <c r="ECN38" s="926"/>
      <c r="ECO38" s="926"/>
      <c r="ECP38" s="926"/>
      <c r="ECQ38" s="926"/>
      <c r="ECR38" s="926"/>
      <c r="ECS38" s="926"/>
      <c r="ECT38" s="926"/>
      <c r="ECU38" s="926"/>
      <c r="ECV38" s="926"/>
      <c r="ECW38" s="926"/>
      <c r="ECX38" s="926"/>
      <c r="ECY38" s="926"/>
      <c r="ECZ38" s="926"/>
      <c r="EDA38" s="926"/>
      <c r="EDB38" s="926"/>
      <c r="EDC38" s="926"/>
      <c r="EDD38" s="926"/>
      <c r="EDE38" s="926"/>
      <c r="EDF38" s="926"/>
      <c r="EDG38" s="926"/>
      <c r="EDH38" s="926"/>
      <c r="EDI38" s="926"/>
      <c r="EDJ38" s="926"/>
      <c r="EDK38" s="926"/>
      <c r="EDL38" s="926"/>
      <c r="EDM38" s="926"/>
      <c r="EDN38" s="926"/>
      <c r="EDO38" s="926"/>
      <c r="EDP38" s="926"/>
      <c r="EDQ38" s="926"/>
      <c r="EDR38" s="926"/>
      <c r="EDS38" s="926"/>
      <c r="EDT38" s="926"/>
      <c r="EDU38" s="926"/>
      <c r="EDV38" s="926"/>
      <c r="EDW38" s="926"/>
      <c r="EDX38" s="926"/>
      <c r="EDY38" s="926"/>
      <c r="EDZ38" s="926"/>
      <c r="EEA38" s="926"/>
      <c r="EEB38" s="926"/>
      <c r="EEC38" s="926"/>
      <c r="EED38" s="926"/>
      <c r="EEE38" s="926"/>
      <c r="EEF38" s="926"/>
      <c r="EEG38" s="926"/>
      <c r="EEH38" s="926"/>
      <c r="EEI38" s="926"/>
      <c r="EEJ38" s="926"/>
      <c r="EEK38" s="926"/>
      <c r="EEL38" s="926"/>
      <c r="EEM38" s="926"/>
      <c r="EEN38" s="926"/>
      <c r="EEO38" s="926"/>
      <c r="EEP38" s="926"/>
      <c r="EEQ38" s="926"/>
      <c r="EER38" s="926"/>
      <c r="EES38" s="926"/>
      <c r="EET38" s="926"/>
      <c r="EEU38" s="926"/>
      <c r="EEV38" s="926"/>
      <c r="EEW38" s="926"/>
      <c r="EEX38" s="926"/>
      <c r="EEY38" s="926"/>
      <c r="EEZ38" s="926"/>
      <c r="EFA38" s="926"/>
      <c r="EFB38" s="926"/>
      <c r="EFC38" s="926"/>
      <c r="EFD38" s="926"/>
      <c r="EFE38" s="926"/>
      <c r="EFF38" s="926"/>
      <c r="EFG38" s="926"/>
      <c r="EFH38" s="926"/>
      <c r="EFI38" s="926"/>
      <c r="EFJ38" s="926"/>
      <c r="EFK38" s="926"/>
      <c r="EFL38" s="926"/>
      <c r="EFM38" s="926"/>
      <c r="EFN38" s="926"/>
      <c r="EFO38" s="926"/>
      <c r="EFP38" s="926"/>
      <c r="EFQ38" s="926"/>
      <c r="EFR38" s="926"/>
      <c r="EFS38" s="926"/>
      <c r="EFT38" s="926"/>
      <c r="EFU38" s="926"/>
      <c r="EFV38" s="926"/>
      <c r="EFW38" s="926"/>
      <c r="EFX38" s="926"/>
      <c r="EFY38" s="926"/>
      <c r="EFZ38" s="926"/>
      <c r="EGA38" s="926"/>
      <c r="EGB38" s="926"/>
      <c r="EGC38" s="926"/>
      <c r="EGD38" s="926"/>
      <c r="EGE38" s="926"/>
      <c r="EGF38" s="926"/>
      <c r="EGG38" s="926"/>
      <c r="EGH38" s="926"/>
      <c r="EGI38" s="926"/>
      <c r="EGJ38" s="926"/>
      <c r="EGK38" s="926"/>
      <c r="EGL38" s="926"/>
      <c r="EGM38" s="926"/>
      <c r="EGN38" s="926"/>
      <c r="EGO38" s="926"/>
      <c r="EGP38" s="926"/>
      <c r="EGQ38" s="926"/>
      <c r="EGR38" s="926"/>
      <c r="EGS38" s="926"/>
      <c r="EGT38" s="926"/>
      <c r="EGU38" s="926"/>
      <c r="EGV38" s="926"/>
      <c r="EGW38" s="926"/>
      <c r="EGX38" s="926"/>
      <c r="EGY38" s="926"/>
      <c r="EGZ38" s="926"/>
      <c r="EHA38" s="926"/>
      <c r="EHB38" s="926"/>
      <c r="EHC38" s="926"/>
      <c r="EHD38" s="926"/>
      <c r="EHE38" s="926"/>
      <c r="EHF38" s="926"/>
      <c r="EHG38" s="926"/>
      <c r="EHH38" s="926"/>
      <c r="EHI38" s="926"/>
      <c r="EHJ38" s="926"/>
      <c r="EHK38" s="926"/>
      <c r="EHL38" s="926"/>
      <c r="EHM38" s="926"/>
      <c r="EHN38" s="926"/>
      <c r="EHO38" s="926"/>
      <c r="EHP38" s="926"/>
      <c r="EHQ38" s="926"/>
      <c r="EHR38" s="926"/>
      <c r="EHS38" s="926"/>
      <c r="EHT38" s="926"/>
      <c r="EHU38" s="926"/>
      <c r="EHV38" s="926"/>
      <c r="EHW38" s="926"/>
      <c r="EHX38" s="926"/>
      <c r="EHY38" s="926"/>
      <c r="EHZ38" s="926"/>
      <c r="EIA38" s="926"/>
      <c r="EIB38" s="926"/>
      <c r="EIC38" s="926"/>
      <c r="EID38" s="926"/>
      <c r="EIE38" s="926"/>
      <c r="EIF38" s="926"/>
      <c r="EIG38" s="926"/>
      <c r="EIH38" s="926"/>
      <c r="EII38" s="926"/>
      <c r="EIJ38" s="926"/>
      <c r="EIK38" s="926"/>
      <c r="EIL38" s="926"/>
      <c r="EIM38" s="926"/>
      <c r="EIN38" s="926"/>
      <c r="EIO38" s="926"/>
      <c r="EIP38" s="926"/>
      <c r="EIQ38" s="926"/>
      <c r="EIR38" s="926"/>
      <c r="EIS38" s="926"/>
      <c r="EIT38" s="926"/>
      <c r="EIU38" s="926"/>
      <c r="EIV38" s="926"/>
      <c r="EIW38" s="926"/>
      <c r="EIX38" s="926"/>
      <c r="EIY38" s="926"/>
      <c r="EIZ38" s="926"/>
      <c r="EJA38" s="926"/>
      <c r="EJB38" s="926"/>
      <c r="EJC38" s="926"/>
      <c r="EJD38" s="926"/>
      <c r="EJE38" s="926"/>
      <c r="EJF38" s="926"/>
      <c r="EJG38" s="926"/>
      <c r="EJH38" s="926"/>
      <c r="EJI38" s="926"/>
      <c r="EJJ38" s="926"/>
      <c r="EJK38" s="926"/>
      <c r="EJL38" s="926"/>
      <c r="EJM38" s="926"/>
      <c r="EJN38" s="926"/>
      <c r="EJO38" s="926"/>
      <c r="EJP38" s="926"/>
      <c r="EJQ38" s="926"/>
      <c r="EJR38" s="926"/>
      <c r="EJS38" s="926"/>
      <c r="EJT38" s="926"/>
      <c r="EJU38" s="926"/>
      <c r="EJV38" s="926"/>
      <c r="EJW38" s="926"/>
      <c r="EJX38" s="926"/>
      <c r="EJY38" s="926"/>
      <c r="EJZ38" s="926"/>
      <c r="EKA38" s="926"/>
      <c r="EKB38" s="926"/>
      <c r="EKC38" s="926"/>
      <c r="EKD38" s="926"/>
      <c r="EKE38" s="926"/>
      <c r="EKF38" s="926"/>
      <c r="EKG38" s="926"/>
      <c r="EKH38" s="926"/>
      <c r="EKI38" s="926"/>
      <c r="EKJ38" s="926"/>
      <c r="EKK38" s="926"/>
      <c r="EKL38" s="926"/>
      <c r="EKM38" s="926"/>
      <c r="EKN38" s="926"/>
      <c r="EKO38" s="926"/>
      <c r="EKP38" s="926"/>
      <c r="EKQ38" s="926"/>
      <c r="EKR38" s="926"/>
      <c r="EKS38" s="926"/>
      <c r="EKT38" s="926"/>
      <c r="EKU38" s="926"/>
      <c r="EKV38" s="926"/>
      <c r="EKW38" s="926"/>
      <c r="EKX38" s="926"/>
      <c r="EKY38" s="926"/>
      <c r="EKZ38" s="926"/>
      <c r="ELA38" s="926"/>
      <c r="ELB38" s="926"/>
      <c r="ELC38" s="926"/>
      <c r="ELD38" s="926"/>
      <c r="ELE38" s="926"/>
      <c r="ELF38" s="926"/>
      <c r="ELG38" s="926"/>
      <c r="ELH38" s="926"/>
      <c r="ELI38" s="926"/>
      <c r="ELJ38" s="926"/>
      <c r="ELK38" s="926"/>
      <c r="ELL38" s="926"/>
      <c r="ELM38" s="926"/>
      <c r="ELN38" s="926"/>
      <c r="ELO38" s="926"/>
      <c r="ELP38" s="926"/>
      <c r="ELQ38" s="926"/>
      <c r="ELR38" s="926"/>
      <c r="ELS38" s="926"/>
      <c r="ELT38" s="926"/>
      <c r="ELU38" s="926"/>
      <c r="ELV38" s="926"/>
      <c r="ELW38" s="926"/>
      <c r="ELX38" s="926"/>
      <c r="ELY38" s="926"/>
      <c r="ELZ38" s="926"/>
      <c r="EMA38" s="926"/>
      <c r="EMB38" s="926"/>
      <c r="EMC38" s="926"/>
      <c r="EMD38" s="926"/>
      <c r="EME38" s="926"/>
      <c r="EMF38" s="926"/>
      <c r="EMG38" s="926"/>
      <c r="EMH38" s="926"/>
      <c r="EMI38" s="926"/>
      <c r="EMJ38" s="926"/>
      <c r="EMK38" s="926"/>
      <c r="EML38" s="926"/>
      <c r="EMM38" s="926"/>
      <c r="EMN38" s="926"/>
      <c r="EMO38" s="926"/>
      <c r="EMP38" s="926"/>
      <c r="EMQ38" s="926"/>
      <c r="EMR38" s="926"/>
      <c r="EMS38" s="926"/>
      <c r="EMT38" s="926"/>
      <c r="EMU38" s="926"/>
      <c r="EMV38" s="926"/>
      <c r="EMW38" s="926"/>
      <c r="EMX38" s="926"/>
      <c r="EMY38" s="926"/>
      <c r="EMZ38" s="926"/>
      <c r="ENA38" s="926"/>
      <c r="ENB38" s="926"/>
      <c r="ENC38" s="926"/>
      <c r="END38" s="926"/>
      <c r="ENE38" s="926"/>
      <c r="ENF38" s="926"/>
      <c r="ENG38" s="926"/>
      <c r="ENH38" s="926"/>
      <c r="ENI38" s="926"/>
      <c r="ENJ38" s="926"/>
      <c r="ENK38" s="926"/>
      <c r="ENL38" s="926"/>
      <c r="ENM38" s="926"/>
      <c r="ENN38" s="926"/>
      <c r="ENO38" s="926"/>
      <c r="ENP38" s="926"/>
      <c r="ENQ38" s="926"/>
      <c r="ENR38" s="926"/>
      <c r="ENS38" s="926"/>
      <c r="ENT38" s="926"/>
      <c r="ENU38" s="926"/>
      <c r="ENV38" s="926"/>
      <c r="ENW38" s="926"/>
      <c r="ENX38" s="926"/>
      <c r="ENY38" s="926"/>
      <c r="ENZ38" s="926"/>
      <c r="EOA38" s="926"/>
      <c r="EOB38" s="926"/>
      <c r="EOC38" s="926"/>
      <c r="EOD38" s="926"/>
      <c r="EOE38" s="926"/>
      <c r="EOF38" s="926"/>
      <c r="EOG38" s="926"/>
      <c r="EOH38" s="926"/>
      <c r="EOI38" s="926"/>
      <c r="EOJ38" s="926"/>
      <c r="EOK38" s="926"/>
      <c r="EOL38" s="926"/>
      <c r="EOM38" s="926"/>
      <c r="EON38" s="926"/>
      <c r="EOO38" s="926"/>
      <c r="EOP38" s="926"/>
      <c r="EOQ38" s="926"/>
      <c r="EOR38" s="926"/>
      <c r="EOS38" s="926"/>
      <c r="EOT38" s="926"/>
      <c r="EOU38" s="926"/>
      <c r="EOV38" s="926"/>
      <c r="EOW38" s="926"/>
      <c r="EOX38" s="926"/>
      <c r="EOY38" s="926"/>
      <c r="EOZ38" s="926"/>
      <c r="EPA38" s="926"/>
      <c r="EPB38" s="926"/>
      <c r="EPC38" s="926"/>
      <c r="EPD38" s="926"/>
      <c r="EPE38" s="926"/>
      <c r="EPF38" s="926"/>
      <c r="EPG38" s="926"/>
      <c r="EPH38" s="926"/>
      <c r="EPI38" s="926"/>
      <c r="EPJ38" s="926"/>
      <c r="EPK38" s="926"/>
      <c r="EPL38" s="926"/>
      <c r="EPM38" s="926"/>
      <c r="EPN38" s="926"/>
      <c r="EPO38" s="926"/>
      <c r="EPP38" s="926"/>
      <c r="EPQ38" s="926"/>
      <c r="EPR38" s="926"/>
      <c r="EPS38" s="926"/>
      <c r="EPT38" s="926"/>
      <c r="EPU38" s="926"/>
      <c r="EPV38" s="926"/>
      <c r="EPW38" s="926"/>
      <c r="EPX38" s="926"/>
      <c r="EPY38" s="926"/>
      <c r="EPZ38" s="926"/>
      <c r="EQA38" s="926"/>
      <c r="EQB38" s="926"/>
      <c r="EQC38" s="926"/>
      <c r="EQD38" s="926"/>
      <c r="EQE38" s="926"/>
      <c r="EQF38" s="926"/>
      <c r="EQG38" s="926"/>
      <c r="EQH38" s="926"/>
      <c r="EQI38" s="926"/>
      <c r="EQJ38" s="926"/>
      <c r="EQK38" s="926"/>
      <c r="EQL38" s="926"/>
      <c r="EQM38" s="926"/>
      <c r="EQN38" s="926"/>
      <c r="EQO38" s="926"/>
      <c r="EQP38" s="926"/>
      <c r="EQQ38" s="926"/>
      <c r="EQR38" s="926"/>
      <c r="EQS38" s="926"/>
      <c r="EQT38" s="926"/>
      <c r="EQU38" s="926"/>
      <c r="EQV38" s="926"/>
      <c r="EQW38" s="926"/>
      <c r="EQX38" s="926"/>
      <c r="EQY38" s="926"/>
      <c r="EQZ38" s="926"/>
      <c r="ERA38" s="926"/>
      <c r="ERB38" s="926"/>
      <c r="ERC38" s="926"/>
      <c r="ERD38" s="926"/>
      <c r="ERE38" s="926"/>
      <c r="ERF38" s="926"/>
      <c r="ERG38" s="926"/>
      <c r="ERH38" s="926"/>
      <c r="ERI38" s="926"/>
      <c r="ERJ38" s="926"/>
      <c r="ERK38" s="926"/>
      <c r="ERL38" s="926"/>
      <c r="ERM38" s="926"/>
      <c r="ERN38" s="926"/>
      <c r="ERO38" s="926"/>
      <c r="ERP38" s="926"/>
      <c r="ERQ38" s="926"/>
      <c r="ERR38" s="926"/>
      <c r="ERS38" s="926"/>
      <c r="ERT38" s="926"/>
      <c r="ERU38" s="926"/>
      <c r="ERV38" s="926"/>
      <c r="ERW38" s="926"/>
      <c r="ERX38" s="926"/>
      <c r="ERY38" s="926"/>
      <c r="ERZ38" s="926"/>
      <c r="ESA38" s="926"/>
      <c r="ESB38" s="926"/>
      <c r="ESC38" s="926"/>
      <c r="ESD38" s="926"/>
      <c r="ESE38" s="926"/>
      <c r="ESF38" s="926"/>
      <c r="ESG38" s="926"/>
      <c r="ESH38" s="926"/>
      <c r="ESI38" s="926"/>
      <c r="ESJ38" s="926"/>
      <c r="ESK38" s="926"/>
      <c r="ESL38" s="926"/>
      <c r="ESM38" s="926"/>
      <c r="ESN38" s="926"/>
      <c r="ESO38" s="926"/>
      <c r="ESP38" s="926"/>
      <c r="ESQ38" s="926"/>
      <c r="ESR38" s="926"/>
      <c r="ESS38" s="926"/>
      <c r="EST38" s="926"/>
      <c r="ESU38" s="926"/>
      <c r="ESV38" s="926"/>
      <c r="ESW38" s="926"/>
      <c r="ESX38" s="926"/>
      <c r="ESY38" s="926"/>
      <c r="ESZ38" s="926"/>
      <c r="ETA38" s="926"/>
      <c r="ETB38" s="926"/>
      <c r="ETC38" s="926"/>
      <c r="ETD38" s="926"/>
      <c r="ETE38" s="926"/>
      <c r="ETF38" s="926"/>
      <c r="ETG38" s="926"/>
      <c r="ETH38" s="926"/>
      <c r="ETI38" s="926"/>
      <c r="ETJ38" s="926"/>
      <c r="ETK38" s="926"/>
      <c r="ETL38" s="926"/>
      <c r="ETM38" s="926"/>
      <c r="ETN38" s="926"/>
      <c r="ETO38" s="926"/>
      <c r="ETP38" s="926"/>
      <c r="ETQ38" s="926"/>
      <c r="ETR38" s="926"/>
      <c r="ETS38" s="926"/>
      <c r="ETT38" s="926"/>
      <c r="ETU38" s="926"/>
      <c r="ETV38" s="926"/>
      <c r="ETW38" s="926"/>
      <c r="ETX38" s="926"/>
      <c r="ETY38" s="926"/>
      <c r="ETZ38" s="926"/>
      <c r="EUA38" s="926"/>
      <c r="EUB38" s="926"/>
      <c r="EUC38" s="926"/>
      <c r="EUD38" s="926"/>
      <c r="EUE38" s="926"/>
      <c r="EUF38" s="926"/>
      <c r="EUG38" s="926"/>
      <c r="EUH38" s="926"/>
      <c r="EUI38" s="926"/>
      <c r="EUJ38" s="926"/>
      <c r="EUK38" s="926"/>
      <c r="EUL38" s="926"/>
      <c r="EUM38" s="926"/>
      <c r="EUN38" s="926"/>
      <c r="EUO38" s="926"/>
      <c r="EUP38" s="926"/>
      <c r="EUQ38" s="926"/>
      <c r="EUR38" s="926"/>
      <c r="EUS38" s="926"/>
      <c r="EUT38" s="926"/>
      <c r="EUU38" s="926"/>
      <c r="EUV38" s="926"/>
      <c r="EUW38" s="926"/>
      <c r="EUX38" s="926"/>
      <c r="EUY38" s="926"/>
      <c r="EUZ38" s="926"/>
      <c r="EVA38" s="926"/>
      <c r="EVB38" s="926"/>
      <c r="EVC38" s="926"/>
      <c r="EVD38" s="926"/>
      <c r="EVE38" s="926"/>
      <c r="EVF38" s="926"/>
      <c r="EVG38" s="926"/>
      <c r="EVH38" s="926"/>
      <c r="EVI38" s="926"/>
      <c r="EVJ38" s="926"/>
      <c r="EVK38" s="926"/>
      <c r="EVL38" s="926"/>
      <c r="EVM38" s="926"/>
      <c r="EVN38" s="926"/>
      <c r="EVO38" s="926"/>
      <c r="EVP38" s="926"/>
      <c r="EVQ38" s="926"/>
      <c r="EVR38" s="926"/>
      <c r="EVS38" s="926"/>
      <c r="EVT38" s="926"/>
      <c r="EVU38" s="926"/>
      <c r="EVV38" s="926"/>
      <c r="EVW38" s="926"/>
      <c r="EVX38" s="926"/>
      <c r="EVY38" s="926"/>
      <c r="EVZ38" s="926"/>
      <c r="EWA38" s="926"/>
      <c r="EWB38" s="926"/>
      <c r="EWC38" s="926"/>
      <c r="EWD38" s="926"/>
      <c r="EWE38" s="926"/>
      <c r="EWF38" s="926"/>
      <c r="EWG38" s="926"/>
      <c r="EWH38" s="926"/>
      <c r="EWI38" s="926"/>
      <c r="EWJ38" s="926"/>
      <c r="EWK38" s="926"/>
      <c r="EWL38" s="926"/>
      <c r="EWM38" s="926"/>
      <c r="EWN38" s="926"/>
      <c r="EWO38" s="926"/>
      <c r="EWP38" s="926"/>
      <c r="EWQ38" s="926"/>
      <c r="EWR38" s="926"/>
      <c r="EWS38" s="926"/>
      <c r="EWT38" s="926"/>
      <c r="EWU38" s="926"/>
      <c r="EWV38" s="926"/>
      <c r="EWW38" s="926"/>
      <c r="EWX38" s="926"/>
      <c r="EWY38" s="926"/>
      <c r="EWZ38" s="926"/>
      <c r="EXA38" s="926"/>
      <c r="EXB38" s="926"/>
      <c r="EXC38" s="926"/>
      <c r="EXD38" s="926"/>
      <c r="EXE38" s="926"/>
      <c r="EXF38" s="926"/>
      <c r="EXG38" s="926"/>
      <c r="EXH38" s="926"/>
      <c r="EXI38" s="926"/>
      <c r="EXJ38" s="926"/>
      <c r="EXK38" s="926"/>
      <c r="EXL38" s="926"/>
      <c r="EXM38" s="926"/>
      <c r="EXN38" s="926"/>
      <c r="EXO38" s="926"/>
      <c r="EXP38" s="926"/>
      <c r="EXQ38" s="926"/>
      <c r="EXR38" s="926"/>
      <c r="EXS38" s="926"/>
      <c r="EXT38" s="926"/>
      <c r="EXU38" s="926"/>
      <c r="EXV38" s="926"/>
      <c r="EXW38" s="926"/>
      <c r="EXX38" s="926"/>
      <c r="EXY38" s="926"/>
      <c r="EXZ38" s="926"/>
      <c r="EYA38" s="926"/>
      <c r="EYB38" s="926"/>
      <c r="EYC38" s="926"/>
      <c r="EYD38" s="926"/>
      <c r="EYE38" s="926"/>
      <c r="EYF38" s="926"/>
      <c r="EYG38" s="926"/>
      <c r="EYH38" s="926"/>
      <c r="EYI38" s="926"/>
      <c r="EYJ38" s="926"/>
      <c r="EYK38" s="926"/>
      <c r="EYL38" s="926"/>
      <c r="EYM38" s="926"/>
      <c r="EYN38" s="926"/>
      <c r="EYO38" s="926"/>
      <c r="EYP38" s="926"/>
      <c r="EYQ38" s="926"/>
      <c r="EYR38" s="926"/>
      <c r="EYS38" s="926"/>
      <c r="EYT38" s="926"/>
      <c r="EYU38" s="926"/>
      <c r="EYV38" s="926"/>
      <c r="EYW38" s="926"/>
      <c r="EYX38" s="926"/>
      <c r="EYY38" s="926"/>
      <c r="EYZ38" s="926"/>
      <c r="EZA38" s="926"/>
      <c r="EZB38" s="926"/>
      <c r="EZC38" s="926"/>
      <c r="EZD38" s="926"/>
      <c r="EZE38" s="926"/>
      <c r="EZF38" s="926"/>
      <c r="EZG38" s="926"/>
      <c r="EZH38" s="926"/>
      <c r="EZI38" s="926"/>
      <c r="EZJ38" s="926"/>
      <c r="EZK38" s="926"/>
      <c r="EZL38" s="926"/>
      <c r="EZM38" s="926"/>
      <c r="EZN38" s="926"/>
      <c r="EZO38" s="926"/>
      <c r="EZP38" s="926"/>
      <c r="EZQ38" s="926"/>
      <c r="EZR38" s="926"/>
      <c r="EZS38" s="926"/>
      <c r="EZT38" s="926"/>
      <c r="EZU38" s="926"/>
      <c r="EZV38" s="926"/>
      <c r="EZW38" s="926"/>
      <c r="EZX38" s="926"/>
      <c r="EZY38" s="926"/>
      <c r="EZZ38" s="926"/>
      <c r="FAA38" s="926"/>
      <c r="FAB38" s="926"/>
      <c r="FAC38" s="926"/>
      <c r="FAD38" s="926"/>
      <c r="FAE38" s="926"/>
      <c r="FAF38" s="926"/>
      <c r="FAG38" s="926"/>
      <c r="FAH38" s="926"/>
      <c r="FAI38" s="926"/>
      <c r="FAJ38" s="926"/>
      <c r="FAK38" s="926"/>
      <c r="FAL38" s="926"/>
      <c r="FAM38" s="926"/>
      <c r="FAN38" s="926"/>
      <c r="FAO38" s="926"/>
      <c r="FAP38" s="926"/>
      <c r="FAQ38" s="926"/>
      <c r="FAR38" s="926"/>
      <c r="FAS38" s="926"/>
      <c r="FAT38" s="926"/>
      <c r="FAU38" s="926"/>
      <c r="FAV38" s="926"/>
      <c r="FAW38" s="926"/>
      <c r="FAX38" s="926"/>
      <c r="FAY38" s="926"/>
      <c r="FAZ38" s="926"/>
      <c r="FBA38" s="926"/>
      <c r="FBB38" s="926"/>
      <c r="FBC38" s="926"/>
      <c r="FBD38" s="926"/>
      <c r="FBE38" s="926"/>
      <c r="FBF38" s="926"/>
      <c r="FBG38" s="926"/>
      <c r="FBH38" s="926"/>
      <c r="FBI38" s="926"/>
      <c r="FBJ38" s="926"/>
      <c r="FBK38" s="926"/>
      <c r="FBL38" s="926"/>
      <c r="FBM38" s="926"/>
      <c r="FBN38" s="926"/>
      <c r="FBO38" s="926"/>
      <c r="FBP38" s="926"/>
      <c r="FBQ38" s="926"/>
      <c r="FBR38" s="926"/>
      <c r="FBS38" s="926"/>
      <c r="FBT38" s="926"/>
      <c r="FBU38" s="926"/>
      <c r="FBV38" s="926"/>
      <c r="FBW38" s="926"/>
      <c r="FBX38" s="926"/>
      <c r="FBY38" s="926"/>
      <c r="FBZ38" s="926"/>
      <c r="FCA38" s="926"/>
      <c r="FCB38" s="926"/>
      <c r="FCC38" s="926"/>
      <c r="FCD38" s="926"/>
      <c r="FCE38" s="926"/>
      <c r="FCF38" s="926"/>
      <c r="FCG38" s="926"/>
      <c r="FCH38" s="926"/>
      <c r="FCI38" s="926"/>
      <c r="FCJ38" s="926"/>
      <c r="FCK38" s="926"/>
      <c r="FCL38" s="926"/>
      <c r="FCM38" s="926"/>
      <c r="FCN38" s="926"/>
      <c r="FCO38" s="926"/>
      <c r="FCP38" s="926"/>
      <c r="FCQ38" s="926"/>
      <c r="FCR38" s="926"/>
      <c r="FCS38" s="926"/>
      <c r="FCT38" s="926"/>
      <c r="FCU38" s="926"/>
      <c r="FCV38" s="926"/>
      <c r="FCW38" s="926"/>
      <c r="FCX38" s="926"/>
      <c r="FCY38" s="926"/>
      <c r="FCZ38" s="926"/>
      <c r="FDA38" s="926"/>
      <c r="FDB38" s="926"/>
      <c r="FDC38" s="926"/>
      <c r="FDD38" s="926"/>
      <c r="FDE38" s="926"/>
      <c r="FDF38" s="926"/>
      <c r="FDG38" s="926"/>
      <c r="FDH38" s="926"/>
      <c r="FDI38" s="926"/>
      <c r="FDJ38" s="926"/>
      <c r="FDK38" s="926"/>
      <c r="FDL38" s="926"/>
      <c r="FDM38" s="926"/>
      <c r="FDN38" s="926"/>
      <c r="FDO38" s="926"/>
      <c r="FDP38" s="926"/>
      <c r="FDQ38" s="926"/>
      <c r="FDR38" s="926"/>
      <c r="FDS38" s="926"/>
      <c r="FDT38" s="926"/>
      <c r="FDU38" s="926"/>
      <c r="FDV38" s="926"/>
      <c r="FDW38" s="926"/>
      <c r="FDX38" s="926"/>
      <c r="FDY38" s="926"/>
      <c r="FDZ38" s="926"/>
      <c r="FEA38" s="926"/>
      <c r="FEB38" s="926"/>
      <c r="FEC38" s="926"/>
      <c r="FED38" s="926"/>
      <c r="FEE38" s="926"/>
      <c r="FEF38" s="926"/>
      <c r="FEG38" s="926"/>
      <c r="FEH38" s="926"/>
      <c r="FEI38" s="926"/>
      <c r="FEJ38" s="926"/>
      <c r="FEK38" s="926"/>
      <c r="FEL38" s="926"/>
      <c r="FEM38" s="926"/>
      <c r="FEN38" s="926"/>
      <c r="FEO38" s="926"/>
      <c r="FEP38" s="926"/>
      <c r="FEQ38" s="926"/>
      <c r="FER38" s="926"/>
      <c r="FES38" s="926"/>
      <c r="FET38" s="926"/>
      <c r="FEU38" s="926"/>
      <c r="FEV38" s="926"/>
      <c r="FEW38" s="926"/>
      <c r="FEX38" s="926"/>
      <c r="FEY38" s="926"/>
      <c r="FEZ38" s="926"/>
      <c r="FFA38" s="926"/>
      <c r="FFB38" s="926"/>
      <c r="FFC38" s="926"/>
      <c r="FFD38" s="926"/>
      <c r="FFE38" s="926"/>
      <c r="FFF38" s="926"/>
      <c r="FFG38" s="926"/>
      <c r="FFH38" s="926"/>
      <c r="FFI38" s="926"/>
      <c r="FFJ38" s="926"/>
      <c r="FFK38" s="926"/>
      <c r="FFL38" s="926"/>
      <c r="FFM38" s="926"/>
      <c r="FFN38" s="926"/>
      <c r="FFO38" s="926"/>
      <c r="FFP38" s="926"/>
      <c r="FFQ38" s="926"/>
      <c r="FFR38" s="926"/>
      <c r="FFS38" s="926"/>
      <c r="FFT38" s="926"/>
      <c r="FFU38" s="926"/>
      <c r="FFV38" s="926"/>
      <c r="FFW38" s="926"/>
      <c r="FFX38" s="926"/>
      <c r="FFY38" s="926"/>
      <c r="FFZ38" s="926"/>
      <c r="FGA38" s="926"/>
      <c r="FGB38" s="926"/>
      <c r="FGC38" s="926"/>
      <c r="FGD38" s="926"/>
      <c r="FGE38" s="926"/>
      <c r="FGF38" s="926"/>
      <c r="FGG38" s="926"/>
      <c r="FGH38" s="926"/>
      <c r="FGI38" s="926"/>
      <c r="FGJ38" s="926"/>
      <c r="FGK38" s="926"/>
      <c r="FGL38" s="926"/>
      <c r="FGM38" s="926"/>
      <c r="FGN38" s="926"/>
      <c r="FGO38" s="926"/>
      <c r="FGP38" s="926"/>
      <c r="FGQ38" s="926"/>
      <c r="FGR38" s="926"/>
      <c r="FGS38" s="926"/>
      <c r="FGT38" s="926"/>
      <c r="FGU38" s="926"/>
      <c r="FGV38" s="926"/>
      <c r="FGW38" s="926"/>
      <c r="FGX38" s="926"/>
      <c r="FGY38" s="926"/>
      <c r="FGZ38" s="926"/>
      <c r="FHA38" s="926"/>
      <c r="FHB38" s="926"/>
      <c r="FHC38" s="926"/>
      <c r="FHD38" s="926"/>
      <c r="FHE38" s="926"/>
      <c r="FHF38" s="926"/>
      <c r="FHG38" s="926"/>
      <c r="FHH38" s="926"/>
      <c r="FHI38" s="926"/>
      <c r="FHJ38" s="926"/>
      <c r="FHK38" s="926"/>
      <c r="FHL38" s="926"/>
      <c r="FHM38" s="926"/>
      <c r="FHN38" s="926"/>
      <c r="FHO38" s="926"/>
      <c r="FHP38" s="926"/>
      <c r="FHQ38" s="926"/>
      <c r="FHR38" s="926"/>
      <c r="FHS38" s="926"/>
      <c r="FHT38" s="926"/>
      <c r="FHU38" s="926"/>
      <c r="FHV38" s="926"/>
      <c r="FHW38" s="926"/>
      <c r="FHX38" s="926"/>
      <c r="FHY38" s="926"/>
      <c r="FHZ38" s="926"/>
      <c r="FIA38" s="926"/>
      <c r="FIB38" s="926"/>
      <c r="FIC38" s="926"/>
      <c r="FID38" s="926"/>
      <c r="FIE38" s="926"/>
      <c r="FIF38" s="926"/>
      <c r="FIG38" s="926"/>
      <c r="FIH38" s="926"/>
      <c r="FII38" s="926"/>
      <c r="FIJ38" s="926"/>
      <c r="FIK38" s="926"/>
      <c r="FIL38" s="926"/>
      <c r="FIM38" s="926"/>
      <c r="FIN38" s="926"/>
      <c r="FIO38" s="926"/>
      <c r="FIP38" s="926"/>
      <c r="FIQ38" s="926"/>
      <c r="FIR38" s="926"/>
      <c r="FIS38" s="926"/>
      <c r="FIT38" s="926"/>
      <c r="FIU38" s="926"/>
      <c r="FIV38" s="926"/>
      <c r="FIW38" s="926"/>
      <c r="FIX38" s="926"/>
      <c r="FIY38" s="926"/>
      <c r="FIZ38" s="926"/>
      <c r="FJA38" s="926"/>
      <c r="FJB38" s="926"/>
      <c r="FJC38" s="926"/>
      <c r="FJD38" s="926"/>
      <c r="FJE38" s="926"/>
      <c r="FJF38" s="926"/>
      <c r="FJG38" s="926"/>
      <c r="FJH38" s="926"/>
      <c r="FJI38" s="926"/>
      <c r="FJJ38" s="926"/>
      <c r="FJK38" s="926"/>
      <c r="FJL38" s="926"/>
      <c r="FJM38" s="926"/>
      <c r="FJN38" s="926"/>
      <c r="FJO38" s="926"/>
      <c r="FJP38" s="926"/>
      <c r="FJQ38" s="926"/>
      <c r="FJR38" s="926"/>
      <c r="FJS38" s="926"/>
      <c r="FJT38" s="926"/>
      <c r="FJU38" s="926"/>
      <c r="FJV38" s="926"/>
      <c r="FJW38" s="926"/>
      <c r="FJX38" s="926"/>
      <c r="FJY38" s="926"/>
      <c r="FJZ38" s="926"/>
      <c r="FKA38" s="926"/>
      <c r="FKB38" s="926"/>
      <c r="FKC38" s="926"/>
      <c r="FKD38" s="926"/>
      <c r="FKE38" s="926"/>
      <c r="FKF38" s="926"/>
      <c r="FKG38" s="926"/>
      <c r="FKH38" s="926"/>
      <c r="FKI38" s="926"/>
      <c r="FKJ38" s="926"/>
      <c r="FKK38" s="926"/>
      <c r="FKL38" s="926"/>
      <c r="FKM38" s="926"/>
      <c r="FKN38" s="926"/>
      <c r="FKO38" s="926"/>
      <c r="FKP38" s="926"/>
      <c r="FKQ38" s="926"/>
      <c r="FKR38" s="926"/>
      <c r="FKS38" s="926"/>
      <c r="FKT38" s="926"/>
      <c r="FKU38" s="926"/>
      <c r="FKV38" s="926"/>
      <c r="FKW38" s="926"/>
      <c r="FKX38" s="926"/>
      <c r="FKY38" s="926"/>
      <c r="FKZ38" s="926"/>
      <c r="FLA38" s="926"/>
      <c r="FLB38" s="926"/>
      <c r="FLC38" s="926"/>
      <c r="FLD38" s="926"/>
      <c r="FLE38" s="926"/>
      <c r="FLF38" s="926"/>
      <c r="FLG38" s="926"/>
      <c r="FLH38" s="926"/>
      <c r="FLI38" s="926"/>
      <c r="FLJ38" s="926"/>
      <c r="FLK38" s="926"/>
      <c r="FLL38" s="926"/>
      <c r="FLM38" s="926"/>
      <c r="FLN38" s="926"/>
      <c r="FLO38" s="926"/>
      <c r="FLP38" s="926"/>
      <c r="FLQ38" s="926"/>
      <c r="FLR38" s="926"/>
      <c r="FLS38" s="926"/>
      <c r="FLT38" s="926"/>
      <c r="FLU38" s="926"/>
      <c r="FLV38" s="926"/>
      <c r="FLW38" s="926"/>
      <c r="FLX38" s="926"/>
      <c r="FLY38" s="926"/>
      <c r="FLZ38" s="926"/>
      <c r="FMA38" s="926"/>
      <c r="FMB38" s="926"/>
      <c r="FMC38" s="926"/>
      <c r="FMD38" s="926"/>
      <c r="FME38" s="926"/>
      <c r="FMF38" s="926"/>
      <c r="FMG38" s="926"/>
      <c r="FMH38" s="926"/>
      <c r="FMI38" s="926"/>
      <c r="FMJ38" s="926"/>
      <c r="FMK38" s="926"/>
      <c r="FML38" s="926"/>
      <c r="FMM38" s="926"/>
      <c r="FMN38" s="926"/>
      <c r="FMO38" s="926"/>
      <c r="FMP38" s="926"/>
      <c r="FMQ38" s="926"/>
      <c r="FMR38" s="926"/>
      <c r="FMS38" s="926"/>
      <c r="FMT38" s="926"/>
      <c r="FMU38" s="926"/>
      <c r="FMV38" s="926"/>
      <c r="FMW38" s="926"/>
      <c r="FMX38" s="926"/>
      <c r="FMY38" s="926"/>
      <c r="FMZ38" s="926"/>
      <c r="FNA38" s="926"/>
      <c r="FNB38" s="926"/>
      <c r="FNC38" s="926"/>
      <c r="FND38" s="926"/>
      <c r="FNE38" s="926"/>
      <c r="FNF38" s="926"/>
      <c r="FNG38" s="926"/>
      <c r="FNH38" s="926"/>
      <c r="FNI38" s="926"/>
      <c r="FNJ38" s="926"/>
      <c r="FNK38" s="926"/>
      <c r="FNL38" s="926"/>
      <c r="FNM38" s="926"/>
      <c r="FNN38" s="926"/>
      <c r="FNO38" s="926"/>
      <c r="FNP38" s="926"/>
      <c r="FNQ38" s="926"/>
      <c r="FNR38" s="926"/>
      <c r="FNS38" s="926"/>
      <c r="FNT38" s="926"/>
      <c r="FNU38" s="926"/>
      <c r="FNV38" s="926"/>
      <c r="FNW38" s="926"/>
      <c r="FNX38" s="926"/>
      <c r="FNY38" s="926"/>
      <c r="FNZ38" s="926"/>
      <c r="FOA38" s="926"/>
      <c r="FOB38" s="926"/>
      <c r="FOC38" s="926"/>
      <c r="FOD38" s="926"/>
      <c r="FOE38" s="926"/>
      <c r="FOF38" s="926"/>
      <c r="FOG38" s="926"/>
      <c r="FOH38" s="926"/>
      <c r="FOI38" s="926"/>
      <c r="FOJ38" s="926"/>
      <c r="FOK38" s="926"/>
      <c r="FOL38" s="926"/>
      <c r="FOM38" s="926"/>
      <c r="FON38" s="926"/>
      <c r="FOO38" s="926"/>
      <c r="FOP38" s="926"/>
      <c r="FOQ38" s="926"/>
      <c r="FOR38" s="926"/>
      <c r="FOS38" s="926"/>
      <c r="FOT38" s="926"/>
      <c r="FOU38" s="926"/>
      <c r="FOV38" s="926"/>
      <c r="FOW38" s="926"/>
      <c r="FOX38" s="926"/>
      <c r="FOY38" s="926"/>
      <c r="FOZ38" s="926"/>
      <c r="FPA38" s="926"/>
      <c r="FPB38" s="926"/>
      <c r="FPC38" s="926"/>
      <c r="FPD38" s="926"/>
      <c r="FPE38" s="926"/>
      <c r="FPF38" s="926"/>
      <c r="FPG38" s="926"/>
      <c r="FPH38" s="926"/>
      <c r="FPI38" s="926"/>
      <c r="FPJ38" s="926"/>
      <c r="FPK38" s="926"/>
      <c r="FPL38" s="926"/>
      <c r="FPM38" s="926"/>
      <c r="FPN38" s="926"/>
      <c r="FPO38" s="926"/>
      <c r="FPP38" s="926"/>
      <c r="FPQ38" s="926"/>
      <c r="FPR38" s="926"/>
      <c r="FPS38" s="926"/>
      <c r="FPT38" s="926"/>
      <c r="FPU38" s="926"/>
      <c r="FPV38" s="926"/>
      <c r="FPW38" s="926"/>
      <c r="FPX38" s="926"/>
      <c r="FPY38" s="926"/>
      <c r="FPZ38" s="926"/>
      <c r="FQA38" s="926"/>
      <c r="FQB38" s="926"/>
      <c r="FQC38" s="926"/>
      <c r="FQD38" s="926"/>
      <c r="FQE38" s="926"/>
      <c r="FQF38" s="926"/>
      <c r="FQG38" s="926"/>
      <c r="FQH38" s="926"/>
      <c r="FQI38" s="926"/>
      <c r="FQJ38" s="926"/>
      <c r="FQK38" s="926"/>
      <c r="FQL38" s="926"/>
      <c r="FQM38" s="926"/>
      <c r="FQN38" s="926"/>
      <c r="FQO38" s="926"/>
      <c r="FQP38" s="926"/>
      <c r="FQQ38" s="926"/>
      <c r="FQR38" s="926"/>
      <c r="FQS38" s="926"/>
      <c r="FQT38" s="926"/>
      <c r="FQU38" s="926"/>
      <c r="FQV38" s="926"/>
      <c r="FQW38" s="926"/>
      <c r="FQX38" s="926"/>
      <c r="FQY38" s="926"/>
      <c r="FQZ38" s="926"/>
      <c r="FRA38" s="926"/>
      <c r="FRB38" s="926"/>
      <c r="FRC38" s="926"/>
      <c r="FRD38" s="926"/>
      <c r="FRE38" s="926"/>
      <c r="FRF38" s="926"/>
      <c r="FRG38" s="926"/>
      <c r="FRH38" s="926"/>
      <c r="FRI38" s="926"/>
      <c r="FRJ38" s="926"/>
      <c r="FRK38" s="926"/>
      <c r="FRL38" s="926"/>
      <c r="FRM38" s="926"/>
      <c r="FRN38" s="926"/>
      <c r="FRO38" s="926"/>
      <c r="FRP38" s="926"/>
      <c r="FRQ38" s="926"/>
      <c r="FRR38" s="926"/>
      <c r="FRS38" s="926"/>
      <c r="FRT38" s="926"/>
      <c r="FRU38" s="926"/>
      <c r="FRV38" s="926"/>
      <c r="FRW38" s="926"/>
      <c r="FRX38" s="926"/>
      <c r="FRY38" s="926"/>
      <c r="FRZ38" s="926"/>
      <c r="FSA38" s="926"/>
      <c r="FSB38" s="926"/>
      <c r="FSC38" s="926"/>
      <c r="FSD38" s="926"/>
      <c r="FSE38" s="926"/>
      <c r="FSF38" s="926"/>
      <c r="FSG38" s="926"/>
      <c r="FSH38" s="926"/>
      <c r="FSI38" s="926"/>
      <c r="FSJ38" s="926"/>
      <c r="FSK38" s="926"/>
      <c r="FSL38" s="926"/>
      <c r="FSM38" s="926"/>
      <c r="FSN38" s="926"/>
      <c r="FSO38" s="926"/>
      <c r="FSP38" s="926"/>
      <c r="FSQ38" s="926"/>
      <c r="FSR38" s="926"/>
      <c r="FSS38" s="926"/>
      <c r="FST38" s="926"/>
      <c r="FSU38" s="926"/>
      <c r="FSV38" s="926"/>
      <c r="FSW38" s="926"/>
      <c r="FSX38" s="926"/>
      <c r="FSY38" s="926"/>
      <c r="FSZ38" s="926"/>
      <c r="FTA38" s="926"/>
      <c r="FTB38" s="926"/>
      <c r="FTC38" s="926"/>
      <c r="FTD38" s="926"/>
      <c r="FTE38" s="926"/>
      <c r="FTF38" s="926"/>
      <c r="FTG38" s="926"/>
      <c r="FTH38" s="926"/>
      <c r="FTI38" s="926"/>
      <c r="FTJ38" s="926"/>
      <c r="FTK38" s="926"/>
      <c r="FTL38" s="926"/>
      <c r="FTM38" s="926"/>
      <c r="FTN38" s="926"/>
      <c r="FTO38" s="926"/>
      <c r="FTP38" s="926"/>
      <c r="FTQ38" s="926"/>
      <c r="FTR38" s="926"/>
      <c r="FTS38" s="926"/>
      <c r="FTT38" s="926"/>
      <c r="FTU38" s="926"/>
      <c r="FTV38" s="926"/>
      <c r="FTW38" s="926"/>
      <c r="FTX38" s="926"/>
      <c r="FTY38" s="926"/>
      <c r="FTZ38" s="926"/>
      <c r="FUA38" s="926"/>
      <c r="FUB38" s="926"/>
      <c r="FUC38" s="926"/>
      <c r="FUD38" s="926"/>
      <c r="FUE38" s="926"/>
      <c r="FUF38" s="926"/>
      <c r="FUG38" s="926"/>
      <c r="FUH38" s="926"/>
      <c r="FUI38" s="926"/>
      <c r="FUJ38" s="926"/>
      <c r="FUK38" s="926"/>
      <c r="FUL38" s="926"/>
      <c r="FUM38" s="926"/>
      <c r="FUN38" s="926"/>
      <c r="FUO38" s="926"/>
      <c r="FUP38" s="926"/>
      <c r="FUQ38" s="926"/>
      <c r="FUR38" s="926"/>
      <c r="FUS38" s="926"/>
      <c r="FUT38" s="926"/>
      <c r="FUU38" s="926"/>
      <c r="FUV38" s="926"/>
      <c r="FUW38" s="926"/>
      <c r="FUX38" s="926"/>
      <c r="FUY38" s="926"/>
      <c r="FUZ38" s="926"/>
      <c r="FVA38" s="926"/>
      <c r="FVB38" s="926"/>
      <c r="FVC38" s="926"/>
      <c r="FVD38" s="926"/>
      <c r="FVE38" s="926"/>
      <c r="FVF38" s="926"/>
      <c r="FVG38" s="926"/>
      <c r="FVH38" s="926"/>
      <c r="FVI38" s="926"/>
      <c r="FVJ38" s="926"/>
      <c r="FVK38" s="926"/>
      <c r="FVL38" s="926"/>
      <c r="FVM38" s="926"/>
      <c r="FVN38" s="926"/>
      <c r="FVO38" s="926"/>
      <c r="FVP38" s="926"/>
      <c r="FVQ38" s="926"/>
      <c r="FVR38" s="926"/>
      <c r="FVS38" s="926"/>
      <c r="FVT38" s="926"/>
      <c r="FVU38" s="926"/>
      <c r="FVV38" s="926"/>
      <c r="FVW38" s="926"/>
      <c r="FVX38" s="926"/>
      <c r="FVY38" s="926"/>
      <c r="FVZ38" s="926"/>
      <c r="FWA38" s="926"/>
      <c r="FWB38" s="926"/>
      <c r="FWC38" s="926"/>
      <c r="FWD38" s="926"/>
      <c r="FWE38" s="926"/>
      <c r="FWF38" s="926"/>
      <c r="FWG38" s="926"/>
      <c r="FWH38" s="926"/>
      <c r="FWI38" s="926"/>
      <c r="FWJ38" s="926"/>
      <c r="FWK38" s="926"/>
      <c r="FWL38" s="926"/>
      <c r="FWM38" s="926"/>
      <c r="FWN38" s="926"/>
      <c r="FWO38" s="926"/>
      <c r="FWP38" s="926"/>
      <c r="FWQ38" s="926"/>
      <c r="FWR38" s="926"/>
      <c r="FWS38" s="926"/>
      <c r="FWT38" s="926"/>
      <c r="FWU38" s="926"/>
      <c r="FWV38" s="926"/>
      <c r="FWW38" s="926"/>
      <c r="FWX38" s="926"/>
      <c r="FWY38" s="926"/>
      <c r="FWZ38" s="926"/>
      <c r="FXA38" s="926"/>
      <c r="FXB38" s="926"/>
      <c r="FXC38" s="926"/>
      <c r="FXD38" s="926"/>
      <c r="FXE38" s="926"/>
      <c r="FXF38" s="926"/>
      <c r="FXG38" s="926"/>
      <c r="FXH38" s="926"/>
      <c r="FXI38" s="926"/>
      <c r="FXJ38" s="926"/>
      <c r="FXK38" s="926"/>
      <c r="FXL38" s="926"/>
      <c r="FXM38" s="926"/>
      <c r="FXN38" s="926"/>
      <c r="FXO38" s="926"/>
      <c r="FXP38" s="926"/>
      <c r="FXQ38" s="926"/>
      <c r="FXR38" s="926"/>
      <c r="FXS38" s="926"/>
      <c r="FXT38" s="926"/>
      <c r="FXU38" s="926"/>
      <c r="FXV38" s="926"/>
      <c r="FXW38" s="926"/>
      <c r="FXX38" s="926"/>
      <c r="FXY38" s="926"/>
      <c r="FXZ38" s="926"/>
      <c r="FYA38" s="926"/>
      <c r="FYB38" s="926"/>
      <c r="FYC38" s="926"/>
      <c r="FYD38" s="926"/>
      <c r="FYE38" s="926"/>
      <c r="FYF38" s="926"/>
      <c r="FYG38" s="926"/>
      <c r="FYH38" s="926"/>
      <c r="FYI38" s="926"/>
      <c r="FYJ38" s="926"/>
      <c r="FYK38" s="926"/>
      <c r="FYL38" s="926"/>
      <c r="FYM38" s="926"/>
      <c r="FYN38" s="926"/>
      <c r="FYO38" s="926"/>
      <c r="FYP38" s="926"/>
      <c r="FYQ38" s="926"/>
      <c r="FYR38" s="926"/>
      <c r="FYS38" s="926"/>
      <c r="FYT38" s="926"/>
      <c r="FYU38" s="926"/>
      <c r="FYV38" s="926"/>
      <c r="FYW38" s="926"/>
      <c r="FYX38" s="926"/>
      <c r="FYY38" s="926"/>
      <c r="FYZ38" s="926"/>
      <c r="FZA38" s="926"/>
      <c r="FZB38" s="926"/>
      <c r="FZC38" s="926"/>
      <c r="FZD38" s="926"/>
      <c r="FZE38" s="926"/>
      <c r="FZF38" s="926"/>
      <c r="FZG38" s="926"/>
      <c r="FZH38" s="926"/>
      <c r="FZI38" s="926"/>
      <c r="FZJ38" s="926"/>
      <c r="FZK38" s="926"/>
      <c r="FZL38" s="926"/>
      <c r="FZM38" s="926"/>
      <c r="FZN38" s="926"/>
      <c r="FZO38" s="926"/>
      <c r="FZP38" s="926"/>
      <c r="FZQ38" s="926"/>
      <c r="FZR38" s="926"/>
      <c r="FZS38" s="926"/>
      <c r="FZT38" s="926"/>
      <c r="FZU38" s="926"/>
      <c r="FZV38" s="926"/>
      <c r="FZW38" s="926"/>
      <c r="FZX38" s="926"/>
      <c r="FZY38" s="926"/>
      <c r="FZZ38" s="926"/>
      <c r="GAA38" s="926"/>
      <c r="GAB38" s="926"/>
      <c r="GAC38" s="926"/>
      <c r="GAD38" s="926"/>
      <c r="GAE38" s="926"/>
      <c r="GAF38" s="926"/>
      <c r="GAG38" s="926"/>
      <c r="GAH38" s="926"/>
      <c r="GAI38" s="926"/>
      <c r="GAJ38" s="926"/>
      <c r="GAK38" s="926"/>
      <c r="GAL38" s="926"/>
      <c r="GAM38" s="926"/>
      <c r="GAN38" s="926"/>
      <c r="GAO38" s="926"/>
      <c r="GAP38" s="926"/>
      <c r="GAQ38" s="926"/>
      <c r="GAR38" s="926"/>
      <c r="GAS38" s="926"/>
      <c r="GAT38" s="926"/>
      <c r="GAU38" s="926"/>
      <c r="GAV38" s="926"/>
      <c r="GAW38" s="926"/>
      <c r="GAX38" s="926"/>
      <c r="GAY38" s="926"/>
      <c r="GAZ38" s="926"/>
      <c r="GBA38" s="926"/>
      <c r="GBB38" s="926"/>
      <c r="GBC38" s="926"/>
      <c r="GBD38" s="926"/>
      <c r="GBE38" s="926"/>
      <c r="GBF38" s="926"/>
      <c r="GBG38" s="926"/>
      <c r="GBH38" s="926"/>
      <c r="GBI38" s="926"/>
      <c r="GBJ38" s="926"/>
      <c r="GBK38" s="926"/>
      <c r="GBL38" s="926"/>
      <c r="GBM38" s="926"/>
      <c r="GBN38" s="926"/>
      <c r="GBO38" s="926"/>
      <c r="GBP38" s="926"/>
      <c r="GBQ38" s="926"/>
      <c r="GBR38" s="926"/>
      <c r="GBS38" s="926"/>
      <c r="GBT38" s="926"/>
      <c r="GBU38" s="926"/>
      <c r="GBV38" s="926"/>
      <c r="GBW38" s="926"/>
      <c r="GBX38" s="926"/>
      <c r="GBY38" s="926"/>
      <c r="GBZ38" s="926"/>
      <c r="GCA38" s="926"/>
      <c r="GCB38" s="926"/>
      <c r="GCC38" s="926"/>
      <c r="GCD38" s="926"/>
      <c r="GCE38" s="926"/>
      <c r="GCF38" s="926"/>
      <c r="GCG38" s="926"/>
      <c r="GCH38" s="926"/>
      <c r="GCI38" s="926"/>
      <c r="GCJ38" s="926"/>
      <c r="GCK38" s="926"/>
      <c r="GCL38" s="926"/>
      <c r="GCM38" s="926"/>
      <c r="GCN38" s="926"/>
      <c r="GCO38" s="926"/>
      <c r="GCP38" s="926"/>
      <c r="GCQ38" s="926"/>
      <c r="GCR38" s="926"/>
      <c r="GCS38" s="926"/>
      <c r="GCT38" s="926"/>
      <c r="GCU38" s="926"/>
      <c r="GCV38" s="926"/>
      <c r="GCW38" s="926"/>
      <c r="GCX38" s="926"/>
      <c r="GCY38" s="926"/>
      <c r="GCZ38" s="926"/>
      <c r="GDA38" s="926"/>
      <c r="GDB38" s="926"/>
      <c r="GDC38" s="926"/>
      <c r="GDD38" s="926"/>
      <c r="GDE38" s="926"/>
      <c r="GDF38" s="926"/>
      <c r="GDG38" s="926"/>
      <c r="GDH38" s="926"/>
      <c r="GDI38" s="926"/>
      <c r="GDJ38" s="926"/>
      <c r="GDK38" s="926"/>
      <c r="GDL38" s="926"/>
      <c r="GDM38" s="926"/>
      <c r="GDN38" s="926"/>
      <c r="GDO38" s="926"/>
      <c r="GDP38" s="926"/>
      <c r="GDQ38" s="926"/>
      <c r="GDR38" s="926"/>
      <c r="GDS38" s="926"/>
      <c r="GDT38" s="926"/>
      <c r="GDU38" s="926"/>
      <c r="GDV38" s="926"/>
      <c r="GDW38" s="926"/>
      <c r="GDX38" s="926"/>
      <c r="GDY38" s="926"/>
      <c r="GDZ38" s="926"/>
      <c r="GEA38" s="926"/>
      <c r="GEB38" s="926"/>
      <c r="GEC38" s="926"/>
      <c r="GED38" s="926"/>
      <c r="GEE38" s="926"/>
      <c r="GEF38" s="926"/>
      <c r="GEG38" s="926"/>
      <c r="GEH38" s="926"/>
      <c r="GEI38" s="926"/>
      <c r="GEJ38" s="926"/>
      <c r="GEK38" s="926"/>
      <c r="GEL38" s="926"/>
      <c r="GEM38" s="926"/>
      <c r="GEN38" s="926"/>
      <c r="GEO38" s="926"/>
      <c r="GEP38" s="926"/>
      <c r="GEQ38" s="926"/>
      <c r="GER38" s="926"/>
      <c r="GES38" s="926"/>
      <c r="GET38" s="926"/>
      <c r="GEU38" s="926"/>
      <c r="GEV38" s="926"/>
      <c r="GEW38" s="926"/>
      <c r="GEX38" s="926"/>
      <c r="GEY38" s="926"/>
      <c r="GEZ38" s="926"/>
      <c r="GFA38" s="926"/>
      <c r="GFB38" s="926"/>
      <c r="GFC38" s="926"/>
      <c r="GFD38" s="926"/>
      <c r="GFE38" s="926"/>
      <c r="GFF38" s="926"/>
      <c r="GFG38" s="926"/>
      <c r="GFH38" s="926"/>
      <c r="GFI38" s="926"/>
      <c r="GFJ38" s="926"/>
      <c r="GFK38" s="926"/>
      <c r="GFL38" s="926"/>
      <c r="GFM38" s="926"/>
      <c r="GFN38" s="926"/>
      <c r="GFO38" s="926"/>
      <c r="GFP38" s="926"/>
      <c r="GFQ38" s="926"/>
      <c r="GFR38" s="926"/>
      <c r="GFS38" s="926"/>
      <c r="GFT38" s="926"/>
      <c r="GFU38" s="926"/>
      <c r="GFV38" s="926"/>
      <c r="GFW38" s="926"/>
      <c r="GFX38" s="926"/>
      <c r="GFY38" s="926"/>
      <c r="GFZ38" s="926"/>
      <c r="GGA38" s="926"/>
      <c r="GGB38" s="926"/>
      <c r="GGC38" s="926"/>
      <c r="GGD38" s="926"/>
      <c r="GGE38" s="926"/>
      <c r="GGF38" s="926"/>
      <c r="GGG38" s="926"/>
      <c r="GGH38" s="926"/>
      <c r="GGI38" s="926"/>
      <c r="GGJ38" s="926"/>
      <c r="GGK38" s="926"/>
      <c r="GGL38" s="926"/>
      <c r="GGM38" s="926"/>
      <c r="GGN38" s="926"/>
      <c r="GGO38" s="926"/>
      <c r="GGP38" s="926"/>
      <c r="GGQ38" s="926"/>
      <c r="GGR38" s="926"/>
      <c r="GGS38" s="926"/>
      <c r="GGT38" s="926"/>
      <c r="GGU38" s="926"/>
      <c r="GGV38" s="926"/>
      <c r="GGW38" s="926"/>
      <c r="GGX38" s="926"/>
      <c r="GGY38" s="926"/>
      <c r="GGZ38" s="926"/>
      <c r="GHA38" s="926"/>
      <c r="GHB38" s="926"/>
      <c r="GHC38" s="926"/>
      <c r="GHD38" s="926"/>
      <c r="GHE38" s="926"/>
      <c r="GHF38" s="926"/>
      <c r="GHG38" s="926"/>
      <c r="GHH38" s="926"/>
      <c r="GHI38" s="926"/>
      <c r="GHJ38" s="926"/>
      <c r="GHK38" s="926"/>
      <c r="GHL38" s="926"/>
      <c r="GHM38" s="926"/>
      <c r="GHN38" s="926"/>
      <c r="GHO38" s="926"/>
      <c r="GHP38" s="926"/>
      <c r="GHQ38" s="926"/>
      <c r="GHR38" s="926"/>
      <c r="GHS38" s="926"/>
      <c r="GHT38" s="926"/>
      <c r="GHU38" s="926"/>
      <c r="GHV38" s="926"/>
      <c r="GHW38" s="926"/>
      <c r="GHX38" s="926"/>
      <c r="GHY38" s="926"/>
      <c r="GHZ38" s="926"/>
      <c r="GIA38" s="926"/>
      <c r="GIB38" s="926"/>
      <c r="GIC38" s="926"/>
      <c r="GID38" s="926"/>
      <c r="GIE38" s="926"/>
      <c r="GIF38" s="926"/>
      <c r="GIG38" s="926"/>
      <c r="GIH38" s="926"/>
      <c r="GII38" s="926"/>
      <c r="GIJ38" s="926"/>
      <c r="GIK38" s="926"/>
      <c r="GIL38" s="926"/>
      <c r="GIM38" s="926"/>
      <c r="GIN38" s="926"/>
      <c r="GIO38" s="926"/>
      <c r="GIP38" s="926"/>
      <c r="GIQ38" s="926"/>
      <c r="GIR38" s="926"/>
      <c r="GIS38" s="926"/>
      <c r="GIT38" s="926"/>
      <c r="GIU38" s="926"/>
      <c r="GIV38" s="926"/>
      <c r="GIW38" s="926"/>
      <c r="GIX38" s="926"/>
      <c r="GIY38" s="926"/>
      <c r="GIZ38" s="926"/>
      <c r="GJA38" s="926"/>
      <c r="GJB38" s="926"/>
      <c r="GJC38" s="926"/>
      <c r="GJD38" s="926"/>
      <c r="GJE38" s="926"/>
      <c r="GJF38" s="926"/>
      <c r="GJG38" s="926"/>
      <c r="GJH38" s="926"/>
      <c r="GJI38" s="926"/>
      <c r="GJJ38" s="926"/>
      <c r="GJK38" s="926"/>
      <c r="GJL38" s="926"/>
      <c r="GJM38" s="926"/>
      <c r="GJN38" s="926"/>
      <c r="GJO38" s="926"/>
      <c r="GJP38" s="926"/>
      <c r="GJQ38" s="926"/>
      <c r="GJR38" s="926"/>
      <c r="GJS38" s="926"/>
      <c r="GJT38" s="926"/>
      <c r="GJU38" s="926"/>
      <c r="GJV38" s="926"/>
      <c r="GJW38" s="926"/>
      <c r="GJX38" s="926"/>
      <c r="GJY38" s="926"/>
      <c r="GJZ38" s="926"/>
      <c r="GKA38" s="926"/>
      <c r="GKB38" s="926"/>
      <c r="GKC38" s="926"/>
      <c r="GKD38" s="926"/>
      <c r="GKE38" s="926"/>
      <c r="GKF38" s="926"/>
      <c r="GKG38" s="926"/>
      <c r="GKH38" s="926"/>
      <c r="GKI38" s="926"/>
      <c r="GKJ38" s="926"/>
      <c r="GKK38" s="926"/>
      <c r="GKL38" s="926"/>
      <c r="GKM38" s="926"/>
      <c r="GKN38" s="926"/>
      <c r="GKO38" s="926"/>
      <c r="GKP38" s="926"/>
      <c r="GKQ38" s="926"/>
      <c r="GKR38" s="926"/>
      <c r="GKS38" s="926"/>
      <c r="GKT38" s="926"/>
      <c r="GKU38" s="926"/>
      <c r="GKV38" s="926"/>
      <c r="GKW38" s="926"/>
      <c r="GKX38" s="926"/>
      <c r="GKY38" s="926"/>
      <c r="GKZ38" s="926"/>
      <c r="GLA38" s="926"/>
      <c r="GLB38" s="926"/>
      <c r="GLC38" s="926"/>
      <c r="GLD38" s="926"/>
      <c r="GLE38" s="926"/>
      <c r="GLF38" s="926"/>
      <c r="GLG38" s="926"/>
      <c r="GLH38" s="926"/>
      <c r="GLI38" s="926"/>
      <c r="GLJ38" s="926"/>
      <c r="GLK38" s="926"/>
      <c r="GLL38" s="926"/>
      <c r="GLM38" s="926"/>
      <c r="GLN38" s="926"/>
      <c r="GLO38" s="926"/>
      <c r="GLP38" s="926"/>
      <c r="GLQ38" s="926"/>
      <c r="GLR38" s="926"/>
      <c r="GLS38" s="926"/>
      <c r="GLT38" s="926"/>
      <c r="GLU38" s="926"/>
      <c r="GLV38" s="926"/>
      <c r="GLW38" s="926"/>
      <c r="GLX38" s="926"/>
      <c r="GLY38" s="926"/>
      <c r="GLZ38" s="926"/>
      <c r="GMA38" s="926"/>
      <c r="GMB38" s="926"/>
      <c r="GMC38" s="926"/>
      <c r="GMD38" s="926"/>
      <c r="GME38" s="926"/>
      <c r="GMF38" s="926"/>
      <c r="GMG38" s="926"/>
      <c r="GMH38" s="926"/>
      <c r="GMI38" s="926"/>
      <c r="GMJ38" s="926"/>
      <c r="GMK38" s="926"/>
      <c r="GML38" s="926"/>
      <c r="GMM38" s="926"/>
      <c r="GMN38" s="926"/>
      <c r="GMO38" s="926"/>
      <c r="GMP38" s="926"/>
      <c r="GMQ38" s="926"/>
      <c r="GMR38" s="926"/>
      <c r="GMS38" s="926"/>
      <c r="GMT38" s="926"/>
      <c r="GMU38" s="926"/>
      <c r="GMV38" s="926"/>
      <c r="GMW38" s="926"/>
      <c r="GMX38" s="926"/>
      <c r="GMY38" s="926"/>
      <c r="GMZ38" s="926"/>
      <c r="GNA38" s="926"/>
      <c r="GNB38" s="926"/>
      <c r="GNC38" s="926"/>
      <c r="GND38" s="926"/>
      <c r="GNE38" s="926"/>
      <c r="GNF38" s="926"/>
      <c r="GNG38" s="926"/>
      <c r="GNH38" s="926"/>
      <c r="GNI38" s="926"/>
      <c r="GNJ38" s="926"/>
      <c r="GNK38" s="926"/>
      <c r="GNL38" s="926"/>
      <c r="GNM38" s="926"/>
      <c r="GNN38" s="926"/>
      <c r="GNO38" s="926"/>
      <c r="GNP38" s="926"/>
      <c r="GNQ38" s="926"/>
      <c r="GNR38" s="926"/>
      <c r="GNS38" s="926"/>
      <c r="GNT38" s="926"/>
      <c r="GNU38" s="926"/>
      <c r="GNV38" s="926"/>
      <c r="GNW38" s="926"/>
      <c r="GNX38" s="926"/>
      <c r="GNY38" s="926"/>
      <c r="GNZ38" s="926"/>
      <c r="GOA38" s="926"/>
      <c r="GOB38" s="926"/>
      <c r="GOC38" s="926"/>
      <c r="GOD38" s="926"/>
      <c r="GOE38" s="926"/>
      <c r="GOF38" s="926"/>
      <c r="GOG38" s="926"/>
      <c r="GOH38" s="926"/>
      <c r="GOI38" s="926"/>
      <c r="GOJ38" s="926"/>
      <c r="GOK38" s="926"/>
      <c r="GOL38" s="926"/>
      <c r="GOM38" s="926"/>
      <c r="GON38" s="926"/>
      <c r="GOO38" s="926"/>
      <c r="GOP38" s="926"/>
      <c r="GOQ38" s="926"/>
      <c r="GOR38" s="926"/>
      <c r="GOS38" s="926"/>
      <c r="GOT38" s="926"/>
      <c r="GOU38" s="926"/>
      <c r="GOV38" s="926"/>
      <c r="GOW38" s="926"/>
      <c r="GOX38" s="926"/>
      <c r="GOY38" s="926"/>
      <c r="GOZ38" s="926"/>
      <c r="GPA38" s="926"/>
      <c r="GPB38" s="926"/>
      <c r="GPC38" s="926"/>
      <c r="GPD38" s="926"/>
      <c r="GPE38" s="926"/>
      <c r="GPF38" s="926"/>
      <c r="GPG38" s="926"/>
      <c r="GPH38" s="926"/>
      <c r="GPI38" s="926"/>
      <c r="GPJ38" s="926"/>
      <c r="GPK38" s="926"/>
      <c r="GPL38" s="926"/>
      <c r="GPM38" s="926"/>
      <c r="GPN38" s="926"/>
      <c r="GPO38" s="926"/>
      <c r="GPP38" s="926"/>
      <c r="GPQ38" s="926"/>
      <c r="GPR38" s="926"/>
      <c r="GPS38" s="926"/>
      <c r="GPT38" s="926"/>
      <c r="GPU38" s="926"/>
      <c r="GPV38" s="926"/>
      <c r="GPW38" s="926"/>
      <c r="GPX38" s="926"/>
      <c r="GPY38" s="926"/>
      <c r="GPZ38" s="926"/>
      <c r="GQA38" s="926"/>
      <c r="GQB38" s="926"/>
      <c r="GQC38" s="926"/>
      <c r="GQD38" s="926"/>
      <c r="GQE38" s="926"/>
      <c r="GQF38" s="926"/>
      <c r="GQG38" s="926"/>
      <c r="GQH38" s="926"/>
      <c r="GQI38" s="926"/>
      <c r="GQJ38" s="926"/>
      <c r="GQK38" s="926"/>
      <c r="GQL38" s="926"/>
      <c r="GQM38" s="926"/>
      <c r="GQN38" s="926"/>
      <c r="GQO38" s="926"/>
      <c r="GQP38" s="926"/>
      <c r="GQQ38" s="926"/>
      <c r="GQR38" s="926"/>
      <c r="GQS38" s="926"/>
      <c r="GQT38" s="926"/>
      <c r="GQU38" s="926"/>
      <c r="GQV38" s="926"/>
      <c r="GQW38" s="926"/>
      <c r="GQX38" s="926"/>
      <c r="GQY38" s="926"/>
      <c r="GQZ38" s="926"/>
      <c r="GRA38" s="926"/>
      <c r="GRB38" s="926"/>
      <c r="GRC38" s="926"/>
      <c r="GRD38" s="926"/>
      <c r="GRE38" s="926"/>
      <c r="GRF38" s="926"/>
      <c r="GRG38" s="926"/>
      <c r="GRH38" s="926"/>
      <c r="GRI38" s="926"/>
      <c r="GRJ38" s="926"/>
      <c r="GRK38" s="926"/>
      <c r="GRL38" s="926"/>
      <c r="GRM38" s="926"/>
      <c r="GRN38" s="926"/>
      <c r="GRO38" s="926"/>
      <c r="GRP38" s="926"/>
      <c r="GRQ38" s="926"/>
      <c r="GRR38" s="926"/>
      <c r="GRS38" s="926"/>
      <c r="GRT38" s="926"/>
      <c r="GRU38" s="926"/>
      <c r="GRV38" s="926"/>
      <c r="GRW38" s="926"/>
      <c r="GRX38" s="926"/>
      <c r="GRY38" s="926"/>
      <c r="GRZ38" s="926"/>
      <c r="GSA38" s="926"/>
      <c r="GSB38" s="926"/>
      <c r="GSC38" s="926"/>
      <c r="GSD38" s="926"/>
      <c r="GSE38" s="926"/>
      <c r="GSF38" s="926"/>
      <c r="GSG38" s="926"/>
      <c r="GSH38" s="926"/>
      <c r="GSI38" s="926"/>
      <c r="GSJ38" s="926"/>
      <c r="GSK38" s="926"/>
      <c r="GSL38" s="926"/>
      <c r="GSM38" s="926"/>
      <c r="GSN38" s="926"/>
      <c r="GSO38" s="926"/>
      <c r="GSP38" s="926"/>
      <c r="GSQ38" s="926"/>
      <c r="GSR38" s="926"/>
      <c r="GSS38" s="926"/>
      <c r="GST38" s="926"/>
      <c r="GSU38" s="926"/>
      <c r="GSV38" s="926"/>
      <c r="GSW38" s="926"/>
      <c r="GSX38" s="926"/>
      <c r="GSY38" s="926"/>
      <c r="GSZ38" s="926"/>
      <c r="GTA38" s="926"/>
      <c r="GTB38" s="926"/>
      <c r="GTC38" s="926"/>
      <c r="GTD38" s="926"/>
      <c r="GTE38" s="926"/>
      <c r="GTF38" s="926"/>
      <c r="GTG38" s="926"/>
      <c r="GTH38" s="926"/>
      <c r="GTI38" s="926"/>
      <c r="GTJ38" s="926"/>
      <c r="GTK38" s="926"/>
      <c r="GTL38" s="926"/>
      <c r="GTM38" s="926"/>
      <c r="GTN38" s="926"/>
      <c r="GTO38" s="926"/>
      <c r="GTP38" s="926"/>
      <c r="GTQ38" s="926"/>
      <c r="GTR38" s="926"/>
      <c r="GTS38" s="926"/>
      <c r="GTT38" s="926"/>
      <c r="GTU38" s="926"/>
      <c r="GTV38" s="926"/>
      <c r="GTW38" s="926"/>
      <c r="GTX38" s="926"/>
      <c r="GTY38" s="926"/>
      <c r="GTZ38" s="926"/>
      <c r="GUA38" s="926"/>
      <c r="GUB38" s="926"/>
      <c r="GUC38" s="926"/>
      <c r="GUD38" s="926"/>
      <c r="GUE38" s="926"/>
      <c r="GUF38" s="926"/>
      <c r="GUG38" s="926"/>
      <c r="GUH38" s="926"/>
      <c r="GUI38" s="926"/>
      <c r="GUJ38" s="926"/>
      <c r="GUK38" s="926"/>
      <c r="GUL38" s="926"/>
      <c r="GUM38" s="926"/>
      <c r="GUN38" s="926"/>
      <c r="GUO38" s="926"/>
      <c r="GUP38" s="926"/>
      <c r="GUQ38" s="926"/>
      <c r="GUR38" s="926"/>
      <c r="GUS38" s="926"/>
      <c r="GUT38" s="926"/>
      <c r="GUU38" s="926"/>
      <c r="GUV38" s="926"/>
      <c r="GUW38" s="926"/>
      <c r="GUX38" s="926"/>
      <c r="GUY38" s="926"/>
      <c r="GUZ38" s="926"/>
      <c r="GVA38" s="926"/>
      <c r="GVB38" s="926"/>
      <c r="GVC38" s="926"/>
      <c r="GVD38" s="926"/>
      <c r="GVE38" s="926"/>
      <c r="GVF38" s="926"/>
      <c r="GVG38" s="926"/>
      <c r="GVH38" s="926"/>
      <c r="GVI38" s="926"/>
      <c r="GVJ38" s="926"/>
      <c r="GVK38" s="926"/>
      <c r="GVL38" s="926"/>
      <c r="GVM38" s="926"/>
      <c r="GVN38" s="926"/>
      <c r="GVO38" s="926"/>
      <c r="GVP38" s="926"/>
      <c r="GVQ38" s="926"/>
      <c r="GVR38" s="926"/>
      <c r="GVS38" s="926"/>
      <c r="GVT38" s="926"/>
      <c r="GVU38" s="926"/>
      <c r="GVV38" s="926"/>
      <c r="GVW38" s="926"/>
      <c r="GVX38" s="926"/>
      <c r="GVY38" s="926"/>
      <c r="GVZ38" s="926"/>
      <c r="GWA38" s="926"/>
      <c r="GWB38" s="926"/>
      <c r="GWC38" s="926"/>
      <c r="GWD38" s="926"/>
      <c r="GWE38" s="926"/>
      <c r="GWF38" s="926"/>
      <c r="GWG38" s="926"/>
      <c r="GWH38" s="926"/>
      <c r="GWI38" s="926"/>
      <c r="GWJ38" s="926"/>
      <c r="GWK38" s="926"/>
      <c r="GWL38" s="926"/>
      <c r="GWM38" s="926"/>
      <c r="GWN38" s="926"/>
      <c r="GWO38" s="926"/>
      <c r="GWP38" s="926"/>
      <c r="GWQ38" s="926"/>
      <c r="GWR38" s="926"/>
      <c r="GWS38" s="926"/>
      <c r="GWT38" s="926"/>
      <c r="GWU38" s="926"/>
      <c r="GWV38" s="926"/>
      <c r="GWW38" s="926"/>
      <c r="GWX38" s="926"/>
      <c r="GWY38" s="926"/>
      <c r="GWZ38" s="926"/>
      <c r="GXA38" s="926"/>
      <c r="GXB38" s="926"/>
      <c r="GXC38" s="926"/>
      <c r="GXD38" s="926"/>
      <c r="GXE38" s="926"/>
      <c r="GXF38" s="926"/>
      <c r="GXG38" s="926"/>
      <c r="GXH38" s="926"/>
      <c r="GXI38" s="926"/>
      <c r="GXJ38" s="926"/>
      <c r="GXK38" s="926"/>
      <c r="GXL38" s="926"/>
      <c r="GXM38" s="926"/>
      <c r="GXN38" s="926"/>
      <c r="GXO38" s="926"/>
      <c r="GXP38" s="926"/>
      <c r="GXQ38" s="926"/>
      <c r="GXR38" s="926"/>
      <c r="GXS38" s="926"/>
      <c r="GXT38" s="926"/>
      <c r="GXU38" s="926"/>
      <c r="GXV38" s="926"/>
      <c r="GXW38" s="926"/>
      <c r="GXX38" s="926"/>
      <c r="GXY38" s="926"/>
      <c r="GXZ38" s="926"/>
      <c r="GYA38" s="926"/>
      <c r="GYB38" s="926"/>
      <c r="GYC38" s="926"/>
      <c r="GYD38" s="926"/>
      <c r="GYE38" s="926"/>
      <c r="GYF38" s="926"/>
      <c r="GYG38" s="926"/>
      <c r="GYH38" s="926"/>
      <c r="GYI38" s="926"/>
      <c r="GYJ38" s="926"/>
      <c r="GYK38" s="926"/>
      <c r="GYL38" s="926"/>
      <c r="GYM38" s="926"/>
      <c r="GYN38" s="926"/>
      <c r="GYO38" s="926"/>
      <c r="GYP38" s="926"/>
      <c r="GYQ38" s="926"/>
      <c r="GYR38" s="926"/>
      <c r="GYS38" s="926"/>
      <c r="GYT38" s="926"/>
      <c r="GYU38" s="926"/>
      <c r="GYV38" s="926"/>
      <c r="GYW38" s="926"/>
      <c r="GYX38" s="926"/>
      <c r="GYY38" s="926"/>
      <c r="GYZ38" s="926"/>
      <c r="GZA38" s="926"/>
      <c r="GZB38" s="926"/>
      <c r="GZC38" s="926"/>
      <c r="GZD38" s="926"/>
      <c r="GZE38" s="926"/>
      <c r="GZF38" s="926"/>
      <c r="GZG38" s="926"/>
      <c r="GZH38" s="926"/>
      <c r="GZI38" s="926"/>
      <c r="GZJ38" s="926"/>
      <c r="GZK38" s="926"/>
      <c r="GZL38" s="926"/>
      <c r="GZM38" s="926"/>
      <c r="GZN38" s="926"/>
      <c r="GZO38" s="926"/>
      <c r="GZP38" s="926"/>
      <c r="GZQ38" s="926"/>
      <c r="GZR38" s="926"/>
      <c r="GZS38" s="926"/>
      <c r="GZT38" s="926"/>
      <c r="GZU38" s="926"/>
      <c r="GZV38" s="926"/>
      <c r="GZW38" s="926"/>
      <c r="GZX38" s="926"/>
      <c r="GZY38" s="926"/>
      <c r="GZZ38" s="926"/>
      <c r="HAA38" s="926"/>
      <c r="HAB38" s="926"/>
      <c r="HAC38" s="926"/>
      <c r="HAD38" s="926"/>
      <c r="HAE38" s="926"/>
      <c r="HAF38" s="926"/>
      <c r="HAG38" s="926"/>
      <c r="HAH38" s="926"/>
      <c r="HAI38" s="926"/>
      <c r="HAJ38" s="926"/>
      <c r="HAK38" s="926"/>
      <c r="HAL38" s="926"/>
      <c r="HAM38" s="926"/>
      <c r="HAN38" s="926"/>
      <c r="HAO38" s="926"/>
      <c r="HAP38" s="926"/>
      <c r="HAQ38" s="926"/>
      <c r="HAR38" s="926"/>
      <c r="HAS38" s="926"/>
      <c r="HAT38" s="926"/>
      <c r="HAU38" s="926"/>
      <c r="HAV38" s="926"/>
      <c r="HAW38" s="926"/>
      <c r="HAX38" s="926"/>
      <c r="HAY38" s="926"/>
      <c r="HAZ38" s="926"/>
      <c r="HBA38" s="926"/>
      <c r="HBB38" s="926"/>
      <c r="HBC38" s="926"/>
      <c r="HBD38" s="926"/>
      <c r="HBE38" s="926"/>
      <c r="HBF38" s="926"/>
      <c r="HBG38" s="926"/>
      <c r="HBH38" s="926"/>
      <c r="HBI38" s="926"/>
      <c r="HBJ38" s="926"/>
      <c r="HBK38" s="926"/>
      <c r="HBL38" s="926"/>
      <c r="HBM38" s="926"/>
      <c r="HBN38" s="926"/>
      <c r="HBO38" s="926"/>
      <c r="HBP38" s="926"/>
      <c r="HBQ38" s="926"/>
      <c r="HBR38" s="926"/>
      <c r="HBS38" s="926"/>
      <c r="HBT38" s="926"/>
      <c r="HBU38" s="926"/>
      <c r="HBV38" s="926"/>
      <c r="HBW38" s="926"/>
      <c r="HBX38" s="926"/>
      <c r="HBY38" s="926"/>
      <c r="HBZ38" s="926"/>
      <c r="HCA38" s="926"/>
      <c r="HCB38" s="926"/>
      <c r="HCC38" s="926"/>
      <c r="HCD38" s="926"/>
      <c r="HCE38" s="926"/>
      <c r="HCF38" s="926"/>
      <c r="HCG38" s="926"/>
      <c r="HCH38" s="926"/>
      <c r="HCI38" s="926"/>
      <c r="HCJ38" s="926"/>
      <c r="HCK38" s="926"/>
      <c r="HCL38" s="926"/>
      <c r="HCM38" s="926"/>
      <c r="HCN38" s="926"/>
      <c r="HCO38" s="926"/>
      <c r="HCP38" s="926"/>
      <c r="HCQ38" s="926"/>
      <c r="HCR38" s="926"/>
      <c r="HCS38" s="926"/>
      <c r="HCT38" s="926"/>
      <c r="HCU38" s="926"/>
      <c r="HCV38" s="926"/>
      <c r="HCW38" s="926"/>
      <c r="HCX38" s="926"/>
      <c r="HCY38" s="926"/>
      <c r="HCZ38" s="926"/>
      <c r="HDA38" s="926"/>
      <c r="HDB38" s="926"/>
      <c r="HDC38" s="926"/>
      <c r="HDD38" s="926"/>
      <c r="HDE38" s="926"/>
      <c r="HDF38" s="926"/>
      <c r="HDG38" s="926"/>
      <c r="HDH38" s="926"/>
      <c r="HDI38" s="926"/>
      <c r="HDJ38" s="926"/>
      <c r="HDK38" s="926"/>
      <c r="HDL38" s="926"/>
      <c r="HDM38" s="926"/>
      <c r="HDN38" s="926"/>
      <c r="HDO38" s="926"/>
      <c r="HDP38" s="926"/>
      <c r="HDQ38" s="926"/>
      <c r="HDR38" s="926"/>
      <c r="HDS38" s="926"/>
      <c r="HDT38" s="926"/>
      <c r="HDU38" s="926"/>
      <c r="HDV38" s="926"/>
      <c r="HDW38" s="926"/>
      <c r="HDX38" s="926"/>
      <c r="HDY38" s="926"/>
      <c r="HDZ38" s="926"/>
      <c r="HEA38" s="926"/>
      <c r="HEB38" s="926"/>
      <c r="HEC38" s="926"/>
      <c r="HED38" s="926"/>
      <c r="HEE38" s="926"/>
      <c r="HEF38" s="926"/>
      <c r="HEG38" s="926"/>
      <c r="HEH38" s="926"/>
      <c r="HEI38" s="926"/>
      <c r="HEJ38" s="926"/>
      <c r="HEK38" s="926"/>
      <c r="HEL38" s="926"/>
      <c r="HEM38" s="926"/>
      <c r="HEN38" s="926"/>
      <c r="HEO38" s="926"/>
      <c r="HEP38" s="926"/>
      <c r="HEQ38" s="926"/>
      <c r="HER38" s="926"/>
      <c r="HES38" s="926"/>
      <c r="HET38" s="926"/>
      <c r="HEU38" s="926"/>
      <c r="HEV38" s="926"/>
      <c r="HEW38" s="926"/>
      <c r="HEX38" s="926"/>
      <c r="HEY38" s="926"/>
      <c r="HEZ38" s="926"/>
      <c r="HFA38" s="926"/>
      <c r="HFB38" s="926"/>
      <c r="HFC38" s="926"/>
      <c r="HFD38" s="926"/>
      <c r="HFE38" s="926"/>
      <c r="HFF38" s="926"/>
      <c r="HFG38" s="926"/>
      <c r="HFH38" s="926"/>
      <c r="HFI38" s="926"/>
      <c r="HFJ38" s="926"/>
      <c r="HFK38" s="926"/>
      <c r="HFL38" s="926"/>
      <c r="HFM38" s="926"/>
      <c r="HFN38" s="926"/>
      <c r="HFO38" s="926"/>
      <c r="HFP38" s="926"/>
      <c r="HFQ38" s="926"/>
      <c r="HFR38" s="926"/>
      <c r="HFS38" s="926"/>
      <c r="HFT38" s="926"/>
      <c r="HFU38" s="926"/>
      <c r="HFV38" s="926"/>
      <c r="HFW38" s="926"/>
      <c r="HFX38" s="926"/>
      <c r="HFY38" s="926"/>
      <c r="HFZ38" s="926"/>
      <c r="HGA38" s="926"/>
      <c r="HGB38" s="926"/>
      <c r="HGC38" s="926"/>
      <c r="HGD38" s="926"/>
      <c r="HGE38" s="926"/>
      <c r="HGF38" s="926"/>
      <c r="HGG38" s="926"/>
      <c r="HGH38" s="926"/>
      <c r="HGI38" s="926"/>
      <c r="HGJ38" s="926"/>
      <c r="HGK38" s="926"/>
      <c r="HGL38" s="926"/>
      <c r="HGM38" s="926"/>
      <c r="HGN38" s="926"/>
      <c r="HGO38" s="926"/>
      <c r="HGP38" s="926"/>
      <c r="HGQ38" s="926"/>
      <c r="HGR38" s="926"/>
      <c r="HGS38" s="926"/>
      <c r="HGT38" s="926"/>
      <c r="HGU38" s="926"/>
      <c r="HGV38" s="926"/>
      <c r="HGW38" s="926"/>
      <c r="HGX38" s="926"/>
      <c r="HGY38" s="926"/>
      <c r="HGZ38" s="926"/>
      <c r="HHA38" s="926"/>
      <c r="HHB38" s="926"/>
      <c r="HHC38" s="926"/>
      <c r="HHD38" s="926"/>
      <c r="HHE38" s="926"/>
      <c r="HHF38" s="926"/>
      <c r="HHG38" s="926"/>
      <c r="HHH38" s="926"/>
      <c r="HHI38" s="926"/>
      <c r="HHJ38" s="926"/>
      <c r="HHK38" s="926"/>
      <c r="HHL38" s="926"/>
      <c r="HHM38" s="926"/>
      <c r="HHN38" s="926"/>
      <c r="HHO38" s="926"/>
      <c r="HHP38" s="926"/>
      <c r="HHQ38" s="926"/>
      <c r="HHR38" s="926"/>
      <c r="HHS38" s="926"/>
      <c r="HHT38" s="926"/>
      <c r="HHU38" s="926"/>
      <c r="HHV38" s="926"/>
      <c r="HHW38" s="926"/>
      <c r="HHX38" s="926"/>
      <c r="HHY38" s="926"/>
      <c r="HHZ38" s="926"/>
      <c r="HIA38" s="926"/>
      <c r="HIB38" s="926"/>
      <c r="HIC38" s="926"/>
      <c r="HID38" s="926"/>
      <c r="HIE38" s="926"/>
      <c r="HIF38" s="926"/>
      <c r="HIG38" s="926"/>
      <c r="HIH38" s="926"/>
      <c r="HII38" s="926"/>
      <c r="HIJ38" s="926"/>
      <c r="HIK38" s="926"/>
      <c r="HIL38" s="926"/>
      <c r="HIM38" s="926"/>
      <c r="HIN38" s="926"/>
      <c r="HIO38" s="926"/>
      <c r="HIP38" s="926"/>
      <c r="HIQ38" s="926"/>
      <c r="HIR38" s="926"/>
      <c r="HIS38" s="926"/>
      <c r="HIT38" s="926"/>
      <c r="HIU38" s="926"/>
      <c r="HIV38" s="926"/>
      <c r="HIW38" s="926"/>
      <c r="HIX38" s="926"/>
      <c r="HIY38" s="926"/>
      <c r="HIZ38" s="926"/>
      <c r="HJA38" s="926"/>
      <c r="HJB38" s="926"/>
      <c r="HJC38" s="926"/>
      <c r="HJD38" s="926"/>
      <c r="HJE38" s="926"/>
      <c r="HJF38" s="926"/>
      <c r="HJG38" s="926"/>
      <c r="HJH38" s="926"/>
      <c r="HJI38" s="926"/>
      <c r="HJJ38" s="926"/>
      <c r="HJK38" s="926"/>
      <c r="HJL38" s="926"/>
      <c r="HJM38" s="926"/>
      <c r="HJN38" s="926"/>
      <c r="HJO38" s="926"/>
      <c r="HJP38" s="926"/>
      <c r="HJQ38" s="926"/>
      <c r="HJR38" s="926"/>
      <c r="HJS38" s="926"/>
      <c r="HJT38" s="926"/>
      <c r="HJU38" s="926"/>
      <c r="HJV38" s="926"/>
      <c r="HJW38" s="926"/>
      <c r="HJX38" s="926"/>
      <c r="HJY38" s="926"/>
      <c r="HJZ38" s="926"/>
      <c r="HKA38" s="926"/>
      <c r="HKB38" s="926"/>
      <c r="HKC38" s="926"/>
      <c r="HKD38" s="926"/>
      <c r="HKE38" s="926"/>
      <c r="HKF38" s="926"/>
      <c r="HKG38" s="926"/>
      <c r="HKH38" s="926"/>
      <c r="HKI38" s="926"/>
      <c r="HKJ38" s="926"/>
      <c r="HKK38" s="926"/>
      <c r="HKL38" s="926"/>
      <c r="HKM38" s="926"/>
      <c r="HKN38" s="926"/>
      <c r="HKO38" s="926"/>
      <c r="HKP38" s="926"/>
      <c r="HKQ38" s="926"/>
      <c r="HKR38" s="926"/>
      <c r="HKS38" s="926"/>
      <c r="HKT38" s="926"/>
      <c r="HKU38" s="926"/>
      <c r="HKV38" s="926"/>
      <c r="HKW38" s="926"/>
      <c r="HKX38" s="926"/>
      <c r="HKY38" s="926"/>
      <c r="HKZ38" s="926"/>
      <c r="HLA38" s="926"/>
      <c r="HLB38" s="926"/>
      <c r="HLC38" s="926"/>
      <c r="HLD38" s="926"/>
      <c r="HLE38" s="926"/>
      <c r="HLF38" s="926"/>
      <c r="HLG38" s="926"/>
      <c r="HLH38" s="926"/>
      <c r="HLI38" s="926"/>
      <c r="HLJ38" s="926"/>
      <c r="HLK38" s="926"/>
      <c r="HLL38" s="926"/>
      <c r="HLM38" s="926"/>
      <c r="HLN38" s="926"/>
      <c r="HLO38" s="926"/>
      <c r="HLP38" s="926"/>
      <c r="HLQ38" s="926"/>
      <c r="HLR38" s="926"/>
      <c r="HLS38" s="926"/>
      <c r="HLT38" s="926"/>
      <c r="HLU38" s="926"/>
      <c r="HLV38" s="926"/>
      <c r="HLW38" s="926"/>
      <c r="HLX38" s="926"/>
      <c r="HLY38" s="926"/>
      <c r="HLZ38" s="926"/>
      <c r="HMA38" s="926"/>
      <c r="HMB38" s="926"/>
      <c r="HMC38" s="926"/>
      <c r="HMD38" s="926"/>
      <c r="HME38" s="926"/>
      <c r="HMF38" s="926"/>
      <c r="HMG38" s="926"/>
      <c r="HMH38" s="926"/>
      <c r="HMI38" s="926"/>
      <c r="HMJ38" s="926"/>
      <c r="HMK38" s="926"/>
      <c r="HML38" s="926"/>
      <c r="HMM38" s="926"/>
      <c r="HMN38" s="926"/>
      <c r="HMO38" s="926"/>
      <c r="HMP38" s="926"/>
      <c r="HMQ38" s="926"/>
      <c r="HMR38" s="926"/>
      <c r="HMS38" s="926"/>
      <c r="HMT38" s="926"/>
      <c r="HMU38" s="926"/>
      <c r="HMV38" s="926"/>
      <c r="HMW38" s="926"/>
      <c r="HMX38" s="926"/>
      <c r="HMY38" s="926"/>
      <c r="HMZ38" s="926"/>
      <c r="HNA38" s="926"/>
      <c r="HNB38" s="926"/>
      <c r="HNC38" s="926"/>
      <c r="HND38" s="926"/>
      <c r="HNE38" s="926"/>
      <c r="HNF38" s="926"/>
      <c r="HNG38" s="926"/>
      <c r="HNH38" s="926"/>
      <c r="HNI38" s="926"/>
      <c r="HNJ38" s="926"/>
      <c r="HNK38" s="926"/>
      <c r="HNL38" s="926"/>
      <c r="HNM38" s="926"/>
      <c r="HNN38" s="926"/>
      <c r="HNO38" s="926"/>
      <c r="HNP38" s="926"/>
      <c r="HNQ38" s="926"/>
      <c r="HNR38" s="926"/>
      <c r="HNS38" s="926"/>
      <c r="HNT38" s="926"/>
      <c r="HNU38" s="926"/>
      <c r="HNV38" s="926"/>
      <c r="HNW38" s="926"/>
      <c r="HNX38" s="926"/>
      <c r="HNY38" s="926"/>
      <c r="HNZ38" s="926"/>
      <c r="HOA38" s="926"/>
      <c r="HOB38" s="926"/>
      <c r="HOC38" s="926"/>
      <c r="HOD38" s="926"/>
      <c r="HOE38" s="926"/>
      <c r="HOF38" s="926"/>
      <c r="HOG38" s="926"/>
      <c r="HOH38" s="926"/>
      <c r="HOI38" s="926"/>
      <c r="HOJ38" s="926"/>
      <c r="HOK38" s="926"/>
      <c r="HOL38" s="926"/>
      <c r="HOM38" s="926"/>
      <c r="HON38" s="926"/>
      <c r="HOO38" s="926"/>
      <c r="HOP38" s="926"/>
      <c r="HOQ38" s="926"/>
      <c r="HOR38" s="926"/>
      <c r="HOS38" s="926"/>
      <c r="HOT38" s="926"/>
      <c r="HOU38" s="926"/>
      <c r="HOV38" s="926"/>
      <c r="HOW38" s="926"/>
      <c r="HOX38" s="926"/>
      <c r="HOY38" s="926"/>
      <c r="HOZ38" s="926"/>
      <c r="HPA38" s="926"/>
      <c r="HPB38" s="926"/>
      <c r="HPC38" s="926"/>
      <c r="HPD38" s="926"/>
      <c r="HPE38" s="926"/>
      <c r="HPF38" s="926"/>
      <c r="HPG38" s="926"/>
      <c r="HPH38" s="926"/>
      <c r="HPI38" s="926"/>
      <c r="HPJ38" s="926"/>
      <c r="HPK38" s="926"/>
      <c r="HPL38" s="926"/>
      <c r="HPM38" s="926"/>
      <c r="HPN38" s="926"/>
      <c r="HPO38" s="926"/>
      <c r="HPP38" s="926"/>
      <c r="HPQ38" s="926"/>
      <c r="HPR38" s="926"/>
      <c r="HPS38" s="926"/>
      <c r="HPT38" s="926"/>
      <c r="HPU38" s="926"/>
      <c r="HPV38" s="926"/>
      <c r="HPW38" s="926"/>
      <c r="HPX38" s="926"/>
      <c r="HPY38" s="926"/>
      <c r="HPZ38" s="926"/>
      <c r="HQA38" s="926"/>
      <c r="HQB38" s="926"/>
      <c r="HQC38" s="926"/>
      <c r="HQD38" s="926"/>
      <c r="HQE38" s="926"/>
      <c r="HQF38" s="926"/>
      <c r="HQG38" s="926"/>
      <c r="HQH38" s="926"/>
      <c r="HQI38" s="926"/>
      <c r="HQJ38" s="926"/>
      <c r="HQK38" s="926"/>
      <c r="HQL38" s="926"/>
      <c r="HQM38" s="926"/>
      <c r="HQN38" s="926"/>
      <c r="HQO38" s="926"/>
      <c r="HQP38" s="926"/>
      <c r="HQQ38" s="926"/>
      <c r="HQR38" s="926"/>
      <c r="HQS38" s="926"/>
      <c r="HQT38" s="926"/>
      <c r="HQU38" s="926"/>
      <c r="HQV38" s="926"/>
      <c r="HQW38" s="926"/>
      <c r="HQX38" s="926"/>
      <c r="HQY38" s="926"/>
      <c r="HQZ38" s="926"/>
      <c r="HRA38" s="926"/>
      <c r="HRB38" s="926"/>
      <c r="HRC38" s="926"/>
      <c r="HRD38" s="926"/>
      <c r="HRE38" s="926"/>
      <c r="HRF38" s="926"/>
      <c r="HRG38" s="926"/>
      <c r="HRH38" s="926"/>
      <c r="HRI38" s="926"/>
      <c r="HRJ38" s="926"/>
      <c r="HRK38" s="926"/>
      <c r="HRL38" s="926"/>
      <c r="HRM38" s="926"/>
      <c r="HRN38" s="926"/>
      <c r="HRO38" s="926"/>
      <c r="HRP38" s="926"/>
      <c r="HRQ38" s="926"/>
      <c r="HRR38" s="926"/>
      <c r="HRS38" s="926"/>
      <c r="HRT38" s="926"/>
      <c r="HRU38" s="926"/>
      <c r="HRV38" s="926"/>
      <c r="HRW38" s="926"/>
      <c r="HRX38" s="926"/>
      <c r="HRY38" s="926"/>
      <c r="HRZ38" s="926"/>
      <c r="HSA38" s="926"/>
      <c r="HSB38" s="926"/>
      <c r="HSC38" s="926"/>
      <c r="HSD38" s="926"/>
      <c r="HSE38" s="926"/>
      <c r="HSF38" s="926"/>
      <c r="HSG38" s="926"/>
      <c r="HSH38" s="926"/>
      <c r="HSI38" s="926"/>
      <c r="HSJ38" s="926"/>
      <c r="HSK38" s="926"/>
      <c r="HSL38" s="926"/>
      <c r="HSM38" s="926"/>
      <c r="HSN38" s="926"/>
      <c r="HSO38" s="926"/>
      <c r="HSP38" s="926"/>
      <c r="HSQ38" s="926"/>
      <c r="HSR38" s="926"/>
      <c r="HSS38" s="926"/>
      <c r="HST38" s="926"/>
      <c r="HSU38" s="926"/>
      <c r="HSV38" s="926"/>
      <c r="HSW38" s="926"/>
      <c r="HSX38" s="926"/>
      <c r="HSY38" s="926"/>
      <c r="HSZ38" s="926"/>
      <c r="HTA38" s="926"/>
      <c r="HTB38" s="926"/>
      <c r="HTC38" s="926"/>
      <c r="HTD38" s="926"/>
      <c r="HTE38" s="926"/>
      <c r="HTF38" s="926"/>
      <c r="HTG38" s="926"/>
      <c r="HTH38" s="926"/>
      <c r="HTI38" s="926"/>
      <c r="HTJ38" s="926"/>
      <c r="HTK38" s="926"/>
      <c r="HTL38" s="926"/>
      <c r="HTM38" s="926"/>
      <c r="HTN38" s="926"/>
      <c r="HTO38" s="926"/>
      <c r="HTP38" s="926"/>
      <c r="HTQ38" s="926"/>
      <c r="HTR38" s="926"/>
      <c r="HTS38" s="926"/>
      <c r="HTT38" s="926"/>
      <c r="HTU38" s="926"/>
      <c r="HTV38" s="926"/>
      <c r="HTW38" s="926"/>
      <c r="HTX38" s="926"/>
      <c r="HTY38" s="926"/>
      <c r="HTZ38" s="926"/>
      <c r="HUA38" s="926"/>
      <c r="HUB38" s="926"/>
      <c r="HUC38" s="926"/>
      <c r="HUD38" s="926"/>
      <c r="HUE38" s="926"/>
      <c r="HUF38" s="926"/>
      <c r="HUG38" s="926"/>
      <c r="HUH38" s="926"/>
      <c r="HUI38" s="926"/>
      <c r="HUJ38" s="926"/>
      <c r="HUK38" s="926"/>
      <c r="HUL38" s="926"/>
      <c r="HUM38" s="926"/>
      <c r="HUN38" s="926"/>
      <c r="HUO38" s="926"/>
      <c r="HUP38" s="926"/>
      <c r="HUQ38" s="926"/>
      <c r="HUR38" s="926"/>
      <c r="HUS38" s="926"/>
      <c r="HUT38" s="926"/>
      <c r="HUU38" s="926"/>
      <c r="HUV38" s="926"/>
      <c r="HUW38" s="926"/>
      <c r="HUX38" s="926"/>
      <c r="HUY38" s="926"/>
      <c r="HUZ38" s="926"/>
      <c r="HVA38" s="926"/>
      <c r="HVB38" s="926"/>
      <c r="HVC38" s="926"/>
      <c r="HVD38" s="926"/>
      <c r="HVE38" s="926"/>
      <c r="HVF38" s="926"/>
      <c r="HVG38" s="926"/>
      <c r="HVH38" s="926"/>
      <c r="HVI38" s="926"/>
      <c r="HVJ38" s="926"/>
      <c r="HVK38" s="926"/>
      <c r="HVL38" s="926"/>
      <c r="HVM38" s="926"/>
      <c r="HVN38" s="926"/>
      <c r="HVO38" s="926"/>
      <c r="HVP38" s="926"/>
      <c r="HVQ38" s="926"/>
      <c r="HVR38" s="926"/>
      <c r="HVS38" s="926"/>
      <c r="HVT38" s="926"/>
      <c r="HVU38" s="926"/>
      <c r="HVV38" s="926"/>
      <c r="HVW38" s="926"/>
      <c r="HVX38" s="926"/>
      <c r="HVY38" s="926"/>
      <c r="HVZ38" s="926"/>
      <c r="HWA38" s="926"/>
      <c r="HWB38" s="926"/>
      <c r="HWC38" s="926"/>
      <c r="HWD38" s="926"/>
      <c r="HWE38" s="926"/>
      <c r="HWF38" s="926"/>
      <c r="HWG38" s="926"/>
      <c r="HWH38" s="926"/>
      <c r="HWI38" s="926"/>
      <c r="HWJ38" s="926"/>
      <c r="HWK38" s="926"/>
      <c r="HWL38" s="926"/>
      <c r="HWM38" s="926"/>
      <c r="HWN38" s="926"/>
      <c r="HWO38" s="926"/>
      <c r="HWP38" s="926"/>
      <c r="HWQ38" s="926"/>
      <c r="HWR38" s="926"/>
      <c r="HWS38" s="926"/>
      <c r="HWT38" s="926"/>
      <c r="HWU38" s="926"/>
      <c r="HWV38" s="926"/>
      <c r="HWW38" s="926"/>
      <c r="HWX38" s="926"/>
      <c r="HWY38" s="926"/>
      <c r="HWZ38" s="926"/>
      <c r="HXA38" s="926"/>
      <c r="HXB38" s="926"/>
      <c r="HXC38" s="926"/>
      <c r="HXD38" s="926"/>
      <c r="HXE38" s="926"/>
      <c r="HXF38" s="926"/>
      <c r="HXG38" s="926"/>
      <c r="HXH38" s="926"/>
      <c r="HXI38" s="926"/>
      <c r="HXJ38" s="926"/>
      <c r="HXK38" s="926"/>
      <c r="HXL38" s="926"/>
      <c r="HXM38" s="926"/>
      <c r="HXN38" s="926"/>
      <c r="HXO38" s="926"/>
      <c r="HXP38" s="926"/>
      <c r="HXQ38" s="926"/>
      <c r="HXR38" s="926"/>
      <c r="HXS38" s="926"/>
      <c r="HXT38" s="926"/>
      <c r="HXU38" s="926"/>
      <c r="HXV38" s="926"/>
      <c r="HXW38" s="926"/>
      <c r="HXX38" s="926"/>
      <c r="HXY38" s="926"/>
      <c r="HXZ38" s="926"/>
      <c r="HYA38" s="926"/>
      <c r="HYB38" s="926"/>
      <c r="HYC38" s="926"/>
      <c r="HYD38" s="926"/>
      <c r="HYE38" s="926"/>
      <c r="HYF38" s="926"/>
      <c r="HYG38" s="926"/>
      <c r="HYH38" s="926"/>
      <c r="HYI38" s="926"/>
      <c r="HYJ38" s="926"/>
      <c r="HYK38" s="926"/>
      <c r="HYL38" s="926"/>
      <c r="HYM38" s="926"/>
      <c r="HYN38" s="926"/>
      <c r="HYO38" s="926"/>
      <c r="HYP38" s="926"/>
      <c r="HYQ38" s="926"/>
      <c r="HYR38" s="926"/>
      <c r="HYS38" s="926"/>
      <c r="HYT38" s="926"/>
      <c r="HYU38" s="926"/>
      <c r="HYV38" s="926"/>
      <c r="HYW38" s="926"/>
      <c r="HYX38" s="926"/>
      <c r="HYY38" s="926"/>
      <c r="HYZ38" s="926"/>
      <c r="HZA38" s="926"/>
      <c r="HZB38" s="926"/>
      <c r="HZC38" s="926"/>
      <c r="HZD38" s="926"/>
      <c r="HZE38" s="926"/>
      <c r="HZF38" s="926"/>
      <c r="HZG38" s="926"/>
      <c r="HZH38" s="926"/>
      <c r="HZI38" s="926"/>
      <c r="HZJ38" s="926"/>
      <c r="HZK38" s="926"/>
      <c r="HZL38" s="926"/>
      <c r="HZM38" s="926"/>
      <c r="HZN38" s="926"/>
      <c r="HZO38" s="926"/>
      <c r="HZP38" s="926"/>
      <c r="HZQ38" s="926"/>
      <c r="HZR38" s="926"/>
      <c r="HZS38" s="926"/>
      <c r="HZT38" s="926"/>
      <c r="HZU38" s="926"/>
      <c r="HZV38" s="926"/>
      <c r="HZW38" s="926"/>
      <c r="HZX38" s="926"/>
      <c r="HZY38" s="926"/>
      <c r="HZZ38" s="926"/>
      <c r="IAA38" s="926"/>
      <c r="IAB38" s="926"/>
      <c r="IAC38" s="926"/>
      <c r="IAD38" s="926"/>
      <c r="IAE38" s="926"/>
      <c r="IAF38" s="926"/>
      <c r="IAG38" s="926"/>
      <c r="IAH38" s="926"/>
      <c r="IAI38" s="926"/>
      <c r="IAJ38" s="926"/>
      <c r="IAK38" s="926"/>
      <c r="IAL38" s="926"/>
      <c r="IAM38" s="926"/>
      <c r="IAN38" s="926"/>
      <c r="IAO38" s="926"/>
      <c r="IAP38" s="926"/>
      <c r="IAQ38" s="926"/>
      <c r="IAR38" s="926"/>
      <c r="IAS38" s="926"/>
      <c r="IAT38" s="926"/>
      <c r="IAU38" s="926"/>
      <c r="IAV38" s="926"/>
      <c r="IAW38" s="926"/>
      <c r="IAX38" s="926"/>
      <c r="IAY38" s="926"/>
      <c r="IAZ38" s="926"/>
      <c r="IBA38" s="926"/>
      <c r="IBB38" s="926"/>
      <c r="IBC38" s="926"/>
      <c r="IBD38" s="926"/>
      <c r="IBE38" s="926"/>
      <c r="IBF38" s="926"/>
      <c r="IBG38" s="926"/>
      <c r="IBH38" s="926"/>
      <c r="IBI38" s="926"/>
      <c r="IBJ38" s="926"/>
      <c r="IBK38" s="926"/>
      <c r="IBL38" s="926"/>
      <c r="IBM38" s="926"/>
      <c r="IBN38" s="926"/>
      <c r="IBO38" s="926"/>
      <c r="IBP38" s="926"/>
      <c r="IBQ38" s="926"/>
      <c r="IBR38" s="926"/>
      <c r="IBS38" s="926"/>
      <c r="IBT38" s="926"/>
      <c r="IBU38" s="926"/>
      <c r="IBV38" s="926"/>
      <c r="IBW38" s="926"/>
      <c r="IBX38" s="926"/>
      <c r="IBY38" s="926"/>
      <c r="IBZ38" s="926"/>
      <c r="ICA38" s="926"/>
      <c r="ICB38" s="926"/>
      <c r="ICC38" s="926"/>
      <c r="ICD38" s="926"/>
      <c r="ICE38" s="926"/>
      <c r="ICF38" s="926"/>
      <c r="ICG38" s="926"/>
      <c r="ICH38" s="926"/>
      <c r="ICI38" s="926"/>
      <c r="ICJ38" s="926"/>
      <c r="ICK38" s="926"/>
      <c r="ICL38" s="926"/>
      <c r="ICM38" s="926"/>
      <c r="ICN38" s="926"/>
      <c r="ICO38" s="926"/>
      <c r="ICP38" s="926"/>
      <c r="ICQ38" s="926"/>
      <c r="ICR38" s="926"/>
      <c r="ICS38" s="926"/>
      <c r="ICT38" s="926"/>
      <c r="ICU38" s="926"/>
      <c r="ICV38" s="926"/>
      <c r="ICW38" s="926"/>
      <c r="ICX38" s="926"/>
      <c r="ICY38" s="926"/>
      <c r="ICZ38" s="926"/>
      <c r="IDA38" s="926"/>
      <c r="IDB38" s="926"/>
      <c r="IDC38" s="926"/>
      <c r="IDD38" s="926"/>
      <c r="IDE38" s="926"/>
      <c r="IDF38" s="926"/>
      <c r="IDG38" s="926"/>
      <c r="IDH38" s="926"/>
      <c r="IDI38" s="926"/>
      <c r="IDJ38" s="926"/>
      <c r="IDK38" s="926"/>
      <c r="IDL38" s="926"/>
      <c r="IDM38" s="926"/>
      <c r="IDN38" s="926"/>
      <c r="IDO38" s="926"/>
      <c r="IDP38" s="926"/>
      <c r="IDQ38" s="926"/>
      <c r="IDR38" s="926"/>
      <c r="IDS38" s="926"/>
      <c r="IDT38" s="926"/>
      <c r="IDU38" s="926"/>
      <c r="IDV38" s="926"/>
      <c r="IDW38" s="926"/>
      <c r="IDX38" s="926"/>
      <c r="IDY38" s="926"/>
      <c r="IDZ38" s="926"/>
      <c r="IEA38" s="926"/>
      <c r="IEB38" s="926"/>
      <c r="IEC38" s="926"/>
      <c r="IED38" s="926"/>
      <c r="IEE38" s="926"/>
      <c r="IEF38" s="926"/>
      <c r="IEG38" s="926"/>
      <c r="IEH38" s="926"/>
      <c r="IEI38" s="926"/>
      <c r="IEJ38" s="926"/>
      <c r="IEK38" s="926"/>
      <c r="IEL38" s="926"/>
      <c r="IEM38" s="926"/>
      <c r="IEN38" s="926"/>
      <c r="IEO38" s="926"/>
      <c r="IEP38" s="926"/>
      <c r="IEQ38" s="926"/>
      <c r="IER38" s="926"/>
      <c r="IES38" s="926"/>
      <c r="IET38" s="926"/>
      <c r="IEU38" s="926"/>
      <c r="IEV38" s="926"/>
      <c r="IEW38" s="926"/>
      <c r="IEX38" s="926"/>
      <c r="IEY38" s="926"/>
      <c r="IEZ38" s="926"/>
      <c r="IFA38" s="926"/>
      <c r="IFB38" s="926"/>
      <c r="IFC38" s="926"/>
      <c r="IFD38" s="926"/>
      <c r="IFE38" s="926"/>
      <c r="IFF38" s="926"/>
      <c r="IFG38" s="926"/>
      <c r="IFH38" s="926"/>
      <c r="IFI38" s="926"/>
      <c r="IFJ38" s="926"/>
      <c r="IFK38" s="926"/>
      <c r="IFL38" s="926"/>
      <c r="IFM38" s="926"/>
      <c r="IFN38" s="926"/>
      <c r="IFO38" s="926"/>
      <c r="IFP38" s="926"/>
      <c r="IFQ38" s="926"/>
      <c r="IFR38" s="926"/>
      <c r="IFS38" s="926"/>
      <c r="IFT38" s="926"/>
      <c r="IFU38" s="926"/>
      <c r="IFV38" s="926"/>
      <c r="IFW38" s="926"/>
      <c r="IFX38" s="926"/>
      <c r="IFY38" s="926"/>
      <c r="IFZ38" s="926"/>
      <c r="IGA38" s="926"/>
      <c r="IGB38" s="926"/>
      <c r="IGC38" s="926"/>
      <c r="IGD38" s="926"/>
      <c r="IGE38" s="926"/>
      <c r="IGF38" s="926"/>
      <c r="IGG38" s="926"/>
      <c r="IGH38" s="926"/>
      <c r="IGI38" s="926"/>
      <c r="IGJ38" s="926"/>
      <c r="IGK38" s="926"/>
      <c r="IGL38" s="926"/>
      <c r="IGM38" s="926"/>
      <c r="IGN38" s="926"/>
      <c r="IGO38" s="926"/>
      <c r="IGP38" s="926"/>
      <c r="IGQ38" s="926"/>
      <c r="IGR38" s="926"/>
      <c r="IGS38" s="926"/>
      <c r="IGT38" s="926"/>
      <c r="IGU38" s="926"/>
      <c r="IGV38" s="926"/>
      <c r="IGW38" s="926"/>
      <c r="IGX38" s="926"/>
      <c r="IGY38" s="926"/>
      <c r="IGZ38" s="926"/>
      <c r="IHA38" s="926"/>
      <c r="IHB38" s="926"/>
      <c r="IHC38" s="926"/>
      <c r="IHD38" s="926"/>
      <c r="IHE38" s="926"/>
      <c r="IHF38" s="926"/>
      <c r="IHG38" s="926"/>
      <c r="IHH38" s="926"/>
      <c r="IHI38" s="926"/>
      <c r="IHJ38" s="926"/>
      <c r="IHK38" s="926"/>
      <c r="IHL38" s="926"/>
      <c r="IHM38" s="926"/>
      <c r="IHN38" s="926"/>
      <c r="IHO38" s="926"/>
      <c r="IHP38" s="926"/>
      <c r="IHQ38" s="926"/>
      <c r="IHR38" s="926"/>
      <c r="IHS38" s="926"/>
      <c r="IHT38" s="926"/>
      <c r="IHU38" s="926"/>
      <c r="IHV38" s="926"/>
      <c r="IHW38" s="926"/>
      <c r="IHX38" s="926"/>
      <c r="IHY38" s="926"/>
      <c r="IHZ38" s="926"/>
      <c r="IIA38" s="926"/>
      <c r="IIB38" s="926"/>
      <c r="IIC38" s="926"/>
      <c r="IID38" s="926"/>
      <c r="IIE38" s="926"/>
      <c r="IIF38" s="926"/>
      <c r="IIG38" s="926"/>
      <c r="IIH38" s="926"/>
      <c r="III38" s="926"/>
      <c r="IIJ38" s="926"/>
      <c r="IIK38" s="926"/>
      <c r="IIL38" s="926"/>
      <c r="IIM38" s="926"/>
      <c r="IIN38" s="926"/>
      <c r="IIO38" s="926"/>
      <c r="IIP38" s="926"/>
      <c r="IIQ38" s="926"/>
      <c r="IIR38" s="926"/>
      <c r="IIS38" s="926"/>
      <c r="IIT38" s="926"/>
      <c r="IIU38" s="926"/>
      <c r="IIV38" s="926"/>
      <c r="IIW38" s="926"/>
      <c r="IIX38" s="926"/>
      <c r="IIY38" s="926"/>
      <c r="IIZ38" s="926"/>
      <c r="IJA38" s="926"/>
      <c r="IJB38" s="926"/>
      <c r="IJC38" s="926"/>
      <c r="IJD38" s="926"/>
      <c r="IJE38" s="926"/>
      <c r="IJF38" s="926"/>
      <c r="IJG38" s="926"/>
      <c r="IJH38" s="926"/>
      <c r="IJI38" s="926"/>
      <c r="IJJ38" s="926"/>
      <c r="IJK38" s="926"/>
      <c r="IJL38" s="926"/>
      <c r="IJM38" s="926"/>
      <c r="IJN38" s="926"/>
      <c r="IJO38" s="926"/>
      <c r="IJP38" s="926"/>
      <c r="IJQ38" s="926"/>
      <c r="IJR38" s="926"/>
      <c r="IJS38" s="926"/>
      <c r="IJT38" s="926"/>
      <c r="IJU38" s="926"/>
      <c r="IJV38" s="926"/>
      <c r="IJW38" s="926"/>
      <c r="IJX38" s="926"/>
      <c r="IJY38" s="926"/>
      <c r="IJZ38" s="926"/>
      <c r="IKA38" s="926"/>
      <c r="IKB38" s="926"/>
      <c r="IKC38" s="926"/>
      <c r="IKD38" s="926"/>
      <c r="IKE38" s="926"/>
      <c r="IKF38" s="926"/>
      <c r="IKG38" s="926"/>
      <c r="IKH38" s="926"/>
      <c r="IKI38" s="926"/>
      <c r="IKJ38" s="926"/>
      <c r="IKK38" s="926"/>
      <c r="IKL38" s="926"/>
      <c r="IKM38" s="926"/>
      <c r="IKN38" s="926"/>
      <c r="IKO38" s="926"/>
      <c r="IKP38" s="926"/>
      <c r="IKQ38" s="926"/>
      <c r="IKR38" s="926"/>
      <c r="IKS38" s="926"/>
      <c r="IKT38" s="926"/>
      <c r="IKU38" s="926"/>
      <c r="IKV38" s="926"/>
      <c r="IKW38" s="926"/>
      <c r="IKX38" s="926"/>
      <c r="IKY38" s="926"/>
      <c r="IKZ38" s="926"/>
      <c r="ILA38" s="926"/>
      <c r="ILB38" s="926"/>
      <c r="ILC38" s="926"/>
      <c r="ILD38" s="926"/>
      <c r="ILE38" s="926"/>
      <c r="ILF38" s="926"/>
      <c r="ILG38" s="926"/>
      <c r="ILH38" s="926"/>
      <c r="ILI38" s="926"/>
      <c r="ILJ38" s="926"/>
      <c r="ILK38" s="926"/>
      <c r="ILL38" s="926"/>
      <c r="ILM38" s="926"/>
      <c r="ILN38" s="926"/>
      <c r="ILO38" s="926"/>
      <c r="ILP38" s="926"/>
      <c r="ILQ38" s="926"/>
      <c r="ILR38" s="926"/>
      <c r="ILS38" s="926"/>
      <c r="ILT38" s="926"/>
      <c r="ILU38" s="926"/>
      <c r="ILV38" s="926"/>
      <c r="ILW38" s="926"/>
      <c r="ILX38" s="926"/>
      <c r="ILY38" s="926"/>
      <c r="ILZ38" s="926"/>
      <c r="IMA38" s="926"/>
      <c r="IMB38" s="926"/>
      <c r="IMC38" s="926"/>
      <c r="IMD38" s="926"/>
      <c r="IME38" s="926"/>
      <c r="IMF38" s="926"/>
      <c r="IMG38" s="926"/>
      <c r="IMH38" s="926"/>
      <c r="IMI38" s="926"/>
      <c r="IMJ38" s="926"/>
      <c r="IMK38" s="926"/>
      <c r="IML38" s="926"/>
      <c r="IMM38" s="926"/>
      <c r="IMN38" s="926"/>
      <c r="IMO38" s="926"/>
      <c r="IMP38" s="926"/>
      <c r="IMQ38" s="926"/>
      <c r="IMR38" s="926"/>
      <c r="IMS38" s="926"/>
      <c r="IMT38" s="926"/>
      <c r="IMU38" s="926"/>
      <c r="IMV38" s="926"/>
      <c r="IMW38" s="926"/>
      <c r="IMX38" s="926"/>
      <c r="IMY38" s="926"/>
      <c r="IMZ38" s="926"/>
      <c r="INA38" s="926"/>
      <c r="INB38" s="926"/>
      <c r="INC38" s="926"/>
      <c r="IND38" s="926"/>
      <c r="INE38" s="926"/>
      <c r="INF38" s="926"/>
      <c r="ING38" s="926"/>
      <c r="INH38" s="926"/>
      <c r="INI38" s="926"/>
      <c r="INJ38" s="926"/>
      <c r="INK38" s="926"/>
      <c r="INL38" s="926"/>
      <c r="INM38" s="926"/>
      <c r="INN38" s="926"/>
      <c r="INO38" s="926"/>
      <c r="INP38" s="926"/>
      <c r="INQ38" s="926"/>
      <c r="INR38" s="926"/>
      <c r="INS38" s="926"/>
      <c r="INT38" s="926"/>
      <c r="INU38" s="926"/>
      <c r="INV38" s="926"/>
      <c r="INW38" s="926"/>
      <c r="INX38" s="926"/>
      <c r="INY38" s="926"/>
      <c r="INZ38" s="926"/>
      <c r="IOA38" s="926"/>
      <c r="IOB38" s="926"/>
      <c r="IOC38" s="926"/>
      <c r="IOD38" s="926"/>
      <c r="IOE38" s="926"/>
      <c r="IOF38" s="926"/>
      <c r="IOG38" s="926"/>
      <c r="IOH38" s="926"/>
      <c r="IOI38" s="926"/>
      <c r="IOJ38" s="926"/>
      <c r="IOK38" s="926"/>
      <c r="IOL38" s="926"/>
      <c r="IOM38" s="926"/>
      <c r="ION38" s="926"/>
      <c r="IOO38" s="926"/>
      <c r="IOP38" s="926"/>
      <c r="IOQ38" s="926"/>
      <c r="IOR38" s="926"/>
      <c r="IOS38" s="926"/>
      <c r="IOT38" s="926"/>
      <c r="IOU38" s="926"/>
      <c r="IOV38" s="926"/>
      <c r="IOW38" s="926"/>
      <c r="IOX38" s="926"/>
      <c r="IOY38" s="926"/>
      <c r="IOZ38" s="926"/>
      <c r="IPA38" s="926"/>
      <c r="IPB38" s="926"/>
      <c r="IPC38" s="926"/>
      <c r="IPD38" s="926"/>
      <c r="IPE38" s="926"/>
      <c r="IPF38" s="926"/>
      <c r="IPG38" s="926"/>
      <c r="IPH38" s="926"/>
      <c r="IPI38" s="926"/>
      <c r="IPJ38" s="926"/>
      <c r="IPK38" s="926"/>
      <c r="IPL38" s="926"/>
      <c r="IPM38" s="926"/>
      <c r="IPN38" s="926"/>
      <c r="IPO38" s="926"/>
      <c r="IPP38" s="926"/>
      <c r="IPQ38" s="926"/>
      <c r="IPR38" s="926"/>
      <c r="IPS38" s="926"/>
      <c r="IPT38" s="926"/>
      <c r="IPU38" s="926"/>
      <c r="IPV38" s="926"/>
      <c r="IPW38" s="926"/>
      <c r="IPX38" s="926"/>
      <c r="IPY38" s="926"/>
      <c r="IPZ38" s="926"/>
      <c r="IQA38" s="926"/>
      <c r="IQB38" s="926"/>
      <c r="IQC38" s="926"/>
      <c r="IQD38" s="926"/>
      <c r="IQE38" s="926"/>
      <c r="IQF38" s="926"/>
      <c r="IQG38" s="926"/>
      <c r="IQH38" s="926"/>
      <c r="IQI38" s="926"/>
      <c r="IQJ38" s="926"/>
      <c r="IQK38" s="926"/>
      <c r="IQL38" s="926"/>
      <c r="IQM38" s="926"/>
      <c r="IQN38" s="926"/>
      <c r="IQO38" s="926"/>
      <c r="IQP38" s="926"/>
      <c r="IQQ38" s="926"/>
      <c r="IQR38" s="926"/>
      <c r="IQS38" s="926"/>
      <c r="IQT38" s="926"/>
      <c r="IQU38" s="926"/>
      <c r="IQV38" s="926"/>
      <c r="IQW38" s="926"/>
      <c r="IQX38" s="926"/>
      <c r="IQY38" s="926"/>
      <c r="IQZ38" s="926"/>
      <c r="IRA38" s="926"/>
      <c r="IRB38" s="926"/>
      <c r="IRC38" s="926"/>
      <c r="IRD38" s="926"/>
      <c r="IRE38" s="926"/>
      <c r="IRF38" s="926"/>
      <c r="IRG38" s="926"/>
      <c r="IRH38" s="926"/>
      <c r="IRI38" s="926"/>
      <c r="IRJ38" s="926"/>
      <c r="IRK38" s="926"/>
      <c r="IRL38" s="926"/>
      <c r="IRM38" s="926"/>
      <c r="IRN38" s="926"/>
      <c r="IRO38" s="926"/>
      <c r="IRP38" s="926"/>
      <c r="IRQ38" s="926"/>
      <c r="IRR38" s="926"/>
      <c r="IRS38" s="926"/>
      <c r="IRT38" s="926"/>
      <c r="IRU38" s="926"/>
      <c r="IRV38" s="926"/>
      <c r="IRW38" s="926"/>
      <c r="IRX38" s="926"/>
      <c r="IRY38" s="926"/>
      <c r="IRZ38" s="926"/>
      <c r="ISA38" s="926"/>
      <c r="ISB38" s="926"/>
      <c r="ISC38" s="926"/>
      <c r="ISD38" s="926"/>
      <c r="ISE38" s="926"/>
      <c r="ISF38" s="926"/>
      <c r="ISG38" s="926"/>
      <c r="ISH38" s="926"/>
      <c r="ISI38" s="926"/>
      <c r="ISJ38" s="926"/>
      <c r="ISK38" s="926"/>
      <c r="ISL38" s="926"/>
      <c r="ISM38" s="926"/>
      <c r="ISN38" s="926"/>
      <c r="ISO38" s="926"/>
      <c r="ISP38" s="926"/>
      <c r="ISQ38" s="926"/>
      <c r="ISR38" s="926"/>
      <c r="ISS38" s="926"/>
      <c r="IST38" s="926"/>
      <c r="ISU38" s="926"/>
      <c r="ISV38" s="926"/>
      <c r="ISW38" s="926"/>
      <c r="ISX38" s="926"/>
      <c r="ISY38" s="926"/>
      <c r="ISZ38" s="926"/>
      <c r="ITA38" s="926"/>
      <c r="ITB38" s="926"/>
      <c r="ITC38" s="926"/>
      <c r="ITD38" s="926"/>
      <c r="ITE38" s="926"/>
      <c r="ITF38" s="926"/>
      <c r="ITG38" s="926"/>
      <c r="ITH38" s="926"/>
      <c r="ITI38" s="926"/>
      <c r="ITJ38" s="926"/>
      <c r="ITK38" s="926"/>
      <c r="ITL38" s="926"/>
      <c r="ITM38" s="926"/>
      <c r="ITN38" s="926"/>
      <c r="ITO38" s="926"/>
      <c r="ITP38" s="926"/>
      <c r="ITQ38" s="926"/>
      <c r="ITR38" s="926"/>
      <c r="ITS38" s="926"/>
      <c r="ITT38" s="926"/>
      <c r="ITU38" s="926"/>
      <c r="ITV38" s="926"/>
      <c r="ITW38" s="926"/>
      <c r="ITX38" s="926"/>
      <c r="ITY38" s="926"/>
      <c r="ITZ38" s="926"/>
      <c r="IUA38" s="926"/>
      <c r="IUB38" s="926"/>
      <c r="IUC38" s="926"/>
      <c r="IUD38" s="926"/>
      <c r="IUE38" s="926"/>
      <c r="IUF38" s="926"/>
      <c r="IUG38" s="926"/>
      <c r="IUH38" s="926"/>
      <c r="IUI38" s="926"/>
      <c r="IUJ38" s="926"/>
      <c r="IUK38" s="926"/>
      <c r="IUL38" s="926"/>
      <c r="IUM38" s="926"/>
      <c r="IUN38" s="926"/>
      <c r="IUO38" s="926"/>
      <c r="IUP38" s="926"/>
      <c r="IUQ38" s="926"/>
      <c r="IUR38" s="926"/>
      <c r="IUS38" s="926"/>
      <c r="IUT38" s="926"/>
      <c r="IUU38" s="926"/>
      <c r="IUV38" s="926"/>
      <c r="IUW38" s="926"/>
      <c r="IUX38" s="926"/>
      <c r="IUY38" s="926"/>
      <c r="IUZ38" s="926"/>
      <c r="IVA38" s="926"/>
      <c r="IVB38" s="926"/>
      <c r="IVC38" s="926"/>
      <c r="IVD38" s="926"/>
      <c r="IVE38" s="926"/>
      <c r="IVF38" s="926"/>
      <c r="IVG38" s="926"/>
      <c r="IVH38" s="926"/>
      <c r="IVI38" s="926"/>
      <c r="IVJ38" s="926"/>
      <c r="IVK38" s="926"/>
      <c r="IVL38" s="926"/>
      <c r="IVM38" s="926"/>
      <c r="IVN38" s="926"/>
      <c r="IVO38" s="926"/>
      <c r="IVP38" s="926"/>
      <c r="IVQ38" s="926"/>
      <c r="IVR38" s="926"/>
      <c r="IVS38" s="926"/>
      <c r="IVT38" s="926"/>
      <c r="IVU38" s="926"/>
      <c r="IVV38" s="926"/>
      <c r="IVW38" s="926"/>
      <c r="IVX38" s="926"/>
      <c r="IVY38" s="926"/>
      <c r="IVZ38" s="926"/>
      <c r="IWA38" s="926"/>
      <c r="IWB38" s="926"/>
      <c r="IWC38" s="926"/>
      <c r="IWD38" s="926"/>
      <c r="IWE38" s="926"/>
      <c r="IWF38" s="926"/>
      <c r="IWG38" s="926"/>
      <c r="IWH38" s="926"/>
      <c r="IWI38" s="926"/>
      <c r="IWJ38" s="926"/>
      <c r="IWK38" s="926"/>
      <c r="IWL38" s="926"/>
      <c r="IWM38" s="926"/>
      <c r="IWN38" s="926"/>
      <c r="IWO38" s="926"/>
      <c r="IWP38" s="926"/>
      <c r="IWQ38" s="926"/>
      <c r="IWR38" s="926"/>
      <c r="IWS38" s="926"/>
      <c r="IWT38" s="926"/>
      <c r="IWU38" s="926"/>
      <c r="IWV38" s="926"/>
      <c r="IWW38" s="926"/>
      <c r="IWX38" s="926"/>
      <c r="IWY38" s="926"/>
      <c r="IWZ38" s="926"/>
      <c r="IXA38" s="926"/>
      <c r="IXB38" s="926"/>
      <c r="IXC38" s="926"/>
      <c r="IXD38" s="926"/>
      <c r="IXE38" s="926"/>
      <c r="IXF38" s="926"/>
      <c r="IXG38" s="926"/>
      <c r="IXH38" s="926"/>
      <c r="IXI38" s="926"/>
      <c r="IXJ38" s="926"/>
      <c r="IXK38" s="926"/>
      <c r="IXL38" s="926"/>
      <c r="IXM38" s="926"/>
      <c r="IXN38" s="926"/>
      <c r="IXO38" s="926"/>
      <c r="IXP38" s="926"/>
      <c r="IXQ38" s="926"/>
      <c r="IXR38" s="926"/>
      <c r="IXS38" s="926"/>
      <c r="IXT38" s="926"/>
      <c r="IXU38" s="926"/>
      <c r="IXV38" s="926"/>
      <c r="IXW38" s="926"/>
      <c r="IXX38" s="926"/>
      <c r="IXY38" s="926"/>
      <c r="IXZ38" s="926"/>
      <c r="IYA38" s="926"/>
      <c r="IYB38" s="926"/>
      <c r="IYC38" s="926"/>
      <c r="IYD38" s="926"/>
      <c r="IYE38" s="926"/>
      <c r="IYF38" s="926"/>
      <c r="IYG38" s="926"/>
      <c r="IYH38" s="926"/>
      <c r="IYI38" s="926"/>
      <c r="IYJ38" s="926"/>
      <c r="IYK38" s="926"/>
      <c r="IYL38" s="926"/>
      <c r="IYM38" s="926"/>
      <c r="IYN38" s="926"/>
      <c r="IYO38" s="926"/>
      <c r="IYP38" s="926"/>
      <c r="IYQ38" s="926"/>
      <c r="IYR38" s="926"/>
      <c r="IYS38" s="926"/>
      <c r="IYT38" s="926"/>
      <c r="IYU38" s="926"/>
      <c r="IYV38" s="926"/>
      <c r="IYW38" s="926"/>
      <c r="IYX38" s="926"/>
      <c r="IYY38" s="926"/>
      <c r="IYZ38" s="926"/>
      <c r="IZA38" s="926"/>
      <c r="IZB38" s="926"/>
      <c r="IZC38" s="926"/>
      <c r="IZD38" s="926"/>
      <c r="IZE38" s="926"/>
      <c r="IZF38" s="926"/>
      <c r="IZG38" s="926"/>
      <c r="IZH38" s="926"/>
      <c r="IZI38" s="926"/>
      <c r="IZJ38" s="926"/>
      <c r="IZK38" s="926"/>
      <c r="IZL38" s="926"/>
      <c r="IZM38" s="926"/>
      <c r="IZN38" s="926"/>
      <c r="IZO38" s="926"/>
      <c r="IZP38" s="926"/>
      <c r="IZQ38" s="926"/>
      <c r="IZR38" s="926"/>
      <c r="IZS38" s="926"/>
      <c r="IZT38" s="926"/>
      <c r="IZU38" s="926"/>
      <c r="IZV38" s="926"/>
      <c r="IZW38" s="926"/>
      <c r="IZX38" s="926"/>
      <c r="IZY38" s="926"/>
      <c r="IZZ38" s="926"/>
      <c r="JAA38" s="926"/>
      <c r="JAB38" s="926"/>
      <c r="JAC38" s="926"/>
      <c r="JAD38" s="926"/>
      <c r="JAE38" s="926"/>
      <c r="JAF38" s="926"/>
      <c r="JAG38" s="926"/>
      <c r="JAH38" s="926"/>
      <c r="JAI38" s="926"/>
      <c r="JAJ38" s="926"/>
      <c r="JAK38" s="926"/>
      <c r="JAL38" s="926"/>
      <c r="JAM38" s="926"/>
      <c r="JAN38" s="926"/>
      <c r="JAO38" s="926"/>
      <c r="JAP38" s="926"/>
      <c r="JAQ38" s="926"/>
      <c r="JAR38" s="926"/>
      <c r="JAS38" s="926"/>
      <c r="JAT38" s="926"/>
      <c r="JAU38" s="926"/>
      <c r="JAV38" s="926"/>
      <c r="JAW38" s="926"/>
      <c r="JAX38" s="926"/>
      <c r="JAY38" s="926"/>
      <c r="JAZ38" s="926"/>
      <c r="JBA38" s="926"/>
      <c r="JBB38" s="926"/>
      <c r="JBC38" s="926"/>
      <c r="JBD38" s="926"/>
      <c r="JBE38" s="926"/>
      <c r="JBF38" s="926"/>
      <c r="JBG38" s="926"/>
      <c r="JBH38" s="926"/>
      <c r="JBI38" s="926"/>
      <c r="JBJ38" s="926"/>
      <c r="JBK38" s="926"/>
      <c r="JBL38" s="926"/>
      <c r="JBM38" s="926"/>
      <c r="JBN38" s="926"/>
      <c r="JBO38" s="926"/>
      <c r="JBP38" s="926"/>
      <c r="JBQ38" s="926"/>
      <c r="JBR38" s="926"/>
      <c r="JBS38" s="926"/>
      <c r="JBT38" s="926"/>
      <c r="JBU38" s="926"/>
      <c r="JBV38" s="926"/>
      <c r="JBW38" s="926"/>
      <c r="JBX38" s="926"/>
      <c r="JBY38" s="926"/>
      <c r="JBZ38" s="926"/>
      <c r="JCA38" s="926"/>
      <c r="JCB38" s="926"/>
      <c r="JCC38" s="926"/>
      <c r="JCD38" s="926"/>
      <c r="JCE38" s="926"/>
      <c r="JCF38" s="926"/>
      <c r="JCG38" s="926"/>
      <c r="JCH38" s="926"/>
      <c r="JCI38" s="926"/>
      <c r="JCJ38" s="926"/>
      <c r="JCK38" s="926"/>
      <c r="JCL38" s="926"/>
      <c r="JCM38" s="926"/>
      <c r="JCN38" s="926"/>
      <c r="JCO38" s="926"/>
      <c r="JCP38" s="926"/>
      <c r="JCQ38" s="926"/>
      <c r="JCR38" s="926"/>
      <c r="JCS38" s="926"/>
      <c r="JCT38" s="926"/>
      <c r="JCU38" s="926"/>
      <c r="JCV38" s="926"/>
      <c r="JCW38" s="926"/>
      <c r="JCX38" s="926"/>
      <c r="JCY38" s="926"/>
      <c r="JCZ38" s="926"/>
      <c r="JDA38" s="926"/>
      <c r="JDB38" s="926"/>
      <c r="JDC38" s="926"/>
      <c r="JDD38" s="926"/>
      <c r="JDE38" s="926"/>
      <c r="JDF38" s="926"/>
      <c r="JDG38" s="926"/>
      <c r="JDH38" s="926"/>
      <c r="JDI38" s="926"/>
      <c r="JDJ38" s="926"/>
      <c r="JDK38" s="926"/>
      <c r="JDL38" s="926"/>
      <c r="JDM38" s="926"/>
      <c r="JDN38" s="926"/>
      <c r="JDO38" s="926"/>
      <c r="JDP38" s="926"/>
      <c r="JDQ38" s="926"/>
      <c r="JDR38" s="926"/>
      <c r="JDS38" s="926"/>
      <c r="JDT38" s="926"/>
      <c r="JDU38" s="926"/>
      <c r="JDV38" s="926"/>
      <c r="JDW38" s="926"/>
      <c r="JDX38" s="926"/>
      <c r="JDY38" s="926"/>
      <c r="JDZ38" s="926"/>
      <c r="JEA38" s="926"/>
      <c r="JEB38" s="926"/>
      <c r="JEC38" s="926"/>
      <c r="JED38" s="926"/>
      <c r="JEE38" s="926"/>
      <c r="JEF38" s="926"/>
      <c r="JEG38" s="926"/>
      <c r="JEH38" s="926"/>
      <c r="JEI38" s="926"/>
      <c r="JEJ38" s="926"/>
      <c r="JEK38" s="926"/>
      <c r="JEL38" s="926"/>
      <c r="JEM38" s="926"/>
      <c r="JEN38" s="926"/>
      <c r="JEO38" s="926"/>
      <c r="JEP38" s="926"/>
      <c r="JEQ38" s="926"/>
      <c r="JER38" s="926"/>
      <c r="JES38" s="926"/>
      <c r="JET38" s="926"/>
      <c r="JEU38" s="926"/>
      <c r="JEV38" s="926"/>
      <c r="JEW38" s="926"/>
      <c r="JEX38" s="926"/>
      <c r="JEY38" s="926"/>
      <c r="JEZ38" s="926"/>
      <c r="JFA38" s="926"/>
      <c r="JFB38" s="926"/>
      <c r="JFC38" s="926"/>
      <c r="JFD38" s="926"/>
      <c r="JFE38" s="926"/>
      <c r="JFF38" s="926"/>
      <c r="JFG38" s="926"/>
      <c r="JFH38" s="926"/>
      <c r="JFI38" s="926"/>
      <c r="JFJ38" s="926"/>
      <c r="JFK38" s="926"/>
      <c r="JFL38" s="926"/>
      <c r="JFM38" s="926"/>
      <c r="JFN38" s="926"/>
      <c r="JFO38" s="926"/>
      <c r="JFP38" s="926"/>
      <c r="JFQ38" s="926"/>
      <c r="JFR38" s="926"/>
      <c r="JFS38" s="926"/>
      <c r="JFT38" s="926"/>
      <c r="JFU38" s="926"/>
      <c r="JFV38" s="926"/>
      <c r="JFW38" s="926"/>
      <c r="JFX38" s="926"/>
      <c r="JFY38" s="926"/>
      <c r="JFZ38" s="926"/>
      <c r="JGA38" s="926"/>
      <c r="JGB38" s="926"/>
      <c r="JGC38" s="926"/>
      <c r="JGD38" s="926"/>
      <c r="JGE38" s="926"/>
      <c r="JGF38" s="926"/>
      <c r="JGG38" s="926"/>
      <c r="JGH38" s="926"/>
      <c r="JGI38" s="926"/>
      <c r="JGJ38" s="926"/>
      <c r="JGK38" s="926"/>
      <c r="JGL38" s="926"/>
      <c r="JGM38" s="926"/>
      <c r="JGN38" s="926"/>
      <c r="JGO38" s="926"/>
      <c r="JGP38" s="926"/>
      <c r="JGQ38" s="926"/>
      <c r="JGR38" s="926"/>
      <c r="JGS38" s="926"/>
      <c r="JGT38" s="926"/>
      <c r="JGU38" s="926"/>
      <c r="JGV38" s="926"/>
      <c r="JGW38" s="926"/>
      <c r="JGX38" s="926"/>
      <c r="JGY38" s="926"/>
      <c r="JGZ38" s="926"/>
      <c r="JHA38" s="926"/>
      <c r="JHB38" s="926"/>
      <c r="JHC38" s="926"/>
      <c r="JHD38" s="926"/>
      <c r="JHE38" s="926"/>
      <c r="JHF38" s="926"/>
      <c r="JHG38" s="926"/>
      <c r="JHH38" s="926"/>
      <c r="JHI38" s="926"/>
      <c r="JHJ38" s="926"/>
      <c r="JHK38" s="926"/>
      <c r="JHL38" s="926"/>
      <c r="JHM38" s="926"/>
      <c r="JHN38" s="926"/>
      <c r="JHO38" s="926"/>
      <c r="JHP38" s="926"/>
      <c r="JHQ38" s="926"/>
      <c r="JHR38" s="926"/>
      <c r="JHS38" s="926"/>
      <c r="JHT38" s="926"/>
      <c r="JHU38" s="926"/>
      <c r="JHV38" s="926"/>
      <c r="JHW38" s="926"/>
      <c r="JHX38" s="926"/>
      <c r="JHY38" s="926"/>
      <c r="JHZ38" s="926"/>
      <c r="JIA38" s="926"/>
      <c r="JIB38" s="926"/>
      <c r="JIC38" s="926"/>
      <c r="JID38" s="926"/>
      <c r="JIE38" s="926"/>
      <c r="JIF38" s="926"/>
      <c r="JIG38" s="926"/>
      <c r="JIH38" s="926"/>
      <c r="JII38" s="926"/>
      <c r="JIJ38" s="926"/>
      <c r="JIK38" s="926"/>
      <c r="JIL38" s="926"/>
      <c r="JIM38" s="926"/>
      <c r="JIN38" s="926"/>
      <c r="JIO38" s="926"/>
      <c r="JIP38" s="926"/>
      <c r="JIQ38" s="926"/>
      <c r="JIR38" s="926"/>
      <c r="JIS38" s="926"/>
      <c r="JIT38" s="926"/>
      <c r="JIU38" s="926"/>
      <c r="JIV38" s="926"/>
      <c r="JIW38" s="926"/>
      <c r="JIX38" s="926"/>
      <c r="JIY38" s="926"/>
      <c r="JIZ38" s="926"/>
      <c r="JJA38" s="926"/>
      <c r="JJB38" s="926"/>
      <c r="JJC38" s="926"/>
      <c r="JJD38" s="926"/>
      <c r="JJE38" s="926"/>
      <c r="JJF38" s="926"/>
      <c r="JJG38" s="926"/>
      <c r="JJH38" s="926"/>
      <c r="JJI38" s="926"/>
      <c r="JJJ38" s="926"/>
      <c r="JJK38" s="926"/>
      <c r="JJL38" s="926"/>
      <c r="JJM38" s="926"/>
      <c r="JJN38" s="926"/>
      <c r="JJO38" s="926"/>
      <c r="JJP38" s="926"/>
      <c r="JJQ38" s="926"/>
      <c r="JJR38" s="926"/>
      <c r="JJS38" s="926"/>
      <c r="JJT38" s="926"/>
      <c r="JJU38" s="926"/>
      <c r="JJV38" s="926"/>
      <c r="JJW38" s="926"/>
      <c r="JJX38" s="926"/>
      <c r="JJY38" s="926"/>
      <c r="JJZ38" s="926"/>
      <c r="JKA38" s="926"/>
      <c r="JKB38" s="926"/>
      <c r="JKC38" s="926"/>
      <c r="JKD38" s="926"/>
      <c r="JKE38" s="926"/>
      <c r="JKF38" s="926"/>
      <c r="JKG38" s="926"/>
      <c r="JKH38" s="926"/>
      <c r="JKI38" s="926"/>
      <c r="JKJ38" s="926"/>
      <c r="JKK38" s="926"/>
      <c r="JKL38" s="926"/>
      <c r="JKM38" s="926"/>
      <c r="JKN38" s="926"/>
      <c r="JKO38" s="926"/>
      <c r="JKP38" s="926"/>
      <c r="JKQ38" s="926"/>
      <c r="JKR38" s="926"/>
      <c r="JKS38" s="926"/>
      <c r="JKT38" s="926"/>
      <c r="JKU38" s="926"/>
      <c r="JKV38" s="926"/>
      <c r="JKW38" s="926"/>
      <c r="JKX38" s="926"/>
      <c r="JKY38" s="926"/>
      <c r="JKZ38" s="926"/>
      <c r="JLA38" s="926"/>
      <c r="JLB38" s="926"/>
      <c r="JLC38" s="926"/>
      <c r="JLD38" s="926"/>
      <c r="JLE38" s="926"/>
      <c r="JLF38" s="926"/>
      <c r="JLG38" s="926"/>
      <c r="JLH38" s="926"/>
      <c r="JLI38" s="926"/>
      <c r="JLJ38" s="926"/>
      <c r="JLK38" s="926"/>
      <c r="JLL38" s="926"/>
      <c r="JLM38" s="926"/>
      <c r="JLN38" s="926"/>
      <c r="JLO38" s="926"/>
      <c r="JLP38" s="926"/>
      <c r="JLQ38" s="926"/>
      <c r="JLR38" s="926"/>
      <c r="JLS38" s="926"/>
      <c r="JLT38" s="926"/>
      <c r="JLU38" s="926"/>
      <c r="JLV38" s="926"/>
      <c r="JLW38" s="926"/>
      <c r="JLX38" s="926"/>
      <c r="JLY38" s="926"/>
      <c r="JLZ38" s="926"/>
      <c r="JMA38" s="926"/>
      <c r="JMB38" s="926"/>
      <c r="JMC38" s="926"/>
      <c r="JMD38" s="926"/>
      <c r="JME38" s="926"/>
      <c r="JMF38" s="926"/>
      <c r="JMG38" s="926"/>
      <c r="JMH38" s="926"/>
      <c r="JMI38" s="926"/>
      <c r="JMJ38" s="926"/>
      <c r="JMK38" s="926"/>
      <c r="JML38" s="926"/>
      <c r="JMM38" s="926"/>
      <c r="JMN38" s="926"/>
      <c r="JMO38" s="926"/>
      <c r="JMP38" s="926"/>
      <c r="JMQ38" s="926"/>
      <c r="JMR38" s="926"/>
      <c r="JMS38" s="926"/>
      <c r="JMT38" s="926"/>
      <c r="JMU38" s="926"/>
      <c r="JMV38" s="926"/>
      <c r="JMW38" s="926"/>
      <c r="JMX38" s="926"/>
      <c r="JMY38" s="926"/>
      <c r="JMZ38" s="926"/>
      <c r="JNA38" s="926"/>
      <c r="JNB38" s="926"/>
      <c r="JNC38" s="926"/>
      <c r="JND38" s="926"/>
      <c r="JNE38" s="926"/>
      <c r="JNF38" s="926"/>
      <c r="JNG38" s="926"/>
      <c r="JNH38" s="926"/>
      <c r="JNI38" s="926"/>
      <c r="JNJ38" s="926"/>
      <c r="JNK38" s="926"/>
      <c r="JNL38" s="926"/>
      <c r="JNM38" s="926"/>
      <c r="JNN38" s="926"/>
      <c r="JNO38" s="926"/>
      <c r="JNP38" s="926"/>
      <c r="JNQ38" s="926"/>
      <c r="JNR38" s="926"/>
      <c r="JNS38" s="926"/>
      <c r="JNT38" s="926"/>
      <c r="JNU38" s="926"/>
      <c r="JNV38" s="926"/>
      <c r="JNW38" s="926"/>
      <c r="JNX38" s="926"/>
      <c r="JNY38" s="926"/>
      <c r="JNZ38" s="926"/>
      <c r="JOA38" s="926"/>
      <c r="JOB38" s="926"/>
      <c r="JOC38" s="926"/>
      <c r="JOD38" s="926"/>
      <c r="JOE38" s="926"/>
      <c r="JOF38" s="926"/>
      <c r="JOG38" s="926"/>
      <c r="JOH38" s="926"/>
      <c r="JOI38" s="926"/>
      <c r="JOJ38" s="926"/>
      <c r="JOK38" s="926"/>
      <c r="JOL38" s="926"/>
      <c r="JOM38" s="926"/>
      <c r="JON38" s="926"/>
      <c r="JOO38" s="926"/>
      <c r="JOP38" s="926"/>
      <c r="JOQ38" s="926"/>
      <c r="JOR38" s="926"/>
      <c r="JOS38" s="926"/>
      <c r="JOT38" s="926"/>
      <c r="JOU38" s="926"/>
      <c r="JOV38" s="926"/>
      <c r="JOW38" s="926"/>
      <c r="JOX38" s="926"/>
      <c r="JOY38" s="926"/>
      <c r="JOZ38" s="926"/>
      <c r="JPA38" s="926"/>
      <c r="JPB38" s="926"/>
      <c r="JPC38" s="926"/>
      <c r="JPD38" s="926"/>
      <c r="JPE38" s="926"/>
      <c r="JPF38" s="926"/>
      <c r="JPG38" s="926"/>
      <c r="JPH38" s="926"/>
      <c r="JPI38" s="926"/>
      <c r="JPJ38" s="926"/>
      <c r="JPK38" s="926"/>
      <c r="JPL38" s="926"/>
      <c r="JPM38" s="926"/>
      <c r="JPN38" s="926"/>
      <c r="JPO38" s="926"/>
      <c r="JPP38" s="926"/>
      <c r="JPQ38" s="926"/>
      <c r="JPR38" s="926"/>
      <c r="JPS38" s="926"/>
      <c r="JPT38" s="926"/>
      <c r="JPU38" s="926"/>
      <c r="JPV38" s="926"/>
      <c r="JPW38" s="926"/>
      <c r="JPX38" s="926"/>
      <c r="JPY38" s="926"/>
      <c r="JPZ38" s="926"/>
      <c r="JQA38" s="926"/>
      <c r="JQB38" s="926"/>
      <c r="JQC38" s="926"/>
      <c r="JQD38" s="926"/>
      <c r="JQE38" s="926"/>
      <c r="JQF38" s="926"/>
      <c r="JQG38" s="926"/>
      <c r="JQH38" s="926"/>
      <c r="JQI38" s="926"/>
      <c r="JQJ38" s="926"/>
      <c r="JQK38" s="926"/>
      <c r="JQL38" s="926"/>
      <c r="JQM38" s="926"/>
      <c r="JQN38" s="926"/>
      <c r="JQO38" s="926"/>
      <c r="JQP38" s="926"/>
      <c r="JQQ38" s="926"/>
      <c r="JQR38" s="926"/>
      <c r="JQS38" s="926"/>
      <c r="JQT38" s="926"/>
      <c r="JQU38" s="926"/>
      <c r="JQV38" s="926"/>
      <c r="JQW38" s="926"/>
      <c r="JQX38" s="926"/>
      <c r="JQY38" s="926"/>
      <c r="JQZ38" s="926"/>
      <c r="JRA38" s="926"/>
      <c r="JRB38" s="926"/>
      <c r="JRC38" s="926"/>
      <c r="JRD38" s="926"/>
      <c r="JRE38" s="926"/>
      <c r="JRF38" s="926"/>
      <c r="JRG38" s="926"/>
      <c r="JRH38" s="926"/>
      <c r="JRI38" s="926"/>
      <c r="JRJ38" s="926"/>
      <c r="JRK38" s="926"/>
      <c r="JRL38" s="926"/>
      <c r="JRM38" s="926"/>
      <c r="JRN38" s="926"/>
      <c r="JRO38" s="926"/>
      <c r="JRP38" s="926"/>
      <c r="JRQ38" s="926"/>
      <c r="JRR38" s="926"/>
      <c r="JRS38" s="926"/>
      <c r="JRT38" s="926"/>
      <c r="JRU38" s="926"/>
      <c r="JRV38" s="926"/>
      <c r="JRW38" s="926"/>
      <c r="JRX38" s="926"/>
      <c r="JRY38" s="926"/>
      <c r="JRZ38" s="926"/>
      <c r="JSA38" s="926"/>
      <c r="JSB38" s="926"/>
      <c r="JSC38" s="926"/>
      <c r="JSD38" s="926"/>
      <c r="JSE38" s="926"/>
      <c r="JSF38" s="926"/>
      <c r="JSG38" s="926"/>
      <c r="JSH38" s="926"/>
      <c r="JSI38" s="926"/>
      <c r="JSJ38" s="926"/>
      <c r="JSK38" s="926"/>
      <c r="JSL38" s="926"/>
      <c r="JSM38" s="926"/>
      <c r="JSN38" s="926"/>
      <c r="JSO38" s="926"/>
      <c r="JSP38" s="926"/>
      <c r="JSQ38" s="926"/>
      <c r="JSR38" s="926"/>
      <c r="JSS38" s="926"/>
      <c r="JST38" s="926"/>
      <c r="JSU38" s="926"/>
      <c r="JSV38" s="926"/>
      <c r="JSW38" s="926"/>
      <c r="JSX38" s="926"/>
      <c r="JSY38" s="926"/>
      <c r="JSZ38" s="926"/>
      <c r="JTA38" s="926"/>
      <c r="JTB38" s="926"/>
      <c r="JTC38" s="926"/>
      <c r="JTD38" s="926"/>
      <c r="JTE38" s="926"/>
      <c r="JTF38" s="926"/>
      <c r="JTG38" s="926"/>
      <c r="JTH38" s="926"/>
      <c r="JTI38" s="926"/>
      <c r="JTJ38" s="926"/>
      <c r="JTK38" s="926"/>
      <c r="JTL38" s="926"/>
      <c r="JTM38" s="926"/>
      <c r="JTN38" s="926"/>
      <c r="JTO38" s="926"/>
      <c r="JTP38" s="926"/>
      <c r="JTQ38" s="926"/>
      <c r="JTR38" s="926"/>
      <c r="JTS38" s="926"/>
      <c r="JTT38" s="926"/>
      <c r="JTU38" s="926"/>
      <c r="JTV38" s="926"/>
      <c r="JTW38" s="926"/>
      <c r="JTX38" s="926"/>
      <c r="JTY38" s="926"/>
      <c r="JTZ38" s="926"/>
      <c r="JUA38" s="926"/>
      <c r="JUB38" s="926"/>
      <c r="JUC38" s="926"/>
      <c r="JUD38" s="926"/>
      <c r="JUE38" s="926"/>
      <c r="JUF38" s="926"/>
      <c r="JUG38" s="926"/>
      <c r="JUH38" s="926"/>
      <c r="JUI38" s="926"/>
      <c r="JUJ38" s="926"/>
      <c r="JUK38" s="926"/>
      <c r="JUL38" s="926"/>
      <c r="JUM38" s="926"/>
      <c r="JUN38" s="926"/>
      <c r="JUO38" s="926"/>
      <c r="JUP38" s="926"/>
      <c r="JUQ38" s="926"/>
      <c r="JUR38" s="926"/>
      <c r="JUS38" s="926"/>
      <c r="JUT38" s="926"/>
      <c r="JUU38" s="926"/>
      <c r="JUV38" s="926"/>
      <c r="JUW38" s="926"/>
      <c r="JUX38" s="926"/>
      <c r="JUY38" s="926"/>
      <c r="JUZ38" s="926"/>
      <c r="JVA38" s="926"/>
      <c r="JVB38" s="926"/>
      <c r="JVC38" s="926"/>
      <c r="JVD38" s="926"/>
      <c r="JVE38" s="926"/>
      <c r="JVF38" s="926"/>
      <c r="JVG38" s="926"/>
      <c r="JVH38" s="926"/>
      <c r="JVI38" s="926"/>
      <c r="JVJ38" s="926"/>
      <c r="JVK38" s="926"/>
      <c r="JVL38" s="926"/>
      <c r="JVM38" s="926"/>
      <c r="JVN38" s="926"/>
      <c r="JVO38" s="926"/>
      <c r="JVP38" s="926"/>
      <c r="JVQ38" s="926"/>
      <c r="JVR38" s="926"/>
      <c r="JVS38" s="926"/>
      <c r="JVT38" s="926"/>
      <c r="JVU38" s="926"/>
      <c r="JVV38" s="926"/>
      <c r="JVW38" s="926"/>
      <c r="JVX38" s="926"/>
      <c r="JVY38" s="926"/>
      <c r="JVZ38" s="926"/>
      <c r="JWA38" s="926"/>
      <c r="JWB38" s="926"/>
      <c r="JWC38" s="926"/>
      <c r="JWD38" s="926"/>
      <c r="JWE38" s="926"/>
      <c r="JWF38" s="926"/>
      <c r="JWG38" s="926"/>
      <c r="JWH38" s="926"/>
      <c r="JWI38" s="926"/>
      <c r="JWJ38" s="926"/>
      <c r="JWK38" s="926"/>
      <c r="JWL38" s="926"/>
      <c r="JWM38" s="926"/>
      <c r="JWN38" s="926"/>
      <c r="JWO38" s="926"/>
      <c r="JWP38" s="926"/>
      <c r="JWQ38" s="926"/>
      <c r="JWR38" s="926"/>
      <c r="JWS38" s="926"/>
      <c r="JWT38" s="926"/>
      <c r="JWU38" s="926"/>
      <c r="JWV38" s="926"/>
      <c r="JWW38" s="926"/>
      <c r="JWX38" s="926"/>
      <c r="JWY38" s="926"/>
      <c r="JWZ38" s="926"/>
      <c r="JXA38" s="926"/>
      <c r="JXB38" s="926"/>
      <c r="JXC38" s="926"/>
      <c r="JXD38" s="926"/>
      <c r="JXE38" s="926"/>
      <c r="JXF38" s="926"/>
      <c r="JXG38" s="926"/>
      <c r="JXH38" s="926"/>
      <c r="JXI38" s="926"/>
      <c r="JXJ38" s="926"/>
      <c r="JXK38" s="926"/>
      <c r="JXL38" s="926"/>
      <c r="JXM38" s="926"/>
      <c r="JXN38" s="926"/>
      <c r="JXO38" s="926"/>
      <c r="JXP38" s="926"/>
      <c r="JXQ38" s="926"/>
      <c r="JXR38" s="926"/>
      <c r="JXS38" s="926"/>
      <c r="JXT38" s="926"/>
      <c r="JXU38" s="926"/>
      <c r="JXV38" s="926"/>
      <c r="JXW38" s="926"/>
      <c r="JXX38" s="926"/>
      <c r="JXY38" s="926"/>
      <c r="JXZ38" s="926"/>
      <c r="JYA38" s="926"/>
      <c r="JYB38" s="926"/>
      <c r="JYC38" s="926"/>
      <c r="JYD38" s="926"/>
      <c r="JYE38" s="926"/>
      <c r="JYF38" s="926"/>
      <c r="JYG38" s="926"/>
      <c r="JYH38" s="926"/>
      <c r="JYI38" s="926"/>
      <c r="JYJ38" s="926"/>
      <c r="JYK38" s="926"/>
      <c r="JYL38" s="926"/>
      <c r="JYM38" s="926"/>
      <c r="JYN38" s="926"/>
      <c r="JYO38" s="926"/>
      <c r="JYP38" s="926"/>
      <c r="JYQ38" s="926"/>
      <c r="JYR38" s="926"/>
      <c r="JYS38" s="926"/>
      <c r="JYT38" s="926"/>
      <c r="JYU38" s="926"/>
      <c r="JYV38" s="926"/>
      <c r="JYW38" s="926"/>
      <c r="JYX38" s="926"/>
      <c r="JYY38" s="926"/>
      <c r="JYZ38" s="926"/>
      <c r="JZA38" s="926"/>
      <c r="JZB38" s="926"/>
      <c r="JZC38" s="926"/>
      <c r="JZD38" s="926"/>
      <c r="JZE38" s="926"/>
      <c r="JZF38" s="926"/>
      <c r="JZG38" s="926"/>
      <c r="JZH38" s="926"/>
      <c r="JZI38" s="926"/>
      <c r="JZJ38" s="926"/>
      <c r="JZK38" s="926"/>
      <c r="JZL38" s="926"/>
      <c r="JZM38" s="926"/>
      <c r="JZN38" s="926"/>
      <c r="JZO38" s="926"/>
      <c r="JZP38" s="926"/>
      <c r="JZQ38" s="926"/>
      <c r="JZR38" s="926"/>
      <c r="JZS38" s="926"/>
      <c r="JZT38" s="926"/>
      <c r="JZU38" s="926"/>
      <c r="JZV38" s="926"/>
      <c r="JZW38" s="926"/>
      <c r="JZX38" s="926"/>
      <c r="JZY38" s="926"/>
      <c r="JZZ38" s="926"/>
      <c r="KAA38" s="926"/>
      <c r="KAB38" s="926"/>
      <c r="KAC38" s="926"/>
      <c r="KAD38" s="926"/>
      <c r="KAE38" s="926"/>
      <c r="KAF38" s="926"/>
      <c r="KAG38" s="926"/>
      <c r="KAH38" s="926"/>
      <c r="KAI38" s="926"/>
      <c r="KAJ38" s="926"/>
      <c r="KAK38" s="926"/>
      <c r="KAL38" s="926"/>
      <c r="KAM38" s="926"/>
      <c r="KAN38" s="926"/>
      <c r="KAO38" s="926"/>
      <c r="KAP38" s="926"/>
      <c r="KAQ38" s="926"/>
      <c r="KAR38" s="926"/>
      <c r="KAS38" s="926"/>
      <c r="KAT38" s="926"/>
      <c r="KAU38" s="926"/>
      <c r="KAV38" s="926"/>
      <c r="KAW38" s="926"/>
      <c r="KAX38" s="926"/>
      <c r="KAY38" s="926"/>
      <c r="KAZ38" s="926"/>
      <c r="KBA38" s="926"/>
      <c r="KBB38" s="926"/>
      <c r="KBC38" s="926"/>
      <c r="KBD38" s="926"/>
      <c r="KBE38" s="926"/>
      <c r="KBF38" s="926"/>
      <c r="KBG38" s="926"/>
      <c r="KBH38" s="926"/>
      <c r="KBI38" s="926"/>
      <c r="KBJ38" s="926"/>
      <c r="KBK38" s="926"/>
      <c r="KBL38" s="926"/>
      <c r="KBM38" s="926"/>
      <c r="KBN38" s="926"/>
      <c r="KBO38" s="926"/>
      <c r="KBP38" s="926"/>
      <c r="KBQ38" s="926"/>
      <c r="KBR38" s="926"/>
      <c r="KBS38" s="926"/>
      <c r="KBT38" s="926"/>
      <c r="KBU38" s="926"/>
      <c r="KBV38" s="926"/>
      <c r="KBW38" s="926"/>
      <c r="KBX38" s="926"/>
      <c r="KBY38" s="926"/>
      <c r="KBZ38" s="926"/>
      <c r="KCA38" s="926"/>
      <c r="KCB38" s="926"/>
      <c r="KCC38" s="926"/>
      <c r="KCD38" s="926"/>
      <c r="KCE38" s="926"/>
      <c r="KCF38" s="926"/>
      <c r="KCG38" s="926"/>
      <c r="KCH38" s="926"/>
      <c r="KCI38" s="926"/>
      <c r="KCJ38" s="926"/>
      <c r="KCK38" s="926"/>
      <c r="KCL38" s="926"/>
      <c r="KCM38" s="926"/>
      <c r="KCN38" s="926"/>
      <c r="KCO38" s="926"/>
      <c r="KCP38" s="926"/>
      <c r="KCQ38" s="926"/>
      <c r="KCR38" s="926"/>
      <c r="KCS38" s="926"/>
      <c r="KCT38" s="926"/>
      <c r="KCU38" s="926"/>
      <c r="KCV38" s="926"/>
      <c r="KCW38" s="926"/>
      <c r="KCX38" s="926"/>
      <c r="KCY38" s="926"/>
      <c r="KCZ38" s="926"/>
      <c r="KDA38" s="926"/>
      <c r="KDB38" s="926"/>
      <c r="KDC38" s="926"/>
      <c r="KDD38" s="926"/>
      <c r="KDE38" s="926"/>
      <c r="KDF38" s="926"/>
      <c r="KDG38" s="926"/>
      <c r="KDH38" s="926"/>
      <c r="KDI38" s="926"/>
      <c r="KDJ38" s="926"/>
      <c r="KDK38" s="926"/>
      <c r="KDL38" s="926"/>
      <c r="KDM38" s="926"/>
      <c r="KDN38" s="926"/>
      <c r="KDO38" s="926"/>
      <c r="KDP38" s="926"/>
      <c r="KDQ38" s="926"/>
      <c r="KDR38" s="926"/>
      <c r="KDS38" s="926"/>
      <c r="KDT38" s="926"/>
      <c r="KDU38" s="926"/>
      <c r="KDV38" s="926"/>
      <c r="KDW38" s="926"/>
      <c r="KDX38" s="926"/>
      <c r="KDY38" s="926"/>
      <c r="KDZ38" s="926"/>
      <c r="KEA38" s="926"/>
      <c r="KEB38" s="926"/>
      <c r="KEC38" s="926"/>
      <c r="KED38" s="926"/>
      <c r="KEE38" s="926"/>
      <c r="KEF38" s="926"/>
      <c r="KEG38" s="926"/>
      <c r="KEH38" s="926"/>
      <c r="KEI38" s="926"/>
      <c r="KEJ38" s="926"/>
      <c r="KEK38" s="926"/>
      <c r="KEL38" s="926"/>
      <c r="KEM38" s="926"/>
      <c r="KEN38" s="926"/>
      <c r="KEO38" s="926"/>
      <c r="KEP38" s="926"/>
      <c r="KEQ38" s="926"/>
      <c r="KER38" s="926"/>
      <c r="KES38" s="926"/>
      <c r="KET38" s="926"/>
      <c r="KEU38" s="926"/>
      <c r="KEV38" s="926"/>
      <c r="KEW38" s="926"/>
      <c r="KEX38" s="926"/>
      <c r="KEY38" s="926"/>
      <c r="KEZ38" s="926"/>
      <c r="KFA38" s="926"/>
      <c r="KFB38" s="926"/>
      <c r="KFC38" s="926"/>
      <c r="KFD38" s="926"/>
      <c r="KFE38" s="926"/>
      <c r="KFF38" s="926"/>
      <c r="KFG38" s="926"/>
      <c r="KFH38" s="926"/>
      <c r="KFI38" s="926"/>
      <c r="KFJ38" s="926"/>
      <c r="KFK38" s="926"/>
      <c r="KFL38" s="926"/>
      <c r="KFM38" s="926"/>
      <c r="KFN38" s="926"/>
      <c r="KFO38" s="926"/>
      <c r="KFP38" s="926"/>
      <c r="KFQ38" s="926"/>
      <c r="KFR38" s="926"/>
      <c r="KFS38" s="926"/>
      <c r="KFT38" s="926"/>
      <c r="KFU38" s="926"/>
      <c r="KFV38" s="926"/>
      <c r="KFW38" s="926"/>
      <c r="KFX38" s="926"/>
      <c r="KFY38" s="926"/>
      <c r="KFZ38" s="926"/>
      <c r="KGA38" s="926"/>
      <c r="KGB38" s="926"/>
      <c r="KGC38" s="926"/>
      <c r="KGD38" s="926"/>
      <c r="KGE38" s="926"/>
      <c r="KGF38" s="926"/>
      <c r="KGG38" s="926"/>
      <c r="KGH38" s="926"/>
      <c r="KGI38" s="926"/>
      <c r="KGJ38" s="926"/>
      <c r="KGK38" s="926"/>
      <c r="KGL38" s="926"/>
      <c r="KGM38" s="926"/>
      <c r="KGN38" s="926"/>
      <c r="KGO38" s="926"/>
      <c r="KGP38" s="926"/>
      <c r="KGQ38" s="926"/>
      <c r="KGR38" s="926"/>
      <c r="KGS38" s="926"/>
      <c r="KGT38" s="926"/>
      <c r="KGU38" s="926"/>
      <c r="KGV38" s="926"/>
      <c r="KGW38" s="926"/>
      <c r="KGX38" s="926"/>
      <c r="KGY38" s="926"/>
      <c r="KGZ38" s="926"/>
      <c r="KHA38" s="926"/>
      <c r="KHB38" s="926"/>
      <c r="KHC38" s="926"/>
      <c r="KHD38" s="926"/>
      <c r="KHE38" s="926"/>
      <c r="KHF38" s="926"/>
      <c r="KHG38" s="926"/>
      <c r="KHH38" s="926"/>
      <c r="KHI38" s="926"/>
      <c r="KHJ38" s="926"/>
      <c r="KHK38" s="926"/>
      <c r="KHL38" s="926"/>
      <c r="KHM38" s="926"/>
      <c r="KHN38" s="926"/>
      <c r="KHO38" s="926"/>
      <c r="KHP38" s="926"/>
      <c r="KHQ38" s="926"/>
      <c r="KHR38" s="926"/>
      <c r="KHS38" s="926"/>
      <c r="KHT38" s="926"/>
      <c r="KHU38" s="926"/>
      <c r="KHV38" s="926"/>
      <c r="KHW38" s="926"/>
      <c r="KHX38" s="926"/>
      <c r="KHY38" s="926"/>
      <c r="KHZ38" s="926"/>
      <c r="KIA38" s="926"/>
      <c r="KIB38" s="926"/>
      <c r="KIC38" s="926"/>
      <c r="KID38" s="926"/>
      <c r="KIE38" s="926"/>
      <c r="KIF38" s="926"/>
      <c r="KIG38" s="926"/>
      <c r="KIH38" s="926"/>
      <c r="KII38" s="926"/>
      <c r="KIJ38" s="926"/>
      <c r="KIK38" s="926"/>
      <c r="KIL38" s="926"/>
      <c r="KIM38" s="926"/>
      <c r="KIN38" s="926"/>
      <c r="KIO38" s="926"/>
      <c r="KIP38" s="926"/>
      <c r="KIQ38" s="926"/>
      <c r="KIR38" s="926"/>
      <c r="KIS38" s="926"/>
      <c r="KIT38" s="926"/>
      <c r="KIU38" s="926"/>
      <c r="KIV38" s="926"/>
      <c r="KIW38" s="926"/>
      <c r="KIX38" s="926"/>
      <c r="KIY38" s="926"/>
      <c r="KIZ38" s="926"/>
      <c r="KJA38" s="926"/>
      <c r="KJB38" s="926"/>
      <c r="KJC38" s="926"/>
      <c r="KJD38" s="926"/>
      <c r="KJE38" s="926"/>
      <c r="KJF38" s="926"/>
      <c r="KJG38" s="926"/>
      <c r="KJH38" s="926"/>
      <c r="KJI38" s="926"/>
      <c r="KJJ38" s="926"/>
      <c r="KJK38" s="926"/>
      <c r="KJL38" s="926"/>
      <c r="KJM38" s="926"/>
      <c r="KJN38" s="926"/>
      <c r="KJO38" s="926"/>
      <c r="KJP38" s="926"/>
      <c r="KJQ38" s="926"/>
      <c r="KJR38" s="926"/>
      <c r="KJS38" s="926"/>
      <c r="KJT38" s="926"/>
      <c r="KJU38" s="926"/>
      <c r="KJV38" s="926"/>
      <c r="KJW38" s="926"/>
      <c r="KJX38" s="926"/>
      <c r="KJY38" s="926"/>
      <c r="KJZ38" s="926"/>
      <c r="KKA38" s="926"/>
      <c r="KKB38" s="926"/>
      <c r="KKC38" s="926"/>
      <c r="KKD38" s="926"/>
      <c r="KKE38" s="926"/>
      <c r="KKF38" s="926"/>
      <c r="KKG38" s="926"/>
      <c r="KKH38" s="926"/>
      <c r="KKI38" s="926"/>
      <c r="KKJ38" s="926"/>
      <c r="KKK38" s="926"/>
      <c r="KKL38" s="926"/>
      <c r="KKM38" s="926"/>
      <c r="KKN38" s="926"/>
      <c r="KKO38" s="926"/>
      <c r="KKP38" s="926"/>
      <c r="KKQ38" s="926"/>
      <c r="KKR38" s="926"/>
      <c r="KKS38" s="926"/>
      <c r="KKT38" s="926"/>
      <c r="KKU38" s="926"/>
      <c r="KKV38" s="926"/>
      <c r="KKW38" s="926"/>
      <c r="KKX38" s="926"/>
      <c r="KKY38" s="926"/>
      <c r="KKZ38" s="926"/>
      <c r="KLA38" s="926"/>
      <c r="KLB38" s="926"/>
      <c r="KLC38" s="926"/>
      <c r="KLD38" s="926"/>
      <c r="KLE38" s="926"/>
      <c r="KLF38" s="926"/>
      <c r="KLG38" s="926"/>
      <c r="KLH38" s="926"/>
      <c r="KLI38" s="926"/>
      <c r="KLJ38" s="926"/>
      <c r="KLK38" s="926"/>
      <c r="KLL38" s="926"/>
      <c r="KLM38" s="926"/>
      <c r="KLN38" s="926"/>
      <c r="KLO38" s="926"/>
      <c r="KLP38" s="926"/>
      <c r="KLQ38" s="926"/>
      <c r="KLR38" s="926"/>
      <c r="KLS38" s="926"/>
      <c r="KLT38" s="926"/>
      <c r="KLU38" s="926"/>
      <c r="KLV38" s="926"/>
      <c r="KLW38" s="926"/>
      <c r="KLX38" s="926"/>
      <c r="KLY38" s="926"/>
      <c r="KLZ38" s="926"/>
      <c r="KMA38" s="926"/>
      <c r="KMB38" s="926"/>
      <c r="KMC38" s="926"/>
      <c r="KMD38" s="926"/>
      <c r="KME38" s="926"/>
      <c r="KMF38" s="926"/>
      <c r="KMG38" s="926"/>
      <c r="KMH38" s="926"/>
      <c r="KMI38" s="926"/>
      <c r="KMJ38" s="926"/>
      <c r="KMK38" s="926"/>
      <c r="KML38" s="926"/>
      <c r="KMM38" s="926"/>
      <c r="KMN38" s="926"/>
      <c r="KMO38" s="926"/>
      <c r="KMP38" s="926"/>
      <c r="KMQ38" s="926"/>
      <c r="KMR38" s="926"/>
      <c r="KMS38" s="926"/>
      <c r="KMT38" s="926"/>
      <c r="KMU38" s="926"/>
      <c r="KMV38" s="926"/>
      <c r="KMW38" s="926"/>
      <c r="KMX38" s="926"/>
      <c r="KMY38" s="926"/>
      <c r="KMZ38" s="926"/>
      <c r="KNA38" s="926"/>
      <c r="KNB38" s="926"/>
      <c r="KNC38" s="926"/>
      <c r="KND38" s="926"/>
      <c r="KNE38" s="926"/>
      <c r="KNF38" s="926"/>
      <c r="KNG38" s="926"/>
      <c r="KNH38" s="926"/>
      <c r="KNI38" s="926"/>
      <c r="KNJ38" s="926"/>
      <c r="KNK38" s="926"/>
      <c r="KNL38" s="926"/>
      <c r="KNM38" s="926"/>
      <c r="KNN38" s="926"/>
      <c r="KNO38" s="926"/>
      <c r="KNP38" s="926"/>
      <c r="KNQ38" s="926"/>
      <c r="KNR38" s="926"/>
      <c r="KNS38" s="926"/>
      <c r="KNT38" s="926"/>
      <c r="KNU38" s="926"/>
      <c r="KNV38" s="926"/>
      <c r="KNW38" s="926"/>
      <c r="KNX38" s="926"/>
      <c r="KNY38" s="926"/>
      <c r="KNZ38" s="926"/>
      <c r="KOA38" s="926"/>
      <c r="KOB38" s="926"/>
      <c r="KOC38" s="926"/>
      <c r="KOD38" s="926"/>
      <c r="KOE38" s="926"/>
      <c r="KOF38" s="926"/>
      <c r="KOG38" s="926"/>
      <c r="KOH38" s="926"/>
      <c r="KOI38" s="926"/>
      <c r="KOJ38" s="926"/>
      <c r="KOK38" s="926"/>
      <c r="KOL38" s="926"/>
      <c r="KOM38" s="926"/>
      <c r="KON38" s="926"/>
      <c r="KOO38" s="926"/>
      <c r="KOP38" s="926"/>
      <c r="KOQ38" s="926"/>
      <c r="KOR38" s="926"/>
      <c r="KOS38" s="926"/>
      <c r="KOT38" s="926"/>
      <c r="KOU38" s="926"/>
      <c r="KOV38" s="926"/>
      <c r="KOW38" s="926"/>
      <c r="KOX38" s="926"/>
      <c r="KOY38" s="926"/>
      <c r="KOZ38" s="926"/>
      <c r="KPA38" s="926"/>
      <c r="KPB38" s="926"/>
      <c r="KPC38" s="926"/>
      <c r="KPD38" s="926"/>
      <c r="KPE38" s="926"/>
      <c r="KPF38" s="926"/>
      <c r="KPG38" s="926"/>
      <c r="KPH38" s="926"/>
      <c r="KPI38" s="926"/>
      <c r="KPJ38" s="926"/>
      <c r="KPK38" s="926"/>
      <c r="KPL38" s="926"/>
      <c r="KPM38" s="926"/>
      <c r="KPN38" s="926"/>
      <c r="KPO38" s="926"/>
      <c r="KPP38" s="926"/>
      <c r="KPQ38" s="926"/>
      <c r="KPR38" s="926"/>
      <c r="KPS38" s="926"/>
      <c r="KPT38" s="926"/>
      <c r="KPU38" s="926"/>
      <c r="KPV38" s="926"/>
      <c r="KPW38" s="926"/>
      <c r="KPX38" s="926"/>
      <c r="KPY38" s="926"/>
      <c r="KPZ38" s="926"/>
      <c r="KQA38" s="926"/>
      <c r="KQB38" s="926"/>
      <c r="KQC38" s="926"/>
      <c r="KQD38" s="926"/>
      <c r="KQE38" s="926"/>
      <c r="KQF38" s="926"/>
      <c r="KQG38" s="926"/>
      <c r="KQH38" s="926"/>
      <c r="KQI38" s="926"/>
      <c r="KQJ38" s="926"/>
      <c r="KQK38" s="926"/>
      <c r="KQL38" s="926"/>
      <c r="KQM38" s="926"/>
      <c r="KQN38" s="926"/>
      <c r="KQO38" s="926"/>
      <c r="KQP38" s="926"/>
      <c r="KQQ38" s="926"/>
      <c r="KQR38" s="926"/>
      <c r="KQS38" s="926"/>
      <c r="KQT38" s="926"/>
      <c r="KQU38" s="926"/>
      <c r="KQV38" s="926"/>
      <c r="KQW38" s="926"/>
      <c r="KQX38" s="926"/>
      <c r="KQY38" s="926"/>
      <c r="KQZ38" s="926"/>
      <c r="KRA38" s="926"/>
      <c r="KRB38" s="926"/>
      <c r="KRC38" s="926"/>
      <c r="KRD38" s="926"/>
      <c r="KRE38" s="926"/>
      <c r="KRF38" s="926"/>
      <c r="KRG38" s="926"/>
      <c r="KRH38" s="926"/>
      <c r="KRI38" s="926"/>
      <c r="KRJ38" s="926"/>
      <c r="KRK38" s="926"/>
      <c r="KRL38" s="926"/>
      <c r="KRM38" s="926"/>
      <c r="KRN38" s="926"/>
      <c r="KRO38" s="926"/>
      <c r="KRP38" s="926"/>
      <c r="KRQ38" s="926"/>
      <c r="KRR38" s="926"/>
      <c r="KRS38" s="926"/>
      <c r="KRT38" s="926"/>
      <c r="KRU38" s="926"/>
      <c r="KRV38" s="926"/>
      <c r="KRW38" s="926"/>
      <c r="KRX38" s="926"/>
      <c r="KRY38" s="926"/>
      <c r="KRZ38" s="926"/>
      <c r="KSA38" s="926"/>
      <c r="KSB38" s="926"/>
      <c r="KSC38" s="926"/>
      <c r="KSD38" s="926"/>
      <c r="KSE38" s="926"/>
      <c r="KSF38" s="926"/>
      <c r="KSG38" s="926"/>
      <c r="KSH38" s="926"/>
      <c r="KSI38" s="926"/>
      <c r="KSJ38" s="926"/>
      <c r="KSK38" s="926"/>
      <c r="KSL38" s="926"/>
      <c r="KSM38" s="926"/>
      <c r="KSN38" s="926"/>
      <c r="KSO38" s="926"/>
      <c r="KSP38" s="926"/>
      <c r="KSQ38" s="926"/>
      <c r="KSR38" s="926"/>
      <c r="KSS38" s="926"/>
      <c r="KST38" s="926"/>
      <c r="KSU38" s="926"/>
      <c r="KSV38" s="926"/>
      <c r="KSW38" s="926"/>
      <c r="KSX38" s="926"/>
      <c r="KSY38" s="926"/>
      <c r="KSZ38" s="926"/>
      <c r="KTA38" s="926"/>
      <c r="KTB38" s="926"/>
      <c r="KTC38" s="926"/>
      <c r="KTD38" s="926"/>
      <c r="KTE38" s="926"/>
      <c r="KTF38" s="926"/>
      <c r="KTG38" s="926"/>
      <c r="KTH38" s="926"/>
      <c r="KTI38" s="926"/>
      <c r="KTJ38" s="926"/>
      <c r="KTK38" s="926"/>
      <c r="KTL38" s="926"/>
      <c r="KTM38" s="926"/>
      <c r="KTN38" s="926"/>
      <c r="KTO38" s="926"/>
      <c r="KTP38" s="926"/>
      <c r="KTQ38" s="926"/>
      <c r="KTR38" s="926"/>
      <c r="KTS38" s="926"/>
      <c r="KTT38" s="926"/>
      <c r="KTU38" s="926"/>
      <c r="KTV38" s="926"/>
      <c r="KTW38" s="926"/>
      <c r="KTX38" s="926"/>
      <c r="KTY38" s="926"/>
      <c r="KTZ38" s="926"/>
      <c r="KUA38" s="926"/>
      <c r="KUB38" s="926"/>
      <c r="KUC38" s="926"/>
      <c r="KUD38" s="926"/>
      <c r="KUE38" s="926"/>
      <c r="KUF38" s="926"/>
      <c r="KUG38" s="926"/>
      <c r="KUH38" s="926"/>
      <c r="KUI38" s="926"/>
      <c r="KUJ38" s="926"/>
      <c r="KUK38" s="926"/>
      <c r="KUL38" s="926"/>
      <c r="KUM38" s="926"/>
      <c r="KUN38" s="926"/>
      <c r="KUO38" s="926"/>
      <c r="KUP38" s="926"/>
      <c r="KUQ38" s="926"/>
      <c r="KUR38" s="926"/>
      <c r="KUS38" s="926"/>
      <c r="KUT38" s="926"/>
      <c r="KUU38" s="926"/>
      <c r="KUV38" s="926"/>
      <c r="KUW38" s="926"/>
      <c r="KUX38" s="926"/>
      <c r="KUY38" s="926"/>
      <c r="KUZ38" s="926"/>
      <c r="KVA38" s="926"/>
      <c r="KVB38" s="926"/>
      <c r="KVC38" s="926"/>
      <c r="KVD38" s="926"/>
      <c r="KVE38" s="926"/>
      <c r="KVF38" s="926"/>
      <c r="KVG38" s="926"/>
      <c r="KVH38" s="926"/>
      <c r="KVI38" s="926"/>
      <c r="KVJ38" s="926"/>
      <c r="KVK38" s="926"/>
      <c r="KVL38" s="926"/>
      <c r="KVM38" s="926"/>
      <c r="KVN38" s="926"/>
      <c r="KVO38" s="926"/>
      <c r="KVP38" s="926"/>
      <c r="KVQ38" s="926"/>
      <c r="KVR38" s="926"/>
      <c r="KVS38" s="926"/>
      <c r="KVT38" s="926"/>
      <c r="KVU38" s="926"/>
      <c r="KVV38" s="926"/>
      <c r="KVW38" s="926"/>
      <c r="KVX38" s="926"/>
      <c r="KVY38" s="926"/>
      <c r="KVZ38" s="926"/>
      <c r="KWA38" s="926"/>
      <c r="KWB38" s="926"/>
      <c r="KWC38" s="926"/>
      <c r="KWD38" s="926"/>
      <c r="KWE38" s="926"/>
      <c r="KWF38" s="926"/>
      <c r="KWG38" s="926"/>
      <c r="KWH38" s="926"/>
      <c r="KWI38" s="926"/>
      <c r="KWJ38" s="926"/>
      <c r="KWK38" s="926"/>
      <c r="KWL38" s="926"/>
      <c r="KWM38" s="926"/>
      <c r="KWN38" s="926"/>
      <c r="KWO38" s="926"/>
      <c r="KWP38" s="926"/>
      <c r="KWQ38" s="926"/>
      <c r="KWR38" s="926"/>
      <c r="KWS38" s="926"/>
      <c r="KWT38" s="926"/>
      <c r="KWU38" s="926"/>
      <c r="KWV38" s="926"/>
      <c r="KWW38" s="926"/>
      <c r="KWX38" s="926"/>
      <c r="KWY38" s="926"/>
      <c r="KWZ38" s="926"/>
      <c r="KXA38" s="926"/>
      <c r="KXB38" s="926"/>
      <c r="KXC38" s="926"/>
      <c r="KXD38" s="926"/>
      <c r="KXE38" s="926"/>
      <c r="KXF38" s="926"/>
      <c r="KXG38" s="926"/>
      <c r="KXH38" s="926"/>
      <c r="KXI38" s="926"/>
      <c r="KXJ38" s="926"/>
      <c r="KXK38" s="926"/>
      <c r="KXL38" s="926"/>
      <c r="KXM38" s="926"/>
      <c r="KXN38" s="926"/>
      <c r="KXO38" s="926"/>
      <c r="KXP38" s="926"/>
      <c r="KXQ38" s="926"/>
      <c r="KXR38" s="926"/>
      <c r="KXS38" s="926"/>
      <c r="KXT38" s="926"/>
      <c r="KXU38" s="926"/>
      <c r="KXV38" s="926"/>
      <c r="KXW38" s="926"/>
      <c r="KXX38" s="926"/>
      <c r="KXY38" s="926"/>
      <c r="KXZ38" s="926"/>
      <c r="KYA38" s="926"/>
      <c r="KYB38" s="926"/>
      <c r="KYC38" s="926"/>
      <c r="KYD38" s="926"/>
      <c r="KYE38" s="926"/>
      <c r="KYF38" s="926"/>
      <c r="KYG38" s="926"/>
      <c r="KYH38" s="926"/>
      <c r="KYI38" s="926"/>
      <c r="KYJ38" s="926"/>
      <c r="KYK38" s="926"/>
      <c r="KYL38" s="926"/>
      <c r="KYM38" s="926"/>
      <c r="KYN38" s="926"/>
      <c r="KYO38" s="926"/>
      <c r="KYP38" s="926"/>
      <c r="KYQ38" s="926"/>
      <c r="KYR38" s="926"/>
      <c r="KYS38" s="926"/>
      <c r="KYT38" s="926"/>
      <c r="KYU38" s="926"/>
      <c r="KYV38" s="926"/>
      <c r="KYW38" s="926"/>
      <c r="KYX38" s="926"/>
      <c r="KYY38" s="926"/>
      <c r="KYZ38" s="926"/>
      <c r="KZA38" s="926"/>
      <c r="KZB38" s="926"/>
      <c r="KZC38" s="926"/>
      <c r="KZD38" s="926"/>
      <c r="KZE38" s="926"/>
      <c r="KZF38" s="926"/>
      <c r="KZG38" s="926"/>
      <c r="KZH38" s="926"/>
      <c r="KZI38" s="926"/>
      <c r="KZJ38" s="926"/>
      <c r="KZK38" s="926"/>
      <c r="KZL38" s="926"/>
      <c r="KZM38" s="926"/>
      <c r="KZN38" s="926"/>
      <c r="KZO38" s="926"/>
      <c r="KZP38" s="926"/>
      <c r="KZQ38" s="926"/>
      <c r="KZR38" s="926"/>
      <c r="KZS38" s="926"/>
      <c r="KZT38" s="926"/>
      <c r="KZU38" s="926"/>
      <c r="KZV38" s="926"/>
      <c r="KZW38" s="926"/>
      <c r="KZX38" s="926"/>
      <c r="KZY38" s="926"/>
      <c r="KZZ38" s="926"/>
      <c r="LAA38" s="926"/>
      <c r="LAB38" s="926"/>
      <c r="LAC38" s="926"/>
      <c r="LAD38" s="926"/>
      <c r="LAE38" s="926"/>
      <c r="LAF38" s="926"/>
      <c r="LAG38" s="926"/>
      <c r="LAH38" s="926"/>
      <c r="LAI38" s="926"/>
      <c r="LAJ38" s="926"/>
      <c r="LAK38" s="926"/>
      <c r="LAL38" s="926"/>
      <c r="LAM38" s="926"/>
      <c r="LAN38" s="926"/>
      <c r="LAO38" s="926"/>
      <c r="LAP38" s="926"/>
      <c r="LAQ38" s="926"/>
      <c r="LAR38" s="926"/>
      <c r="LAS38" s="926"/>
      <c r="LAT38" s="926"/>
      <c r="LAU38" s="926"/>
      <c r="LAV38" s="926"/>
      <c r="LAW38" s="926"/>
      <c r="LAX38" s="926"/>
      <c r="LAY38" s="926"/>
      <c r="LAZ38" s="926"/>
      <c r="LBA38" s="926"/>
      <c r="LBB38" s="926"/>
      <c r="LBC38" s="926"/>
      <c r="LBD38" s="926"/>
      <c r="LBE38" s="926"/>
      <c r="LBF38" s="926"/>
      <c r="LBG38" s="926"/>
      <c r="LBH38" s="926"/>
      <c r="LBI38" s="926"/>
      <c r="LBJ38" s="926"/>
      <c r="LBK38" s="926"/>
      <c r="LBL38" s="926"/>
      <c r="LBM38" s="926"/>
      <c r="LBN38" s="926"/>
      <c r="LBO38" s="926"/>
      <c r="LBP38" s="926"/>
      <c r="LBQ38" s="926"/>
      <c r="LBR38" s="926"/>
      <c r="LBS38" s="926"/>
      <c r="LBT38" s="926"/>
      <c r="LBU38" s="926"/>
      <c r="LBV38" s="926"/>
      <c r="LBW38" s="926"/>
      <c r="LBX38" s="926"/>
      <c r="LBY38" s="926"/>
      <c r="LBZ38" s="926"/>
      <c r="LCA38" s="926"/>
      <c r="LCB38" s="926"/>
      <c r="LCC38" s="926"/>
      <c r="LCD38" s="926"/>
      <c r="LCE38" s="926"/>
      <c r="LCF38" s="926"/>
      <c r="LCG38" s="926"/>
      <c r="LCH38" s="926"/>
      <c r="LCI38" s="926"/>
      <c r="LCJ38" s="926"/>
      <c r="LCK38" s="926"/>
      <c r="LCL38" s="926"/>
      <c r="LCM38" s="926"/>
      <c r="LCN38" s="926"/>
      <c r="LCO38" s="926"/>
      <c r="LCP38" s="926"/>
      <c r="LCQ38" s="926"/>
      <c r="LCR38" s="926"/>
      <c r="LCS38" s="926"/>
      <c r="LCT38" s="926"/>
      <c r="LCU38" s="926"/>
      <c r="LCV38" s="926"/>
      <c r="LCW38" s="926"/>
      <c r="LCX38" s="926"/>
      <c r="LCY38" s="926"/>
      <c r="LCZ38" s="926"/>
      <c r="LDA38" s="926"/>
      <c r="LDB38" s="926"/>
      <c r="LDC38" s="926"/>
      <c r="LDD38" s="926"/>
      <c r="LDE38" s="926"/>
      <c r="LDF38" s="926"/>
      <c r="LDG38" s="926"/>
      <c r="LDH38" s="926"/>
      <c r="LDI38" s="926"/>
      <c r="LDJ38" s="926"/>
      <c r="LDK38" s="926"/>
      <c r="LDL38" s="926"/>
      <c r="LDM38" s="926"/>
      <c r="LDN38" s="926"/>
      <c r="LDO38" s="926"/>
      <c r="LDP38" s="926"/>
      <c r="LDQ38" s="926"/>
      <c r="LDR38" s="926"/>
      <c r="LDS38" s="926"/>
      <c r="LDT38" s="926"/>
      <c r="LDU38" s="926"/>
      <c r="LDV38" s="926"/>
      <c r="LDW38" s="926"/>
      <c r="LDX38" s="926"/>
      <c r="LDY38" s="926"/>
      <c r="LDZ38" s="926"/>
      <c r="LEA38" s="926"/>
      <c r="LEB38" s="926"/>
      <c r="LEC38" s="926"/>
      <c r="LED38" s="926"/>
      <c r="LEE38" s="926"/>
      <c r="LEF38" s="926"/>
      <c r="LEG38" s="926"/>
      <c r="LEH38" s="926"/>
      <c r="LEI38" s="926"/>
      <c r="LEJ38" s="926"/>
      <c r="LEK38" s="926"/>
      <c r="LEL38" s="926"/>
      <c r="LEM38" s="926"/>
      <c r="LEN38" s="926"/>
      <c r="LEO38" s="926"/>
      <c r="LEP38" s="926"/>
      <c r="LEQ38" s="926"/>
      <c r="LER38" s="926"/>
      <c r="LES38" s="926"/>
      <c r="LET38" s="926"/>
      <c r="LEU38" s="926"/>
      <c r="LEV38" s="926"/>
      <c r="LEW38" s="926"/>
      <c r="LEX38" s="926"/>
      <c r="LEY38" s="926"/>
      <c r="LEZ38" s="926"/>
      <c r="LFA38" s="926"/>
      <c r="LFB38" s="926"/>
      <c r="LFC38" s="926"/>
      <c r="LFD38" s="926"/>
      <c r="LFE38" s="926"/>
      <c r="LFF38" s="926"/>
      <c r="LFG38" s="926"/>
      <c r="LFH38" s="926"/>
      <c r="LFI38" s="926"/>
      <c r="LFJ38" s="926"/>
      <c r="LFK38" s="926"/>
      <c r="LFL38" s="926"/>
      <c r="LFM38" s="926"/>
      <c r="LFN38" s="926"/>
      <c r="LFO38" s="926"/>
      <c r="LFP38" s="926"/>
      <c r="LFQ38" s="926"/>
      <c r="LFR38" s="926"/>
      <c r="LFS38" s="926"/>
      <c r="LFT38" s="926"/>
      <c r="LFU38" s="926"/>
      <c r="LFV38" s="926"/>
      <c r="LFW38" s="926"/>
      <c r="LFX38" s="926"/>
      <c r="LFY38" s="926"/>
      <c r="LFZ38" s="926"/>
      <c r="LGA38" s="926"/>
      <c r="LGB38" s="926"/>
      <c r="LGC38" s="926"/>
      <c r="LGD38" s="926"/>
      <c r="LGE38" s="926"/>
      <c r="LGF38" s="926"/>
      <c r="LGG38" s="926"/>
      <c r="LGH38" s="926"/>
      <c r="LGI38" s="926"/>
      <c r="LGJ38" s="926"/>
      <c r="LGK38" s="926"/>
      <c r="LGL38" s="926"/>
      <c r="LGM38" s="926"/>
      <c r="LGN38" s="926"/>
      <c r="LGO38" s="926"/>
      <c r="LGP38" s="926"/>
      <c r="LGQ38" s="926"/>
      <c r="LGR38" s="926"/>
      <c r="LGS38" s="926"/>
      <c r="LGT38" s="926"/>
      <c r="LGU38" s="926"/>
      <c r="LGV38" s="926"/>
      <c r="LGW38" s="926"/>
      <c r="LGX38" s="926"/>
      <c r="LGY38" s="926"/>
      <c r="LGZ38" s="926"/>
      <c r="LHA38" s="926"/>
      <c r="LHB38" s="926"/>
      <c r="LHC38" s="926"/>
      <c r="LHD38" s="926"/>
      <c r="LHE38" s="926"/>
      <c r="LHF38" s="926"/>
      <c r="LHG38" s="926"/>
      <c r="LHH38" s="926"/>
      <c r="LHI38" s="926"/>
      <c r="LHJ38" s="926"/>
      <c r="LHK38" s="926"/>
      <c r="LHL38" s="926"/>
      <c r="LHM38" s="926"/>
      <c r="LHN38" s="926"/>
      <c r="LHO38" s="926"/>
      <c r="LHP38" s="926"/>
      <c r="LHQ38" s="926"/>
      <c r="LHR38" s="926"/>
      <c r="LHS38" s="926"/>
      <c r="LHT38" s="926"/>
      <c r="LHU38" s="926"/>
      <c r="LHV38" s="926"/>
      <c r="LHW38" s="926"/>
      <c r="LHX38" s="926"/>
      <c r="LHY38" s="926"/>
      <c r="LHZ38" s="926"/>
      <c r="LIA38" s="926"/>
      <c r="LIB38" s="926"/>
      <c r="LIC38" s="926"/>
      <c r="LID38" s="926"/>
      <c r="LIE38" s="926"/>
      <c r="LIF38" s="926"/>
      <c r="LIG38" s="926"/>
      <c r="LIH38" s="926"/>
      <c r="LII38" s="926"/>
      <c r="LIJ38" s="926"/>
      <c r="LIK38" s="926"/>
      <c r="LIL38" s="926"/>
      <c r="LIM38" s="926"/>
      <c r="LIN38" s="926"/>
      <c r="LIO38" s="926"/>
      <c r="LIP38" s="926"/>
      <c r="LIQ38" s="926"/>
      <c r="LIR38" s="926"/>
      <c r="LIS38" s="926"/>
      <c r="LIT38" s="926"/>
      <c r="LIU38" s="926"/>
      <c r="LIV38" s="926"/>
      <c r="LIW38" s="926"/>
      <c r="LIX38" s="926"/>
      <c r="LIY38" s="926"/>
      <c r="LIZ38" s="926"/>
      <c r="LJA38" s="926"/>
      <c r="LJB38" s="926"/>
      <c r="LJC38" s="926"/>
      <c r="LJD38" s="926"/>
      <c r="LJE38" s="926"/>
      <c r="LJF38" s="926"/>
      <c r="LJG38" s="926"/>
      <c r="LJH38" s="926"/>
      <c r="LJI38" s="926"/>
      <c r="LJJ38" s="926"/>
      <c r="LJK38" s="926"/>
      <c r="LJL38" s="926"/>
      <c r="LJM38" s="926"/>
      <c r="LJN38" s="926"/>
      <c r="LJO38" s="926"/>
      <c r="LJP38" s="926"/>
      <c r="LJQ38" s="926"/>
      <c r="LJR38" s="926"/>
      <c r="LJS38" s="926"/>
      <c r="LJT38" s="926"/>
      <c r="LJU38" s="926"/>
      <c r="LJV38" s="926"/>
      <c r="LJW38" s="926"/>
      <c r="LJX38" s="926"/>
      <c r="LJY38" s="926"/>
      <c r="LJZ38" s="926"/>
      <c r="LKA38" s="926"/>
      <c r="LKB38" s="926"/>
      <c r="LKC38" s="926"/>
      <c r="LKD38" s="926"/>
      <c r="LKE38" s="926"/>
      <c r="LKF38" s="926"/>
      <c r="LKG38" s="926"/>
      <c r="LKH38" s="926"/>
      <c r="LKI38" s="926"/>
      <c r="LKJ38" s="926"/>
      <c r="LKK38" s="926"/>
      <c r="LKL38" s="926"/>
      <c r="LKM38" s="926"/>
      <c r="LKN38" s="926"/>
      <c r="LKO38" s="926"/>
      <c r="LKP38" s="926"/>
      <c r="LKQ38" s="926"/>
      <c r="LKR38" s="926"/>
      <c r="LKS38" s="926"/>
      <c r="LKT38" s="926"/>
      <c r="LKU38" s="926"/>
      <c r="LKV38" s="926"/>
      <c r="LKW38" s="926"/>
      <c r="LKX38" s="926"/>
      <c r="LKY38" s="926"/>
      <c r="LKZ38" s="926"/>
      <c r="LLA38" s="926"/>
      <c r="LLB38" s="926"/>
      <c r="LLC38" s="926"/>
      <c r="LLD38" s="926"/>
      <c r="LLE38" s="926"/>
      <c r="LLF38" s="926"/>
      <c r="LLG38" s="926"/>
      <c r="LLH38" s="926"/>
      <c r="LLI38" s="926"/>
      <c r="LLJ38" s="926"/>
      <c r="LLK38" s="926"/>
      <c r="LLL38" s="926"/>
      <c r="LLM38" s="926"/>
      <c r="LLN38" s="926"/>
      <c r="LLO38" s="926"/>
      <c r="LLP38" s="926"/>
      <c r="LLQ38" s="926"/>
      <c r="LLR38" s="926"/>
      <c r="LLS38" s="926"/>
      <c r="LLT38" s="926"/>
      <c r="LLU38" s="926"/>
      <c r="LLV38" s="926"/>
      <c r="LLW38" s="926"/>
      <c r="LLX38" s="926"/>
      <c r="LLY38" s="926"/>
      <c r="LLZ38" s="926"/>
      <c r="LMA38" s="926"/>
      <c r="LMB38" s="926"/>
      <c r="LMC38" s="926"/>
      <c r="LMD38" s="926"/>
      <c r="LME38" s="926"/>
      <c r="LMF38" s="926"/>
      <c r="LMG38" s="926"/>
      <c r="LMH38" s="926"/>
      <c r="LMI38" s="926"/>
      <c r="LMJ38" s="926"/>
      <c r="LMK38" s="926"/>
      <c r="LML38" s="926"/>
      <c r="LMM38" s="926"/>
      <c r="LMN38" s="926"/>
      <c r="LMO38" s="926"/>
      <c r="LMP38" s="926"/>
      <c r="LMQ38" s="926"/>
      <c r="LMR38" s="926"/>
      <c r="LMS38" s="926"/>
      <c r="LMT38" s="926"/>
      <c r="LMU38" s="926"/>
      <c r="LMV38" s="926"/>
      <c r="LMW38" s="926"/>
      <c r="LMX38" s="926"/>
      <c r="LMY38" s="926"/>
      <c r="LMZ38" s="926"/>
      <c r="LNA38" s="926"/>
      <c r="LNB38" s="926"/>
      <c r="LNC38" s="926"/>
      <c r="LND38" s="926"/>
      <c r="LNE38" s="926"/>
      <c r="LNF38" s="926"/>
      <c r="LNG38" s="926"/>
      <c r="LNH38" s="926"/>
      <c r="LNI38" s="926"/>
      <c r="LNJ38" s="926"/>
      <c r="LNK38" s="926"/>
      <c r="LNL38" s="926"/>
      <c r="LNM38" s="926"/>
      <c r="LNN38" s="926"/>
      <c r="LNO38" s="926"/>
      <c r="LNP38" s="926"/>
      <c r="LNQ38" s="926"/>
      <c r="LNR38" s="926"/>
      <c r="LNS38" s="926"/>
      <c r="LNT38" s="926"/>
      <c r="LNU38" s="926"/>
      <c r="LNV38" s="926"/>
      <c r="LNW38" s="926"/>
      <c r="LNX38" s="926"/>
      <c r="LNY38" s="926"/>
      <c r="LNZ38" s="926"/>
      <c r="LOA38" s="926"/>
      <c r="LOB38" s="926"/>
      <c r="LOC38" s="926"/>
      <c r="LOD38" s="926"/>
      <c r="LOE38" s="926"/>
      <c r="LOF38" s="926"/>
      <c r="LOG38" s="926"/>
      <c r="LOH38" s="926"/>
      <c r="LOI38" s="926"/>
      <c r="LOJ38" s="926"/>
      <c r="LOK38" s="926"/>
      <c r="LOL38" s="926"/>
      <c r="LOM38" s="926"/>
      <c r="LON38" s="926"/>
      <c r="LOO38" s="926"/>
      <c r="LOP38" s="926"/>
      <c r="LOQ38" s="926"/>
      <c r="LOR38" s="926"/>
      <c r="LOS38" s="926"/>
      <c r="LOT38" s="926"/>
      <c r="LOU38" s="926"/>
      <c r="LOV38" s="926"/>
      <c r="LOW38" s="926"/>
      <c r="LOX38" s="926"/>
      <c r="LOY38" s="926"/>
      <c r="LOZ38" s="926"/>
      <c r="LPA38" s="926"/>
      <c r="LPB38" s="926"/>
      <c r="LPC38" s="926"/>
      <c r="LPD38" s="926"/>
      <c r="LPE38" s="926"/>
      <c r="LPF38" s="926"/>
      <c r="LPG38" s="926"/>
      <c r="LPH38" s="926"/>
      <c r="LPI38" s="926"/>
      <c r="LPJ38" s="926"/>
      <c r="LPK38" s="926"/>
      <c r="LPL38" s="926"/>
      <c r="LPM38" s="926"/>
      <c r="LPN38" s="926"/>
      <c r="LPO38" s="926"/>
      <c r="LPP38" s="926"/>
      <c r="LPQ38" s="926"/>
      <c r="LPR38" s="926"/>
      <c r="LPS38" s="926"/>
      <c r="LPT38" s="926"/>
      <c r="LPU38" s="926"/>
      <c r="LPV38" s="926"/>
      <c r="LPW38" s="926"/>
      <c r="LPX38" s="926"/>
      <c r="LPY38" s="926"/>
      <c r="LPZ38" s="926"/>
      <c r="LQA38" s="926"/>
      <c r="LQB38" s="926"/>
      <c r="LQC38" s="926"/>
      <c r="LQD38" s="926"/>
      <c r="LQE38" s="926"/>
      <c r="LQF38" s="926"/>
      <c r="LQG38" s="926"/>
      <c r="LQH38" s="926"/>
      <c r="LQI38" s="926"/>
      <c r="LQJ38" s="926"/>
      <c r="LQK38" s="926"/>
      <c r="LQL38" s="926"/>
      <c r="LQM38" s="926"/>
      <c r="LQN38" s="926"/>
      <c r="LQO38" s="926"/>
      <c r="LQP38" s="926"/>
      <c r="LQQ38" s="926"/>
      <c r="LQR38" s="926"/>
      <c r="LQS38" s="926"/>
      <c r="LQT38" s="926"/>
      <c r="LQU38" s="926"/>
      <c r="LQV38" s="926"/>
      <c r="LQW38" s="926"/>
      <c r="LQX38" s="926"/>
      <c r="LQY38" s="926"/>
      <c r="LQZ38" s="926"/>
      <c r="LRA38" s="926"/>
      <c r="LRB38" s="926"/>
      <c r="LRC38" s="926"/>
      <c r="LRD38" s="926"/>
      <c r="LRE38" s="926"/>
      <c r="LRF38" s="926"/>
      <c r="LRG38" s="926"/>
      <c r="LRH38" s="926"/>
      <c r="LRI38" s="926"/>
      <c r="LRJ38" s="926"/>
      <c r="LRK38" s="926"/>
      <c r="LRL38" s="926"/>
      <c r="LRM38" s="926"/>
      <c r="LRN38" s="926"/>
      <c r="LRO38" s="926"/>
      <c r="LRP38" s="926"/>
      <c r="LRQ38" s="926"/>
      <c r="LRR38" s="926"/>
      <c r="LRS38" s="926"/>
      <c r="LRT38" s="926"/>
      <c r="LRU38" s="926"/>
      <c r="LRV38" s="926"/>
      <c r="LRW38" s="926"/>
      <c r="LRX38" s="926"/>
      <c r="LRY38" s="926"/>
      <c r="LRZ38" s="926"/>
      <c r="LSA38" s="926"/>
      <c r="LSB38" s="926"/>
      <c r="LSC38" s="926"/>
      <c r="LSD38" s="926"/>
      <c r="LSE38" s="926"/>
      <c r="LSF38" s="926"/>
      <c r="LSG38" s="926"/>
      <c r="LSH38" s="926"/>
      <c r="LSI38" s="926"/>
      <c r="LSJ38" s="926"/>
      <c r="LSK38" s="926"/>
      <c r="LSL38" s="926"/>
      <c r="LSM38" s="926"/>
      <c r="LSN38" s="926"/>
      <c r="LSO38" s="926"/>
      <c r="LSP38" s="926"/>
      <c r="LSQ38" s="926"/>
      <c r="LSR38" s="926"/>
      <c r="LSS38" s="926"/>
      <c r="LST38" s="926"/>
      <c r="LSU38" s="926"/>
      <c r="LSV38" s="926"/>
      <c r="LSW38" s="926"/>
      <c r="LSX38" s="926"/>
      <c r="LSY38" s="926"/>
      <c r="LSZ38" s="926"/>
      <c r="LTA38" s="926"/>
      <c r="LTB38" s="926"/>
      <c r="LTC38" s="926"/>
      <c r="LTD38" s="926"/>
      <c r="LTE38" s="926"/>
      <c r="LTF38" s="926"/>
      <c r="LTG38" s="926"/>
      <c r="LTH38" s="926"/>
      <c r="LTI38" s="926"/>
      <c r="LTJ38" s="926"/>
      <c r="LTK38" s="926"/>
      <c r="LTL38" s="926"/>
      <c r="LTM38" s="926"/>
      <c r="LTN38" s="926"/>
      <c r="LTO38" s="926"/>
      <c r="LTP38" s="926"/>
      <c r="LTQ38" s="926"/>
      <c r="LTR38" s="926"/>
      <c r="LTS38" s="926"/>
      <c r="LTT38" s="926"/>
      <c r="LTU38" s="926"/>
      <c r="LTV38" s="926"/>
      <c r="LTW38" s="926"/>
      <c r="LTX38" s="926"/>
      <c r="LTY38" s="926"/>
      <c r="LTZ38" s="926"/>
      <c r="LUA38" s="926"/>
      <c r="LUB38" s="926"/>
      <c r="LUC38" s="926"/>
      <c r="LUD38" s="926"/>
      <c r="LUE38" s="926"/>
      <c r="LUF38" s="926"/>
      <c r="LUG38" s="926"/>
      <c r="LUH38" s="926"/>
      <c r="LUI38" s="926"/>
      <c r="LUJ38" s="926"/>
      <c r="LUK38" s="926"/>
      <c r="LUL38" s="926"/>
      <c r="LUM38" s="926"/>
      <c r="LUN38" s="926"/>
      <c r="LUO38" s="926"/>
      <c r="LUP38" s="926"/>
      <c r="LUQ38" s="926"/>
      <c r="LUR38" s="926"/>
      <c r="LUS38" s="926"/>
      <c r="LUT38" s="926"/>
      <c r="LUU38" s="926"/>
      <c r="LUV38" s="926"/>
      <c r="LUW38" s="926"/>
      <c r="LUX38" s="926"/>
      <c r="LUY38" s="926"/>
      <c r="LUZ38" s="926"/>
      <c r="LVA38" s="926"/>
      <c r="LVB38" s="926"/>
      <c r="LVC38" s="926"/>
      <c r="LVD38" s="926"/>
      <c r="LVE38" s="926"/>
      <c r="LVF38" s="926"/>
      <c r="LVG38" s="926"/>
      <c r="LVH38" s="926"/>
      <c r="LVI38" s="926"/>
      <c r="LVJ38" s="926"/>
      <c r="LVK38" s="926"/>
      <c r="LVL38" s="926"/>
      <c r="LVM38" s="926"/>
      <c r="LVN38" s="926"/>
      <c r="LVO38" s="926"/>
      <c r="LVP38" s="926"/>
      <c r="LVQ38" s="926"/>
      <c r="LVR38" s="926"/>
      <c r="LVS38" s="926"/>
      <c r="LVT38" s="926"/>
      <c r="LVU38" s="926"/>
      <c r="LVV38" s="926"/>
      <c r="LVW38" s="926"/>
      <c r="LVX38" s="926"/>
      <c r="LVY38" s="926"/>
      <c r="LVZ38" s="926"/>
      <c r="LWA38" s="926"/>
      <c r="LWB38" s="926"/>
      <c r="LWC38" s="926"/>
      <c r="LWD38" s="926"/>
      <c r="LWE38" s="926"/>
      <c r="LWF38" s="926"/>
      <c r="LWG38" s="926"/>
      <c r="LWH38" s="926"/>
      <c r="LWI38" s="926"/>
      <c r="LWJ38" s="926"/>
      <c r="LWK38" s="926"/>
      <c r="LWL38" s="926"/>
      <c r="LWM38" s="926"/>
      <c r="LWN38" s="926"/>
      <c r="LWO38" s="926"/>
      <c r="LWP38" s="926"/>
      <c r="LWQ38" s="926"/>
      <c r="LWR38" s="926"/>
      <c r="LWS38" s="926"/>
      <c r="LWT38" s="926"/>
      <c r="LWU38" s="926"/>
      <c r="LWV38" s="926"/>
      <c r="LWW38" s="926"/>
      <c r="LWX38" s="926"/>
      <c r="LWY38" s="926"/>
      <c r="LWZ38" s="926"/>
      <c r="LXA38" s="926"/>
      <c r="LXB38" s="926"/>
      <c r="LXC38" s="926"/>
      <c r="LXD38" s="926"/>
      <c r="LXE38" s="926"/>
      <c r="LXF38" s="926"/>
      <c r="LXG38" s="926"/>
      <c r="LXH38" s="926"/>
      <c r="LXI38" s="926"/>
      <c r="LXJ38" s="926"/>
      <c r="LXK38" s="926"/>
      <c r="LXL38" s="926"/>
      <c r="LXM38" s="926"/>
      <c r="LXN38" s="926"/>
      <c r="LXO38" s="926"/>
      <c r="LXP38" s="926"/>
      <c r="LXQ38" s="926"/>
      <c r="LXR38" s="926"/>
      <c r="LXS38" s="926"/>
      <c r="LXT38" s="926"/>
      <c r="LXU38" s="926"/>
      <c r="LXV38" s="926"/>
      <c r="LXW38" s="926"/>
      <c r="LXX38" s="926"/>
      <c r="LXY38" s="926"/>
      <c r="LXZ38" s="926"/>
      <c r="LYA38" s="926"/>
      <c r="LYB38" s="926"/>
      <c r="LYC38" s="926"/>
      <c r="LYD38" s="926"/>
      <c r="LYE38" s="926"/>
      <c r="LYF38" s="926"/>
      <c r="LYG38" s="926"/>
      <c r="LYH38" s="926"/>
      <c r="LYI38" s="926"/>
      <c r="LYJ38" s="926"/>
      <c r="LYK38" s="926"/>
      <c r="LYL38" s="926"/>
      <c r="LYM38" s="926"/>
      <c r="LYN38" s="926"/>
      <c r="LYO38" s="926"/>
      <c r="LYP38" s="926"/>
      <c r="LYQ38" s="926"/>
      <c r="LYR38" s="926"/>
      <c r="LYS38" s="926"/>
      <c r="LYT38" s="926"/>
      <c r="LYU38" s="926"/>
      <c r="LYV38" s="926"/>
      <c r="LYW38" s="926"/>
      <c r="LYX38" s="926"/>
      <c r="LYY38" s="926"/>
      <c r="LYZ38" s="926"/>
      <c r="LZA38" s="926"/>
      <c r="LZB38" s="926"/>
      <c r="LZC38" s="926"/>
      <c r="LZD38" s="926"/>
      <c r="LZE38" s="926"/>
      <c r="LZF38" s="926"/>
      <c r="LZG38" s="926"/>
      <c r="LZH38" s="926"/>
      <c r="LZI38" s="926"/>
      <c r="LZJ38" s="926"/>
      <c r="LZK38" s="926"/>
      <c r="LZL38" s="926"/>
      <c r="LZM38" s="926"/>
      <c r="LZN38" s="926"/>
      <c r="LZO38" s="926"/>
      <c r="LZP38" s="926"/>
      <c r="LZQ38" s="926"/>
      <c r="LZR38" s="926"/>
      <c r="LZS38" s="926"/>
      <c r="LZT38" s="926"/>
      <c r="LZU38" s="926"/>
      <c r="LZV38" s="926"/>
      <c r="LZW38" s="926"/>
      <c r="LZX38" s="926"/>
      <c r="LZY38" s="926"/>
      <c r="LZZ38" s="926"/>
      <c r="MAA38" s="926"/>
      <c r="MAB38" s="926"/>
      <c r="MAC38" s="926"/>
      <c r="MAD38" s="926"/>
      <c r="MAE38" s="926"/>
      <c r="MAF38" s="926"/>
      <c r="MAG38" s="926"/>
      <c r="MAH38" s="926"/>
      <c r="MAI38" s="926"/>
      <c r="MAJ38" s="926"/>
      <c r="MAK38" s="926"/>
      <c r="MAL38" s="926"/>
      <c r="MAM38" s="926"/>
      <c r="MAN38" s="926"/>
      <c r="MAO38" s="926"/>
      <c r="MAP38" s="926"/>
      <c r="MAQ38" s="926"/>
      <c r="MAR38" s="926"/>
      <c r="MAS38" s="926"/>
      <c r="MAT38" s="926"/>
      <c r="MAU38" s="926"/>
      <c r="MAV38" s="926"/>
      <c r="MAW38" s="926"/>
      <c r="MAX38" s="926"/>
      <c r="MAY38" s="926"/>
      <c r="MAZ38" s="926"/>
      <c r="MBA38" s="926"/>
      <c r="MBB38" s="926"/>
      <c r="MBC38" s="926"/>
      <c r="MBD38" s="926"/>
      <c r="MBE38" s="926"/>
      <c r="MBF38" s="926"/>
      <c r="MBG38" s="926"/>
      <c r="MBH38" s="926"/>
      <c r="MBI38" s="926"/>
      <c r="MBJ38" s="926"/>
      <c r="MBK38" s="926"/>
      <c r="MBL38" s="926"/>
      <c r="MBM38" s="926"/>
      <c r="MBN38" s="926"/>
      <c r="MBO38" s="926"/>
      <c r="MBP38" s="926"/>
      <c r="MBQ38" s="926"/>
      <c r="MBR38" s="926"/>
      <c r="MBS38" s="926"/>
      <c r="MBT38" s="926"/>
      <c r="MBU38" s="926"/>
      <c r="MBV38" s="926"/>
      <c r="MBW38" s="926"/>
      <c r="MBX38" s="926"/>
      <c r="MBY38" s="926"/>
      <c r="MBZ38" s="926"/>
      <c r="MCA38" s="926"/>
      <c r="MCB38" s="926"/>
      <c r="MCC38" s="926"/>
      <c r="MCD38" s="926"/>
      <c r="MCE38" s="926"/>
      <c r="MCF38" s="926"/>
      <c r="MCG38" s="926"/>
      <c r="MCH38" s="926"/>
      <c r="MCI38" s="926"/>
      <c r="MCJ38" s="926"/>
      <c r="MCK38" s="926"/>
      <c r="MCL38" s="926"/>
      <c r="MCM38" s="926"/>
      <c r="MCN38" s="926"/>
      <c r="MCO38" s="926"/>
      <c r="MCP38" s="926"/>
      <c r="MCQ38" s="926"/>
      <c r="MCR38" s="926"/>
      <c r="MCS38" s="926"/>
      <c r="MCT38" s="926"/>
      <c r="MCU38" s="926"/>
      <c r="MCV38" s="926"/>
      <c r="MCW38" s="926"/>
      <c r="MCX38" s="926"/>
      <c r="MCY38" s="926"/>
      <c r="MCZ38" s="926"/>
      <c r="MDA38" s="926"/>
      <c r="MDB38" s="926"/>
      <c r="MDC38" s="926"/>
      <c r="MDD38" s="926"/>
      <c r="MDE38" s="926"/>
      <c r="MDF38" s="926"/>
      <c r="MDG38" s="926"/>
      <c r="MDH38" s="926"/>
      <c r="MDI38" s="926"/>
      <c r="MDJ38" s="926"/>
      <c r="MDK38" s="926"/>
      <c r="MDL38" s="926"/>
      <c r="MDM38" s="926"/>
      <c r="MDN38" s="926"/>
      <c r="MDO38" s="926"/>
      <c r="MDP38" s="926"/>
      <c r="MDQ38" s="926"/>
      <c r="MDR38" s="926"/>
      <c r="MDS38" s="926"/>
      <c r="MDT38" s="926"/>
      <c r="MDU38" s="926"/>
      <c r="MDV38" s="926"/>
      <c r="MDW38" s="926"/>
      <c r="MDX38" s="926"/>
      <c r="MDY38" s="926"/>
      <c r="MDZ38" s="926"/>
      <c r="MEA38" s="926"/>
      <c r="MEB38" s="926"/>
      <c r="MEC38" s="926"/>
      <c r="MED38" s="926"/>
      <c r="MEE38" s="926"/>
      <c r="MEF38" s="926"/>
      <c r="MEG38" s="926"/>
      <c r="MEH38" s="926"/>
      <c r="MEI38" s="926"/>
      <c r="MEJ38" s="926"/>
      <c r="MEK38" s="926"/>
      <c r="MEL38" s="926"/>
      <c r="MEM38" s="926"/>
      <c r="MEN38" s="926"/>
      <c r="MEO38" s="926"/>
      <c r="MEP38" s="926"/>
      <c r="MEQ38" s="926"/>
      <c r="MER38" s="926"/>
      <c r="MES38" s="926"/>
      <c r="MET38" s="926"/>
      <c r="MEU38" s="926"/>
      <c r="MEV38" s="926"/>
      <c r="MEW38" s="926"/>
      <c r="MEX38" s="926"/>
      <c r="MEY38" s="926"/>
      <c r="MEZ38" s="926"/>
      <c r="MFA38" s="926"/>
      <c r="MFB38" s="926"/>
      <c r="MFC38" s="926"/>
      <c r="MFD38" s="926"/>
      <c r="MFE38" s="926"/>
      <c r="MFF38" s="926"/>
      <c r="MFG38" s="926"/>
      <c r="MFH38" s="926"/>
      <c r="MFI38" s="926"/>
      <c r="MFJ38" s="926"/>
      <c r="MFK38" s="926"/>
      <c r="MFL38" s="926"/>
      <c r="MFM38" s="926"/>
      <c r="MFN38" s="926"/>
      <c r="MFO38" s="926"/>
      <c r="MFP38" s="926"/>
      <c r="MFQ38" s="926"/>
      <c r="MFR38" s="926"/>
      <c r="MFS38" s="926"/>
      <c r="MFT38" s="926"/>
      <c r="MFU38" s="926"/>
      <c r="MFV38" s="926"/>
      <c r="MFW38" s="926"/>
      <c r="MFX38" s="926"/>
      <c r="MFY38" s="926"/>
      <c r="MFZ38" s="926"/>
      <c r="MGA38" s="926"/>
      <c r="MGB38" s="926"/>
      <c r="MGC38" s="926"/>
      <c r="MGD38" s="926"/>
      <c r="MGE38" s="926"/>
      <c r="MGF38" s="926"/>
      <c r="MGG38" s="926"/>
      <c r="MGH38" s="926"/>
      <c r="MGI38" s="926"/>
      <c r="MGJ38" s="926"/>
      <c r="MGK38" s="926"/>
      <c r="MGL38" s="926"/>
      <c r="MGM38" s="926"/>
      <c r="MGN38" s="926"/>
      <c r="MGO38" s="926"/>
      <c r="MGP38" s="926"/>
      <c r="MGQ38" s="926"/>
      <c r="MGR38" s="926"/>
      <c r="MGS38" s="926"/>
      <c r="MGT38" s="926"/>
      <c r="MGU38" s="926"/>
      <c r="MGV38" s="926"/>
      <c r="MGW38" s="926"/>
      <c r="MGX38" s="926"/>
      <c r="MGY38" s="926"/>
      <c r="MGZ38" s="926"/>
      <c r="MHA38" s="926"/>
      <c r="MHB38" s="926"/>
      <c r="MHC38" s="926"/>
      <c r="MHD38" s="926"/>
      <c r="MHE38" s="926"/>
      <c r="MHF38" s="926"/>
      <c r="MHG38" s="926"/>
      <c r="MHH38" s="926"/>
      <c r="MHI38" s="926"/>
      <c r="MHJ38" s="926"/>
      <c r="MHK38" s="926"/>
      <c r="MHL38" s="926"/>
      <c r="MHM38" s="926"/>
      <c r="MHN38" s="926"/>
      <c r="MHO38" s="926"/>
      <c r="MHP38" s="926"/>
      <c r="MHQ38" s="926"/>
      <c r="MHR38" s="926"/>
      <c r="MHS38" s="926"/>
      <c r="MHT38" s="926"/>
      <c r="MHU38" s="926"/>
      <c r="MHV38" s="926"/>
      <c r="MHW38" s="926"/>
      <c r="MHX38" s="926"/>
      <c r="MHY38" s="926"/>
      <c r="MHZ38" s="926"/>
      <c r="MIA38" s="926"/>
      <c r="MIB38" s="926"/>
      <c r="MIC38" s="926"/>
      <c r="MID38" s="926"/>
      <c r="MIE38" s="926"/>
      <c r="MIF38" s="926"/>
      <c r="MIG38" s="926"/>
      <c r="MIH38" s="926"/>
      <c r="MII38" s="926"/>
      <c r="MIJ38" s="926"/>
      <c r="MIK38" s="926"/>
      <c r="MIL38" s="926"/>
      <c r="MIM38" s="926"/>
      <c r="MIN38" s="926"/>
      <c r="MIO38" s="926"/>
      <c r="MIP38" s="926"/>
      <c r="MIQ38" s="926"/>
      <c r="MIR38" s="926"/>
      <c r="MIS38" s="926"/>
      <c r="MIT38" s="926"/>
      <c r="MIU38" s="926"/>
      <c r="MIV38" s="926"/>
      <c r="MIW38" s="926"/>
      <c r="MIX38" s="926"/>
      <c r="MIY38" s="926"/>
      <c r="MIZ38" s="926"/>
      <c r="MJA38" s="926"/>
      <c r="MJB38" s="926"/>
      <c r="MJC38" s="926"/>
      <c r="MJD38" s="926"/>
      <c r="MJE38" s="926"/>
      <c r="MJF38" s="926"/>
      <c r="MJG38" s="926"/>
      <c r="MJH38" s="926"/>
      <c r="MJI38" s="926"/>
      <c r="MJJ38" s="926"/>
      <c r="MJK38" s="926"/>
      <c r="MJL38" s="926"/>
      <c r="MJM38" s="926"/>
      <c r="MJN38" s="926"/>
      <c r="MJO38" s="926"/>
      <c r="MJP38" s="926"/>
      <c r="MJQ38" s="926"/>
      <c r="MJR38" s="926"/>
      <c r="MJS38" s="926"/>
      <c r="MJT38" s="926"/>
      <c r="MJU38" s="926"/>
      <c r="MJV38" s="926"/>
      <c r="MJW38" s="926"/>
      <c r="MJX38" s="926"/>
      <c r="MJY38" s="926"/>
      <c r="MJZ38" s="926"/>
      <c r="MKA38" s="926"/>
      <c r="MKB38" s="926"/>
      <c r="MKC38" s="926"/>
      <c r="MKD38" s="926"/>
      <c r="MKE38" s="926"/>
      <c r="MKF38" s="926"/>
      <c r="MKG38" s="926"/>
      <c r="MKH38" s="926"/>
      <c r="MKI38" s="926"/>
      <c r="MKJ38" s="926"/>
      <c r="MKK38" s="926"/>
      <c r="MKL38" s="926"/>
      <c r="MKM38" s="926"/>
      <c r="MKN38" s="926"/>
      <c r="MKO38" s="926"/>
      <c r="MKP38" s="926"/>
      <c r="MKQ38" s="926"/>
      <c r="MKR38" s="926"/>
      <c r="MKS38" s="926"/>
      <c r="MKT38" s="926"/>
      <c r="MKU38" s="926"/>
      <c r="MKV38" s="926"/>
      <c r="MKW38" s="926"/>
      <c r="MKX38" s="926"/>
      <c r="MKY38" s="926"/>
      <c r="MKZ38" s="926"/>
      <c r="MLA38" s="926"/>
      <c r="MLB38" s="926"/>
      <c r="MLC38" s="926"/>
      <c r="MLD38" s="926"/>
      <c r="MLE38" s="926"/>
      <c r="MLF38" s="926"/>
      <c r="MLG38" s="926"/>
      <c r="MLH38" s="926"/>
      <c r="MLI38" s="926"/>
      <c r="MLJ38" s="926"/>
      <c r="MLK38" s="926"/>
      <c r="MLL38" s="926"/>
      <c r="MLM38" s="926"/>
      <c r="MLN38" s="926"/>
      <c r="MLO38" s="926"/>
      <c r="MLP38" s="926"/>
      <c r="MLQ38" s="926"/>
      <c r="MLR38" s="926"/>
      <c r="MLS38" s="926"/>
      <c r="MLT38" s="926"/>
      <c r="MLU38" s="926"/>
      <c r="MLV38" s="926"/>
      <c r="MLW38" s="926"/>
      <c r="MLX38" s="926"/>
      <c r="MLY38" s="926"/>
      <c r="MLZ38" s="926"/>
      <c r="MMA38" s="926"/>
      <c r="MMB38" s="926"/>
      <c r="MMC38" s="926"/>
      <c r="MMD38" s="926"/>
      <c r="MME38" s="926"/>
      <c r="MMF38" s="926"/>
      <c r="MMG38" s="926"/>
      <c r="MMH38" s="926"/>
      <c r="MMI38" s="926"/>
      <c r="MMJ38" s="926"/>
      <c r="MMK38" s="926"/>
      <c r="MML38" s="926"/>
      <c r="MMM38" s="926"/>
      <c r="MMN38" s="926"/>
      <c r="MMO38" s="926"/>
      <c r="MMP38" s="926"/>
      <c r="MMQ38" s="926"/>
      <c r="MMR38" s="926"/>
      <c r="MMS38" s="926"/>
      <c r="MMT38" s="926"/>
      <c r="MMU38" s="926"/>
      <c r="MMV38" s="926"/>
      <c r="MMW38" s="926"/>
      <c r="MMX38" s="926"/>
      <c r="MMY38" s="926"/>
      <c r="MMZ38" s="926"/>
      <c r="MNA38" s="926"/>
      <c r="MNB38" s="926"/>
      <c r="MNC38" s="926"/>
      <c r="MND38" s="926"/>
      <c r="MNE38" s="926"/>
      <c r="MNF38" s="926"/>
      <c r="MNG38" s="926"/>
      <c r="MNH38" s="926"/>
      <c r="MNI38" s="926"/>
      <c r="MNJ38" s="926"/>
      <c r="MNK38" s="926"/>
      <c r="MNL38" s="926"/>
      <c r="MNM38" s="926"/>
      <c r="MNN38" s="926"/>
      <c r="MNO38" s="926"/>
      <c r="MNP38" s="926"/>
      <c r="MNQ38" s="926"/>
      <c r="MNR38" s="926"/>
      <c r="MNS38" s="926"/>
      <c r="MNT38" s="926"/>
      <c r="MNU38" s="926"/>
      <c r="MNV38" s="926"/>
      <c r="MNW38" s="926"/>
      <c r="MNX38" s="926"/>
      <c r="MNY38" s="926"/>
      <c r="MNZ38" s="926"/>
      <c r="MOA38" s="926"/>
      <c r="MOB38" s="926"/>
      <c r="MOC38" s="926"/>
      <c r="MOD38" s="926"/>
      <c r="MOE38" s="926"/>
      <c r="MOF38" s="926"/>
      <c r="MOG38" s="926"/>
      <c r="MOH38" s="926"/>
      <c r="MOI38" s="926"/>
      <c r="MOJ38" s="926"/>
      <c r="MOK38" s="926"/>
      <c r="MOL38" s="926"/>
      <c r="MOM38" s="926"/>
      <c r="MON38" s="926"/>
      <c r="MOO38" s="926"/>
      <c r="MOP38" s="926"/>
      <c r="MOQ38" s="926"/>
      <c r="MOR38" s="926"/>
      <c r="MOS38" s="926"/>
      <c r="MOT38" s="926"/>
      <c r="MOU38" s="926"/>
      <c r="MOV38" s="926"/>
      <c r="MOW38" s="926"/>
      <c r="MOX38" s="926"/>
      <c r="MOY38" s="926"/>
      <c r="MOZ38" s="926"/>
      <c r="MPA38" s="926"/>
      <c r="MPB38" s="926"/>
      <c r="MPC38" s="926"/>
      <c r="MPD38" s="926"/>
      <c r="MPE38" s="926"/>
      <c r="MPF38" s="926"/>
      <c r="MPG38" s="926"/>
      <c r="MPH38" s="926"/>
      <c r="MPI38" s="926"/>
      <c r="MPJ38" s="926"/>
      <c r="MPK38" s="926"/>
      <c r="MPL38" s="926"/>
      <c r="MPM38" s="926"/>
      <c r="MPN38" s="926"/>
      <c r="MPO38" s="926"/>
      <c r="MPP38" s="926"/>
      <c r="MPQ38" s="926"/>
      <c r="MPR38" s="926"/>
      <c r="MPS38" s="926"/>
      <c r="MPT38" s="926"/>
      <c r="MPU38" s="926"/>
      <c r="MPV38" s="926"/>
      <c r="MPW38" s="926"/>
      <c r="MPX38" s="926"/>
      <c r="MPY38" s="926"/>
      <c r="MPZ38" s="926"/>
      <c r="MQA38" s="926"/>
      <c r="MQB38" s="926"/>
      <c r="MQC38" s="926"/>
      <c r="MQD38" s="926"/>
      <c r="MQE38" s="926"/>
      <c r="MQF38" s="926"/>
      <c r="MQG38" s="926"/>
      <c r="MQH38" s="926"/>
      <c r="MQI38" s="926"/>
      <c r="MQJ38" s="926"/>
      <c r="MQK38" s="926"/>
      <c r="MQL38" s="926"/>
      <c r="MQM38" s="926"/>
      <c r="MQN38" s="926"/>
      <c r="MQO38" s="926"/>
      <c r="MQP38" s="926"/>
      <c r="MQQ38" s="926"/>
      <c r="MQR38" s="926"/>
      <c r="MQS38" s="926"/>
      <c r="MQT38" s="926"/>
      <c r="MQU38" s="926"/>
      <c r="MQV38" s="926"/>
      <c r="MQW38" s="926"/>
      <c r="MQX38" s="926"/>
      <c r="MQY38" s="926"/>
      <c r="MQZ38" s="926"/>
      <c r="MRA38" s="926"/>
      <c r="MRB38" s="926"/>
      <c r="MRC38" s="926"/>
      <c r="MRD38" s="926"/>
      <c r="MRE38" s="926"/>
      <c r="MRF38" s="926"/>
      <c r="MRG38" s="926"/>
      <c r="MRH38" s="926"/>
      <c r="MRI38" s="926"/>
      <c r="MRJ38" s="926"/>
      <c r="MRK38" s="926"/>
      <c r="MRL38" s="926"/>
      <c r="MRM38" s="926"/>
      <c r="MRN38" s="926"/>
      <c r="MRO38" s="926"/>
      <c r="MRP38" s="926"/>
      <c r="MRQ38" s="926"/>
      <c r="MRR38" s="926"/>
      <c r="MRS38" s="926"/>
      <c r="MRT38" s="926"/>
      <c r="MRU38" s="926"/>
      <c r="MRV38" s="926"/>
      <c r="MRW38" s="926"/>
      <c r="MRX38" s="926"/>
      <c r="MRY38" s="926"/>
      <c r="MRZ38" s="926"/>
      <c r="MSA38" s="926"/>
      <c r="MSB38" s="926"/>
      <c r="MSC38" s="926"/>
      <c r="MSD38" s="926"/>
      <c r="MSE38" s="926"/>
      <c r="MSF38" s="926"/>
      <c r="MSG38" s="926"/>
      <c r="MSH38" s="926"/>
      <c r="MSI38" s="926"/>
      <c r="MSJ38" s="926"/>
      <c r="MSK38" s="926"/>
      <c r="MSL38" s="926"/>
      <c r="MSM38" s="926"/>
      <c r="MSN38" s="926"/>
      <c r="MSO38" s="926"/>
      <c r="MSP38" s="926"/>
      <c r="MSQ38" s="926"/>
      <c r="MSR38" s="926"/>
      <c r="MSS38" s="926"/>
      <c r="MST38" s="926"/>
      <c r="MSU38" s="926"/>
      <c r="MSV38" s="926"/>
      <c r="MSW38" s="926"/>
      <c r="MSX38" s="926"/>
      <c r="MSY38" s="926"/>
      <c r="MSZ38" s="926"/>
      <c r="MTA38" s="926"/>
      <c r="MTB38" s="926"/>
      <c r="MTC38" s="926"/>
      <c r="MTD38" s="926"/>
      <c r="MTE38" s="926"/>
      <c r="MTF38" s="926"/>
      <c r="MTG38" s="926"/>
      <c r="MTH38" s="926"/>
      <c r="MTI38" s="926"/>
      <c r="MTJ38" s="926"/>
      <c r="MTK38" s="926"/>
      <c r="MTL38" s="926"/>
      <c r="MTM38" s="926"/>
      <c r="MTN38" s="926"/>
      <c r="MTO38" s="926"/>
      <c r="MTP38" s="926"/>
      <c r="MTQ38" s="926"/>
      <c r="MTR38" s="926"/>
      <c r="MTS38" s="926"/>
      <c r="MTT38" s="926"/>
      <c r="MTU38" s="926"/>
      <c r="MTV38" s="926"/>
      <c r="MTW38" s="926"/>
      <c r="MTX38" s="926"/>
      <c r="MTY38" s="926"/>
      <c r="MTZ38" s="926"/>
      <c r="MUA38" s="926"/>
      <c r="MUB38" s="926"/>
      <c r="MUC38" s="926"/>
      <c r="MUD38" s="926"/>
      <c r="MUE38" s="926"/>
      <c r="MUF38" s="926"/>
      <c r="MUG38" s="926"/>
      <c r="MUH38" s="926"/>
      <c r="MUI38" s="926"/>
      <c r="MUJ38" s="926"/>
      <c r="MUK38" s="926"/>
      <c r="MUL38" s="926"/>
      <c r="MUM38" s="926"/>
      <c r="MUN38" s="926"/>
      <c r="MUO38" s="926"/>
      <c r="MUP38" s="926"/>
      <c r="MUQ38" s="926"/>
      <c r="MUR38" s="926"/>
      <c r="MUS38" s="926"/>
      <c r="MUT38" s="926"/>
      <c r="MUU38" s="926"/>
      <c r="MUV38" s="926"/>
      <c r="MUW38" s="926"/>
      <c r="MUX38" s="926"/>
      <c r="MUY38" s="926"/>
      <c r="MUZ38" s="926"/>
      <c r="MVA38" s="926"/>
      <c r="MVB38" s="926"/>
      <c r="MVC38" s="926"/>
      <c r="MVD38" s="926"/>
      <c r="MVE38" s="926"/>
      <c r="MVF38" s="926"/>
      <c r="MVG38" s="926"/>
      <c r="MVH38" s="926"/>
      <c r="MVI38" s="926"/>
      <c r="MVJ38" s="926"/>
      <c r="MVK38" s="926"/>
      <c r="MVL38" s="926"/>
      <c r="MVM38" s="926"/>
      <c r="MVN38" s="926"/>
      <c r="MVO38" s="926"/>
      <c r="MVP38" s="926"/>
      <c r="MVQ38" s="926"/>
      <c r="MVR38" s="926"/>
      <c r="MVS38" s="926"/>
      <c r="MVT38" s="926"/>
      <c r="MVU38" s="926"/>
      <c r="MVV38" s="926"/>
      <c r="MVW38" s="926"/>
      <c r="MVX38" s="926"/>
      <c r="MVY38" s="926"/>
      <c r="MVZ38" s="926"/>
      <c r="MWA38" s="926"/>
      <c r="MWB38" s="926"/>
      <c r="MWC38" s="926"/>
      <c r="MWD38" s="926"/>
      <c r="MWE38" s="926"/>
      <c r="MWF38" s="926"/>
      <c r="MWG38" s="926"/>
      <c r="MWH38" s="926"/>
      <c r="MWI38" s="926"/>
      <c r="MWJ38" s="926"/>
      <c r="MWK38" s="926"/>
      <c r="MWL38" s="926"/>
      <c r="MWM38" s="926"/>
      <c r="MWN38" s="926"/>
      <c r="MWO38" s="926"/>
      <c r="MWP38" s="926"/>
      <c r="MWQ38" s="926"/>
      <c r="MWR38" s="926"/>
      <c r="MWS38" s="926"/>
      <c r="MWT38" s="926"/>
      <c r="MWU38" s="926"/>
      <c r="MWV38" s="926"/>
      <c r="MWW38" s="926"/>
      <c r="MWX38" s="926"/>
      <c r="MWY38" s="926"/>
      <c r="MWZ38" s="926"/>
      <c r="MXA38" s="926"/>
      <c r="MXB38" s="926"/>
      <c r="MXC38" s="926"/>
      <c r="MXD38" s="926"/>
      <c r="MXE38" s="926"/>
      <c r="MXF38" s="926"/>
      <c r="MXG38" s="926"/>
      <c r="MXH38" s="926"/>
      <c r="MXI38" s="926"/>
      <c r="MXJ38" s="926"/>
      <c r="MXK38" s="926"/>
      <c r="MXL38" s="926"/>
      <c r="MXM38" s="926"/>
      <c r="MXN38" s="926"/>
      <c r="MXO38" s="926"/>
      <c r="MXP38" s="926"/>
      <c r="MXQ38" s="926"/>
      <c r="MXR38" s="926"/>
      <c r="MXS38" s="926"/>
      <c r="MXT38" s="926"/>
      <c r="MXU38" s="926"/>
      <c r="MXV38" s="926"/>
      <c r="MXW38" s="926"/>
      <c r="MXX38" s="926"/>
      <c r="MXY38" s="926"/>
      <c r="MXZ38" s="926"/>
      <c r="MYA38" s="926"/>
      <c r="MYB38" s="926"/>
      <c r="MYC38" s="926"/>
      <c r="MYD38" s="926"/>
      <c r="MYE38" s="926"/>
      <c r="MYF38" s="926"/>
      <c r="MYG38" s="926"/>
      <c r="MYH38" s="926"/>
      <c r="MYI38" s="926"/>
      <c r="MYJ38" s="926"/>
      <c r="MYK38" s="926"/>
      <c r="MYL38" s="926"/>
      <c r="MYM38" s="926"/>
      <c r="MYN38" s="926"/>
      <c r="MYO38" s="926"/>
      <c r="MYP38" s="926"/>
      <c r="MYQ38" s="926"/>
      <c r="MYR38" s="926"/>
      <c r="MYS38" s="926"/>
      <c r="MYT38" s="926"/>
      <c r="MYU38" s="926"/>
      <c r="MYV38" s="926"/>
      <c r="MYW38" s="926"/>
      <c r="MYX38" s="926"/>
      <c r="MYY38" s="926"/>
      <c r="MYZ38" s="926"/>
      <c r="MZA38" s="926"/>
      <c r="MZB38" s="926"/>
      <c r="MZC38" s="926"/>
      <c r="MZD38" s="926"/>
      <c r="MZE38" s="926"/>
      <c r="MZF38" s="926"/>
      <c r="MZG38" s="926"/>
      <c r="MZH38" s="926"/>
      <c r="MZI38" s="926"/>
      <c r="MZJ38" s="926"/>
      <c r="MZK38" s="926"/>
      <c r="MZL38" s="926"/>
      <c r="MZM38" s="926"/>
      <c r="MZN38" s="926"/>
      <c r="MZO38" s="926"/>
      <c r="MZP38" s="926"/>
      <c r="MZQ38" s="926"/>
      <c r="MZR38" s="926"/>
      <c r="MZS38" s="926"/>
      <c r="MZT38" s="926"/>
      <c r="MZU38" s="926"/>
      <c r="MZV38" s="926"/>
      <c r="MZW38" s="926"/>
      <c r="MZX38" s="926"/>
      <c r="MZY38" s="926"/>
      <c r="MZZ38" s="926"/>
      <c r="NAA38" s="926"/>
      <c r="NAB38" s="926"/>
      <c r="NAC38" s="926"/>
      <c r="NAD38" s="926"/>
      <c r="NAE38" s="926"/>
      <c r="NAF38" s="926"/>
      <c r="NAG38" s="926"/>
      <c r="NAH38" s="926"/>
      <c r="NAI38" s="926"/>
      <c r="NAJ38" s="926"/>
      <c r="NAK38" s="926"/>
      <c r="NAL38" s="926"/>
      <c r="NAM38" s="926"/>
      <c r="NAN38" s="926"/>
      <c r="NAO38" s="926"/>
      <c r="NAP38" s="926"/>
      <c r="NAQ38" s="926"/>
      <c r="NAR38" s="926"/>
      <c r="NAS38" s="926"/>
      <c r="NAT38" s="926"/>
      <c r="NAU38" s="926"/>
      <c r="NAV38" s="926"/>
      <c r="NAW38" s="926"/>
      <c r="NAX38" s="926"/>
      <c r="NAY38" s="926"/>
      <c r="NAZ38" s="926"/>
      <c r="NBA38" s="926"/>
      <c r="NBB38" s="926"/>
      <c r="NBC38" s="926"/>
      <c r="NBD38" s="926"/>
      <c r="NBE38" s="926"/>
      <c r="NBF38" s="926"/>
      <c r="NBG38" s="926"/>
      <c r="NBH38" s="926"/>
      <c r="NBI38" s="926"/>
      <c r="NBJ38" s="926"/>
      <c r="NBK38" s="926"/>
      <c r="NBL38" s="926"/>
      <c r="NBM38" s="926"/>
      <c r="NBN38" s="926"/>
      <c r="NBO38" s="926"/>
      <c r="NBP38" s="926"/>
      <c r="NBQ38" s="926"/>
      <c r="NBR38" s="926"/>
      <c r="NBS38" s="926"/>
      <c r="NBT38" s="926"/>
      <c r="NBU38" s="926"/>
      <c r="NBV38" s="926"/>
      <c r="NBW38" s="926"/>
      <c r="NBX38" s="926"/>
      <c r="NBY38" s="926"/>
      <c r="NBZ38" s="926"/>
      <c r="NCA38" s="926"/>
      <c r="NCB38" s="926"/>
      <c r="NCC38" s="926"/>
      <c r="NCD38" s="926"/>
      <c r="NCE38" s="926"/>
      <c r="NCF38" s="926"/>
      <c r="NCG38" s="926"/>
      <c r="NCH38" s="926"/>
      <c r="NCI38" s="926"/>
      <c r="NCJ38" s="926"/>
      <c r="NCK38" s="926"/>
      <c r="NCL38" s="926"/>
      <c r="NCM38" s="926"/>
      <c r="NCN38" s="926"/>
      <c r="NCO38" s="926"/>
      <c r="NCP38" s="926"/>
      <c r="NCQ38" s="926"/>
      <c r="NCR38" s="926"/>
      <c r="NCS38" s="926"/>
      <c r="NCT38" s="926"/>
      <c r="NCU38" s="926"/>
      <c r="NCV38" s="926"/>
      <c r="NCW38" s="926"/>
      <c r="NCX38" s="926"/>
      <c r="NCY38" s="926"/>
      <c r="NCZ38" s="926"/>
      <c r="NDA38" s="926"/>
      <c r="NDB38" s="926"/>
      <c r="NDC38" s="926"/>
      <c r="NDD38" s="926"/>
      <c r="NDE38" s="926"/>
      <c r="NDF38" s="926"/>
      <c r="NDG38" s="926"/>
      <c r="NDH38" s="926"/>
      <c r="NDI38" s="926"/>
      <c r="NDJ38" s="926"/>
      <c r="NDK38" s="926"/>
      <c r="NDL38" s="926"/>
      <c r="NDM38" s="926"/>
      <c r="NDN38" s="926"/>
      <c r="NDO38" s="926"/>
      <c r="NDP38" s="926"/>
      <c r="NDQ38" s="926"/>
      <c r="NDR38" s="926"/>
      <c r="NDS38" s="926"/>
      <c r="NDT38" s="926"/>
      <c r="NDU38" s="926"/>
      <c r="NDV38" s="926"/>
      <c r="NDW38" s="926"/>
      <c r="NDX38" s="926"/>
      <c r="NDY38" s="926"/>
      <c r="NDZ38" s="926"/>
      <c r="NEA38" s="926"/>
      <c r="NEB38" s="926"/>
      <c r="NEC38" s="926"/>
      <c r="NED38" s="926"/>
      <c r="NEE38" s="926"/>
      <c r="NEF38" s="926"/>
      <c r="NEG38" s="926"/>
      <c r="NEH38" s="926"/>
      <c r="NEI38" s="926"/>
      <c r="NEJ38" s="926"/>
      <c r="NEK38" s="926"/>
      <c r="NEL38" s="926"/>
      <c r="NEM38" s="926"/>
      <c r="NEN38" s="926"/>
      <c r="NEO38" s="926"/>
      <c r="NEP38" s="926"/>
      <c r="NEQ38" s="926"/>
      <c r="NER38" s="926"/>
      <c r="NES38" s="926"/>
      <c r="NET38" s="926"/>
      <c r="NEU38" s="926"/>
      <c r="NEV38" s="926"/>
      <c r="NEW38" s="926"/>
      <c r="NEX38" s="926"/>
      <c r="NEY38" s="926"/>
      <c r="NEZ38" s="926"/>
      <c r="NFA38" s="926"/>
      <c r="NFB38" s="926"/>
      <c r="NFC38" s="926"/>
      <c r="NFD38" s="926"/>
      <c r="NFE38" s="926"/>
      <c r="NFF38" s="926"/>
      <c r="NFG38" s="926"/>
      <c r="NFH38" s="926"/>
      <c r="NFI38" s="926"/>
      <c r="NFJ38" s="926"/>
      <c r="NFK38" s="926"/>
      <c r="NFL38" s="926"/>
      <c r="NFM38" s="926"/>
      <c r="NFN38" s="926"/>
      <c r="NFO38" s="926"/>
      <c r="NFP38" s="926"/>
      <c r="NFQ38" s="926"/>
      <c r="NFR38" s="926"/>
      <c r="NFS38" s="926"/>
      <c r="NFT38" s="926"/>
      <c r="NFU38" s="926"/>
      <c r="NFV38" s="926"/>
      <c r="NFW38" s="926"/>
      <c r="NFX38" s="926"/>
      <c r="NFY38" s="926"/>
      <c r="NFZ38" s="926"/>
      <c r="NGA38" s="926"/>
      <c r="NGB38" s="926"/>
      <c r="NGC38" s="926"/>
      <c r="NGD38" s="926"/>
      <c r="NGE38" s="926"/>
      <c r="NGF38" s="926"/>
      <c r="NGG38" s="926"/>
      <c r="NGH38" s="926"/>
      <c r="NGI38" s="926"/>
      <c r="NGJ38" s="926"/>
      <c r="NGK38" s="926"/>
      <c r="NGL38" s="926"/>
      <c r="NGM38" s="926"/>
      <c r="NGN38" s="926"/>
      <c r="NGO38" s="926"/>
      <c r="NGP38" s="926"/>
      <c r="NGQ38" s="926"/>
      <c r="NGR38" s="926"/>
      <c r="NGS38" s="926"/>
      <c r="NGT38" s="926"/>
      <c r="NGU38" s="926"/>
      <c r="NGV38" s="926"/>
      <c r="NGW38" s="926"/>
      <c r="NGX38" s="926"/>
      <c r="NGY38" s="926"/>
      <c r="NGZ38" s="926"/>
      <c r="NHA38" s="926"/>
      <c r="NHB38" s="926"/>
      <c r="NHC38" s="926"/>
      <c r="NHD38" s="926"/>
      <c r="NHE38" s="926"/>
      <c r="NHF38" s="926"/>
      <c r="NHG38" s="926"/>
      <c r="NHH38" s="926"/>
      <c r="NHI38" s="926"/>
      <c r="NHJ38" s="926"/>
      <c r="NHK38" s="926"/>
      <c r="NHL38" s="926"/>
      <c r="NHM38" s="926"/>
      <c r="NHN38" s="926"/>
      <c r="NHO38" s="926"/>
      <c r="NHP38" s="926"/>
      <c r="NHQ38" s="926"/>
      <c r="NHR38" s="926"/>
      <c r="NHS38" s="926"/>
      <c r="NHT38" s="926"/>
      <c r="NHU38" s="926"/>
      <c r="NHV38" s="926"/>
      <c r="NHW38" s="926"/>
      <c r="NHX38" s="926"/>
      <c r="NHY38" s="926"/>
      <c r="NHZ38" s="926"/>
      <c r="NIA38" s="926"/>
      <c r="NIB38" s="926"/>
      <c r="NIC38" s="926"/>
      <c r="NID38" s="926"/>
      <c r="NIE38" s="926"/>
      <c r="NIF38" s="926"/>
      <c r="NIG38" s="926"/>
      <c r="NIH38" s="926"/>
      <c r="NII38" s="926"/>
      <c r="NIJ38" s="926"/>
      <c r="NIK38" s="926"/>
      <c r="NIL38" s="926"/>
      <c r="NIM38" s="926"/>
      <c r="NIN38" s="926"/>
      <c r="NIO38" s="926"/>
      <c r="NIP38" s="926"/>
      <c r="NIQ38" s="926"/>
      <c r="NIR38" s="926"/>
      <c r="NIS38" s="926"/>
      <c r="NIT38" s="926"/>
      <c r="NIU38" s="926"/>
      <c r="NIV38" s="926"/>
      <c r="NIW38" s="926"/>
      <c r="NIX38" s="926"/>
      <c r="NIY38" s="926"/>
      <c r="NIZ38" s="926"/>
      <c r="NJA38" s="926"/>
      <c r="NJB38" s="926"/>
      <c r="NJC38" s="926"/>
      <c r="NJD38" s="926"/>
      <c r="NJE38" s="926"/>
      <c r="NJF38" s="926"/>
      <c r="NJG38" s="926"/>
      <c r="NJH38" s="926"/>
      <c r="NJI38" s="926"/>
      <c r="NJJ38" s="926"/>
      <c r="NJK38" s="926"/>
      <c r="NJL38" s="926"/>
      <c r="NJM38" s="926"/>
      <c r="NJN38" s="926"/>
      <c r="NJO38" s="926"/>
      <c r="NJP38" s="926"/>
      <c r="NJQ38" s="926"/>
      <c r="NJR38" s="926"/>
      <c r="NJS38" s="926"/>
      <c r="NJT38" s="926"/>
      <c r="NJU38" s="926"/>
      <c r="NJV38" s="926"/>
      <c r="NJW38" s="926"/>
      <c r="NJX38" s="926"/>
      <c r="NJY38" s="926"/>
      <c r="NJZ38" s="926"/>
      <c r="NKA38" s="926"/>
      <c r="NKB38" s="926"/>
      <c r="NKC38" s="926"/>
      <c r="NKD38" s="926"/>
      <c r="NKE38" s="926"/>
      <c r="NKF38" s="926"/>
      <c r="NKG38" s="926"/>
      <c r="NKH38" s="926"/>
      <c r="NKI38" s="926"/>
      <c r="NKJ38" s="926"/>
      <c r="NKK38" s="926"/>
      <c r="NKL38" s="926"/>
      <c r="NKM38" s="926"/>
      <c r="NKN38" s="926"/>
      <c r="NKO38" s="926"/>
      <c r="NKP38" s="926"/>
      <c r="NKQ38" s="926"/>
      <c r="NKR38" s="926"/>
      <c r="NKS38" s="926"/>
      <c r="NKT38" s="926"/>
      <c r="NKU38" s="926"/>
      <c r="NKV38" s="926"/>
      <c r="NKW38" s="926"/>
      <c r="NKX38" s="926"/>
      <c r="NKY38" s="926"/>
      <c r="NKZ38" s="926"/>
      <c r="NLA38" s="926"/>
      <c r="NLB38" s="926"/>
      <c r="NLC38" s="926"/>
      <c r="NLD38" s="926"/>
      <c r="NLE38" s="926"/>
      <c r="NLF38" s="926"/>
      <c r="NLG38" s="926"/>
      <c r="NLH38" s="926"/>
      <c r="NLI38" s="926"/>
      <c r="NLJ38" s="926"/>
      <c r="NLK38" s="926"/>
      <c r="NLL38" s="926"/>
      <c r="NLM38" s="926"/>
      <c r="NLN38" s="926"/>
      <c r="NLO38" s="926"/>
      <c r="NLP38" s="926"/>
      <c r="NLQ38" s="926"/>
      <c r="NLR38" s="926"/>
      <c r="NLS38" s="926"/>
      <c r="NLT38" s="926"/>
      <c r="NLU38" s="926"/>
      <c r="NLV38" s="926"/>
      <c r="NLW38" s="926"/>
      <c r="NLX38" s="926"/>
      <c r="NLY38" s="926"/>
      <c r="NLZ38" s="926"/>
      <c r="NMA38" s="926"/>
      <c r="NMB38" s="926"/>
      <c r="NMC38" s="926"/>
      <c r="NMD38" s="926"/>
      <c r="NME38" s="926"/>
      <c r="NMF38" s="926"/>
      <c r="NMG38" s="926"/>
      <c r="NMH38" s="926"/>
      <c r="NMI38" s="926"/>
      <c r="NMJ38" s="926"/>
      <c r="NMK38" s="926"/>
      <c r="NML38" s="926"/>
      <c r="NMM38" s="926"/>
      <c r="NMN38" s="926"/>
      <c r="NMO38" s="926"/>
      <c r="NMP38" s="926"/>
      <c r="NMQ38" s="926"/>
      <c r="NMR38" s="926"/>
      <c r="NMS38" s="926"/>
      <c r="NMT38" s="926"/>
      <c r="NMU38" s="926"/>
      <c r="NMV38" s="926"/>
      <c r="NMW38" s="926"/>
      <c r="NMX38" s="926"/>
      <c r="NMY38" s="926"/>
      <c r="NMZ38" s="926"/>
      <c r="NNA38" s="926"/>
      <c r="NNB38" s="926"/>
      <c r="NNC38" s="926"/>
      <c r="NND38" s="926"/>
      <c r="NNE38" s="926"/>
      <c r="NNF38" s="926"/>
      <c r="NNG38" s="926"/>
      <c r="NNH38" s="926"/>
      <c r="NNI38" s="926"/>
      <c r="NNJ38" s="926"/>
      <c r="NNK38" s="926"/>
      <c r="NNL38" s="926"/>
      <c r="NNM38" s="926"/>
      <c r="NNN38" s="926"/>
      <c r="NNO38" s="926"/>
      <c r="NNP38" s="926"/>
      <c r="NNQ38" s="926"/>
      <c r="NNR38" s="926"/>
      <c r="NNS38" s="926"/>
      <c r="NNT38" s="926"/>
      <c r="NNU38" s="926"/>
      <c r="NNV38" s="926"/>
      <c r="NNW38" s="926"/>
      <c r="NNX38" s="926"/>
      <c r="NNY38" s="926"/>
      <c r="NNZ38" s="926"/>
      <c r="NOA38" s="926"/>
      <c r="NOB38" s="926"/>
      <c r="NOC38" s="926"/>
      <c r="NOD38" s="926"/>
      <c r="NOE38" s="926"/>
      <c r="NOF38" s="926"/>
      <c r="NOG38" s="926"/>
      <c r="NOH38" s="926"/>
      <c r="NOI38" s="926"/>
      <c r="NOJ38" s="926"/>
      <c r="NOK38" s="926"/>
      <c r="NOL38" s="926"/>
      <c r="NOM38" s="926"/>
      <c r="NON38" s="926"/>
      <c r="NOO38" s="926"/>
      <c r="NOP38" s="926"/>
      <c r="NOQ38" s="926"/>
      <c r="NOR38" s="926"/>
      <c r="NOS38" s="926"/>
      <c r="NOT38" s="926"/>
      <c r="NOU38" s="926"/>
      <c r="NOV38" s="926"/>
      <c r="NOW38" s="926"/>
      <c r="NOX38" s="926"/>
      <c r="NOY38" s="926"/>
      <c r="NOZ38" s="926"/>
      <c r="NPA38" s="926"/>
      <c r="NPB38" s="926"/>
      <c r="NPC38" s="926"/>
      <c r="NPD38" s="926"/>
      <c r="NPE38" s="926"/>
      <c r="NPF38" s="926"/>
      <c r="NPG38" s="926"/>
      <c r="NPH38" s="926"/>
      <c r="NPI38" s="926"/>
      <c r="NPJ38" s="926"/>
      <c r="NPK38" s="926"/>
      <c r="NPL38" s="926"/>
      <c r="NPM38" s="926"/>
      <c r="NPN38" s="926"/>
      <c r="NPO38" s="926"/>
      <c r="NPP38" s="926"/>
      <c r="NPQ38" s="926"/>
      <c r="NPR38" s="926"/>
      <c r="NPS38" s="926"/>
      <c r="NPT38" s="926"/>
      <c r="NPU38" s="926"/>
      <c r="NPV38" s="926"/>
      <c r="NPW38" s="926"/>
      <c r="NPX38" s="926"/>
      <c r="NPY38" s="926"/>
      <c r="NPZ38" s="926"/>
      <c r="NQA38" s="926"/>
      <c r="NQB38" s="926"/>
      <c r="NQC38" s="926"/>
      <c r="NQD38" s="926"/>
      <c r="NQE38" s="926"/>
      <c r="NQF38" s="926"/>
      <c r="NQG38" s="926"/>
      <c r="NQH38" s="926"/>
      <c r="NQI38" s="926"/>
      <c r="NQJ38" s="926"/>
      <c r="NQK38" s="926"/>
      <c r="NQL38" s="926"/>
      <c r="NQM38" s="926"/>
      <c r="NQN38" s="926"/>
      <c r="NQO38" s="926"/>
      <c r="NQP38" s="926"/>
      <c r="NQQ38" s="926"/>
      <c r="NQR38" s="926"/>
      <c r="NQS38" s="926"/>
      <c r="NQT38" s="926"/>
      <c r="NQU38" s="926"/>
      <c r="NQV38" s="926"/>
      <c r="NQW38" s="926"/>
      <c r="NQX38" s="926"/>
      <c r="NQY38" s="926"/>
      <c r="NQZ38" s="926"/>
      <c r="NRA38" s="926"/>
      <c r="NRB38" s="926"/>
      <c r="NRC38" s="926"/>
      <c r="NRD38" s="926"/>
      <c r="NRE38" s="926"/>
      <c r="NRF38" s="926"/>
      <c r="NRG38" s="926"/>
      <c r="NRH38" s="926"/>
      <c r="NRI38" s="926"/>
      <c r="NRJ38" s="926"/>
      <c r="NRK38" s="926"/>
      <c r="NRL38" s="926"/>
      <c r="NRM38" s="926"/>
      <c r="NRN38" s="926"/>
      <c r="NRO38" s="926"/>
      <c r="NRP38" s="926"/>
      <c r="NRQ38" s="926"/>
      <c r="NRR38" s="926"/>
      <c r="NRS38" s="926"/>
      <c r="NRT38" s="926"/>
      <c r="NRU38" s="926"/>
      <c r="NRV38" s="926"/>
      <c r="NRW38" s="926"/>
      <c r="NRX38" s="926"/>
      <c r="NRY38" s="926"/>
      <c r="NRZ38" s="926"/>
      <c r="NSA38" s="926"/>
      <c r="NSB38" s="926"/>
      <c r="NSC38" s="926"/>
      <c r="NSD38" s="926"/>
      <c r="NSE38" s="926"/>
      <c r="NSF38" s="926"/>
      <c r="NSG38" s="926"/>
      <c r="NSH38" s="926"/>
      <c r="NSI38" s="926"/>
      <c r="NSJ38" s="926"/>
      <c r="NSK38" s="926"/>
      <c r="NSL38" s="926"/>
      <c r="NSM38" s="926"/>
      <c r="NSN38" s="926"/>
      <c r="NSO38" s="926"/>
      <c r="NSP38" s="926"/>
      <c r="NSQ38" s="926"/>
      <c r="NSR38" s="926"/>
      <c r="NSS38" s="926"/>
      <c r="NST38" s="926"/>
      <c r="NSU38" s="926"/>
      <c r="NSV38" s="926"/>
      <c r="NSW38" s="926"/>
      <c r="NSX38" s="926"/>
      <c r="NSY38" s="926"/>
      <c r="NSZ38" s="926"/>
      <c r="NTA38" s="926"/>
      <c r="NTB38" s="926"/>
      <c r="NTC38" s="926"/>
      <c r="NTD38" s="926"/>
      <c r="NTE38" s="926"/>
      <c r="NTF38" s="926"/>
      <c r="NTG38" s="926"/>
      <c r="NTH38" s="926"/>
      <c r="NTI38" s="926"/>
      <c r="NTJ38" s="926"/>
      <c r="NTK38" s="926"/>
      <c r="NTL38" s="926"/>
      <c r="NTM38" s="926"/>
      <c r="NTN38" s="926"/>
      <c r="NTO38" s="926"/>
      <c r="NTP38" s="926"/>
      <c r="NTQ38" s="926"/>
      <c r="NTR38" s="926"/>
      <c r="NTS38" s="926"/>
      <c r="NTT38" s="926"/>
      <c r="NTU38" s="926"/>
      <c r="NTV38" s="926"/>
      <c r="NTW38" s="926"/>
      <c r="NTX38" s="926"/>
      <c r="NTY38" s="926"/>
      <c r="NTZ38" s="926"/>
      <c r="NUA38" s="926"/>
      <c r="NUB38" s="926"/>
      <c r="NUC38" s="926"/>
      <c r="NUD38" s="926"/>
      <c r="NUE38" s="926"/>
      <c r="NUF38" s="926"/>
      <c r="NUG38" s="926"/>
      <c r="NUH38" s="926"/>
      <c r="NUI38" s="926"/>
      <c r="NUJ38" s="926"/>
      <c r="NUK38" s="926"/>
      <c r="NUL38" s="926"/>
      <c r="NUM38" s="926"/>
      <c r="NUN38" s="926"/>
      <c r="NUO38" s="926"/>
      <c r="NUP38" s="926"/>
      <c r="NUQ38" s="926"/>
      <c r="NUR38" s="926"/>
      <c r="NUS38" s="926"/>
      <c r="NUT38" s="926"/>
      <c r="NUU38" s="926"/>
      <c r="NUV38" s="926"/>
      <c r="NUW38" s="926"/>
      <c r="NUX38" s="926"/>
      <c r="NUY38" s="926"/>
      <c r="NUZ38" s="926"/>
      <c r="NVA38" s="926"/>
      <c r="NVB38" s="926"/>
      <c r="NVC38" s="926"/>
      <c r="NVD38" s="926"/>
      <c r="NVE38" s="926"/>
      <c r="NVF38" s="926"/>
      <c r="NVG38" s="926"/>
      <c r="NVH38" s="926"/>
      <c r="NVI38" s="926"/>
      <c r="NVJ38" s="926"/>
      <c r="NVK38" s="926"/>
      <c r="NVL38" s="926"/>
      <c r="NVM38" s="926"/>
      <c r="NVN38" s="926"/>
      <c r="NVO38" s="926"/>
      <c r="NVP38" s="926"/>
      <c r="NVQ38" s="926"/>
      <c r="NVR38" s="926"/>
      <c r="NVS38" s="926"/>
      <c r="NVT38" s="926"/>
      <c r="NVU38" s="926"/>
      <c r="NVV38" s="926"/>
      <c r="NVW38" s="926"/>
      <c r="NVX38" s="926"/>
      <c r="NVY38" s="926"/>
      <c r="NVZ38" s="926"/>
      <c r="NWA38" s="926"/>
      <c r="NWB38" s="926"/>
      <c r="NWC38" s="926"/>
      <c r="NWD38" s="926"/>
      <c r="NWE38" s="926"/>
      <c r="NWF38" s="926"/>
      <c r="NWG38" s="926"/>
      <c r="NWH38" s="926"/>
      <c r="NWI38" s="926"/>
      <c r="NWJ38" s="926"/>
      <c r="NWK38" s="926"/>
      <c r="NWL38" s="926"/>
      <c r="NWM38" s="926"/>
      <c r="NWN38" s="926"/>
      <c r="NWO38" s="926"/>
      <c r="NWP38" s="926"/>
      <c r="NWQ38" s="926"/>
      <c r="NWR38" s="926"/>
      <c r="NWS38" s="926"/>
      <c r="NWT38" s="926"/>
      <c r="NWU38" s="926"/>
      <c r="NWV38" s="926"/>
      <c r="NWW38" s="926"/>
      <c r="NWX38" s="926"/>
      <c r="NWY38" s="926"/>
      <c r="NWZ38" s="926"/>
      <c r="NXA38" s="926"/>
      <c r="NXB38" s="926"/>
      <c r="NXC38" s="926"/>
      <c r="NXD38" s="926"/>
      <c r="NXE38" s="926"/>
      <c r="NXF38" s="926"/>
      <c r="NXG38" s="926"/>
      <c r="NXH38" s="926"/>
      <c r="NXI38" s="926"/>
      <c r="NXJ38" s="926"/>
      <c r="NXK38" s="926"/>
      <c r="NXL38" s="926"/>
      <c r="NXM38" s="926"/>
      <c r="NXN38" s="926"/>
      <c r="NXO38" s="926"/>
      <c r="NXP38" s="926"/>
      <c r="NXQ38" s="926"/>
      <c r="NXR38" s="926"/>
      <c r="NXS38" s="926"/>
      <c r="NXT38" s="926"/>
      <c r="NXU38" s="926"/>
      <c r="NXV38" s="926"/>
      <c r="NXW38" s="926"/>
      <c r="NXX38" s="926"/>
      <c r="NXY38" s="926"/>
      <c r="NXZ38" s="926"/>
      <c r="NYA38" s="926"/>
      <c r="NYB38" s="926"/>
      <c r="NYC38" s="926"/>
      <c r="NYD38" s="926"/>
      <c r="NYE38" s="926"/>
      <c r="NYF38" s="926"/>
      <c r="NYG38" s="926"/>
      <c r="NYH38" s="926"/>
      <c r="NYI38" s="926"/>
      <c r="NYJ38" s="926"/>
      <c r="NYK38" s="926"/>
      <c r="NYL38" s="926"/>
      <c r="NYM38" s="926"/>
      <c r="NYN38" s="926"/>
      <c r="NYO38" s="926"/>
      <c r="NYP38" s="926"/>
      <c r="NYQ38" s="926"/>
      <c r="NYR38" s="926"/>
      <c r="NYS38" s="926"/>
      <c r="NYT38" s="926"/>
      <c r="NYU38" s="926"/>
      <c r="NYV38" s="926"/>
      <c r="NYW38" s="926"/>
      <c r="NYX38" s="926"/>
      <c r="NYY38" s="926"/>
      <c r="NYZ38" s="926"/>
      <c r="NZA38" s="926"/>
      <c r="NZB38" s="926"/>
      <c r="NZC38" s="926"/>
      <c r="NZD38" s="926"/>
      <c r="NZE38" s="926"/>
      <c r="NZF38" s="926"/>
      <c r="NZG38" s="926"/>
      <c r="NZH38" s="926"/>
      <c r="NZI38" s="926"/>
      <c r="NZJ38" s="926"/>
      <c r="NZK38" s="926"/>
      <c r="NZL38" s="926"/>
      <c r="NZM38" s="926"/>
      <c r="NZN38" s="926"/>
      <c r="NZO38" s="926"/>
      <c r="NZP38" s="926"/>
      <c r="NZQ38" s="926"/>
      <c r="NZR38" s="926"/>
      <c r="NZS38" s="926"/>
      <c r="NZT38" s="926"/>
      <c r="NZU38" s="926"/>
      <c r="NZV38" s="926"/>
      <c r="NZW38" s="926"/>
      <c r="NZX38" s="926"/>
      <c r="NZY38" s="926"/>
      <c r="NZZ38" s="926"/>
      <c r="OAA38" s="926"/>
      <c r="OAB38" s="926"/>
      <c r="OAC38" s="926"/>
      <c r="OAD38" s="926"/>
      <c r="OAE38" s="926"/>
      <c r="OAF38" s="926"/>
      <c r="OAG38" s="926"/>
      <c r="OAH38" s="926"/>
      <c r="OAI38" s="926"/>
      <c r="OAJ38" s="926"/>
      <c r="OAK38" s="926"/>
      <c r="OAL38" s="926"/>
      <c r="OAM38" s="926"/>
      <c r="OAN38" s="926"/>
      <c r="OAO38" s="926"/>
      <c r="OAP38" s="926"/>
      <c r="OAQ38" s="926"/>
      <c r="OAR38" s="926"/>
      <c r="OAS38" s="926"/>
      <c r="OAT38" s="926"/>
      <c r="OAU38" s="926"/>
      <c r="OAV38" s="926"/>
      <c r="OAW38" s="926"/>
      <c r="OAX38" s="926"/>
      <c r="OAY38" s="926"/>
      <c r="OAZ38" s="926"/>
      <c r="OBA38" s="926"/>
      <c r="OBB38" s="926"/>
      <c r="OBC38" s="926"/>
      <c r="OBD38" s="926"/>
      <c r="OBE38" s="926"/>
      <c r="OBF38" s="926"/>
      <c r="OBG38" s="926"/>
      <c r="OBH38" s="926"/>
      <c r="OBI38" s="926"/>
      <c r="OBJ38" s="926"/>
      <c r="OBK38" s="926"/>
      <c r="OBL38" s="926"/>
      <c r="OBM38" s="926"/>
      <c r="OBN38" s="926"/>
      <c r="OBO38" s="926"/>
      <c r="OBP38" s="926"/>
      <c r="OBQ38" s="926"/>
      <c r="OBR38" s="926"/>
      <c r="OBS38" s="926"/>
      <c r="OBT38" s="926"/>
      <c r="OBU38" s="926"/>
      <c r="OBV38" s="926"/>
      <c r="OBW38" s="926"/>
      <c r="OBX38" s="926"/>
      <c r="OBY38" s="926"/>
      <c r="OBZ38" s="926"/>
      <c r="OCA38" s="926"/>
      <c r="OCB38" s="926"/>
      <c r="OCC38" s="926"/>
      <c r="OCD38" s="926"/>
      <c r="OCE38" s="926"/>
      <c r="OCF38" s="926"/>
      <c r="OCG38" s="926"/>
      <c r="OCH38" s="926"/>
      <c r="OCI38" s="926"/>
      <c r="OCJ38" s="926"/>
      <c r="OCK38" s="926"/>
      <c r="OCL38" s="926"/>
      <c r="OCM38" s="926"/>
      <c r="OCN38" s="926"/>
      <c r="OCO38" s="926"/>
      <c r="OCP38" s="926"/>
      <c r="OCQ38" s="926"/>
      <c r="OCR38" s="926"/>
      <c r="OCS38" s="926"/>
      <c r="OCT38" s="926"/>
      <c r="OCU38" s="926"/>
      <c r="OCV38" s="926"/>
      <c r="OCW38" s="926"/>
      <c r="OCX38" s="926"/>
      <c r="OCY38" s="926"/>
      <c r="OCZ38" s="926"/>
      <c r="ODA38" s="926"/>
      <c r="ODB38" s="926"/>
      <c r="ODC38" s="926"/>
      <c r="ODD38" s="926"/>
      <c r="ODE38" s="926"/>
      <c r="ODF38" s="926"/>
      <c r="ODG38" s="926"/>
      <c r="ODH38" s="926"/>
      <c r="ODI38" s="926"/>
      <c r="ODJ38" s="926"/>
      <c r="ODK38" s="926"/>
      <c r="ODL38" s="926"/>
      <c r="ODM38" s="926"/>
      <c r="ODN38" s="926"/>
      <c r="ODO38" s="926"/>
      <c r="ODP38" s="926"/>
      <c r="ODQ38" s="926"/>
      <c r="ODR38" s="926"/>
      <c r="ODS38" s="926"/>
      <c r="ODT38" s="926"/>
      <c r="ODU38" s="926"/>
      <c r="ODV38" s="926"/>
      <c r="ODW38" s="926"/>
      <c r="ODX38" s="926"/>
      <c r="ODY38" s="926"/>
      <c r="ODZ38" s="926"/>
      <c r="OEA38" s="926"/>
      <c r="OEB38" s="926"/>
      <c r="OEC38" s="926"/>
      <c r="OED38" s="926"/>
      <c r="OEE38" s="926"/>
      <c r="OEF38" s="926"/>
      <c r="OEG38" s="926"/>
      <c r="OEH38" s="926"/>
      <c r="OEI38" s="926"/>
      <c r="OEJ38" s="926"/>
      <c r="OEK38" s="926"/>
      <c r="OEL38" s="926"/>
      <c r="OEM38" s="926"/>
      <c r="OEN38" s="926"/>
      <c r="OEO38" s="926"/>
      <c r="OEP38" s="926"/>
      <c r="OEQ38" s="926"/>
      <c r="OER38" s="926"/>
      <c r="OES38" s="926"/>
      <c r="OET38" s="926"/>
      <c r="OEU38" s="926"/>
      <c r="OEV38" s="926"/>
      <c r="OEW38" s="926"/>
      <c r="OEX38" s="926"/>
      <c r="OEY38" s="926"/>
      <c r="OEZ38" s="926"/>
      <c r="OFA38" s="926"/>
      <c r="OFB38" s="926"/>
      <c r="OFC38" s="926"/>
      <c r="OFD38" s="926"/>
      <c r="OFE38" s="926"/>
      <c r="OFF38" s="926"/>
      <c r="OFG38" s="926"/>
      <c r="OFH38" s="926"/>
      <c r="OFI38" s="926"/>
      <c r="OFJ38" s="926"/>
      <c r="OFK38" s="926"/>
      <c r="OFL38" s="926"/>
      <c r="OFM38" s="926"/>
      <c r="OFN38" s="926"/>
      <c r="OFO38" s="926"/>
      <c r="OFP38" s="926"/>
      <c r="OFQ38" s="926"/>
      <c r="OFR38" s="926"/>
      <c r="OFS38" s="926"/>
      <c r="OFT38" s="926"/>
      <c r="OFU38" s="926"/>
      <c r="OFV38" s="926"/>
      <c r="OFW38" s="926"/>
      <c r="OFX38" s="926"/>
      <c r="OFY38" s="926"/>
      <c r="OFZ38" s="926"/>
      <c r="OGA38" s="926"/>
      <c r="OGB38" s="926"/>
      <c r="OGC38" s="926"/>
      <c r="OGD38" s="926"/>
      <c r="OGE38" s="926"/>
      <c r="OGF38" s="926"/>
      <c r="OGG38" s="926"/>
      <c r="OGH38" s="926"/>
      <c r="OGI38" s="926"/>
      <c r="OGJ38" s="926"/>
      <c r="OGK38" s="926"/>
      <c r="OGL38" s="926"/>
      <c r="OGM38" s="926"/>
      <c r="OGN38" s="926"/>
      <c r="OGO38" s="926"/>
      <c r="OGP38" s="926"/>
      <c r="OGQ38" s="926"/>
      <c r="OGR38" s="926"/>
      <c r="OGS38" s="926"/>
      <c r="OGT38" s="926"/>
      <c r="OGU38" s="926"/>
      <c r="OGV38" s="926"/>
      <c r="OGW38" s="926"/>
      <c r="OGX38" s="926"/>
      <c r="OGY38" s="926"/>
      <c r="OGZ38" s="926"/>
      <c r="OHA38" s="926"/>
      <c r="OHB38" s="926"/>
      <c r="OHC38" s="926"/>
      <c r="OHD38" s="926"/>
      <c r="OHE38" s="926"/>
      <c r="OHF38" s="926"/>
      <c r="OHG38" s="926"/>
      <c r="OHH38" s="926"/>
      <c r="OHI38" s="926"/>
      <c r="OHJ38" s="926"/>
      <c r="OHK38" s="926"/>
      <c r="OHL38" s="926"/>
      <c r="OHM38" s="926"/>
      <c r="OHN38" s="926"/>
      <c r="OHO38" s="926"/>
      <c r="OHP38" s="926"/>
      <c r="OHQ38" s="926"/>
      <c r="OHR38" s="926"/>
      <c r="OHS38" s="926"/>
      <c r="OHT38" s="926"/>
      <c r="OHU38" s="926"/>
      <c r="OHV38" s="926"/>
      <c r="OHW38" s="926"/>
      <c r="OHX38" s="926"/>
      <c r="OHY38" s="926"/>
      <c r="OHZ38" s="926"/>
      <c r="OIA38" s="926"/>
      <c r="OIB38" s="926"/>
      <c r="OIC38" s="926"/>
      <c r="OID38" s="926"/>
      <c r="OIE38" s="926"/>
      <c r="OIF38" s="926"/>
      <c r="OIG38" s="926"/>
      <c r="OIH38" s="926"/>
      <c r="OII38" s="926"/>
      <c r="OIJ38" s="926"/>
      <c r="OIK38" s="926"/>
      <c r="OIL38" s="926"/>
      <c r="OIM38" s="926"/>
      <c r="OIN38" s="926"/>
      <c r="OIO38" s="926"/>
      <c r="OIP38" s="926"/>
      <c r="OIQ38" s="926"/>
      <c r="OIR38" s="926"/>
      <c r="OIS38" s="926"/>
      <c r="OIT38" s="926"/>
      <c r="OIU38" s="926"/>
      <c r="OIV38" s="926"/>
      <c r="OIW38" s="926"/>
      <c r="OIX38" s="926"/>
      <c r="OIY38" s="926"/>
      <c r="OIZ38" s="926"/>
      <c r="OJA38" s="926"/>
      <c r="OJB38" s="926"/>
      <c r="OJC38" s="926"/>
      <c r="OJD38" s="926"/>
      <c r="OJE38" s="926"/>
      <c r="OJF38" s="926"/>
      <c r="OJG38" s="926"/>
      <c r="OJH38" s="926"/>
      <c r="OJI38" s="926"/>
      <c r="OJJ38" s="926"/>
      <c r="OJK38" s="926"/>
      <c r="OJL38" s="926"/>
      <c r="OJM38" s="926"/>
      <c r="OJN38" s="926"/>
      <c r="OJO38" s="926"/>
      <c r="OJP38" s="926"/>
      <c r="OJQ38" s="926"/>
      <c r="OJR38" s="926"/>
      <c r="OJS38" s="926"/>
      <c r="OJT38" s="926"/>
      <c r="OJU38" s="926"/>
      <c r="OJV38" s="926"/>
      <c r="OJW38" s="926"/>
      <c r="OJX38" s="926"/>
      <c r="OJY38" s="926"/>
      <c r="OJZ38" s="926"/>
      <c r="OKA38" s="926"/>
      <c r="OKB38" s="926"/>
      <c r="OKC38" s="926"/>
      <c r="OKD38" s="926"/>
      <c r="OKE38" s="926"/>
      <c r="OKF38" s="926"/>
      <c r="OKG38" s="926"/>
      <c r="OKH38" s="926"/>
      <c r="OKI38" s="926"/>
      <c r="OKJ38" s="926"/>
      <c r="OKK38" s="926"/>
      <c r="OKL38" s="926"/>
      <c r="OKM38" s="926"/>
      <c r="OKN38" s="926"/>
      <c r="OKO38" s="926"/>
      <c r="OKP38" s="926"/>
      <c r="OKQ38" s="926"/>
      <c r="OKR38" s="926"/>
      <c r="OKS38" s="926"/>
      <c r="OKT38" s="926"/>
      <c r="OKU38" s="926"/>
      <c r="OKV38" s="926"/>
      <c r="OKW38" s="926"/>
      <c r="OKX38" s="926"/>
      <c r="OKY38" s="926"/>
      <c r="OKZ38" s="926"/>
      <c r="OLA38" s="926"/>
      <c r="OLB38" s="926"/>
      <c r="OLC38" s="926"/>
      <c r="OLD38" s="926"/>
      <c r="OLE38" s="926"/>
      <c r="OLF38" s="926"/>
      <c r="OLG38" s="926"/>
      <c r="OLH38" s="926"/>
      <c r="OLI38" s="926"/>
      <c r="OLJ38" s="926"/>
      <c r="OLK38" s="926"/>
      <c r="OLL38" s="926"/>
      <c r="OLM38" s="926"/>
      <c r="OLN38" s="926"/>
      <c r="OLO38" s="926"/>
      <c r="OLP38" s="926"/>
      <c r="OLQ38" s="926"/>
      <c r="OLR38" s="926"/>
      <c r="OLS38" s="926"/>
      <c r="OLT38" s="926"/>
      <c r="OLU38" s="926"/>
      <c r="OLV38" s="926"/>
      <c r="OLW38" s="926"/>
      <c r="OLX38" s="926"/>
      <c r="OLY38" s="926"/>
      <c r="OLZ38" s="926"/>
      <c r="OMA38" s="926"/>
      <c r="OMB38" s="926"/>
      <c r="OMC38" s="926"/>
      <c r="OMD38" s="926"/>
      <c r="OME38" s="926"/>
      <c r="OMF38" s="926"/>
      <c r="OMG38" s="926"/>
      <c r="OMH38" s="926"/>
      <c r="OMI38" s="926"/>
      <c r="OMJ38" s="926"/>
      <c r="OMK38" s="926"/>
      <c r="OML38" s="926"/>
      <c r="OMM38" s="926"/>
      <c r="OMN38" s="926"/>
      <c r="OMO38" s="926"/>
      <c r="OMP38" s="926"/>
      <c r="OMQ38" s="926"/>
      <c r="OMR38" s="926"/>
      <c r="OMS38" s="926"/>
      <c r="OMT38" s="926"/>
      <c r="OMU38" s="926"/>
      <c r="OMV38" s="926"/>
      <c r="OMW38" s="926"/>
      <c r="OMX38" s="926"/>
      <c r="OMY38" s="926"/>
      <c r="OMZ38" s="926"/>
      <c r="ONA38" s="926"/>
      <c r="ONB38" s="926"/>
      <c r="ONC38" s="926"/>
      <c r="OND38" s="926"/>
      <c r="ONE38" s="926"/>
      <c r="ONF38" s="926"/>
      <c r="ONG38" s="926"/>
      <c r="ONH38" s="926"/>
      <c r="ONI38" s="926"/>
      <c r="ONJ38" s="926"/>
      <c r="ONK38" s="926"/>
      <c r="ONL38" s="926"/>
      <c r="ONM38" s="926"/>
      <c r="ONN38" s="926"/>
      <c r="ONO38" s="926"/>
      <c r="ONP38" s="926"/>
      <c r="ONQ38" s="926"/>
      <c r="ONR38" s="926"/>
      <c r="ONS38" s="926"/>
      <c r="ONT38" s="926"/>
      <c r="ONU38" s="926"/>
      <c r="ONV38" s="926"/>
      <c r="ONW38" s="926"/>
      <c r="ONX38" s="926"/>
      <c r="ONY38" s="926"/>
      <c r="ONZ38" s="926"/>
      <c r="OOA38" s="926"/>
      <c r="OOB38" s="926"/>
      <c r="OOC38" s="926"/>
      <c r="OOD38" s="926"/>
      <c r="OOE38" s="926"/>
      <c r="OOF38" s="926"/>
      <c r="OOG38" s="926"/>
      <c r="OOH38" s="926"/>
      <c r="OOI38" s="926"/>
      <c r="OOJ38" s="926"/>
      <c r="OOK38" s="926"/>
      <c r="OOL38" s="926"/>
      <c r="OOM38" s="926"/>
      <c r="OON38" s="926"/>
      <c r="OOO38" s="926"/>
      <c r="OOP38" s="926"/>
      <c r="OOQ38" s="926"/>
      <c r="OOR38" s="926"/>
      <c r="OOS38" s="926"/>
      <c r="OOT38" s="926"/>
      <c r="OOU38" s="926"/>
      <c r="OOV38" s="926"/>
      <c r="OOW38" s="926"/>
      <c r="OOX38" s="926"/>
      <c r="OOY38" s="926"/>
      <c r="OOZ38" s="926"/>
      <c r="OPA38" s="926"/>
      <c r="OPB38" s="926"/>
      <c r="OPC38" s="926"/>
      <c r="OPD38" s="926"/>
      <c r="OPE38" s="926"/>
      <c r="OPF38" s="926"/>
      <c r="OPG38" s="926"/>
      <c r="OPH38" s="926"/>
      <c r="OPI38" s="926"/>
      <c r="OPJ38" s="926"/>
      <c r="OPK38" s="926"/>
      <c r="OPL38" s="926"/>
      <c r="OPM38" s="926"/>
      <c r="OPN38" s="926"/>
      <c r="OPO38" s="926"/>
      <c r="OPP38" s="926"/>
      <c r="OPQ38" s="926"/>
      <c r="OPR38" s="926"/>
      <c r="OPS38" s="926"/>
      <c r="OPT38" s="926"/>
      <c r="OPU38" s="926"/>
      <c r="OPV38" s="926"/>
      <c r="OPW38" s="926"/>
      <c r="OPX38" s="926"/>
      <c r="OPY38" s="926"/>
      <c r="OPZ38" s="926"/>
      <c r="OQA38" s="926"/>
      <c r="OQB38" s="926"/>
      <c r="OQC38" s="926"/>
      <c r="OQD38" s="926"/>
      <c r="OQE38" s="926"/>
      <c r="OQF38" s="926"/>
      <c r="OQG38" s="926"/>
      <c r="OQH38" s="926"/>
      <c r="OQI38" s="926"/>
      <c r="OQJ38" s="926"/>
      <c r="OQK38" s="926"/>
      <c r="OQL38" s="926"/>
      <c r="OQM38" s="926"/>
      <c r="OQN38" s="926"/>
      <c r="OQO38" s="926"/>
      <c r="OQP38" s="926"/>
      <c r="OQQ38" s="926"/>
      <c r="OQR38" s="926"/>
      <c r="OQS38" s="926"/>
      <c r="OQT38" s="926"/>
      <c r="OQU38" s="926"/>
      <c r="OQV38" s="926"/>
      <c r="OQW38" s="926"/>
      <c r="OQX38" s="926"/>
      <c r="OQY38" s="926"/>
      <c r="OQZ38" s="926"/>
      <c r="ORA38" s="926"/>
      <c r="ORB38" s="926"/>
      <c r="ORC38" s="926"/>
      <c r="ORD38" s="926"/>
      <c r="ORE38" s="926"/>
      <c r="ORF38" s="926"/>
      <c r="ORG38" s="926"/>
      <c r="ORH38" s="926"/>
      <c r="ORI38" s="926"/>
      <c r="ORJ38" s="926"/>
      <c r="ORK38" s="926"/>
      <c r="ORL38" s="926"/>
      <c r="ORM38" s="926"/>
      <c r="ORN38" s="926"/>
      <c r="ORO38" s="926"/>
      <c r="ORP38" s="926"/>
      <c r="ORQ38" s="926"/>
      <c r="ORR38" s="926"/>
      <c r="ORS38" s="926"/>
      <c r="ORT38" s="926"/>
      <c r="ORU38" s="926"/>
      <c r="ORV38" s="926"/>
      <c r="ORW38" s="926"/>
      <c r="ORX38" s="926"/>
      <c r="ORY38" s="926"/>
      <c r="ORZ38" s="926"/>
      <c r="OSA38" s="926"/>
      <c r="OSB38" s="926"/>
      <c r="OSC38" s="926"/>
      <c r="OSD38" s="926"/>
      <c r="OSE38" s="926"/>
      <c r="OSF38" s="926"/>
      <c r="OSG38" s="926"/>
      <c r="OSH38" s="926"/>
      <c r="OSI38" s="926"/>
      <c r="OSJ38" s="926"/>
      <c r="OSK38" s="926"/>
      <c r="OSL38" s="926"/>
      <c r="OSM38" s="926"/>
      <c r="OSN38" s="926"/>
      <c r="OSO38" s="926"/>
      <c r="OSP38" s="926"/>
      <c r="OSQ38" s="926"/>
      <c r="OSR38" s="926"/>
      <c r="OSS38" s="926"/>
      <c r="OST38" s="926"/>
      <c r="OSU38" s="926"/>
      <c r="OSV38" s="926"/>
      <c r="OSW38" s="926"/>
      <c r="OSX38" s="926"/>
      <c r="OSY38" s="926"/>
      <c r="OSZ38" s="926"/>
      <c r="OTA38" s="926"/>
      <c r="OTB38" s="926"/>
      <c r="OTC38" s="926"/>
      <c r="OTD38" s="926"/>
      <c r="OTE38" s="926"/>
      <c r="OTF38" s="926"/>
      <c r="OTG38" s="926"/>
      <c r="OTH38" s="926"/>
      <c r="OTI38" s="926"/>
      <c r="OTJ38" s="926"/>
      <c r="OTK38" s="926"/>
      <c r="OTL38" s="926"/>
      <c r="OTM38" s="926"/>
      <c r="OTN38" s="926"/>
      <c r="OTO38" s="926"/>
      <c r="OTP38" s="926"/>
      <c r="OTQ38" s="926"/>
      <c r="OTR38" s="926"/>
      <c r="OTS38" s="926"/>
      <c r="OTT38" s="926"/>
      <c r="OTU38" s="926"/>
      <c r="OTV38" s="926"/>
      <c r="OTW38" s="926"/>
      <c r="OTX38" s="926"/>
      <c r="OTY38" s="926"/>
      <c r="OTZ38" s="926"/>
      <c r="OUA38" s="926"/>
      <c r="OUB38" s="926"/>
      <c r="OUC38" s="926"/>
      <c r="OUD38" s="926"/>
      <c r="OUE38" s="926"/>
      <c r="OUF38" s="926"/>
      <c r="OUG38" s="926"/>
      <c r="OUH38" s="926"/>
      <c r="OUI38" s="926"/>
      <c r="OUJ38" s="926"/>
      <c r="OUK38" s="926"/>
      <c r="OUL38" s="926"/>
      <c r="OUM38" s="926"/>
      <c r="OUN38" s="926"/>
      <c r="OUO38" s="926"/>
      <c r="OUP38" s="926"/>
      <c r="OUQ38" s="926"/>
      <c r="OUR38" s="926"/>
      <c r="OUS38" s="926"/>
      <c r="OUT38" s="926"/>
      <c r="OUU38" s="926"/>
      <c r="OUV38" s="926"/>
      <c r="OUW38" s="926"/>
      <c r="OUX38" s="926"/>
      <c r="OUY38" s="926"/>
      <c r="OUZ38" s="926"/>
      <c r="OVA38" s="926"/>
      <c r="OVB38" s="926"/>
      <c r="OVC38" s="926"/>
      <c r="OVD38" s="926"/>
      <c r="OVE38" s="926"/>
      <c r="OVF38" s="926"/>
      <c r="OVG38" s="926"/>
      <c r="OVH38" s="926"/>
      <c r="OVI38" s="926"/>
      <c r="OVJ38" s="926"/>
      <c r="OVK38" s="926"/>
      <c r="OVL38" s="926"/>
      <c r="OVM38" s="926"/>
      <c r="OVN38" s="926"/>
      <c r="OVO38" s="926"/>
      <c r="OVP38" s="926"/>
      <c r="OVQ38" s="926"/>
      <c r="OVR38" s="926"/>
      <c r="OVS38" s="926"/>
      <c r="OVT38" s="926"/>
      <c r="OVU38" s="926"/>
      <c r="OVV38" s="926"/>
      <c r="OVW38" s="926"/>
      <c r="OVX38" s="926"/>
      <c r="OVY38" s="926"/>
      <c r="OVZ38" s="926"/>
      <c r="OWA38" s="926"/>
      <c r="OWB38" s="926"/>
      <c r="OWC38" s="926"/>
      <c r="OWD38" s="926"/>
      <c r="OWE38" s="926"/>
      <c r="OWF38" s="926"/>
      <c r="OWG38" s="926"/>
      <c r="OWH38" s="926"/>
      <c r="OWI38" s="926"/>
      <c r="OWJ38" s="926"/>
      <c r="OWK38" s="926"/>
      <c r="OWL38" s="926"/>
      <c r="OWM38" s="926"/>
      <c r="OWN38" s="926"/>
      <c r="OWO38" s="926"/>
      <c r="OWP38" s="926"/>
      <c r="OWQ38" s="926"/>
      <c r="OWR38" s="926"/>
      <c r="OWS38" s="926"/>
      <c r="OWT38" s="926"/>
      <c r="OWU38" s="926"/>
      <c r="OWV38" s="926"/>
      <c r="OWW38" s="926"/>
      <c r="OWX38" s="926"/>
      <c r="OWY38" s="926"/>
      <c r="OWZ38" s="926"/>
      <c r="OXA38" s="926"/>
      <c r="OXB38" s="926"/>
      <c r="OXC38" s="926"/>
      <c r="OXD38" s="926"/>
      <c r="OXE38" s="926"/>
      <c r="OXF38" s="926"/>
      <c r="OXG38" s="926"/>
      <c r="OXH38" s="926"/>
      <c r="OXI38" s="926"/>
      <c r="OXJ38" s="926"/>
      <c r="OXK38" s="926"/>
      <c r="OXL38" s="926"/>
      <c r="OXM38" s="926"/>
      <c r="OXN38" s="926"/>
      <c r="OXO38" s="926"/>
      <c r="OXP38" s="926"/>
      <c r="OXQ38" s="926"/>
      <c r="OXR38" s="926"/>
      <c r="OXS38" s="926"/>
      <c r="OXT38" s="926"/>
      <c r="OXU38" s="926"/>
      <c r="OXV38" s="926"/>
      <c r="OXW38" s="926"/>
      <c r="OXX38" s="926"/>
      <c r="OXY38" s="926"/>
      <c r="OXZ38" s="926"/>
      <c r="OYA38" s="926"/>
      <c r="OYB38" s="926"/>
      <c r="OYC38" s="926"/>
      <c r="OYD38" s="926"/>
      <c r="OYE38" s="926"/>
      <c r="OYF38" s="926"/>
      <c r="OYG38" s="926"/>
      <c r="OYH38" s="926"/>
      <c r="OYI38" s="926"/>
      <c r="OYJ38" s="926"/>
      <c r="OYK38" s="926"/>
      <c r="OYL38" s="926"/>
      <c r="OYM38" s="926"/>
      <c r="OYN38" s="926"/>
      <c r="OYO38" s="926"/>
      <c r="OYP38" s="926"/>
      <c r="OYQ38" s="926"/>
      <c r="OYR38" s="926"/>
      <c r="OYS38" s="926"/>
      <c r="OYT38" s="926"/>
      <c r="OYU38" s="926"/>
      <c r="OYV38" s="926"/>
      <c r="OYW38" s="926"/>
      <c r="OYX38" s="926"/>
      <c r="OYY38" s="926"/>
      <c r="OYZ38" s="926"/>
      <c r="OZA38" s="926"/>
      <c r="OZB38" s="926"/>
      <c r="OZC38" s="926"/>
      <c r="OZD38" s="926"/>
      <c r="OZE38" s="926"/>
      <c r="OZF38" s="926"/>
      <c r="OZG38" s="926"/>
      <c r="OZH38" s="926"/>
      <c r="OZI38" s="926"/>
      <c r="OZJ38" s="926"/>
      <c r="OZK38" s="926"/>
      <c r="OZL38" s="926"/>
      <c r="OZM38" s="926"/>
      <c r="OZN38" s="926"/>
      <c r="OZO38" s="926"/>
      <c r="OZP38" s="926"/>
      <c r="OZQ38" s="926"/>
      <c r="OZR38" s="926"/>
      <c r="OZS38" s="926"/>
      <c r="OZT38" s="926"/>
      <c r="OZU38" s="926"/>
      <c r="OZV38" s="926"/>
      <c r="OZW38" s="926"/>
      <c r="OZX38" s="926"/>
      <c r="OZY38" s="926"/>
      <c r="OZZ38" s="926"/>
      <c r="PAA38" s="926"/>
      <c r="PAB38" s="926"/>
      <c r="PAC38" s="926"/>
      <c r="PAD38" s="926"/>
      <c r="PAE38" s="926"/>
      <c r="PAF38" s="926"/>
      <c r="PAG38" s="926"/>
      <c r="PAH38" s="926"/>
      <c r="PAI38" s="926"/>
      <c r="PAJ38" s="926"/>
      <c r="PAK38" s="926"/>
      <c r="PAL38" s="926"/>
      <c r="PAM38" s="926"/>
      <c r="PAN38" s="926"/>
      <c r="PAO38" s="926"/>
      <c r="PAP38" s="926"/>
      <c r="PAQ38" s="926"/>
      <c r="PAR38" s="926"/>
      <c r="PAS38" s="926"/>
      <c r="PAT38" s="926"/>
      <c r="PAU38" s="926"/>
      <c r="PAV38" s="926"/>
      <c r="PAW38" s="926"/>
      <c r="PAX38" s="926"/>
      <c r="PAY38" s="926"/>
      <c r="PAZ38" s="926"/>
      <c r="PBA38" s="926"/>
      <c r="PBB38" s="926"/>
      <c r="PBC38" s="926"/>
      <c r="PBD38" s="926"/>
      <c r="PBE38" s="926"/>
      <c r="PBF38" s="926"/>
      <c r="PBG38" s="926"/>
      <c r="PBH38" s="926"/>
      <c r="PBI38" s="926"/>
      <c r="PBJ38" s="926"/>
      <c r="PBK38" s="926"/>
      <c r="PBL38" s="926"/>
      <c r="PBM38" s="926"/>
      <c r="PBN38" s="926"/>
      <c r="PBO38" s="926"/>
      <c r="PBP38" s="926"/>
      <c r="PBQ38" s="926"/>
      <c r="PBR38" s="926"/>
      <c r="PBS38" s="926"/>
      <c r="PBT38" s="926"/>
      <c r="PBU38" s="926"/>
      <c r="PBV38" s="926"/>
      <c r="PBW38" s="926"/>
      <c r="PBX38" s="926"/>
      <c r="PBY38" s="926"/>
      <c r="PBZ38" s="926"/>
      <c r="PCA38" s="926"/>
      <c r="PCB38" s="926"/>
      <c r="PCC38" s="926"/>
      <c r="PCD38" s="926"/>
      <c r="PCE38" s="926"/>
      <c r="PCF38" s="926"/>
      <c r="PCG38" s="926"/>
      <c r="PCH38" s="926"/>
      <c r="PCI38" s="926"/>
      <c r="PCJ38" s="926"/>
      <c r="PCK38" s="926"/>
      <c r="PCL38" s="926"/>
      <c r="PCM38" s="926"/>
      <c r="PCN38" s="926"/>
      <c r="PCO38" s="926"/>
      <c r="PCP38" s="926"/>
      <c r="PCQ38" s="926"/>
      <c r="PCR38" s="926"/>
      <c r="PCS38" s="926"/>
      <c r="PCT38" s="926"/>
      <c r="PCU38" s="926"/>
      <c r="PCV38" s="926"/>
      <c r="PCW38" s="926"/>
      <c r="PCX38" s="926"/>
      <c r="PCY38" s="926"/>
      <c r="PCZ38" s="926"/>
      <c r="PDA38" s="926"/>
      <c r="PDB38" s="926"/>
      <c r="PDC38" s="926"/>
      <c r="PDD38" s="926"/>
      <c r="PDE38" s="926"/>
      <c r="PDF38" s="926"/>
      <c r="PDG38" s="926"/>
      <c r="PDH38" s="926"/>
      <c r="PDI38" s="926"/>
      <c r="PDJ38" s="926"/>
      <c r="PDK38" s="926"/>
      <c r="PDL38" s="926"/>
      <c r="PDM38" s="926"/>
      <c r="PDN38" s="926"/>
      <c r="PDO38" s="926"/>
      <c r="PDP38" s="926"/>
      <c r="PDQ38" s="926"/>
      <c r="PDR38" s="926"/>
      <c r="PDS38" s="926"/>
      <c r="PDT38" s="926"/>
      <c r="PDU38" s="926"/>
      <c r="PDV38" s="926"/>
      <c r="PDW38" s="926"/>
      <c r="PDX38" s="926"/>
      <c r="PDY38" s="926"/>
      <c r="PDZ38" s="926"/>
      <c r="PEA38" s="926"/>
      <c r="PEB38" s="926"/>
      <c r="PEC38" s="926"/>
      <c r="PED38" s="926"/>
      <c r="PEE38" s="926"/>
      <c r="PEF38" s="926"/>
      <c r="PEG38" s="926"/>
      <c r="PEH38" s="926"/>
      <c r="PEI38" s="926"/>
      <c r="PEJ38" s="926"/>
      <c r="PEK38" s="926"/>
      <c r="PEL38" s="926"/>
      <c r="PEM38" s="926"/>
      <c r="PEN38" s="926"/>
      <c r="PEO38" s="926"/>
      <c r="PEP38" s="926"/>
      <c r="PEQ38" s="926"/>
      <c r="PER38" s="926"/>
      <c r="PES38" s="926"/>
      <c r="PET38" s="926"/>
      <c r="PEU38" s="926"/>
      <c r="PEV38" s="926"/>
      <c r="PEW38" s="926"/>
      <c r="PEX38" s="926"/>
      <c r="PEY38" s="926"/>
      <c r="PEZ38" s="926"/>
      <c r="PFA38" s="926"/>
      <c r="PFB38" s="926"/>
      <c r="PFC38" s="926"/>
      <c r="PFD38" s="926"/>
      <c r="PFE38" s="926"/>
      <c r="PFF38" s="926"/>
      <c r="PFG38" s="926"/>
      <c r="PFH38" s="926"/>
      <c r="PFI38" s="926"/>
      <c r="PFJ38" s="926"/>
      <c r="PFK38" s="926"/>
      <c r="PFL38" s="926"/>
      <c r="PFM38" s="926"/>
      <c r="PFN38" s="926"/>
      <c r="PFO38" s="926"/>
      <c r="PFP38" s="926"/>
      <c r="PFQ38" s="926"/>
      <c r="PFR38" s="926"/>
      <c r="PFS38" s="926"/>
      <c r="PFT38" s="926"/>
      <c r="PFU38" s="926"/>
      <c r="PFV38" s="926"/>
      <c r="PFW38" s="926"/>
      <c r="PFX38" s="926"/>
      <c r="PFY38" s="926"/>
      <c r="PFZ38" s="926"/>
      <c r="PGA38" s="926"/>
      <c r="PGB38" s="926"/>
      <c r="PGC38" s="926"/>
      <c r="PGD38" s="926"/>
      <c r="PGE38" s="926"/>
      <c r="PGF38" s="926"/>
      <c r="PGG38" s="926"/>
      <c r="PGH38" s="926"/>
      <c r="PGI38" s="926"/>
      <c r="PGJ38" s="926"/>
      <c r="PGK38" s="926"/>
      <c r="PGL38" s="926"/>
      <c r="PGM38" s="926"/>
      <c r="PGN38" s="926"/>
      <c r="PGO38" s="926"/>
      <c r="PGP38" s="926"/>
      <c r="PGQ38" s="926"/>
      <c r="PGR38" s="926"/>
      <c r="PGS38" s="926"/>
      <c r="PGT38" s="926"/>
      <c r="PGU38" s="926"/>
      <c r="PGV38" s="926"/>
      <c r="PGW38" s="926"/>
      <c r="PGX38" s="926"/>
      <c r="PGY38" s="926"/>
      <c r="PGZ38" s="926"/>
      <c r="PHA38" s="926"/>
      <c r="PHB38" s="926"/>
      <c r="PHC38" s="926"/>
      <c r="PHD38" s="926"/>
      <c r="PHE38" s="926"/>
      <c r="PHF38" s="926"/>
      <c r="PHG38" s="926"/>
      <c r="PHH38" s="926"/>
      <c r="PHI38" s="926"/>
      <c r="PHJ38" s="926"/>
      <c r="PHK38" s="926"/>
      <c r="PHL38" s="926"/>
      <c r="PHM38" s="926"/>
      <c r="PHN38" s="926"/>
      <c r="PHO38" s="926"/>
      <c r="PHP38" s="926"/>
      <c r="PHQ38" s="926"/>
      <c r="PHR38" s="926"/>
      <c r="PHS38" s="926"/>
      <c r="PHT38" s="926"/>
      <c r="PHU38" s="926"/>
      <c r="PHV38" s="926"/>
      <c r="PHW38" s="926"/>
      <c r="PHX38" s="926"/>
      <c r="PHY38" s="926"/>
      <c r="PHZ38" s="926"/>
      <c r="PIA38" s="926"/>
      <c r="PIB38" s="926"/>
      <c r="PIC38" s="926"/>
      <c r="PID38" s="926"/>
      <c r="PIE38" s="926"/>
      <c r="PIF38" s="926"/>
      <c r="PIG38" s="926"/>
      <c r="PIH38" s="926"/>
      <c r="PII38" s="926"/>
      <c r="PIJ38" s="926"/>
      <c r="PIK38" s="926"/>
      <c r="PIL38" s="926"/>
      <c r="PIM38" s="926"/>
      <c r="PIN38" s="926"/>
      <c r="PIO38" s="926"/>
      <c r="PIP38" s="926"/>
      <c r="PIQ38" s="926"/>
      <c r="PIR38" s="926"/>
      <c r="PIS38" s="926"/>
      <c r="PIT38" s="926"/>
      <c r="PIU38" s="926"/>
      <c r="PIV38" s="926"/>
      <c r="PIW38" s="926"/>
      <c r="PIX38" s="926"/>
      <c r="PIY38" s="926"/>
      <c r="PIZ38" s="926"/>
      <c r="PJA38" s="926"/>
      <c r="PJB38" s="926"/>
      <c r="PJC38" s="926"/>
      <c r="PJD38" s="926"/>
      <c r="PJE38" s="926"/>
      <c r="PJF38" s="926"/>
      <c r="PJG38" s="926"/>
      <c r="PJH38" s="926"/>
      <c r="PJI38" s="926"/>
      <c r="PJJ38" s="926"/>
      <c r="PJK38" s="926"/>
      <c r="PJL38" s="926"/>
      <c r="PJM38" s="926"/>
      <c r="PJN38" s="926"/>
      <c r="PJO38" s="926"/>
      <c r="PJP38" s="926"/>
      <c r="PJQ38" s="926"/>
      <c r="PJR38" s="926"/>
      <c r="PJS38" s="926"/>
      <c r="PJT38" s="926"/>
      <c r="PJU38" s="926"/>
      <c r="PJV38" s="926"/>
      <c r="PJW38" s="926"/>
      <c r="PJX38" s="926"/>
      <c r="PJY38" s="926"/>
      <c r="PJZ38" s="926"/>
      <c r="PKA38" s="926"/>
      <c r="PKB38" s="926"/>
      <c r="PKC38" s="926"/>
      <c r="PKD38" s="926"/>
      <c r="PKE38" s="926"/>
      <c r="PKF38" s="926"/>
      <c r="PKG38" s="926"/>
      <c r="PKH38" s="926"/>
      <c r="PKI38" s="926"/>
      <c r="PKJ38" s="926"/>
      <c r="PKK38" s="926"/>
      <c r="PKL38" s="926"/>
      <c r="PKM38" s="926"/>
      <c r="PKN38" s="926"/>
      <c r="PKO38" s="926"/>
      <c r="PKP38" s="926"/>
      <c r="PKQ38" s="926"/>
      <c r="PKR38" s="926"/>
      <c r="PKS38" s="926"/>
      <c r="PKT38" s="926"/>
      <c r="PKU38" s="926"/>
      <c r="PKV38" s="926"/>
      <c r="PKW38" s="926"/>
      <c r="PKX38" s="926"/>
      <c r="PKY38" s="926"/>
      <c r="PKZ38" s="926"/>
      <c r="PLA38" s="926"/>
      <c r="PLB38" s="926"/>
      <c r="PLC38" s="926"/>
      <c r="PLD38" s="926"/>
      <c r="PLE38" s="926"/>
      <c r="PLF38" s="926"/>
      <c r="PLG38" s="926"/>
      <c r="PLH38" s="926"/>
      <c r="PLI38" s="926"/>
      <c r="PLJ38" s="926"/>
      <c r="PLK38" s="926"/>
      <c r="PLL38" s="926"/>
      <c r="PLM38" s="926"/>
      <c r="PLN38" s="926"/>
      <c r="PLO38" s="926"/>
      <c r="PLP38" s="926"/>
      <c r="PLQ38" s="926"/>
      <c r="PLR38" s="926"/>
      <c r="PLS38" s="926"/>
      <c r="PLT38" s="926"/>
      <c r="PLU38" s="926"/>
      <c r="PLV38" s="926"/>
      <c r="PLW38" s="926"/>
      <c r="PLX38" s="926"/>
      <c r="PLY38" s="926"/>
      <c r="PLZ38" s="926"/>
      <c r="PMA38" s="926"/>
      <c r="PMB38" s="926"/>
      <c r="PMC38" s="926"/>
      <c r="PMD38" s="926"/>
      <c r="PME38" s="926"/>
      <c r="PMF38" s="926"/>
      <c r="PMG38" s="926"/>
      <c r="PMH38" s="926"/>
      <c r="PMI38" s="926"/>
      <c r="PMJ38" s="926"/>
      <c r="PMK38" s="926"/>
      <c r="PML38" s="926"/>
      <c r="PMM38" s="926"/>
      <c r="PMN38" s="926"/>
      <c r="PMO38" s="926"/>
      <c r="PMP38" s="926"/>
      <c r="PMQ38" s="926"/>
      <c r="PMR38" s="926"/>
      <c r="PMS38" s="926"/>
      <c r="PMT38" s="926"/>
      <c r="PMU38" s="926"/>
      <c r="PMV38" s="926"/>
      <c r="PMW38" s="926"/>
      <c r="PMX38" s="926"/>
      <c r="PMY38" s="926"/>
      <c r="PMZ38" s="926"/>
      <c r="PNA38" s="926"/>
      <c r="PNB38" s="926"/>
      <c r="PNC38" s="926"/>
      <c r="PND38" s="926"/>
      <c r="PNE38" s="926"/>
      <c r="PNF38" s="926"/>
      <c r="PNG38" s="926"/>
      <c r="PNH38" s="926"/>
      <c r="PNI38" s="926"/>
      <c r="PNJ38" s="926"/>
      <c r="PNK38" s="926"/>
      <c r="PNL38" s="926"/>
      <c r="PNM38" s="926"/>
      <c r="PNN38" s="926"/>
      <c r="PNO38" s="926"/>
      <c r="PNP38" s="926"/>
      <c r="PNQ38" s="926"/>
      <c r="PNR38" s="926"/>
      <c r="PNS38" s="926"/>
      <c r="PNT38" s="926"/>
      <c r="PNU38" s="926"/>
      <c r="PNV38" s="926"/>
      <c r="PNW38" s="926"/>
      <c r="PNX38" s="926"/>
      <c r="PNY38" s="926"/>
      <c r="PNZ38" s="926"/>
      <c r="POA38" s="926"/>
      <c r="POB38" s="926"/>
      <c r="POC38" s="926"/>
      <c r="POD38" s="926"/>
      <c r="POE38" s="926"/>
      <c r="POF38" s="926"/>
      <c r="POG38" s="926"/>
      <c r="POH38" s="926"/>
      <c r="POI38" s="926"/>
      <c r="POJ38" s="926"/>
      <c r="POK38" s="926"/>
      <c r="POL38" s="926"/>
      <c r="POM38" s="926"/>
      <c r="PON38" s="926"/>
      <c r="POO38" s="926"/>
      <c r="POP38" s="926"/>
      <c r="POQ38" s="926"/>
      <c r="POR38" s="926"/>
      <c r="POS38" s="926"/>
      <c r="POT38" s="926"/>
      <c r="POU38" s="926"/>
      <c r="POV38" s="926"/>
      <c r="POW38" s="926"/>
      <c r="POX38" s="926"/>
      <c r="POY38" s="926"/>
      <c r="POZ38" s="926"/>
      <c r="PPA38" s="926"/>
      <c r="PPB38" s="926"/>
      <c r="PPC38" s="926"/>
      <c r="PPD38" s="926"/>
      <c r="PPE38" s="926"/>
      <c r="PPF38" s="926"/>
      <c r="PPG38" s="926"/>
      <c r="PPH38" s="926"/>
      <c r="PPI38" s="926"/>
      <c r="PPJ38" s="926"/>
      <c r="PPK38" s="926"/>
      <c r="PPL38" s="926"/>
      <c r="PPM38" s="926"/>
      <c r="PPN38" s="926"/>
      <c r="PPO38" s="926"/>
      <c r="PPP38" s="926"/>
      <c r="PPQ38" s="926"/>
      <c r="PPR38" s="926"/>
      <c r="PPS38" s="926"/>
      <c r="PPT38" s="926"/>
      <c r="PPU38" s="926"/>
      <c r="PPV38" s="926"/>
      <c r="PPW38" s="926"/>
      <c r="PPX38" s="926"/>
      <c r="PPY38" s="926"/>
      <c r="PPZ38" s="926"/>
      <c r="PQA38" s="926"/>
      <c r="PQB38" s="926"/>
      <c r="PQC38" s="926"/>
      <c r="PQD38" s="926"/>
      <c r="PQE38" s="926"/>
      <c r="PQF38" s="926"/>
      <c r="PQG38" s="926"/>
      <c r="PQH38" s="926"/>
      <c r="PQI38" s="926"/>
      <c r="PQJ38" s="926"/>
      <c r="PQK38" s="926"/>
      <c r="PQL38" s="926"/>
      <c r="PQM38" s="926"/>
      <c r="PQN38" s="926"/>
      <c r="PQO38" s="926"/>
      <c r="PQP38" s="926"/>
      <c r="PQQ38" s="926"/>
      <c r="PQR38" s="926"/>
      <c r="PQS38" s="926"/>
      <c r="PQT38" s="926"/>
      <c r="PQU38" s="926"/>
      <c r="PQV38" s="926"/>
      <c r="PQW38" s="926"/>
      <c r="PQX38" s="926"/>
      <c r="PQY38" s="926"/>
      <c r="PQZ38" s="926"/>
      <c r="PRA38" s="926"/>
      <c r="PRB38" s="926"/>
      <c r="PRC38" s="926"/>
      <c r="PRD38" s="926"/>
      <c r="PRE38" s="926"/>
      <c r="PRF38" s="926"/>
      <c r="PRG38" s="926"/>
      <c r="PRH38" s="926"/>
      <c r="PRI38" s="926"/>
      <c r="PRJ38" s="926"/>
      <c r="PRK38" s="926"/>
      <c r="PRL38" s="926"/>
      <c r="PRM38" s="926"/>
      <c r="PRN38" s="926"/>
      <c r="PRO38" s="926"/>
      <c r="PRP38" s="926"/>
      <c r="PRQ38" s="926"/>
      <c r="PRR38" s="926"/>
      <c r="PRS38" s="926"/>
      <c r="PRT38" s="926"/>
      <c r="PRU38" s="926"/>
      <c r="PRV38" s="926"/>
      <c r="PRW38" s="926"/>
      <c r="PRX38" s="926"/>
      <c r="PRY38" s="926"/>
      <c r="PRZ38" s="926"/>
      <c r="PSA38" s="926"/>
      <c r="PSB38" s="926"/>
      <c r="PSC38" s="926"/>
      <c r="PSD38" s="926"/>
      <c r="PSE38" s="926"/>
      <c r="PSF38" s="926"/>
      <c r="PSG38" s="926"/>
      <c r="PSH38" s="926"/>
      <c r="PSI38" s="926"/>
      <c r="PSJ38" s="926"/>
      <c r="PSK38" s="926"/>
      <c r="PSL38" s="926"/>
      <c r="PSM38" s="926"/>
      <c r="PSN38" s="926"/>
      <c r="PSO38" s="926"/>
      <c r="PSP38" s="926"/>
      <c r="PSQ38" s="926"/>
      <c r="PSR38" s="926"/>
      <c r="PSS38" s="926"/>
      <c r="PST38" s="926"/>
      <c r="PSU38" s="926"/>
      <c r="PSV38" s="926"/>
      <c r="PSW38" s="926"/>
      <c r="PSX38" s="926"/>
      <c r="PSY38" s="926"/>
      <c r="PSZ38" s="926"/>
      <c r="PTA38" s="926"/>
      <c r="PTB38" s="926"/>
      <c r="PTC38" s="926"/>
      <c r="PTD38" s="926"/>
      <c r="PTE38" s="926"/>
      <c r="PTF38" s="926"/>
      <c r="PTG38" s="926"/>
      <c r="PTH38" s="926"/>
      <c r="PTI38" s="926"/>
      <c r="PTJ38" s="926"/>
      <c r="PTK38" s="926"/>
      <c r="PTL38" s="926"/>
      <c r="PTM38" s="926"/>
      <c r="PTN38" s="926"/>
      <c r="PTO38" s="926"/>
      <c r="PTP38" s="926"/>
      <c r="PTQ38" s="926"/>
      <c r="PTR38" s="926"/>
      <c r="PTS38" s="926"/>
      <c r="PTT38" s="926"/>
      <c r="PTU38" s="926"/>
      <c r="PTV38" s="926"/>
      <c r="PTW38" s="926"/>
      <c r="PTX38" s="926"/>
      <c r="PTY38" s="926"/>
      <c r="PTZ38" s="926"/>
      <c r="PUA38" s="926"/>
      <c r="PUB38" s="926"/>
      <c r="PUC38" s="926"/>
      <c r="PUD38" s="926"/>
      <c r="PUE38" s="926"/>
      <c r="PUF38" s="926"/>
      <c r="PUG38" s="926"/>
      <c r="PUH38" s="926"/>
      <c r="PUI38" s="926"/>
      <c r="PUJ38" s="926"/>
      <c r="PUK38" s="926"/>
      <c r="PUL38" s="926"/>
      <c r="PUM38" s="926"/>
      <c r="PUN38" s="926"/>
      <c r="PUO38" s="926"/>
      <c r="PUP38" s="926"/>
      <c r="PUQ38" s="926"/>
      <c r="PUR38" s="926"/>
      <c r="PUS38" s="926"/>
      <c r="PUT38" s="926"/>
      <c r="PUU38" s="926"/>
      <c r="PUV38" s="926"/>
      <c r="PUW38" s="926"/>
      <c r="PUX38" s="926"/>
      <c r="PUY38" s="926"/>
      <c r="PUZ38" s="926"/>
      <c r="PVA38" s="926"/>
      <c r="PVB38" s="926"/>
      <c r="PVC38" s="926"/>
      <c r="PVD38" s="926"/>
      <c r="PVE38" s="926"/>
      <c r="PVF38" s="926"/>
      <c r="PVG38" s="926"/>
      <c r="PVH38" s="926"/>
      <c r="PVI38" s="926"/>
      <c r="PVJ38" s="926"/>
      <c r="PVK38" s="926"/>
      <c r="PVL38" s="926"/>
      <c r="PVM38" s="926"/>
      <c r="PVN38" s="926"/>
      <c r="PVO38" s="926"/>
      <c r="PVP38" s="926"/>
      <c r="PVQ38" s="926"/>
      <c r="PVR38" s="926"/>
      <c r="PVS38" s="926"/>
      <c r="PVT38" s="926"/>
      <c r="PVU38" s="926"/>
      <c r="PVV38" s="926"/>
      <c r="PVW38" s="926"/>
      <c r="PVX38" s="926"/>
      <c r="PVY38" s="926"/>
      <c r="PVZ38" s="926"/>
      <c r="PWA38" s="926"/>
      <c r="PWB38" s="926"/>
      <c r="PWC38" s="926"/>
      <c r="PWD38" s="926"/>
      <c r="PWE38" s="926"/>
      <c r="PWF38" s="926"/>
      <c r="PWG38" s="926"/>
      <c r="PWH38" s="926"/>
      <c r="PWI38" s="926"/>
      <c r="PWJ38" s="926"/>
      <c r="PWK38" s="926"/>
      <c r="PWL38" s="926"/>
      <c r="PWM38" s="926"/>
      <c r="PWN38" s="926"/>
      <c r="PWO38" s="926"/>
      <c r="PWP38" s="926"/>
      <c r="PWQ38" s="926"/>
      <c r="PWR38" s="926"/>
      <c r="PWS38" s="926"/>
      <c r="PWT38" s="926"/>
      <c r="PWU38" s="926"/>
      <c r="PWV38" s="926"/>
      <c r="PWW38" s="926"/>
      <c r="PWX38" s="926"/>
      <c r="PWY38" s="926"/>
      <c r="PWZ38" s="926"/>
      <c r="PXA38" s="926"/>
      <c r="PXB38" s="926"/>
      <c r="PXC38" s="926"/>
      <c r="PXD38" s="926"/>
      <c r="PXE38" s="926"/>
      <c r="PXF38" s="926"/>
      <c r="PXG38" s="926"/>
      <c r="PXH38" s="926"/>
      <c r="PXI38" s="926"/>
      <c r="PXJ38" s="926"/>
      <c r="PXK38" s="926"/>
      <c r="PXL38" s="926"/>
      <c r="PXM38" s="926"/>
      <c r="PXN38" s="926"/>
      <c r="PXO38" s="926"/>
      <c r="PXP38" s="926"/>
      <c r="PXQ38" s="926"/>
      <c r="PXR38" s="926"/>
      <c r="PXS38" s="926"/>
      <c r="PXT38" s="926"/>
      <c r="PXU38" s="926"/>
      <c r="PXV38" s="926"/>
      <c r="PXW38" s="926"/>
      <c r="PXX38" s="926"/>
      <c r="PXY38" s="926"/>
      <c r="PXZ38" s="926"/>
      <c r="PYA38" s="926"/>
      <c r="PYB38" s="926"/>
      <c r="PYC38" s="926"/>
      <c r="PYD38" s="926"/>
      <c r="PYE38" s="926"/>
      <c r="PYF38" s="926"/>
      <c r="PYG38" s="926"/>
      <c r="PYH38" s="926"/>
      <c r="PYI38" s="926"/>
      <c r="PYJ38" s="926"/>
      <c r="PYK38" s="926"/>
      <c r="PYL38" s="926"/>
      <c r="PYM38" s="926"/>
      <c r="PYN38" s="926"/>
      <c r="PYO38" s="926"/>
      <c r="PYP38" s="926"/>
      <c r="PYQ38" s="926"/>
      <c r="PYR38" s="926"/>
      <c r="PYS38" s="926"/>
      <c r="PYT38" s="926"/>
      <c r="PYU38" s="926"/>
      <c r="PYV38" s="926"/>
      <c r="PYW38" s="926"/>
      <c r="PYX38" s="926"/>
      <c r="PYY38" s="926"/>
      <c r="PYZ38" s="926"/>
      <c r="PZA38" s="926"/>
      <c r="PZB38" s="926"/>
      <c r="PZC38" s="926"/>
      <c r="PZD38" s="926"/>
      <c r="PZE38" s="926"/>
      <c r="PZF38" s="926"/>
      <c r="PZG38" s="926"/>
      <c r="PZH38" s="926"/>
      <c r="PZI38" s="926"/>
      <c r="PZJ38" s="926"/>
      <c r="PZK38" s="926"/>
      <c r="PZL38" s="926"/>
      <c r="PZM38" s="926"/>
      <c r="PZN38" s="926"/>
      <c r="PZO38" s="926"/>
      <c r="PZP38" s="926"/>
      <c r="PZQ38" s="926"/>
      <c r="PZR38" s="926"/>
      <c r="PZS38" s="926"/>
      <c r="PZT38" s="926"/>
      <c r="PZU38" s="926"/>
      <c r="PZV38" s="926"/>
      <c r="PZW38" s="926"/>
      <c r="PZX38" s="926"/>
      <c r="PZY38" s="926"/>
      <c r="PZZ38" s="926"/>
      <c r="QAA38" s="926"/>
      <c r="QAB38" s="926"/>
      <c r="QAC38" s="926"/>
      <c r="QAD38" s="926"/>
      <c r="QAE38" s="926"/>
      <c r="QAF38" s="926"/>
      <c r="QAG38" s="926"/>
      <c r="QAH38" s="926"/>
      <c r="QAI38" s="926"/>
      <c r="QAJ38" s="926"/>
      <c r="QAK38" s="926"/>
      <c r="QAL38" s="926"/>
      <c r="QAM38" s="926"/>
      <c r="QAN38" s="926"/>
      <c r="QAO38" s="926"/>
      <c r="QAP38" s="926"/>
      <c r="QAQ38" s="926"/>
      <c r="QAR38" s="926"/>
      <c r="QAS38" s="926"/>
      <c r="QAT38" s="926"/>
      <c r="QAU38" s="926"/>
      <c r="QAV38" s="926"/>
      <c r="QAW38" s="926"/>
      <c r="QAX38" s="926"/>
      <c r="QAY38" s="926"/>
      <c r="QAZ38" s="926"/>
      <c r="QBA38" s="926"/>
      <c r="QBB38" s="926"/>
      <c r="QBC38" s="926"/>
      <c r="QBD38" s="926"/>
      <c r="QBE38" s="926"/>
      <c r="QBF38" s="926"/>
      <c r="QBG38" s="926"/>
      <c r="QBH38" s="926"/>
      <c r="QBI38" s="926"/>
      <c r="QBJ38" s="926"/>
      <c r="QBK38" s="926"/>
      <c r="QBL38" s="926"/>
      <c r="QBM38" s="926"/>
      <c r="QBN38" s="926"/>
      <c r="QBO38" s="926"/>
      <c r="QBP38" s="926"/>
      <c r="QBQ38" s="926"/>
      <c r="QBR38" s="926"/>
      <c r="QBS38" s="926"/>
      <c r="QBT38" s="926"/>
      <c r="QBU38" s="926"/>
      <c r="QBV38" s="926"/>
      <c r="QBW38" s="926"/>
      <c r="QBX38" s="926"/>
      <c r="QBY38" s="926"/>
      <c r="QBZ38" s="926"/>
      <c r="QCA38" s="926"/>
      <c r="QCB38" s="926"/>
      <c r="QCC38" s="926"/>
      <c r="QCD38" s="926"/>
      <c r="QCE38" s="926"/>
      <c r="QCF38" s="926"/>
      <c r="QCG38" s="926"/>
      <c r="QCH38" s="926"/>
      <c r="QCI38" s="926"/>
      <c r="QCJ38" s="926"/>
      <c r="QCK38" s="926"/>
      <c r="QCL38" s="926"/>
      <c r="QCM38" s="926"/>
      <c r="QCN38" s="926"/>
      <c r="QCO38" s="926"/>
      <c r="QCP38" s="926"/>
      <c r="QCQ38" s="926"/>
      <c r="QCR38" s="926"/>
      <c r="QCS38" s="926"/>
      <c r="QCT38" s="926"/>
      <c r="QCU38" s="926"/>
      <c r="QCV38" s="926"/>
      <c r="QCW38" s="926"/>
      <c r="QCX38" s="926"/>
      <c r="QCY38" s="926"/>
      <c r="QCZ38" s="926"/>
      <c r="QDA38" s="926"/>
      <c r="QDB38" s="926"/>
      <c r="QDC38" s="926"/>
      <c r="QDD38" s="926"/>
      <c r="QDE38" s="926"/>
      <c r="QDF38" s="926"/>
      <c r="QDG38" s="926"/>
      <c r="QDH38" s="926"/>
      <c r="QDI38" s="926"/>
      <c r="QDJ38" s="926"/>
      <c r="QDK38" s="926"/>
      <c r="QDL38" s="926"/>
      <c r="QDM38" s="926"/>
      <c r="QDN38" s="926"/>
      <c r="QDO38" s="926"/>
      <c r="QDP38" s="926"/>
      <c r="QDQ38" s="926"/>
      <c r="QDR38" s="926"/>
      <c r="QDS38" s="926"/>
      <c r="QDT38" s="926"/>
      <c r="QDU38" s="926"/>
      <c r="QDV38" s="926"/>
      <c r="QDW38" s="926"/>
      <c r="QDX38" s="926"/>
      <c r="QDY38" s="926"/>
      <c r="QDZ38" s="926"/>
      <c r="QEA38" s="926"/>
      <c r="QEB38" s="926"/>
      <c r="QEC38" s="926"/>
      <c r="QED38" s="926"/>
      <c r="QEE38" s="926"/>
      <c r="QEF38" s="926"/>
      <c r="QEG38" s="926"/>
      <c r="QEH38" s="926"/>
      <c r="QEI38" s="926"/>
      <c r="QEJ38" s="926"/>
      <c r="QEK38" s="926"/>
      <c r="QEL38" s="926"/>
      <c r="QEM38" s="926"/>
      <c r="QEN38" s="926"/>
      <c r="QEO38" s="926"/>
      <c r="QEP38" s="926"/>
      <c r="QEQ38" s="926"/>
      <c r="QER38" s="926"/>
      <c r="QES38" s="926"/>
      <c r="QET38" s="926"/>
      <c r="QEU38" s="926"/>
      <c r="QEV38" s="926"/>
      <c r="QEW38" s="926"/>
      <c r="QEX38" s="926"/>
      <c r="QEY38" s="926"/>
      <c r="QEZ38" s="926"/>
      <c r="QFA38" s="926"/>
      <c r="QFB38" s="926"/>
      <c r="QFC38" s="926"/>
      <c r="QFD38" s="926"/>
      <c r="QFE38" s="926"/>
      <c r="QFF38" s="926"/>
      <c r="QFG38" s="926"/>
      <c r="QFH38" s="926"/>
      <c r="QFI38" s="926"/>
      <c r="QFJ38" s="926"/>
      <c r="QFK38" s="926"/>
      <c r="QFL38" s="926"/>
      <c r="QFM38" s="926"/>
      <c r="QFN38" s="926"/>
      <c r="QFO38" s="926"/>
      <c r="QFP38" s="926"/>
      <c r="QFQ38" s="926"/>
      <c r="QFR38" s="926"/>
      <c r="QFS38" s="926"/>
      <c r="QFT38" s="926"/>
      <c r="QFU38" s="926"/>
      <c r="QFV38" s="926"/>
      <c r="QFW38" s="926"/>
      <c r="QFX38" s="926"/>
      <c r="QFY38" s="926"/>
      <c r="QFZ38" s="926"/>
      <c r="QGA38" s="926"/>
      <c r="QGB38" s="926"/>
      <c r="QGC38" s="926"/>
      <c r="QGD38" s="926"/>
      <c r="QGE38" s="926"/>
      <c r="QGF38" s="926"/>
      <c r="QGG38" s="926"/>
      <c r="QGH38" s="926"/>
      <c r="QGI38" s="926"/>
      <c r="QGJ38" s="926"/>
      <c r="QGK38" s="926"/>
      <c r="QGL38" s="926"/>
      <c r="QGM38" s="926"/>
      <c r="QGN38" s="926"/>
      <c r="QGO38" s="926"/>
      <c r="QGP38" s="926"/>
      <c r="QGQ38" s="926"/>
      <c r="QGR38" s="926"/>
      <c r="QGS38" s="926"/>
      <c r="QGT38" s="926"/>
      <c r="QGU38" s="926"/>
      <c r="QGV38" s="926"/>
      <c r="QGW38" s="926"/>
      <c r="QGX38" s="926"/>
      <c r="QGY38" s="926"/>
      <c r="QGZ38" s="926"/>
      <c r="QHA38" s="926"/>
      <c r="QHB38" s="926"/>
      <c r="QHC38" s="926"/>
      <c r="QHD38" s="926"/>
      <c r="QHE38" s="926"/>
      <c r="QHF38" s="926"/>
      <c r="QHG38" s="926"/>
      <c r="QHH38" s="926"/>
      <c r="QHI38" s="926"/>
      <c r="QHJ38" s="926"/>
      <c r="QHK38" s="926"/>
      <c r="QHL38" s="926"/>
      <c r="QHM38" s="926"/>
      <c r="QHN38" s="926"/>
      <c r="QHO38" s="926"/>
      <c r="QHP38" s="926"/>
      <c r="QHQ38" s="926"/>
      <c r="QHR38" s="926"/>
      <c r="QHS38" s="926"/>
      <c r="QHT38" s="926"/>
      <c r="QHU38" s="926"/>
      <c r="QHV38" s="926"/>
      <c r="QHW38" s="926"/>
      <c r="QHX38" s="926"/>
      <c r="QHY38" s="926"/>
      <c r="QHZ38" s="926"/>
      <c r="QIA38" s="926"/>
      <c r="QIB38" s="926"/>
      <c r="QIC38" s="926"/>
      <c r="QID38" s="926"/>
      <c r="QIE38" s="926"/>
      <c r="QIF38" s="926"/>
      <c r="QIG38" s="926"/>
      <c r="QIH38" s="926"/>
      <c r="QII38" s="926"/>
      <c r="QIJ38" s="926"/>
      <c r="QIK38" s="926"/>
      <c r="QIL38" s="926"/>
      <c r="QIM38" s="926"/>
      <c r="QIN38" s="926"/>
      <c r="QIO38" s="926"/>
      <c r="QIP38" s="926"/>
      <c r="QIQ38" s="926"/>
      <c r="QIR38" s="926"/>
      <c r="QIS38" s="926"/>
      <c r="QIT38" s="926"/>
      <c r="QIU38" s="926"/>
      <c r="QIV38" s="926"/>
      <c r="QIW38" s="926"/>
      <c r="QIX38" s="926"/>
      <c r="QIY38" s="926"/>
      <c r="QIZ38" s="926"/>
      <c r="QJA38" s="926"/>
      <c r="QJB38" s="926"/>
      <c r="QJC38" s="926"/>
      <c r="QJD38" s="926"/>
      <c r="QJE38" s="926"/>
      <c r="QJF38" s="926"/>
      <c r="QJG38" s="926"/>
      <c r="QJH38" s="926"/>
      <c r="QJI38" s="926"/>
      <c r="QJJ38" s="926"/>
      <c r="QJK38" s="926"/>
      <c r="QJL38" s="926"/>
      <c r="QJM38" s="926"/>
      <c r="QJN38" s="926"/>
      <c r="QJO38" s="926"/>
      <c r="QJP38" s="926"/>
      <c r="QJQ38" s="926"/>
      <c r="QJR38" s="926"/>
      <c r="QJS38" s="926"/>
      <c r="QJT38" s="926"/>
      <c r="QJU38" s="926"/>
      <c r="QJV38" s="926"/>
      <c r="QJW38" s="926"/>
      <c r="QJX38" s="926"/>
      <c r="QJY38" s="926"/>
      <c r="QJZ38" s="926"/>
      <c r="QKA38" s="926"/>
      <c r="QKB38" s="926"/>
      <c r="QKC38" s="926"/>
      <c r="QKD38" s="926"/>
      <c r="QKE38" s="926"/>
      <c r="QKF38" s="926"/>
      <c r="QKG38" s="926"/>
      <c r="QKH38" s="926"/>
      <c r="QKI38" s="926"/>
      <c r="QKJ38" s="926"/>
      <c r="QKK38" s="926"/>
      <c r="QKL38" s="926"/>
      <c r="QKM38" s="926"/>
      <c r="QKN38" s="926"/>
      <c r="QKO38" s="926"/>
      <c r="QKP38" s="926"/>
      <c r="QKQ38" s="926"/>
      <c r="QKR38" s="926"/>
      <c r="QKS38" s="926"/>
      <c r="QKT38" s="926"/>
      <c r="QKU38" s="926"/>
      <c r="QKV38" s="926"/>
      <c r="QKW38" s="926"/>
      <c r="QKX38" s="926"/>
      <c r="QKY38" s="926"/>
      <c r="QKZ38" s="926"/>
      <c r="QLA38" s="926"/>
      <c r="QLB38" s="926"/>
      <c r="QLC38" s="926"/>
      <c r="QLD38" s="926"/>
      <c r="QLE38" s="926"/>
      <c r="QLF38" s="926"/>
      <c r="QLG38" s="926"/>
      <c r="QLH38" s="926"/>
      <c r="QLI38" s="926"/>
      <c r="QLJ38" s="926"/>
      <c r="QLK38" s="926"/>
      <c r="QLL38" s="926"/>
      <c r="QLM38" s="926"/>
      <c r="QLN38" s="926"/>
      <c r="QLO38" s="926"/>
      <c r="QLP38" s="926"/>
      <c r="QLQ38" s="926"/>
      <c r="QLR38" s="926"/>
      <c r="QLS38" s="926"/>
      <c r="QLT38" s="926"/>
      <c r="QLU38" s="926"/>
      <c r="QLV38" s="926"/>
      <c r="QLW38" s="926"/>
      <c r="QLX38" s="926"/>
      <c r="QLY38" s="926"/>
      <c r="QLZ38" s="926"/>
      <c r="QMA38" s="926"/>
      <c r="QMB38" s="926"/>
      <c r="QMC38" s="926"/>
      <c r="QMD38" s="926"/>
      <c r="QME38" s="926"/>
      <c r="QMF38" s="926"/>
      <c r="QMG38" s="926"/>
      <c r="QMH38" s="926"/>
      <c r="QMI38" s="926"/>
      <c r="QMJ38" s="926"/>
      <c r="QMK38" s="926"/>
      <c r="QML38" s="926"/>
      <c r="QMM38" s="926"/>
      <c r="QMN38" s="926"/>
      <c r="QMO38" s="926"/>
      <c r="QMP38" s="926"/>
      <c r="QMQ38" s="926"/>
      <c r="QMR38" s="926"/>
      <c r="QMS38" s="926"/>
      <c r="QMT38" s="926"/>
      <c r="QMU38" s="926"/>
      <c r="QMV38" s="926"/>
      <c r="QMW38" s="926"/>
      <c r="QMX38" s="926"/>
      <c r="QMY38" s="926"/>
      <c r="QMZ38" s="926"/>
      <c r="QNA38" s="926"/>
      <c r="QNB38" s="926"/>
      <c r="QNC38" s="926"/>
      <c r="QND38" s="926"/>
      <c r="QNE38" s="926"/>
      <c r="QNF38" s="926"/>
      <c r="QNG38" s="926"/>
      <c r="QNH38" s="926"/>
      <c r="QNI38" s="926"/>
      <c r="QNJ38" s="926"/>
      <c r="QNK38" s="926"/>
      <c r="QNL38" s="926"/>
      <c r="QNM38" s="926"/>
      <c r="QNN38" s="926"/>
      <c r="QNO38" s="926"/>
      <c r="QNP38" s="926"/>
      <c r="QNQ38" s="926"/>
      <c r="QNR38" s="926"/>
      <c r="QNS38" s="926"/>
      <c r="QNT38" s="926"/>
      <c r="QNU38" s="926"/>
      <c r="QNV38" s="926"/>
      <c r="QNW38" s="926"/>
      <c r="QNX38" s="926"/>
      <c r="QNY38" s="926"/>
      <c r="QNZ38" s="926"/>
      <c r="QOA38" s="926"/>
      <c r="QOB38" s="926"/>
      <c r="QOC38" s="926"/>
      <c r="QOD38" s="926"/>
      <c r="QOE38" s="926"/>
      <c r="QOF38" s="926"/>
      <c r="QOG38" s="926"/>
      <c r="QOH38" s="926"/>
      <c r="QOI38" s="926"/>
      <c r="QOJ38" s="926"/>
      <c r="QOK38" s="926"/>
      <c r="QOL38" s="926"/>
      <c r="QOM38" s="926"/>
      <c r="QON38" s="926"/>
      <c r="QOO38" s="926"/>
      <c r="QOP38" s="926"/>
      <c r="QOQ38" s="926"/>
      <c r="QOR38" s="926"/>
      <c r="QOS38" s="926"/>
      <c r="QOT38" s="926"/>
      <c r="QOU38" s="926"/>
      <c r="QOV38" s="926"/>
      <c r="QOW38" s="926"/>
      <c r="QOX38" s="926"/>
      <c r="QOY38" s="926"/>
      <c r="QOZ38" s="926"/>
      <c r="QPA38" s="926"/>
      <c r="QPB38" s="926"/>
      <c r="QPC38" s="926"/>
      <c r="QPD38" s="926"/>
      <c r="QPE38" s="926"/>
      <c r="QPF38" s="926"/>
      <c r="QPG38" s="926"/>
      <c r="QPH38" s="926"/>
      <c r="QPI38" s="926"/>
      <c r="QPJ38" s="926"/>
      <c r="QPK38" s="926"/>
      <c r="QPL38" s="926"/>
      <c r="QPM38" s="926"/>
      <c r="QPN38" s="926"/>
      <c r="QPO38" s="926"/>
      <c r="QPP38" s="926"/>
      <c r="QPQ38" s="926"/>
      <c r="QPR38" s="926"/>
      <c r="QPS38" s="926"/>
      <c r="QPT38" s="926"/>
      <c r="QPU38" s="926"/>
      <c r="QPV38" s="926"/>
      <c r="QPW38" s="926"/>
      <c r="QPX38" s="926"/>
      <c r="QPY38" s="926"/>
      <c r="QPZ38" s="926"/>
      <c r="QQA38" s="926"/>
      <c r="QQB38" s="926"/>
      <c r="QQC38" s="926"/>
      <c r="QQD38" s="926"/>
      <c r="QQE38" s="926"/>
      <c r="QQF38" s="926"/>
      <c r="QQG38" s="926"/>
      <c r="QQH38" s="926"/>
      <c r="QQI38" s="926"/>
      <c r="QQJ38" s="926"/>
      <c r="QQK38" s="926"/>
      <c r="QQL38" s="926"/>
      <c r="QQM38" s="926"/>
      <c r="QQN38" s="926"/>
      <c r="QQO38" s="926"/>
      <c r="QQP38" s="926"/>
      <c r="QQQ38" s="926"/>
      <c r="QQR38" s="926"/>
      <c r="QQS38" s="926"/>
      <c r="QQT38" s="926"/>
      <c r="QQU38" s="926"/>
      <c r="QQV38" s="926"/>
      <c r="QQW38" s="926"/>
      <c r="QQX38" s="926"/>
      <c r="QQY38" s="926"/>
      <c r="QQZ38" s="926"/>
      <c r="QRA38" s="926"/>
      <c r="QRB38" s="926"/>
      <c r="QRC38" s="926"/>
      <c r="QRD38" s="926"/>
      <c r="QRE38" s="926"/>
      <c r="QRF38" s="926"/>
      <c r="QRG38" s="926"/>
      <c r="QRH38" s="926"/>
      <c r="QRI38" s="926"/>
      <c r="QRJ38" s="926"/>
      <c r="QRK38" s="926"/>
      <c r="QRL38" s="926"/>
      <c r="QRM38" s="926"/>
      <c r="QRN38" s="926"/>
      <c r="QRO38" s="926"/>
      <c r="QRP38" s="926"/>
      <c r="QRQ38" s="926"/>
      <c r="QRR38" s="926"/>
      <c r="QRS38" s="926"/>
      <c r="QRT38" s="926"/>
      <c r="QRU38" s="926"/>
      <c r="QRV38" s="926"/>
      <c r="QRW38" s="926"/>
      <c r="QRX38" s="926"/>
      <c r="QRY38" s="926"/>
      <c r="QRZ38" s="926"/>
      <c r="QSA38" s="926"/>
      <c r="QSB38" s="926"/>
      <c r="QSC38" s="926"/>
      <c r="QSD38" s="926"/>
      <c r="QSE38" s="926"/>
      <c r="QSF38" s="926"/>
      <c r="QSG38" s="926"/>
      <c r="QSH38" s="926"/>
      <c r="QSI38" s="926"/>
      <c r="QSJ38" s="926"/>
      <c r="QSK38" s="926"/>
      <c r="QSL38" s="926"/>
      <c r="QSM38" s="926"/>
      <c r="QSN38" s="926"/>
      <c r="QSO38" s="926"/>
      <c r="QSP38" s="926"/>
      <c r="QSQ38" s="926"/>
      <c r="QSR38" s="926"/>
      <c r="QSS38" s="926"/>
      <c r="QST38" s="926"/>
      <c r="QSU38" s="926"/>
      <c r="QSV38" s="926"/>
      <c r="QSW38" s="926"/>
      <c r="QSX38" s="926"/>
      <c r="QSY38" s="926"/>
      <c r="QSZ38" s="926"/>
      <c r="QTA38" s="926"/>
      <c r="QTB38" s="926"/>
      <c r="QTC38" s="926"/>
      <c r="QTD38" s="926"/>
      <c r="QTE38" s="926"/>
      <c r="QTF38" s="926"/>
      <c r="QTG38" s="926"/>
      <c r="QTH38" s="926"/>
      <c r="QTI38" s="926"/>
      <c r="QTJ38" s="926"/>
      <c r="QTK38" s="926"/>
      <c r="QTL38" s="926"/>
      <c r="QTM38" s="926"/>
      <c r="QTN38" s="926"/>
      <c r="QTO38" s="926"/>
      <c r="QTP38" s="926"/>
      <c r="QTQ38" s="926"/>
      <c r="QTR38" s="926"/>
      <c r="QTS38" s="926"/>
      <c r="QTT38" s="926"/>
      <c r="QTU38" s="926"/>
      <c r="QTV38" s="926"/>
      <c r="QTW38" s="926"/>
      <c r="QTX38" s="926"/>
      <c r="QTY38" s="926"/>
      <c r="QTZ38" s="926"/>
      <c r="QUA38" s="926"/>
      <c r="QUB38" s="926"/>
      <c r="QUC38" s="926"/>
      <c r="QUD38" s="926"/>
      <c r="QUE38" s="926"/>
      <c r="QUF38" s="926"/>
      <c r="QUG38" s="926"/>
      <c r="QUH38" s="926"/>
      <c r="QUI38" s="926"/>
      <c r="QUJ38" s="926"/>
      <c r="QUK38" s="926"/>
      <c r="QUL38" s="926"/>
      <c r="QUM38" s="926"/>
      <c r="QUN38" s="926"/>
      <c r="QUO38" s="926"/>
      <c r="QUP38" s="926"/>
      <c r="QUQ38" s="926"/>
      <c r="QUR38" s="926"/>
      <c r="QUS38" s="926"/>
      <c r="QUT38" s="926"/>
      <c r="QUU38" s="926"/>
      <c r="QUV38" s="926"/>
      <c r="QUW38" s="926"/>
      <c r="QUX38" s="926"/>
      <c r="QUY38" s="926"/>
      <c r="QUZ38" s="926"/>
      <c r="QVA38" s="926"/>
      <c r="QVB38" s="926"/>
      <c r="QVC38" s="926"/>
      <c r="QVD38" s="926"/>
      <c r="QVE38" s="926"/>
      <c r="QVF38" s="926"/>
      <c r="QVG38" s="926"/>
      <c r="QVH38" s="926"/>
      <c r="QVI38" s="926"/>
      <c r="QVJ38" s="926"/>
      <c r="QVK38" s="926"/>
      <c r="QVL38" s="926"/>
      <c r="QVM38" s="926"/>
      <c r="QVN38" s="926"/>
      <c r="QVO38" s="926"/>
      <c r="QVP38" s="926"/>
      <c r="QVQ38" s="926"/>
      <c r="QVR38" s="926"/>
      <c r="QVS38" s="926"/>
      <c r="QVT38" s="926"/>
      <c r="QVU38" s="926"/>
      <c r="QVV38" s="926"/>
      <c r="QVW38" s="926"/>
      <c r="QVX38" s="926"/>
      <c r="QVY38" s="926"/>
      <c r="QVZ38" s="926"/>
      <c r="QWA38" s="926"/>
      <c r="QWB38" s="926"/>
      <c r="QWC38" s="926"/>
      <c r="QWD38" s="926"/>
      <c r="QWE38" s="926"/>
      <c r="QWF38" s="926"/>
      <c r="QWG38" s="926"/>
      <c r="QWH38" s="926"/>
      <c r="QWI38" s="926"/>
      <c r="QWJ38" s="926"/>
      <c r="QWK38" s="926"/>
      <c r="QWL38" s="926"/>
      <c r="QWM38" s="926"/>
      <c r="QWN38" s="926"/>
      <c r="QWO38" s="926"/>
      <c r="QWP38" s="926"/>
      <c r="QWQ38" s="926"/>
      <c r="QWR38" s="926"/>
      <c r="QWS38" s="926"/>
      <c r="QWT38" s="926"/>
      <c r="QWU38" s="926"/>
      <c r="QWV38" s="926"/>
      <c r="QWW38" s="926"/>
      <c r="QWX38" s="926"/>
      <c r="QWY38" s="926"/>
      <c r="QWZ38" s="926"/>
      <c r="QXA38" s="926"/>
      <c r="QXB38" s="926"/>
      <c r="QXC38" s="926"/>
      <c r="QXD38" s="926"/>
      <c r="QXE38" s="926"/>
      <c r="QXF38" s="926"/>
      <c r="QXG38" s="926"/>
      <c r="QXH38" s="926"/>
      <c r="QXI38" s="926"/>
      <c r="QXJ38" s="926"/>
      <c r="QXK38" s="926"/>
      <c r="QXL38" s="926"/>
      <c r="QXM38" s="926"/>
      <c r="QXN38" s="926"/>
      <c r="QXO38" s="926"/>
      <c r="QXP38" s="926"/>
      <c r="QXQ38" s="926"/>
      <c r="QXR38" s="926"/>
      <c r="QXS38" s="926"/>
      <c r="QXT38" s="926"/>
      <c r="QXU38" s="926"/>
      <c r="QXV38" s="926"/>
      <c r="QXW38" s="926"/>
      <c r="QXX38" s="926"/>
      <c r="QXY38" s="926"/>
      <c r="QXZ38" s="926"/>
      <c r="QYA38" s="926"/>
      <c r="QYB38" s="926"/>
      <c r="QYC38" s="926"/>
      <c r="QYD38" s="926"/>
      <c r="QYE38" s="926"/>
      <c r="QYF38" s="926"/>
      <c r="QYG38" s="926"/>
      <c r="QYH38" s="926"/>
      <c r="QYI38" s="926"/>
      <c r="QYJ38" s="926"/>
      <c r="QYK38" s="926"/>
      <c r="QYL38" s="926"/>
      <c r="QYM38" s="926"/>
      <c r="QYN38" s="926"/>
      <c r="QYO38" s="926"/>
      <c r="QYP38" s="926"/>
      <c r="QYQ38" s="926"/>
      <c r="QYR38" s="926"/>
      <c r="QYS38" s="926"/>
      <c r="QYT38" s="926"/>
      <c r="QYU38" s="926"/>
      <c r="QYV38" s="926"/>
      <c r="QYW38" s="926"/>
      <c r="QYX38" s="926"/>
      <c r="QYY38" s="926"/>
      <c r="QYZ38" s="926"/>
      <c r="QZA38" s="926"/>
      <c r="QZB38" s="926"/>
      <c r="QZC38" s="926"/>
      <c r="QZD38" s="926"/>
      <c r="QZE38" s="926"/>
      <c r="QZF38" s="926"/>
      <c r="QZG38" s="926"/>
      <c r="QZH38" s="926"/>
      <c r="QZI38" s="926"/>
      <c r="QZJ38" s="926"/>
      <c r="QZK38" s="926"/>
      <c r="QZL38" s="926"/>
      <c r="QZM38" s="926"/>
      <c r="QZN38" s="926"/>
      <c r="QZO38" s="926"/>
      <c r="QZP38" s="926"/>
      <c r="QZQ38" s="926"/>
      <c r="QZR38" s="926"/>
      <c r="QZS38" s="926"/>
      <c r="QZT38" s="926"/>
      <c r="QZU38" s="926"/>
      <c r="QZV38" s="926"/>
      <c r="QZW38" s="926"/>
      <c r="QZX38" s="926"/>
      <c r="QZY38" s="926"/>
      <c r="QZZ38" s="926"/>
      <c r="RAA38" s="926"/>
      <c r="RAB38" s="926"/>
      <c r="RAC38" s="926"/>
      <c r="RAD38" s="926"/>
      <c r="RAE38" s="926"/>
      <c r="RAF38" s="926"/>
      <c r="RAG38" s="926"/>
      <c r="RAH38" s="926"/>
      <c r="RAI38" s="926"/>
      <c r="RAJ38" s="926"/>
      <c r="RAK38" s="926"/>
      <c r="RAL38" s="926"/>
      <c r="RAM38" s="926"/>
      <c r="RAN38" s="926"/>
      <c r="RAO38" s="926"/>
      <c r="RAP38" s="926"/>
      <c r="RAQ38" s="926"/>
      <c r="RAR38" s="926"/>
      <c r="RAS38" s="926"/>
      <c r="RAT38" s="926"/>
      <c r="RAU38" s="926"/>
      <c r="RAV38" s="926"/>
      <c r="RAW38" s="926"/>
      <c r="RAX38" s="926"/>
      <c r="RAY38" s="926"/>
      <c r="RAZ38" s="926"/>
      <c r="RBA38" s="926"/>
      <c r="RBB38" s="926"/>
      <c r="RBC38" s="926"/>
      <c r="RBD38" s="926"/>
      <c r="RBE38" s="926"/>
      <c r="RBF38" s="926"/>
      <c r="RBG38" s="926"/>
      <c r="RBH38" s="926"/>
      <c r="RBI38" s="926"/>
      <c r="RBJ38" s="926"/>
      <c r="RBK38" s="926"/>
      <c r="RBL38" s="926"/>
      <c r="RBM38" s="926"/>
      <c r="RBN38" s="926"/>
      <c r="RBO38" s="926"/>
      <c r="RBP38" s="926"/>
      <c r="RBQ38" s="926"/>
      <c r="RBR38" s="926"/>
      <c r="RBS38" s="926"/>
      <c r="RBT38" s="926"/>
      <c r="RBU38" s="926"/>
      <c r="RBV38" s="926"/>
      <c r="RBW38" s="926"/>
      <c r="RBX38" s="926"/>
      <c r="RBY38" s="926"/>
      <c r="RBZ38" s="926"/>
      <c r="RCA38" s="926"/>
      <c r="RCB38" s="926"/>
      <c r="RCC38" s="926"/>
      <c r="RCD38" s="926"/>
      <c r="RCE38" s="926"/>
      <c r="RCF38" s="926"/>
      <c r="RCG38" s="926"/>
      <c r="RCH38" s="926"/>
      <c r="RCI38" s="926"/>
      <c r="RCJ38" s="926"/>
      <c r="RCK38" s="926"/>
      <c r="RCL38" s="926"/>
      <c r="RCM38" s="926"/>
      <c r="RCN38" s="926"/>
      <c r="RCO38" s="926"/>
      <c r="RCP38" s="926"/>
      <c r="RCQ38" s="926"/>
      <c r="RCR38" s="926"/>
      <c r="RCS38" s="926"/>
      <c r="RCT38" s="926"/>
      <c r="RCU38" s="926"/>
      <c r="RCV38" s="926"/>
      <c r="RCW38" s="926"/>
      <c r="RCX38" s="926"/>
      <c r="RCY38" s="926"/>
      <c r="RCZ38" s="926"/>
      <c r="RDA38" s="926"/>
      <c r="RDB38" s="926"/>
      <c r="RDC38" s="926"/>
      <c r="RDD38" s="926"/>
      <c r="RDE38" s="926"/>
      <c r="RDF38" s="926"/>
      <c r="RDG38" s="926"/>
      <c r="RDH38" s="926"/>
      <c r="RDI38" s="926"/>
      <c r="RDJ38" s="926"/>
      <c r="RDK38" s="926"/>
      <c r="RDL38" s="926"/>
      <c r="RDM38" s="926"/>
      <c r="RDN38" s="926"/>
      <c r="RDO38" s="926"/>
      <c r="RDP38" s="926"/>
      <c r="RDQ38" s="926"/>
      <c r="RDR38" s="926"/>
      <c r="RDS38" s="926"/>
      <c r="RDT38" s="926"/>
      <c r="RDU38" s="926"/>
      <c r="RDV38" s="926"/>
      <c r="RDW38" s="926"/>
      <c r="RDX38" s="926"/>
      <c r="RDY38" s="926"/>
      <c r="RDZ38" s="926"/>
      <c r="REA38" s="926"/>
      <c r="REB38" s="926"/>
      <c r="REC38" s="926"/>
      <c r="RED38" s="926"/>
      <c r="REE38" s="926"/>
      <c r="REF38" s="926"/>
      <c r="REG38" s="926"/>
      <c r="REH38" s="926"/>
      <c r="REI38" s="926"/>
      <c r="REJ38" s="926"/>
      <c r="REK38" s="926"/>
      <c r="REL38" s="926"/>
      <c r="REM38" s="926"/>
      <c r="REN38" s="926"/>
      <c r="REO38" s="926"/>
      <c r="REP38" s="926"/>
      <c r="REQ38" s="926"/>
      <c r="RER38" s="926"/>
      <c r="RES38" s="926"/>
      <c r="RET38" s="926"/>
      <c r="REU38" s="926"/>
      <c r="REV38" s="926"/>
      <c r="REW38" s="926"/>
      <c r="REX38" s="926"/>
      <c r="REY38" s="926"/>
      <c r="REZ38" s="926"/>
      <c r="RFA38" s="926"/>
      <c r="RFB38" s="926"/>
      <c r="RFC38" s="926"/>
      <c r="RFD38" s="926"/>
      <c r="RFE38" s="926"/>
      <c r="RFF38" s="926"/>
      <c r="RFG38" s="926"/>
      <c r="RFH38" s="926"/>
      <c r="RFI38" s="926"/>
      <c r="RFJ38" s="926"/>
      <c r="RFK38" s="926"/>
      <c r="RFL38" s="926"/>
      <c r="RFM38" s="926"/>
      <c r="RFN38" s="926"/>
      <c r="RFO38" s="926"/>
      <c r="RFP38" s="926"/>
      <c r="RFQ38" s="926"/>
      <c r="RFR38" s="926"/>
      <c r="RFS38" s="926"/>
      <c r="RFT38" s="926"/>
      <c r="RFU38" s="926"/>
      <c r="RFV38" s="926"/>
      <c r="RFW38" s="926"/>
      <c r="RFX38" s="926"/>
      <c r="RFY38" s="926"/>
      <c r="RFZ38" s="926"/>
      <c r="RGA38" s="926"/>
      <c r="RGB38" s="926"/>
      <c r="RGC38" s="926"/>
      <c r="RGD38" s="926"/>
      <c r="RGE38" s="926"/>
      <c r="RGF38" s="926"/>
      <c r="RGG38" s="926"/>
      <c r="RGH38" s="926"/>
      <c r="RGI38" s="926"/>
      <c r="RGJ38" s="926"/>
      <c r="RGK38" s="926"/>
      <c r="RGL38" s="926"/>
      <c r="RGM38" s="926"/>
      <c r="RGN38" s="926"/>
      <c r="RGO38" s="926"/>
      <c r="RGP38" s="926"/>
      <c r="RGQ38" s="926"/>
      <c r="RGR38" s="926"/>
      <c r="RGS38" s="926"/>
      <c r="RGT38" s="926"/>
      <c r="RGU38" s="926"/>
      <c r="RGV38" s="926"/>
      <c r="RGW38" s="926"/>
      <c r="RGX38" s="926"/>
      <c r="RGY38" s="926"/>
      <c r="RGZ38" s="926"/>
      <c r="RHA38" s="926"/>
      <c r="RHB38" s="926"/>
      <c r="RHC38" s="926"/>
      <c r="RHD38" s="926"/>
      <c r="RHE38" s="926"/>
      <c r="RHF38" s="926"/>
      <c r="RHG38" s="926"/>
      <c r="RHH38" s="926"/>
      <c r="RHI38" s="926"/>
      <c r="RHJ38" s="926"/>
      <c r="RHK38" s="926"/>
      <c r="RHL38" s="926"/>
      <c r="RHM38" s="926"/>
      <c r="RHN38" s="926"/>
      <c r="RHO38" s="926"/>
      <c r="RHP38" s="926"/>
      <c r="RHQ38" s="926"/>
      <c r="RHR38" s="926"/>
      <c r="RHS38" s="926"/>
      <c r="RHT38" s="926"/>
      <c r="RHU38" s="926"/>
      <c r="RHV38" s="926"/>
      <c r="RHW38" s="926"/>
      <c r="RHX38" s="926"/>
      <c r="RHY38" s="926"/>
      <c r="RHZ38" s="926"/>
      <c r="RIA38" s="926"/>
      <c r="RIB38" s="926"/>
      <c r="RIC38" s="926"/>
      <c r="RID38" s="926"/>
      <c r="RIE38" s="926"/>
      <c r="RIF38" s="926"/>
      <c r="RIG38" s="926"/>
      <c r="RIH38" s="926"/>
      <c r="RII38" s="926"/>
      <c r="RIJ38" s="926"/>
      <c r="RIK38" s="926"/>
      <c r="RIL38" s="926"/>
      <c r="RIM38" s="926"/>
      <c r="RIN38" s="926"/>
      <c r="RIO38" s="926"/>
      <c r="RIP38" s="926"/>
      <c r="RIQ38" s="926"/>
      <c r="RIR38" s="926"/>
      <c r="RIS38" s="926"/>
      <c r="RIT38" s="926"/>
      <c r="RIU38" s="926"/>
      <c r="RIV38" s="926"/>
      <c r="RIW38" s="926"/>
      <c r="RIX38" s="926"/>
      <c r="RIY38" s="926"/>
      <c r="RIZ38" s="926"/>
      <c r="RJA38" s="926"/>
      <c r="RJB38" s="926"/>
      <c r="RJC38" s="926"/>
      <c r="RJD38" s="926"/>
      <c r="RJE38" s="926"/>
      <c r="RJF38" s="926"/>
      <c r="RJG38" s="926"/>
      <c r="RJH38" s="926"/>
      <c r="RJI38" s="926"/>
      <c r="RJJ38" s="926"/>
      <c r="RJK38" s="926"/>
      <c r="RJL38" s="926"/>
      <c r="RJM38" s="926"/>
      <c r="RJN38" s="926"/>
      <c r="RJO38" s="926"/>
      <c r="RJP38" s="926"/>
      <c r="RJQ38" s="926"/>
      <c r="RJR38" s="926"/>
      <c r="RJS38" s="926"/>
      <c r="RJT38" s="926"/>
      <c r="RJU38" s="926"/>
      <c r="RJV38" s="926"/>
      <c r="RJW38" s="926"/>
      <c r="RJX38" s="926"/>
      <c r="RJY38" s="926"/>
      <c r="RJZ38" s="926"/>
      <c r="RKA38" s="926"/>
      <c r="RKB38" s="926"/>
      <c r="RKC38" s="926"/>
      <c r="RKD38" s="926"/>
      <c r="RKE38" s="926"/>
      <c r="RKF38" s="926"/>
      <c r="RKG38" s="926"/>
      <c r="RKH38" s="926"/>
      <c r="RKI38" s="926"/>
      <c r="RKJ38" s="926"/>
      <c r="RKK38" s="926"/>
      <c r="RKL38" s="926"/>
      <c r="RKM38" s="926"/>
      <c r="RKN38" s="926"/>
      <c r="RKO38" s="926"/>
      <c r="RKP38" s="926"/>
      <c r="RKQ38" s="926"/>
      <c r="RKR38" s="926"/>
      <c r="RKS38" s="926"/>
      <c r="RKT38" s="926"/>
      <c r="RKU38" s="926"/>
      <c r="RKV38" s="926"/>
      <c r="RKW38" s="926"/>
      <c r="RKX38" s="926"/>
      <c r="RKY38" s="926"/>
      <c r="RKZ38" s="926"/>
      <c r="RLA38" s="926"/>
      <c r="RLB38" s="926"/>
      <c r="RLC38" s="926"/>
      <c r="RLD38" s="926"/>
      <c r="RLE38" s="926"/>
      <c r="RLF38" s="926"/>
      <c r="RLG38" s="926"/>
      <c r="RLH38" s="926"/>
      <c r="RLI38" s="926"/>
      <c r="RLJ38" s="926"/>
      <c r="RLK38" s="926"/>
      <c r="RLL38" s="926"/>
      <c r="RLM38" s="926"/>
      <c r="RLN38" s="926"/>
      <c r="RLO38" s="926"/>
      <c r="RLP38" s="926"/>
      <c r="RLQ38" s="926"/>
      <c r="RLR38" s="926"/>
      <c r="RLS38" s="926"/>
      <c r="RLT38" s="926"/>
      <c r="RLU38" s="926"/>
      <c r="RLV38" s="926"/>
      <c r="RLW38" s="926"/>
      <c r="RLX38" s="926"/>
      <c r="RLY38" s="926"/>
      <c r="RLZ38" s="926"/>
      <c r="RMA38" s="926"/>
      <c r="RMB38" s="926"/>
      <c r="RMC38" s="926"/>
      <c r="RMD38" s="926"/>
      <c r="RME38" s="926"/>
      <c r="RMF38" s="926"/>
      <c r="RMG38" s="926"/>
      <c r="RMH38" s="926"/>
      <c r="RMI38" s="926"/>
      <c r="RMJ38" s="926"/>
      <c r="RMK38" s="926"/>
      <c r="RML38" s="926"/>
      <c r="RMM38" s="926"/>
      <c r="RMN38" s="926"/>
      <c r="RMO38" s="926"/>
      <c r="RMP38" s="926"/>
      <c r="RMQ38" s="926"/>
      <c r="RMR38" s="926"/>
      <c r="RMS38" s="926"/>
      <c r="RMT38" s="926"/>
      <c r="RMU38" s="926"/>
      <c r="RMV38" s="926"/>
      <c r="RMW38" s="926"/>
      <c r="RMX38" s="926"/>
      <c r="RMY38" s="926"/>
      <c r="RMZ38" s="926"/>
      <c r="RNA38" s="926"/>
      <c r="RNB38" s="926"/>
      <c r="RNC38" s="926"/>
      <c r="RND38" s="926"/>
      <c r="RNE38" s="926"/>
      <c r="RNF38" s="926"/>
      <c r="RNG38" s="926"/>
      <c r="RNH38" s="926"/>
      <c r="RNI38" s="926"/>
      <c r="RNJ38" s="926"/>
      <c r="RNK38" s="926"/>
      <c r="RNL38" s="926"/>
      <c r="RNM38" s="926"/>
      <c r="RNN38" s="926"/>
      <c r="RNO38" s="926"/>
      <c r="RNP38" s="926"/>
      <c r="RNQ38" s="926"/>
      <c r="RNR38" s="926"/>
      <c r="RNS38" s="926"/>
      <c r="RNT38" s="926"/>
      <c r="RNU38" s="926"/>
      <c r="RNV38" s="926"/>
      <c r="RNW38" s="926"/>
      <c r="RNX38" s="926"/>
      <c r="RNY38" s="926"/>
      <c r="RNZ38" s="926"/>
      <c r="ROA38" s="926"/>
      <c r="ROB38" s="926"/>
      <c r="ROC38" s="926"/>
      <c r="ROD38" s="926"/>
      <c r="ROE38" s="926"/>
      <c r="ROF38" s="926"/>
      <c r="ROG38" s="926"/>
      <c r="ROH38" s="926"/>
      <c r="ROI38" s="926"/>
      <c r="ROJ38" s="926"/>
      <c r="ROK38" s="926"/>
      <c r="ROL38" s="926"/>
      <c r="ROM38" s="926"/>
      <c r="RON38" s="926"/>
      <c r="ROO38" s="926"/>
      <c r="ROP38" s="926"/>
      <c r="ROQ38" s="926"/>
      <c r="ROR38" s="926"/>
      <c r="ROS38" s="926"/>
      <c r="ROT38" s="926"/>
      <c r="ROU38" s="926"/>
      <c r="ROV38" s="926"/>
      <c r="ROW38" s="926"/>
      <c r="ROX38" s="926"/>
      <c r="ROY38" s="926"/>
      <c r="ROZ38" s="926"/>
      <c r="RPA38" s="926"/>
      <c r="RPB38" s="926"/>
      <c r="RPC38" s="926"/>
      <c r="RPD38" s="926"/>
      <c r="RPE38" s="926"/>
      <c r="RPF38" s="926"/>
      <c r="RPG38" s="926"/>
      <c r="RPH38" s="926"/>
      <c r="RPI38" s="926"/>
      <c r="RPJ38" s="926"/>
      <c r="RPK38" s="926"/>
      <c r="RPL38" s="926"/>
      <c r="RPM38" s="926"/>
      <c r="RPN38" s="926"/>
      <c r="RPO38" s="926"/>
      <c r="RPP38" s="926"/>
      <c r="RPQ38" s="926"/>
      <c r="RPR38" s="926"/>
      <c r="RPS38" s="926"/>
      <c r="RPT38" s="926"/>
      <c r="RPU38" s="926"/>
      <c r="RPV38" s="926"/>
      <c r="RPW38" s="926"/>
      <c r="RPX38" s="926"/>
      <c r="RPY38" s="926"/>
      <c r="RPZ38" s="926"/>
      <c r="RQA38" s="926"/>
      <c r="RQB38" s="926"/>
      <c r="RQC38" s="926"/>
      <c r="RQD38" s="926"/>
      <c r="RQE38" s="926"/>
      <c r="RQF38" s="926"/>
      <c r="RQG38" s="926"/>
      <c r="RQH38" s="926"/>
      <c r="RQI38" s="926"/>
      <c r="RQJ38" s="926"/>
      <c r="RQK38" s="926"/>
      <c r="RQL38" s="926"/>
      <c r="RQM38" s="926"/>
      <c r="RQN38" s="926"/>
      <c r="RQO38" s="926"/>
      <c r="RQP38" s="926"/>
      <c r="RQQ38" s="926"/>
      <c r="RQR38" s="926"/>
      <c r="RQS38" s="926"/>
      <c r="RQT38" s="926"/>
      <c r="RQU38" s="926"/>
      <c r="RQV38" s="926"/>
      <c r="RQW38" s="926"/>
      <c r="RQX38" s="926"/>
      <c r="RQY38" s="926"/>
      <c r="RQZ38" s="926"/>
      <c r="RRA38" s="926"/>
      <c r="RRB38" s="926"/>
      <c r="RRC38" s="926"/>
      <c r="RRD38" s="926"/>
      <c r="RRE38" s="926"/>
      <c r="RRF38" s="926"/>
      <c r="RRG38" s="926"/>
      <c r="RRH38" s="926"/>
      <c r="RRI38" s="926"/>
      <c r="RRJ38" s="926"/>
      <c r="RRK38" s="926"/>
      <c r="RRL38" s="926"/>
      <c r="RRM38" s="926"/>
      <c r="RRN38" s="926"/>
      <c r="RRO38" s="926"/>
      <c r="RRP38" s="926"/>
      <c r="RRQ38" s="926"/>
      <c r="RRR38" s="926"/>
      <c r="RRS38" s="926"/>
      <c r="RRT38" s="926"/>
      <c r="RRU38" s="926"/>
      <c r="RRV38" s="926"/>
      <c r="RRW38" s="926"/>
      <c r="RRX38" s="926"/>
      <c r="RRY38" s="926"/>
      <c r="RRZ38" s="926"/>
      <c r="RSA38" s="926"/>
      <c r="RSB38" s="926"/>
      <c r="RSC38" s="926"/>
      <c r="RSD38" s="926"/>
      <c r="RSE38" s="926"/>
      <c r="RSF38" s="926"/>
      <c r="RSG38" s="926"/>
      <c r="RSH38" s="926"/>
      <c r="RSI38" s="926"/>
      <c r="RSJ38" s="926"/>
      <c r="RSK38" s="926"/>
      <c r="RSL38" s="926"/>
      <c r="RSM38" s="926"/>
      <c r="RSN38" s="926"/>
      <c r="RSO38" s="926"/>
      <c r="RSP38" s="926"/>
      <c r="RSQ38" s="926"/>
      <c r="RSR38" s="926"/>
      <c r="RSS38" s="926"/>
      <c r="RST38" s="926"/>
      <c r="RSU38" s="926"/>
      <c r="RSV38" s="926"/>
      <c r="RSW38" s="926"/>
      <c r="RSX38" s="926"/>
      <c r="RSY38" s="926"/>
      <c r="RSZ38" s="926"/>
      <c r="RTA38" s="926"/>
      <c r="RTB38" s="926"/>
      <c r="RTC38" s="926"/>
      <c r="RTD38" s="926"/>
      <c r="RTE38" s="926"/>
      <c r="RTF38" s="926"/>
      <c r="RTG38" s="926"/>
      <c r="RTH38" s="926"/>
      <c r="RTI38" s="926"/>
      <c r="RTJ38" s="926"/>
      <c r="RTK38" s="926"/>
      <c r="RTL38" s="926"/>
      <c r="RTM38" s="926"/>
      <c r="RTN38" s="926"/>
      <c r="RTO38" s="926"/>
      <c r="RTP38" s="926"/>
      <c r="RTQ38" s="926"/>
      <c r="RTR38" s="926"/>
      <c r="RTS38" s="926"/>
      <c r="RTT38" s="926"/>
      <c r="RTU38" s="926"/>
      <c r="RTV38" s="926"/>
      <c r="RTW38" s="926"/>
      <c r="RTX38" s="926"/>
      <c r="RTY38" s="926"/>
      <c r="RTZ38" s="926"/>
      <c r="RUA38" s="926"/>
      <c r="RUB38" s="926"/>
      <c r="RUC38" s="926"/>
      <c r="RUD38" s="926"/>
      <c r="RUE38" s="926"/>
      <c r="RUF38" s="926"/>
      <c r="RUG38" s="926"/>
      <c r="RUH38" s="926"/>
      <c r="RUI38" s="926"/>
      <c r="RUJ38" s="926"/>
      <c r="RUK38" s="926"/>
      <c r="RUL38" s="926"/>
      <c r="RUM38" s="926"/>
      <c r="RUN38" s="926"/>
      <c r="RUO38" s="926"/>
      <c r="RUP38" s="926"/>
      <c r="RUQ38" s="926"/>
      <c r="RUR38" s="926"/>
      <c r="RUS38" s="926"/>
      <c r="RUT38" s="926"/>
      <c r="RUU38" s="926"/>
      <c r="RUV38" s="926"/>
      <c r="RUW38" s="926"/>
      <c r="RUX38" s="926"/>
      <c r="RUY38" s="926"/>
      <c r="RUZ38" s="926"/>
      <c r="RVA38" s="926"/>
      <c r="RVB38" s="926"/>
      <c r="RVC38" s="926"/>
      <c r="RVD38" s="926"/>
      <c r="RVE38" s="926"/>
      <c r="RVF38" s="926"/>
      <c r="RVG38" s="926"/>
      <c r="RVH38" s="926"/>
      <c r="RVI38" s="926"/>
      <c r="RVJ38" s="926"/>
      <c r="RVK38" s="926"/>
      <c r="RVL38" s="926"/>
      <c r="RVM38" s="926"/>
      <c r="RVN38" s="926"/>
      <c r="RVO38" s="926"/>
      <c r="RVP38" s="926"/>
      <c r="RVQ38" s="926"/>
      <c r="RVR38" s="926"/>
      <c r="RVS38" s="926"/>
      <c r="RVT38" s="926"/>
      <c r="RVU38" s="926"/>
      <c r="RVV38" s="926"/>
      <c r="RVW38" s="926"/>
      <c r="RVX38" s="926"/>
      <c r="RVY38" s="926"/>
      <c r="RVZ38" s="926"/>
      <c r="RWA38" s="926"/>
      <c r="RWB38" s="926"/>
      <c r="RWC38" s="926"/>
      <c r="RWD38" s="926"/>
      <c r="RWE38" s="926"/>
      <c r="RWF38" s="926"/>
      <c r="RWG38" s="926"/>
      <c r="RWH38" s="926"/>
      <c r="RWI38" s="926"/>
      <c r="RWJ38" s="926"/>
      <c r="RWK38" s="926"/>
      <c r="RWL38" s="926"/>
      <c r="RWM38" s="926"/>
      <c r="RWN38" s="926"/>
      <c r="RWO38" s="926"/>
      <c r="RWP38" s="926"/>
      <c r="RWQ38" s="926"/>
      <c r="RWR38" s="926"/>
      <c r="RWS38" s="926"/>
      <c r="RWT38" s="926"/>
      <c r="RWU38" s="926"/>
      <c r="RWV38" s="926"/>
      <c r="RWW38" s="926"/>
      <c r="RWX38" s="926"/>
      <c r="RWY38" s="926"/>
      <c r="RWZ38" s="926"/>
      <c r="RXA38" s="926"/>
      <c r="RXB38" s="926"/>
      <c r="RXC38" s="926"/>
      <c r="RXD38" s="926"/>
      <c r="RXE38" s="926"/>
      <c r="RXF38" s="926"/>
      <c r="RXG38" s="926"/>
      <c r="RXH38" s="926"/>
      <c r="RXI38" s="926"/>
      <c r="RXJ38" s="926"/>
      <c r="RXK38" s="926"/>
      <c r="RXL38" s="926"/>
      <c r="RXM38" s="926"/>
      <c r="RXN38" s="926"/>
      <c r="RXO38" s="926"/>
      <c r="RXP38" s="926"/>
      <c r="RXQ38" s="926"/>
      <c r="RXR38" s="926"/>
      <c r="RXS38" s="926"/>
      <c r="RXT38" s="926"/>
      <c r="RXU38" s="926"/>
      <c r="RXV38" s="926"/>
      <c r="RXW38" s="926"/>
      <c r="RXX38" s="926"/>
      <c r="RXY38" s="926"/>
      <c r="RXZ38" s="926"/>
      <c r="RYA38" s="926"/>
      <c r="RYB38" s="926"/>
      <c r="RYC38" s="926"/>
      <c r="RYD38" s="926"/>
      <c r="RYE38" s="926"/>
      <c r="RYF38" s="926"/>
      <c r="RYG38" s="926"/>
      <c r="RYH38" s="926"/>
      <c r="RYI38" s="926"/>
      <c r="RYJ38" s="926"/>
      <c r="RYK38" s="926"/>
      <c r="RYL38" s="926"/>
      <c r="RYM38" s="926"/>
      <c r="RYN38" s="926"/>
      <c r="RYO38" s="926"/>
      <c r="RYP38" s="926"/>
      <c r="RYQ38" s="926"/>
      <c r="RYR38" s="926"/>
      <c r="RYS38" s="926"/>
      <c r="RYT38" s="926"/>
      <c r="RYU38" s="926"/>
      <c r="RYV38" s="926"/>
      <c r="RYW38" s="926"/>
      <c r="RYX38" s="926"/>
      <c r="RYY38" s="926"/>
      <c r="RYZ38" s="926"/>
      <c r="RZA38" s="926"/>
      <c r="RZB38" s="926"/>
      <c r="RZC38" s="926"/>
      <c r="RZD38" s="926"/>
      <c r="RZE38" s="926"/>
      <c r="RZF38" s="926"/>
      <c r="RZG38" s="926"/>
      <c r="RZH38" s="926"/>
      <c r="RZI38" s="926"/>
      <c r="RZJ38" s="926"/>
      <c r="RZK38" s="926"/>
      <c r="RZL38" s="926"/>
      <c r="RZM38" s="926"/>
      <c r="RZN38" s="926"/>
      <c r="RZO38" s="926"/>
      <c r="RZP38" s="926"/>
      <c r="RZQ38" s="926"/>
      <c r="RZR38" s="926"/>
      <c r="RZS38" s="926"/>
      <c r="RZT38" s="926"/>
      <c r="RZU38" s="926"/>
      <c r="RZV38" s="926"/>
      <c r="RZW38" s="926"/>
      <c r="RZX38" s="926"/>
      <c r="RZY38" s="926"/>
      <c r="RZZ38" s="926"/>
      <c r="SAA38" s="926"/>
      <c r="SAB38" s="926"/>
      <c r="SAC38" s="926"/>
      <c r="SAD38" s="926"/>
      <c r="SAE38" s="926"/>
      <c r="SAF38" s="926"/>
      <c r="SAG38" s="926"/>
      <c r="SAH38" s="926"/>
      <c r="SAI38" s="926"/>
      <c r="SAJ38" s="926"/>
      <c r="SAK38" s="926"/>
      <c r="SAL38" s="926"/>
      <c r="SAM38" s="926"/>
      <c r="SAN38" s="926"/>
      <c r="SAO38" s="926"/>
      <c r="SAP38" s="926"/>
      <c r="SAQ38" s="926"/>
      <c r="SAR38" s="926"/>
      <c r="SAS38" s="926"/>
      <c r="SAT38" s="926"/>
      <c r="SAU38" s="926"/>
      <c r="SAV38" s="926"/>
      <c r="SAW38" s="926"/>
      <c r="SAX38" s="926"/>
      <c r="SAY38" s="926"/>
      <c r="SAZ38" s="926"/>
      <c r="SBA38" s="926"/>
      <c r="SBB38" s="926"/>
      <c r="SBC38" s="926"/>
      <c r="SBD38" s="926"/>
      <c r="SBE38" s="926"/>
      <c r="SBF38" s="926"/>
      <c r="SBG38" s="926"/>
      <c r="SBH38" s="926"/>
      <c r="SBI38" s="926"/>
      <c r="SBJ38" s="926"/>
      <c r="SBK38" s="926"/>
      <c r="SBL38" s="926"/>
      <c r="SBM38" s="926"/>
      <c r="SBN38" s="926"/>
      <c r="SBO38" s="926"/>
      <c r="SBP38" s="926"/>
      <c r="SBQ38" s="926"/>
      <c r="SBR38" s="926"/>
      <c r="SBS38" s="926"/>
      <c r="SBT38" s="926"/>
      <c r="SBU38" s="926"/>
      <c r="SBV38" s="926"/>
      <c r="SBW38" s="926"/>
      <c r="SBX38" s="926"/>
      <c r="SBY38" s="926"/>
      <c r="SBZ38" s="926"/>
      <c r="SCA38" s="926"/>
      <c r="SCB38" s="926"/>
      <c r="SCC38" s="926"/>
      <c r="SCD38" s="926"/>
      <c r="SCE38" s="926"/>
      <c r="SCF38" s="926"/>
      <c r="SCG38" s="926"/>
      <c r="SCH38" s="926"/>
      <c r="SCI38" s="926"/>
      <c r="SCJ38" s="926"/>
      <c r="SCK38" s="926"/>
      <c r="SCL38" s="926"/>
      <c r="SCM38" s="926"/>
      <c r="SCN38" s="926"/>
      <c r="SCO38" s="926"/>
      <c r="SCP38" s="926"/>
      <c r="SCQ38" s="926"/>
      <c r="SCR38" s="926"/>
      <c r="SCS38" s="926"/>
      <c r="SCT38" s="926"/>
      <c r="SCU38" s="926"/>
      <c r="SCV38" s="926"/>
      <c r="SCW38" s="926"/>
      <c r="SCX38" s="926"/>
      <c r="SCY38" s="926"/>
      <c r="SCZ38" s="926"/>
      <c r="SDA38" s="926"/>
      <c r="SDB38" s="926"/>
      <c r="SDC38" s="926"/>
      <c r="SDD38" s="926"/>
      <c r="SDE38" s="926"/>
      <c r="SDF38" s="926"/>
      <c r="SDG38" s="926"/>
      <c r="SDH38" s="926"/>
      <c r="SDI38" s="926"/>
      <c r="SDJ38" s="926"/>
      <c r="SDK38" s="926"/>
      <c r="SDL38" s="926"/>
      <c r="SDM38" s="926"/>
      <c r="SDN38" s="926"/>
      <c r="SDO38" s="926"/>
      <c r="SDP38" s="926"/>
      <c r="SDQ38" s="926"/>
      <c r="SDR38" s="926"/>
      <c r="SDS38" s="926"/>
      <c r="SDT38" s="926"/>
      <c r="SDU38" s="926"/>
      <c r="SDV38" s="926"/>
      <c r="SDW38" s="926"/>
      <c r="SDX38" s="926"/>
      <c r="SDY38" s="926"/>
      <c r="SDZ38" s="926"/>
      <c r="SEA38" s="926"/>
      <c r="SEB38" s="926"/>
      <c r="SEC38" s="926"/>
      <c r="SED38" s="926"/>
      <c r="SEE38" s="926"/>
      <c r="SEF38" s="926"/>
      <c r="SEG38" s="926"/>
      <c r="SEH38" s="926"/>
      <c r="SEI38" s="926"/>
      <c r="SEJ38" s="926"/>
      <c r="SEK38" s="926"/>
      <c r="SEL38" s="926"/>
      <c r="SEM38" s="926"/>
      <c r="SEN38" s="926"/>
      <c r="SEO38" s="926"/>
      <c r="SEP38" s="926"/>
      <c r="SEQ38" s="926"/>
      <c r="SER38" s="926"/>
      <c r="SES38" s="926"/>
      <c r="SET38" s="926"/>
      <c r="SEU38" s="926"/>
      <c r="SEV38" s="926"/>
      <c r="SEW38" s="926"/>
      <c r="SEX38" s="926"/>
      <c r="SEY38" s="926"/>
      <c r="SEZ38" s="926"/>
      <c r="SFA38" s="926"/>
      <c r="SFB38" s="926"/>
      <c r="SFC38" s="926"/>
      <c r="SFD38" s="926"/>
      <c r="SFE38" s="926"/>
      <c r="SFF38" s="926"/>
      <c r="SFG38" s="926"/>
      <c r="SFH38" s="926"/>
      <c r="SFI38" s="926"/>
      <c r="SFJ38" s="926"/>
      <c r="SFK38" s="926"/>
      <c r="SFL38" s="926"/>
      <c r="SFM38" s="926"/>
      <c r="SFN38" s="926"/>
      <c r="SFO38" s="926"/>
      <c r="SFP38" s="926"/>
      <c r="SFQ38" s="926"/>
      <c r="SFR38" s="926"/>
      <c r="SFS38" s="926"/>
      <c r="SFT38" s="926"/>
      <c r="SFU38" s="926"/>
      <c r="SFV38" s="926"/>
      <c r="SFW38" s="926"/>
      <c r="SFX38" s="926"/>
      <c r="SFY38" s="926"/>
      <c r="SFZ38" s="926"/>
      <c r="SGA38" s="926"/>
      <c r="SGB38" s="926"/>
      <c r="SGC38" s="926"/>
      <c r="SGD38" s="926"/>
      <c r="SGE38" s="926"/>
      <c r="SGF38" s="926"/>
      <c r="SGG38" s="926"/>
      <c r="SGH38" s="926"/>
      <c r="SGI38" s="926"/>
      <c r="SGJ38" s="926"/>
      <c r="SGK38" s="926"/>
      <c r="SGL38" s="926"/>
      <c r="SGM38" s="926"/>
      <c r="SGN38" s="926"/>
      <c r="SGO38" s="926"/>
      <c r="SGP38" s="926"/>
      <c r="SGQ38" s="926"/>
      <c r="SGR38" s="926"/>
      <c r="SGS38" s="926"/>
      <c r="SGT38" s="926"/>
      <c r="SGU38" s="926"/>
      <c r="SGV38" s="926"/>
      <c r="SGW38" s="926"/>
      <c r="SGX38" s="926"/>
      <c r="SGY38" s="926"/>
      <c r="SGZ38" s="926"/>
      <c r="SHA38" s="926"/>
      <c r="SHB38" s="926"/>
      <c r="SHC38" s="926"/>
      <c r="SHD38" s="926"/>
      <c r="SHE38" s="926"/>
      <c r="SHF38" s="926"/>
      <c r="SHG38" s="926"/>
      <c r="SHH38" s="926"/>
      <c r="SHI38" s="926"/>
      <c r="SHJ38" s="926"/>
      <c r="SHK38" s="926"/>
      <c r="SHL38" s="926"/>
      <c r="SHM38" s="926"/>
      <c r="SHN38" s="926"/>
      <c r="SHO38" s="926"/>
      <c r="SHP38" s="926"/>
      <c r="SHQ38" s="926"/>
      <c r="SHR38" s="926"/>
      <c r="SHS38" s="926"/>
      <c r="SHT38" s="926"/>
      <c r="SHU38" s="926"/>
      <c r="SHV38" s="926"/>
      <c r="SHW38" s="926"/>
      <c r="SHX38" s="926"/>
      <c r="SHY38" s="926"/>
      <c r="SHZ38" s="926"/>
      <c r="SIA38" s="926"/>
      <c r="SIB38" s="926"/>
      <c r="SIC38" s="926"/>
      <c r="SID38" s="926"/>
      <c r="SIE38" s="926"/>
      <c r="SIF38" s="926"/>
      <c r="SIG38" s="926"/>
      <c r="SIH38" s="926"/>
      <c r="SII38" s="926"/>
      <c r="SIJ38" s="926"/>
      <c r="SIK38" s="926"/>
      <c r="SIL38" s="926"/>
      <c r="SIM38" s="926"/>
      <c r="SIN38" s="926"/>
      <c r="SIO38" s="926"/>
      <c r="SIP38" s="926"/>
      <c r="SIQ38" s="926"/>
      <c r="SIR38" s="926"/>
      <c r="SIS38" s="926"/>
      <c r="SIT38" s="926"/>
      <c r="SIU38" s="926"/>
      <c r="SIV38" s="926"/>
      <c r="SIW38" s="926"/>
      <c r="SIX38" s="926"/>
      <c r="SIY38" s="926"/>
      <c r="SIZ38" s="926"/>
      <c r="SJA38" s="926"/>
      <c r="SJB38" s="926"/>
      <c r="SJC38" s="926"/>
      <c r="SJD38" s="926"/>
      <c r="SJE38" s="926"/>
      <c r="SJF38" s="926"/>
      <c r="SJG38" s="926"/>
      <c r="SJH38" s="926"/>
      <c r="SJI38" s="926"/>
      <c r="SJJ38" s="926"/>
      <c r="SJK38" s="926"/>
      <c r="SJL38" s="926"/>
      <c r="SJM38" s="926"/>
      <c r="SJN38" s="926"/>
      <c r="SJO38" s="926"/>
      <c r="SJP38" s="926"/>
      <c r="SJQ38" s="926"/>
      <c r="SJR38" s="926"/>
      <c r="SJS38" s="926"/>
      <c r="SJT38" s="926"/>
      <c r="SJU38" s="926"/>
      <c r="SJV38" s="926"/>
      <c r="SJW38" s="926"/>
      <c r="SJX38" s="926"/>
      <c r="SJY38" s="926"/>
      <c r="SJZ38" s="926"/>
      <c r="SKA38" s="926"/>
      <c r="SKB38" s="926"/>
      <c r="SKC38" s="926"/>
      <c r="SKD38" s="926"/>
      <c r="SKE38" s="926"/>
      <c r="SKF38" s="926"/>
      <c r="SKG38" s="926"/>
      <c r="SKH38" s="926"/>
      <c r="SKI38" s="926"/>
      <c r="SKJ38" s="926"/>
      <c r="SKK38" s="926"/>
      <c r="SKL38" s="926"/>
      <c r="SKM38" s="926"/>
      <c r="SKN38" s="926"/>
      <c r="SKO38" s="926"/>
      <c r="SKP38" s="926"/>
      <c r="SKQ38" s="926"/>
      <c r="SKR38" s="926"/>
      <c r="SKS38" s="926"/>
      <c r="SKT38" s="926"/>
      <c r="SKU38" s="926"/>
      <c r="SKV38" s="926"/>
      <c r="SKW38" s="926"/>
      <c r="SKX38" s="926"/>
      <c r="SKY38" s="926"/>
      <c r="SKZ38" s="926"/>
      <c r="SLA38" s="926"/>
      <c r="SLB38" s="926"/>
      <c r="SLC38" s="926"/>
      <c r="SLD38" s="926"/>
      <c r="SLE38" s="926"/>
      <c r="SLF38" s="926"/>
      <c r="SLG38" s="926"/>
      <c r="SLH38" s="926"/>
      <c r="SLI38" s="926"/>
      <c r="SLJ38" s="926"/>
      <c r="SLK38" s="926"/>
      <c r="SLL38" s="926"/>
      <c r="SLM38" s="926"/>
      <c r="SLN38" s="926"/>
      <c r="SLO38" s="926"/>
      <c r="SLP38" s="926"/>
      <c r="SLQ38" s="926"/>
      <c r="SLR38" s="926"/>
      <c r="SLS38" s="926"/>
      <c r="SLT38" s="926"/>
      <c r="SLU38" s="926"/>
      <c r="SLV38" s="926"/>
      <c r="SLW38" s="926"/>
      <c r="SLX38" s="926"/>
      <c r="SLY38" s="926"/>
      <c r="SLZ38" s="926"/>
      <c r="SMA38" s="926"/>
      <c r="SMB38" s="926"/>
      <c r="SMC38" s="926"/>
      <c r="SMD38" s="926"/>
      <c r="SME38" s="926"/>
      <c r="SMF38" s="926"/>
      <c r="SMG38" s="926"/>
      <c r="SMH38" s="926"/>
      <c r="SMI38" s="926"/>
      <c r="SMJ38" s="926"/>
      <c r="SMK38" s="926"/>
      <c r="SML38" s="926"/>
      <c r="SMM38" s="926"/>
      <c r="SMN38" s="926"/>
      <c r="SMO38" s="926"/>
      <c r="SMP38" s="926"/>
      <c r="SMQ38" s="926"/>
      <c r="SMR38" s="926"/>
      <c r="SMS38" s="926"/>
      <c r="SMT38" s="926"/>
      <c r="SMU38" s="926"/>
      <c r="SMV38" s="926"/>
      <c r="SMW38" s="926"/>
      <c r="SMX38" s="926"/>
      <c r="SMY38" s="926"/>
      <c r="SMZ38" s="926"/>
      <c r="SNA38" s="926"/>
      <c r="SNB38" s="926"/>
      <c r="SNC38" s="926"/>
      <c r="SND38" s="926"/>
      <c r="SNE38" s="926"/>
      <c r="SNF38" s="926"/>
      <c r="SNG38" s="926"/>
      <c r="SNH38" s="926"/>
      <c r="SNI38" s="926"/>
      <c r="SNJ38" s="926"/>
      <c r="SNK38" s="926"/>
      <c r="SNL38" s="926"/>
      <c r="SNM38" s="926"/>
      <c r="SNN38" s="926"/>
      <c r="SNO38" s="926"/>
      <c r="SNP38" s="926"/>
      <c r="SNQ38" s="926"/>
      <c r="SNR38" s="926"/>
      <c r="SNS38" s="926"/>
      <c r="SNT38" s="926"/>
      <c r="SNU38" s="926"/>
      <c r="SNV38" s="926"/>
      <c r="SNW38" s="926"/>
      <c r="SNX38" s="926"/>
      <c r="SNY38" s="926"/>
      <c r="SNZ38" s="926"/>
      <c r="SOA38" s="926"/>
      <c r="SOB38" s="926"/>
      <c r="SOC38" s="926"/>
      <c r="SOD38" s="926"/>
      <c r="SOE38" s="926"/>
      <c r="SOF38" s="926"/>
      <c r="SOG38" s="926"/>
      <c r="SOH38" s="926"/>
      <c r="SOI38" s="926"/>
      <c r="SOJ38" s="926"/>
      <c r="SOK38" s="926"/>
      <c r="SOL38" s="926"/>
      <c r="SOM38" s="926"/>
      <c r="SON38" s="926"/>
      <c r="SOO38" s="926"/>
      <c r="SOP38" s="926"/>
      <c r="SOQ38" s="926"/>
      <c r="SOR38" s="926"/>
      <c r="SOS38" s="926"/>
      <c r="SOT38" s="926"/>
      <c r="SOU38" s="926"/>
      <c r="SOV38" s="926"/>
      <c r="SOW38" s="926"/>
      <c r="SOX38" s="926"/>
      <c r="SOY38" s="926"/>
      <c r="SOZ38" s="926"/>
      <c r="SPA38" s="926"/>
      <c r="SPB38" s="926"/>
      <c r="SPC38" s="926"/>
      <c r="SPD38" s="926"/>
      <c r="SPE38" s="926"/>
      <c r="SPF38" s="926"/>
      <c r="SPG38" s="926"/>
      <c r="SPH38" s="926"/>
      <c r="SPI38" s="926"/>
      <c r="SPJ38" s="926"/>
      <c r="SPK38" s="926"/>
      <c r="SPL38" s="926"/>
      <c r="SPM38" s="926"/>
      <c r="SPN38" s="926"/>
      <c r="SPO38" s="926"/>
      <c r="SPP38" s="926"/>
      <c r="SPQ38" s="926"/>
      <c r="SPR38" s="926"/>
      <c r="SPS38" s="926"/>
      <c r="SPT38" s="926"/>
      <c r="SPU38" s="926"/>
      <c r="SPV38" s="926"/>
      <c r="SPW38" s="926"/>
      <c r="SPX38" s="926"/>
      <c r="SPY38" s="926"/>
      <c r="SPZ38" s="926"/>
      <c r="SQA38" s="926"/>
      <c r="SQB38" s="926"/>
      <c r="SQC38" s="926"/>
      <c r="SQD38" s="926"/>
      <c r="SQE38" s="926"/>
      <c r="SQF38" s="926"/>
      <c r="SQG38" s="926"/>
      <c r="SQH38" s="926"/>
      <c r="SQI38" s="926"/>
      <c r="SQJ38" s="926"/>
      <c r="SQK38" s="926"/>
      <c r="SQL38" s="926"/>
      <c r="SQM38" s="926"/>
      <c r="SQN38" s="926"/>
      <c r="SQO38" s="926"/>
      <c r="SQP38" s="926"/>
      <c r="SQQ38" s="926"/>
      <c r="SQR38" s="926"/>
      <c r="SQS38" s="926"/>
      <c r="SQT38" s="926"/>
      <c r="SQU38" s="926"/>
      <c r="SQV38" s="926"/>
      <c r="SQW38" s="926"/>
      <c r="SQX38" s="926"/>
      <c r="SQY38" s="926"/>
      <c r="SQZ38" s="926"/>
      <c r="SRA38" s="926"/>
      <c r="SRB38" s="926"/>
      <c r="SRC38" s="926"/>
      <c r="SRD38" s="926"/>
      <c r="SRE38" s="926"/>
      <c r="SRF38" s="926"/>
      <c r="SRG38" s="926"/>
      <c r="SRH38" s="926"/>
      <c r="SRI38" s="926"/>
      <c r="SRJ38" s="926"/>
      <c r="SRK38" s="926"/>
      <c r="SRL38" s="926"/>
      <c r="SRM38" s="926"/>
      <c r="SRN38" s="926"/>
      <c r="SRO38" s="926"/>
      <c r="SRP38" s="926"/>
      <c r="SRQ38" s="926"/>
      <c r="SRR38" s="926"/>
      <c r="SRS38" s="926"/>
      <c r="SRT38" s="926"/>
      <c r="SRU38" s="926"/>
      <c r="SRV38" s="926"/>
      <c r="SRW38" s="926"/>
      <c r="SRX38" s="926"/>
      <c r="SRY38" s="926"/>
      <c r="SRZ38" s="926"/>
      <c r="SSA38" s="926"/>
      <c r="SSB38" s="926"/>
      <c r="SSC38" s="926"/>
      <c r="SSD38" s="926"/>
      <c r="SSE38" s="926"/>
      <c r="SSF38" s="926"/>
      <c r="SSG38" s="926"/>
      <c r="SSH38" s="926"/>
      <c r="SSI38" s="926"/>
      <c r="SSJ38" s="926"/>
      <c r="SSK38" s="926"/>
      <c r="SSL38" s="926"/>
      <c r="SSM38" s="926"/>
      <c r="SSN38" s="926"/>
      <c r="SSO38" s="926"/>
      <c r="SSP38" s="926"/>
      <c r="SSQ38" s="926"/>
      <c r="SSR38" s="926"/>
      <c r="SSS38" s="926"/>
      <c r="SST38" s="926"/>
      <c r="SSU38" s="926"/>
      <c r="SSV38" s="926"/>
      <c r="SSW38" s="926"/>
      <c r="SSX38" s="926"/>
      <c r="SSY38" s="926"/>
      <c r="SSZ38" s="926"/>
      <c r="STA38" s="926"/>
      <c r="STB38" s="926"/>
      <c r="STC38" s="926"/>
      <c r="STD38" s="926"/>
      <c r="STE38" s="926"/>
      <c r="STF38" s="926"/>
      <c r="STG38" s="926"/>
      <c r="STH38" s="926"/>
      <c r="STI38" s="926"/>
      <c r="STJ38" s="926"/>
      <c r="STK38" s="926"/>
      <c r="STL38" s="926"/>
      <c r="STM38" s="926"/>
      <c r="STN38" s="926"/>
      <c r="STO38" s="926"/>
      <c r="STP38" s="926"/>
      <c r="STQ38" s="926"/>
      <c r="STR38" s="926"/>
      <c r="STS38" s="926"/>
      <c r="STT38" s="926"/>
      <c r="STU38" s="926"/>
      <c r="STV38" s="926"/>
      <c r="STW38" s="926"/>
      <c r="STX38" s="926"/>
      <c r="STY38" s="926"/>
      <c r="STZ38" s="926"/>
      <c r="SUA38" s="926"/>
      <c r="SUB38" s="926"/>
      <c r="SUC38" s="926"/>
      <c r="SUD38" s="926"/>
      <c r="SUE38" s="926"/>
      <c r="SUF38" s="926"/>
      <c r="SUG38" s="926"/>
      <c r="SUH38" s="926"/>
      <c r="SUI38" s="926"/>
      <c r="SUJ38" s="926"/>
      <c r="SUK38" s="926"/>
      <c r="SUL38" s="926"/>
      <c r="SUM38" s="926"/>
      <c r="SUN38" s="926"/>
      <c r="SUO38" s="926"/>
      <c r="SUP38" s="926"/>
      <c r="SUQ38" s="926"/>
      <c r="SUR38" s="926"/>
      <c r="SUS38" s="926"/>
      <c r="SUT38" s="926"/>
      <c r="SUU38" s="926"/>
      <c r="SUV38" s="926"/>
      <c r="SUW38" s="926"/>
      <c r="SUX38" s="926"/>
      <c r="SUY38" s="926"/>
      <c r="SUZ38" s="926"/>
      <c r="SVA38" s="926"/>
      <c r="SVB38" s="926"/>
      <c r="SVC38" s="926"/>
      <c r="SVD38" s="926"/>
      <c r="SVE38" s="926"/>
      <c r="SVF38" s="926"/>
      <c r="SVG38" s="926"/>
      <c r="SVH38" s="926"/>
      <c r="SVI38" s="926"/>
      <c r="SVJ38" s="926"/>
      <c r="SVK38" s="926"/>
      <c r="SVL38" s="926"/>
      <c r="SVM38" s="926"/>
      <c r="SVN38" s="926"/>
      <c r="SVO38" s="926"/>
      <c r="SVP38" s="926"/>
      <c r="SVQ38" s="926"/>
      <c r="SVR38" s="926"/>
      <c r="SVS38" s="926"/>
      <c r="SVT38" s="926"/>
      <c r="SVU38" s="926"/>
      <c r="SVV38" s="926"/>
      <c r="SVW38" s="926"/>
      <c r="SVX38" s="926"/>
      <c r="SVY38" s="926"/>
      <c r="SVZ38" s="926"/>
      <c r="SWA38" s="926"/>
      <c r="SWB38" s="926"/>
      <c r="SWC38" s="926"/>
      <c r="SWD38" s="926"/>
      <c r="SWE38" s="926"/>
      <c r="SWF38" s="926"/>
      <c r="SWG38" s="926"/>
      <c r="SWH38" s="926"/>
      <c r="SWI38" s="926"/>
      <c r="SWJ38" s="926"/>
      <c r="SWK38" s="926"/>
      <c r="SWL38" s="926"/>
      <c r="SWM38" s="926"/>
      <c r="SWN38" s="926"/>
      <c r="SWO38" s="926"/>
      <c r="SWP38" s="926"/>
      <c r="SWQ38" s="926"/>
      <c r="SWR38" s="926"/>
      <c r="SWS38" s="926"/>
      <c r="SWT38" s="926"/>
      <c r="SWU38" s="926"/>
      <c r="SWV38" s="926"/>
      <c r="SWW38" s="926"/>
      <c r="SWX38" s="926"/>
      <c r="SWY38" s="926"/>
      <c r="SWZ38" s="926"/>
      <c r="SXA38" s="926"/>
      <c r="SXB38" s="926"/>
      <c r="SXC38" s="926"/>
      <c r="SXD38" s="926"/>
      <c r="SXE38" s="926"/>
      <c r="SXF38" s="926"/>
      <c r="SXG38" s="926"/>
      <c r="SXH38" s="926"/>
      <c r="SXI38" s="926"/>
      <c r="SXJ38" s="926"/>
      <c r="SXK38" s="926"/>
      <c r="SXL38" s="926"/>
      <c r="SXM38" s="926"/>
      <c r="SXN38" s="926"/>
      <c r="SXO38" s="926"/>
      <c r="SXP38" s="926"/>
      <c r="SXQ38" s="926"/>
      <c r="SXR38" s="926"/>
      <c r="SXS38" s="926"/>
      <c r="SXT38" s="926"/>
      <c r="SXU38" s="926"/>
      <c r="SXV38" s="926"/>
      <c r="SXW38" s="926"/>
      <c r="SXX38" s="926"/>
      <c r="SXY38" s="926"/>
      <c r="SXZ38" s="926"/>
      <c r="SYA38" s="926"/>
      <c r="SYB38" s="926"/>
      <c r="SYC38" s="926"/>
      <c r="SYD38" s="926"/>
      <c r="SYE38" s="926"/>
      <c r="SYF38" s="926"/>
      <c r="SYG38" s="926"/>
      <c r="SYH38" s="926"/>
      <c r="SYI38" s="926"/>
      <c r="SYJ38" s="926"/>
      <c r="SYK38" s="926"/>
      <c r="SYL38" s="926"/>
      <c r="SYM38" s="926"/>
      <c r="SYN38" s="926"/>
      <c r="SYO38" s="926"/>
      <c r="SYP38" s="926"/>
      <c r="SYQ38" s="926"/>
      <c r="SYR38" s="926"/>
      <c r="SYS38" s="926"/>
      <c r="SYT38" s="926"/>
      <c r="SYU38" s="926"/>
      <c r="SYV38" s="926"/>
      <c r="SYW38" s="926"/>
      <c r="SYX38" s="926"/>
      <c r="SYY38" s="926"/>
      <c r="SYZ38" s="926"/>
      <c r="SZA38" s="926"/>
      <c r="SZB38" s="926"/>
      <c r="SZC38" s="926"/>
      <c r="SZD38" s="926"/>
      <c r="SZE38" s="926"/>
      <c r="SZF38" s="926"/>
      <c r="SZG38" s="926"/>
      <c r="SZH38" s="926"/>
      <c r="SZI38" s="926"/>
      <c r="SZJ38" s="926"/>
      <c r="SZK38" s="926"/>
      <c r="SZL38" s="926"/>
      <c r="SZM38" s="926"/>
      <c r="SZN38" s="926"/>
      <c r="SZO38" s="926"/>
      <c r="SZP38" s="926"/>
      <c r="SZQ38" s="926"/>
      <c r="SZR38" s="926"/>
      <c r="SZS38" s="926"/>
      <c r="SZT38" s="926"/>
      <c r="SZU38" s="926"/>
      <c r="SZV38" s="926"/>
      <c r="SZW38" s="926"/>
      <c r="SZX38" s="926"/>
      <c r="SZY38" s="926"/>
      <c r="SZZ38" s="926"/>
      <c r="TAA38" s="926"/>
      <c r="TAB38" s="926"/>
      <c r="TAC38" s="926"/>
      <c r="TAD38" s="926"/>
      <c r="TAE38" s="926"/>
      <c r="TAF38" s="926"/>
      <c r="TAG38" s="926"/>
      <c r="TAH38" s="926"/>
      <c r="TAI38" s="926"/>
      <c r="TAJ38" s="926"/>
      <c r="TAK38" s="926"/>
      <c r="TAL38" s="926"/>
      <c r="TAM38" s="926"/>
      <c r="TAN38" s="926"/>
      <c r="TAO38" s="926"/>
      <c r="TAP38" s="926"/>
      <c r="TAQ38" s="926"/>
      <c r="TAR38" s="926"/>
      <c r="TAS38" s="926"/>
      <c r="TAT38" s="926"/>
      <c r="TAU38" s="926"/>
      <c r="TAV38" s="926"/>
      <c r="TAW38" s="926"/>
      <c r="TAX38" s="926"/>
      <c r="TAY38" s="926"/>
      <c r="TAZ38" s="926"/>
      <c r="TBA38" s="926"/>
      <c r="TBB38" s="926"/>
      <c r="TBC38" s="926"/>
      <c r="TBD38" s="926"/>
      <c r="TBE38" s="926"/>
      <c r="TBF38" s="926"/>
      <c r="TBG38" s="926"/>
      <c r="TBH38" s="926"/>
      <c r="TBI38" s="926"/>
      <c r="TBJ38" s="926"/>
      <c r="TBK38" s="926"/>
      <c r="TBL38" s="926"/>
      <c r="TBM38" s="926"/>
      <c r="TBN38" s="926"/>
      <c r="TBO38" s="926"/>
      <c r="TBP38" s="926"/>
      <c r="TBQ38" s="926"/>
      <c r="TBR38" s="926"/>
      <c r="TBS38" s="926"/>
      <c r="TBT38" s="926"/>
      <c r="TBU38" s="926"/>
      <c r="TBV38" s="926"/>
      <c r="TBW38" s="926"/>
      <c r="TBX38" s="926"/>
      <c r="TBY38" s="926"/>
      <c r="TBZ38" s="926"/>
      <c r="TCA38" s="926"/>
      <c r="TCB38" s="926"/>
      <c r="TCC38" s="926"/>
      <c r="TCD38" s="926"/>
      <c r="TCE38" s="926"/>
      <c r="TCF38" s="926"/>
      <c r="TCG38" s="926"/>
      <c r="TCH38" s="926"/>
      <c r="TCI38" s="926"/>
      <c r="TCJ38" s="926"/>
      <c r="TCK38" s="926"/>
      <c r="TCL38" s="926"/>
      <c r="TCM38" s="926"/>
      <c r="TCN38" s="926"/>
      <c r="TCO38" s="926"/>
      <c r="TCP38" s="926"/>
      <c r="TCQ38" s="926"/>
      <c r="TCR38" s="926"/>
      <c r="TCS38" s="926"/>
      <c r="TCT38" s="926"/>
      <c r="TCU38" s="926"/>
      <c r="TCV38" s="926"/>
      <c r="TCW38" s="926"/>
      <c r="TCX38" s="926"/>
      <c r="TCY38" s="926"/>
      <c r="TCZ38" s="926"/>
      <c r="TDA38" s="926"/>
      <c r="TDB38" s="926"/>
      <c r="TDC38" s="926"/>
      <c r="TDD38" s="926"/>
      <c r="TDE38" s="926"/>
      <c r="TDF38" s="926"/>
      <c r="TDG38" s="926"/>
      <c r="TDH38" s="926"/>
      <c r="TDI38" s="926"/>
      <c r="TDJ38" s="926"/>
      <c r="TDK38" s="926"/>
      <c r="TDL38" s="926"/>
      <c r="TDM38" s="926"/>
      <c r="TDN38" s="926"/>
      <c r="TDO38" s="926"/>
      <c r="TDP38" s="926"/>
      <c r="TDQ38" s="926"/>
      <c r="TDR38" s="926"/>
      <c r="TDS38" s="926"/>
      <c r="TDT38" s="926"/>
      <c r="TDU38" s="926"/>
      <c r="TDV38" s="926"/>
      <c r="TDW38" s="926"/>
      <c r="TDX38" s="926"/>
      <c r="TDY38" s="926"/>
      <c r="TDZ38" s="926"/>
      <c r="TEA38" s="926"/>
      <c r="TEB38" s="926"/>
      <c r="TEC38" s="926"/>
      <c r="TED38" s="926"/>
      <c r="TEE38" s="926"/>
      <c r="TEF38" s="926"/>
      <c r="TEG38" s="926"/>
      <c r="TEH38" s="926"/>
      <c r="TEI38" s="926"/>
      <c r="TEJ38" s="926"/>
      <c r="TEK38" s="926"/>
      <c r="TEL38" s="926"/>
      <c r="TEM38" s="926"/>
      <c r="TEN38" s="926"/>
      <c r="TEO38" s="926"/>
      <c r="TEP38" s="926"/>
      <c r="TEQ38" s="926"/>
      <c r="TER38" s="926"/>
      <c r="TES38" s="926"/>
      <c r="TET38" s="926"/>
      <c r="TEU38" s="926"/>
      <c r="TEV38" s="926"/>
      <c r="TEW38" s="926"/>
      <c r="TEX38" s="926"/>
      <c r="TEY38" s="926"/>
      <c r="TEZ38" s="926"/>
      <c r="TFA38" s="926"/>
      <c r="TFB38" s="926"/>
      <c r="TFC38" s="926"/>
      <c r="TFD38" s="926"/>
      <c r="TFE38" s="926"/>
      <c r="TFF38" s="926"/>
      <c r="TFG38" s="926"/>
      <c r="TFH38" s="926"/>
      <c r="TFI38" s="926"/>
      <c r="TFJ38" s="926"/>
      <c r="TFK38" s="926"/>
      <c r="TFL38" s="926"/>
      <c r="TFM38" s="926"/>
      <c r="TFN38" s="926"/>
      <c r="TFO38" s="926"/>
      <c r="TFP38" s="926"/>
      <c r="TFQ38" s="926"/>
      <c r="TFR38" s="926"/>
      <c r="TFS38" s="926"/>
      <c r="TFT38" s="926"/>
      <c r="TFU38" s="926"/>
      <c r="TFV38" s="926"/>
      <c r="TFW38" s="926"/>
      <c r="TFX38" s="926"/>
      <c r="TFY38" s="926"/>
      <c r="TFZ38" s="926"/>
      <c r="TGA38" s="926"/>
      <c r="TGB38" s="926"/>
      <c r="TGC38" s="926"/>
      <c r="TGD38" s="926"/>
      <c r="TGE38" s="926"/>
      <c r="TGF38" s="926"/>
      <c r="TGG38" s="926"/>
      <c r="TGH38" s="926"/>
      <c r="TGI38" s="926"/>
      <c r="TGJ38" s="926"/>
      <c r="TGK38" s="926"/>
      <c r="TGL38" s="926"/>
      <c r="TGM38" s="926"/>
      <c r="TGN38" s="926"/>
      <c r="TGO38" s="926"/>
      <c r="TGP38" s="926"/>
      <c r="TGQ38" s="926"/>
      <c r="TGR38" s="926"/>
      <c r="TGS38" s="926"/>
      <c r="TGT38" s="926"/>
      <c r="TGU38" s="926"/>
      <c r="TGV38" s="926"/>
      <c r="TGW38" s="926"/>
      <c r="TGX38" s="926"/>
      <c r="TGY38" s="926"/>
      <c r="TGZ38" s="926"/>
      <c r="THA38" s="926"/>
      <c r="THB38" s="926"/>
      <c r="THC38" s="926"/>
      <c r="THD38" s="926"/>
      <c r="THE38" s="926"/>
      <c r="THF38" s="926"/>
      <c r="THG38" s="926"/>
      <c r="THH38" s="926"/>
      <c r="THI38" s="926"/>
      <c r="THJ38" s="926"/>
      <c r="THK38" s="926"/>
      <c r="THL38" s="926"/>
      <c r="THM38" s="926"/>
      <c r="THN38" s="926"/>
      <c r="THO38" s="926"/>
      <c r="THP38" s="926"/>
      <c r="THQ38" s="926"/>
      <c r="THR38" s="926"/>
      <c r="THS38" s="926"/>
      <c r="THT38" s="926"/>
      <c r="THU38" s="926"/>
      <c r="THV38" s="926"/>
      <c r="THW38" s="926"/>
      <c r="THX38" s="926"/>
      <c r="THY38" s="926"/>
      <c r="THZ38" s="926"/>
      <c r="TIA38" s="926"/>
      <c r="TIB38" s="926"/>
      <c r="TIC38" s="926"/>
      <c r="TID38" s="926"/>
      <c r="TIE38" s="926"/>
      <c r="TIF38" s="926"/>
      <c r="TIG38" s="926"/>
      <c r="TIH38" s="926"/>
      <c r="TII38" s="926"/>
      <c r="TIJ38" s="926"/>
      <c r="TIK38" s="926"/>
      <c r="TIL38" s="926"/>
      <c r="TIM38" s="926"/>
      <c r="TIN38" s="926"/>
      <c r="TIO38" s="926"/>
      <c r="TIP38" s="926"/>
      <c r="TIQ38" s="926"/>
      <c r="TIR38" s="926"/>
      <c r="TIS38" s="926"/>
      <c r="TIT38" s="926"/>
      <c r="TIU38" s="926"/>
      <c r="TIV38" s="926"/>
      <c r="TIW38" s="926"/>
      <c r="TIX38" s="926"/>
      <c r="TIY38" s="926"/>
      <c r="TIZ38" s="926"/>
      <c r="TJA38" s="926"/>
      <c r="TJB38" s="926"/>
      <c r="TJC38" s="926"/>
      <c r="TJD38" s="926"/>
      <c r="TJE38" s="926"/>
      <c r="TJF38" s="926"/>
      <c r="TJG38" s="926"/>
      <c r="TJH38" s="926"/>
      <c r="TJI38" s="926"/>
      <c r="TJJ38" s="926"/>
      <c r="TJK38" s="926"/>
      <c r="TJL38" s="926"/>
      <c r="TJM38" s="926"/>
      <c r="TJN38" s="926"/>
      <c r="TJO38" s="926"/>
      <c r="TJP38" s="926"/>
      <c r="TJQ38" s="926"/>
      <c r="TJR38" s="926"/>
      <c r="TJS38" s="926"/>
      <c r="TJT38" s="926"/>
      <c r="TJU38" s="926"/>
      <c r="TJV38" s="926"/>
      <c r="TJW38" s="926"/>
      <c r="TJX38" s="926"/>
      <c r="TJY38" s="926"/>
      <c r="TJZ38" s="926"/>
      <c r="TKA38" s="926"/>
      <c r="TKB38" s="926"/>
      <c r="TKC38" s="926"/>
      <c r="TKD38" s="926"/>
      <c r="TKE38" s="926"/>
      <c r="TKF38" s="926"/>
      <c r="TKG38" s="926"/>
      <c r="TKH38" s="926"/>
      <c r="TKI38" s="926"/>
      <c r="TKJ38" s="926"/>
      <c r="TKK38" s="926"/>
      <c r="TKL38" s="926"/>
      <c r="TKM38" s="926"/>
      <c r="TKN38" s="926"/>
      <c r="TKO38" s="926"/>
      <c r="TKP38" s="926"/>
      <c r="TKQ38" s="926"/>
      <c r="TKR38" s="926"/>
      <c r="TKS38" s="926"/>
      <c r="TKT38" s="926"/>
      <c r="TKU38" s="926"/>
      <c r="TKV38" s="926"/>
      <c r="TKW38" s="926"/>
      <c r="TKX38" s="926"/>
      <c r="TKY38" s="926"/>
      <c r="TKZ38" s="926"/>
      <c r="TLA38" s="926"/>
      <c r="TLB38" s="926"/>
      <c r="TLC38" s="926"/>
      <c r="TLD38" s="926"/>
      <c r="TLE38" s="926"/>
      <c r="TLF38" s="926"/>
      <c r="TLG38" s="926"/>
      <c r="TLH38" s="926"/>
      <c r="TLI38" s="926"/>
      <c r="TLJ38" s="926"/>
      <c r="TLK38" s="926"/>
      <c r="TLL38" s="926"/>
      <c r="TLM38" s="926"/>
      <c r="TLN38" s="926"/>
      <c r="TLO38" s="926"/>
      <c r="TLP38" s="926"/>
      <c r="TLQ38" s="926"/>
      <c r="TLR38" s="926"/>
      <c r="TLS38" s="926"/>
      <c r="TLT38" s="926"/>
      <c r="TLU38" s="926"/>
      <c r="TLV38" s="926"/>
      <c r="TLW38" s="926"/>
      <c r="TLX38" s="926"/>
      <c r="TLY38" s="926"/>
      <c r="TLZ38" s="926"/>
      <c r="TMA38" s="926"/>
      <c r="TMB38" s="926"/>
      <c r="TMC38" s="926"/>
      <c r="TMD38" s="926"/>
      <c r="TME38" s="926"/>
      <c r="TMF38" s="926"/>
      <c r="TMG38" s="926"/>
      <c r="TMH38" s="926"/>
      <c r="TMI38" s="926"/>
      <c r="TMJ38" s="926"/>
      <c r="TMK38" s="926"/>
      <c r="TML38" s="926"/>
      <c r="TMM38" s="926"/>
      <c r="TMN38" s="926"/>
      <c r="TMO38" s="926"/>
      <c r="TMP38" s="926"/>
      <c r="TMQ38" s="926"/>
      <c r="TMR38" s="926"/>
      <c r="TMS38" s="926"/>
      <c r="TMT38" s="926"/>
      <c r="TMU38" s="926"/>
      <c r="TMV38" s="926"/>
      <c r="TMW38" s="926"/>
      <c r="TMX38" s="926"/>
      <c r="TMY38" s="926"/>
      <c r="TMZ38" s="926"/>
      <c r="TNA38" s="926"/>
      <c r="TNB38" s="926"/>
      <c r="TNC38" s="926"/>
      <c r="TND38" s="926"/>
      <c r="TNE38" s="926"/>
      <c r="TNF38" s="926"/>
      <c r="TNG38" s="926"/>
      <c r="TNH38" s="926"/>
      <c r="TNI38" s="926"/>
      <c r="TNJ38" s="926"/>
      <c r="TNK38" s="926"/>
      <c r="TNL38" s="926"/>
      <c r="TNM38" s="926"/>
      <c r="TNN38" s="926"/>
      <c r="TNO38" s="926"/>
      <c r="TNP38" s="926"/>
      <c r="TNQ38" s="926"/>
      <c r="TNR38" s="926"/>
      <c r="TNS38" s="926"/>
      <c r="TNT38" s="926"/>
      <c r="TNU38" s="926"/>
      <c r="TNV38" s="926"/>
      <c r="TNW38" s="926"/>
      <c r="TNX38" s="926"/>
      <c r="TNY38" s="926"/>
      <c r="TNZ38" s="926"/>
      <c r="TOA38" s="926"/>
      <c r="TOB38" s="926"/>
      <c r="TOC38" s="926"/>
      <c r="TOD38" s="926"/>
      <c r="TOE38" s="926"/>
      <c r="TOF38" s="926"/>
      <c r="TOG38" s="926"/>
      <c r="TOH38" s="926"/>
      <c r="TOI38" s="926"/>
      <c r="TOJ38" s="926"/>
      <c r="TOK38" s="926"/>
      <c r="TOL38" s="926"/>
      <c r="TOM38" s="926"/>
      <c r="TON38" s="926"/>
      <c r="TOO38" s="926"/>
      <c r="TOP38" s="926"/>
      <c r="TOQ38" s="926"/>
      <c r="TOR38" s="926"/>
      <c r="TOS38" s="926"/>
      <c r="TOT38" s="926"/>
      <c r="TOU38" s="926"/>
      <c r="TOV38" s="926"/>
      <c r="TOW38" s="926"/>
      <c r="TOX38" s="926"/>
      <c r="TOY38" s="926"/>
      <c r="TOZ38" s="926"/>
      <c r="TPA38" s="926"/>
      <c r="TPB38" s="926"/>
      <c r="TPC38" s="926"/>
      <c r="TPD38" s="926"/>
      <c r="TPE38" s="926"/>
      <c r="TPF38" s="926"/>
      <c r="TPG38" s="926"/>
      <c r="TPH38" s="926"/>
      <c r="TPI38" s="926"/>
      <c r="TPJ38" s="926"/>
      <c r="TPK38" s="926"/>
      <c r="TPL38" s="926"/>
      <c r="TPM38" s="926"/>
      <c r="TPN38" s="926"/>
      <c r="TPO38" s="926"/>
      <c r="TPP38" s="926"/>
      <c r="TPQ38" s="926"/>
      <c r="TPR38" s="926"/>
      <c r="TPS38" s="926"/>
      <c r="TPT38" s="926"/>
      <c r="TPU38" s="926"/>
      <c r="TPV38" s="926"/>
      <c r="TPW38" s="926"/>
      <c r="TPX38" s="926"/>
      <c r="TPY38" s="926"/>
      <c r="TPZ38" s="926"/>
      <c r="TQA38" s="926"/>
      <c r="TQB38" s="926"/>
      <c r="TQC38" s="926"/>
      <c r="TQD38" s="926"/>
      <c r="TQE38" s="926"/>
      <c r="TQF38" s="926"/>
      <c r="TQG38" s="926"/>
      <c r="TQH38" s="926"/>
      <c r="TQI38" s="926"/>
      <c r="TQJ38" s="926"/>
      <c r="TQK38" s="926"/>
      <c r="TQL38" s="926"/>
      <c r="TQM38" s="926"/>
      <c r="TQN38" s="926"/>
      <c r="TQO38" s="926"/>
      <c r="TQP38" s="926"/>
      <c r="TQQ38" s="926"/>
      <c r="TQR38" s="926"/>
      <c r="TQS38" s="926"/>
      <c r="TQT38" s="926"/>
      <c r="TQU38" s="926"/>
      <c r="TQV38" s="926"/>
      <c r="TQW38" s="926"/>
      <c r="TQX38" s="926"/>
      <c r="TQY38" s="926"/>
      <c r="TQZ38" s="926"/>
      <c r="TRA38" s="926"/>
      <c r="TRB38" s="926"/>
      <c r="TRC38" s="926"/>
      <c r="TRD38" s="926"/>
      <c r="TRE38" s="926"/>
      <c r="TRF38" s="926"/>
      <c r="TRG38" s="926"/>
      <c r="TRH38" s="926"/>
      <c r="TRI38" s="926"/>
      <c r="TRJ38" s="926"/>
      <c r="TRK38" s="926"/>
      <c r="TRL38" s="926"/>
      <c r="TRM38" s="926"/>
      <c r="TRN38" s="926"/>
      <c r="TRO38" s="926"/>
      <c r="TRP38" s="926"/>
      <c r="TRQ38" s="926"/>
      <c r="TRR38" s="926"/>
      <c r="TRS38" s="926"/>
      <c r="TRT38" s="926"/>
      <c r="TRU38" s="926"/>
      <c r="TRV38" s="926"/>
      <c r="TRW38" s="926"/>
      <c r="TRX38" s="926"/>
      <c r="TRY38" s="926"/>
      <c r="TRZ38" s="926"/>
      <c r="TSA38" s="926"/>
      <c r="TSB38" s="926"/>
      <c r="TSC38" s="926"/>
      <c r="TSD38" s="926"/>
      <c r="TSE38" s="926"/>
      <c r="TSF38" s="926"/>
      <c r="TSG38" s="926"/>
      <c r="TSH38" s="926"/>
      <c r="TSI38" s="926"/>
      <c r="TSJ38" s="926"/>
      <c r="TSK38" s="926"/>
      <c r="TSL38" s="926"/>
      <c r="TSM38" s="926"/>
      <c r="TSN38" s="926"/>
      <c r="TSO38" s="926"/>
      <c r="TSP38" s="926"/>
      <c r="TSQ38" s="926"/>
      <c r="TSR38" s="926"/>
      <c r="TSS38" s="926"/>
      <c r="TST38" s="926"/>
      <c r="TSU38" s="926"/>
      <c r="TSV38" s="926"/>
      <c r="TSW38" s="926"/>
      <c r="TSX38" s="926"/>
      <c r="TSY38" s="926"/>
      <c r="TSZ38" s="926"/>
      <c r="TTA38" s="926"/>
      <c r="TTB38" s="926"/>
      <c r="TTC38" s="926"/>
      <c r="TTD38" s="926"/>
      <c r="TTE38" s="926"/>
      <c r="TTF38" s="926"/>
      <c r="TTG38" s="926"/>
      <c r="TTH38" s="926"/>
      <c r="TTI38" s="926"/>
      <c r="TTJ38" s="926"/>
      <c r="TTK38" s="926"/>
      <c r="TTL38" s="926"/>
      <c r="TTM38" s="926"/>
      <c r="TTN38" s="926"/>
      <c r="TTO38" s="926"/>
      <c r="TTP38" s="926"/>
      <c r="TTQ38" s="926"/>
      <c r="TTR38" s="926"/>
      <c r="TTS38" s="926"/>
      <c r="TTT38" s="926"/>
      <c r="TTU38" s="926"/>
      <c r="TTV38" s="926"/>
      <c r="TTW38" s="926"/>
      <c r="TTX38" s="926"/>
      <c r="TTY38" s="926"/>
      <c r="TTZ38" s="926"/>
      <c r="TUA38" s="926"/>
      <c r="TUB38" s="926"/>
      <c r="TUC38" s="926"/>
      <c r="TUD38" s="926"/>
      <c r="TUE38" s="926"/>
      <c r="TUF38" s="926"/>
      <c r="TUG38" s="926"/>
      <c r="TUH38" s="926"/>
      <c r="TUI38" s="926"/>
      <c r="TUJ38" s="926"/>
      <c r="TUK38" s="926"/>
      <c r="TUL38" s="926"/>
      <c r="TUM38" s="926"/>
      <c r="TUN38" s="926"/>
      <c r="TUO38" s="926"/>
      <c r="TUP38" s="926"/>
      <c r="TUQ38" s="926"/>
      <c r="TUR38" s="926"/>
      <c r="TUS38" s="926"/>
      <c r="TUT38" s="926"/>
      <c r="TUU38" s="926"/>
      <c r="TUV38" s="926"/>
      <c r="TUW38" s="926"/>
      <c r="TUX38" s="926"/>
      <c r="TUY38" s="926"/>
      <c r="TUZ38" s="926"/>
      <c r="TVA38" s="926"/>
      <c r="TVB38" s="926"/>
      <c r="TVC38" s="926"/>
      <c r="TVD38" s="926"/>
      <c r="TVE38" s="926"/>
      <c r="TVF38" s="926"/>
      <c r="TVG38" s="926"/>
      <c r="TVH38" s="926"/>
      <c r="TVI38" s="926"/>
      <c r="TVJ38" s="926"/>
      <c r="TVK38" s="926"/>
      <c r="TVL38" s="926"/>
      <c r="TVM38" s="926"/>
      <c r="TVN38" s="926"/>
      <c r="TVO38" s="926"/>
      <c r="TVP38" s="926"/>
      <c r="TVQ38" s="926"/>
      <c r="TVR38" s="926"/>
      <c r="TVS38" s="926"/>
      <c r="TVT38" s="926"/>
      <c r="TVU38" s="926"/>
      <c r="TVV38" s="926"/>
      <c r="TVW38" s="926"/>
      <c r="TVX38" s="926"/>
      <c r="TVY38" s="926"/>
      <c r="TVZ38" s="926"/>
      <c r="TWA38" s="926"/>
      <c r="TWB38" s="926"/>
      <c r="TWC38" s="926"/>
      <c r="TWD38" s="926"/>
      <c r="TWE38" s="926"/>
      <c r="TWF38" s="926"/>
      <c r="TWG38" s="926"/>
      <c r="TWH38" s="926"/>
      <c r="TWI38" s="926"/>
      <c r="TWJ38" s="926"/>
      <c r="TWK38" s="926"/>
      <c r="TWL38" s="926"/>
      <c r="TWM38" s="926"/>
      <c r="TWN38" s="926"/>
      <c r="TWO38" s="926"/>
      <c r="TWP38" s="926"/>
      <c r="TWQ38" s="926"/>
      <c r="TWR38" s="926"/>
      <c r="TWS38" s="926"/>
      <c r="TWT38" s="926"/>
      <c r="TWU38" s="926"/>
      <c r="TWV38" s="926"/>
      <c r="TWW38" s="926"/>
      <c r="TWX38" s="926"/>
      <c r="TWY38" s="926"/>
      <c r="TWZ38" s="926"/>
      <c r="TXA38" s="926"/>
      <c r="TXB38" s="926"/>
      <c r="TXC38" s="926"/>
      <c r="TXD38" s="926"/>
      <c r="TXE38" s="926"/>
      <c r="TXF38" s="926"/>
      <c r="TXG38" s="926"/>
      <c r="TXH38" s="926"/>
      <c r="TXI38" s="926"/>
      <c r="TXJ38" s="926"/>
      <c r="TXK38" s="926"/>
      <c r="TXL38" s="926"/>
      <c r="TXM38" s="926"/>
      <c r="TXN38" s="926"/>
      <c r="TXO38" s="926"/>
      <c r="TXP38" s="926"/>
      <c r="TXQ38" s="926"/>
      <c r="TXR38" s="926"/>
      <c r="TXS38" s="926"/>
      <c r="TXT38" s="926"/>
      <c r="TXU38" s="926"/>
      <c r="TXV38" s="926"/>
      <c r="TXW38" s="926"/>
      <c r="TXX38" s="926"/>
      <c r="TXY38" s="926"/>
      <c r="TXZ38" s="926"/>
      <c r="TYA38" s="926"/>
      <c r="TYB38" s="926"/>
      <c r="TYC38" s="926"/>
      <c r="TYD38" s="926"/>
      <c r="TYE38" s="926"/>
      <c r="TYF38" s="926"/>
      <c r="TYG38" s="926"/>
      <c r="TYH38" s="926"/>
      <c r="TYI38" s="926"/>
      <c r="TYJ38" s="926"/>
      <c r="TYK38" s="926"/>
      <c r="TYL38" s="926"/>
      <c r="TYM38" s="926"/>
      <c r="TYN38" s="926"/>
      <c r="TYO38" s="926"/>
      <c r="TYP38" s="926"/>
      <c r="TYQ38" s="926"/>
      <c r="TYR38" s="926"/>
      <c r="TYS38" s="926"/>
      <c r="TYT38" s="926"/>
      <c r="TYU38" s="926"/>
      <c r="TYV38" s="926"/>
      <c r="TYW38" s="926"/>
      <c r="TYX38" s="926"/>
      <c r="TYY38" s="926"/>
      <c r="TYZ38" s="926"/>
      <c r="TZA38" s="926"/>
      <c r="TZB38" s="926"/>
      <c r="TZC38" s="926"/>
      <c r="TZD38" s="926"/>
      <c r="TZE38" s="926"/>
      <c r="TZF38" s="926"/>
      <c r="TZG38" s="926"/>
      <c r="TZH38" s="926"/>
      <c r="TZI38" s="926"/>
      <c r="TZJ38" s="926"/>
      <c r="TZK38" s="926"/>
      <c r="TZL38" s="926"/>
      <c r="TZM38" s="926"/>
      <c r="TZN38" s="926"/>
      <c r="TZO38" s="926"/>
      <c r="TZP38" s="926"/>
      <c r="TZQ38" s="926"/>
      <c r="TZR38" s="926"/>
      <c r="TZS38" s="926"/>
      <c r="TZT38" s="926"/>
      <c r="TZU38" s="926"/>
      <c r="TZV38" s="926"/>
      <c r="TZW38" s="926"/>
      <c r="TZX38" s="926"/>
      <c r="TZY38" s="926"/>
      <c r="TZZ38" s="926"/>
      <c r="UAA38" s="926"/>
      <c r="UAB38" s="926"/>
      <c r="UAC38" s="926"/>
      <c r="UAD38" s="926"/>
      <c r="UAE38" s="926"/>
      <c r="UAF38" s="926"/>
      <c r="UAG38" s="926"/>
      <c r="UAH38" s="926"/>
      <c r="UAI38" s="926"/>
      <c r="UAJ38" s="926"/>
      <c r="UAK38" s="926"/>
      <c r="UAL38" s="926"/>
      <c r="UAM38" s="926"/>
      <c r="UAN38" s="926"/>
      <c r="UAO38" s="926"/>
      <c r="UAP38" s="926"/>
      <c r="UAQ38" s="926"/>
      <c r="UAR38" s="926"/>
      <c r="UAS38" s="926"/>
      <c r="UAT38" s="926"/>
      <c r="UAU38" s="926"/>
      <c r="UAV38" s="926"/>
      <c r="UAW38" s="926"/>
      <c r="UAX38" s="926"/>
      <c r="UAY38" s="926"/>
      <c r="UAZ38" s="926"/>
      <c r="UBA38" s="926"/>
      <c r="UBB38" s="926"/>
      <c r="UBC38" s="926"/>
      <c r="UBD38" s="926"/>
      <c r="UBE38" s="926"/>
      <c r="UBF38" s="926"/>
      <c r="UBG38" s="926"/>
      <c r="UBH38" s="926"/>
      <c r="UBI38" s="926"/>
      <c r="UBJ38" s="926"/>
      <c r="UBK38" s="926"/>
      <c r="UBL38" s="926"/>
      <c r="UBM38" s="926"/>
      <c r="UBN38" s="926"/>
      <c r="UBO38" s="926"/>
      <c r="UBP38" s="926"/>
      <c r="UBQ38" s="926"/>
      <c r="UBR38" s="926"/>
      <c r="UBS38" s="926"/>
      <c r="UBT38" s="926"/>
      <c r="UBU38" s="926"/>
      <c r="UBV38" s="926"/>
      <c r="UBW38" s="926"/>
      <c r="UBX38" s="926"/>
      <c r="UBY38" s="926"/>
      <c r="UBZ38" s="926"/>
      <c r="UCA38" s="926"/>
      <c r="UCB38" s="926"/>
      <c r="UCC38" s="926"/>
      <c r="UCD38" s="926"/>
      <c r="UCE38" s="926"/>
      <c r="UCF38" s="926"/>
      <c r="UCG38" s="926"/>
      <c r="UCH38" s="926"/>
      <c r="UCI38" s="926"/>
      <c r="UCJ38" s="926"/>
      <c r="UCK38" s="926"/>
      <c r="UCL38" s="926"/>
      <c r="UCM38" s="926"/>
      <c r="UCN38" s="926"/>
      <c r="UCO38" s="926"/>
      <c r="UCP38" s="926"/>
      <c r="UCQ38" s="926"/>
      <c r="UCR38" s="926"/>
      <c r="UCS38" s="926"/>
      <c r="UCT38" s="926"/>
      <c r="UCU38" s="926"/>
      <c r="UCV38" s="926"/>
      <c r="UCW38" s="926"/>
      <c r="UCX38" s="926"/>
      <c r="UCY38" s="926"/>
      <c r="UCZ38" s="926"/>
      <c r="UDA38" s="926"/>
      <c r="UDB38" s="926"/>
      <c r="UDC38" s="926"/>
      <c r="UDD38" s="926"/>
      <c r="UDE38" s="926"/>
      <c r="UDF38" s="926"/>
      <c r="UDG38" s="926"/>
      <c r="UDH38" s="926"/>
      <c r="UDI38" s="926"/>
      <c r="UDJ38" s="926"/>
      <c r="UDK38" s="926"/>
      <c r="UDL38" s="926"/>
      <c r="UDM38" s="926"/>
      <c r="UDN38" s="926"/>
      <c r="UDO38" s="926"/>
      <c r="UDP38" s="926"/>
      <c r="UDQ38" s="926"/>
      <c r="UDR38" s="926"/>
      <c r="UDS38" s="926"/>
      <c r="UDT38" s="926"/>
      <c r="UDU38" s="926"/>
      <c r="UDV38" s="926"/>
      <c r="UDW38" s="926"/>
      <c r="UDX38" s="926"/>
      <c r="UDY38" s="926"/>
      <c r="UDZ38" s="926"/>
      <c r="UEA38" s="926"/>
      <c r="UEB38" s="926"/>
      <c r="UEC38" s="926"/>
      <c r="UED38" s="926"/>
      <c r="UEE38" s="926"/>
      <c r="UEF38" s="926"/>
      <c r="UEG38" s="926"/>
      <c r="UEH38" s="926"/>
      <c r="UEI38" s="926"/>
      <c r="UEJ38" s="926"/>
      <c r="UEK38" s="926"/>
      <c r="UEL38" s="926"/>
      <c r="UEM38" s="926"/>
      <c r="UEN38" s="926"/>
      <c r="UEO38" s="926"/>
      <c r="UEP38" s="926"/>
      <c r="UEQ38" s="926"/>
      <c r="UER38" s="926"/>
      <c r="UES38" s="926"/>
      <c r="UET38" s="926"/>
      <c r="UEU38" s="926"/>
      <c r="UEV38" s="926"/>
      <c r="UEW38" s="926"/>
      <c r="UEX38" s="926"/>
      <c r="UEY38" s="926"/>
      <c r="UEZ38" s="926"/>
      <c r="UFA38" s="926"/>
      <c r="UFB38" s="926"/>
      <c r="UFC38" s="926"/>
      <c r="UFD38" s="926"/>
      <c r="UFE38" s="926"/>
      <c r="UFF38" s="926"/>
      <c r="UFG38" s="926"/>
      <c r="UFH38" s="926"/>
      <c r="UFI38" s="926"/>
      <c r="UFJ38" s="926"/>
      <c r="UFK38" s="926"/>
      <c r="UFL38" s="926"/>
      <c r="UFM38" s="926"/>
      <c r="UFN38" s="926"/>
      <c r="UFO38" s="926"/>
      <c r="UFP38" s="926"/>
      <c r="UFQ38" s="926"/>
      <c r="UFR38" s="926"/>
      <c r="UFS38" s="926"/>
      <c r="UFT38" s="926"/>
      <c r="UFU38" s="926"/>
      <c r="UFV38" s="926"/>
      <c r="UFW38" s="926"/>
      <c r="UFX38" s="926"/>
      <c r="UFY38" s="926"/>
      <c r="UFZ38" s="926"/>
      <c r="UGA38" s="926"/>
      <c r="UGB38" s="926"/>
      <c r="UGC38" s="926"/>
      <c r="UGD38" s="926"/>
      <c r="UGE38" s="926"/>
      <c r="UGF38" s="926"/>
      <c r="UGG38" s="926"/>
      <c r="UGH38" s="926"/>
      <c r="UGI38" s="926"/>
      <c r="UGJ38" s="926"/>
      <c r="UGK38" s="926"/>
      <c r="UGL38" s="926"/>
      <c r="UGM38" s="926"/>
      <c r="UGN38" s="926"/>
      <c r="UGO38" s="926"/>
      <c r="UGP38" s="926"/>
      <c r="UGQ38" s="926"/>
      <c r="UGR38" s="926"/>
      <c r="UGS38" s="926"/>
      <c r="UGT38" s="926"/>
      <c r="UGU38" s="926"/>
      <c r="UGV38" s="926"/>
      <c r="UGW38" s="926"/>
      <c r="UGX38" s="926"/>
      <c r="UGY38" s="926"/>
      <c r="UGZ38" s="926"/>
      <c r="UHA38" s="926"/>
      <c r="UHB38" s="926"/>
      <c r="UHC38" s="926"/>
      <c r="UHD38" s="926"/>
      <c r="UHE38" s="926"/>
      <c r="UHF38" s="926"/>
      <c r="UHG38" s="926"/>
      <c r="UHH38" s="926"/>
      <c r="UHI38" s="926"/>
      <c r="UHJ38" s="926"/>
      <c r="UHK38" s="926"/>
      <c r="UHL38" s="926"/>
      <c r="UHM38" s="926"/>
      <c r="UHN38" s="926"/>
      <c r="UHO38" s="926"/>
      <c r="UHP38" s="926"/>
      <c r="UHQ38" s="926"/>
      <c r="UHR38" s="926"/>
      <c r="UHS38" s="926"/>
      <c r="UHT38" s="926"/>
      <c r="UHU38" s="926"/>
      <c r="UHV38" s="926"/>
      <c r="UHW38" s="926"/>
      <c r="UHX38" s="926"/>
      <c r="UHY38" s="926"/>
      <c r="UHZ38" s="926"/>
      <c r="UIA38" s="926"/>
      <c r="UIB38" s="926"/>
      <c r="UIC38" s="926"/>
      <c r="UID38" s="926"/>
      <c r="UIE38" s="926"/>
      <c r="UIF38" s="926"/>
      <c r="UIG38" s="926"/>
      <c r="UIH38" s="926"/>
      <c r="UII38" s="926"/>
      <c r="UIJ38" s="926"/>
      <c r="UIK38" s="926"/>
      <c r="UIL38" s="926"/>
      <c r="UIM38" s="926"/>
      <c r="UIN38" s="926"/>
      <c r="UIO38" s="926"/>
      <c r="UIP38" s="926"/>
      <c r="UIQ38" s="926"/>
      <c r="UIR38" s="926"/>
      <c r="UIS38" s="926"/>
      <c r="UIT38" s="926"/>
      <c r="UIU38" s="926"/>
      <c r="UIV38" s="926"/>
      <c r="UIW38" s="926"/>
      <c r="UIX38" s="926"/>
      <c r="UIY38" s="926"/>
      <c r="UIZ38" s="926"/>
      <c r="UJA38" s="926"/>
      <c r="UJB38" s="926"/>
      <c r="UJC38" s="926"/>
      <c r="UJD38" s="926"/>
      <c r="UJE38" s="926"/>
      <c r="UJF38" s="926"/>
      <c r="UJG38" s="926"/>
      <c r="UJH38" s="926"/>
      <c r="UJI38" s="926"/>
      <c r="UJJ38" s="926"/>
      <c r="UJK38" s="926"/>
      <c r="UJL38" s="926"/>
      <c r="UJM38" s="926"/>
      <c r="UJN38" s="926"/>
      <c r="UJO38" s="926"/>
      <c r="UJP38" s="926"/>
      <c r="UJQ38" s="926"/>
      <c r="UJR38" s="926"/>
      <c r="UJS38" s="926"/>
      <c r="UJT38" s="926"/>
      <c r="UJU38" s="926"/>
      <c r="UJV38" s="926"/>
      <c r="UJW38" s="926"/>
      <c r="UJX38" s="926"/>
      <c r="UJY38" s="926"/>
      <c r="UJZ38" s="926"/>
      <c r="UKA38" s="926"/>
      <c r="UKB38" s="926"/>
      <c r="UKC38" s="926"/>
      <c r="UKD38" s="926"/>
      <c r="UKE38" s="926"/>
      <c r="UKF38" s="926"/>
      <c r="UKG38" s="926"/>
      <c r="UKH38" s="926"/>
      <c r="UKI38" s="926"/>
      <c r="UKJ38" s="926"/>
      <c r="UKK38" s="926"/>
      <c r="UKL38" s="926"/>
      <c r="UKM38" s="926"/>
      <c r="UKN38" s="926"/>
      <c r="UKO38" s="926"/>
      <c r="UKP38" s="926"/>
      <c r="UKQ38" s="926"/>
      <c r="UKR38" s="926"/>
      <c r="UKS38" s="926"/>
      <c r="UKT38" s="926"/>
      <c r="UKU38" s="926"/>
      <c r="UKV38" s="926"/>
      <c r="UKW38" s="926"/>
      <c r="UKX38" s="926"/>
      <c r="UKY38" s="926"/>
      <c r="UKZ38" s="926"/>
      <c r="ULA38" s="926"/>
      <c r="ULB38" s="926"/>
      <c r="ULC38" s="926"/>
      <c r="ULD38" s="926"/>
      <c r="ULE38" s="926"/>
      <c r="ULF38" s="926"/>
      <c r="ULG38" s="926"/>
      <c r="ULH38" s="926"/>
      <c r="ULI38" s="926"/>
      <c r="ULJ38" s="926"/>
      <c r="ULK38" s="926"/>
      <c r="ULL38" s="926"/>
      <c r="ULM38" s="926"/>
      <c r="ULN38" s="926"/>
      <c r="ULO38" s="926"/>
      <c r="ULP38" s="926"/>
      <c r="ULQ38" s="926"/>
      <c r="ULR38" s="926"/>
      <c r="ULS38" s="926"/>
      <c r="ULT38" s="926"/>
      <c r="ULU38" s="926"/>
      <c r="ULV38" s="926"/>
      <c r="ULW38" s="926"/>
      <c r="ULX38" s="926"/>
      <c r="ULY38" s="926"/>
      <c r="ULZ38" s="926"/>
      <c r="UMA38" s="926"/>
      <c r="UMB38" s="926"/>
      <c r="UMC38" s="926"/>
      <c r="UMD38" s="926"/>
      <c r="UME38" s="926"/>
      <c r="UMF38" s="926"/>
      <c r="UMG38" s="926"/>
      <c r="UMH38" s="926"/>
      <c r="UMI38" s="926"/>
      <c r="UMJ38" s="926"/>
      <c r="UMK38" s="926"/>
      <c r="UML38" s="926"/>
      <c r="UMM38" s="926"/>
      <c r="UMN38" s="926"/>
      <c r="UMO38" s="926"/>
      <c r="UMP38" s="926"/>
      <c r="UMQ38" s="926"/>
      <c r="UMR38" s="926"/>
      <c r="UMS38" s="926"/>
      <c r="UMT38" s="926"/>
      <c r="UMU38" s="926"/>
      <c r="UMV38" s="926"/>
      <c r="UMW38" s="926"/>
      <c r="UMX38" s="926"/>
      <c r="UMY38" s="926"/>
      <c r="UMZ38" s="926"/>
      <c r="UNA38" s="926"/>
      <c r="UNB38" s="926"/>
      <c r="UNC38" s="926"/>
      <c r="UND38" s="926"/>
      <c r="UNE38" s="926"/>
      <c r="UNF38" s="926"/>
      <c r="UNG38" s="926"/>
      <c r="UNH38" s="926"/>
      <c r="UNI38" s="926"/>
      <c r="UNJ38" s="926"/>
      <c r="UNK38" s="926"/>
      <c r="UNL38" s="926"/>
      <c r="UNM38" s="926"/>
      <c r="UNN38" s="926"/>
      <c r="UNO38" s="926"/>
      <c r="UNP38" s="926"/>
      <c r="UNQ38" s="926"/>
      <c r="UNR38" s="926"/>
      <c r="UNS38" s="926"/>
      <c r="UNT38" s="926"/>
      <c r="UNU38" s="926"/>
      <c r="UNV38" s="926"/>
      <c r="UNW38" s="926"/>
      <c r="UNX38" s="926"/>
      <c r="UNY38" s="926"/>
      <c r="UNZ38" s="926"/>
      <c r="UOA38" s="926"/>
      <c r="UOB38" s="926"/>
      <c r="UOC38" s="926"/>
      <c r="UOD38" s="926"/>
      <c r="UOE38" s="926"/>
      <c r="UOF38" s="926"/>
      <c r="UOG38" s="926"/>
      <c r="UOH38" s="926"/>
      <c r="UOI38" s="926"/>
      <c r="UOJ38" s="926"/>
      <c r="UOK38" s="926"/>
      <c r="UOL38" s="926"/>
      <c r="UOM38" s="926"/>
      <c r="UON38" s="926"/>
      <c r="UOO38" s="926"/>
      <c r="UOP38" s="926"/>
      <c r="UOQ38" s="926"/>
      <c r="UOR38" s="926"/>
      <c r="UOS38" s="926"/>
      <c r="UOT38" s="926"/>
      <c r="UOU38" s="926"/>
      <c r="UOV38" s="926"/>
      <c r="UOW38" s="926"/>
      <c r="UOX38" s="926"/>
      <c r="UOY38" s="926"/>
      <c r="UOZ38" s="926"/>
      <c r="UPA38" s="926"/>
      <c r="UPB38" s="926"/>
      <c r="UPC38" s="926"/>
      <c r="UPD38" s="926"/>
      <c r="UPE38" s="926"/>
      <c r="UPF38" s="926"/>
      <c r="UPG38" s="926"/>
      <c r="UPH38" s="926"/>
      <c r="UPI38" s="926"/>
      <c r="UPJ38" s="926"/>
      <c r="UPK38" s="926"/>
      <c r="UPL38" s="926"/>
      <c r="UPM38" s="926"/>
      <c r="UPN38" s="926"/>
      <c r="UPO38" s="926"/>
      <c r="UPP38" s="926"/>
      <c r="UPQ38" s="926"/>
      <c r="UPR38" s="926"/>
      <c r="UPS38" s="926"/>
      <c r="UPT38" s="926"/>
      <c r="UPU38" s="926"/>
      <c r="UPV38" s="926"/>
      <c r="UPW38" s="926"/>
      <c r="UPX38" s="926"/>
      <c r="UPY38" s="926"/>
      <c r="UPZ38" s="926"/>
      <c r="UQA38" s="926"/>
      <c r="UQB38" s="926"/>
      <c r="UQC38" s="926"/>
      <c r="UQD38" s="926"/>
      <c r="UQE38" s="926"/>
      <c r="UQF38" s="926"/>
      <c r="UQG38" s="926"/>
      <c r="UQH38" s="926"/>
      <c r="UQI38" s="926"/>
      <c r="UQJ38" s="926"/>
      <c r="UQK38" s="926"/>
      <c r="UQL38" s="926"/>
      <c r="UQM38" s="926"/>
      <c r="UQN38" s="926"/>
      <c r="UQO38" s="926"/>
      <c r="UQP38" s="926"/>
      <c r="UQQ38" s="926"/>
      <c r="UQR38" s="926"/>
      <c r="UQS38" s="926"/>
      <c r="UQT38" s="926"/>
      <c r="UQU38" s="926"/>
      <c r="UQV38" s="926"/>
      <c r="UQW38" s="926"/>
      <c r="UQX38" s="926"/>
      <c r="UQY38" s="926"/>
      <c r="UQZ38" s="926"/>
      <c r="URA38" s="926"/>
      <c r="URB38" s="926"/>
      <c r="URC38" s="926"/>
      <c r="URD38" s="926"/>
      <c r="URE38" s="926"/>
      <c r="URF38" s="926"/>
      <c r="URG38" s="926"/>
      <c r="URH38" s="926"/>
      <c r="URI38" s="926"/>
      <c r="URJ38" s="926"/>
      <c r="URK38" s="926"/>
      <c r="URL38" s="926"/>
      <c r="URM38" s="926"/>
      <c r="URN38" s="926"/>
      <c r="URO38" s="926"/>
      <c r="URP38" s="926"/>
      <c r="URQ38" s="926"/>
      <c r="URR38" s="926"/>
      <c r="URS38" s="926"/>
      <c r="URT38" s="926"/>
      <c r="URU38" s="926"/>
      <c r="URV38" s="926"/>
      <c r="URW38" s="926"/>
      <c r="URX38" s="926"/>
      <c r="URY38" s="926"/>
      <c r="URZ38" s="926"/>
      <c r="USA38" s="926"/>
      <c r="USB38" s="926"/>
      <c r="USC38" s="926"/>
      <c r="USD38" s="926"/>
      <c r="USE38" s="926"/>
      <c r="USF38" s="926"/>
      <c r="USG38" s="926"/>
      <c r="USH38" s="926"/>
      <c r="USI38" s="926"/>
      <c r="USJ38" s="926"/>
      <c r="USK38" s="926"/>
      <c r="USL38" s="926"/>
      <c r="USM38" s="926"/>
      <c r="USN38" s="926"/>
      <c r="USO38" s="926"/>
      <c r="USP38" s="926"/>
      <c r="USQ38" s="926"/>
      <c r="USR38" s="926"/>
      <c r="USS38" s="926"/>
      <c r="UST38" s="926"/>
      <c r="USU38" s="926"/>
      <c r="USV38" s="926"/>
      <c r="USW38" s="926"/>
      <c r="USX38" s="926"/>
      <c r="USY38" s="926"/>
      <c r="USZ38" s="926"/>
      <c r="UTA38" s="926"/>
      <c r="UTB38" s="926"/>
      <c r="UTC38" s="926"/>
      <c r="UTD38" s="926"/>
      <c r="UTE38" s="926"/>
      <c r="UTF38" s="926"/>
      <c r="UTG38" s="926"/>
      <c r="UTH38" s="926"/>
      <c r="UTI38" s="926"/>
      <c r="UTJ38" s="926"/>
      <c r="UTK38" s="926"/>
      <c r="UTL38" s="926"/>
      <c r="UTM38" s="926"/>
      <c r="UTN38" s="926"/>
      <c r="UTO38" s="926"/>
      <c r="UTP38" s="926"/>
      <c r="UTQ38" s="926"/>
      <c r="UTR38" s="926"/>
      <c r="UTS38" s="926"/>
      <c r="UTT38" s="926"/>
      <c r="UTU38" s="926"/>
      <c r="UTV38" s="926"/>
      <c r="UTW38" s="926"/>
      <c r="UTX38" s="926"/>
      <c r="UTY38" s="926"/>
      <c r="UTZ38" s="926"/>
      <c r="UUA38" s="926"/>
      <c r="UUB38" s="926"/>
      <c r="UUC38" s="926"/>
      <c r="UUD38" s="926"/>
      <c r="UUE38" s="926"/>
      <c r="UUF38" s="926"/>
      <c r="UUG38" s="926"/>
      <c r="UUH38" s="926"/>
      <c r="UUI38" s="926"/>
      <c r="UUJ38" s="926"/>
      <c r="UUK38" s="926"/>
      <c r="UUL38" s="926"/>
      <c r="UUM38" s="926"/>
      <c r="UUN38" s="926"/>
      <c r="UUO38" s="926"/>
      <c r="UUP38" s="926"/>
      <c r="UUQ38" s="926"/>
      <c r="UUR38" s="926"/>
      <c r="UUS38" s="926"/>
      <c r="UUT38" s="926"/>
      <c r="UUU38" s="926"/>
      <c r="UUV38" s="926"/>
      <c r="UUW38" s="926"/>
      <c r="UUX38" s="926"/>
      <c r="UUY38" s="926"/>
      <c r="UUZ38" s="926"/>
      <c r="UVA38" s="926"/>
      <c r="UVB38" s="926"/>
      <c r="UVC38" s="926"/>
      <c r="UVD38" s="926"/>
      <c r="UVE38" s="926"/>
      <c r="UVF38" s="926"/>
      <c r="UVG38" s="926"/>
      <c r="UVH38" s="926"/>
      <c r="UVI38" s="926"/>
      <c r="UVJ38" s="926"/>
      <c r="UVK38" s="926"/>
      <c r="UVL38" s="926"/>
      <c r="UVM38" s="926"/>
      <c r="UVN38" s="926"/>
      <c r="UVO38" s="926"/>
      <c r="UVP38" s="926"/>
      <c r="UVQ38" s="926"/>
      <c r="UVR38" s="926"/>
      <c r="UVS38" s="926"/>
      <c r="UVT38" s="926"/>
      <c r="UVU38" s="926"/>
      <c r="UVV38" s="926"/>
      <c r="UVW38" s="926"/>
      <c r="UVX38" s="926"/>
      <c r="UVY38" s="926"/>
      <c r="UVZ38" s="926"/>
      <c r="UWA38" s="926"/>
      <c r="UWB38" s="926"/>
      <c r="UWC38" s="926"/>
      <c r="UWD38" s="926"/>
      <c r="UWE38" s="926"/>
      <c r="UWF38" s="926"/>
      <c r="UWG38" s="926"/>
      <c r="UWH38" s="926"/>
      <c r="UWI38" s="926"/>
      <c r="UWJ38" s="926"/>
      <c r="UWK38" s="926"/>
      <c r="UWL38" s="926"/>
      <c r="UWM38" s="926"/>
      <c r="UWN38" s="926"/>
      <c r="UWO38" s="926"/>
      <c r="UWP38" s="926"/>
      <c r="UWQ38" s="926"/>
      <c r="UWR38" s="926"/>
      <c r="UWS38" s="926"/>
      <c r="UWT38" s="926"/>
      <c r="UWU38" s="926"/>
      <c r="UWV38" s="926"/>
      <c r="UWW38" s="926"/>
      <c r="UWX38" s="926"/>
      <c r="UWY38" s="926"/>
      <c r="UWZ38" s="926"/>
      <c r="UXA38" s="926"/>
      <c r="UXB38" s="926"/>
      <c r="UXC38" s="926"/>
      <c r="UXD38" s="926"/>
      <c r="UXE38" s="926"/>
      <c r="UXF38" s="926"/>
      <c r="UXG38" s="926"/>
      <c r="UXH38" s="926"/>
      <c r="UXI38" s="926"/>
      <c r="UXJ38" s="926"/>
      <c r="UXK38" s="926"/>
      <c r="UXL38" s="926"/>
      <c r="UXM38" s="926"/>
      <c r="UXN38" s="926"/>
      <c r="UXO38" s="926"/>
      <c r="UXP38" s="926"/>
      <c r="UXQ38" s="926"/>
      <c r="UXR38" s="926"/>
      <c r="UXS38" s="926"/>
      <c r="UXT38" s="926"/>
      <c r="UXU38" s="926"/>
      <c r="UXV38" s="926"/>
      <c r="UXW38" s="926"/>
      <c r="UXX38" s="926"/>
      <c r="UXY38" s="926"/>
      <c r="UXZ38" s="926"/>
      <c r="UYA38" s="926"/>
      <c r="UYB38" s="926"/>
      <c r="UYC38" s="926"/>
      <c r="UYD38" s="926"/>
      <c r="UYE38" s="926"/>
      <c r="UYF38" s="926"/>
      <c r="UYG38" s="926"/>
      <c r="UYH38" s="926"/>
      <c r="UYI38" s="926"/>
      <c r="UYJ38" s="926"/>
      <c r="UYK38" s="926"/>
      <c r="UYL38" s="926"/>
      <c r="UYM38" s="926"/>
      <c r="UYN38" s="926"/>
      <c r="UYO38" s="926"/>
      <c r="UYP38" s="926"/>
      <c r="UYQ38" s="926"/>
      <c r="UYR38" s="926"/>
      <c r="UYS38" s="926"/>
      <c r="UYT38" s="926"/>
      <c r="UYU38" s="926"/>
      <c r="UYV38" s="926"/>
      <c r="UYW38" s="926"/>
      <c r="UYX38" s="926"/>
      <c r="UYY38" s="926"/>
      <c r="UYZ38" s="926"/>
      <c r="UZA38" s="926"/>
      <c r="UZB38" s="926"/>
      <c r="UZC38" s="926"/>
      <c r="UZD38" s="926"/>
      <c r="UZE38" s="926"/>
      <c r="UZF38" s="926"/>
      <c r="UZG38" s="926"/>
      <c r="UZH38" s="926"/>
      <c r="UZI38" s="926"/>
      <c r="UZJ38" s="926"/>
      <c r="UZK38" s="926"/>
      <c r="UZL38" s="926"/>
      <c r="UZM38" s="926"/>
      <c r="UZN38" s="926"/>
      <c r="UZO38" s="926"/>
      <c r="UZP38" s="926"/>
      <c r="UZQ38" s="926"/>
      <c r="UZR38" s="926"/>
      <c r="UZS38" s="926"/>
      <c r="UZT38" s="926"/>
      <c r="UZU38" s="926"/>
      <c r="UZV38" s="926"/>
      <c r="UZW38" s="926"/>
      <c r="UZX38" s="926"/>
      <c r="UZY38" s="926"/>
      <c r="UZZ38" s="926"/>
      <c r="VAA38" s="926"/>
      <c r="VAB38" s="926"/>
      <c r="VAC38" s="926"/>
      <c r="VAD38" s="926"/>
      <c r="VAE38" s="926"/>
      <c r="VAF38" s="926"/>
      <c r="VAG38" s="926"/>
      <c r="VAH38" s="926"/>
      <c r="VAI38" s="926"/>
      <c r="VAJ38" s="926"/>
      <c r="VAK38" s="926"/>
      <c r="VAL38" s="926"/>
      <c r="VAM38" s="926"/>
      <c r="VAN38" s="926"/>
      <c r="VAO38" s="926"/>
      <c r="VAP38" s="926"/>
      <c r="VAQ38" s="926"/>
      <c r="VAR38" s="926"/>
      <c r="VAS38" s="926"/>
      <c r="VAT38" s="926"/>
      <c r="VAU38" s="926"/>
      <c r="VAV38" s="926"/>
      <c r="VAW38" s="926"/>
      <c r="VAX38" s="926"/>
      <c r="VAY38" s="926"/>
      <c r="VAZ38" s="926"/>
      <c r="VBA38" s="926"/>
      <c r="VBB38" s="926"/>
      <c r="VBC38" s="926"/>
      <c r="VBD38" s="926"/>
      <c r="VBE38" s="926"/>
      <c r="VBF38" s="926"/>
      <c r="VBG38" s="926"/>
      <c r="VBH38" s="926"/>
      <c r="VBI38" s="926"/>
      <c r="VBJ38" s="926"/>
      <c r="VBK38" s="926"/>
      <c r="VBL38" s="926"/>
      <c r="VBM38" s="926"/>
      <c r="VBN38" s="926"/>
      <c r="VBO38" s="926"/>
      <c r="VBP38" s="926"/>
      <c r="VBQ38" s="926"/>
      <c r="VBR38" s="926"/>
      <c r="VBS38" s="926"/>
      <c r="VBT38" s="926"/>
      <c r="VBU38" s="926"/>
      <c r="VBV38" s="926"/>
      <c r="VBW38" s="926"/>
      <c r="VBX38" s="926"/>
      <c r="VBY38" s="926"/>
      <c r="VBZ38" s="926"/>
      <c r="VCA38" s="926"/>
      <c r="VCB38" s="926"/>
      <c r="VCC38" s="926"/>
      <c r="VCD38" s="926"/>
      <c r="VCE38" s="926"/>
      <c r="VCF38" s="926"/>
      <c r="VCG38" s="926"/>
      <c r="VCH38" s="926"/>
      <c r="VCI38" s="926"/>
      <c r="VCJ38" s="926"/>
      <c r="VCK38" s="926"/>
      <c r="VCL38" s="926"/>
      <c r="VCM38" s="926"/>
      <c r="VCN38" s="926"/>
      <c r="VCO38" s="926"/>
      <c r="VCP38" s="926"/>
      <c r="VCQ38" s="926"/>
      <c r="VCR38" s="926"/>
      <c r="VCS38" s="926"/>
      <c r="VCT38" s="926"/>
      <c r="VCU38" s="926"/>
      <c r="VCV38" s="926"/>
      <c r="VCW38" s="926"/>
      <c r="VCX38" s="926"/>
      <c r="VCY38" s="926"/>
      <c r="VCZ38" s="926"/>
      <c r="VDA38" s="926"/>
      <c r="VDB38" s="926"/>
      <c r="VDC38" s="926"/>
      <c r="VDD38" s="926"/>
      <c r="VDE38" s="926"/>
      <c r="VDF38" s="926"/>
      <c r="VDG38" s="926"/>
      <c r="VDH38" s="926"/>
      <c r="VDI38" s="926"/>
      <c r="VDJ38" s="926"/>
      <c r="VDK38" s="926"/>
      <c r="VDL38" s="926"/>
      <c r="VDM38" s="926"/>
      <c r="VDN38" s="926"/>
      <c r="VDO38" s="926"/>
      <c r="VDP38" s="926"/>
      <c r="VDQ38" s="926"/>
      <c r="VDR38" s="926"/>
      <c r="VDS38" s="926"/>
      <c r="VDT38" s="926"/>
      <c r="VDU38" s="926"/>
      <c r="VDV38" s="926"/>
      <c r="VDW38" s="926"/>
      <c r="VDX38" s="926"/>
      <c r="VDY38" s="926"/>
      <c r="VDZ38" s="926"/>
      <c r="VEA38" s="926"/>
      <c r="VEB38" s="926"/>
      <c r="VEC38" s="926"/>
      <c r="VED38" s="926"/>
      <c r="VEE38" s="926"/>
      <c r="VEF38" s="926"/>
      <c r="VEG38" s="926"/>
      <c r="VEH38" s="926"/>
      <c r="VEI38" s="926"/>
      <c r="VEJ38" s="926"/>
      <c r="VEK38" s="926"/>
      <c r="VEL38" s="926"/>
      <c r="VEM38" s="926"/>
      <c r="VEN38" s="926"/>
      <c r="VEO38" s="926"/>
      <c r="VEP38" s="926"/>
      <c r="VEQ38" s="926"/>
      <c r="VER38" s="926"/>
      <c r="VES38" s="926"/>
      <c r="VET38" s="926"/>
      <c r="VEU38" s="926"/>
      <c r="VEV38" s="926"/>
      <c r="VEW38" s="926"/>
      <c r="VEX38" s="926"/>
      <c r="VEY38" s="926"/>
      <c r="VEZ38" s="926"/>
      <c r="VFA38" s="926"/>
      <c r="VFB38" s="926"/>
      <c r="VFC38" s="926"/>
      <c r="VFD38" s="926"/>
      <c r="VFE38" s="926"/>
      <c r="VFF38" s="926"/>
      <c r="VFG38" s="926"/>
      <c r="VFH38" s="926"/>
      <c r="VFI38" s="926"/>
      <c r="VFJ38" s="926"/>
      <c r="VFK38" s="926"/>
      <c r="VFL38" s="926"/>
      <c r="VFM38" s="926"/>
      <c r="VFN38" s="926"/>
      <c r="VFO38" s="926"/>
      <c r="VFP38" s="926"/>
      <c r="VFQ38" s="926"/>
      <c r="VFR38" s="926"/>
      <c r="VFS38" s="926"/>
      <c r="VFT38" s="926"/>
      <c r="VFU38" s="926"/>
      <c r="VFV38" s="926"/>
      <c r="VFW38" s="926"/>
      <c r="VFX38" s="926"/>
      <c r="VFY38" s="926"/>
      <c r="VFZ38" s="926"/>
      <c r="VGA38" s="926"/>
      <c r="VGB38" s="926"/>
      <c r="VGC38" s="926"/>
      <c r="VGD38" s="926"/>
      <c r="VGE38" s="926"/>
      <c r="VGF38" s="926"/>
      <c r="VGG38" s="926"/>
      <c r="VGH38" s="926"/>
      <c r="VGI38" s="926"/>
      <c r="VGJ38" s="926"/>
      <c r="VGK38" s="926"/>
      <c r="VGL38" s="926"/>
      <c r="VGM38" s="926"/>
      <c r="VGN38" s="926"/>
      <c r="VGO38" s="926"/>
      <c r="VGP38" s="926"/>
      <c r="VGQ38" s="926"/>
      <c r="VGR38" s="926"/>
      <c r="VGS38" s="926"/>
      <c r="VGT38" s="926"/>
      <c r="VGU38" s="926"/>
      <c r="VGV38" s="926"/>
      <c r="VGW38" s="926"/>
      <c r="VGX38" s="926"/>
      <c r="VGY38" s="926"/>
      <c r="VGZ38" s="926"/>
      <c r="VHA38" s="926"/>
      <c r="VHB38" s="926"/>
      <c r="VHC38" s="926"/>
      <c r="VHD38" s="926"/>
      <c r="VHE38" s="926"/>
      <c r="VHF38" s="926"/>
      <c r="VHG38" s="926"/>
      <c r="VHH38" s="926"/>
      <c r="VHI38" s="926"/>
      <c r="VHJ38" s="926"/>
      <c r="VHK38" s="926"/>
      <c r="VHL38" s="926"/>
      <c r="VHM38" s="926"/>
      <c r="VHN38" s="926"/>
      <c r="VHO38" s="926"/>
      <c r="VHP38" s="926"/>
      <c r="VHQ38" s="926"/>
      <c r="VHR38" s="926"/>
      <c r="VHS38" s="926"/>
      <c r="VHT38" s="926"/>
      <c r="VHU38" s="926"/>
      <c r="VHV38" s="926"/>
      <c r="VHW38" s="926"/>
      <c r="VHX38" s="926"/>
      <c r="VHY38" s="926"/>
      <c r="VHZ38" s="926"/>
      <c r="VIA38" s="926"/>
      <c r="VIB38" s="926"/>
      <c r="VIC38" s="926"/>
      <c r="VID38" s="926"/>
      <c r="VIE38" s="926"/>
      <c r="VIF38" s="926"/>
      <c r="VIG38" s="926"/>
      <c r="VIH38" s="926"/>
      <c r="VII38" s="926"/>
      <c r="VIJ38" s="926"/>
      <c r="VIK38" s="926"/>
      <c r="VIL38" s="926"/>
      <c r="VIM38" s="926"/>
      <c r="VIN38" s="926"/>
      <c r="VIO38" s="926"/>
      <c r="VIP38" s="926"/>
      <c r="VIQ38" s="926"/>
      <c r="VIR38" s="926"/>
      <c r="VIS38" s="926"/>
      <c r="VIT38" s="926"/>
      <c r="VIU38" s="926"/>
      <c r="VIV38" s="926"/>
      <c r="VIW38" s="926"/>
      <c r="VIX38" s="926"/>
      <c r="VIY38" s="926"/>
      <c r="VIZ38" s="926"/>
      <c r="VJA38" s="926"/>
      <c r="VJB38" s="926"/>
      <c r="VJC38" s="926"/>
      <c r="VJD38" s="926"/>
      <c r="VJE38" s="926"/>
      <c r="VJF38" s="926"/>
      <c r="VJG38" s="926"/>
      <c r="VJH38" s="926"/>
      <c r="VJI38" s="926"/>
      <c r="VJJ38" s="926"/>
      <c r="VJK38" s="926"/>
      <c r="VJL38" s="926"/>
      <c r="VJM38" s="926"/>
      <c r="VJN38" s="926"/>
      <c r="VJO38" s="926"/>
      <c r="VJP38" s="926"/>
      <c r="VJQ38" s="926"/>
      <c r="VJR38" s="926"/>
      <c r="VJS38" s="926"/>
      <c r="VJT38" s="926"/>
      <c r="VJU38" s="926"/>
      <c r="VJV38" s="926"/>
      <c r="VJW38" s="926"/>
      <c r="VJX38" s="926"/>
      <c r="VJY38" s="926"/>
      <c r="VJZ38" s="926"/>
      <c r="VKA38" s="926"/>
      <c r="VKB38" s="926"/>
      <c r="VKC38" s="926"/>
      <c r="VKD38" s="926"/>
      <c r="VKE38" s="926"/>
      <c r="VKF38" s="926"/>
      <c r="VKG38" s="926"/>
      <c r="VKH38" s="926"/>
      <c r="VKI38" s="926"/>
      <c r="VKJ38" s="926"/>
      <c r="VKK38" s="926"/>
      <c r="VKL38" s="926"/>
      <c r="VKM38" s="926"/>
      <c r="VKN38" s="926"/>
      <c r="VKO38" s="926"/>
      <c r="VKP38" s="926"/>
      <c r="VKQ38" s="926"/>
      <c r="VKR38" s="926"/>
      <c r="VKS38" s="926"/>
      <c r="VKT38" s="926"/>
      <c r="VKU38" s="926"/>
      <c r="VKV38" s="926"/>
      <c r="VKW38" s="926"/>
      <c r="VKX38" s="926"/>
      <c r="VKY38" s="926"/>
      <c r="VKZ38" s="926"/>
      <c r="VLA38" s="926"/>
      <c r="VLB38" s="926"/>
      <c r="VLC38" s="926"/>
      <c r="VLD38" s="926"/>
      <c r="VLE38" s="926"/>
      <c r="VLF38" s="926"/>
      <c r="VLG38" s="926"/>
      <c r="VLH38" s="926"/>
      <c r="VLI38" s="926"/>
      <c r="VLJ38" s="926"/>
      <c r="VLK38" s="926"/>
      <c r="VLL38" s="926"/>
      <c r="VLM38" s="926"/>
      <c r="VLN38" s="926"/>
      <c r="VLO38" s="926"/>
      <c r="VLP38" s="926"/>
      <c r="VLQ38" s="926"/>
      <c r="VLR38" s="926"/>
      <c r="VLS38" s="926"/>
      <c r="VLT38" s="926"/>
      <c r="VLU38" s="926"/>
      <c r="VLV38" s="926"/>
      <c r="VLW38" s="926"/>
      <c r="VLX38" s="926"/>
      <c r="VLY38" s="926"/>
      <c r="VLZ38" s="926"/>
      <c r="VMA38" s="926"/>
      <c r="VMB38" s="926"/>
      <c r="VMC38" s="926"/>
      <c r="VMD38" s="926"/>
      <c r="VME38" s="926"/>
      <c r="VMF38" s="926"/>
      <c r="VMG38" s="926"/>
      <c r="VMH38" s="926"/>
      <c r="VMI38" s="926"/>
      <c r="VMJ38" s="926"/>
      <c r="VMK38" s="926"/>
      <c r="VML38" s="926"/>
      <c r="VMM38" s="926"/>
      <c r="VMN38" s="926"/>
      <c r="VMO38" s="926"/>
      <c r="VMP38" s="926"/>
      <c r="VMQ38" s="926"/>
      <c r="VMR38" s="926"/>
      <c r="VMS38" s="926"/>
      <c r="VMT38" s="926"/>
      <c r="VMU38" s="926"/>
      <c r="VMV38" s="926"/>
      <c r="VMW38" s="926"/>
      <c r="VMX38" s="926"/>
      <c r="VMY38" s="926"/>
      <c r="VMZ38" s="926"/>
      <c r="VNA38" s="926"/>
      <c r="VNB38" s="926"/>
      <c r="VNC38" s="926"/>
      <c r="VND38" s="926"/>
      <c r="VNE38" s="926"/>
      <c r="VNF38" s="926"/>
      <c r="VNG38" s="926"/>
      <c r="VNH38" s="926"/>
      <c r="VNI38" s="926"/>
      <c r="VNJ38" s="926"/>
      <c r="VNK38" s="926"/>
      <c r="VNL38" s="926"/>
      <c r="VNM38" s="926"/>
      <c r="VNN38" s="926"/>
      <c r="VNO38" s="926"/>
      <c r="VNP38" s="926"/>
      <c r="VNQ38" s="926"/>
      <c r="VNR38" s="926"/>
      <c r="VNS38" s="926"/>
      <c r="VNT38" s="926"/>
      <c r="VNU38" s="926"/>
      <c r="VNV38" s="926"/>
      <c r="VNW38" s="926"/>
      <c r="VNX38" s="926"/>
      <c r="VNY38" s="926"/>
      <c r="VNZ38" s="926"/>
      <c r="VOA38" s="926"/>
      <c r="VOB38" s="926"/>
      <c r="VOC38" s="926"/>
      <c r="VOD38" s="926"/>
      <c r="VOE38" s="926"/>
      <c r="VOF38" s="926"/>
      <c r="VOG38" s="926"/>
      <c r="VOH38" s="926"/>
      <c r="VOI38" s="926"/>
      <c r="VOJ38" s="926"/>
      <c r="VOK38" s="926"/>
      <c r="VOL38" s="926"/>
      <c r="VOM38" s="926"/>
      <c r="VON38" s="926"/>
      <c r="VOO38" s="926"/>
      <c r="VOP38" s="926"/>
      <c r="VOQ38" s="926"/>
      <c r="VOR38" s="926"/>
      <c r="VOS38" s="926"/>
      <c r="VOT38" s="926"/>
      <c r="VOU38" s="926"/>
      <c r="VOV38" s="926"/>
      <c r="VOW38" s="926"/>
      <c r="VOX38" s="926"/>
      <c r="VOY38" s="926"/>
      <c r="VOZ38" s="926"/>
      <c r="VPA38" s="926"/>
      <c r="VPB38" s="926"/>
      <c r="VPC38" s="926"/>
      <c r="VPD38" s="926"/>
      <c r="VPE38" s="926"/>
      <c r="VPF38" s="926"/>
      <c r="VPG38" s="926"/>
      <c r="VPH38" s="926"/>
      <c r="VPI38" s="926"/>
      <c r="VPJ38" s="926"/>
      <c r="VPK38" s="926"/>
      <c r="VPL38" s="926"/>
      <c r="VPM38" s="926"/>
      <c r="VPN38" s="926"/>
      <c r="VPO38" s="926"/>
      <c r="VPP38" s="926"/>
      <c r="VPQ38" s="926"/>
      <c r="VPR38" s="926"/>
      <c r="VPS38" s="926"/>
      <c r="VPT38" s="926"/>
      <c r="VPU38" s="926"/>
      <c r="VPV38" s="926"/>
      <c r="VPW38" s="926"/>
      <c r="VPX38" s="926"/>
      <c r="VPY38" s="926"/>
      <c r="VPZ38" s="926"/>
      <c r="VQA38" s="926"/>
      <c r="VQB38" s="926"/>
      <c r="VQC38" s="926"/>
      <c r="VQD38" s="926"/>
      <c r="VQE38" s="926"/>
      <c r="VQF38" s="926"/>
      <c r="VQG38" s="926"/>
      <c r="VQH38" s="926"/>
      <c r="VQI38" s="926"/>
      <c r="VQJ38" s="926"/>
      <c r="VQK38" s="926"/>
      <c r="VQL38" s="926"/>
      <c r="VQM38" s="926"/>
      <c r="VQN38" s="926"/>
      <c r="VQO38" s="926"/>
      <c r="VQP38" s="926"/>
      <c r="VQQ38" s="926"/>
      <c r="VQR38" s="926"/>
      <c r="VQS38" s="926"/>
      <c r="VQT38" s="926"/>
      <c r="VQU38" s="926"/>
      <c r="VQV38" s="926"/>
      <c r="VQW38" s="926"/>
      <c r="VQX38" s="926"/>
      <c r="VQY38" s="926"/>
      <c r="VQZ38" s="926"/>
      <c r="VRA38" s="926"/>
      <c r="VRB38" s="926"/>
      <c r="VRC38" s="926"/>
      <c r="VRD38" s="926"/>
      <c r="VRE38" s="926"/>
      <c r="VRF38" s="926"/>
      <c r="VRG38" s="926"/>
      <c r="VRH38" s="926"/>
      <c r="VRI38" s="926"/>
      <c r="VRJ38" s="926"/>
      <c r="VRK38" s="926"/>
      <c r="VRL38" s="926"/>
      <c r="VRM38" s="926"/>
      <c r="VRN38" s="926"/>
      <c r="VRO38" s="926"/>
      <c r="VRP38" s="926"/>
      <c r="VRQ38" s="926"/>
      <c r="VRR38" s="926"/>
      <c r="VRS38" s="926"/>
      <c r="VRT38" s="926"/>
      <c r="VRU38" s="926"/>
      <c r="VRV38" s="926"/>
      <c r="VRW38" s="926"/>
      <c r="VRX38" s="926"/>
      <c r="VRY38" s="926"/>
      <c r="VRZ38" s="926"/>
      <c r="VSA38" s="926"/>
      <c r="VSB38" s="926"/>
      <c r="VSC38" s="926"/>
      <c r="VSD38" s="926"/>
      <c r="VSE38" s="926"/>
      <c r="VSF38" s="926"/>
      <c r="VSG38" s="926"/>
      <c r="VSH38" s="926"/>
      <c r="VSI38" s="926"/>
      <c r="VSJ38" s="926"/>
      <c r="VSK38" s="926"/>
      <c r="VSL38" s="926"/>
      <c r="VSM38" s="926"/>
      <c r="VSN38" s="926"/>
      <c r="VSO38" s="926"/>
      <c r="VSP38" s="926"/>
      <c r="VSQ38" s="926"/>
      <c r="VSR38" s="926"/>
      <c r="VSS38" s="926"/>
      <c r="VST38" s="926"/>
      <c r="VSU38" s="926"/>
      <c r="VSV38" s="926"/>
      <c r="VSW38" s="926"/>
      <c r="VSX38" s="926"/>
      <c r="VSY38" s="926"/>
      <c r="VSZ38" s="926"/>
      <c r="VTA38" s="926"/>
      <c r="VTB38" s="926"/>
      <c r="VTC38" s="926"/>
      <c r="VTD38" s="926"/>
      <c r="VTE38" s="926"/>
      <c r="VTF38" s="926"/>
      <c r="VTG38" s="926"/>
      <c r="VTH38" s="926"/>
      <c r="VTI38" s="926"/>
      <c r="VTJ38" s="926"/>
      <c r="VTK38" s="926"/>
      <c r="VTL38" s="926"/>
      <c r="VTM38" s="926"/>
      <c r="VTN38" s="926"/>
      <c r="VTO38" s="926"/>
      <c r="VTP38" s="926"/>
      <c r="VTQ38" s="926"/>
      <c r="VTR38" s="926"/>
      <c r="VTS38" s="926"/>
      <c r="VTT38" s="926"/>
      <c r="VTU38" s="926"/>
      <c r="VTV38" s="926"/>
      <c r="VTW38" s="926"/>
      <c r="VTX38" s="926"/>
      <c r="VTY38" s="926"/>
      <c r="VTZ38" s="926"/>
      <c r="VUA38" s="926"/>
      <c r="VUB38" s="926"/>
      <c r="VUC38" s="926"/>
      <c r="VUD38" s="926"/>
      <c r="VUE38" s="926"/>
      <c r="VUF38" s="926"/>
      <c r="VUG38" s="926"/>
      <c r="VUH38" s="926"/>
      <c r="VUI38" s="926"/>
      <c r="VUJ38" s="926"/>
      <c r="VUK38" s="926"/>
      <c r="VUL38" s="926"/>
      <c r="VUM38" s="926"/>
      <c r="VUN38" s="926"/>
      <c r="VUO38" s="926"/>
      <c r="VUP38" s="926"/>
      <c r="VUQ38" s="926"/>
      <c r="VUR38" s="926"/>
      <c r="VUS38" s="926"/>
      <c r="VUT38" s="926"/>
      <c r="VUU38" s="926"/>
      <c r="VUV38" s="926"/>
      <c r="VUW38" s="926"/>
      <c r="VUX38" s="926"/>
      <c r="VUY38" s="926"/>
      <c r="VUZ38" s="926"/>
      <c r="VVA38" s="926"/>
      <c r="VVB38" s="926"/>
      <c r="VVC38" s="926"/>
      <c r="VVD38" s="926"/>
      <c r="VVE38" s="926"/>
      <c r="VVF38" s="926"/>
      <c r="VVG38" s="926"/>
      <c r="VVH38" s="926"/>
      <c r="VVI38" s="926"/>
      <c r="VVJ38" s="926"/>
      <c r="VVK38" s="926"/>
      <c r="VVL38" s="926"/>
      <c r="VVM38" s="926"/>
      <c r="VVN38" s="926"/>
      <c r="VVO38" s="926"/>
      <c r="VVP38" s="926"/>
      <c r="VVQ38" s="926"/>
      <c r="VVR38" s="926"/>
      <c r="VVS38" s="926"/>
      <c r="VVT38" s="926"/>
      <c r="VVU38" s="926"/>
      <c r="VVV38" s="926"/>
      <c r="VVW38" s="926"/>
      <c r="VVX38" s="926"/>
      <c r="VVY38" s="926"/>
      <c r="VVZ38" s="926"/>
      <c r="VWA38" s="926"/>
      <c r="VWB38" s="926"/>
      <c r="VWC38" s="926"/>
      <c r="VWD38" s="926"/>
      <c r="VWE38" s="926"/>
      <c r="VWF38" s="926"/>
      <c r="VWG38" s="926"/>
      <c r="VWH38" s="926"/>
      <c r="VWI38" s="926"/>
      <c r="VWJ38" s="926"/>
      <c r="VWK38" s="926"/>
      <c r="VWL38" s="926"/>
      <c r="VWM38" s="926"/>
      <c r="VWN38" s="926"/>
      <c r="VWO38" s="926"/>
      <c r="VWP38" s="926"/>
      <c r="VWQ38" s="926"/>
      <c r="VWR38" s="926"/>
      <c r="VWS38" s="926"/>
      <c r="VWT38" s="926"/>
      <c r="VWU38" s="926"/>
      <c r="VWV38" s="926"/>
      <c r="VWW38" s="926"/>
      <c r="VWX38" s="926"/>
      <c r="VWY38" s="926"/>
      <c r="VWZ38" s="926"/>
      <c r="VXA38" s="926"/>
      <c r="VXB38" s="926"/>
      <c r="VXC38" s="926"/>
      <c r="VXD38" s="926"/>
      <c r="VXE38" s="926"/>
      <c r="VXF38" s="926"/>
      <c r="VXG38" s="926"/>
      <c r="VXH38" s="926"/>
      <c r="VXI38" s="926"/>
      <c r="VXJ38" s="926"/>
      <c r="VXK38" s="926"/>
      <c r="VXL38" s="926"/>
      <c r="VXM38" s="926"/>
      <c r="VXN38" s="926"/>
      <c r="VXO38" s="926"/>
      <c r="VXP38" s="926"/>
      <c r="VXQ38" s="926"/>
      <c r="VXR38" s="926"/>
      <c r="VXS38" s="926"/>
      <c r="VXT38" s="926"/>
      <c r="VXU38" s="926"/>
      <c r="VXV38" s="926"/>
      <c r="VXW38" s="926"/>
      <c r="VXX38" s="926"/>
      <c r="VXY38" s="926"/>
      <c r="VXZ38" s="926"/>
      <c r="VYA38" s="926"/>
      <c r="VYB38" s="926"/>
      <c r="VYC38" s="926"/>
      <c r="VYD38" s="926"/>
      <c r="VYE38" s="926"/>
      <c r="VYF38" s="926"/>
      <c r="VYG38" s="926"/>
      <c r="VYH38" s="926"/>
      <c r="VYI38" s="926"/>
      <c r="VYJ38" s="926"/>
      <c r="VYK38" s="926"/>
      <c r="VYL38" s="926"/>
      <c r="VYM38" s="926"/>
      <c r="VYN38" s="926"/>
      <c r="VYO38" s="926"/>
      <c r="VYP38" s="926"/>
      <c r="VYQ38" s="926"/>
      <c r="VYR38" s="926"/>
      <c r="VYS38" s="926"/>
      <c r="VYT38" s="926"/>
      <c r="VYU38" s="926"/>
      <c r="VYV38" s="926"/>
      <c r="VYW38" s="926"/>
      <c r="VYX38" s="926"/>
      <c r="VYY38" s="926"/>
      <c r="VYZ38" s="926"/>
      <c r="VZA38" s="926"/>
      <c r="VZB38" s="926"/>
      <c r="VZC38" s="926"/>
      <c r="VZD38" s="926"/>
      <c r="VZE38" s="926"/>
      <c r="VZF38" s="926"/>
      <c r="VZG38" s="926"/>
      <c r="VZH38" s="926"/>
      <c r="VZI38" s="926"/>
      <c r="VZJ38" s="926"/>
      <c r="VZK38" s="926"/>
      <c r="VZL38" s="926"/>
      <c r="VZM38" s="926"/>
      <c r="VZN38" s="926"/>
      <c r="VZO38" s="926"/>
      <c r="VZP38" s="926"/>
      <c r="VZQ38" s="926"/>
      <c r="VZR38" s="926"/>
      <c r="VZS38" s="926"/>
      <c r="VZT38" s="926"/>
      <c r="VZU38" s="926"/>
      <c r="VZV38" s="926"/>
      <c r="VZW38" s="926"/>
      <c r="VZX38" s="926"/>
      <c r="VZY38" s="926"/>
      <c r="VZZ38" s="926"/>
      <c r="WAA38" s="926"/>
      <c r="WAB38" s="926"/>
      <c r="WAC38" s="926"/>
      <c r="WAD38" s="926"/>
      <c r="WAE38" s="926"/>
      <c r="WAF38" s="926"/>
      <c r="WAG38" s="926"/>
      <c r="WAH38" s="926"/>
      <c r="WAI38" s="926"/>
      <c r="WAJ38" s="926"/>
      <c r="WAK38" s="926"/>
      <c r="WAL38" s="926"/>
      <c r="WAM38" s="926"/>
      <c r="WAN38" s="926"/>
      <c r="WAO38" s="926"/>
      <c r="WAP38" s="926"/>
      <c r="WAQ38" s="926"/>
      <c r="WAR38" s="926"/>
      <c r="WAS38" s="926"/>
      <c r="WAT38" s="926"/>
      <c r="WAU38" s="926"/>
      <c r="WAV38" s="926"/>
      <c r="WAW38" s="926"/>
      <c r="WAX38" s="926"/>
      <c r="WAY38" s="926"/>
      <c r="WAZ38" s="926"/>
      <c r="WBA38" s="926"/>
      <c r="WBB38" s="926"/>
      <c r="WBC38" s="926"/>
      <c r="WBD38" s="926"/>
      <c r="WBE38" s="926"/>
      <c r="WBF38" s="926"/>
      <c r="WBG38" s="926"/>
      <c r="WBH38" s="926"/>
      <c r="WBI38" s="926"/>
      <c r="WBJ38" s="926"/>
      <c r="WBK38" s="926"/>
      <c r="WBL38" s="926"/>
      <c r="WBM38" s="926"/>
      <c r="WBN38" s="926"/>
      <c r="WBO38" s="926"/>
      <c r="WBP38" s="926"/>
      <c r="WBQ38" s="926"/>
      <c r="WBR38" s="926"/>
      <c r="WBS38" s="926"/>
      <c r="WBT38" s="926"/>
      <c r="WBU38" s="926"/>
      <c r="WBV38" s="926"/>
      <c r="WBW38" s="926"/>
      <c r="WBX38" s="926"/>
      <c r="WBY38" s="926"/>
      <c r="WBZ38" s="926"/>
      <c r="WCA38" s="926"/>
      <c r="WCB38" s="926"/>
      <c r="WCC38" s="926"/>
      <c r="WCD38" s="926"/>
      <c r="WCE38" s="926"/>
      <c r="WCF38" s="926"/>
      <c r="WCG38" s="926"/>
      <c r="WCH38" s="926"/>
      <c r="WCI38" s="926"/>
      <c r="WCJ38" s="926"/>
      <c r="WCK38" s="926"/>
      <c r="WCL38" s="926"/>
      <c r="WCM38" s="926"/>
      <c r="WCN38" s="926"/>
      <c r="WCO38" s="926"/>
      <c r="WCP38" s="926"/>
      <c r="WCQ38" s="926"/>
      <c r="WCR38" s="926"/>
      <c r="WCS38" s="926"/>
      <c r="WCT38" s="926"/>
      <c r="WCU38" s="926"/>
      <c r="WCV38" s="926"/>
      <c r="WCW38" s="926"/>
      <c r="WCX38" s="926"/>
      <c r="WCY38" s="926"/>
      <c r="WCZ38" s="926"/>
      <c r="WDA38" s="926"/>
      <c r="WDB38" s="926"/>
      <c r="WDC38" s="926"/>
      <c r="WDD38" s="926"/>
      <c r="WDE38" s="926"/>
      <c r="WDF38" s="926"/>
      <c r="WDG38" s="926"/>
      <c r="WDH38" s="926"/>
      <c r="WDI38" s="926"/>
      <c r="WDJ38" s="926"/>
      <c r="WDK38" s="926"/>
      <c r="WDL38" s="926"/>
      <c r="WDM38" s="926"/>
      <c r="WDN38" s="926"/>
      <c r="WDO38" s="926"/>
      <c r="WDP38" s="926"/>
      <c r="WDQ38" s="926"/>
      <c r="WDR38" s="926"/>
      <c r="WDS38" s="926"/>
      <c r="WDT38" s="926"/>
      <c r="WDU38" s="926"/>
      <c r="WDV38" s="926"/>
      <c r="WDW38" s="926"/>
      <c r="WDX38" s="926"/>
      <c r="WDY38" s="926"/>
      <c r="WDZ38" s="926"/>
      <c r="WEA38" s="926"/>
      <c r="WEB38" s="926"/>
      <c r="WEC38" s="926"/>
      <c r="WED38" s="926"/>
      <c r="WEE38" s="926"/>
      <c r="WEF38" s="926"/>
      <c r="WEG38" s="926"/>
      <c r="WEH38" s="926"/>
      <c r="WEI38" s="926"/>
      <c r="WEJ38" s="926"/>
      <c r="WEK38" s="926"/>
      <c r="WEL38" s="926"/>
      <c r="WEM38" s="926"/>
      <c r="WEN38" s="926"/>
      <c r="WEO38" s="926"/>
      <c r="WEP38" s="926"/>
      <c r="WEQ38" s="926"/>
      <c r="WER38" s="926"/>
      <c r="WES38" s="926"/>
      <c r="WET38" s="926"/>
      <c r="WEU38" s="926"/>
      <c r="WEV38" s="926"/>
      <c r="WEW38" s="926"/>
      <c r="WEX38" s="926"/>
      <c r="WEY38" s="926"/>
      <c r="WEZ38" s="926"/>
      <c r="WFA38" s="926"/>
      <c r="WFB38" s="926"/>
      <c r="WFC38" s="926"/>
      <c r="WFD38" s="926"/>
      <c r="WFE38" s="926"/>
      <c r="WFF38" s="926"/>
      <c r="WFG38" s="926"/>
      <c r="WFH38" s="926"/>
      <c r="WFI38" s="926"/>
      <c r="WFJ38" s="926"/>
      <c r="WFK38" s="926"/>
      <c r="WFL38" s="926"/>
      <c r="WFM38" s="926"/>
      <c r="WFN38" s="926"/>
      <c r="WFO38" s="926"/>
      <c r="WFP38" s="926"/>
      <c r="WFQ38" s="926"/>
      <c r="WFR38" s="926"/>
      <c r="WFS38" s="926"/>
      <c r="WFT38" s="926"/>
      <c r="WFU38" s="926"/>
      <c r="WFV38" s="926"/>
      <c r="WFW38" s="926"/>
      <c r="WFX38" s="926"/>
      <c r="WFY38" s="926"/>
      <c r="WFZ38" s="926"/>
      <c r="WGA38" s="926"/>
      <c r="WGB38" s="926"/>
      <c r="WGC38" s="926"/>
      <c r="WGD38" s="926"/>
      <c r="WGE38" s="926"/>
      <c r="WGF38" s="926"/>
      <c r="WGG38" s="926"/>
      <c r="WGH38" s="926"/>
      <c r="WGI38" s="926"/>
      <c r="WGJ38" s="926"/>
      <c r="WGK38" s="926"/>
      <c r="WGL38" s="926"/>
      <c r="WGM38" s="926"/>
      <c r="WGN38" s="926"/>
      <c r="WGO38" s="926"/>
      <c r="WGP38" s="926"/>
      <c r="WGQ38" s="926"/>
      <c r="WGR38" s="926"/>
      <c r="WGS38" s="926"/>
      <c r="WGT38" s="926"/>
      <c r="WGU38" s="926"/>
      <c r="WGV38" s="926"/>
      <c r="WGW38" s="926"/>
      <c r="WGX38" s="926"/>
      <c r="WGY38" s="926"/>
      <c r="WGZ38" s="926"/>
      <c r="WHA38" s="926"/>
      <c r="WHB38" s="926"/>
      <c r="WHC38" s="926"/>
      <c r="WHD38" s="926"/>
      <c r="WHE38" s="926"/>
      <c r="WHF38" s="926"/>
      <c r="WHG38" s="926"/>
      <c r="WHH38" s="926"/>
      <c r="WHI38" s="926"/>
      <c r="WHJ38" s="926"/>
      <c r="WHK38" s="926"/>
      <c r="WHL38" s="926"/>
      <c r="WHM38" s="926"/>
      <c r="WHN38" s="926"/>
      <c r="WHO38" s="926"/>
      <c r="WHP38" s="926"/>
      <c r="WHQ38" s="926"/>
      <c r="WHR38" s="926"/>
      <c r="WHS38" s="926"/>
      <c r="WHT38" s="926"/>
      <c r="WHU38" s="926"/>
      <c r="WHV38" s="926"/>
      <c r="WHW38" s="926"/>
      <c r="WHX38" s="926"/>
      <c r="WHY38" s="926"/>
      <c r="WHZ38" s="926"/>
      <c r="WIA38" s="926"/>
      <c r="WIB38" s="926"/>
      <c r="WIC38" s="926"/>
      <c r="WID38" s="926"/>
      <c r="WIE38" s="926"/>
      <c r="WIF38" s="926"/>
      <c r="WIG38" s="926"/>
      <c r="WIH38" s="926"/>
      <c r="WII38" s="926"/>
      <c r="WIJ38" s="926"/>
      <c r="WIK38" s="926"/>
      <c r="WIL38" s="926"/>
      <c r="WIM38" s="926"/>
      <c r="WIN38" s="926"/>
      <c r="WIO38" s="926"/>
      <c r="WIP38" s="926"/>
      <c r="WIQ38" s="926"/>
      <c r="WIR38" s="926"/>
      <c r="WIS38" s="926"/>
      <c r="WIT38" s="926"/>
      <c r="WIU38" s="926"/>
      <c r="WIV38" s="926"/>
      <c r="WIW38" s="926"/>
      <c r="WIX38" s="926"/>
      <c r="WIY38" s="926"/>
      <c r="WIZ38" s="926"/>
      <c r="WJA38" s="926"/>
      <c r="WJB38" s="926"/>
      <c r="WJC38" s="926"/>
      <c r="WJD38" s="926"/>
      <c r="WJE38" s="926"/>
      <c r="WJF38" s="926"/>
      <c r="WJG38" s="926"/>
      <c r="WJH38" s="926"/>
      <c r="WJI38" s="926"/>
      <c r="WJJ38" s="926"/>
      <c r="WJK38" s="926"/>
      <c r="WJL38" s="926"/>
      <c r="WJM38" s="926"/>
      <c r="WJN38" s="926"/>
      <c r="WJO38" s="926"/>
      <c r="WJP38" s="926"/>
      <c r="WJQ38" s="926"/>
      <c r="WJR38" s="926"/>
      <c r="WJS38" s="926"/>
      <c r="WJT38" s="926"/>
      <c r="WJU38" s="926"/>
      <c r="WJV38" s="926"/>
      <c r="WJW38" s="926"/>
      <c r="WJX38" s="926"/>
      <c r="WJY38" s="926"/>
      <c r="WJZ38" s="926"/>
      <c r="WKA38" s="926"/>
      <c r="WKB38" s="926"/>
      <c r="WKC38" s="926"/>
      <c r="WKD38" s="926"/>
      <c r="WKE38" s="926"/>
      <c r="WKF38" s="926"/>
      <c r="WKG38" s="926"/>
      <c r="WKH38" s="926"/>
      <c r="WKI38" s="926"/>
      <c r="WKJ38" s="926"/>
      <c r="WKK38" s="926"/>
      <c r="WKL38" s="926"/>
      <c r="WKM38" s="926"/>
      <c r="WKN38" s="926"/>
      <c r="WKO38" s="926"/>
      <c r="WKP38" s="926"/>
      <c r="WKQ38" s="926"/>
      <c r="WKR38" s="926"/>
      <c r="WKS38" s="926"/>
      <c r="WKT38" s="926"/>
      <c r="WKU38" s="926"/>
      <c r="WKV38" s="926"/>
      <c r="WKW38" s="926"/>
      <c r="WKX38" s="926"/>
      <c r="WKY38" s="926"/>
      <c r="WKZ38" s="926"/>
      <c r="WLA38" s="926"/>
      <c r="WLB38" s="926"/>
      <c r="WLC38" s="926"/>
      <c r="WLD38" s="926"/>
      <c r="WLE38" s="926"/>
      <c r="WLF38" s="926"/>
      <c r="WLG38" s="926"/>
      <c r="WLH38" s="926"/>
      <c r="WLI38" s="926"/>
      <c r="WLJ38" s="926"/>
      <c r="WLK38" s="926"/>
      <c r="WLL38" s="926"/>
      <c r="WLM38" s="926"/>
      <c r="WLN38" s="926"/>
      <c r="WLO38" s="926"/>
      <c r="WLP38" s="926"/>
      <c r="WLQ38" s="926"/>
      <c r="WLR38" s="926"/>
      <c r="WLS38" s="926"/>
      <c r="WLT38" s="926"/>
      <c r="WLU38" s="926"/>
      <c r="WLV38" s="926"/>
      <c r="WLW38" s="926"/>
      <c r="WLX38" s="926"/>
      <c r="WLY38" s="926"/>
      <c r="WLZ38" s="926"/>
      <c r="WMA38" s="926"/>
      <c r="WMB38" s="926"/>
      <c r="WMC38" s="926"/>
      <c r="WMD38" s="926"/>
      <c r="WME38" s="926"/>
      <c r="WMF38" s="926"/>
      <c r="WMG38" s="926"/>
      <c r="WMH38" s="926"/>
      <c r="WMI38" s="926"/>
      <c r="WMJ38" s="926"/>
      <c r="WMK38" s="926"/>
      <c r="WML38" s="926"/>
      <c r="WMM38" s="926"/>
      <c r="WMN38" s="926"/>
      <c r="WMO38" s="926"/>
      <c r="WMP38" s="926"/>
      <c r="WMQ38" s="926"/>
      <c r="WMR38" s="926"/>
      <c r="WMS38" s="926"/>
      <c r="WMT38" s="926"/>
      <c r="WMU38" s="926"/>
      <c r="WMV38" s="926"/>
      <c r="WMW38" s="926"/>
      <c r="WMX38" s="926"/>
      <c r="WMY38" s="926"/>
      <c r="WMZ38" s="926"/>
      <c r="WNA38" s="926"/>
      <c r="WNB38" s="926"/>
      <c r="WNC38" s="926"/>
      <c r="WND38" s="926"/>
      <c r="WNE38" s="926"/>
      <c r="WNF38" s="926"/>
      <c r="WNG38" s="926"/>
      <c r="WNH38" s="926"/>
      <c r="WNI38" s="926"/>
      <c r="WNJ38" s="926"/>
      <c r="WNK38" s="926"/>
      <c r="WNL38" s="926"/>
      <c r="WNM38" s="926"/>
      <c r="WNN38" s="926"/>
      <c r="WNO38" s="926"/>
      <c r="WNP38" s="926"/>
      <c r="WNQ38" s="926"/>
      <c r="WNR38" s="926"/>
      <c r="WNS38" s="926"/>
      <c r="WNT38" s="926"/>
      <c r="WNU38" s="926"/>
      <c r="WNV38" s="926"/>
      <c r="WNW38" s="926"/>
      <c r="WNX38" s="926"/>
      <c r="WNY38" s="926"/>
      <c r="WNZ38" s="926"/>
      <c r="WOA38" s="926"/>
      <c r="WOB38" s="926"/>
      <c r="WOC38" s="926"/>
      <c r="WOD38" s="926"/>
      <c r="WOE38" s="926"/>
      <c r="WOF38" s="926"/>
      <c r="WOG38" s="926"/>
      <c r="WOH38" s="926"/>
      <c r="WOI38" s="926"/>
      <c r="WOJ38" s="926"/>
      <c r="WOK38" s="926"/>
      <c r="WOL38" s="926"/>
      <c r="WOM38" s="926"/>
      <c r="WON38" s="926"/>
      <c r="WOO38" s="926"/>
      <c r="WOP38" s="926"/>
      <c r="WOQ38" s="926"/>
      <c r="WOR38" s="926"/>
      <c r="WOS38" s="926"/>
      <c r="WOT38" s="926"/>
      <c r="WOU38" s="926"/>
      <c r="WOV38" s="926"/>
      <c r="WOW38" s="926"/>
      <c r="WOX38" s="926"/>
      <c r="WOY38" s="926"/>
      <c r="WOZ38" s="926"/>
      <c r="WPA38" s="926"/>
      <c r="WPB38" s="926"/>
      <c r="WPC38" s="926"/>
      <c r="WPD38" s="926"/>
      <c r="WPE38" s="926"/>
      <c r="WPF38" s="926"/>
      <c r="WPG38" s="926"/>
      <c r="WPH38" s="926"/>
      <c r="WPI38" s="926"/>
      <c r="WPJ38" s="926"/>
      <c r="WPK38" s="926"/>
      <c r="WPL38" s="926"/>
      <c r="WPM38" s="926"/>
      <c r="WPN38" s="926"/>
      <c r="WPO38" s="926"/>
      <c r="WPP38" s="926"/>
      <c r="WPQ38" s="926"/>
      <c r="WPR38" s="926"/>
      <c r="WPS38" s="926"/>
      <c r="WPT38" s="926"/>
      <c r="WPU38" s="926"/>
      <c r="WPV38" s="926"/>
      <c r="WPW38" s="926"/>
      <c r="WPX38" s="926"/>
      <c r="WPY38" s="926"/>
      <c r="WPZ38" s="926"/>
      <c r="WQA38" s="926"/>
      <c r="WQB38" s="926"/>
      <c r="WQC38" s="926"/>
      <c r="WQD38" s="926"/>
      <c r="WQE38" s="926"/>
      <c r="WQF38" s="926"/>
      <c r="WQG38" s="926"/>
      <c r="WQH38" s="926"/>
      <c r="WQI38" s="926"/>
      <c r="WQJ38" s="926"/>
      <c r="WQK38" s="926"/>
      <c r="WQL38" s="926"/>
      <c r="WQM38" s="926"/>
      <c r="WQN38" s="926"/>
      <c r="WQO38" s="926"/>
      <c r="WQP38" s="926"/>
      <c r="WQQ38" s="926"/>
      <c r="WQR38" s="926"/>
      <c r="WQS38" s="926"/>
      <c r="WQT38" s="926"/>
      <c r="WQU38" s="926"/>
      <c r="WQV38" s="926"/>
      <c r="WQW38" s="926"/>
      <c r="WQX38" s="926"/>
      <c r="WQY38" s="926"/>
      <c r="WQZ38" s="926"/>
      <c r="WRA38" s="926"/>
      <c r="WRB38" s="926"/>
      <c r="WRC38" s="926"/>
      <c r="WRD38" s="926"/>
      <c r="WRE38" s="926"/>
      <c r="WRF38" s="926"/>
      <c r="WRG38" s="926"/>
      <c r="WRH38" s="926"/>
      <c r="WRI38" s="926"/>
      <c r="WRJ38" s="926"/>
      <c r="WRK38" s="926"/>
      <c r="WRL38" s="926"/>
      <c r="WRM38" s="926"/>
      <c r="WRN38" s="926"/>
      <c r="WRO38" s="926"/>
      <c r="WRP38" s="926"/>
      <c r="WRQ38" s="926"/>
      <c r="WRR38" s="926"/>
      <c r="WRS38" s="926"/>
      <c r="WRT38" s="926"/>
      <c r="WRU38" s="926"/>
      <c r="WRV38" s="926"/>
      <c r="WRW38" s="926"/>
      <c r="WRX38" s="926"/>
      <c r="WRY38" s="926"/>
      <c r="WRZ38" s="926"/>
      <c r="WSA38" s="926"/>
      <c r="WSB38" s="926"/>
      <c r="WSC38" s="926"/>
      <c r="WSD38" s="926"/>
      <c r="WSE38" s="926"/>
      <c r="WSF38" s="926"/>
      <c r="WSG38" s="926"/>
      <c r="WSH38" s="926"/>
      <c r="WSI38" s="926"/>
      <c r="WSJ38" s="926"/>
      <c r="WSK38" s="926"/>
      <c r="WSL38" s="926"/>
      <c r="WSM38" s="926"/>
      <c r="WSN38" s="926"/>
      <c r="WSO38" s="926"/>
      <c r="WSP38" s="926"/>
      <c r="WSQ38" s="926"/>
      <c r="WSR38" s="926"/>
      <c r="WSS38" s="926"/>
      <c r="WST38" s="926"/>
      <c r="WSU38" s="926"/>
      <c r="WSV38" s="926"/>
      <c r="WSW38" s="926"/>
      <c r="WSX38" s="926"/>
      <c r="WSY38" s="926"/>
      <c r="WSZ38" s="926"/>
      <c r="WTA38" s="926"/>
      <c r="WTB38" s="926"/>
      <c r="WTC38" s="926"/>
      <c r="WTD38" s="926"/>
      <c r="WTE38" s="926"/>
      <c r="WTF38" s="926"/>
      <c r="WTG38" s="926"/>
      <c r="WTH38" s="926"/>
      <c r="WTI38" s="926"/>
      <c r="WTJ38" s="926"/>
      <c r="WTK38" s="926"/>
      <c r="WTL38" s="926"/>
      <c r="WTM38" s="926"/>
      <c r="WTN38" s="926"/>
      <c r="WTO38" s="926"/>
      <c r="WTP38" s="926"/>
      <c r="WTQ38" s="926"/>
      <c r="WTR38" s="926"/>
      <c r="WTS38" s="926"/>
      <c r="WTT38" s="926"/>
      <c r="WTU38" s="926"/>
      <c r="WTV38" s="926"/>
      <c r="WTW38" s="926"/>
      <c r="WTX38" s="926"/>
      <c r="WTY38" s="926"/>
      <c r="WTZ38" s="926"/>
      <c r="WUA38" s="926"/>
      <c r="WUB38" s="926"/>
      <c r="WUC38" s="926"/>
      <c r="WUD38" s="926"/>
      <c r="WUE38" s="926"/>
      <c r="WUF38" s="926"/>
      <c r="WUG38" s="926"/>
      <c r="WUH38" s="926"/>
      <c r="WUI38" s="926"/>
      <c r="WUJ38" s="926"/>
      <c r="WUK38" s="926"/>
      <c r="WUL38" s="926"/>
      <c r="WUM38" s="926"/>
      <c r="WUN38" s="926"/>
      <c r="WUO38" s="926"/>
      <c r="WUP38" s="926"/>
      <c r="WUQ38" s="926"/>
      <c r="WUR38" s="926"/>
      <c r="WUS38" s="926"/>
      <c r="WUT38" s="926"/>
      <c r="WUU38" s="926"/>
      <c r="WUV38" s="926"/>
      <c r="WUW38" s="926"/>
      <c r="WUX38" s="926"/>
      <c r="WUY38" s="926"/>
      <c r="WUZ38" s="926"/>
      <c r="WVA38" s="926"/>
      <c r="WVB38" s="926"/>
      <c r="WVC38" s="926"/>
      <c r="WVD38" s="926"/>
      <c r="WVE38" s="926"/>
      <c r="WVF38" s="926"/>
      <c r="WVG38" s="926"/>
      <c r="WVH38" s="926"/>
      <c r="WVI38" s="926"/>
      <c r="WVJ38" s="926"/>
      <c r="WVK38" s="926"/>
      <c r="WVL38" s="926"/>
      <c r="WVM38" s="926"/>
      <c r="WVN38" s="926"/>
      <c r="WVO38" s="926"/>
      <c r="WVP38" s="926"/>
      <c r="WVQ38" s="926"/>
      <c r="WVR38" s="926"/>
      <c r="WVS38" s="926"/>
      <c r="WVT38" s="926"/>
      <c r="WVU38" s="926"/>
      <c r="WVV38" s="926"/>
      <c r="WVW38" s="926"/>
      <c r="WVX38" s="926"/>
      <c r="WVY38" s="926"/>
      <c r="WVZ38" s="926"/>
      <c r="WWA38" s="926"/>
      <c r="WWB38" s="926"/>
      <c r="WWC38" s="926"/>
      <c r="WWD38" s="926"/>
      <c r="WWE38" s="926"/>
      <c r="WWF38" s="926"/>
      <c r="WWG38" s="926"/>
      <c r="WWH38" s="926"/>
      <c r="WWI38" s="926"/>
      <c r="WWJ38" s="926"/>
      <c r="WWK38" s="926"/>
      <c r="WWL38" s="926"/>
      <c r="WWM38" s="926"/>
      <c r="WWN38" s="926"/>
      <c r="WWO38" s="926"/>
      <c r="WWP38" s="926"/>
      <c r="WWQ38" s="926"/>
      <c r="WWR38" s="926"/>
      <c r="WWS38" s="926"/>
      <c r="WWT38" s="926"/>
      <c r="WWU38" s="926"/>
      <c r="WWV38" s="926"/>
      <c r="WWW38" s="926"/>
      <c r="WWX38" s="926"/>
      <c r="WWY38" s="926"/>
      <c r="WWZ38" s="926"/>
      <c r="WXA38" s="926"/>
      <c r="WXB38" s="926"/>
      <c r="WXC38" s="926"/>
      <c r="WXD38" s="926"/>
      <c r="WXE38" s="926"/>
      <c r="WXF38" s="926"/>
      <c r="WXG38" s="926"/>
      <c r="WXH38" s="926"/>
      <c r="WXI38" s="926"/>
      <c r="WXJ38" s="926"/>
      <c r="WXK38" s="926"/>
      <c r="WXL38" s="926"/>
      <c r="WXM38" s="926"/>
      <c r="WXN38" s="926"/>
      <c r="WXO38" s="926"/>
      <c r="WXP38" s="926"/>
      <c r="WXQ38" s="926"/>
      <c r="WXR38" s="926"/>
      <c r="WXS38" s="926"/>
      <c r="WXT38" s="926"/>
      <c r="WXU38" s="926"/>
      <c r="WXV38" s="926"/>
      <c r="WXW38" s="926"/>
      <c r="WXX38" s="926"/>
      <c r="WXY38" s="926"/>
      <c r="WXZ38" s="926"/>
      <c r="WYA38" s="926"/>
      <c r="WYB38" s="926"/>
      <c r="WYC38" s="926"/>
      <c r="WYD38" s="926"/>
      <c r="WYE38" s="926"/>
      <c r="WYF38" s="926"/>
      <c r="WYG38" s="926"/>
      <c r="WYH38" s="926"/>
      <c r="WYI38" s="926"/>
      <c r="WYJ38" s="926"/>
      <c r="WYK38" s="926"/>
      <c r="WYL38" s="926"/>
      <c r="WYM38" s="926"/>
      <c r="WYN38" s="926"/>
      <c r="WYO38" s="926"/>
      <c r="WYP38" s="926"/>
      <c r="WYQ38" s="926"/>
      <c r="WYR38" s="926"/>
      <c r="WYS38" s="926"/>
      <c r="WYT38" s="926"/>
      <c r="WYU38" s="926"/>
      <c r="WYV38" s="926"/>
      <c r="WYW38" s="926"/>
      <c r="WYX38" s="926"/>
      <c r="WYY38" s="926"/>
      <c r="WYZ38" s="926"/>
      <c r="WZA38" s="926"/>
      <c r="WZB38" s="926"/>
      <c r="WZC38" s="926"/>
      <c r="WZD38" s="926"/>
      <c r="WZE38" s="926"/>
      <c r="WZF38" s="926"/>
      <c r="WZG38" s="926"/>
      <c r="WZH38" s="926"/>
      <c r="WZI38" s="926"/>
      <c r="WZJ38" s="926"/>
      <c r="WZK38" s="926"/>
      <c r="WZL38" s="926"/>
      <c r="WZM38" s="926"/>
      <c r="WZN38" s="926"/>
      <c r="WZO38" s="926"/>
      <c r="WZP38" s="926"/>
      <c r="WZQ38" s="926"/>
      <c r="WZR38" s="926"/>
      <c r="WZS38" s="926"/>
      <c r="WZT38" s="926"/>
      <c r="WZU38" s="926"/>
      <c r="WZV38" s="926"/>
      <c r="WZW38" s="926"/>
      <c r="WZX38" s="926"/>
      <c r="WZY38" s="926"/>
      <c r="WZZ38" s="926"/>
      <c r="XAA38" s="926"/>
      <c r="XAB38" s="926"/>
      <c r="XAC38" s="926"/>
      <c r="XAD38" s="926"/>
      <c r="XAE38" s="926"/>
      <c r="XAF38" s="926"/>
      <c r="XAG38" s="926"/>
      <c r="XAH38" s="926"/>
      <c r="XAI38" s="926"/>
      <c r="XAJ38" s="926"/>
      <c r="XAK38" s="926"/>
      <c r="XAL38" s="926"/>
      <c r="XAM38" s="926"/>
      <c r="XAN38" s="926"/>
      <c r="XAO38" s="926"/>
      <c r="XAP38" s="926"/>
      <c r="XAQ38" s="926"/>
      <c r="XAR38" s="926"/>
      <c r="XAS38" s="926"/>
      <c r="XAT38" s="926"/>
      <c r="XAU38" s="926"/>
      <c r="XAV38" s="926"/>
      <c r="XAW38" s="926"/>
      <c r="XAX38" s="926"/>
      <c r="XAY38" s="926"/>
      <c r="XAZ38" s="926"/>
      <c r="XBA38" s="926"/>
      <c r="XBB38" s="926"/>
      <c r="XBC38" s="926"/>
      <c r="XBD38" s="926"/>
      <c r="XBE38" s="926"/>
      <c r="XBF38" s="926"/>
      <c r="XBG38" s="926"/>
      <c r="XBH38" s="926"/>
      <c r="XBI38" s="926"/>
      <c r="XBJ38" s="926"/>
      <c r="XBK38" s="926"/>
      <c r="XBL38" s="926"/>
      <c r="XBM38" s="926"/>
      <c r="XBN38" s="926"/>
      <c r="XBO38" s="926"/>
      <c r="XBP38" s="926"/>
      <c r="XBQ38" s="926"/>
      <c r="XBR38" s="926"/>
      <c r="XBS38" s="926"/>
      <c r="XBT38" s="926"/>
      <c r="XBU38" s="926"/>
      <c r="XBV38" s="926"/>
      <c r="XBW38" s="926"/>
      <c r="XBX38" s="926"/>
      <c r="XBY38" s="926"/>
      <c r="XBZ38" s="926"/>
      <c r="XCA38" s="926"/>
      <c r="XCB38" s="926"/>
      <c r="XCC38" s="926"/>
      <c r="XCD38" s="926"/>
      <c r="XCE38" s="926"/>
      <c r="XCF38" s="926"/>
      <c r="XCG38" s="926"/>
      <c r="XCH38" s="926"/>
      <c r="XCI38" s="926"/>
      <c r="XCJ38" s="926"/>
      <c r="XCK38" s="926"/>
      <c r="XCL38" s="926"/>
      <c r="XCM38" s="926"/>
      <c r="XCN38" s="926"/>
      <c r="XCO38" s="926"/>
      <c r="XCP38" s="926"/>
      <c r="XCQ38" s="926"/>
      <c r="XCR38" s="926"/>
      <c r="XCS38" s="926"/>
      <c r="XCT38" s="926"/>
      <c r="XCU38" s="926"/>
      <c r="XCV38" s="926"/>
      <c r="XCW38" s="926"/>
      <c r="XCX38" s="926"/>
      <c r="XCY38" s="926"/>
      <c r="XCZ38" s="926"/>
      <c r="XDA38" s="926"/>
      <c r="XDB38" s="926"/>
      <c r="XDC38" s="926"/>
      <c r="XDD38" s="926"/>
      <c r="XDE38" s="926"/>
      <c r="XDF38" s="926"/>
      <c r="XDG38" s="926"/>
      <c r="XDH38" s="926"/>
      <c r="XDI38" s="926"/>
      <c r="XDJ38" s="926"/>
      <c r="XDK38" s="926"/>
      <c r="XDL38" s="926"/>
      <c r="XDM38" s="926"/>
      <c r="XDN38" s="926"/>
      <c r="XDO38" s="926"/>
      <c r="XDP38" s="926"/>
      <c r="XDQ38" s="926"/>
      <c r="XDR38" s="926"/>
      <c r="XDS38" s="926"/>
      <c r="XDT38" s="926"/>
      <c r="XDU38" s="926"/>
      <c r="XDV38" s="926"/>
      <c r="XDW38" s="926"/>
      <c r="XDX38" s="926"/>
      <c r="XDY38" s="926"/>
      <c r="XDZ38" s="926"/>
      <c r="XEA38" s="926"/>
      <c r="XEB38" s="926"/>
      <c r="XEC38" s="926"/>
      <c r="XED38" s="926"/>
      <c r="XEE38" s="926"/>
      <c r="XEF38" s="926"/>
      <c r="XEG38" s="926"/>
      <c r="XEH38" s="926"/>
      <c r="XEI38" s="926"/>
      <c r="XEJ38" s="926"/>
      <c r="XEK38" s="926"/>
      <c r="XEL38" s="926"/>
      <c r="XEM38" s="926"/>
      <c r="XEN38" s="926"/>
      <c r="XEO38" s="926"/>
      <c r="XEP38" s="926"/>
      <c r="XEQ38" s="926"/>
      <c r="XER38" s="926"/>
      <c r="XES38" s="926"/>
      <c r="XET38" s="926"/>
      <c r="XEU38" s="926"/>
      <c r="XEV38" s="926"/>
      <c r="XEW38" s="926"/>
      <c r="XEX38" s="926"/>
      <c r="XEY38" s="926"/>
      <c r="XEZ38" s="926"/>
      <c r="XFA38" s="926"/>
      <c r="XFB38" s="926"/>
      <c r="XFC38" s="926"/>
      <c r="XFD38" s="926"/>
    </row>
    <row r="39" spans="3:16384" x14ac:dyDescent="0.35">
      <c r="C39" s="931" t="s">
        <v>6</v>
      </c>
      <c r="D39" s="932"/>
      <c r="E39" s="811">
        <f t="shared" si="7"/>
        <v>44684226.575360492</v>
      </c>
      <c r="F39" s="876">
        <f t="shared" ref="F39:AN39" si="12">$F$52*F29</f>
        <v>0</v>
      </c>
      <c r="G39" s="876">
        <f t="shared" si="12"/>
        <v>0</v>
      </c>
      <c r="H39" s="876">
        <f t="shared" si="12"/>
        <v>1595865.2348343024</v>
      </c>
      <c r="I39" s="876">
        <f t="shared" si="12"/>
        <v>1595865.2348343024</v>
      </c>
      <c r="J39" s="876">
        <f t="shared" si="12"/>
        <v>1595865.2348343024</v>
      </c>
      <c r="K39" s="876">
        <f t="shared" si="12"/>
        <v>1595865.2348343024</v>
      </c>
      <c r="L39" s="876">
        <f t="shared" si="12"/>
        <v>1595865.2348343024</v>
      </c>
      <c r="M39" s="876">
        <f t="shared" si="12"/>
        <v>1595865.2348343024</v>
      </c>
      <c r="N39" s="876">
        <f t="shared" si="12"/>
        <v>1595865.2348343024</v>
      </c>
      <c r="O39" s="876">
        <f t="shared" si="12"/>
        <v>1595865.2348343024</v>
      </c>
      <c r="P39" s="876">
        <f t="shared" si="12"/>
        <v>1595865.2348343024</v>
      </c>
      <c r="Q39" s="876">
        <f t="shared" si="12"/>
        <v>1595865.2348343024</v>
      </c>
      <c r="R39" s="876">
        <f t="shared" si="12"/>
        <v>1595865.2348343024</v>
      </c>
      <c r="S39" s="876">
        <f t="shared" si="12"/>
        <v>1595865.2348343024</v>
      </c>
      <c r="T39" s="876">
        <f t="shared" si="12"/>
        <v>1595865.2348343024</v>
      </c>
      <c r="U39" s="876">
        <f t="shared" si="12"/>
        <v>1595865.2348343024</v>
      </c>
      <c r="V39" s="876">
        <f t="shared" si="12"/>
        <v>1595865.2348343024</v>
      </c>
      <c r="W39" s="876">
        <f t="shared" si="12"/>
        <v>1595865.2348343024</v>
      </c>
      <c r="X39" s="876">
        <f t="shared" si="12"/>
        <v>1595865.2348343024</v>
      </c>
      <c r="Y39" s="876">
        <f t="shared" si="12"/>
        <v>1595865.2348343024</v>
      </c>
      <c r="Z39" s="876">
        <f t="shared" si="12"/>
        <v>1595865.2348343024</v>
      </c>
      <c r="AA39" s="876">
        <f t="shared" si="12"/>
        <v>1595865.2348343024</v>
      </c>
      <c r="AB39" s="876">
        <f t="shared" si="12"/>
        <v>1595865.2348343024</v>
      </c>
      <c r="AC39" s="876">
        <f t="shared" si="12"/>
        <v>1595865.2348343024</v>
      </c>
      <c r="AD39" s="876">
        <f t="shared" si="12"/>
        <v>1595865.2348343024</v>
      </c>
      <c r="AE39" s="876">
        <f t="shared" si="12"/>
        <v>1595865.2348343024</v>
      </c>
      <c r="AF39" s="876">
        <f t="shared" si="12"/>
        <v>1595865.2348343024</v>
      </c>
      <c r="AG39" s="876">
        <f t="shared" si="12"/>
        <v>1595865.2348343024</v>
      </c>
      <c r="AH39" s="876">
        <f t="shared" si="12"/>
        <v>1595865.2348343024</v>
      </c>
      <c r="AI39" s="876">
        <f t="shared" si="12"/>
        <v>1595865.2348343024</v>
      </c>
      <c r="AJ39" s="876">
        <f t="shared" si="12"/>
        <v>0</v>
      </c>
      <c r="AK39" s="876">
        <f t="shared" si="12"/>
        <v>0</v>
      </c>
      <c r="AL39" s="876">
        <f t="shared" si="12"/>
        <v>0</v>
      </c>
      <c r="AM39" s="876">
        <f t="shared" si="12"/>
        <v>0</v>
      </c>
      <c r="AN39" s="876">
        <f t="shared" si="12"/>
        <v>0</v>
      </c>
      <c r="AO39" s="926"/>
      <c r="AP39" s="926"/>
      <c r="AQ39" s="926"/>
      <c r="AR39" s="926"/>
      <c r="AS39" s="926"/>
      <c r="AT39" s="926"/>
      <c r="AU39" s="926"/>
      <c r="AV39" s="926"/>
      <c r="AW39" s="926"/>
      <c r="AX39" s="926"/>
      <c r="AY39" s="926"/>
      <c r="AZ39" s="926"/>
      <c r="BA39" s="926"/>
      <c r="BB39" s="926"/>
      <c r="BC39" s="926"/>
      <c r="BD39" s="926"/>
      <c r="BE39" s="926"/>
      <c r="BF39" s="926"/>
      <c r="BG39" s="926"/>
      <c r="BH39" s="926"/>
      <c r="BI39" s="926"/>
      <c r="BJ39" s="926"/>
      <c r="BK39" s="926"/>
      <c r="BL39" s="926"/>
      <c r="BM39" s="926"/>
      <c r="BN39" s="926"/>
      <c r="BO39" s="926"/>
      <c r="BP39" s="926"/>
      <c r="BQ39" s="926"/>
      <c r="BR39" s="926"/>
      <c r="BS39" s="926"/>
      <c r="BT39" s="926"/>
      <c r="BU39" s="926"/>
      <c r="BV39" s="926"/>
      <c r="BW39" s="926"/>
      <c r="BX39" s="926"/>
      <c r="BY39" s="926"/>
      <c r="BZ39" s="926"/>
      <c r="CA39" s="926"/>
      <c r="CB39" s="926"/>
      <c r="CC39" s="926"/>
      <c r="CD39" s="926"/>
      <c r="CE39" s="926"/>
      <c r="CF39" s="926"/>
      <c r="CG39" s="926"/>
      <c r="CH39" s="926"/>
      <c r="CI39" s="926"/>
      <c r="CJ39" s="926"/>
      <c r="CK39" s="926"/>
      <c r="CL39" s="926"/>
      <c r="CM39" s="926"/>
      <c r="CN39" s="926"/>
      <c r="CO39" s="926"/>
      <c r="CP39" s="926"/>
      <c r="CQ39" s="926"/>
      <c r="CR39" s="926"/>
      <c r="CS39" s="926"/>
      <c r="CT39" s="926"/>
      <c r="CU39" s="926"/>
      <c r="CV39" s="926"/>
      <c r="CW39" s="926"/>
      <c r="CX39" s="926"/>
      <c r="CY39" s="926"/>
      <c r="CZ39" s="926"/>
      <c r="DA39" s="926"/>
      <c r="DB39" s="926"/>
      <c r="DC39" s="926"/>
      <c r="DD39" s="926"/>
      <c r="DE39" s="926"/>
      <c r="DF39" s="926"/>
      <c r="DG39" s="926"/>
      <c r="DH39" s="926"/>
      <c r="DI39" s="926"/>
      <c r="DJ39" s="926"/>
      <c r="DK39" s="926"/>
      <c r="DL39" s="926"/>
      <c r="DM39" s="926"/>
      <c r="DN39" s="926"/>
      <c r="DO39" s="926"/>
      <c r="DP39" s="926"/>
      <c r="DQ39" s="926"/>
      <c r="DR39" s="926"/>
      <c r="DS39" s="926"/>
      <c r="DT39" s="926"/>
      <c r="DU39" s="926"/>
      <c r="DV39" s="926"/>
      <c r="DW39" s="926"/>
      <c r="DX39" s="926"/>
      <c r="DY39" s="926"/>
      <c r="DZ39" s="926"/>
      <c r="EA39" s="926"/>
      <c r="EB39" s="926"/>
      <c r="EC39" s="926"/>
      <c r="ED39" s="926"/>
      <c r="EE39" s="926"/>
      <c r="EF39" s="926"/>
      <c r="EG39" s="926"/>
      <c r="EH39" s="926"/>
      <c r="EI39" s="926"/>
      <c r="EJ39" s="926"/>
      <c r="EK39" s="926"/>
      <c r="EL39" s="926"/>
      <c r="EM39" s="926"/>
      <c r="EN39" s="926"/>
      <c r="EO39" s="926"/>
      <c r="EP39" s="926"/>
      <c r="EQ39" s="926"/>
      <c r="ER39" s="926"/>
      <c r="ES39" s="926"/>
      <c r="ET39" s="926"/>
      <c r="EU39" s="926"/>
      <c r="EV39" s="926"/>
      <c r="EW39" s="926"/>
      <c r="EX39" s="926"/>
      <c r="EY39" s="926"/>
      <c r="EZ39" s="926"/>
      <c r="FA39" s="926"/>
      <c r="FB39" s="926"/>
      <c r="FC39" s="926"/>
      <c r="FD39" s="926"/>
      <c r="FE39" s="926"/>
      <c r="FF39" s="926"/>
      <c r="FG39" s="926"/>
      <c r="FH39" s="926"/>
      <c r="FI39" s="926"/>
      <c r="FJ39" s="926"/>
      <c r="FK39" s="926"/>
      <c r="FL39" s="926"/>
      <c r="FM39" s="926"/>
      <c r="FN39" s="926"/>
      <c r="FO39" s="926"/>
      <c r="FP39" s="926"/>
      <c r="FQ39" s="926"/>
      <c r="FR39" s="926"/>
      <c r="FS39" s="926"/>
      <c r="FT39" s="926"/>
      <c r="FU39" s="926"/>
      <c r="FV39" s="926"/>
      <c r="FW39" s="926"/>
      <c r="FX39" s="926"/>
      <c r="FY39" s="926"/>
      <c r="FZ39" s="926"/>
      <c r="GA39" s="926"/>
      <c r="GB39" s="926"/>
      <c r="GC39" s="926"/>
      <c r="GD39" s="926"/>
      <c r="GE39" s="926"/>
      <c r="GF39" s="926"/>
      <c r="GG39" s="926"/>
      <c r="GH39" s="926"/>
      <c r="GI39" s="926"/>
      <c r="GJ39" s="926"/>
      <c r="GK39" s="926"/>
      <c r="GL39" s="926"/>
      <c r="GM39" s="926"/>
      <c r="GN39" s="926"/>
      <c r="GO39" s="926"/>
      <c r="GP39" s="926"/>
      <c r="GQ39" s="926"/>
      <c r="GR39" s="926"/>
      <c r="GS39" s="926"/>
      <c r="GT39" s="926"/>
      <c r="GU39" s="926"/>
      <c r="GV39" s="926"/>
      <c r="GW39" s="926"/>
      <c r="GX39" s="926"/>
      <c r="GY39" s="926"/>
      <c r="GZ39" s="926"/>
      <c r="HA39" s="926"/>
      <c r="HB39" s="926"/>
      <c r="HC39" s="926"/>
      <c r="HD39" s="926"/>
      <c r="HE39" s="926"/>
      <c r="HF39" s="926"/>
      <c r="HG39" s="926"/>
      <c r="HH39" s="926"/>
      <c r="HI39" s="926"/>
      <c r="HJ39" s="926"/>
      <c r="HK39" s="926"/>
      <c r="HL39" s="926"/>
      <c r="HM39" s="926"/>
      <c r="HN39" s="926"/>
      <c r="HO39" s="926"/>
      <c r="HP39" s="926"/>
      <c r="HQ39" s="926"/>
      <c r="HR39" s="926"/>
      <c r="HS39" s="926"/>
      <c r="HT39" s="926"/>
      <c r="HU39" s="926"/>
      <c r="HV39" s="926"/>
      <c r="HW39" s="926"/>
      <c r="HX39" s="926"/>
      <c r="HY39" s="926"/>
      <c r="HZ39" s="926"/>
      <c r="IA39" s="926"/>
      <c r="IB39" s="926"/>
      <c r="IC39" s="926"/>
      <c r="ID39" s="926"/>
      <c r="IE39" s="926"/>
      <c r="IF39" s="926"/>
      <c r="IG39" s="926"/>
      <c r="IH39" s="926"/>
      <c r="II39" s="926"/>
      <c r="IJ39" s="926"/>
      <c r="IK39" s="926"/>
      <c r="IL39" s="926"/>
      <c r="IM39" s="926"/>
      <c r="IN39" s="926"/>
      <c r="IO39" s="926"/>
      <c r="IP39" s="926"/>
      <c r="IQ39" s="926"/>
      <c r="IR39" s="926"/>
      <c r="IS39" s="926"/>
      <c r="IT39" s="926"/>
      <c r="IU39" s="926"/>
      <c r="IV39" s="926"/>
      <c r="IW39" s="926"/>
      <c r="IX39" s="926"/>
      <c r="IY39" s="926"/>
      <c r="IZ39" s="926"/>
      <c r="JA39" s="926"/>
      <c r="JB39" s="926"/>
      <c r="JC39" s="926"/>
      <c r="JD39" s="926"/>
      <c r="JE39" s="926"/>
      <c r="JF39" s="926"/>
      <c r="JG39" s="926"/>
      <c r="JH39" s="926"/>
      <c r="JI39" s="926"/>
      <c r="JJ39" s="926"/>
      <c r="JK39" s="926"/>
      <c r="JL39" s="926"/>
      <c r="JM39" s="926"/>
      <c r="JN39" s="926"/>
      <c r="JO39" s="926"/>
      <c r="JP39" s="926"/>
      <c r="JQ39" s="926"/>
      <c r="JR39" s="926"/>
      <c r="JS39" s="926"/>
      <c r="JT39" s="926"/>
      <c r="JU39" s="926"/>
      <c r="JV39" s="926"/>
      <c r="JW39" s="926"/>
      <c r="JX39" s="926"/>
      <c r="JY39" s="926"/>
      <c r="JZ39" s="926"/>
      <c r="KA39" s="926"/>
      <c r="KB39" s="926"/>
      <c r="KC39" s="926"/>
      <c r="KD39" s="926"/>
      <c r="KE39" s="926"/>
      <c r="KF39" s="926"/>
      <c r="KG39" s="926"/>
      <c r="KH39" s="926"/>
      <c r="KI39" s="926"/>
      <c r="KJ39" s="926"/>
      <c r="KK39" s="926"/>
      <c r="KL39" s="926"/>
      <c r="KM39" s="926"/>
      <c r="KN39" s="926"/>
      <c r="KO39" s="926"/>
      <c r="KP39" s="926"/>
      <c r="KQ39" s="926"/>
      <c r="KR39" s="926"/>
      <c r="KS39" s="926"/>
      <c r="KT39" s="926"/>
      <c r="KU39" s="926"/>
      <c r="KV39" s="926"/>
      <c r="KW39" s="926"/>
      <c r="KX39" s="926"/>
      <c r="KY39" s="926"/>
      <c r="KZ39" s="926"/>
      <c r="LA39" s="926"/>
      <c r="LB39" s="926"/>
      <c r="LC39" s="926"/>
      <c r="LD39" s="926"/>
      <c r="LE39" s="926"/>
      <c r="LF39" s="926"/>
      <c r="LG39" s="926"/>
      <c r="LH39" s="926"/>
      <c r="LI39" s="926"/>
      <c r="LJ39" s="926"/>
      <c r="LK39" s="926"/>
      <c r="LL39" s="926"/>
      <c r="LM39" s="926"/>
      <c r="LN39" s="926"/>
      <c r="LO39" s="926"/>
      <c r="LP39" s="926"/>
      <c r="LQ39" s="926"/>
      <c r="LR39" s="926"/>
      <c r="LS39" s="926"/>
      <c r="LT39" s="926"/>
      <c r="LU39" s="926"/>
      <c r="LV39" s="926"/>
      <c r="LW39" s="926"/>
      <c r="LX39" s="926"/>
      <c r="LY39" s="926"/>
      <c r="LZ39" s="926"/>
      <c r="MA39" s="926"/>
      <c r="MB39" s="926"/>
      <c r="MC39" s="926"/>
      <c r="MD39" s="926"/>
      <c r="ME39" s="926"/>
      <c r="MF39" s="926"/>
      <c r="MG39" s="926"/>
      <c r="MH39" s="926"/>
      <c r="MI39" s="926"/>
      <c r="MJ39" s="926"/>
      <c r="MK39" s="926"/>
      <c r="ML39" s="926"/>
      <c r="MM39" s="926"/>
      <c r="MN39" s="926"/>
      <c r="MO39" s="926"/>
      <c r="MP39" s="926"/>
      <c r="MQ39" s="926"/>
      <c r="MR39" s="926"/>
      <c r="MS39" s="926"/>
      <c r="MT39" s="926"/>
      <c r="MU39" s="926"/>
      <c r="MV39" s="926"/>
      <c r="MW39" s="926"/>
      <c r="MX39" s="926"/>
      <c r="MY39" s="926"/>
      <c r="MZ39" s="926"/>
      <c r="NA39" s="926"/>
      <c r="NB39" s="926"/>
      <c r="NC39" s="926"/>
      <c r="ND39" s="926"/>
      <c r="NE39" s="926"/>
      <c r="NF39" s="926"/>
      <c r="NG39" s="926"/>
      <c r="NH39" s="926"/>
      <c r="NI39" s="926"/>
      <c r="NJ39" s="926"/>
      <c r="NK39" s="926"/>
      <c r="NL39" s="926"/>
      <c r="NM39" s="926"/>
      <c r="NN39" s="926"/>
      <c r="NO39" s="926"/>
      <c r="NP39" s="926"/>
      <c r="NQ39" s="926"/>
      <c r="NR39" s="926"/>
      <c r="NS39" s="926"/>
      <c r="NT39" s="926"/>
      <c r="NU39" s="926"/>
      <c r="NV39" s="926"/>
      <c r="NW39" s="926"/>
      <c r="NX39" s="926"/>
      <c r="NY39" s="926"/>
      <c r="NZ39" s="926"/>
      <c r="OA39" s="926"/>
      <c r="OB39" s="926"/>
      <c r="OC39" s="926"/>
      <c r="OD39" s="926"/>
      <c r="OE39" s="926"/>
      <c r="OF39" s="926"/>
      <c r="OG39" s="926"/>
      <c r="OH39" s="926"/>
      <c r="OI39" s="926"/>
      <c r="OJ39" s="926"/>
      <c r="OK39" s="926"/>
      <c r="OL39" s="926"/>
      <c r="OM39" s="926"/>
      <c r="ON39" s="926"/>
      <c r="OO39" s="926"/>
      <c r="OP39" s="926"/>
      <c r="OQ39" s="926"/>
      <c r="OR39" s="926"/>
      <c r="OS39" s="926"/>
      <c r="OT39" s="926"/>
      <c r="OU39" s="926"/>
      <c r="OV39" s="926"/>
      <c r="OW39" s="926"/>
      <c r="OX39" s="926"/>
      <c r="OY39" s="926"/>
      <c r="OZ39" s="926"/>
      <c r="PA39" s="926"/>
      <c r="PB39" s="926"/>
      <c r="PC39" s="926"/>
      <c r="PD39" s="926"/>
      <c r="PE39" s="926"/>
      <c r="PF39" s="926"/>
      <c r="PG39" s="926"/>
      <c r="PH39" s="926"/>
      <c r="PI39" s="926"/>
      <c r="PJ39" s="926"/>
      <c r="PK39" s="926"/>
      <c r="PL39" s="926"/>
      <c r="PM39" s="926"/>
      <c r="PN39" s="926"/>
      <c r="PO39" s="926"/>
      <c r="PP39" s="926"/>
      <c r="PQ39" s="926"/>
      <c r="PR39" s="926"/>
      <c r="PS39" s="926"/>
      <c r="PT39" s="926"/>
      <c r="PU39" s="926"/>
      <c r="PV39" s="926"/>
      <c r="PW39" s="926"/>
      <c r="PX39" s="926"/>
      <c r="PY39" s="926"/>
      <c r="PZ39" s="926"/>
      <c r="QA39" s="926"/>
      <c r="QB39" s="926"/>
      <c r="QC39" s="926"/>
      <c r="QD39" s="926"/>
      <c r="QE39" s="926"/>
      <c r="QF39" s="926"/>
      <c r="QG39" s="926"/>
      <c r="QH39" s="926"/>
      <c r="QI39" s="926"/>
      <c r="QJ39" s="926"/>
      <c r="QK39" s="926"/>
      <c r="QL39" s="926"/>
      <c r="QM39" s="926"/>
      <c r="QN39" s="926"/>
      <c r="QO39" s="926"/>
      <c r="QP39" s="926"/>
      <c r="QQ39" s="926"/>
      <c r="QR39" s="926"/>
      <c r="QS39" s="926"/>
      <c r="QT39" s="926"/>
      <c r="QU39" s="926"/>
      <c r="QV39" s="926"/>
      <c r="QW39" s="926"/>
      <c r="QX39" s="926"/>
      <c r="QY39" s="926"/>
      <c r="QZ39" s="926"/>
      <c r="RA39" s="926"/>
      <c r="RB39" s="926"/>
      <c r="RC39" s="926"/>
      <c r="RD39" s="926"/>
      <c r="RE39" s="926"/>
      <c r="RF39" s="926"/>
      <c r="RG39" s="926"/>
      <c r="RH39" s="926"/>
      <c r="RI39" s="926"/>
      <c r="RJ39" s="926"/>
      <c r="RK39" s="926"/>
      <c r="RL39" s="926"/>
      <c r="RM39" s="926"/>
      <c r="RN39" s="926"/>
      <c r="RO39" s="926"/>
      <c r="RP39" s="926"/>
      <c r="RQ39" s="926"/>
      <c r="RR39" s="926"/>
      <c r="RS39" s="926"/>
      <c r="RT39" s="926"/>
      <c r="RU39" s="926"/>
      <c r="RV39" s="926"/>
      <c r="RW39" s="926"/>
      <c r="RX39" s="926"/>
      <c r="RY39" s="926"/>
      <c r="RZ39" s="926"/>
      <c r="SA39" s="926"/>
      <c r="SB39" s="926"/>
      <c r="SC39" s="926"/>
      <c r="SD39" s="926"/>
      <c r="SE39" s="926"/>
      <c r="SF39" s="926"/>
      <c r="SG39" s="926"/>
      <c r="SH39" s="926"/>
      <c r="SI39" s="926"/>
      <c r="SJ39" s="926"/>
      <c r="SK39" s="926"/>
      <c r="SL39" s="926"/>
      <c r="SM39" s="926"/>
      <c r="SN39" s="926"/>
      <c r="SO39" s="926"/>
      <c r="SP39" s="926"/>
      <c r="SQ39" s="926"/>
      <c r="SR39" s="926"/>
      <c r="SS39" s="926"/>
      <c r="ST39" s="926"/>
      <c r="SU39" s="926"/>
      <c r="SV39" s="926"/>
      <c r="SW39" s="926"/>
      <c r="SX39" s="926"/>
      <c r="SY39" s="926"/>
      <c r="SZ39" s="926"/>
      <c r="TA39" s="926"/>
      <c r="TB39" s="926"/>
      <c r="TC39" s="926"/>
      <c r="TD39" s="926"/>
      <c r="TE39" s="926"/>
      <c r="TF39" s="926"/>
      <c r="TG39" s="926"/>
      <c r="TH39" s="926"/>
      <c r="TI39" s="926"/>
      <c r="TJ39" s="926"/>
      <c r="TK39" s="926"/>
      <c r="TL39" s="926"/>
      <c r="TM39" s="926"/>
      <c r="TN39" s="926"/>
      <c r="TO39" s="926"/>
      <c r="TP39" s="926"/>
      <c r="TQ39" s="926"/>
      <c r="TR39" s="926"/>
      <c r="TS39" s="926"/>
      <c r="TT39" s="926"/>
      <c r="TU39" s="926"/>
      <c r="TV39" s="926"/>
      <c r="TW39" s="926"/>
      <c r="TX39" s="926"/>
      <c r="TY39" s="926"/>
      <c r="TZ39" s="926"/>
      <c r="UA39" s="926"/>
      <c r="UB39" s="926"/>
      <c r="UC39" s="926"/>
      <c r="UD39" s="926"/>
      <c r="UE39" s="926"/>
      <c r="UF39" s="926"/>
      <c r="UG39" s="926"/>
      <c r="UH39" s="926"/>
      <c r="UI39" s="926"/>
      <c r="UJ39" s="926"/>
      <c r="UK39" s="926"/>
      <c r="UL39" s="926"/>
      <c r="UM39" s="926"/>
      <c r="UN39" s="926"/>
      <c r="UO39" s="926"/>
      <c r="UP39" s="926"/>
      <c r="UQ39" s="926"/>
      <c r="UR39" s="926"/>
      <c r="US39" s="926"/>
      <c r="UT39" s="926"/>
      <c r="UU39" s="926"/>
      <c r="UV39" s="926"/>
      <c r="UW39" s="926"/>
      <c r="UX39" s="926"/>
      <c r="UY39" s="926"/>
      <c r="UZ39" s="926"/>
      <c r="VA39" s="926"/>
      <c r="VB39" s="926"/>
      <c r="VC39" s="926"/>
      <c r="VD39" s="926"/>
      <c r="VE39" s="926"/>
      <c r="VF39" s="926"/>
      <c r="VG39" s="926"/>
      <c r="VH39" s="926"/>
      <c r="VI39" s="926"/>
      <c r="VJ39" s="926"/>
      <c r="VK39" s="926"/>
      <c r="VL39" s="926"/>
      <c r="VM39" s="926"/>
      <c r="VN39" s="926"/>
      <c r="VO39" s="926"/>
      <c r="VP39" s="926"/>
      <c r="VQ39" s="926"/>
      <c r="VR39" s="926"/>
      <c r="VS39" s="926"/>
      <c r="VT39" s="926"/>
      <c r="VU39" s="926"/>
      <c r="VV39" s="926"/>
      <c r="VW39" s="926"/>
      <c r="VX39" s="926"/>
      <c r="VY39" s="926"/>
      <c r="VZ39" s="926"/>
      <c r="WA39" s="926"/>
      <c r="WB39" s="926"/>
      <c r="WC39" s="926"/>
      <c r="WD39" s="926"/>
      <c r="WE39" s="926"/>
      <c r="WF39" s="926"/>
      <c r="WG39" s="926"/>
      <c r="WH39" s="926"/>
      <c r="WI39" s="926"/>
      <c r="WJ39" s="926"/>
      <c r="WK39" s="926"/>
      <c r="WL39" s="926"/>
      <c r="WM39" s="926"/>
      <c r="WN39" s="926"/>
      <c r="WO39" s="926"/>
      <c r="WP39" s="926"/>
      <c r="WQ39" s="926"/>
      <c r="WR39" s="926"/>
      <c r="WS39" s="926"/>
      <c r="WT39" s="926"/>
      <c r="WU39" s="926"/>
      <c r="WV39" s="926"/>
      <c r="WW39" s="926"/>
      <c r="WX39" s="926"/>
      <c r="WY39" s="926"/>
      <c r="WZ39" s="926"/>
      <c r="XA39" s="926"/>
      <c r="XB39" s="926"/>
      <c r="XC39" s="926"/>
      <c r="XD39" s="926"/>
      <c r="XE39" s="926"/>
      <c r="XF39" s="926"/>
      <c r="XG39" s="926"/>
      <c r="XH39" s="926"/>
      <c r="XI39" s="926"/>
      <c r="XJ39" s="926"/>
      <c r="XK39" s="926"/>
      <c r="XL39" s="926"/>
      <c r="XM39" s="926"/>
      <c r="XN39" s="926"/>
      <c r="XO39" s="926"/>
      <c r="XP39" s="926"/>
      <c r="XQ39" s="926"/>
      <c r="XR39" s="926"/>
      <c r="XS39" s="926"/>
      <c r="XT39" s="926"/>
      <c r="XU39" s="926"/>
      <c r="XV39" s="926"/>
      <c r="XW39" s="926"/>
      <c r="XX39" s="926"/>
      <c r="XY39" s="926"/>
      <c r="XZ39" s="926"/>
      <c r="YA39" s="926"/>
      <c r="YB39" s="926"/>
      <c r="YC39" s="926"/>
      <c r="YD39" s="926"/>
      <c r="YE39" s="926"/>
      <c r="YF39" s="926"/>
      <c r="YG39" s="926"/>
      <c r="YH39" s="926"/>
      <c r="YI39" s="926"/>
      <c r="YJ39" s="926"/>
      <c r="YK39" s="926"/>
      <c r="YL39" s="926"/>
      <c r="YM39" s="926"/>
      <c r="YN39" s="926"/>
      <c r="YO39" s="926"/>
      <c r="YP39" s="926"/>
      <c r="YQ39" s="926"/>
      <c r="YR39" s="926"/>
      <c r="YS39" s="926"/>
      <c r="YT39" s="926"/>
      <c r="YU39" s="926"/>
      <c r="YV39" s="926"/>
      <c r="YW39" s="926"/>
      <c r="YX39" s="926"/>
      <c r="YY39" s="926"/>
      <c r="YZ39" s="926"/>
      <c r="ZA39" s="926"/>
      <c r="ZB39" s="926"/>
      <c r="ZC39" s="926"/>
      <c r="ZD39" s="926"/>
      <c r="ZE39" s="926"/>
      <c r="ZF39" s="926"/>
      <c r="ZG39" s="926"/>
      <c r="ZH39" s="926"/>
      <c r="ZI39" s="926"/>
      <c r="ZJ39" s="926"/>
      <c r="ZK39" s="926"/>
      <c r="ZL39" s="926"/>
      <c r="ZM39" s="926"/>
      <c r="ZN39" s="926"/>
      <c r="ZO39" s="926"/>
      <c r="ZP39" s="926"/>
      <c r="ZQ39" s="926"/>
      <c r="ZR39" s="926"/>
      <c r="ZS39" s="926"/>
      <c r="ZT39" s="926"/>
      <c r="ZU39" s="926"/>
      <c r="ZV39" s="926"/>
      <c r="ZW39" s="926"/>
      <c r="ZX39" s="926"/>
      <c r="ZY39" s="926"/>
      <c r="ZZ39" s="926"/>
      <c r="AAA39" s="926"/>
      <c r="AAB39" s="926"/>
      <c r="AAC39" s="926"/>
      <c r="AAD39" s="926"/>
      <c r="AAE39" s="926"/>
      <c r="AAF39" s="926"/>
      <c r="AAG39" s="926"/>
      <c r="AAH39" s="926"/>
      <c r="AAI39" s="926"/>
      <c r="AAJ39" s="926"/>
      <c r="AAK39" s="926"/>
      <c r="AAL39" s="926"/>
      <c r="AAM39" s="926"/>
      <c r="AAN39" s="926"/>
      <c r="AAO39" s="926"/>
      <c r="AAP39" s="926"/>
      <c r="AAQ39" s="926"/>
      <c r="AAR39" s="926"/>
      <c r="AAS39" s="926"/>
      <c r="AAT39" s="926"/>
      <c r="AAU39" s="926"/>
      <c r="AAV39" s="926"/>
      <c r="AAW39" s="926"/>
      <c r="AAX39" s="926"/>
      <c r="AAY39" s="926"/>
      <c r="AAZ39" s="926"/>
      <c r="ABA39" s="926"/>
      <c r="ABB39" s="926"/>
      <c r="ABC39" s="926"/>
      <c r="ABD39" s="926"/>
      <c r="ABE39" s="926"/>
      <c r="ABF39" s="926"/>
      <c r="ABG39" s="926"/>
      <c r="ABH39" s="926"/>
      <c r="ABI39" s="926"/>
      <c r="ABJ39" s="926"/>
      <c r="ABK39" s="926"/>
      <c r="ABL39" s="926"/>
      <c r="ABM39" s="926"/>
      <c r="ABN39" s="926"/>
      <c r="ABO39" s="926"/>
      <c r="ABP39" s="926"/>
      <c r="ABQ39" s="926"/>
      <c r="ABR39" s="926"/>
      <c r="ABS39" s="926"/>
      <c r="ABT39" s="926"/>
      <c r="ABU39" s="926"/>
      <c r="ABV39" s="926"/>
      <c r="ABW39" s="926"/>
      <c r="ABX39" s="926"/>
      <c r="ABY39" s="926"/>
      <c r="ABZ39" s="926"/>
      <c r="ACA39" s="926"/>
      <c r="ACB39" s="926"/>
      <c r="ACC39" s="926"/>
      <c r="ACD39" s="926"/>
      <c r="ACE39" s="926"/>
      <c r="ACF39" s="926"/>
      <c r="ACG39" s="926"/>
      <c r="ACH39" s="926"/>
      <c r="ACI39" s="926"/>
      <c r="ACJ39" s="926"/>
      <c r="ACK39" s="926"/>
      <c r="ACL39" s="926"/>
      <c r="ACM39" s="926"/>
      <c r="ACN39" s="926"/>
      <c r="ACO39" s="926"/>
      <c r="ACP39" s="926"/>
      <c r="ACQ39" s="926"/>
      <c r="ACR39" s="926"/>
      <c r="ACS39" s="926"/>
      <c r="ACT39" s="926"/>
      <c r="ACU39" s="926"/>
      <c r="ACV39" s="926"/>
      <c r="ACW39" s="926"/>
      <c r="ACX39" s="926"/>
      <c r="ACY39" s="926"/>
      <c r="ACZ39" s="926"/>
      <c r="ADA39" s="926"/>
      <c r="ADB39" s="926"/>
      <c r="ADC39" s="926"/>
      <c r="ADD39" s="926"/>
      <c r="ADE39" s="926"/>
      <c r="ADF39" s="926"/>
      <c r="ADG39" s="926"/>
      <c r="ADH39" s="926"/>
      <c r="ADI39" s="926"/>
      <c r="ADJ39" s="926"/>
      <c r="ADK39" s="926"/>
      <c r="ADL39" s="926"/>
      <c r="ADM39" s="926"/>
      <c r="ADN39" s="926"/>
      <c r="ADO39" s="926"/>
      <c r="ADP39" s="926"/>
      <c r="ADQ39" s="926"/>
      <c r="ADR39" s="926"/>
      <c r="ADS39" s="926"/>
      <c r="ADT39" s="926"/>
      <c r="ADU39" s="926"/>
      <c r="ADV39" s="926"/>
      <c r="ADW39" s="926"/>
      <c r="ADX39" s="926"/>
      <c r="ADY39" s="926"/>
      <c r="ADZ39" s="926"/>
      <c r="AEA39" s="926"/>
      <c r="AEB39" s="926"/>
      <c r="AEC39" s="926"/>
      <c r="AED39" s="926"/>
      <c r="AEE39" s="926"/>
      <c r="AEF39" s="926"/>
      <c r="AEG39" s="926"/>
      <c r="AEH39" s="926"/>
      <c r="AEI39" s="926"/>
      <c r="AEJ39" s="926"/>
      <c r="AEK39" s="926"/>
      <c r="AEL39" s="926"/>
      <c r="AEM39" s="926"/>
      <c r="AEN39" s="926"/>
      <c r="AEO39" s="926"/>
      <c r="AEP39" s="926"/>
      <c r="AEQ39" s="926"/>
      <c r="AER39" s="926"/>
      <c r="AES39" s="926"/>
      <c r="AET39" s="926"/>
      <c r="AEU39" s="926"/>
      <c r="AEV39" s="926"/>
      <c r="AEW39" s="926"/>
      <c r="AEX39" s="926"/>
      <c r="AEY39" s="926"/>
      <c r="AEZ39" s="926"/>
      <c r="AFA39" s="926"/>
      <c r="AFB39" s="926"/>
      <c r="AFC39" s="926"/>
      <c r="AFD39" s="926"/>
      <c r="AFE39" s="926"/>
      <c r="AFF39" s="926"/>
      <c r="AFG39" s="926"/>
      <c r="AFH39" s="926"/>
      <c r="AFI39" s="926"/>
      <c r="AFJ39" s="926"/>
      <c r="AFK39" s="926"/>
      <c r="AFL39" s="926"/>
      <c r="AFM39" s="926"/>
      <c r="AFN39" s="926"/>
      <c r="AFO39" s="926"/>
      <c r="AFP39" s="926"/>
      <c r="AFQ39" s="926"/>
      <c r="AFR39" s="926"/>
      <c r="AFS39" s="926"/>
      <c r="AFT39" s="926"/>
      <c r="AFU39" s="926"/>
      <c r="AFV39" s="926"/>
      <c r="AFW39" s="926"/>
      <c r="AFX39" s="926"/>
      <c r="AFY39" s="926"/>
      <c r="AFZ39" s="926"/>
      <c r="AGA39" s="926"/>
      <c r="AGB39" s="926"/>
      <c r="AGC39" s="926"/>
      <c r="AGD39" s="926"/>
      <c r="AGE39" s="926"/>
      <c r="AGF39" s="926"/>
      <c r="AGG39" s="926"/>
      <c r="AGH39" s="926"/>
      <c r="AGI39" s="926"/>
      <c r="AGJ39" s="926"/>
      <c r="AGK39" s="926"/>
      <c r="AGL39" s="926"/>
      <c r="AGM39" s="926"/>
      <c r="AGN39" s="926"/>
      <c r="AGO39" s="926"/>
      <c r="AGP39" s="926"/>
      <c r="AGQ39" s="926"/>
      <c r="AGR39" s="926"/>
      <c r="AGS39" s="926"/>
      <c r="AGT39" s="926"/>
      <c r="AGU39" s="926"/>
      <c r="AGV39" s="926"/>
      <c r="AGW39" s="926"/>
      <c r="AGX39" s="926"/>
      <c r="AGY39" s="926"/>
      <c r="AGZ39" s="926"/>
      <c r="AHA39" s="926"/>
      <c r="AHB39" s="926"/>
      <c r="AHC39" s="926"/>
      <c r="AHD39" s="926"/>
      <c r="AHE39" s="926"/>
      <c r="AHF39" s="926"/>
      <c r="AHG39" s="926"/>
      <c r="AHH39" s="926"/>
      <c r="AHI39" s="926"/>
      <c r="AHJ39" s="926"/>
      <c r="AHK39" s="926"/>
      <c r="AHL39" s="926"/>
      <c r="AHM39" s="926"/>
      <c r="AHN39" s="926"/>
      <c r="AHO39" s="926"/>
      <c r="AHP39" s="926"/>
      <c r="AHQ39" s="926"/>
      <c r="AHR39" s="926"/>
      <c r="AHS39" s="926"/>
      <c r="AHT39" s="926"/>
      <c r="AHU39" s="926"/>
      <c r="AHV39" s="926"/>
      <c r="AHW39" s="926"/>
      <c r="AHX39" s="926"/>
      <c r="AHY39" s="926"/>
      <c r="AHZ39" s="926"/>
      <c r="AIA39" s="926"/>
      <c r="AIB39" s="926"/>
      <c r="AIC39" s="926"/>
      <c r="AID39" s="926"/>
      <c r="AIE39" s="926"/>
      <c r="AIF39" s="926"/>
      <c r="AIG39" s="926"/>
      <c r="AIH39" s="926"/>
      <c r="AII39" s="926"/>
      <c r="AIJ39" s="926"/>
      <c r="AIK39" s="926"/>
      <c r="AIL39" s="926"/>
      <c r="AIM39" s="926"/>
      <c r="AIN39" s="926"/>
      <c r="AIO39" s="926"/>
      <c r="AIP39" s="926"/>
      <c r="AIQ39" s="926"/>
      <c r="AIR39" s="926"/>
      <c r="AIS39" s="926"/>
      <c r="AIT39" s="926"/>
      <c r="AIU39" s="926"/>
      <c r="AIV39" s="926"/>
      <c r="AIW39" s="926"/>
      <c r="AIX39" s="926"/>
      <c r="AIY39" s="926"/>
      <c r="AIZ39" s="926"/>
      <c r="AJA39" s="926"/>
      <c r="AJB39" s="926"/>
      <c r="AJC39" s="926"/>
      <c r="AJD39" s="926"/>
      <c r="AJE39" s="926"/>
      <c r="AJF39" s="926"/>
      <c r="AJG39" s="926"/>
      <c r="AJH39" s="926"/>
      <c r="AJI39" s="926"/>
      <c r="AJJ39" s="926"/>
      <c r="AJK39" s="926"/>
      <c r="AJL39" s="926"/>
      <c r="AJM39" s="926"/>
      <c r="AJN39" s="926"/>
      <c r="AJO39" s="926"/>
      <c r="AJP39" s="926"/>
      <c r="AJQ39" s="926"/>
      <c r="AJR39" s="926"/>
      <c r="AJS39" s="926"/>
      <c r="AJT39" s="926"/>
      <c r="AJU39" s="926"/>
      <c r="AJV39" s="926"/>
      <c r="AJW39" s="926"/>
      <c r="AJX39" s="926"/>
      <c r="AJY39" s="926"/>
      <c r="AJZ39" s="926"/>
      <c r="AKA39" s="926"/>
      <c r="AKB39" s="926"/>
      <c r="AKC39" s="926"/>
      <c r="AKD39" s="926"/>
      <c r="AKE39" s="926"/>
      <c r="AKF39" s="926"/>
      <c r="AKG39" s="926"/>
      <c r="AKH39" s="926"/>
      <c r="AKI39" s="926"/>
      <c r="AKJ39" s="926"/>
      <c r="AKK39" s="926"/>
      <c r="AKL39" s="926"/>
      <c r="AKM39" s="926"/>
      <c r="AKN39" s="926"/>
      <c r="AKO39" s="926"/>
      <c r="AKP39" s="926"/>
      <c r="AKQ39" s="926"/>
      <c r="AKR39" s="926"/>
      <c r="AKS39" s="926"/>
      <c r="AKT39" s="926"/>
      <c r="AKU39" s="926"/>
      <c r="AKV39" s="926"/>
      <c r="AKW39" s="926"/>
      <c r="AKX39" s="926"/>
      <c r="AKY39" s="926"/>
      <c r="AKZ39" s="926"/>
      <c r="ALA39" s="926"/>
      <c r="ALB39" s="926"/>
      <c r="ALC39" s="926"/>
      <c r="ALD39" s="926"/>
      <c r="ALE39" s="926"/>
      <c r="ALF39" s="926"/>
      <c r="ALG39" s="926"/>
      <c r="ALH39" s="926"/>
      <c r="ALI39" s="926"/>
      <c r="ALJ39" s="926"/>
      <c r="ALK39" s="926"/>
      <c r="ALL39" s="926"/>
      <c r="ALM39" s="926"/>
      <c r="ALN39" s="926"/>
      <c r="ALO39" s="926"/>
      <c r="ALP39" s="926"/>
      <c r="ALQ39" s="926"/>
      <c r="ALR39" s="926"/>
      <c r="ALS39" s="926"/>
      <c r="ALT39" s="926"/>
      <c r="ALU39" s="926"/>
      <c r="ALV39" s="926"/>
      <c r="ALW39" s="926"/>
      <c r="ALX39" s="926"/>
      <c r="ALY39" s="926"/>
      <c r="ALZ39" s="926"/>
      <c r="AMA39" s="926"/>
      <c r="AMB39" s="926"/>
      <c r="AMC39" s="926"/>
      <c r="AMD39" s="926"/>
      <c r="AME39" s="926"/>
      <c r="AMF39" s="926"/>
      <c r="AMG39" s="926"/>
      <c r="AMH39" s="926"/>
      <c r="AMI39" s="926"/>
      <c r="AMJ39" s="926"/>
      <c r="AMK39" s="926"/>
      <c r="AML39" s="926"/>
      <c r="AMM39" s="926"/>
      <c r="AMN39" s="926"/>
      <c r="AMO39" s="926"/>
      <c r="AMP39" s="926"/>
      <c r="AMQ39" s="926"/>
      <c r="AMR39" s="926"/>
      <c r="AMS39" s="926"/>
      <c r="AMT39" s="926"/>
      <c r="AMU39" s="926"/>
      <c r="AMV39" s="926"/>
      <c r="AMW39" s="926"/>
      <c r="AMX39" s="926"/>
      <c r="AMY39" s="926"/>
      <c r="AMZ39" s="926"/>
      <c r="ANA39" s="926"/>
      <c r="ANB39" s="926"/>
      <c r="ANC39" s="926"/>
      <c r="AND39" s="926"/>
      <c r="ANE39" s="926"/>
      <c r="ANF39" s="926"/>
      <c r="ANG39" s="926"/>
      <c r="ANH39" s="926"/>
      <c r="ANI39" s="926"/>
      <c r="ANJ39" s="926"/>
      <c r="ANK39" s="926"/>
      <c r="ANL39" s="926"/>
      <c r="ANM39" s="926"/>
      <c r="ANN39" s="926"/>
      <c r="ANO39" s="926"/>
      <c r="ANP39" s="926"/>
      <c r="ANQ39" s="926"/>
      <c r="ANR39" s="926"/>
      <c r="ANS39" s="926"/>
      <c r="ANT39" s="926"/>
      <c r="ANU39" s="926"/>
      <c r="ANV39" s="926"/>
      <c r="ANW39" s="926"/>
      <c r="ANX39" s="926"/>
      <c r="ANY39" s="926"/>
      <c r="ANZ39" s="926"/>
      <c r="AOA39" s="926"/>
      <c r="AOB39" s="926"/>
      <c r="AOC39" s="926"/>
      <c r="AOD39" s="926"/>
      <c r="AOE39" s="926"/>
      <c r="AOF39" s="926"/>
      <c r="AOG39" s="926"/>
      <c r="AOH39" s="926"/>
      <c r="AOI39" s="926"/>
      <c r="AOJ39" s="926"/>
      <c r="AOK39" s="926"/>
      <c r="AOL39" s="926"/>
      <c r="AOM39" s="926"/>
      <c r="AON39" s="926"/>
      <c r="AOO39" s="926"/>
      <c r="AOP39" s="926"/>
      <c r="AOQ39" s="926"/>
      <c r="AOR39" s="926"/>
      <c r="AOS39" s="926"/>
      <c r="AOT39" s="926"/>
      <c r="AOU39" s="926"/>
      <c r="AOV39" s="926"/>
      <c r="AOW39" s="926"/>
      <c r="AOX39" s="926"/>
      <c r="AOY39" s="926"/>
      <c r="AOZ39" s="926"/>
      <c r="APA39" s="926"/>
      <c r="APB39" s="926"/>
      <c r="APC39" s="926"/>
      <c r="APD39" s="926"/>
      <c r="APE39" s="926"/>
      <c r="APF39" s="926"/>
      <c r="APG39" s="926"/>
      <c r="APH39" s="926"/>
      <c r="API39" s="926"/>
      <c r="APJ39" s="926"/>
      <c r="APK39" s="926"/>
      <c r="APL39" s="926"/>
      <c r="APM39" s="926"/>
      <c r="APN39" s="926"/>
      <c r="APO39" s="926"/>
      <c r="APP39" s="926"/>
      <c r="APQ39" s="926"/>
      <c r="APR39" s="926"/>
      <c r="APS39" s="926"/>
      <c r="APT39" s="926"/>
      <c r="APU39" s="926"/>
      <c r="APV39" s="926"/>
      <c r="APW39" s="926"/>
      <c r="APX39" s="926"/>
      <c r="APY39" s="926"/>
      <c r="APZ39" s="926"/>
      <c r="AQA39" s="926"/>
      <c r="AQB39" s="926"/>
      <c r="AQC39" s="926"/>
      <c r="AQD39" s="926"/>
      <c r="AQE39" s="926"/>
      <c r="AQF39" s="926"/>
      <c r="AQG39" s="926"/>
      <c r="AQH39" s="926"/>
      <c r="AQI39" s="926"/>
      <c r="AQJ39" s="926"/>
      <c r="AQK39" s="926"/>
      <c r="AQL39" s="926"/>
      <c r="AQM39" s="926"/>
      <c r="AQN39" s="926"/>
      <c r="AQO39" s="926"/>
      <c r="AQP39" s="926"/>
      <c r="AQQ39" s="926"/>
      <c r="AQR39" s="926"/>
      <c r="AQS39" s="926"/>
      <c r="AQT39" s="926"/>
      <c r="AQU39" s="926"/>
      <c r="AQV39" s="926"/>
      <c r="AQW39" s="926"/>
      <c r="AQX39" s="926"/>
      <c r="AQY39" s="926"/>
      <c r="AQZ39" s="926"/>
      <c r="ARA39" s="926"/>
      <c r="ARB39" s="926"/>
      <c r="ARC39" s="926"/>
      <c r="ARD39" s="926"/>
      <c r="ARE39" s="926"/>
      <c r="ARF39" s="926"/>
      <c r="ARG39" s="926"/>
      <c r="ARH39" s="926"/>
      <c r="ARI39" s="926"/>
      <c r="ARJ39" s="926"/>
      <c r="ARK39" s="926"/>
      <c r="ARL39" s="926"/>
      <c r="ARM39" s="926"/>
      <c r="ARN39" s="926"/>
      <c r="ARO39" s="926"/>
      <c r="ARP39" s="926"/>
      <c r="ARQ39" s="926"/>
      <c r="ARR39" s="926"/>
      <c r="ARS39" s="926"/>
      <c r="ART39" s="926"/>
      <c r="ARU39" s="926"/>
      <c r="ARV39" s="926"/>
      <c r="ARW39" s="926"/>
      <c r="ARX39" s="926"/>
      <c r="ARY39" s="926"/>
      <c r="ARZ39" s="926"/>
      <c r="ASA39" s="926"/>
      <c r="ASB39" s="926"/>
      <c r="ASC39" s="926"/>
      <c r="ASD39" s="926"/>
      <c r="ASE39" s="926"/>
      <c r="ASF39" s="926"/>
      <c r="ASG39" s="926"/>
      <c r="ASH39" s="926"/>
      <c r="ASI39" s="926"/>
      <c r="ASJ39" s="926"/>
      <c r="ASK39" s="926"/>
      <c r="ASL39" s="926"/>
      <c r="ASM39" s="926"/>
      <c r="ASN39" s="926"/>
      <c r="ASO39" s="926"/>
      <c r="ASP39" s="926"/>
      <c r="ASQ39" s="926"/>
      <c r="ASR39" s="926"/>
      <c r="ASS39" s="926"/>
      <c r="AST39" s="926"/>
      <c r="ASU39" s="926"/>
      <c r="ASV39" s="926"/>
      <c r="ASW39" s="926"/>
      <c r="ASX39" s="926"/>
      <c r="ASY39" s="926"/>
      <c r="ASZ39" s="926"/>
      <c r="ATA39" s="926"/>
      <c r="ATB39" s="926"/>
      <c r="ATC39" s="926"/>
      <c r="ATD39" s="926"/>
      <c r="ATE39" s="926"/>
      <c r="ATF39" s="926"/>
      <c r="ATG39" s="926"/>
      <c r="ATH39" s="926"/>
      <c r="ATI39" s="926"/>
      <c r="ATJ39" s="926"/>
      <c r="ATK39" s="926"/>
      <c r="ATL39" s="926"/>
      <c r="ATM39" s="926"/>
      <c r="ATN39" s="926"/>
      <c r="ATO39" s="926"/>
      <c r="ATP39" s="926"/>
      <c r="ATQ39" s="926"/>
      <c r="ATR39" s="926"/>
      <c r="ATS39" s="926"/>
      <c r="ATT39" s="926"/>
      <c r="ATU39" s="926"/>
      <c r="ATV39" s="926"/>
      <c r="ATW39" s="926"/>
      <c r="ATX39" s="926"/>
      <c r="ATY39" s="926"/>
      <c r="ATZ39" s="926"/>
      <c r="AUA39" s="926"/>
      <c r="AUB39" s="926"/>
      <c r="AUC39" s="926"/>
      <c r="AUD39" s="926"/>
      <c r="AUE39" s="926"/>
      <c r="AUF39" s="926"/>
      <c r="AUG39" s="926"/>
      <c r="AUH39" s="926"/>
      <c r="AUI39" s="926"/>
      <c r="AUJ39" s="926"/>
      <c r="AUK39" s="926"/>
      <c r="AUL39" s="926"/>
      <c r="AUM39" s="926"/>
      <c r="AUN39" s="926"/>
      <c r="AUO39" s="926"/>
      <c r="AUP39" s="926"/>
      <c r="AUQ39" s="926"/>
      <c r="AUR39" s="926"/>
      <c r="AUS39" s="926"/>
      <c r="AUT39" s="926"/>
      <c r="AUU39" s="926"/>
      <c r="AUV39" s="926"/>
      <c r="AUW39" s="926"/>
      <c r="AUX39" s="926"/>
      <c r="AUY39" s="926"/>
      <c r="AUZ39" s="926"/>
      <c r="AVA39" s="926"/>
      <c r="AVB39" s="926"/>
      <c r="AVC39" s="926"/>
      <c r="AVD39" s="926"/>
      <c r="AVE39" s="926"/>
      <c r="AVF39" s="926"/>
      <c r="AVG39" s="926"/>
      <c r="AVH39" s="926"/>
      <c r="AVI39" s="926"/>
      <c r="AVJ39" s="926"/>
      <c r="AVK39" s="926"/>
      <c r="AVL39" s="926"/>
      <c r="AVM39" s="926"/>
      <c r="AVN39" s="926"/>
      <c r="AVO39" s="926"/>
      <c r="AVP39" s="926"/>
      <c r="AVQ39" s="926"/>
      <c r="AVR39" s="926"/>
      <c r="AVS39" s="926"/>
      <c r="AVT39" s="926"/>
      <c r="AVU39" s="926"/>
      <c r="AVV39" s="926"/>
      <c r="AVW39" s="926"/>
      <c r="AVX39" s="926"/>
      <c r="AVY39" s="926"/>
      <c r="AVZ39" s="926"/>
      <c r="AWA39" s="926"/>
      <c r="AWB39" s="926"/>
      <c r="AWC39" s="926"/>
      <c r="AWD39" s="926"/>
      <c r="AWE39" s="926"/>
      <c r="AWF39" s="926"/>
      <c r="AWG39" s="926"/>
      <c r="AWH39" s="926"/>
      <c r="AWI39" s="926"/>
      <c r="AWJ39" s="926"/>
      <c r="AWK39" s="926"/>
      <c r="AWL39" s="926"/>
      <c r="AWM39" s="926"/>
      <c r="AWN39" s="926"/>
      <c r="AWO39" s="926"/>
      <c r="AWP39" s="926"/>
      <c r="AWQ39" s="926"/>
      <c r="AWR39" s="926"/>
      <c r="AWS39" s="926"/>
      <c r="AWT39" s="926"/>
      <c r="AWU39" s="926"/>
      <c r="AWV39" s="926"/>
      <c r="AWW39" s="926"/>
      <c r="AWX39" s="926"/>
      <c r="AWY39" s="926"/>
      <c r="AWZ39" s="926"/>
      <c r="AXA39" s="926"/>
      <c r="AXB39" s="926"/>
      <c r="AXC39" s="926"/>
      <c r="AXD39" s="926"/>
      <c r="AXE39" s="926"/>
      <c r="AXF39" s="926"/>
      <c r="AXG39" s="926"/>
      <c r="AXH39" s="926"/>
      <c r="AXI39" s="926"/>
      <c r="AXJ39" s="926"/>
      <c r="AXK39" s="926"/>
      <c r="AXL39" s="926"/>
      <c r="AXM39" s="926"/>
      <c r="AXN39" s="926"/>
      <c r="AXO39" s="926"/>
      <c r="AXP39" s="926"/>
      <c r="AXQ39" s="926"/>
      <c r="AXR39" s="926"/>
      <c r="AXS39" s="926"/>
      <c r="AXT39" s="926"/>
      <c r="AXU39" s="926"/>
      <c r="AXV39" s="926"/>
      <c r="AXW39" s="926"/>
      <c r="AXX39" s="926"/>
      <c r="AXY39" s="926"/>
      <c r="AXZ39" s="926"/>
      <c r="AYA39" s="926"/>
      <c r="AYB39" s="926"/>
      <c r="AYC39" s="926"/>
      <c r="AYD39" s="926"/>
      <c r="AYE39" s="926"/>
      <c r="AYF39" s="926"/>
      <c r="AYG39" s="926"/>
      <c r="AYH39" s="926"/>
      <c r="AYI39" s="926"/>
      <c r="AYJ39" s="926"/>
      <c r="AYK39" s="926"/>
      <c r="AYL39" s="926"/>
      <c r="AYM39" s="926"/>
      <c r="AYN39" s="926"/>
      <c r="AYO39" s="926"/>
      <c r="AYP39" s="926"/>
      <c r="AYQ39" s="926"/>
      <c r="AYR39" s="926"/>
      <c r="AYS39" s="926"/>
      <c r="AYT39" s="926"/>
      <c r="AYU39" s="926"/>
      <c r="AYV39" s="926"/>
      <c r="AYW39" s="926"/>
      <c r="AYX39" s="926"/>
      <c r="AYY39" s="926"/>
      <c r="AYZ39" s="926"/>
      <c r="AZA39" s="926"/>
      <c r="AZB39" s="926"/>
      <c r="AZC39" s="926"/>
      <c r="AZD39" s="926"/>
      <c r="AZE39" s="926"/>
      <c r="AZF39" s="926"/>
      <c r="AZG39" s="926"/>
      <c r="AZH39" s="926"/>
      <c r="AZI39" s="926"/>
      <c r="AZJ39" s="926"/>
      <c r="AZK39" s="926"/>
      <c r="AZL39" s="926"/>
      <c r="AZM39" s="926"/>
      <c r="AZN39" s="926"/>
      <c r="AZO39" s="926"/>
      <c r="AZP39" s="926"/>
      <c r="AZQ39" s="926"/>
      <c r="AZR39" s="926"/>
      <c r="AZS39" s="926"/>
      <c r="AZT39" s="926"/>
      <c r="AZU39" s="926"/>
      <c r="AZV39" s="926"/>
      <c r="AZW39" s="926"/>
      <c r="AZX39" s="926"/>
      <c r="AZY39" s="926"/>
      <c r="AZZ39" s="926"/>
      <c r="BAA39" s="926"/>
      <c r="BAB39" s="926"/>
      <c r="BAC39" s="926"/>
      <c r="BAD39" s="926"/>
      <c r="BAE39" s="926"/>
      <c r="BAF39" s="926"/>
      <c r="BAG39" s="926"/>
      <c r="BAH39" s="926"/>
      <c r="BAI39" s="926"/>
      <c r="BAJ39" s="926"/>
      <c r="BAK39" s="926"/>
      <c r="BAL39" s="926"/>
      <c r="BAM39" s="926"/>
      <c r="BAN39" s="926"/>
      <c r="BAO39" s="926"/>
      <c r="BAP39" s="926"/>
      <c r="BAQ39" s="926"/>
      <c r="BAR39" s="926"/>
      <c r="BAS39" s="926"/>
      <c r="BAT39" s="926"/>
      <c r="BAU39" s="926"/>
      <c r="BAV39" s="926"/>
      <c r="BAW39" s="926"/>
      <c r="BAX39" s="926"/>
      <c r="BAY39" s="926"/>
      <c r="BAZ39" s="926"/>
      <c r="BBA39" s="926"/>
      <c r="BBB39" s="926"/>
      <c r="BBC39" s="926"/>
      <c r="BBD39" s="926"/>
      <c r="BBE39" s="926"/>
      <c r="BBF39" s="926"/>
      <c r="BBG39" s="926"/>
      <c r="BBH39" s="926"/>
      <c r="BBI39" s="926"/>
      <c r="BBJ39" s="926"/>
      <c r="BBK39" s="926"/>
      <c r="BBL39" s="926"/>
      <c r="BBM39" s="926"/>
      <c r="BBN39" s="926"/>
      <c r="BBO39" s="926"/>
      <c r="BBP39" s="926"/>
      <c r="BBQ39" s="926"/>
      <c r="BBR39" s="926"/>
      <c r="BBS39" s="926"/>
      <c r="BBT39" s="926"/>
      <c r="BBU39" s="926"/>
      <c r="BBV39" s="926"/>
      <c r="BBW39" s="926"/>
      <c r="BBX39" s="926"/>
      <c r="BBY39" s="926"/>
      <c r="BBZ39" s="926"/>
      <c r="BCA39" s="926"/>
      <c r="BCB39" s="926"/>
      <c r="BCC39" s="926"/>
      <c r="BCD39" s="926"/>
      <c r="BCE39" s="926"/>
      <c r="BCF39" s="926"/>
      <c r="BCG39" s="926"/>
      <c r="BCH39" s="926"/>
      <c r="BCI39" s="926"/>
      <c r="BCJ39" s="926"/>
      <c r="BCK39" s="926"/>
      <c r="BCL39" s="926"/>
      <c r="BCM39" s="926"/>
      <c r="BCN39" s="926"/>
      <c r="BCO39" s="926"/>
      <c r="BCP39" s="926"/>
      <c r="BCQ39" s="926"/>
      <c r="BCR39" s="926"/>
      <c r="BCS39" s="926"/>
      <c r="BCT39" s="926"/>
      <c r="BCU39" s="926"/>
      <c r="BCV39" s="926"/>
      <c r="BCW39" s="926"/>
      <c r="BCX39" s="926"/>
      <c r="BCY39" s="926"/>
      <c r="BCZ39" s="926"/>
      <c r="BDA39" s="926"/>
      <c r="BDB39" s="926"/>
      <c r="BDC39" s="926"/>
      <c r="BDD39" s="926"/>
      <c r="BDE39" s="926"/>
      <c r="BDF39" s="926"/>
      <c r="BDG39" s="926"/>
      <c r="BDH39" s="926"/>
      <c r="BDI39" s="926"/>
      <c r="BDJ39" s="926"/>
      <c r="BDK39" s="926"/>
      <c r="BDL39" s="926"/>
      <c r="BDM39" s="926"/>
      <c r="BDN39" s="926"/>
      <c r="BDO39" s="926"/>
      <c r="BDP39" s="926"/>
      <c r="BDQ39" s="926"/>
      <c r="BDR39" s="926"/>
      <c r="BDS39" s="926"/>
      <c r="BDT39" s="926"/>
      <c r="BDU39" s="926"/>
      <c r="BDV39" s="926"/>
      <c r="BDW39" s="926"/>
      <c r="BDX39" s="926"/>
      <c r="BDY39" s="926"/>
      <c r="BDZ39" s="926"/>
      <c r="BEA39" s="926"/>
      <c r="BEB39" s="926"/>
      <c r="BEC39" s="926"/>
      <c r="BED39" s="926"/>
      <c r="BEE39" s="926"/>
      <c r="BEF39" s="926"/>
      <c r="BEG39" s="926"/>
      <c r="BEH39" s="926"/>
      <c r="BEI39" s="926"/>
      <c r="BEJ39" s="926"/>
      <c r="BEK39" s="926"/>
      <c r="BEL39" s="926"/>
      <c r="BEM39" s="926"/>
      <c r="BEN39" s="926"/>
      <c r="BEO39" s="926"/>
      <c r="BEP39" s="926"/>
      <c r="BEQ39" s="926"/>
      <c r="BER39" s="926"/>
      <c r="BES39" s="926"/>
      <c r="BET39" s="926"/>
      <c r="BEU39" s="926"/>
      <c r="BEV39" s="926"/>
      <c r="BEW39" s="926"/>
      <c r="BEX39" s="926"/>
      <c r="BEY39" s="926"/>
      <c r="BEZ39" s="926"/>
      <c r="BFA39" s="926"/>
      <c r="BFB39" s="926"/>
      <c r="BFC39" s="926"/>
      <c r="BFD39" s="926"/>
      <c r="BFE39" s="926"/>
      <c r="BFF39" s="926"/>
      <c r="BFG39" s="926"/>
      <c r="BFH39" s="926"/>
      <c r="BFI39" s="926"/>
      <c r="BFJ39" s="926"/>
      <c r="BFK39" s="926"/>
      <c r="BFL39" s="926"/>
      <c r="BFM39" s="926"/>
      <c r="BFN39" s="926"/>
      <c r="BFO39" s="926"/>
      <c r="BFP39" s="926"/>
      <c r="BFQ39" s="926"/>
      <c r="BFR39" s="926"/>
      <c r="BFS39" s="926"/>
      <c r="BFT39" s="926"/>
      <c r="BFU39" s="926"/>
      <c r="BFV39" s="926"/>
      <c r="BFW39" s="926"/>
      <c r="BFX39" s="926"/>
      <c r="BFY39" s="926"/>
      <c r="BFZ39" s="926"/>
      <c r="BGA39" s="926"/>
      <c r="BGB39" s="926"/>
      <c r="BGC39" s="926"/>
      <c r="BGD39" s="926"/>
      <c r="BGE39" s="926"/>
      <c r="BGF39" s="926"/>
      <c r="BGG39" s="926"/>
      <c r="BGH39" s="926"/>
      <c r="BGI39" s="926"/>
      <c r="BGJ39" s="926"/>
      <c r="BGK39" s="926"/>
      <c r="BGL39" s="926"/>
      <c r="BGM39" s="926"/>
      <c r="BGN39" s="926"/>
      <c r="BGO39" s="926"/>
      <c r="BGP39" s="926"/>
      <c r="BGQ39" s="926"/>
      <c r="BGR39" s="926"/>
      <c r="BGS39" s="926"/>
      <c r="BGT39" s="926"/>
      <c r="BGU39" s="926"/>
      <c r="BGV39" s="926"/>
      <c r="BGW39" s="926"/>
      <c r="BGX39" s="926"/>
      <c r="BGY39" s="926"/>
      <c r="BGZ39" s="926"/>
      <c r="BHA39" s="926"/>
      <c r="BHB39" s="926"/>
      <c r="BHC39" s="926"/>
      <c r="BHD39" s="926"/>
      <c r="BHE39" s="926"/>
      <c r="BHF39" s="926"/>
      <c r="BHG39" s="926"/>
      <c r="BHH39" s="926"/>
      <c r="BHI39" s="926"/>
      <c r="BHJ39" s="926"/>
      <c r="BHK39" s="926"/>
      <c r="BHL39" s="926"/>
      <c r="BHM39" s="926"/>
      <c r="BHN39" s="926"/>
      <c r="BHO39" s="926"/>
      <c r="BHP39" s="926"/>
      <c r="BHQ39" s="926"/>
      <c r="BHR39" s="926"/>
      <c r="BHS39" s="926"/>
      <c r="BHT39" s="926"/>
      <c r="BHU39" s="926"/>
      <c r="BHV39" s="926"/>
      <c r="BHW39" s="926"/>
      <c r="BHX39" s="926"/>
      <c r="BHY39" s="926"/>
      <c r="BHZ39" s="926"/>
      <c r="BIA39" s="926"/>
      <c r="BIB39" s="926"/>
      <c r="BIC39" s="926"/>
      <c r="BID39" s="926"/>
      <c r="BIE39" s="926"/>
      <c r="BIF39" s="926"/>
      <c r="BIG39" s="926"/>
      <c r="BIH39" s="926"/>
      <c r="BII39" s="926"/>
      <c r="BIJ39" s="926"/>
      <c r="BIK39" s="926"/>
      <c r="BIL39" s="926"/>
      <c r="BIM39" s="926"/>
      <c r="BIN39" s="926"/>
      <c r="BIO39" s="926"/>
      <c r="BIP39" s="926"/>
      <c r="BIQ39" s="926"/>
      <c r="BIR39" s="926"/>
      <c r="BIS39" s="926"/>
      <c r="BIT39" s="926"/>
      <c r="BIU39" s="926"/>
      <c r="BIV39" s="926"/>
      <c r="BIW39" s="926"/>
      <c r="BIX39" s="926"/>
      <c r="BIY39" s="926"/>
      <c r="BIZ39" s="926"/>
      <c r="BJA39" s="926"/>
      <c r="BJB39" s="926"/>
      <c r="BJC39" s="926"/>
      <c r="BJD39" s="926"/>
      <c r="BJE39" s="926"/>
      <c r="BJF39" s="926"/>
      <c r="BJG39" s="926"/>
      <c r="BJH39" s="926"/>
      <c r="BJI39" s="926"/>
      <c r="BJJ39" s="926"/>
      <c r="BJK39" s="926"/>
      <c r="BJL39" s="926"/>
      <c r="BJM39" s="926"/>
      <c r="BJN39" s="926"/>
      <c r="BJO39" s="926"/>
      <c r="BJP39" s="926"/>
      <c r="BJQ39" s="926"/>
      <c r="BJR39" s="926"/>
      <c r="BJS39" s="926"/>
      <c r="BJT39" s="926"/>
      <c r="BJU39" s="926"/>
      <c r="BJV39" s="926"/>
      <c r="BJW39" s="926"/>
      <c r="BJX39" s="926"/>
      <c r="BJY39" s="926"/>
      <c r="BJZ39" s="926"/>
      <c r="BKA39" s="926"/>
      <c r="BKB39" s="926"/>
      <c r="BKC39" s="926"/>
      <c r="BKD39" s="926"/>
      <c r="BKE39" s="926"/>
      <c r="BKF39" s="926"/>
      <c r="BKG39" s="926"/>
      <c r="BKH39" s="926"/>
      <c r="BKI39" s="926"/>
      <c r="BKJ39" s="926"/>
      <c r="BKK39" s="926"/>
      <c r="BKL39" s="926"/>
      <c r="BKM39" s="926"/>
      <c r="BKN39" s="926"/>
      <c r="BKO39" s="926"/>
      <c r="BKP39" s="926"/>
      <c r="BKQ39" s="926"/>
      <c r="BKR39" s="926"/>
      <c r="BKS39" s="926"/>
      <c r="BKT39" s="926"/>
      <c r="BKU39" s="926"/>
      <c r="BKV39" s="926"/>
      <c r="BKW39" s="926"/>
      <c r="BKX39" s="926"/>
      <c r="BKY39" s="926"/>
      <c r="BKZ39" s="926"/>
      <c r="BLA39" s="926"/>
      <c r="BLB39" s="926"/>
      <c r="BLC39" s="926"/>
      <c r="BLD39" s="926"/>
      <c r="BLE39" s="926"/>
      <c r="BLF39" s="926"/>
      <c r="BLG39" s="926"/>
      <c r="BLH39" s="926"/>
      <c r="BLI39" s="926"/>
      <c r="BLJ39" s="926"/>
      <c r="BLK39" s="926"/>
      <c r="BLL39" s="926"/>
      <c r="BLM39" s="926"/>
      <c r="BLN39" s="926"/>
      <c r="BLO39" s="926"/>
      <c r="BLP39" s="926"/>
      <c r="BLQ39" s="926"/>
      <c r="BLR39" s="926"/>
      <c r="BLS39" s="926"/>
      <c r="BLT39" s="926"/>
      <c r="BLU39" s="926"/>
      <c r="BLV39" s="926"/>
      <c r="BLW39" s="926"/>
      <c r="BLX39" s="926"/>
      <c r="BLY39" s="926"/>
      <c r="BLZ39" s="926"/>
      <c r="BMA39" s="926"/>
      <c r="BMB39" s="926"/>
      <c r="BMC39" s="926"/>
      <c r="BMD39" s="926"/>
      <c r="BME39" s="926"/>
      <c r="BMF39" s="926"/>
      <c r="BMG39" s="926"/>
      <c r="BMH39" s="926"/>
      <c r="BMI39" s="926"/>
      <c r="BMJ39" s="926"/>
      <c r="BMK39" s="926"/>
      <c r="BML39" s="926"/>
      <c r="BMM39" s="926"/>
      <c r="BMN39" s="926"/>
      <c r="BMO39" s="926"/>
      <c r="BMP39" s="926"/>
      <c r="BMQ39" s="926"/>
      <c r="BMR39" s="926"/>
      <c r="BMS39" s="926"/>
      <c r="BMT39" s="926"/>
      <c r="BMU39" s="926"/>
      <c r="BMV39" s="926"/>
      <c r="BMW39" s="926"/>
      <c r="BMX39" s="926"/>
      <c r="BMY39" s="926"/>
      <c r="BMZ39" s="926"/>
      <c r="BNA39" s="926"/>
      <c r="BNB39" s="926"/>
      <c r="BNC39" s="926"/>
      <c r="BND39" s="926"/>
      <c r="BNE39" s="926"/>
      <c r="BNF39" s="926"/>
      <c r="BNG39" s="926"/>
      <c r="BNH39" s="926"/>
      <c r="BNI39" s="926"/>
      <c r="BNJ39" s="926"/>
      <c r="BNK39" s="926"/>
      <c r="BNL39" s="926"/>
      <c r="BNM39" s="926"/>
      <c r="BNN39" s="926"/>
      <c r="BNO39" s="926"/>
      <c r="BNP39" s="926"/>
      <c r="BNQ39" s="926"/>
      <c r="BNR39" s="926"/>
      <c r="BNS39" s="926"/>
      <c r="BNT39" s="926"/>
      <c r="BNU39" s="926"/>
      <c r="BNV39" s="926"/>
      <c r="BNW39" s="926"/>
      <c r="BNX39" s="926"/>
      <c r="BNY39" s="926"/>
      <c r="BNZ39" s="926"/>
      <c r="BOA39" s="926"/>
      <c r="BOB39" s="926"/>
      <c r="BOC39" s="926"/>
      <c r="BOD39" s="926"/>
      <c r="BOE39" s="926"/>
      <c r="BOF39" s="926"/>
      <c r="BOG39" s="926"/>
      <c r="BOH39" s="926"/>
      <c r="BOI39" s="926"/>
      <c r="BOJ39" s="926"/>
      <c r="BOK39" s="926"/>
      <c r="BOL39" s="926"/>
      <c r="BOM39" s="926"/>
      <c r="BON39" s="926"/>
      <c r="BOO39" s="926"/>
      <c r="BOP39" s="926"/>
      <c r="BOQ39" s="926"/>
      <c r="BOR39" s="926"/>
      <c r="BOS39" s="926"/>
      <c r="BOT39" s="926"/>
      <c r="BOU39" s="926"/>
      <c r="BOV39" s="926"/>
      <c r="BOW39" s="926"/>
      <c r="BOX39" s="926"/>
      <c r="BOY39" s="926"/>
      <c r="BOZ39" s="926"/>
      <c r="BPA39" s="926"/>
      <c r="BPB39" s="926"/>
      <c r="BPC39" s="926"/>
      <c r="BPD39" s="926"/>
      <c r="BPE39" s="926"/>
      <c r="BPF39" s="926"/>
      <c r="BPG39" s="926"/>
      <c r="BPH39" s="926"/>
      <c r="BPI39" s="926"/>
      <c r="BPJ39" s="926"/>
      <c r="BPK39" s="926"/>
      <c r="BPL39" s="926"/>
      <c r="BPM39" s="926"/>
      <c r="BPN39" s="926"/>
      <c r="BPO39" s="926"/>
      <c r="BPP39" s="926"/>
      <c r="BPQ39" s="926"/>
      <c r="BPR39" s="926"/>
      <c r="BPS39" s="926"/>
      <c r="BPT39" s="926"/>
      <c r="BPU39" s="926"/>
      <c r="BPV39" s="926"/>
      <c r="BPW39" s="926"/>
      <c r="BPX39" s="926"/>
      <c r="BPY39" s="926"/>
      <c r="BPZ39" s="926"/>
      <c r="BQA39" s="926"/>
      <c r="BQB39" s="926"/>
      <c r="BQC39" s="926"/>
      <c r="BQD39" s="926"/>
      <c r="BQE39" s="926"/>
      <c r="BQF39" s="926"/>
      <c r="BQG39" s="926"/>
      <c r="BQH39" s="926"/>
      <c r="BQI39" s="926"/>
      <c r="BQJ39" s="926"/>
      <c r="BQK39" s="926"/>
      <c r="BQL39" s="926"/>
      <c r="BQM39" s="926"/>
      <c r="BQN39" s="926"/>
      <c r="BQO39" s="926"/>
      <c r="BQP39" s="926"/>
      <c r="BQQ39" s="926"/>
      <c r="BQR39" s="926"/>
      <c r="BQS39" s="926"/>
      <c r="BQT39" s="926"/>
      <c r="BQU39" s="926"/>
      <c r="BQV39" s="926"/>
      <c r="BQW39" s="926"/>
      <c r="BQX39" s="926"/>
      <c r="BQY39" s="926"/>
      <c r="BQZ39" s="926"/>
      <c r="BRA39" s="926"/>
      <c r="BRB39" s="926"/>
      <c r="BRC39" s="926"/>
      <c r="BRD39" s="926"/>
      <c r="BRE39" s="926"/>
      <c r="BRF39" s="926"/>
      <c r="BRG39" s="926"/>
      <c r="BRH39" s="926"/>
      <c r="BRI39" s="926"/>
      <c r="BRJ39" s="926"/>
      <c r="BRK39" s="926"/>
      <c r="BRL39" s="926"/>
      <c r="BRM39" s="926"/>
      <c r="BRN39" s="926"/>
      <c r="BRO39" s="926"/>
      <c r="BRP39" s="926"/>
      <c r="BRQ39" s="926"/>
      <c r="BRR39" s="926"/>
      <c r="BRS39" s="926"/>
      <c r="BRT39" s="926"/>
      <c r="BRU39" s="926"/>
      <c r="BRV39" s="926"/>
      <c r="BRW39" s="926"/>
      <c r="BRX39" s="926"/>
      <c r="BRY39" s="926"/>
      <c r="BRZ39" s="926"/>
      <c r="BSA39" s="926"/>
      <c r="BSB39" s="926"/>
      <c r="BSC39" s="926"/>
      <c r="BSD39" s="926"/>
      <c r="BSE39" s="926"/>
      <c r="BSF39" s="926"/>
      <c r="BSG39" s="926"/>
      <c r="BSH39" s="926"/>
      <c r="BSI39" s="926"/>
      <c r="BSJ39" s="926"/>
      <c r="BSK39" s="926"/>
      <c r="BSL39" s="926"/>
      <c r="BSM39" s="926"/>
      <c r="BSN39" s="926"/>
      <c r="BSO39" s="926"/>
      <c r="BSP39" s="926"/>
      <c r="BSQ39" s="926"/>
      <c r="BSR39" s="926"/>
      <c r="BSS39" s="926"/>
      <c r="BST39" s="926"/>
      <c r="BSU39" s="926"/>
      <c r="BSV39" s="926"/>
      <c r="BSW39" s="926"/>
      <c r="BSX39" s="926"/>
      <c r="BSY39" s="926"/>
      <c r="BSZ39" s="926"/>
      <c r="BTA39" s="926"/>
      <c r="BTB39" s="926"/>
      <c r="BTC39" s="926"/>
      <c r="BTD39" s="926"/>
      <c r="BTE39" s="926"/>
      <c r="BTF39" s="926"/>
      <c r="BTG39" s="926"/>
      <c r="BTH39" s="926"/>
      <c r="BTI39" s="926"/>
      <c r="BTJ39" s="926"/>
      <c r="BTK39" s="926"/>
      <c r="BTL39" s="926"/>
      <c r="BTM39" s="926"/>
      <c r="BTN39" s="926"/>
      <c r="BTO39" s="926"/>
      <c r="BTP39" s="926"/>
      <c r="BTQ39" s="926"/>
      <c r="BTR39" s="926"/>
      <c r="BTS39" s="926"/>
      <c r="BTT39" s="926"/>
      <c r="BTU39" s="926"/>
      <c r="BTV39" s="926"/>
      <c r="BTW39" s="926"/>
      <c r="BTX39" s="926"/>
      <c r="BTY39" s="926"/>
      <c r="BTZ39" s="926"/>
      <c r="BUA39" s="926"/>
      <c r="BUB39" s="926"/>
      <c r="BUC39" s="926"/>
      <c r="BUD39" s="926"/>
      <c r="BUE39" s="926"/>
      <c r="BUF39" s="926"/>
      <c r="BUG39" s="926"/>
      <c r="BUH39" s="926"/>
      <c r="BUI39" s="926"/>
      <c r="BUJ39" s="926"/>
      <c r="BUK39" s="926"/>
      <c r="BUL39" s="926"/>
      <c r="BUM39" s="926"/>
      <c r="BUN39" s="926"/>
      <c r="BUO39" s="926"/>
      <c r="BUP39" s="926"/>
      <c r="BUQ39" s="926"/>
      <c r="BUR39" s="926"/>
      <c r="BUS39" s="926"/>
      <c r="BUT39" s="926"/>
      <c r="BUU39" s="926"/>
      <c r="BUV39" s="926"/>
      <c r="BUW39" s="926"/>
      <c r="BUX39" s="926"/>
      <c r="BUY39" s="926"/>
      <c r="BUZ39" s="926"/>
      <c r="BVA39" s="926"/>
      <c r="BVB39" s="926"/>
      <c r="BVC39" s="926"/>
      <c r="BVD39" s="926"/>
      <c r="BVE39" s="926"/>
      <c r="BVF39" s="926"/>
      <c r="BVG39" s="926"/>
      <c r="BVH39" s="926"/>
      <c r="BVI39" s="926"/>
      <c r="BVJ39" s="926"/>
      <c r="BVK39" s="926"/>
      <c r="BVL39" s="926"/>
      <c r="BVM39" s="926"/>
      <c r="BVN39" s="926"/>
      <c r="BVO39" s="926"/>
      <c r="BVP39" s="926"/>
      <c r="BVQ39" s="926"/>
      <c r="BVR39" s="926"/>
      <c r="BVS39" s="926"/>
      <c r="BVT39" s="926"/>
      <c r="BVU39" s="926"/>
      <c r="BVV39" s="926"/>
      <c r="BVW39" s="926"/>
      <c r="BVX39" s="926"/>
      <c r="BVY39" s="926"/>
      <c r="BVZ39" s="926"/>
      <c r="BWA39" s="926"/>
      <c r="BWB39" s="926"/>
      <c r="BWC39" s="926"/>
      <c r="BWD39" s="926"/>
      <c r="BWE39" s="926"/>
      <c r="BWF39" s="926"/>
      <c r="BWG39" s="926"/>
      <c r="BWH39" s="926"/>
      <c r="BWI39" s="926"/>
      <c r="BWJ39" s="926"/>
      <c r="BWK39" s="926"/>
      <c r="BWL39" s="926"/>
      <c r="BWM39" s="926"/>
      <c r="BWN39" s="926"/>
      <c r="BWO39" s="926"/>
      <c r="BWP39" s="926"/>
      <c r="BWQ39" s="926"/>
      <c r="BWR39" s="926"/>
      <c r="BWS39" s="926"/>
      <c r="BWT39" s="926"/>
      <c r="BWU39" s="926"/>
      <c r="BWV39" s="926"/>
      <c r="BWW39" s="926"/>
      <c r="BWX39" s="926"/>
      <c r="BWY39" s="926"/>
      <c r="BWZ39" s="926"/>
      <c r="BXA39" s="926"/>
      <c r="BXB39" s="926"/>
      <c r="BXC39" s="926"/>
      <c r="BXD39" s="926"/>
      <c r="BXE39" s="926"/>
      <c r="BXF39" s="926"/>
      <c r="BXG39" s="926"/>
      <c r="BXH39" s="926"/>
      <c r="BXI39" s="926"/>
      <c r="BXJ39" s="926"/>
      <c r="BXK39" s="926"/>
      <c r="BXL39" s="926"/>
      <c r="BXM39" s="926"/>
      <c r="BXN39" s="926"/>
      <c r="BXO39" s="926"/>
      <c r="BXP39" s="926"/>
      <c r="BXQ39" s="926"/>
      <c r="BXR39" s="926"/>
      <c r="BXS39" s="926"/>
      <c r="BXT39" s="926"/>
      <c r="BXU39" s="926"/>
      <c r="BXV39" s="926"/>
      <c r="BXW39" s="926"/>
      <c r="BXX39" s="926"/>
      <c r="BXY39" s="926"/>
      <c r="BXZ39" s="926"/>
      <c r="BYA39" s="926"/>
      <c r="BYB39" s="926"/>
      <c r="BYC39" s="926"/>
      <c r="BYD39" s="926"/>
      <c r="BYE39" s="926"/>
      <c r="BYF39" s="926"/>
      <c r="BYG39" s="926"/>
      <c r="BYH39" s="926"/>
      <c r="BYI39" s="926"/>
      <c r="BYJ39" s="926"/>
      <c r="BYK39" s="926"/>
      <c r="BYL39" s="926"/>
      <c r="BYM39" s="926"/>
      <c r="BYN39" s="926"/>
      <c r="BYO39" s="926"/>
      <c r="BYP39" s="926"/>
      <c r="BYQ39" s="926"/>
      <c r="BYR39" s="926"/>
      <c r="BYS39" s="926"/>
      <c r="BYT39" s="926"/>
      <c r="BYU39" s="926"/>
      <c r="BYV39" s="926"/>
      <c r="BYW39" s="926"/>
      <c r="BYX39" s="926"/>
      <c r="BYY39" s="926"/>
      <c r="BYZ39" s="926"/>
      <c r="BZA39" s="926"/>
      <c r="BZB39" s="926"/>
      <c r="BZC39" s="926"/>
      <c r="BZD39" s="926"/>
      <c r="BZE39" s="926"/>
      <c r="BZF39" s="926"/>
      <c r="BZG39" s="926"/>
      <c r="BZH39" s="926"/>
      <c r="BZI39" s="926"/>
      <c r="BZJ39" s="926"/>
      <c r="BZK39" s="926"/>
      <c r="BZL39" s="926"/>
      <c r="BZM39" s="926"/>
      <c r="BZN39" s="926"/>
      <c r="BZO39" s="926"/>
      <c r="BZP39" s="926"/>
      <c r="BZQ39" s="926"/>
      <c r="BZR39" s="926"/>
      <c r="BZS39" s="926"/>
      <c r="BZT39" s="926"/>
      <c r="BZU39" s="926"/>
      <c r="BZV39" s="926"/>
      <c r="BZW39" s="926"/>
      <c r="BZX39" s="926"/>
      <c r="BZY39" s="926"/>
      <c r="BZZ39" s="926"/>
      <c r="CAA39" s="926"/>
      <c r="CAB39" s="926"/>
      <c r="CAC39" s="926"/>
      <c r="CAD39" s="926"/>
      <c r="CAE39" s="926"/>
      <c r="CAF39" s="926"/>
      <c r="CAG39" s="926"/>
      <c r="CAH39" s="926"/>
      <c r="CAI39" s="926"/>
      <c r="CAJ39" s="926"/>
      <c r="CAK39" s="926"/>
      <c r="CAL39" s="926"/>
      <c r="CAM39" s="926"/>
      <c r="CAN39" s="926"/>
      <c r="CAO39" s="926"/>
      <c r="CAP39" s="926"/>
      <c r="CAQ39" s="926"/>
      <c r="CAR39" s="926"/>
      <c r="CAS39" s="926"/>
      <c r="CAT39" s="926"/>
      <c r="CAU39" s="926"/>
      <c r="CAV39" s="926"/>
      <c r="CAW39" s="926"/>
      <c r="CAX39" s="926"/>
      <c r="CAY39" s="926"/>
      <c r="CAZ39" s="926"/>
      <c r="CBA39" s="926"/>
      <c r="CBB39" s="926"/>
      <c r="CBC39" s="926"/>
      <c r="CBD39" s="926"/>
      <c r="CBE39" s="926"/>
      <c r="CBF39" s="926"/>
      <c r="CBG39" s="926"/>
      <c r="CBH39" s="926"/>
      <c r="CBI39" s="926"/>
      <c r="CBJ39" s="926"/>
      <c r="CBK39" s="926"/>
      <c r="CBL39" s="926"/>
      <c r="CBM39" s="926"/>
      <c r="CBN39" s="926"/>
      <c r="CBO39" s="926"/>
      <c r="CBP39" s="926"/>
      <c r="CBQ39" s="926"/>
      <c r="CBR39" s="926"/>
      <c r="CBS39" s="926"/>
      <c r="CBT39" s="926"/>
      <c r="CBU39" s="926"/>
      <c r="CBV39" s="926"/>
      <c r="CBW39" s="926"/>
      <c r="CBX39" s="926"/>
      <c r="CBY39" s="926"/>
      <c r="CBZ39" s="926"/>
      <c r="CCA39" s="926"/>
      <c r="CCB39" s="926"/>
      <c r="CCC39" s="926"/>
      <c r="CCD39" s="926"/>
      <c r="CCE39" s="926"/>
      <c r="CCF39" s="926"/>
      <c r="CCG39" s="926"/>
      <c r="CCH39" s="926"/>
      <c r="CCI39" s="926"/>
      <c r="CCJ39" s="926"/>
      <c r="CCK39" s="926"/>
      <c r="CCL39" s="926"/>
      <c r="CCM39" s="926"/>
      <c r="CCN39" s="926"/>
      <c r="CCO39" s="926"/>
      <c r="CCP39" s="926"/>
      <c r="CCQ39" s="926"/>
      <c r="CCR39" s="926"/>
      <c r="CCS39" s="926"/>
      <c r="CCT39" s="926"/>
      <c r="CCU39" s="926"/>
      <c r="CCV39" s="926"/>
      <c r="CCW39" s="926"/>
      <c r="CCX39" s="926"/>
      <c r="CCY39" s="926"/>
      <c r="CCZ39" s="926"/>
      <c r="CDA39" s="926"/>
      <c r="CDB39" s="926"/>
      <c r="CDC39" s="926"/>
      <c r="CDD39" s="926"/>
      <c r="CDE39" s="926"/>
      <c r="CDF39" s="926"/>
      <c r="CDG39" s="926"/>
      <c r="CDH39" s="926"/>
      <c r="CDI39" s="926"/>
      <c r="CDJ39" s="926"/>
      <c r="CDK39" s="926"/>
      <c r="CDL39" s="926"/>
      <c r="CDM39" s="926"/>
      <c r="CDN39" s="926"/>
      <c r="CDO39" s="926"/>
      <c r="CDP39" s="926"/>
      <c r="CDQ39" s="926"/>
      <c r="CDR39" s="926"/>
      <c r="CDS39" s="926"/>
      <c r="CDT39" s="926"/>
      <c r="CDU39" s="926"/>
      <c r="CDV39" s="926"/>
      <c r="CDW39" s="926"/>
      <c r="CDX39" s="926"/>
      <c r="CDY39" s="926"/>
      <c r="CDZ39" s="926"/>
      <c r="CEA39" s="926"/>
      <c r="CEB39" s="926"/>
      <c r="CEC39" s="926"/>
      <c r="CED39" s="926"/>
      <c r="CEE39" s="926"/>
      <c r="CEF39" s="926"/>
      <c r="CEG39" s="926"/>
      <c r="CEH39" s="926"/>
      <c r="CEI39" s="926"/>
      <c r="CEJ39" s="926"/>
      <c r="CEK39" s="926"/>
      <c r="CEL39" s="926"/>
      <c r="CEM39" s="926"/>
      <c r="CEN39" s="926"/>
      <c r="CEO39" s="926"/>
      <c r="CEP39" s="926"/>
      <c r="CEQ39" s="926"/>
      <c r="CER39" s="926"/>
      <c r="CES39" s="926"/>
      <c r="CET39" s="926"/>
      <c r="CEU39" s="926"/>
      <c r="CEV39" s="926"/>
      <c r="CEW39" s="926"/>
      <c r="CEX39" s="926"/>
      <c r="CEY39" s="926"/>
      <c r="CEZ39" s="926"/>
      <c r="CFA39" s="926"/>
      <c r="CFB39" s="926"/>
      <c r="CFC39" s="926"/>
      <c r="CFD39" s="926"/>
      <c r="CFE39" s="926"/>
      <c r="CFF39" s="926"/>
      <c r="CFG39" s="926"/>
      <c r="CFH39" s="926"/>
      <c r="CFI39" s="926"/>
      <c r="CFJ39" s="926"/>
      <c r="CFK39" s="926"/>
      <c r="CFL39" s="926"/>
      <c r="CFM39" s="926"/>
      <c r="CFN39" s="926"/>
      <c r="CFO39" s="926"/>
      <c r="CFP39" s="926"/>
      <c r="CFQ39" s="926"/>
      <c r="CFR39" s="926"/>
      <c r="CFS39" s="926"/>
      <c r="CFT39" s="926"/>
      <c r="CFU39" s="926"/>
      <c r="CFV39" s="926"/>
      <c r="CFW39" s="926"/>
      <c r="CFX39" s="926"/>
      <c r="CFY39" s="926"/>
      <c r="CFZ39" s="926"/>
      <c r="CGA39" s="926"/>
      <c r="CGB39" s="926"/>
      <c r="CGC39" s="926"/>
      <c r="CGD39" s="926"/>
      <c r="CGE39" s="926"/>
      <c r="CGF39" s="926"/>
      <c r="CGG39" s="926"/>
      <c r="CGH39" s="926"/>
      <c r="CGI39" s="926"/>
      <c r="CGJ39" s="926"/>
      <c r="CGK39" s="926"/>
      <c r="CGL39" s="926"/>
      <c r="CGM39" s="926"/>
      <c r="CGN39" s="926"/>
      <c r="CGO39" s="926"/>
      <c r="CGP39" s="926"/>
      <c r="CGQ39" s="926"/>
      <c r="CGR39" s="926"/>
      <c r="CGS39" s="926"/>
      <c r="CGT39" s="926"/>
      <c r="CGU39" s="926"/>
      <c r="CGV39" s="926"/>
      <c r="CGW39" s="926"/>
      <c r="CGX39" s="926"/>
      <c r="CGY39" s="926"/>
      <c r="CGZ39" s="926"/>
      <c r="CHA39" s="926"/>
      <c r="CHB39" s="926"/>
      <c r="CHC39" s="926"/>
      <c r="CHD39" s="926"/>
      <c r="CHE39" s="926"/>
      <c r="CHF39" s="926"/>
      <c r="CHG39" s="926"/>
      <c r="CHH39" s="926"/>
      <c r="CHI39" s="926"/>
      <c r="CHJ39" s="926"/>
      <c r="CHK39" s="926"/>
      <c r="CHL39" s="926"/>
      <c r="CHM39" s="926"/>
      <c r="CHN39" s="926"/>
      <c r="CHO39" s="926"/>
      <c r="CHP39" s="926"/>
      <c r="CHQ39" s="926"/>
      <c r="CHR39" s="926"/>
      <c r="CHS39" s="926"/>
      <c r="CHT39" s="926"/>
      <c r="CHU39" s="926"/>
      <c r="CHV39" s="926"/>
      <c r="CHW39" s="926"/>
      <c r="CHX39" s="926"/>
      <c r="CHY39" s="926"/>
      <c r="CHZ39" s="926"/>
      <c r="CIA39" s="926"/>
      <c r="CIB39" s="926"/>
      <c r="CIC39" s="926"/>
      <c r="CID39" s="926"/>
      <c r="CIE39" s="926"/>
      <c r="CIF39" s="926"/>
      <c r="CIG39" s="926"/>
      <c r="CIH39" s="926"/>
      <c r="CII39" s="926"/>
      <c r="CIJ39" s="926"/>
      <c r="CIK39" s="926"/>
      <c r="CIL39" s="926"/>
      <c r="CIM39" s="926"/>
      <c r="CIN39" s="926"/>
      <c r="CIO39" s="926"/>
      <c r="CIP39" s="926"/>
      <c r="CIQ39" s="926"/>
      <c r="CIR39" s="926"/>
      <c r="CIS39" s="926"/>
      <c r="CIT39" s="926"/>
      <c r="CIU39" s="926"/>
      <c r="CIV39" s="926"/>
      <c r="CIW39" s="926"/>
      <c r="CIX39" s="926"/>
      <c r="CIY39" s="926"/>
      <c r="CIZ39" s="926"/>
      <c r="CJA39" s="926"/>
      <c r="CJB39" s="926"/>
      <c r="CJC39" s="926"/>
      <c r="CJD39" s="926"/>
      <c r="CJE39" s="926"/>
      <c r="CJF39" s="926"/>
      <c r="CJG39" s="926"/>
      <c r="CJH39" s="926"/>
      <c r="CJI39" s="926"/>
      <c r="CJJ39" s="926"/>
      <c r="CJK39" s="926"/>
      <c r="CJL39" s="926"/>
      <c r="CJM39" s="926"/>
      <c r="CJN39" s="926"/>
      <c r="CJO39" s="926"/>
      <c r="CJP39" s="926"/>
      <c r="CJQ39" s="926"/>
      <c r="CJR39" s="926"/>
      <c r="CJS39" s="926"/>
      <c r="CJT39" s="926"/>
      <c r="CJU39" s="926"/>
      <c r="CJV39" s="926"/>
      <c r="CJW39" s="926"/>
      <c r="CJX39" s="926"/>
      <c r="CJY39" s="926"/>
      <c r="CJZ39" s="926"/>
      <c r="CKA39" s="926"/>
      <c r="CKB39" s="926"/>
      <c r="CKC39" s="926"/>
      <c r="CKD39" s="926"/>
      <c r="CKE39" s="926"/>
      <c r="CKF39" s="926"/>
      <c r="CKG39" s="926"/>
      <c r="CKH39" s="926"/>
      <c r="CKI39" s="926"/>
      <c r="CKJ39" s="926"/>
      <c r="CKK39" s="926"/>
      <c r="CKL39" s="926"/>
      <c r="CKM39" s="926"/>
      <c r="CKN39" s="926"/>
      <c r="CKO39" s="926"/>
      <c r="CKP39" s="926"/>
      <c r="CKQ39" s="926"/>
      <c r="CKR39" s="926"/>
      <c r="CKS39" s="926"/>
      <c r="CKT39" s="926"/>
      <c r="CKU39" s="926"/>
      <c r="CKV39" s="926"/>
      <c r="CKW39" s="926"/>
      <c r="CKX39" s="926"/>
      <c r="CKY39" s="926"/>
      <c r="CKZ39" s="926"/>
      <c r="CLA39" s="926"/>
      <c r="CLB39" s="926"/>
      <c r="CLC39" s="926"/>
      <c r="CLD39" s="926"/>
      <c r="CLE39" s="926"/>
      <c r="CLF39" s="926"/>
      <c r="CLG39" s="926"/>
      <c r="CLH39" s="926"/>
      <c r="CLI39" s="926"/>
      <c r="CLJ39" s="926"/>
      <c r="CLK39" s="926"/>
      <c r="CLL39" s="926"/>
      <c r="CLM39" s="926"/>
      <c r="CLN39" s="926"/>
      <c r="CLO39" s="926"/>
      <c r="CLP39" s="926"/>
      <c r="CLQ39" s="926"/>
      <c r="CLR39" s="926"/>
      <c r="CLS39" s="926"/>
      <c r="CLT39" s="926"/>
      <c r="CLU39" s="926"/>
      <c r="CLV39" s="926"/>
      <c r="CLW39" s="926"/>
      <c r="CLX39" s="926"/>
      <c r="CLY39" s="926"/>
      <c r="CLZ39" s="926"/>
      <c r="CMA39" s="926"/>
      <c r="CMB39" s="926"/>
      <c r="CMC39" s="926"/>
      <c r="CMD39" s="926"/>
      <c r="CME39" s="926"/>
      <c r="CMF39" s="926"/>
      <c r="CMG39" s="926"/>
      <c r="CMH39" s="926"/>
      <c r="CMI39" s="926"/>
      <c r="CMJ39" s="926"/>
      <c r="CMK39" s="926"/>
      <c r="CML39" s="926"/>
      <c r="CMM39" s="926"/>
      <c r="CMN39" s="926"/>
      <c r="CMO39" s="926"/>
      <c r="CMP39" s="926"/>
      <c r="CMQ39" s="926"/>
      <c r="CMR39" s="926"/>
      <c r="CMS39" s="926"/>
      <c r="CMT39" s="926"/>
      <c r="CMU39" s="926"/>
      <c r="CMV39" s="926"/>
      <c r="CMW39" s="926"/>
      <c r="CMX39" s="926"/>
      <c r="CMY39" s="926"/>
      <c r="CMZ39" s="926"/>
      <c r="CNA39" s="926"/>
      <c r="CNB39" s="926"/>
      <c r="CNC39" s="926"/>
      <c r="CND39" s="926"/>
      <c r="CNE39" s="926"/>
      <c r="CNF39" s="926"/>
      <c r="CNG39" s="926"/>
      <c r="CNH39" s="926"/>
      <c r="CNI39" s="926"/>
      <c r="CNJ39" s="926"/>
      <c r="CNK39" s="926"/>
      <c r="CNL39" s="926"/>
      <c r="CNM39" s="926"/>
      <c r="CNN39" s="926"/>
      <c r="CNO39" s="926"/>
      <c r="CNP39" s="926"/>
      <c r="CNQ39" s="926"/>
      <c r="CNR39" s="926"/>
      <c r="CNS39" s="926"/>
      <c r="CNT39" s="926"/>
      <c r="CNU39" s="926"/>
      <c r="CNV39" s="926"/>
      <c r="CNW39" s="926"/>
      <c r="CNX39" s="926"/>
      <c r="CNY39" s="926"/>
      <c r="CNZ39" s="926"/>
      <c r="COA39" s="926"/>
      <c r="COB39" s="926"/>
      <c r="COC39" s="926"/>
      <c r="COD39" s="926"/>
      <c r="COE39" s="926"/>
      <c r="COF39" s="926"/>
      <c r="COG39" s="926"/>
      <c r="COH39" s="926"/>
      <c r="COI39" s="926"/>
      <c r="COJ39" s="926"/>
      <c r="COK39" s="926"/>
      <c r="COL39" s="926"/>
      <c r="COM39" s="926"/>
      <c r="CON39" s="926"/>
      <c r="COO39" s="926"/>
      <c r="COP39" s="926"/>
      <c r="COQ39" s="926"/>
      <c r="COR39" s="926"/>
      <c r="COS39" s="926"/>
      <c r="COT39" s="926"/>
      <c r="COU39" s="926"/>
      <c r="COV39" s="926"/>
      <c r="COW39" s="926"/>
      <c r="COX39" s="926"/>
      <c r="COY39" s="926"/>
      <c r="COZ39" s="926"/>
      <c r="CPA39" s="926"/>
      <c r="CPB39" s="926"/>
      <c r="CPC39" s="926"/>
      <c r="CPD39" s="926"/>
      <c r="CPE39" s="926"/>
      <c r="CPF39" s="926"/>
      <c r="CPG39" s="926"/>
      <c r="CPH39" s="926"/>
      <c r="CPI39" s="926"/>
      <c r="CPJ39" s="926"/>
      <c r="CPK39" s="926"/>
      <c r="CPL39" s="926"/>
      <c r="CPM39" s="926"/>
      <c r="CPN39" s="926"/>
      <c r="CPO39" s="926"/>
      <c r="CPP39" s="926"/>
      <c r="CPQ39" s="926"/>
      <c r="CPR39" s="926"/>
      <c r="CPS39" s="926"/>
      <c r="CPT39" s="926"/>
      <c r="CPU39" s="926"/>
      <c r="CPV39" s="926"/>
      <c r="CPW39" s="926"/>
      <c r="CPX39" s="926"/>
      <c r="CPY39" s="926"/>
      <c r="CPZ39" s="926"/>
      <c r="CQA39" s="926"/>
      <c r="CQB39" s="926"/>
      <c r="CQC39" s="926"/>
      <c r="CQD39" s="926"/>
      <c r="CQE39" s="926"/>
      <c r="CQF39" s="926"/>
      <c r="CQG39" s="926"/>
      <c r="CQH39" s="926"/>
      <c r="CQI39" s="926"/>
      <c r="CQJ39" s="926"/>
      <c r="CQK39" s="926"/>
      <c r="CQL39" s="926"/>
      <c r="CQM39" s="926"/>
      <c r="CQN39" s="926"/>
      <c r="CQO39" s="926"/>
      <c r="CQP39" s="926"/>
      <c r="CQQ39" s="926"/>
      <c r="CQR39" s="926"/>
      <c r="CQS39" s="926"/>
      <c r="CQT39" s="926"/>
      <c r="CQU39" s="926"/>
      <c r="CQV39" s="926"/>
      <c r="CQW39" s="926"/>
      <c r="CQX39" s="926"/>
      <c r="CQY39" s="926"/>
      <c r="CQZ39" s="926"/>
      <c r="CRA39" s="926"/>
      <c r="CRB39" s="926"/>
      <c r="CRC39" s="926"/>
      <c r="CRD39" s="926"/>
      <c r="CRE39" s="926"/>
      <c r="CRF39" s="926"/>
      <c r="CRG39" s="926"/>
      <c r="CRH39" s="926"/>
      <c r="CRI39" s="926"/>
      <c r="CRJ39" s="926"/>
      <c r="CRK39" s="926"/>
      <c r="CRL39" s="926"/>
      <c r="CRM39" s="926"/>
      <c r="CRN39" s="926"/>
      <c r="CRO39" s="926"/>
      <c r="CRP39" s="926"/>
      <c r="CRQ39" s="926"/>
      <c r="CRR39" s="926"/>
      <c r="CRS39" s="926"/>
      <c r="CRT39" s="926"/>
      <c r="CRU39" s="926"/>
      <c r="CRV39" s="926"/>
      <c r="CRW39" s="926"/>
      <c r="CRX39" s="926"/>
      <c r="CRY39" s="926"/>
      <c r="CRZ39" s="926"/>
      <c r="CSA39" s="926"/>
      <c r="CSB39" s="926"/>
      <c r="CSC39" s="926"/>
      <c r="CSD39" s="926"/>
      <c r="CSE39" s="926"/>
      <c r="CSF39" s="926"/>
      <c r="CSG39" s="926"/>
      <c r="CSH39" s="926"/>
      <c r="CSI39" s="926"/>
      <c r="CSJ39" s="926"/>
      <c r="CSK39" s="926"/>
      <c r="CSL39" s="926"/>
      <c r="CSM39" s="926"/>
      <c r="CSN39" s="926"/>
      <c r="CSO39" s="926"/>
      <c r="CSP39" s="926"/>
      <c r="CSQ39" s="926"/>
      <c r="CSR39" s="926"/>
      <c r="CSS39" s="926"/>
      <c r="CST39" s="926"/>
      <c r="CSU39" s="926"/>
      <c r="CSV39" s="926"/>
      <c r="CSW39" s="926"/>
      <c r="CSX39" s="926"/>
      <c r="CSY39" s="926"/>
      <c r="CSZ39" s="926"/>
      <c r="CTA39" s="926"/>
      <c r="CTB39" s="926"/>
      <c r="CTC39" s="926"/>
      <c r="CTD39" s="926"/>
      <c r="CTE39" s="926"/>
      <c r="CTF39" s="926"/>
      <c r="CTG39" s="926"/>
      <c r="CTH39" s="926"/>
      <c r="CTI39" s="926"/>
      <c r="CTJ39" s="926"/>
      <c r="CTK39" s="926"/>
      <c r="CTL39" s="926"/>
      <c r="CTM39" s="926"/>
      <c r="CTN39" s="926"/>
      <c r="CTO39" s="926"/>
      <c r="CTP39" s="926"/>
      <c r="CTQ39" s="926"/>
      <c r="CTR39" s="926"/>
      <c r="CTS39" s="926"/>
      <c r="CTT39" s="926"/>
      <c r="CTU39" s="926"/>
      <c r="CTV39" s="926"/>
      <c r="CTW39" s="926"/>
      <c r="CTX39" s="926"/>
      <c r="CTY39" s="926"/>
      <c r="CTZ39" s="926"/>
      <c r="CUA39" s="926"/>
      <c r="CUB39" s="926"/>
      <c r="CUC39" s="926"/>
      <c r="CUD39" s="926"/>
      <c r="CUE39" s="926"/>
      <c r="CUF39" s="926"/>
      <c r="CUG39" s="926"/>
      <c r="CUH39" s="926"/>
      <c r="CUI39" s="926"/>
      <c r="CUJ39" s="926"/>
      <c r="CUK39" s="926"/>
      <c r="CUL39" s="926"/>
      <c r="CUM39" s="926"/>
      <c r="CUN39" s="926"/>
      <c r="CUO39" s="926"/>
      <c r="CUP39" s="926"/>
      <c r="CUQ39" s="926"/>
      <c r="CUR39" s="926"/>
      <c r="CUS39" s="926"/>
      <c r="CUT39" s="926"/>
      <c r="CUU39" s="926"/>
      <c r="CUV39" s="926"/>
      <c r="CUW39" s="926"/>
      <c r="CUX39" s="926"/>
      <c r="CUY39" s="926"/>
      <c r="CUZ39" s="926"/>
      <c r="CVA39" s="926"/>
      <c r="CVB39" s="926"/>
      <c r="CVC39" s="926"/>
      <c r="CVD39" s="926"/>
      <c r="CVE39" s="926"/>
      <c r="CVF39" s="926"/>
      <c r="CVG39" s="926"/>
      <c r="CVH39" s="926"/>
      <c r="CVI39" s="926"/>
      <c r="CVJ39" s="926"/>
      <c r="CVK39" s="926"/>
      <c r="CVL39" s="926"/>
      <c r="CVM39" s="926"/>
      <c r="CVN39" s="926"/>
      <c r="CVO39" s="926"/>
      <c r="CVP39" s="926"/>
      <c r="CVQ39" s="926"/>
      <c r="CVR39" s="926"/>
      <c r="CVS39" s="926"/>
      <c r="CVT39" s="926"/>
      <c r="CVU39" s="926"/>
      <c r="CVV39" s="926"/>
      <c r="CVW39" s="926"/>
      <c r="CVX39" s="926"/>
      <c r="CVY39" s="926"/>
      <c r="CVZ39" s="926"/>
      <c r="CWA39" s="926"/>
      <c r="CWB39" s="926"/>
      <c r="CWC39" s="926"/>
      <c r="CWD39" s="926"/>
      <c r="CWE39" s="926"/>
      <c r="CWF39" s="926"/>
      <c r="CWG39" s="926"/>
      <c r="CWH39" s="926"/>
      <c r="CWI39" s="926"/>
      <c r="CWJ39" s="926"/>
      <c r="CWK39" s="926"/>
      <c r="CWL39" s="926"/>
      <c r="CWM39" s="926"/>
      <c r="CWN39" s="926"/>
      <c r="CWO39" s="926"/>
      <c r="CWP39" s="926"/>
      <c r="CWQ39" s="926"/>
      <c r="CWR39" s="926"/>
      <c r="CWS39" s="926"/>
      <c r="CWT39" s="926"/>
      <c r="CWU39" s="926"/>
      <c r="CWV39" s="926"/>
      <c r="CWW39" s="926"/>
      <c r="CWX39" s="926"/>
      <c r="CWY39" s="926"/>
      <c r="CWZ39" s="926"/>
      <c r="CXA39" s="926"/>
      <c r="CXB39" s="926"/>
      <c r="CXC39" s="926"/>
      <c r="CXD39" s="926"/>
      <c r="CXE39" s="926"/>
      <c r="CXF39" s="926"/>
      <c r="CXG39" s="926"/>
      <c r="CXH39" s="926"/>
      <c r="CXI39" s="926"/>
      <c r="CXJ39" s="926"/>
      <c r="CXK39" s="926"/>
      <c r="CXL39" s="926"/>
      <c r="CXM39" s="926"/>
      <c r="CXN39" s="926"/>
      <c r="CXO39" s="926"/>
      <c r="CXP39" s="926"/>
      <c r="CXQ39" s="926"/>
      <c r="CXR39" s="926"/>
      <c r="CXS39" s="926"/>
      <c r="CXT39" s="926"/>
      <c r="CXU39" s="926"/>
      <c r="CXV39" s="926"/>
      <c r="CXW39" s="926"/>
      <c r="CXX39" s="926"/>
      <c r="CXY39" s="926"/>
      <c r="CXZ39" s="926"/>
      <c r="CYA39" s="926"/>
      <c r="CYB39" s="926"/>
      <c r="CYC39" s="926"/>
      <c r="CYD39" s="926"/>
      <c r="CYE39" s="926"/>
      <c r="CYF39" s="926"/>
      <c r="CYG39" s="926"/>
      <c r="CYH39" s="926"/>
      <c r="CYI39" s="926"/>
      <c r="CYJ39" s="926"/>
      <c r="CYK39" s="926"/>
      <c r="CYL39" s="926"/>
      <c r="CYM39" s="926"/>
      <c r="CYN39" s="926"/>
      <c r="CYO39" s="926"/>
      <c r="CYP39" s="926"/>
      <c r="CYQ39" s="926"/>
      <c r="CYR39" s="926"/>
      <c r="CYS39" s="926"/>
      <c r="CYT39" s="926"/>
      <c r="CYU39" s="926"/>
      <c r="CYV39" s="926"/>
      <c r="CYW39" s="926"/>
      <c r="CYX39" s="926"/>
      <c r="CYY39" s="926"/>
      <c r="CYZ39" s="926"/>
      <c r="CZA39" s="926"/>
      <c r="CZB39" s="926"/>
      <c r="CZC39" s="926"/>
      <c r="CZD39" s="926"/>
      <c r="CZE39" s="926"/>
      <c r="CZF39" s="926"/>
      <c r="CZG39" s="926"/>
      <c r="CZH39" s="926"/>
      <c r="CZI39" s="926"/>
      <c r="CZJ39" s="926"/>
      <c r="CZK39" s="926"/>
      <c r="CZL39" s="926"/>
      <c r="CZM39" s="926"/>
      <c r="CZN39" s="926"/>
      <c r="CZO39" s="926"/>
      <c r="CZP39" s="926"/>
      <c r="CZQ39" s="926"/>
      <c r="CZR39" s="926"/>
      <c r="CZS39" s="926"/>
      <c r="CZT39" s="926"/>
      <c r="CZU39" s="926"/>
      <c r="CZV39" s="926"/>
      <c r="CZW39" s="926"/>
      <c r="CZX39" s="926"/>
      <c r="CZY39" s="926"/>
      <c r="CZZ39" s="926"/>
      <c r="DAA39" s="926"/>
      <c r="DAB39" s="926"/>
      <c r="DAC39" s="926"/>
      <c r="DAD39" s="926"/>
      <c r="DAE39" s="926"/>
      <c r="DAF39" s="926"/>
      <c r="DAG39" s="926"/>
      <c r="DAH39" s="926"/>
      <c r="DAI39" s="926"/>
      <c r="DAJ39" s="926"/>
      <c r="DAK39" s="926"/>
      <c r="DAL39" s="926"/>
      <c r="DAM39" s="926"/>
      <c r="DAN39" s="926"/>
      <c r="DAO39" s="926"/>
      <c r="DAP39" s="926"/>
      <c r="DAQ39" s="926"/>
      <c r="DAR39" s="926"/>
      <c r="DAS39" s="926"/>
      <c r="DAT39" s="926"/>
      <c r="DAU39" s="926"/>
      <c r="DAV39" s="926"/>
      <c r="DAW39" s="926"/>
      <c r="DAX39" s="926"/>
      <c r="DAY39" s="926"/>
      <c r="DAZ39" s="926"/>
      <c r="DBA39" s="926"/>
      <c r="DBB39" s="926"/>
      <c r="DBC39" s="926"/>
      <c r="DBD39" s="926"/>
      <c r="DBE39" s="926"/>
      <c r="DBF39" s="926"/>
      <c r="DBG39" s="926"/>
      <c r="DBH39" s="926"/>
      <c r="DBI39" s="926"/>
      <c r="DBJ39" s="926"/>
      <c r="DBK39" s="926"/>
      <c r="DBL39" s="926"/>
      <c r="DBM39" s="926"/>
      <c r="DBN39" s="926"/>
      <c r="DBO39" s="926"/>
      <c r="DBP39" s="926"/>
      <c r="DBQ39" s="926"/>
      <c r="DBR39" s="926"/>
      <c r="DBS39" s="926"/>
      <c r="DBT39" s="926"/>
      <c r="DBU39" s="926"/>
      <c r="DBV39" s="926"/>
      <c r="DBW39" s="926"/>
      <c r="DBX39" s="926"/>
      <c r="DBY39" s="926"/>
      <c r="DBZ39" s="926"/>
      <c r="DCA39" s="926"/>
      <c r="DCB39" s="926"/>
      <c r="DCC39" s="926"/>
      <c r="DCD39" s="926"/>
      <c r="DCE39" s="926"/>
      <c r="DCF39" s="926"/>
      <c r="DCG39" s="926"/>
      <c r="DCH39" s="926"/>
      <c r="DCI39" s="926"/>
      <c r="DCJ39" s="926"/>
      <c r="DCK39" s="926"/>
      <c r="DCL39" s="926"/>
      <c r="DCM39" s="926"/>
      <c r="DCN39" s="926"/>
      <c r="DCO39" s="926"/>
      <c r="DCP39" s="926"/>
      <c r="DCQ39" s="926"/>
      <c r="DCR39" s="926"/>
      <c r="DCS39" s="926"/>
      <c r="DCT39" s="926"/>
      <c r="DCU39" s="926"/>
      <c r="DCV39" s="926"/>
      <c r="DCW39" s="926"/>
      <c r="DCX39" s="926"/>
      <c r="DCY39" s="926"/>
      <c r="DCZ39" s="926"/>
      <c r="DDA39" s="926"/>
      <c r="DDB39" s="926"/>
      <c r="DDC39" s="926"/>
      <c r="DDD39" s="926"/>
      <c r="DDE39" s="926"/>
      <c r="DDF39" s="926"/>
      <c r="DDG39" s="926"/>
      <c r="DDH39" s="926"/>
      <c r="DDI39" s="926"/>
      <c r="DDJ39" s="926"/>
      <c r="DDK39" s="926"/>
      <c r="DDL39" s="926"/>
      <c r="DDM39" s="926"/>
      <c r="DDN39" s="926"/>
      <c r="DDO39" s="926"/>
      <c r="DDP39" s="926"/>
      <c r="DDQ39" s="926"/>
      <c r="DDR39" s="926"/>
      <c r="DDS39" s="926"/>
      <c r="DDT39" s="926"/>
      <c r="DDU39" s="926"/>
      <c r="DDV39" s="926"/>
      <c r="DDW39" s="926"/>
      <c r="DDX39" s="926"/>
      <c r="DDY39" s="926"/>
      <c r="DDZ39" s="926"/>
      <c r="DEA39" s="926"/>
      <c r="DEB39" s="926"/>
      <c r="DEC39" s="926"/>
      <c r="DED39" s="926"/>
      <c r="DEE39" s="926"/>
      <c r="DEF39" s="926"/>
      <c r="DEG39" s="926"/>
      <c r="DEH39" s="926"/>
      <c r="DEI39" s="926"/>
      <c r="DEJ39" s="926"/>
      <c r="DEK39" s="926"/>
      <c r="DEL39" s="926"/>
      <c r="DEM39" s="926"/>
      <c r="DEN39" s="926"/>
      <c r="DEO39" s="926"/>
      <c r="DEP39" s="926"/>
      <c r="DEQ39" s="926"/>
      <c r="DER39" s="926"/>
      <c r="DES39" s="926"/>
      <c r="DET39" s="926"/>
      <c r="DEU39" s="926"/>
      <c r="DEV39" s="926"/>
      <c r="DEW39" s="926"/>
      <c r="DEX39" s="926"/>
      <c r="DEY39" s="926"/>
      <c r="DEZ39" s="926"/>
      <c r="DFA39" s="926"/>
      <c r="DFB39" s="926"/>
      <c r="DFC39" s="926"/>
      <c r="DFD39" s="926"/>
      <c r="DFE39" s="926"/>
      <c r="DFF39" s="926"/>
      <c r="DFG39" s="926"/>
      <c r="DFH39" s="926"/>
      <c r="DFI39" s="926"/>
      <c r="DFJ39" s="926"/>
      <c r="DFK39" s="926"/>
      <c r="DFL39" s="926"/>
      <c r="DFM39" s="926"/>
      <c r="DFN39" s="926"/>
      <c r="DFO39" s="926"/>
      <c r="DFP39" s="926"/>
      <c r="DFQ39" s="926"/>
      <c r="DFR39" s="926"/>
      <c r="DFS39" s="926"/>
      <c r="DFT39" s="926"/>
      <c r="DFU39" s="926"/>
      <c r="DFV39" s="926"/>
      <c r="DFW39" s="926"/>
      <c r="DFX39" s="926"/>
      <c r="DFY39" s="926"/>
      <c r="DFZ39" s="926"/>
      <c r="DGA39" s="926"/>
      <c r="DGB39" s="926"/>
      <c r="DGC39" s="926"/>
      <c r="DGD39" s="926"/>
      <c r="DGE39" s="926"/>
      <c r="DGF39" s="926"/>
      <c r="DGG39" s="926"/>
      <c r="DGH39" s="926"/>
      <c r="DGI39" s="926"/>
      <c r="DGJ39" s="926"/>
      <c r="DGK39" s="926"/>
      <c r="DGL39" s="926"/>
      <c r="DGM39" s="926"/>
      <c r="DGN39" s="926"/>
      <c r="DGO39" s="926"/>
      <c r="DGP39" s="926"/>
      <c r="DGQ39" s="926"/>
      <c r="DGR39" s="926"/>
      <c r="DGS39" s="926"/>
      <c r="DGT39" s="926"/>
      <c r="DGU39" s="926"/>
      <c r="DGV39" s="926"/>
      <c r="DGW39" s="926"/>
      <c r="DGX39" s="926"/>
      <c r="DGY39" s="926"/>
      <c r="DGZ39" s="926"/>
      <c r="DHA39" s="926"/>
      <c r="DHB39" s="926"/>
      <c r="DHC39" s="926"/>
      <c r="DHD39" s="926"/>
      <c r="DHE39" s="926"/>
      <c r="DHF39" s="926"/>
      <c r="DHG39" s="926"/>
      <c r="DHH39" s="926"/>
      <c r="DHI39" s="926"/>
      <c r="DHJ39" s="926"/>
      <c r="DHK39" s="926"/>
      <c r="DHL39" s="926"/>
      <c r="DHM39" s="926"/>
      <c r="DHN39" s="926"/>
      <c r="DHO39" s="926"/>
      <c r="DHP39" s="926"/>
      <c r="DHQ39" s="926"/>
      <c r="DHR39" s="926"/>
      <c r="DHS39" s="926"/>
      <c r="DHT39" s="926"/>
      <c r="DHU39" s="926"/>
      <c r="DHV39" s="926"/>
      <c r="DHW39" s="926"/>
      <c r="DHX39" s="926"/>
      <c r="DHY39" s="926"/>
      <c r="DHZ39" s="926"/>
      <c r="DIA39" s="926"/>
      <c r="DIB39" s="926"/>
      <c r="DIC39" s="926"/>
      <c r="DID39" s="926"/>
      <c r="DIE39" s="926"/>
      <c r="DIF39" s="926"/>
      <c r="DIG39" s="926"/>
      <c r="DIH39" s="926"/>
      <c r="DII39" s="926"/>
      <c r="DIJ39" s="926"/>
      <c r="DIK39" s="926"/>
      <c r="DIL39" s="926"/>
      <c r="DIM39" s="926"/>
      <c r="DIN39" s="926"/>
      <c r="DIO39" s="926"/>
      <c r="DIP39" s="926"/>
      <c r="DIQ39" s="926"/>
      <c r="DIR39" s="926"/>
      <c r="DIS39" s="926"/>
      <c r="DIT39" s="926"/>
      <c r="DIU39" s="926"/>
      <c r="DIV39" s="926"/>
      <c r="DIW39" s="926"/>
      <c r="DIX39" s="926"/>
      <c r="DIY39" s="926"/>
      <c r="DIZ39" s="926"/>
      <c r="DJA39" s="926"/>
      <c r="DJB39" s="926"/>
      <c r="DJC39" s="926"/>
      <c r="DJD39" s="926"/>
      <c r="DJE39" s="926"/>
      <c r="DJF39" s="926"/>
      <c r="DJG39" s="926"/>
      <c r="DJH39" s="926"/>
      <c r="DJI39" s="926"/>
      <c r="DJJ39" s="926"/>
      <c r="DJK39" s="926"/>
      <c r="DJL39" s="926"/>
      <c r="DJM39" s="926"/>
      <c r="DJN39" s="926"/>
      <c r="DJO39" s="926"/>
      <c r="DJP39" s="926"/>
      <c r="DJQ39" s="926"/>
      <c r="DJR39" s="926"/>
      <c r="DJS39" s="926"/>
      <c r="DJT39" s="926"/>
      <c r="DJU39" s="926"/>
      <c r="DJV39" s="926"/>
      <c r="DJW39" s="926"/>
      <c r="DJX39" s="926"/>
      <c r="DJY39" s="926"/>
      <c r="DJZ39" s="926"/>
      <c r="DKA39" s="926"/>
      <c r="DKB39" s="926"/>
      <c r="DKC39" s="926"/>
      <c r="DKD39" s="926"/>
      <c r="DKE39" s="926"/>
      <c r="DKF39" s="926"/>
      <c r="DKG39" s="926"/>
      <c r="DKH39" s="926"/>
      <c r="DKI39" s="926"/>
      <c r="DKJ39" s="926"/>
      <c r="DKK39" s="926"/>
      <c r="DKL39" s="926"/>
      <c r="DKM39" s="926"/>
      <c r="DKN39" s="926"/>
      <c r="DKO39" s="926"/>
      <c r="DKP39" s="926"/>
      <c r="DKQ39" s="926"/>
      <c r="DKR39" s="926"/>
      <c r="DKS39" s="926"/>
      <c r="DKT39" s="926"/>
      <c r="DKU39" s="926"/>
      <c r="DKV39" s="926"/>
      <c r="DKW39" s="926"/>
      <c r="DKX39" s="926"/>
      <c r="DKY39" s="926"/>
      <c r="DKZ39" s="926"/>
      <c r="DLA39" s="926"/>
      <c r="DLB39" s="926"/>
      <c r="DLC39" s="926"/>
      <c r="DLD39" s="926"/>
      <c r="DLE39" s="926"/>
      <c r="DLF39" s="926"/>
      <c r="DLG39" s="926"/>
      <c r="DLH39" s="926"/>
      <c r="DLI39" s="926"/>
      <c r="DLJ39" s="926"/>
      <c r="DLK39" s="926"/>
      <c r="DLL39" s="926"/>
      <c r="DLM39" s="926"/>
      <c r="DLN39" s="926"/>
      <c r="DLO39" s="926"/>
      <c r="DLP39" s="926"/>
      <c r="DLQ39" s="926"/>
      <c r="DLR39" s="926"/>
      <c r="DLS39" s="926"/>
      <c r="DLT39" s="926"/>
      <c r="DLU39" s="926"/>
      <c r="DLV39" s="926"/>
      <c r="DLW39" s="926"/>
      <c r="DLX39" s="926"/>
      <c r="DLY39" s="926"/>
      <c r="DLZ39" s="926"/>
      <c r="DMA39" s="926"/>
      <c r="DMB39" s="926"/>
      <c r="DMC39" s="926"/>
      <c r="DMD39" s="926"/>
      <c r="DME39" s="926"/>
      <c r="DMF39" s="926"/>
      <c r="DMG39" s="926"/>
      <c r="DMH39" s="926"/>
      <c r="DMI39" s="926"/>
      <c r="DMJ39" s="926"/>
      <c r="DMK39" s="926"/>
      <c r="DML39" s="926"/>
      <c r="DMM39" s="926"/>
      <c r="DMN39" s="926"/>
      <c r="DMO39" s="926"/>
      <c r="DMP39" s="926"/>
      <c r="DMQ39" s="926"/>
      <c r="DMR39" s="926"/>
      <c r="DMS39" s="926"/>
      <c r="DMT39" s="926"/>
      <c r="DMU39" s="926"/>
      <c r="DMV39" s="926"/>
      <c r="DMW39" s="926"/>
      <c r="DMX39" s="926"/>
      <c r="DMY39" s="926"/>
      <c r="DMZ39" s="926"/>
      <c r="DNA39" s="926"/>
      <c r="DNB39" s="926"/>
      <c r="DNC39" s="926"/>
      <c r="DND39" s="926"/>
      <c r="DNE39" s="926"/>
      <c r="DNF39" s="926"/>
      <c r="DNG39" s="926"/>
      <c r="DNH39" s="926"/>
      <c r="DNI39" s="926"/>
      <c r="DNJ39" s="926"/>
      <c r="DNK39" s="926"/>
      <c r="DNL39" s="926"/>
      <c r="DNM39" s="926"/>
      <c r="DNN39" s="926"/>
      <c r="DNO39" s="926"/>
      <c r="DNP39" s="926"/>
      <c r="DNQ39" s="926"/>
      <c r="DNR39" s="926"/>
      <c r="DNS39" s="926"/>
      <c r="DNT39" s="926"/>
      <c r="DNU39" s="926"/>
      <c r="DNV39" s="926"/>
      <c r="DNW39" s="926"/>
      <c r="DNX39" s="926"/>
      <c r="DNY39" s="926"/>
      <c r="DNZ39" s="926"/>
      <c r="DOA39" s="926"/>
      <c r="DOB39" s="926"/>
      <c r="DOC39" s="926"/>
      <c r="DOD39" s="926"/>
      <c r="DOE39" s="926"/>
      <c r="DOF39" s="926"/>
      <c r="DOG39" s="926"/>
      <c r="DOH39" s="926"/>
      <c r="DOI39" s="926"/>
      <c r="DOJ39" s="926"/>
      <c r="DOK39" s="926"/>
      <c r="DOL39" s="926"/>
      <c r="DOM39" s="926"/>
      <c r="DON39" s="926"/>
      <c r="DOO39" s="926"/>
      <c r="DOP39" s="926"/>
      <c r="DOQ39" s="926"/>
      <c r="DOR39" s="926"/>
      <c r="DOS39" s="926"/>
      <c r="DOT39" s="926"/>
      <c r="DOU39" s="926"/>
      <c r="DOV39" s="926"/>
      <c r="DOW39" s="926"/>
      <c r="DOX39" s="926"/>
      <c r="DOY39" s="926"/>
      <c r="DOZ39" s="926"/>
      <c r="DPA39" s="926"/>
      <c r="DPB39" s="926"/>
      <c r="DPC39" s="926"/>
      <c r="DPD39" s="926"/>
      <c r="DPE39" s="926"/>
      <c r="DPF39" s="926"/>
      <c r="DPG39" s="926"/>
      <c r="DPH39" s="926"/>
      <c r="DPI39" s="926"/>
      <c r="DPJ39" s="926"/>
      <c r="DPK39" s="926"/>
      <c r="DPL39" s="926"/>
      <c r="DPM39" s="926"/>
      <c r="DPN39" s="926"/>
      <c r="DPO39" s="926"/>
      <c r="DPP39" s="926"/>
      <c r="DPQ39" s="926"/>
      <c r="DPR39" s="926"/>
      <c r="DPS39" s="926"/>
      <c r="DPT39" s="926"/>
      <c r="DPU39" s="926"/>
      <c r="DPV39" s="926"/>
      <c r="DPW39" s="926"/>
      <c r="DPX39" s="926"/>
      <c r="DPY39" s="926"/>
      <c r="DPZ39" s="926"/>
      <c r="DQA39" s="926"/>
      <c r="DQB39" s="926"/>
      <c r="DQC39" s="926"/>
      <c r="DQD39" s="926"/>
      <c r="DQE39" s="926"/>
      <c r="DQF39" s="926"/>
      <c r="DQG39" s="926"/>
      <c r="DQH39" s="926"/>
      <c r="DQI39" s="926"/>
      <c r="DQJ39" s="926"/>
      <c r="DQK39" s="926"/>
      <c r="DQL39" s="926"/>
      <c r="DQM39" s="926"/>
      <c r="DQN39" s="926"/>
      <c r="DQO39" s="926"/>
      <c r="DQP39" s="926"/>
      <c r="DQQ39" s="926"/>
      <c r="DQR39" s="926"/>
      <c r="DQS39" s="926"/>
      <c r="DQT39" s="926"/>
      <c r="DQU39" s="926"/>
      <c r="DQV39" s="926"/>
      <c r="DQW39" s="926"/>
      <c r="DQX39" s="926"/>
      <c r="DQY39" s="926"/>
      <c r="DQZ39" s="926"/>
      <c r="DRA39" s="926"/>
      <c r="DRB39" s="926"/>
      <c r="DRC39" s="926"/>
      <c r="DRD39" s="926"/>
      <c r="DRE39" s="926"/>
      <c r="DRF39" s="926"/>
      <c r="DRG39" s="926"/>
      <c r="DRH39" s="926"/>
      <c r="DRI39" s="926"/>
      <c r="DRJ39" s="926"/>
      <c r="DRK39" s="926"/>
      <c r="DRL39" s="926"/>
      <c r="DRM39" s="926"/>
      <c r="DRN39" s="926"/>
      <c r="DRO39" s="926"/>
      <c r="DRP39" s="926"/>
      <c r="DRQ39" s="926"/>
      <c r="DRR39" s="926"/>
      <c r="DRS39" s="926"/>
      <c r="DRT39" s="926"/>
      <c r="DRU39" s="926"/>
      <c r="DRV39" s="926"/>
      <c r="DRW39" s="926"/>
      <c r="DRX39" s="926"/>
      <c r="DRY39" s="926"/>
      <c r="DRZ39" s="926"/>
      <c r="DSA39" s="926"/>
      <c r="DSB39" s="926"/>
      <c r="DSC39" s="926"/>
      <c r="DSD39" s="926"/>
      <c r="DSE39" s="926"/>
      <c r="DSF39" s="926"/>
      <c r="DSG39" s="926"/>
      <c r="DSH39" s="926"/>
      <c r="DSI39" s="926"/>
      <c r="DSJ39" s="926"/>
      <c r="DSK39" s="926"/>
      <c r="DSL39" s="926"/>
      <c r="DSM39" s="926"/>
      <c r="DSN39" s="926"/>
      <c r="DSO39" s="926"/>
      <c r="DSP39" s="926"/>
      <c r="DSQ39" s="926"/>
      <c r="DSR39" s="926"/>
      <c r="DSS39" s="926"/>
      <c r="DST39" s="926"/>
      <c r="DSU39" s="926"/>
      <c r="DSV39" s="926"/>
      <c r="DSW39" s="926"/>
      <c r="DSX39" s="926"/>
      <c r="DSY39" s="926"/>
      <c r="DSZ39" s="926"/>
      <c r="DTA39" s="926"/>
      <c r="DTB39" s="926"/>
      <c r="DTC39" s="926"/>
      <c r="DTD39" s="926"/>
      <c r="DTE39" s="926"/>
      <c r="DTF39" s="926"/>
      <c r="DTG39" s="926"/>
      <c r="DTH39" s="926"/>
      <c r="DTI39" s="926"/>
      <c r="DTJ39" s="926"/>
      <c r="DTK39" s="926"/>
      <c r="DTL39" s="926"/>
      <c r="DTM39" s="926"/>
      <c r="DTN39" s="926"/>
      <c r="DTO39" s="926"/>
      <c r="DTP39" s="926"/>
      <c r="DTQ39" s="926"/>
      <c r="DTR39" s="926"/>
      <c r="DTS39" s="926"/>
      <c r="DTT39" s="926"/>
      <c r="DTU39" s="926"/>
      <c r="DTV39" s="926"/>
      <c r="DTW39" s="926"/>
      <c r="DTX39" s="926"/>
      <c r="DTY39" s="926"/>
      <c r="DTZ39" s="926"/>
      <c r="DUA39" s="926"/>
      <c r="DUB39" s="926"/>
      <c r="DUC39" s="926"/>
      <c r="DUD39" s="926"/>
      <c r="DUE39" s="926"/>
      <c r="DUF39" s="926"/>
      <c r="DUG39" s="926"/>
      <c r="DUH39" s="926"/>
      <c r="DUI39" s="926"/>
      <c r="DUJ39" s="926"/>
      <c r="DUK39" s="926"/>
      <c r="DUL39" s="926"/>
      <c r="DUM39" s="926"/>
      <c r="DUN39" s="926"/>
      <c r="DUO39" s="926"/>
      <c r="DUP39" s="926"/>
      <c r="DUQ39" s="926"/>
      <c r="DUR39" s="926"/>
      <c r="DUS39" s="926"/>
      <c r="DUT39" s="926"/>
      <c r="DUU39" s="926"/>
      <c r="DUV39" s="926"/>
      <c r="DUW39" s="926"/>
      <c r="DUX39" s="926"/>
      <c r="DUY39" s="926"/>
      <c r="DUZ39" s="926"/>
      <c r="DVA39" s="926"/>
      <c r="DVB39" s="926"/>
      <c r="DVC39" s="926"/>
      <c r="DVD39" s="926"/>
      <c r="DVE39" s="926"/>
      <c r="DVF39" s="926"/>
      <c r="DVG39" s="926"/>
      <c r="DVH39" s="926"/>
      <c r="DVI39" s="926"/>
      <c r="DVJ39" s="926"/>
      <c r="DVK39" s="926"/>
      <c r="DVL39" s="926"/>
      <c r="DVM39" s="926"/>
      <c r="DVN39" s="926"/>
      <c r="DVO39" s="926"/>
      <c r="DVP39" s="926"/>
      <c r="DVQ39" s="926"/>
      <c r="DVR39" s="926"/>
      <c r="DVS39" s="926"/>
      <c r="DVT39" s="926"/>
      <c r="DVU39" s="926"/>
      <c r="DVV39" s="926"/>
      <c r="DVW39" s="926"/>
      <c r="DVX39" s="926"/>
      <c r="DVY39" s="926"/>
      <c r="DVZ39" s="926"/>
      <c r="DWA39" s="926"/>
      <c r="DWB39" s="926"/>
      <c r="DWC39" s="926"/>
      <c r="DWD39" s="926"/>
      <c r="DWE39" s="926"/>
      <c r="DWF39" s="926"/>
      <c r="DWG39" s="926"/>
      <c r="DWH39" s="926"/>
      <c r="DWI39" s="926"/>
      <c r="DWJ39" s="926"/>
      <c r="DWK39" s="926"/>
      <c r="DWL39" s="926"/>
      <c r="DWM39" s="926"/>
      <c r="DWN39" s="926"/>
      <c r="DWO39" s="926"/>
      <c r="DWP39" s="926"/>
      <c r="DWQ39" s="926"/>
      <c r="DWR39" s="926"/>
      <c r="DWS39" s="926"/>
      <c r="DWT39" s="926"/>
      <c r="DWU39" s="926"/>
      <c r="DWV39" s="926"/>
      <c r="DWW39" s="926"/>
      <c r="DWX39" s="926"/>
      <c r="DWY39" s="926"/>
      <c r="DWZ39" s="926"/>
      <c r="DXA39" s="926"/>
      <c r="DXB39" s="926"/>
      <c r="DXC39" s="926"/>
      <c r="DXD39" s="926"/>
      <c r="DXE39" s="926"/>
      <c r="DXF39" s="926"/>
      <c r="DXG39" s="926"/>
      <c r="DXH39" s="926"/>
      <c r="DXI39" s="926"/>
      <c r="DXJ39" s="926"/>
      <c r="DXK39" s="926"/>
      <c r="DXL39" s="926"/>
      <c r="DXM39" s="926"/>
      <c r="DXN39" s="926"/>
      <c r="DXO39" s="926"/>
      <c r="DXP39" s="926"/>
      <c r="DXQ39" s="926"/>
      <c r="DXR39" s="926"/>
      <c r="DXS39" s="926"/>
      <c r="DXT39" s="926"/>
      <c r="DXU39" s="926"/>
      <c r="DXV39" s="926"/>
      <c r="DXW39" s="926"/>
      <c r="DXX39" s="926"/>
      <c r="DXY39" s="926"/>
      <c r="DXZ39" s="926"/>
      <c r="DYA39" s="926"/>
      <c r="DYB39" s="926"/>
      <c r="DYC39" s="926"/>
      <c r="DYD39" s="926"/>
      <c r="DYE39" s="926"/>
      <c r="DYF39" s="926"/>
      <c r="DYG39" s="926"/>
      <c r="DYH39" s="926"/>
      <c r="DYI39" s="926"/>
      <c r="DYJ39" s="926"/>
      <c r="DYK39" s="926"/>
      <c r="DYL39" s="926"/>
      <c r="DYM39" s="926"/>
      <c r="DYN39" s="926"/>
      <c r="DYO39" s="926"/>
      <c r="DYP39" s="926"/>
      <c r="DYQ39" s="926"/>
      <c r="DYR39" s="926"/>
      <c r="DYS39" s="926"/>
      <c r="DYT39" s="926"/>
      <c r="DYU39" s="926"/>
      <c r="DYV39" s="926"/>
      <c r="DYW39" s="926"/>
      <c r="DYX39" s="926"/>
      <c r="DYY39" s="926"/>
      <c r="DYZ39" s="926"/>
      <c r="DZA39" s="926"/>
      <c r="DZB39" s="926"/>
      <c r="DZC39" s="926"/>
      <c r="DZD39" s="926"/>
      <c r="DZE39" s="926"/>
      <c r="DZF39" s="926"/>
      <c r="DZG39" s="926"/>
      <c r="DZH39" s="926"/>
      <c r="DZI39" s="926"/>
      <c r="DZJ39" s="926"/>
      <c r="DZK39" s="926"/>
      <c r="DZL39" s="926"/>
      <c r="DZM39" s="926"/>
      <c r="DZN39" s="926"/>
      <c r="DZO39" s="926"/>
      <c r="DZP39" s="926"/>
      <c r="DZQ39" s="926"/>
      <c r="DZR39" s="926"/>
      <c r="DZS39" s="926"/>
      <c r="DZT39" s="926"/>
      <c r="DZU39" s="926"/>
      <c r="DZV39" s="926"/>
      <c r="DZW39" s="926"/>
      <c r="DZX39" s="926"/>
      <c r="DZY39" s="926"/>
      <c r="DZZ39" s="926"/>
      <c r="EAA39" s="926"/>
      <c r="EAB39" s="926"/>
      <c r="EAC39" s="926"/>
      <c r="EAD39" s="926"/>
      <c r="EAE39" s="926"/>
      <c r="EAF39" s="926"/>
      <c r="EAG39" s="926"/>
      <c r="EAH39" s="926"/>
      <c r="EAI39" s="926"/>
      <c r="EAJ39" s="926"/>
      <c r="EAK39" s="926"/>
      <c r="EAL39" s="926"/>
      <c r="EAM39" s="926"/>
      <c r="EAN39" s="926"/>
      <c r="EAO39" s="926"/>
      <c r="EAP39" s="926"/>
      <c r="EAQ39" s="926"/>
      <c r="EAR39" s="926"/>
      <c r="EAS39" s="926"/>
      <c r="EAT39" s="926"/>
      <c r="EAU39" s="926"/>
      <c r="EAV39" s="926"/>
      <c r="EAW39" s="926"/>
      <c r="EAX39" s="926"/>
      <c r="EAY39" s="926"/>
      <c r="EAZ39" s="926"/>
      <c r="EBA39" s="926"/>
      <c r="EBB39" s="926"/>
      <c r="EBC39" s="926"/>
      <c r="EBD39" s="926"/>
      <c r="EBE39" s="926"/>
      <c r="EBF39" s="926"/>
      <c r="EBG39" s="926"/>
      <c r="EBH39" s="926"/>
      <c r="EBI39" s="926"/>
      <c r="EBJ39" s="926"/>
      <c r="EBK39" s="926"/>
      <c r="EBL39" s="926"/>
      <c r="EBM39" s="926"/>
      <c r="EBN39" s="926"/>
      <c r="EBO39" s="926"/>
      <c r="EBP39" s="926"/>
      <c r="EBQ39" s="926"/>
      <c r="EBR39" s="926"/>
      <c r="EBS39" s="926"/>
      <c r="EBT39" s="926"/>
      <c r="EBU39" s="926"/>
      <c r="EBV39" s="926"/>
      <c r="EBW39" s="926"/>
      <c r="EBX39" s="926"/>
      <c r="EBY39" s="926"/>
      <c r="EBZ39" s="926"/>
      <c r="ECA39" s="926"/>
      <c r="ECB39" s="926"/>
      <c r="ECC39" s="926"/>
      <c r="ECD39" s="926"/>
      <c r="ECE39" s="926"/>
      <c r="ECF39" s="926"/>
      <c r="ECG39" s="926"/>
      <c r="ECH39" s="926"/>
      <c r="ECI39" s="926"/>
      <c r="ECJ39" s="926"/>
      <c r="ECK39" s="926"/>
      <c r="ECL39" s="926"/>
      <c r="ECM39" s="926"/>
      <c r="ECN39" s="926"/>
      <c r="ECO39" s="926"/>
      <c r="ECP39" s="926"/>
      <c r="ECQ39" s="926"/>
      <c r="ECR39" s="926"/>
      <c r="ECS39" s="926"/>
      <c r="ECT39" s="926"/>
      <c r="ECU39" s="926"/>
      <c r="ECV39" s="926"/>
      <c r="ECW39" s="926"/>
      <c r="ECX39" s="926"/>
      <c r="ECY39" s="926"/>
      <c r="ECZ39" s="926"/>
      <c r="EDA39" s="926"/>
      <c r="EDB39" s="926"/>
      <c r="EDC39" s="926"/>
      <c r="EDD39" s="926"/>
      <c r="EDE39" s="926"/>
      <c r="EDF39" s="926"/>
      <c r="EDG39" s="926"/>
      <c r="EDH39" s="926"/>
      <c r="EDI39" s="926"/>
      <c r="EDJ39" s="926"/>
      <c r="EDK39" s="926"/>
      <c r="EDL39" s="926"/>
      <c r="EDM39" s="926"/>
      <c r="EDN39" s="926"/>
      <c r="EDO39" s="926"/>
      <c r="EDP39" s="926"/>
      <c r="EDQ39" s="926"/>
      <c r="EDR39" s="926"/>
      <c r="EDS39" s="926"/>
      <c r="EDT39" s="926"/>
      <c r="EDU39" s="926"/>
      <c r="EDV39" s="926"/>
      <c r="EDW39" s="926"/>
      <c r="EDX39" s="926"/>
      <c r="EDY39" s="926"/>
      <c r="EDZ39" s="926"/>
      <c r="EEA39" s="926"/>
      <c r="EEB39" s="926"/>
      <c r="EEC39" s="926"/>
      <c r="EED39" s="926"/>
      <c r="EEE39" s="926"/>
      <c r="EEF39" s="926"/>
      <c r="EEG39" s="926"/>
      <c r="EEH39" s="926"/>
      <c r="EEI39" s="926"/>
      <c r="EEJ39" s="926"/>
      <c r="EEK39" s="926"/>
      <c r="EEL39" s="926"/>
      <c r="EEM39" s="926"/>
      <c r="EEN39" s="926"/>
      <c r="EEO39" s="926"/>
      <c r="EEP39" s="926"/>
      <c r="EEQ39" s="926"/>
      <c r="EER39" s="926"/>
      <c r="EES39" s="926"/>
      <c r="EET39" s="926"/>
      <c r="EEU39" s="926"/>
      <c r="EEV39" s="926"/>
      <c r="EEW39" s="926"/>
      <c r="EEX39" s="926"/>
      <c r="EEY39" s="926"/>
      <c r="EEZ39" s="926"/>
      <c r="EFA39" s="926"/>
      <c r="EFB39" s="926"/>
      <c r="EFC39" s="926"/>
      <c r="EFD39" s="926"/>
      <c r="EFE39" s="926"/>
      <c r="EFF39" s="926"/>
      <c r="EFG39" s="926"/>
      <c r="EFH39" s="926"/>
      <c r="EFI39" s="926"/>
      <c r="EFJ39" s="926"/>
      <c r="EFK39" s="926"/>
      <c r="EFL39" s="926"/>
      <c r="EFM39" s="926"/>
      <c r="EFN39" s="926"/>
      <c r="EFO39" s="926"/>
      <c r="EFP39" s="926"/>
      <c r="EFQ39" s="926"/>
      <c r="EFR39" s="926"/>
      <c r="EFS39" s="926"/>
      <c r="EFT39" s="926"/>
      <c r="EFU39" s="926"/>
      <c r="EFV39" s="926"/>
      <c r="EFW39" s="926"/>
      <c r="EFX39" s="926"/>
      <c r="EFY39" s="926"/>
      <c r="EFZ39" s="926"/>
      <c r="EGA39" s="926"/>
      <c r="EGB39" s="926"/>
      <c r="EGC39" s="926"/>
      <c r="EGD39" s="926"/>
      <c r="EGE39" s="926"/>
      <c r="EGF39" s="926"/>
      <c r="EGG39" s="926"/>
      <c r="EGH39" s="926"/>
      <c r="EGI39" s="926"/>
      <c r="EGJ39" s="926"/>
      <c r="EGK39" s="926"/>
      <c r="EGL39" s="926"/>
      <c r="EGM39" s="926"/>
      <c r="EGN39" s="926"/>
      <c r="EGO39" s="926"/>
      <c r="EGP39" s="926"/>
      <c r="EGQ39" s="926"/>
      <c r="EGR39" s="926"/>
      <c r="EGS39" s="926"/>
      <c r="EGT39" s="926"/>
      <c r="EGU39" s="926"/>
      <c r="EGV39" s="926"/>
      <c r="EGW39" s="926"/>
      <c r="EGX39" s="926"/>
      <c r="EGY39" s="926"/>
      <c r="EGZ39" s="926"/>
      <c r="EHA39" s="926"/>
      <c r="EHB39" s="926"/>
      <c r="EHC39" s="926"/>
      <c r="EHD39" s="926"/>
      <c r="EHE39" s="926"/>
      <c r="EHF39" s="926"/>
      <c r="EHG39" s="926"/>
      <c r="EHH39" s="926"/>
      <c r="EHI39" s="926"/>
      <c r="EHJ39" s="926"/>
      <c r="EHK39" s="926"/>
      <c r="EHL39" s="926"/>
      <c r="EHM39" s="926"/>
      <c r="EHN39" s="926"/>
      <c r="EHO39" s="926"/>
      <c r="EHP39" s="926"/>
      <c r="EHQ39" s="926"/>
      <c r="EHR39" s="926"/>
      <c r="EHS39" s="926"/>
      <c r="EHT39" s="926"/>
      <c r="EHU39" s="926"/>
      <c r="EHV39" s="926"/>
      <c r="EHW39" s="926"/>
      <c r="EHX39" s="926"/>
      <c r="EHY39" s="926"/>
      <c r="EHZ39" s="926"/>
      <c r="EIA39" s="926"/>
      <c r="EIB39" s="926"/>
      <c r="EIC39" s="926"/>
      <c r="EID39" s="926"/>
      <c r="EIE39" s="926"/>
      <c r="EIF39" s="926"/>
      <c r="EIG39" s="926"/>
      <c r="EIH39" s="926"/>
      <c r="EII39" s="926"/>
      <c r="EIJ39" s="926"/>
      <c r="EIK39" s="926"/>
      <c r="EIL39" s="926"/>
      <c r="EIM39" s="926"/>
      <c r="EIN39" s="926"/>
      <c r="EIO39" s="926"/>
      <c r="EIP39" s="926"/>
      <c r="EIQ39" s="926"/>
      <c r="EIR39" s="926"/>
      <c r="EIS39" s="926"/>
      <c r="EIT39" s="926"/>
      <c r="EIU39" s="926"/>
      <c r="EIV39" s="926"/>
      <c r="EIW39" s="926"/>
      <c r="EIX39" s="926"/>
      <c r="EIY39" s="926"/>
      <c r="EIZ39" s="926"/>
      <c r="EJA39" s="926"/>
      <c r="EJB39" s="926"/>
      <c r="EJC39" s="926"/>
      <c r="EJD39" s="926"/>
      <c r="EJE39" s="926"/>
      <c r="EJF39" s="926"/>
      <c r="EJG39" s="926"/>
      <c r="EJH39" s="926"/>
      <c r="EJI39" s="926"/>
      <c r="EJJ39" s="926"/>
      <c r="EJK39" s="926"/>
      <c r="EJL39" s="926"/>
      <c r="EJM39" s="926"/>
      <c r="EJN39" s="926"/>
      <c r="EJO39" s="926"/>
      <c r="EJP39" s="926"/>
      <c r="EJQ39" s="926"/>
      <c r="EJR39" s="926"/>
      <c r="EJS39" s="926"/>
      <c r="EJT39" s="926"/>
      <c r="EJU39" s="926"/>
      <c r="EJV39" s="926"/>
      <c r="EJW39" s="926"/>
      <c r="EJX39" s="926"/>
      <c r="EJY39" s="926"/>
      <c r="EJZ39" s="926"/>
      <c r="EKA39" s="926"/>
      <c r="EKB39" s="926"/>
      <c r="EKC39" s="926"/>
      <c r="EKD39" s="926"/>
      <c r="EKE39" s="926"/>
      <c r="EKF39" s="926"/>
      <c r="EKG39" s="926"/>
      <c r="EKH39" s="926"/>
      <c r="EKI39" s="926"/>
      <c r="EKJ39" s="926"/>
      <c r="EKK39" s="926"/>
      <c r="EKL39" s="926"/>
      <c r="EKM39" s="926"/>
      <c r="EKN39" s="926"/>
      <c r="EKO39" s="926"/>
      <c r="EKP39" s="926"/>
      <c r="EKQ39" s="926"/>
      <c r="EKR39" s="926"/>
      <c r="EKS39" s="926"/>
      <c r="EKT39" s="926"/>
      <c r="EKU39" s="926"/>
      <c r="EKV39" s="926"/>
      <c r="EKW39" s="926"/>
      <c r="EKX39" s="926"/>
      <c r="EKY39" s="926"/>
      <c r="EKZ39" s="926"/>
      <c r="ELA39" s="926"/>
      <c r="ELB39" s="926"/>
      <c r="ELC39" s="926"/>
      <c r="ELD39" s="926"/>
      <c r="ELE39" s="926"/>
      <c r="ELF39" s="926"/>
      <c r="ELG39" s="926"/>
      <c r="ELH39" s="926"/>
      <c r="ELI39" s="926"/>
      <c r="ELJ39" s="926"/>
      <c r="ELK39" s="926"/>
      <c r="ELL39" s="926"/>
      <c r="ELM39" s="926"/>
      <c r="ELN39" s="926"/>
      <c r="ELO39" s="926"/>
      <c r="ELP39" s="926"/>
      <c r="ELQ39" s="926"/>
      <c r="ELR39" s="926"/>
      <c r="ELS39" s="926"/>
      <c r="ELT39" s="926"/>
      <c r="ELU39" s="926"/>
      <c r="ELV39" s="926"/>
      <c r="ELW39" s="926"/>
      <c r="ELX39" s="926"/>
      <c r="ELY39" s="926"/>
      <c r="ELZ39" s="926"/>
      <c r="EMA39" s="926"/>
      <c r="EMB39" s="926"/>
      <c r="EMC39" s="926"/>
      <c r="EMD39" s="926"/>
      <c r="EME39" s="926"/>
      <c r="EMF39" s="926"/>
      <c r="EMG39" s="926"/>
      <c r="EMH39" s="926"/>
      <c r="EMI39" s="926"/>
      <c r="EMJ39" s="926"/>
      <c r="EMK39" s="926"/>
      <c r="EML39" s="926"/>
      <c r="EMM39" s="926"/>
      <c r="EMN39" s="926"/>
      <c r="EMO39" s="926"/>
      <c r="EMP39" s="926"/>
      <c r="EMQ39" s="926"/>
      <c r="EMR39" s="926"/>
      <c r="EMS39" s="926"/>
      <c r="EMT39" s="926"/>
      <c r="EMU39" s="926"/>
      <c r="EMV39" s="926"/>
      <c r="EMW39" s="926"/>
      <c r="EMX39" s="926"/>
      <c r="EMY39" s="926"/>
      <c r="EMZ39" s="926"/>
      <c r="ENA39" s="926"/>
      <c r="ENB39" s="926"/>
      <c r="ENC39" s="926"/>
      <c r="END39" s="926"/>
      <c r="ENE39" s="926"/>
      <c r="ENF39" s="926"/>
      <c r="ENG39" s="926"/>
      <c r="ENH39" s="926"/>
      <c r="ENI39" s="926"/>
      <c r="ENJ39" s="926"/>
      <c r="ENK39" s="926"/>
      <c r="ENL39" s="926"/>
      <c r="ENM39" s="926"/>
      <c r="ENN39" s="926"/>
      <c r="ENO39" s="926"/>
      <c r="ENP39" s="926"/>
      <c r="ENQ39" s="926"/>
      <c r="ENR39" s="926"/>
      <c r="ENS39" s="926"/>
      <c r="ENT39" s="926"/>
      <c r="ENU39" s="926"/>
      <c r="ENV39" s="926"/>
      <c r="ENW39" s="926"/>
      <c r="ENX39" s="926"/>
      <c r="ENY39" s="926"/>
      <c r="ENZ39" s="926"/>
      <c r="EOA39" s="926"/>
      <c r="EOB39" s="926"/>
      <c r="EOC39" s="926"/>
      <c r="EOD39" s="926"/>
      <c r="EOE39" s="926"/>
      <c r="EOF39" s="926"/>
      <c r="EOG39" s="926"/>
      <c r="EOH39" s="926"/>
      <c r="EOI39" s="926"/>
      <c r="EOJ39" s="926"/>
      <c r="EOK39" s="926"/>
      <c r="EOL39" s="926"/>
      <c r="EOM39" s="926"/>
      <c r="EON39" s="926"/>
      <c r="EOO39" s="926"/>
      <c r="EOP39" s="926"/>
      <c r="EOQ39" s="926"/>
      <c r="EOR39" s="926"/>
      <c r="EOS39" s="926"/>
      <c r="EOT39" s="926"/>
      <c r="EOU39" s="926"/>
      <c r="EOV39" s="926"/>
      <c r="EOW39" s="926"/>
      <c r="EOX39" s="926"/>
      <c r="EOY39" s="926"/>
      <c r="EOZ39" s="926"/>
      <c r="EPA39" s="926"/>
      <c r="EPB39" s="926"/>
      <c r="EPC39" s="926"/>
      <c r="EPD39" s="926"/>
      <c r="EPE39" s="926"/>
      <c r="EPF39" s="926"/>
      <c r="EPG39" s="926"/>
      <c r="EPH39" s="926"/>
      <c r="EPI39" s="926"/>
      <c r="EPJ39" s="926"/>
      <c r="EPK39" s="926"/>
      <c r="EPL39" s="926"/>
      <c r="EPM39" s="926"/>
      <c r="EPN39" s="926"/>
      <c r="EPO39" s="926"/>
      <c r="EPP39" s="926"/>
      <c r="EPQ39" s="926"/>
      <c r="EPR39" s="926"/>
      <c r="EPS39" s="926"/>
      <c r="EPT39" s="926"/>
      <c r="EPU39" s="926"/>
      <c r="EPV39" s="926"/>
      <c r="EPW39" s="926"/>
      <c r="EPX39" s="926"/>
      <c r="EPY39" s="926"/>
      <c r="EPZ39" s="926"/>
      <c r="EQA39" s="926"/>
      <c r="EQB39" s="926"/>
      <c r="EQC39" s="926"/>
      <c r="EQD39" s="926"/>
      <c r="EQE39" s="926"/>
      <c r="EQF39" s="926"/>
      <c r="EQG39" s="926"/>
      <c r="EQH39" s="926"/>
      <c r="EQI39" s="926"/>
      <c r="EQJ39" s="926"/>
      <c r="EQK39" s="926"/>
      <c r="EQL39" s="926"/>
      <c r="EQM39" s="926"/>
      <c r="EQN39" s="926"/>
      <c r="EQO39" s="926"/>
      <c r="EQP39" s="926"/>
      <c r="EQQ39" s="926"/>
      <c r="EQR39" s="926"/>
      <c r="EQS39" s="926"/>
      <c r="EQT39" s="926"/>
      <c r="EQU39" s="926"/>
      <c r="EQV39" s="926"/>
      <c r="EQW39" s="926"/>
      <c r="EQX39" s="926"/>
      <c r="EQY39" s="926"/>
      <c r="EQZ39" s="926"/>
      <c r="ERA39" s="926"/>
      <c r="ERB39" s="926"/>
      <c r="ERC39" s="926"/>
      <c r="ERD39" s="926"/>
      <c r="ERE39" s="926"/>
      <c r="ERF39" s="926"/>
      <c r="ERG39" s="926"/>
      <c r="ERH39" s="926"/>
      <c r="ERI39" s="926"/>
      <c r="ERJ39" s="926"/>
      <c r="ERK39" s="926"/>
      <c r="ERL39" s="926"/>
      <c r="ERM39" s="926"/>
      <c r="ERN39" s="926"/>
      <c r="ERO39" s="926"/>
      <c r="ERP39" s="926"/>
      <c r="ERQ39" s="926"/>
      <c r="ERR39" s="926"/>
      <c r="ERS39" s="926"/>
      <c r="ERT39" s="926"/>
      <c r="ERU39" s="926"/>
      <c r="ERV39" s="926"/>
      <c r="ERW39" s="926"/>
      <c r="ERX39" s="926"/>
      <c r="ERY39" s="926"/>
      <c r="ERZ39" s="926"/>
      <c r="ESA39" s="926"/>
      <c r="ESB39" s="926"/>
      <c r="ESC39" s="926"/>
      <c r="ESD39" s="926"/>
      <c r="ESE39" s="926"/>
      <c r="ESF39" s="926"/>
      <c r="ESG39" s="926"/>
      <c r="ESH39" s="926"/>
      <c r="ESI39" s="926"/>
      <c r="ESJ39" s="926"/>
      <c r="ESK39" s="926"/>
      <c r="ESL39" s="926"/>
      <c r="ESM39" s="926"/>
      <c r="ESN39" s="926"/>
      <c r="ESO39" s="926"/>
      <c r="ESP39" s="926"/>
      <c r="ESQ39" s="926"/>
      <c r="ESR39" s="926"/>
      <c r="ESS39" s="926"/>
      <c r="EST39" s="926"/>
      <c r="ESU39" s="926"/>
      <c r="ESV39" s="926"/>
      <c r="ESW39" s="926"/>
      <c r="ESX39" s="926"/>
      <c r="ESY39" s="926"/>
      <c r="ESZ39" s="926"/>
      <c r="ETA39" s="926"/>
      <c r="ETB39" s="926"/>
      <c r="ETC39" s="926"/>
      <c r="ETD39" s="926"/>
      <c r="ETE39" s="926"/>
      <c r="ETF39" s="926"/>
      <c r="ETG39" s="926"/>
      <c r="ETH39" s="926"/>
      <c r="ETI39" s="926"/>
      <c r="ETJ39" s="926"/>
      <c r="ETK39" s="926"/>
      <c r="ETL39" s="926"/>
      <c r="ETM39" s="926"/>
      <c r="ETN39" s="926"/>
      <c r="ETO39" s="926"/>
      <c r="ETP39" s="926"/>
      <c r="ETQ39" s="926"/>
      <c r="ETR39" s="926"/>
      <c r="ETS39" s="926"/>
      <c r="ETT39" s="926"/>
      <c r="ETU39" s="926"/>
      <c r="ETV39" s="926"/>
      <c r="ETW39" s="926"/>
      <c r="ETX39" s="926"/>
      <c r="ETY39" s="926"/>
      <c r="ETZ39" s="926"/>
      <c r="EUA39" s="926"/>
      <c r="EUB39" s="926"/>
      <c r="EUC39" s="926"/>
      <c r="EUD39" s="926"/>
      <c r="EUE39" s="926"/>
      <c r="EUF39" s="926"/>
      <c r="EUG39" s="926"/>
      <c r="EUH39" s="926"/>
      <c r="EUI39" s="926"/>
      <c r="EUJ39" s="926"/>
      <c r="EUK39" s="926"/>
      <c r="EUL39" s="926"/>
      <c r="EUM39" s="926"/>
      <c r="EUN39" s="926"/>
      <c r="EUO39" s="926"/>
      <c r="EUP39" s="926"/>
      <c r="EUQ39" s="926"/>
      <c r="EUR39" s="926"/>
      <c r="EUS39" s="926"/>
      <c r="EUT39" s="926"/>
      <c r="EUU39" s="926"/>
      <c r="EUV39" s="926"/>
      <c r="EUW39" s="926"/>
      <c r="EUX39" s="926"/>
      <c r="EUY39" s="926"/>
      <c r="EUZ39" s="926"/>
      <c r="EVA39" s="926"/>
      <c r="EVB39" s="926"/>
      <c r="EVC39" s="926"/>
      <c r="EVD39" s="926"/>
      <c r="EVE39" s="926"/>
      <c r="EVF39" s="926"/>
      <c r="EVG39" s="926"/>
      <c r="EVH39" s="926"/>
      <c r="EVI39" s="926"/>
      <c r="EVJ39" s="926"/>
      <c r="EVK39" s="926"/>
      <c r="EVL39" s="926"/>
      <c r="EVM39" s="926"/>
      <c r="EVN39" s="926"/>
      <c r="EVO39" s="926"/>
      <c r="EVP39" s="926"/>
      <c r="EVQ39" s="926"/>
      <c r="EVR39" s="926"/>
      <c r="EVS39" s="926"/>
      <c r="EVT39" s="926"/>
      <c r="EVU39" s="926"/>
      <c r="EVV39" s="926"/>
      <c r="EVW39" s="926"/>
      <c r="EVX39" s="926"/>
      <c r="EVY39" s="926"/>
      <c r="EVZ39" s="926"/>
      <c r="EWA39" s="926"/>
      <c r="EWB39" s="926"/>
      <c r="EWC39" s="926"/>
      <c r="EWD39" s="926"/>
      <c r="EWE39" s="926"/>
      <c r="EWF39" s="926"/>
      <c r="EWG39" s="926"/>
      <c r="EWH39" s="926"/>
      <c r="EWI39" s="926"/>
      <c r="EWJ39" s="926"/>
      <c r="EWK39" s="926"/>
      <c r="EWL39" s="926"/>
      <c r="EWM39" s="926"/>
      <c r="EWN39" s="926"/>
      <c r="EWO39" s="926"/>
      <c r="EWP39" s="926"/>
      <c r="EWQ39" s="926"/>
      <c r="EWR39" s="926"/>
      <c r="EWS39" s="926"/>
      <c r="EWT39" s="926"/>
      <c r="EWU39" s="926"/>
      <c r="EWV39" s="926"/>
      <c r="EWW39" s="926"/>
      <c r="EWX39" s="926"/>
      <c r="EWY39" s="926"/>
      <c r="EWZ39" s="926"/>
      <c r="EXA39" s="926"/>
      <c r="EXB39" s="926"/>
      <c r="EXC39" s="926"/>
      <c r="EXD39" s="926"/>
      <c r="EXE39" s="926"/>
      <c r="EXF39" s="926"/>
      <c r="EXG39" s="926"/>
      <c r="EXH39" s="926"/>
      <c r="EXI39" s="926"/>
      <c r="EXJ39" s="926"/>
      <c r="EXK39" s="926"/>
      <c r="EXL39" s="926"/>
      <c r="EXM39" s="926"/>
      <c r="EXN39" s="926"/>
      <c r="EXO39" s="926"/>
      <c r="EXP39" s="926"/>
      <c r="EXQ39" s="926"/>
      <c r="EXR39" s="926"/>
      <c r="EXS39" s="926"/>
      <c r="EXT39" s="926"/>
      <c r="EXU39" s="926"/>
      <c r="EXV39" s="926"/>
      <c r="EXW39" s="926"/>
      <c r="EXX39" s="926"/>
      <c r="EXY39" s="926"/>
      <c r="EXZ39" s="926"/>
      <c r="EYA39" s="926"/>
      <c r="EYB39" s="926"/>
      <c r="EYC39" s="926"/>
      <c r="EYD39" s="926"/>
      <c r="EYE39" s="926"/>
      <c r="EYF39" s="926"/>
      <c r="EYG39" s="926"/>
      <c r="EYH39" s="926"/>
      <c r="EYI39" s="926"/>
      <c r="EYJ39" s="926"/>
      <c r="EYK39" s="926"/>
      <c r="EYL39" s="926"/>
      <c r="EYM39" s="926"/>
      <c r="EYN39" s="926"/>
      <c r="EYO39" s="926"/>
      <c r="EYP39" s="926"/>
      <c r="EYQ39" s="926"/>
      <c r="EYR39" s="926"/>
      <c r="EYS39" s="926"/>
      <c r="EYT39" s="926"/>
      <c r="EYU39" s="926"/>
      <c r="EYV39" s="926"/>
      <c r="EYW39" s="926"/>
      <c r="EYX39" s="926"/>
      <c r="EYY39" s="926"/>
      <c r="EYZ39" s="926"/>
      <c r="EZA39" s="926"/>
      <c r="EZB39" s="926"/>
      <c r="EZC39" s="926"/>
      <c r="EZD39" s="926"/>
      <c r="EZE39" s="926"/>
      <c r="EZF39" s="926"/>
      <c r="EZG39" s="926"/>
      <c r="EZH39" s="926"/>
      <c r="EZI39" s="926"/>
      <c r="EZJ39" s="926"/>
      <c r="EZK39" s="926"/>
      <c r="EZL39" s="926"/>
      <c r="EZM39" s="926"/>
      <c r="EZN39" s="926"/>
      <c r="EZO39" s="926"/>
      <c r="EZP39" s="926"/>
      <c r="EZQ39" s="926"/>
      <c r="EZR39" s="926"/>
      <c r="EZS39" s="926"/>
      <c r="EZT39" s="926"/>
      <c r="EZU39" s="926"/>
      <c r="EZV39" s="926"/>
      <c r="EZW39" s="926"/>
      <c r="EZX39" s="926"/>
      <c r="EZY39" s="926"/>
      <c r="EZZ39" s="926"/>
      <c r="FAA39" s="926"/>
      <c r="FAB39" s="926"/>
      <c r="FAC39" s="926"/>
      <c r="FAD39" s="926"/>
      <c r="FAE39" s="926"/>
      <c r="FAF39" s="926"/>
      <c r="FAG39" s="926"/>
      <c r="FAH39" s="926"/>
      <c r="FAI39" s="926"/>
      <c r="FAJ39" s="926"/>
      <c r="FAK39" s="926"/>
      <c r="FAL39" s="926"/>
      <c r="FAM39" s="926"/>
      <c r="FAN39" s="926"/>
      <c r="FAO39" s="926"/>
      <c r="FAP39" s="926"/>
      <c r="FAQ39" s="926"/>
      <c r="FAR39" s="926"/>
      <c r="FAS39" s="926"/>
      <c r="FAT39" s="926"/>
      <c r="FAU39" s="926"/>
      <c r="FAV39" s="926"/>
      <c r="FAW39" s="926"/>
      <c r="FAX39" s="926"/>
      <c r="FAY39" s="926"/>
      <c r="FAZ39" s="926"/>
      <c r="FBA39" s="926"/>
      <c r="FBB39" s="926"/>
      <c r="FBC39" s="926"/>
      <c r="FBD39" s="926"/>
      <c r="FBE39" s="926"/>
      <c r="FBF39" s="926"/>
      <c r="FBG39" s="926"/>
      <c r="FBH39" s="926"/>
      <c r="FBI39" s="926"/>
      <c r="FBJ39" s="926"/>
      <c r="FBK39" s="926"/>
      <c r="FBL39" s="926"/>
      <c r="FBM39" s="926"/>
      <c r="FBN39" s="926"/>
      <c r="FBO39" s="926"/>
      <c r="FBP39" s="926"/>
      <c r="FBQ39" s="926"/>
      <c r="FBR39" s="926"/>
      <c r="FBS39" s="926"/>
      <c r="FBT39" s="926"/>
      <c r="FBU39" s="926"/>
      <c r="FBV39" s="926"/>
      <c r="FBW39" s="926"/>
      <c r="FBX39" s="926"/>
      <c r="FBY39" s="926"/>
      <c r="FBZ39" s="926"/>
      <c r="FCA39" s="926"/>
      <c r="FCB39" s="926"/>
      <c r="FCC39" s="926"/>
      <c r="FCD39" s="926"/>
      <c r="FCE39" s="926"/>
      <c r="FCF39" s="926"/>
      <c r="FCG39" s="926"/>
      <c r="FCH39" s="926"/>
      <c r="FCI39" s="926"/>
      <c r="FCJ39" s="926"/>
      <c r="FCK39" s="926"/>
      <c r="FCL39" s="926"/>
      <c r="FCM39" s="926"/>
      <c r="FCN39" s="926"/>
      <c r="FCO39" s="926"/>
      <c r="FCP39" s="926"/>
      <c r="FCQ39" s="926"/>
      <c r="FCR39" s="926"/>
      <c r="FCS39" s="926"/>
      <c r="FCT39" s="926"/>
      <c r="FCU39" s="926"/>
      <c r="FCV39" s="926"/>
      <c r="FCW39" s="926"/>
      <c r="FCX39" s="926"/>
      <c r="FCY39" s="926"/>
      <c r="FCZ39" s="926"/>
      <c r="FDA39" s="926"/>
      <c r="FDB39" s="926"/>
      <c r="FDC39" s="926"/>
      <c r="FDD39" s="926"/>
      <c r="FDE39" s="926"/>
      <c r="FDF39" s="926"/>
      <c r="FDG39" s="926"/>
      <c r="FDH39" s="926"/>
      <c r="FDI39" s="926"/>
      <c r="FDJ39" s="926"/>
      <c r="FDK39" s="926"/>
      <c r="FDL39" s="926"/>
      <c r="FDM39" s="926"/>
      <c r="FDN39" s="926"/>
      <c r="FDO39" s="926"/>
      <c r="FDP39" s="926"/>
      <c r="FDQ39" s="926"/>
      <c r="FDR39" s="926"/>
      <c r="FDS39" s="926"/>
      <c r="FDT39" s="926"/>
      <c r="FDU39" s="926"/>
      <c r="FDV39" s="926"/>
      <c r="FDW39" s="926"/>
      <c r="FDX39" s="926"/>
      <c r="FDY39" s="926"/>
      <c r="FDZ39" s="926"/>
      <c r="FEA39" s="926"/>
      <c r="FEB39" s="926"/>
      <c r="FEC39" s="926"/>
      <c r="FED39" s="926"/>
      <c r="FEE39" s="926"/>
      <c r="FEF39" s="926"/>
      <c r="FEG39" s="926"/>
      <c r="FEH39" s="926"/>
      <c r="FEI39" s="926"/>
      <c r="FEJ39" s="926"/>
      <c r="FEK39" s="926"/>
      <c r="FEL39" s="926"/>
      <c r="FEM39" s="926"/>
      <c r="FEN39" s="926"/>
      <c r="FEO39" s="926"/>
      <c r="FEP39" s="926"/>
      <c r="FEQ39" s="926"/>
      <c r="FER39" s="926"/>
      <c r="FES39" s="926"/>
      <c r="FET39" s="926"/>
      <c r="FEU39" s="926"/>
      <c r="FEV39" s="926"/>
      <c r="FEW39" s="926"/>
      <c r="FEX39" s="926"/>
      <c r="FEY39" s="926"/>
      <c r="FEZ39" s="926"/>
      <c r="FFA39" s="926"/>
      <c r="FFB39" s="926"/>
      <c r="FFC39" s="926"/>
      <c r="FFD39" s="926"/>
      <c r="FFE39" s="926"/>
      <c r="FFF39" s="926"/>
      <c r="FFG39" s="926"/>
      <c r="FFH39" s="926"/>
      <c r="FFI39" s="926"/>
      <c r="FFJ39" s="926"/>
      <c r="FFK39" s="926"/>
      <c r="FFL39" s="926"/>
      <c r="FFM39" s="926"/>
      <c r="FFN39" s="926"/>
      <c r="FFO39" s="926"/>
      <c r="FFP39" s="926"/>
      <c r="FFQ39" s="926"/>
      <c r="FFR39" s="926"/>
      <c r="FFS39" s="926"/>
      <c r="FFT39" s="926"/>
      <c r="FFU39" s="926"/>
      <c r="FFV39" s="926"/>
      <c r="FFW39" s="926"/>
      <c r="FFX39" s="926"/>
      <c r="FFY39" s="926"/>
      <c r="FFZ39" s="926"/>
      <c r="FGA39" s="926"/>
      <c r="FGB39" s="926"/>
      <c r="FGC39" s="926"/>
      <c r="FGD39" s="926"/>
      <c r="FGE39" s="926"/>
      <c r="FGF39" s="926"/>
      <c r="FGG39" s="926"/>
      <c r="FGH39" s="926"/>
      <c r="FGI39" s="926"/>
      <c r="FGJ39" s="926"/>
      <c r="FGK39" s="926"/>
      <c r="FGL39" s="926"/>
      <c r="FGM39" s="926"/>
      <c r="FGN39" s="926"/>
      <c r="FGO39" s="926"/>
      <c r="FGP39" s="926"/>
      <c r="FGQ39" s="926"/>
      <c r="FGR39" s="926"/>
      <c r="FGS39" s="926"/>
      <c r="FGT39" s="926"/>
      <c r="FGU39" s="926"/>
      <c r="FGV39" s="926"/>
      <c r="FGW39" s="926"/>
      <c r="FGX39" s="926"/>
      <c r="FGY39" s="926"/>
      <c r="FGZ39" s="926"/>
      <c r="FHA39" s="926"/>
      <c r="FHB39" s="926"/>
      <c r="FHC39" s="926"/>
      <c r="FHD39" s="926"/>
      <c r="FHE39" s="926"/>
      <c r="FHF39" s="926"/>
      <c r="FHG39" s="926"/>
      <c r="FHH39" s="926"/>
      <c r="FHI39" s="926"/>
      <c r="FHJ39" s="926"/>
      <c r="FHK39" s="926"/>
      <c r="FHL39" s="926"/>
      <c r="FHM39" s="926"/>
      <c r="FHN39" s="926"/>
      <c r="FHO39" s="926"/>
      <c r="FHP39" s="926"/>
      <c r="FHQ39" s="926"/>
      <c r="FHR39" s="926"/>
      <c r="FHS39" s="926"/>
      <c r="FHT39" s="926"/>
      <c r="FHU39" s="926"/>
      <c r="FHV39" s="926"/>
      <c r="FHW39" s="926"/>
      <c r="FHX39" s="926"/>
      <c r="FHY39" s="926"/>
      <c r="FHZ39" s="926"/>
      <c r="FIA39" s="926"/>
      <c r="FIB39" s="926"/>
      <c r="FIC39" s="926"/>
      <c r="FID39" s="926"/>
      <c r="FIE39" s="926"/>
      <c r="FIF39" s="926"/>
      <c r="FIG39" s="926"/>
      <c r="FIH39" s="926"/>
      <c r="FII39" s="926"/>
      <c r="FIJ39" s="926"/>
      <c r="FIK39" s="926"/>
      <c r="FIL39" s="926"/>
      <c r="FIM39" s="926"/>
      <c r="FIN39" s="926"/>
      <c r="FIO39" s="926"/>
      <c r="FIP39" s="926"/>
      <c r="FIQ39" s="926"/>
      <c r="FIR39" s="926"/>
      <c r="FIS39" s="926"/>
      <c r="FIT39" s="926"/>
      <c r="FIU39" s="926"/>
      <c r="FIV39" s="926"/>
      <c r="FIW39" s="926"/>
      <c r="FIX39" s="926"/>
      <c r="FIY39" s="926"/>
      <c r="FIZ39" s="926"/>
      <c r="FJA39" s="926"/>
      <c r="FJB39" s="926"/>
      <c r="FJC39" s="926"/>
      <c r="FJD39" s="926"/>
      <c r="FJE39" s="926"/>
      <c r="FJF39" s="926"/>
      <c r="FJG39" s="926"/>
      <c r="FJH39" s="926"/>
      <c r="FJI39" s="926"/>
      <c r="FJJ39" s="926"/>
      <c r="FJK39" s="926"/>
      <c r="FJL39" s="926"/>
      <c r="FJM39" s="926"/>
      <c r="FJN39" s="926"/>
      <c r="FJO39" s="926"/>
      <c r="FJP39" s="926"/>
      <c r="FJQ39" s="926"/>
      <c r="FJR39" s="926"/>
      <c r="FJS39" s="926"/>
      <c r="FJT39" s="926"/>
      <c r="FJU39" s="926"/>
      <c r="FJV39" s="926"/>
      <c r="FJW39" s="926"/>
      <c r="FJX39" s="926"/>
      <c r="FJY39" s="926"/>
      <c r="FJZ39" s="926"/>
      <c r="FKA39" s="926"/>
      <c r="FKB39" s="926"/>
      <c r="FKC39" s="926"/>
      <c r="FKD39" s="926"/>
      <c r="FKE39" s="926"/>
      <c r="FKF39" s="926"/>
      <c r="FKG39" s="926"/>
      <c r="FKH39" s="926"/>
      <c r="FKI39" s="926"/>
      <c r="FKJ39" s="926"/>
      <c r="FKK39" s="926"/>
      <c r="FKL39" s="926"/>
      <c r="FKM39" s="926"/>
      <c r="FKN39" s="926"/>
      <c r="FKO39" s="926"/>
      <c r="FKP39" s="926"/>
      <c r="FKQ39" s="926"/>
      <c r="FKR39" s="926"/>
      <c r="FKS39" s="926"/>
      <c r="FKT39" s="926"/>
      <c r="FKU39" s="926"/>
      <c r="FKV39" s="926"/>
      <c r="FKW39" s="926"/>
      <c r="FKX39" s="926"/>
      <c r="FKY39" s="926"/>
      <c r="FKZ39" s="926"/>
      <c r="FLA39" s="926"/>
      <c r="FLB39" s="926"/>
      <c r="FLC39" s="926"/>
      <c r="FLD39" s="926"/>
      <c r="FLE39" s="926"/>
      <c r="FLF39" s="926"/>
      <c r="FLG39" s="926"/>
      <c r="FLH39" s="926"/>
      <c r="FLI39" s="926"/>
      <c r="FLJ39" s="926"/>
      <c r="FLK39" s="926"/>
      <c r="FLL39" s="926"/>
      <c r="FLM39" s="926"/>
      <c r="FLN39" s="926"/>
      <c r="FLO39" s="926"/>
      <c r="FLP39" s="926"/>
      <c r="FLQ39" s="926"/>
      <c r="FLR39" s="926"/>
      <c r="FLS39" s="926"/>
      <c r="FLT39" s="926"/>
      <c r="FLU39" s="926"/>
      <c r="FLV39" s="926"/>
      <c r="FLW39" s="926"/>
      <c r="FLX39" s="926"/>
      <c r="FLY39" s="926"/>
      <c r="FLZ39" s="926"/>
      <c r="FMA39" s="926"/>
      <c r="FMB39" s="926"/>
      <c r="FMC39" s="926"/>
      <c r="FMD39" s="926"/>
      <c r="FME39" s="926"/>
      <c r="FMF39" s="926"/>
      <c r="FMG39" s="926"/>
      <c r="FMH39" s="926"/>
      <c r="FMI39" s="926"/>
      <c r="FMJ39" s="926"/>
      <c r="FMK39" s="926"/>
      <c r="FML39" s="926"/>
      <c r="FMM39" s="926"/>
      <c r="FMN39" s="926"/>
      <c r="FMO39" s="926"/>
      <c r="FMP39" s="926"/>
      <c r="FMQ39" s="926"/>
      <c r="FMR39" s="926"/>
      <c r="FMS39" s="926"/>
      <c r="FMT39" s="926"/>
      <c r="FMU39" s="926"/>
      <c r="FMV39" s="926"/>
      <c r="FMW39" s="926"/>
      <c r="FMX39" s="926"/>
      <c r="FMY39" s="926"/>
      <c r="FMZ39" s="926"/>
      <c r="FNA39" s="926"/>
      <c r="FNB39" s="926"/>
      <c r="FNC39" s="926"/>
      <c r="FND39" s="926"/>
      <c r="FNE39" s="926"/>
      <c r="FNF39" s="926"/>
      <c r="FNG39" s="926"/>
      <c r="FNH39" s="926"/>
      <c r="FNI39" s="926"/>
      <c r="FNJ39" s="926"/>
      <c r="FNK39" s="926"/>
      <c r="FNL39" s="926"/>
      <c r="FNM39" s="926"/>
      <c r="FNN39" s="926"/>
      <c r="FNO39" s="926"/>
      <c r="FNP39" s="926"/>
      <c r="FNQ39" s="926"/>
      <c r="FNR39" s="926"/>
      <c r="FNS39" s="926"/>
      <c r="FNT39" s="926"/>
      <c r="FNU39" s="926"/>
      <c r="FNV39" s="926"/>
      <c r="FNW39" s="926"/>
      <c r="FNX39" s="926"/>
      <c r="FNY39" s="926"/>
      <c r="FNZ39" s="926"/>
      <c r="FOA39" s="926"/>
      <c r="FOB39" s="926"/>
      <c r="FOC39" s="926"/>
      <c r="FOD39" s="926"/>
      <c r="FOE39" s="926"/>
      <c r="FOF39" s="926"/>
      <c r="FOG39" s="926"/>
      <c r="FOH39" s="926"/>
      <c r="FOI39" s="926"/>
      <c r="FOJ39" s="926"/>
      <c r="FOK39" s="926"/>
      <c r="FOL39" s="926"/>
      <c r="FOM39" s="926"/>
      <c r="FON39" s="926"/>
      <c r="FOO39" s="926"/>
      <c r="FOP39" s="926"/>
      <c r="FOQ39" s="926"/>
      <c r="FOR39" s="926"/>
      <c r="FOS39" s="926"/>
      <c r="FOT39" s="926"/>
      <c r="FOU39" s="926"/>
      <c r="FOV39" s="926"/>
      <c r="FOW39" s="926"/>
      <c r="FOX39" s="926"/>
      <c r="FOY39" s="926"/>
      <c r="FOZ39" s="926"/>
      <c r="FPA39" s="926"/>
      <c r="FPB39" s="926"/>
      <c r="FPC39" s="926"/>
      <c r="FPD39" s="926"/>
      <c r="FPE39" s="926"/>
      <c r="FPF39" s="926"/>
      <c r="FPG39" s="926"/>
      <c r="FPH39" s="926"/>
      <c r="FPI39" s="926"/>
      <c r="FPJ39" s="926"/>
      <c r="FPK39" s="926"/>
      <c r="FPL39" s="926"/>
      <c r="FPM39" s="926"/>
      <c r="FPN39" s="926"/>
      <c r="FPO39" s="926"/>
      <c r="FPP39" s="926"/>
      <c r="FPQ39" s="926"/>
      <c r="FPR39" s="926"/>
      <c r="FPS39" s="926"/>
      <c r="FPT39" s="926"/>
      <c r="FPU39" s="926"/>
      <c r="FPV39" s="926"/>
      <c r="FPW39" s="926"/>
      <c r="FPX39" s="926"/>
      <c r="FPY39" s="926"/>
      <c r="FPZ39" s="926"/>
      <c r="FQA39" s="926"/>
      <c r="FQB39" s="926"/>
      <c r="FQC39" s="926"/>
      <c r="FQD39" s="926"/>
      <c r="FQE39" s="926"/>
      <c r="FQF39" s="926"/>
      <c r="FQG39" s="926"/>
      <c r="FQH39" s="926"/>
      <c r="FQI39" s="926"/>
      <c r="FQJ39" s="926"/>
      <c r="FQK39" s="926"/>
      <c r="FQL39" s="926"/>
      <c r="FQM39" s="926"/>
      <c r="FQN39" s="926"/>
      <c r="FQO39" s="926"/>
      <c r="FQP39" s="926"/>
      <c r="FQQ39" s="926"/>
      <c r="FQR39" s="926"/>
      <c r="FQS39" s="926"/>
      <c r="FQT39" s="926"/>
      <c r="FQU39" s="926"/>
      <c r="FQV39" s="926"/>
      <c r="FQW39" s="926"/>
      <c r="FQX39" s="926"/>
      <c r="FQY39" s="926"/>
      <c r="FQZ39" s="926"/>
      <c r="FRA39" s="926"/>
      <c r="FRB39" s="926"/>
      <c r="FRC39" s="926"/>
      <c r="FRD39" s="926"/>
      <c r="FRE39" s="926"/>
      <c r="FRF39" s="926"/>
      <c r="FRG39" s="926"/>
      <c r="FRH39" s="926"/>
      <c r="FRI39" s="926"/>
      <c r="FRJ39" s="926"/>
      <c r="FRK39" s="926"/>
      <c r="FRL39" s="926"/>
      <c r="FRM39" s="926"/>
      <c r="FRN39" s="926"/>
      <c r="FRO39" s="926"/>
      <c r="FRP39" s="926"/>
      <c r="FRQ39" s="926"/>
      <c r="FRR39" s="926"/>
      <c r="FRS39" s="926"/>
      <c r="FRT39" s="926"/>
      <c r="FRU39" s="926"/>
      <c r="FRV39" s="926"/>
      <c r="FRW39" s="926"/>
      <c r="FRX39" s="926"/>
      <c r="FRY39" s="926"/>
      <c r="FRZ39" s="926"/>
      <c r="FSA39" s="926"/>
      <c r="FSB39" s="926"/>
      <c r="FSC39" s="926"/>
      <c r="FSD39" s="926"/>
      <c r="FSE39" s="926"/>
      <c r="FSF39" s="926"/>
      <c r="FSG39" s="926"/>
      <c r="FSH39" s="926"/>
      <c r="FSI39" s="926"/>
      <c r="FSJ39" s="926"/>
      <c r="FSK39" s="926"/>
      <c r="FSL39" s="926"/>
      <c r="FSM39" s="926"/>
      <c r="FSN39" s="926"/>
      <c r="FSO39" s="926"/>
      <c r="FSP39" s="926"/>
      <c r="FSQ39" s="926"/>
      <c r="FSR39" s="926"/>
      <c r="FSS39" s="926"/>
      <c r="FST39" s="926"/>
      <c r="FSU39" s="926"/>
      <c r="FSV39" s="926"/>
      <c r="FSW39" s="926"/>
      <c r="FSX39" s="926"/>
      <c r="FSY39" s="926"/>
      <c r="FSZ39" s="926"/>
      <c r="FTA39" s="926"/>
      <c r="FTB39" s="926"/>
      <c r="FTC39" s="926"/>
      <c r="FTD39" s="926"/>
      <c r="FTE39" s="926"/>
      <c r="FTF39" s="926"/>
      <c r="FTG39" s="926"/>
      <c r="FTH39" s="926"/>
      <c r="FTI39" s="926"/>
      <c r="FTJ39" s="926"/>
      <c r="FTK39" s="926"/>
      <c r="FTL39" s="926"/>
      <c r="FTM39" s="926"/>
      <c r="FTN39" s="926"/>
      <c r="FTO39" s="926"/>
      <c r="FTP39" s="926"/>
      <c r="FTQ39" s="926"/>
      <c r="FTR39" s="926"/>
      <c r="FTS39" s="926"/>
      <c r="FTT39" s="926"/>
      <c r="FTU39" s="926"/>
      <c r="FTV39" s="926"/>
      <c r="FTW39" s="926"/>
      <c r="FTX39" s="926"/>
      <c r="FTY39" s="926"/>
      <c r="FTZ39" s="926"/>
      <c r="FUA39" s="926"/>
      <c r="FUB39" s="926"/>
      <c r="FUC39" s="926"/>
      <c r="FUD39" s="926"/>
      <c r="FUE39" s="926"/>
      <c r="FUF39" s="926"/>
      <c r="FUG39" s="926"/>
      <c r="FUH39" s="926"/>
      <c r="FUI39" s="926"/>
      <c r="FUJ39" s="926"/>
      <c r="FUK39" s="926"/>
      <c r="FUL39" s="926"/>
      <c r="FUM39" s="926"/>
      <c r="FUN39" s="926"/>
      <c r="FUO39" s="926"/>
      <c r="FUP39" s="926"/>
      <c r="FUQ39" s="926"/>
      <c r="FUR39" s="926"/>
      <c r="FUS39" s="926"/>
      <c r="FUT39" s="926"/>
      <c r="FUU39" s="926"/>
      <c r="FUV39" s="926"/>
      <c r="FUW39" s="926"/>
      <c r="FUX39" s="926"/>
      <c r="FUY39" s="926"/>
      <c r="FUZ39" s="926"/>
      <c r="FVA39" s="926"/>
      <c r="FVB39" s="926"/>
      <c r="FVC39" s="926"/>
      <c r="FVD39" s="926"/>
      <c r="FVE39" s="926"/>
      <c r="FVF39" s="926"/>
      <c r="FVG39" s="926"/>
      <c r="FVH39" s="926"/>
      <c r="FVI39" s="926"/>
      <c r="FVJ39" s="926"/>
      <c r="FVK39" s="926"/>
      <c r="FVL39" s="926"/>
      <c r="FVM39" s="926"/>
      <c r="FVN39" s="926"/>
      <c r="FVO39" s="926"/>
      <c r="FVP39" s="926"/>
      <c r="FVQ39" s="926"/>
      <c r="FVR39" s="926"/>
      <c r="FVS39" s="926"/>
      <c r="FVT39" s="926"/>
      <c r="FVU39" s="926"/>
      <c r="FVV39" s="926"/>
      <c r="FVW39" s="926"/>
      <c r="FVX39" s="926"/>
      <c r="FVY39" s="926"/>
      <c r="FVZ39" s="926"/>
      <c r="FWA39" s="926"/>
      <c r="FWB39" s="926"/>
      <c r="FWC39" s="926"/>
      <c r="FWD39" s="926"/>
      <c r="FWE39" s="926"/>
      <c r="FWF39" s="926"/>
      <c r="FWG39" s="926"/>
      <c r="FWH39" s="926"/>
      <c r="FWI39" s="926"/>
      <c r="FWJ39" s="926"/>
      <c r="FWK39" s="926"/>
      <c r="FWL39" s="926"/>
      <c r="FWM39" s="926"/>
      <c r="FWN39" s="926"/>
      <c r="FWO39" s="926"/>
      <c r="FWP39" s="926"/>
      <c r="FWQ39" s="926"/>
      <c r="FWR39" s="926"/>
      <c r="FWS39" s="926"/>
      <c r="FWT39" s="926"/>
      <c r="FWU39" s="926"/>
      <c r="FWV39" s="926"/>
      <c r="FWW39" s="926"/>
      <c r="FWX39" s="926"/>
      <c r="FWY39" s="926"/>
      <c r="FWZ39" s="926"/>
      <c r="FXA39" s="926"/>
      <c r="FXB39" s="926"/>
      <c r="FXC39" s="926"/>
      <c r="FXD39" s="926"/>
      <c r="FXE39" s="926"/>
      <c r="FXF39" s="926"/>
      <c r="FXG39" s="926"/>
      <c r="FXH39" s="926"/>
      <c r="FXI39" s="926"/>
      <c r="FXJ39" s="926"/>
      <c r="FXK39" s="926"/>
      <c r="FXL39" s="926"/>
      <c r="FXM39" s="926"/>
      <c r="FXN39" s="926"/>
      <c r="FXO39" s="926"/>
      <c r="FXP39" s="926"/>
      <c r="FXQ39" s="926"/>
      <c r="FXR39" s="926"/>
      <c r="FXS39" s="926"/>
      <c r="FXT39" s="926"/>
      <c r="FXU39" s="926"/>
      <c r="FXV39" s="926"/>
      <c r="FXW39" s="926"/>
      <c r="FXX39" s="926"/>
      <c r="FXY39" s="926"/>
      <c r="FXZ39" s="926"/>
      <c r="FYA39" s="926"/>
      <c r="FYB39" s="926"/>
      <c r="FYC39" s="926"/>
      <c r="FYD39" s="926"/>
      <c r="FYE39" s="926"/>
      <c r="FYF39" s="926"/>
      <c r="FYG39" s="926"/>
      <c r="FYH39" s="926"/>
      <c r="FYI39" s="926"/>
      <c r="FYJ39" s="926"/>
      <c r="FYK39" s="926"/>
      <c r="FYL39" s="926"/>
      <c r="FYM39" s="926"/>
      <c r="FYN39" s="926"/>
      <c r="FYO39" s="926"/>
      <c r="FYP39" s="926"/>
      <c r="FYQ39" s="926"/>
      <c r="FYR39" s="926"/>
      <c r="FYS39" s="926"/>
      <c r="FYT39" s="926"/>
      <c r="FYU39" s="926"/>
      <c r="FYV39" s="926"/>
      <c r="FYW39" s="926"/>
      <c r="FYX39" s="926"/>
      <c r="FYY39" s="926"/>
      <c r="FYZ39" s="926"/>
      <c r="FZA39" s="926"/>
      <c r="FZB39" s="926"/>
      <c r="FZC39" s="926"/>
      <c r="FZD39" s="926"/>
      <c r="FZE39" s="926"/>
      <c r="FZF39" s="926"/>
      <c r="FZG39" s="926"/>
      <c r="FZH39" s="926"/>
      <c r="FZI39" s="926"/>
      <c r="FZJ39" s="926"/>
      <c r="FZK39" s="926"/>
      <c r="FZL39" s="926"/>
      <c r="FZM39" s="926"/>
      <c r="FZN39" s="926"/>
      <c r="FZO39" s="926"/>
      <c r="FZP39" s="926"/>
      <c r="FZQ39" s="926"/>
      <c r="FZR39" s="926"/>
      <c r="FZS39" s="926"/>
      <c r="FZT39" s="926"/>
      <c r="FZU39" s="926"/>
      <c r="FZV39" s="926"/>
      <c r="FZW39" s="926"/>
      <c r="FZX39" s="926"/>
      <c r="FZY39" s="926"/>
      <c r="FZZ39" s="926"/>
      <c r="GAA39" s="926"/>
      <c r="GAB39" s="926"/>
      <c r="GAC39" s="926"/>
      <c r="GAD39" s="926"/>
      <c r="GAE39" s="926"/>
      <c r="GAF39" s="926"/>
      <c r="GAG39" s="926"/>
      <c r="GAH39" s="926"/>
      <c r="GAI39" s="926"/>
      <c r="GAJ39" s="926"/>
      <c r="GAK39" s="926"/>
      <c r="GAL39" s="926"/>
      <c r="GAM39" s="926"/>
      <c r="GAN39" s="926"/>
      <c r="GAO39" s="926"/>
      <c r="GAP39" s="926"/>
      <c r="GAQ39" s="926"/>
      <c r="GAR39" s="926"/>
      <c r="GAS39" s="926"/>
      <c r="GAT39" s="926"/>
      <c r="GAU39" s="926"/>
      <c r="GAV39" s="926"/>
      <c r="GAW39" s="926"/>
      <c r="GAX39" s="926"/>
      <c r="GAY39" s="926"/>
      <c r="GAZ39" s="926"/>
      <c r="GBA39" s="926"/>
      <c r="GBB39" s="926"/>
      <c r="GBC39" s="926"/>
      <c r="GBD39" s="926"/>
      <c r="GBE39" s="926"/>
      <c r="GBF39" s="926"/>
      <c r="GBG39" s="926"/>
      <c r="GBH39" s="926"/>
      <c r="GBI39" s="926"/>
      <c r="GBJ39" s="926"/>
      <c r="GBK39" s="926"/>
      <c r="GBL39" s="926"/>
      <c r="GBM39" s="926"/>
      <c r="GBN39" s="926"/>
      <c r="GBO39" s="926"/>
      <c r="GBP39" s="926"/>
      <c r="GBQ39" s="926"/>
      <c r="GBR39" s="926"/>
      <c r="GBS39" s="926"/>
      <c r="GBT39" s="926"/>
      <c r="GBU39" s="926"/>
      <c r="GBV39" s="926"/>
      <c r="GBW39" s="926"/>
      <c r="GBX39" s="926"/>
      <c r="GBY39" s="926"/>
      <c r="GBZ39" s="926"/>
      <c r="GCA39" s="926"/>
      <c r="GCB39" s="926"/>
      <c r="GCC39" s="926"/>
      <c r="GCD39" s="926"/>
      <c r="GCE39" s="926"/>
      <c r="GCF39" s="926"/>
      <c r="GCG39" s="926"/>
      <c r="GCH39" s="926"/>
      <c r="GCI39" s="926"/>
      <c r="GCJ39" s="926"/>
      <c r="GCK39" s="926"/>
      <c r="GCL39" s="926"/>
      <c r="GCM39" s="926"/>
      <c r="GCN39" s="926"/>
      <c r="GCO39" s="926"/>
      <c r="GCP39" s="926"/>
      <c r="GCQ39" s="926"/>
      <c r="GCR39" s="926"/>
      <c r="GCS39" s="926"/>
      <c r="GCT39" s="926"/>
      <c r="GCU39" s="926"/>
      <c r="GCV39" s="926"/>
      <c r="GCW39" s="926"/>
      <c r="GCX39" s="926"/>
      <c r="GCY39" s="926"/>
      <c r="GCZ39" s="926"/>
      <c r="GDA39" s="926"/>
      <c r="GDB39" s="926"/>
      <c r="GDC39" s="926"/>
      <c r="GDD39" s="926"/>
      <c r="GDE39" s="926"/>
      <c r="GDF39" s="926"/>
      <c r="GDG39" s="926"/>
      <c r="GDH39" s="926"/>
      <c r="GDI39" s="926"/>
      <c r="GDJ39" s="926"/>
      <c r="GDK39" s="926"/>
      <c r="GDL39" s="926"/>
      <c r="GDM39" s="926"/>
      <c r="GDN39" s="926"/>
      <c r="GDO39" s="926"/>
      <c r="GDP39" s="926"/>
      <c r="GDQ39" s="926"/>
      <c r="GDR39" s="926"/>
      <c r="GDS39" s="926"/>
      <c r="GDT39" s="926"/>
      <c r="GDU39" s="926"/>
      <c r="GDV39" s="926"/>
      <c r="GDW39" s="926"/>
      <c r="GDX39" s="926"/>
      <c r="GDY39" s="926"/>
      <c r="GDZ39" s="926"/>
      <c r="GEA39" s="926"/>
      <c r="GEB39" s="926"/>
      <c r="GEC39" s="926"/>
      <c r="GED39" s="926"/>
      <c r="GEE39" s="926"/>
      <c r="GEF39" s="926"/>
      <c r="GEG39" s="926"/>
      <c r="GEH39" s="926"/>
      <c r="GEI39" s="926"/>
      <c r="GEJ39" s="926"/>
      <c r="GEK39" s="926"/>
      <c r="GEL39" s="926"/>
      <c r="GEM39" s="926"/>
      <c r="GEN39" s="926"/>
      <c r="GEO39" s="926"/>
      <c r="GEP39" s="926"/>
      <c r="GEQ39" s="926"/>
      <c r="GER39" s="926"/>
      <c r="GES39" s="926"/>
      <c r="GET39" s="926"/>
      <c r="GEU39" s="926"/>
      <c r="GEV39" s="926"/>
      <c r="GEW39" s="926"/>
      <c r="GEX39" s="926"/>
      <c r="GEY39" s="926"/>
      <c r="GEZ39" s="926"/>
      <c r="GFA39" s="926"/>
      <c r="GFB39" s="926"/>
      <c r="GFC39" s="926"/>
      <c r="GFD39" s="926"/>
      <c r="GFE39" s="926"/>
      <c r="GFF39" s="926"/>
      <c r="GFG39" s="926"/>
      <c r="GFH39" s="926"/>
      <c r="GFI39" s="926"/>
      <c r="GFJ39" s="926"/>
      <c r="GFK39" s="926"/>
      <c r="GFL39" s="926"/>
      <c r="GFM39" s="926"/>
      <c r="GFN39" s="926"/>
      <c r="GFO39" s="926"/>
      <c r="GFP39" s="926"/>
      <c r="GFQ39" s="926"/>
      <c r="GFR39" s="926"/>
      <c r="GFS39" s="926"/>
      <c r="GFT39" s="926"/>
      <c r="GFU39" s="926"/>
      <c r="GFV39" s="926"/>
      <c r="GFW39" s="926"/>
      <c r="GFX39" s="926"/>
      <c r="GFY39" s="926"/>
      <c r="GFZ39" s="926"/>
      <c r="GGA39" s="926"/>
      <c r="GGB39" s="926"/>
      <c r="GGC39" s="926"/>
      <c r="GGD39" s="926"/>
      <c r="GGE39" s="926"/>
      <c r="GGF39" s="926"/>
      <c r="GGG39" s="926"/>
      <c r="GGH39" s="926"/>
      <c r="GGI39" s="926"/>
      <c r="GGJ39" s="926"/>
      <c r="GGK39" s="926"/>
      <c r="GGL39" s="926"/>
      <c r="GGM39" s="926"/>
      <c r="GGN39" s="926"/>
      <c r="GGO39" s="926"/>
      <c r="GGP39" s="926"/>
      <c r="GGQ39" s="926"/>
      <c r="GGR39" s="926"/>
      <c r="GGS39" s="926"/>
      <c r="GGT39" s="926"/>
      <c r="GGU39" s="926"/>
      <c r="GGV39" s="926"/>
      <c r="GGW39" s="926"/>
      <c r="GGX39" s="926"/>
      <c r="GGY39" s="926"/>
      <c r="GGZ39" s="926"/>
      <c r="GHA39" s="926"/>
      <c r="GHB39" s="926"/>
      <c r="GHC39" s="926"/>
      <c r="GHD39" s="926"/>
      <c r="GHE39" s="926"/>
      <c r="GHF39" s="926"/>
      <c r="GHG39" s="926"/>
      <c r="GHH39" s="926"/>
      <c r="GHI39" s="926"/>
      <c r="GHJ39" s="926"/>
      <c r="GHK39" s="926"/>
      <c r="GHL39" s="926"/>
      <c r="GHM39" s="926"/>
      <c r="GHN39" s="926"/>
      <c r="GHO39" s="926"/>
      <c r="GHP39" s="926"/>
      <c r="GHQ39" s="926"/>
      <c r="GHR39" s="926"/>
      <c r="GHS39" s="926"/>
      <c r="GHT39" s="926"/>
      <c r="GHU39" s="926"/>
      <c r="GHV39" s="926"/>
      <c r="GHW39" s="926"/>
      <c r="GHX39" s="926"/>
      <c r="GHY39" s="926"/>
      <c r="GHZ39" s="926"/>
      <c r="GIA39" s="926"/>
      <c r="GIB39" s="926"/>
      <c r="GIC39" s="926"/>
      <c r="GID39" s="926"/>
      <c r="GIE39" s="926"/>
      <c r="GIF39" s="926"/>
      <c r="GIG39" s="926"/>
      <c r="GIH39" s="926"/>
      <c r="GII39" s="926"/>
      <c r="GIJ39" s="926"/>
      <c r="GIK39" s="926"/>
      <c r="GIL39" s="926"/>
      <c r="GIM39" s="926"/>
      <c r="GIN39" s="926"/>
      <c r="GIO39" s="926"/>
      <c r="GIP39" s="926"/>
      <c r="GIQ39" s="926"/>
      <c r="GIR39" s="926"/>
      <c r="GIS39" s="926"/>
      <c r="GIT39" s="926"/>
      <c r="GIU39" s="926"/>
      <c r="GIV39" s="926"/>
      <c r="GIW39" s="926"/>
      <c r="GIX39" s="926"/>
      <c r="GIY39" s="926"/>
      <c r="GIZ39" s="926"/>
      <c r="GJA39" s="926"/>
      <c r="GJB39" s="926"/>
      <c r="GJC39" s="926"/>
      <c r="GJD39" s="926"/>
      <c r="GJE39" s="926"/>
      <c r="GJF39" s="926"/>
      <c r="GJG39" s="926"/>
      <c r="GJH39" s="926"/>
      <c r="GJI39" s="926"/>
      <c r="GJJ39" s="926"/>
      <c r="GJK39" s="926"/>
      <c r="GJL39" s="926"/>
      <c r="GJM39" s="926"/>
      <c r="GJN39" s="926"/>
      <c r="GJO39" s="926"/>
      <c r="GJP39" s="926"/>
      <c r="GJQ39" s="926"/>
      <c r="GJR39" s="926"/>
      <c r="GJS39" s="926"/>
      <c r="GJT39" s="926"/>
      <c r="GJU39" s="926"/>
      <c r="GJV39" s="926"/>
      <c r="GJW39" s="926"/>
      <c r="GJX39" s="926"/>
      <c r="GJY39" s="926"/>
      <c r="GJZ39" s="926"/>
      <c r="GKA39" s="926"/>
      <c r="GKB39" s="926"/>
      <c r="GKC39" s="926"/>
      <c r="GKD39" s="926"/>
      <c r="GKE39" s="926"/>
      <c r="GKF39" s="926"/>
      <c r="GKG39" s="926"/>
      <c r="GKH39" s="926"/>
      <c r="GKI39" s="926"/>
      <c r="GKJ39" s="926"/>
      <c r="GKK39" s="926"/>
      <c r="GKL39" s="926"/>
      <c r="GKM39" s="926"/>
      <c r="GKN39" s="926"/>
      <c r="GKO39" s="926"/>
      <c r="GKP39" s="926"/>
      <c r="GKQ39" s="926"/>
      <c r="GKR39" s="926"/>
      <c r="GKS39" s="926"/>
      <c r="GKT39" s="926"/>
      <c r="GKU39" s="926"/>
      <c r="GKV39" s="926"/>
      <c r="GKW39" s="926"/>
      <c r="GKX39" s="926"/>
      <c r="GKY39" s="926"/>
      <c r="GKZ39" s="926"/>
      <c r="GLA39" s="926"/>
      <c r="GLB39" s="926"/>
      <c r="GLC39" s="926"/>
      <c r="GLD39" s="926"/>
      <c r="GLE39" s="926"/>
      <c r="GLF39" s="926"/>
      <c r="GLG39" s="926"/>
      <c r="GLH39" s="926"/>
      <c r="GLI39" s="926"/>
      <c r="GLJ39" s="926"/>
      <c r="GLK39" s="926"/>
      <c r="GLL39" s="926"/>
      <c r="GLM39" s="926"/>
      <c r="GLN39" s="926"/>
      <c r="GLO39" s="926"/>
      <c r="GLP39" s="926"/>
      <c r="GLQ39" s="926"/>
      <c r="GLR39" s="926"/>
      <c r="GLS39" s="926"/>
      <c r="GLT39" s="926"/>
      <c r="GLU39" s="926"/>
      <c r="GLV39" s="926"/>
      <c r="GLW39" s="926"/>
      <c r="GLX39" s="926"/>
      <c r="GLY39" s="926"/>
      <c r="GLZ39" s="926"/>
      <c r="GMA39" s="926"/>
      <c r="GMB39" s="926"/>
      <c r="GMC39" s="926"/>
      <c r="GMD39" s="926"/>
      <c r="GME39" s="926"/>
      <c r="GMF39" s="926"/>
      <c r="GMG39" s="926"/>
      <c r="GMH39" s="926"/>
      <c r="GMI39" s="926"/>
      <c r="GMJ39" s="926"/>
      <c r="GMK39" s="926"/>
      <c r="GML39" s="926"/>
      <c r="GMM39" s="926"/>
      <c r="GMN39" s="926"/>
      <c r="GMO39" s="926"/>
      <c r="GMP39" s="926"/>
      <c r="GMQ39" s="926"/>
      <c r="GMR39" s="926"/>
      <c r="GMS39" s="926"/>
      <c r="GMT39" s="926"/>
      <c r="GMU39" s="926"/>
      <c r="GMV39" s="926"/>
      <c r="GMW39" s="926"/>
      <c r="GMX39" s="926"/>
      <c r="GMY39" s="926"/>
      <c r="GMZ39" s="926"/>
      <c r="GNA39" s="926"/>
      <c r="GNB39" s="926"/>
      <c r="GNC39" s="926"/>
      <c r="GND39" s="926"/>
      <c r="GNE39" s="926"/>
      <c r="GNF39" s="926"/>
      <c r="GNG39" s="926"/>
      <c r="GNH39" s="926"/>
      <c r="GNI39" s="926"/>
      <c r="GNJ39" s="926"/>
      <c r="GNK39" s="926"/>
      <c r="GNL39" s="926"/>
      <c r="GNM39" s="926"/>
      <c r="GNN39" s="926"/>
      <c r="GNO39" s="926"/>
      <c r="GNP39" s="926"/>
      <c r="GNQ39" s="926"/>
      <c r="GNR39" s="926"/>
      <c r="GNS39" s="926"/>
      <c r="GNT39" s="926"/>
      <c r="GNU39" s="926"/>
      <c r="GNV39" s="926"/>
      <c r="GNW39" s="926"/>
      <c r="GNX39" s="926"/>
      <c r="GNY39" s="926"/>
      <c r="GNZ39" s="926"/>
      <c r="GOA39" s="926"/>
      <c r="GOB39" s="926"/>
      <c r="GOC39" s="926"/>
      <c r="GOD39" s="926"/>
      <c r="GOE39" s="926"/>
      <c r="GOF39" s="926"/>
      <c r="GOG39" s="926"/>
      <c r="GOH39" s="926"/>
      <c r="GOI39" s="926"/>
      <c r="GOJ39" s="926"/>
      <c r="GOK39" s="926"/>
      <c r="GOL39" s="926"/>
      <c r="GOM39" s="926"/>
      <c r="GON39" s="926"/>
      <c r="GOO39" s="926"/>
      <c r="GOP39" s="926"/>
      <c r="GOQ39" s="926"/>
      <c r="GOR39" s="926"/>
      <c r="GOS39" s="926"/>
      <c r="GOT39" s="926"/>
      <c r="GOU39" s="926"/>
      <c r="GOV39" s="926"/>
      <c r="GOW39" s="926"/>
      <c r="GOX39" s="926"/>
      <c r="GOY39" s="926"/>
      <c r="GOZ39" s="926"/>
      <c r="GPA39" s="926"/>
      <c r="GPB39" s="926"/>
      <c r="GPC39" s="926"/>
      <c r="GPD39" s="926"/>
      <c r="GPE39" s="926"/>
      <c r="GPF39" s="926"/>
      <c r="GPG39" s="926"/>
      <c r="GPH39" s="926"/>
      <c r="GPI39" s="926"/>
      <c r="GPJ39" s="926"/>
      <c r="GPK39" s="926"/>
      <c r="GPL39" s="926"/>
      <c r="GPM39" s="926"/>
      <c r="GPN39" s="926"/>
      <c r="GPO39" s="926"/>
      <c r="GPP39" s="926"/>
      <c r="GPQ39" s="926"/>
      <c r="GPR39" s="926"/>
      <c r="GPS39" s="926"/>
      <c r="GPT39" s="926"/>
      <c r="GPU39" s="926"/>
      <c r="GPV39" s="926"/>
      <c r="GPW39" s="926"/>
      <c r="GPX39" s="926"/>
      <c r="GPY39" s="926"/>
      <c r="GPZ39" s="926"/>
      <c r="GQA39" s="926"/>
      <c r="GQB39" s="926"/>
      <c r="GQC39" s="926"/>
      <c r="GQD39" s="926"/>
      <c r="GQE39" s="926"/>
      <c r="GQF39" s="926"/>
      <c r="GQG39" s="926"/>
      <c r="GQH39" s="926"/>
      <c r="GQI39" s="926"/>
      <c r="GQJ39" s="926"/>
      <c r="GQK39" s="926"/>
      <c r="GQL39" s="926"/>
      <c r="GQM39" s="926"/>
      <c r="GQN39" s="926"/>
      <c r="GQO39" s="926"/>
      <c r="GQP39" s="926"/>
      <c r="GQQ39" s="926"/>
      <c r="GQR39" s="926"/>
      <c r="GQS39" s="926"/>
      <c r="GQT39" s="926"/>
      <c r="GQU39" s="926"/>
      <c r="GQV39" s="926"/>
      <c r="GQW39" s="926"/>
      <c r="GQX39" s="926"/>
      <c r="GQY39" s="926"/>
      <c r="GQZ39" s="926"/>
      <c r="GRA39" s="926"/>
      <c r="GRB39" s="926"/>
      <c r="GRC39" s="926"/>
      <c r="GRD39" s="926"/>
      <c r="GRE39" s="926"/>
      <c r="GRF39" s="926"/>
      <c r="GRG39" s="926"/>
      <c r="GRH39" s="926"/>
      <c r="GRI39" s="926"/>
      <c r="GRJ39" s="926"/>
      <c r="GRK39" s="926"/>
      <c r="GRL39" s="926"/>
      <c r="GRM39" s="926"/>
      <c r="GRN39" s="926"/>
      <c r="GRO39" s="926"/>
      <c r="GRP39" s="926"/>
      <c r="GRQ39" s="926"/>
      <c r="GRR39" s="926"/>
      <c r="GRS39" s="926"/>
      <c r="GRT39" s="926"/>
      <c r="GRU39" s="926"/>
      <c r="GRV39" s="926"/>
      <c r="GRW39" s="926"/>
      <c r="GRX39" s="926"/>
      <c r="GRY39" s="926"/>
      <c r="GRZ39" s="926"/>
      <c r="GSA39" s="926"/>
      <c r="GSB39" s="926"/>
      <c r="GSC39" s="926"/>
      <c r="GSD39" s="926"/>
      <c r="GSE39" s="926"/>
      <c r="GSF39" s="926"/>
      <c r="GSG39" s="926"/>
      <c r="GSH39" s="926"/>
      <c r="GSI39" s="926"/>
      <c r="GSJ39" s="926"/>
      <c r="GSK39" s="926"/>
      <c r="GSL39" s="926"/>
      <c r="GSM39" s="926"/>
      <c r="GSN39" s="926"/>
      <c r="GSO39" s="926"/>
      <c r="GSP39" s="926"/>
      <c r="GSQ39" s="926"/>
      <c r="GSR39" s="926"/>
      <c r="GSS39" s="926"/>
      <c r="GST39" s="926"/>
      <c r="GSU39" s="926"/>
      <c r="GSV39" s="926"/>
      <c r="GSW39" s="926"/>
      <c r="GSX39" s="926"/>
      <c r="GSY39" s="926"/>
      <c r="GSZ39" s="926"/>
      <c r="GTA39" s="926"/>
      <c r="GTB39" s="926"/>
      <c r="GTC39" s="926"/>
      <c r="GTD39" s="926"/>
      <c r="GTE39" s="926"/>
      <c r="GTF39" s="926"/>
      <c r="GTG39" s="926"/>
      <c r="GTH39" s="926"/>
      <c r="GTI39" s="926"/>
      <c r="GTJ39" s="926"/>
      <c r="GTK39" s="926"/>
      <c r="GTL39" s="926"/>
      <c r="GTM39" s="926"/>
      <c r="GTN39" s="926"/>
      <c r="GTO39" s="926"/>
      <c r="GTP39" s="926"/>
      <c r="GTQ39" s="926"/>
      <c r="GTR39" s="926"/>
      <c r="GTS39" s="926"/>
      <c r="GTT39" s="926"/>
      <c r="GTU39" s="926"/>
      <c r="GTV39" s="926"/>
      <c r="GTW39" s="926"/>
      <c r="GTX39" s="926"/>
      <c r="GTY39" s="926"/>
      <c r="GTZ39" s="926"/>
      <c r="GUA39" s="926"/>
      <c r="GUB39" s="926"/>
      <c r="GUC39" s="926"/>
      <c r="GUD39" s="926"/>
      <c r="GUE39" s="926"/>
      <c r="GUF39" s="926"/>
      <c r="GUG39" s="926"/>
      <c r="GUH39" s="926"/>
      <c r="GUI39" s="926"/>
      <c r="GUJ39" s="926"/>
      <c r="GUK39" s="926"/>
      <c r="GUL39" s="926"/>
      <c r="GUM39" s="926"/>
      <c r="GUN39" s="926"/>
      <c r="GUO39" s="926"/>
      <c r="GUP39" s="926"/>
      <c r="GUQ39" s="926"/>
      <c r="GUR39" s="926"/>
      <c r="GUS39" s="926"/>
      <c r="GUT39" s="926"/>
      <c r="GUU39" s="926"/>
      <c r="GUV39" s="926"/>
      <c r="GUW39" s="926"/>
      <c r="GUX39" s="926"/>
      <c r="GUY39" s="926"/>
      <c r="GUZ39" s="926"/>
      <c r="GVA39" s="926"/>
      <c r="GVB39" s="926"/>
      <c r="GVC39" s="926"/>
      <c r="GVD39" s="926"/>
      <c r="GVE39" s="926"/>
      <c r="GVF39" s="926"/>
      <c r="GVG39" s="926"/>
      <c r="GVH39" s="926"/>
      <c r="GVI39" s="926"/>
      <c r="GVJ39" s="926"/>
      <c r="GVK39" s="926"/>
      <c r="GVL39" s="926"/>
      <c r="GVM39" s="926"/>
      <c r="GVN39" s="926"/>
      <c r="GVO39" s="926"/>
      <c r="GVP39" s="926"/>
      <c r="GVQ39" s="926"/>
      <c r="GVR39" s="926"/>
      <c r="GVS39" s="926"/>
      <c r="GVT39" s="926"/>
      <c r="GVU39" s="926"/>
      <c r="GVV39" s="926"/>
      <c r="GVW39" s="926"/>
      <c r="GVX39" s="926"/>
      <c r="GVY39" s="926"/>
      <c r="GVZ39" s="926"/>
      <c r="GWA39" s="926"/>
      <c r="GWB39" s="926"/>
      <c r="GWC39" s="926"/>
      <c r="GWD39" s="926"/>
      <c r="GWE39" s="926"/>
      <c r="GWF39" s="926"/>
      <c r="GWG39" s="926"/>
      <c r="GWH39" s="926"/>
      <c r="GWI39" s="926"/>
      <c r="GWJ39" s="926"/>
      <c r="GWK39" s="926"/>
      <c r="GWL39" s="926"/>
      <c r="GWM39" s="926"/>
      <c r="GWN39" s="926"/>
      <c r="GWO39" s="926"/>
      <c r="GWP39" s="926"/>
      <c r="GWQ39" s="926"/>
      <c r="GWR39" s="926"/>
      <c r="GWS39" s="926"/>
      <c r="GWT39" s="926"/>
      <c r="GWU39" s="926"/>
      <c r="GWV39" s="926"/>
      <c r="GWW39" s="926"/>
      <c r="GWX39" s="926"/>
      <c r="GWY39" s="926"/>
      <c r="GWZ39" s="926"/>
      <c r="GXA39" s="926"/>
      <c r="GXB39" s="926"/>
      <c r="GXC39" s="926"/>
      <c r="GXD39" s="926"/>
      <c r="GXE39" s="926"/>
      <c r="GXF39" s="926"/>
      <c r="GXG39" s="926"/>
      <c r="GXH39" s="926"/>
      <c r="GXI39" s="926"/>
      <c r="GXJ39" s="926"/>
      <c r="GXK39" s="926"/>
      <c r="GXL39" s="926"/>
      <c r="GXM39" s="926"/>
      <c r="GXN39" s="926"/>
      <c r="GXO39" s="926"/>
      <c r="GXP39" s="926"/>
      <c r="GXQ39" s="926"/>
      <c r="GXR39" s="926"/>
      <c r="GXS39" s="926"/>
      <c r="GXT39" s="926"/>
      <c r="GXU39" s="926"/>
      <c r="GXV39" s="926"/>
      <c r="GXW39" s="926"/>
      <c r="GXX39" s="926"/>
      <c r="GXY39" s="926"/>
      <c r="GXZ39" s="926"/>
      <c r="GYA39" s="926"/>
      <c r="GYB39" s="926"/>
      <c r="GYC39" s="926"/>
      <c r="GYD39" s="926"/>
      <c r="GYE39" s="926"/>
      <c r="GYF39" s="926"/>
      <c r="GYG39" s="926"/>
      <c r="GYH39" s="926"/>
      <c r="GYI39" s="926"/>
      <c r="GYJ39" s="926"/>
      <c r="GYK39" s="926"/>
      <c r="GYL39" s="926"/>
      <c r="GYM39" s="926"/>
      <c r="GYN39" s="926"/>
      <c r="GYO39" s="926"/>
      <c r="GYP39" s="926"/>
      <c r="GYQ39" s="926"/>
      <c r="GYR39" s="926"/>
      <c r="GYS39" s="926"/>
      <c r="GYT39" s="926"/>
      <c r="GYU39" s="926"/>
      <c r="GYV39" s="926"/>
      <c r="GYW39" s="926"/>
      <c r="GYX39" s="926"/>
      <c r="GYY39" s="926"/>
      <c r="GYZ39" s="926"/>
      <c r="GZA39" s="926"/>
      <c r="GZB39" s="926"/>
      <c r="GZC39" s="926"/>
      <c r="GZD39" s="926"/>
      <c r="GZE39" s="926"/>
      <c r="GZF39" s="926"/>
      <c r="GZG39" s="926"/>
      <c r="GZH39" s="926"/>
      <c r="GZI39" s="926"/>
      <c r="GZJ39" s="926"/>
      <c r="GZK39" s="926"/>
      <c r="GZL39" s="926"/>
      <c r="GZM39" s="926"/>
      <c r="GZN39" s="926"/>
      <c r="GZO39" s="926"/>
      <c r="GZP39" s="926"/>
      <c r="GZQ39" s="926"/>
      <c r="GZR39" s="926"/>
      <c r="GZS39" s="926"/>
      <c r="GZT39" s="926"/>
      <c r="GZU39" s="926"/>
      <c r="GZV39" s="926"/>
      <c r="GZW39" s="926"/>
      <c r="GZX39" s="926"/>
      <c r="GZY39" s="926"/>
      <c r="GZZ39" s="926"/>
      <c r="HAA39" s="926"/>
      <c r="HAB39" s="926"/>
      <c r="HAC39" s="926"/>
      <c r="HAD39" s="926"/>
      <c r="HAE39" s="926"/>
      <c r="HAF39" s="926"/>
      <c r="HAG39" s="926"/>
      <c r="HAH39" s="926"/>
      <c r="HAI39" s="926"/>
      <c r="HAJ39" s="926"/>
      <c r="HAK39" s="926"/>
      <c r="HAL39" s="926"/>
      <c r="HAM39" s="926"/>
      <c r="HAN39" s="926"/>
      <c r="HAO39" s="926"/>
      <c r="HAP39" s="926"/>
      <c r="HAQ39" s="926"/>
      <c r="HAR39" s="926"/>
      <c r="HAS39" s="926"/>
      <c r="HAT39" s="926"/>
      <c r="HAU39" s="926"/>
      <c r="HAV39" s="926"/>
      <c r="HAW39" s="926"/>
      <c r="HAX39" s="926"/>
      <c r="HAY39" s="926"/>
      <c r="HAZ39" s="926"/>
      <c r="HBA39" s="926"/>
      <c r="HBB39" s="926"/>
      <c r="HBC39" s="926"/>
      <c r="HBD39" s="926"/>
      <c r="HBE39" s="926"/>
      <c r="HBF39" s="926"/>
      <c r="HBG39" s="926"/>
      <c r="HBH39" s="926"/>
      <c r="HBI39" s="926"/>
      <c r="HBJ39" s="926"/>
      <c r="HBK39" s="926"/>
      <c r="HBL39" s="926"/>
      <c r="HBM39" s="926"/>
      <c r="HBN39" s="926"/>
      <c r="HBO39" s="926"/>
      <c r="HBP39" s="926"/>
      <c r="HBQ39" s="926"/>
      <c r="HBR39" s="926"/>
      <c r="HBS39" s="926"/>
      <c r="HBT39" s="926"/>
      <c r="HBU39" s="926"/>
      <c r="HBV39" s="926"/>
      <c r="HBW39" s="926"/>
      <c r="HBX39" s="926"/>
      <c r="HBY39" s="926"/>
      <c r="HBZ39" s="926"/>
      <c r="HCA39" s="926"/>
      <c r="HCB39" s="926"/>
      <c r="HCC39" s="926"/>
      <c r="HCD39" s="926"/>
      <c r="HCE39" s="926"/>
      <c r="HCF39" s="926"/>
      <c r="HCG39" s="926"/>
      <c r="HCH39" s="926"/>
      <c r="HCI39" s="926"/>
      <c r="HCJ39" s="926"/>
      <c r="HCK39" s="926"/>
      <c r="HCL39" s="926"/>
      <c r="HCM39" s="926"/>
      <c r="HCN39" s="926"/>
      <c r="HCO39" s="926"/>
      <c r="HCP39" s="926"/>
      <c r="HCQ39" s="926"/>
      <c r="HCR39" s="926"/>
      <c r="HCS39" s="926"/>
      <c r="HCT39" s="926"/>
      <c r="HCU39" s="926"/>
      <c r="HCV39" s="926"/>
      <c r="HCW39" s="926"/>
      <c r="HCX39" s="926"/>
      <c r="HCY39" s="926"/>
      <c r="HCZ39" s="926"/>
      <c r="HDA39" s="926"/>
      <c r="HDB39" s="926"/>
      <c r="HDC39" s="926"/>
      <c r="HDD39" s="926"/>
      <c r="HDE39" s="926"/>
      <c r="HDF39" s="926"/>
      <c r="HDG39" s="926"/>
      <c r="HDH39" s="926"/>
      <c r="HDI39" s="926"/>
      <c r="HDJ39" s="926"/>
      <c r="HDK39" s="926"/>
      <c r="HDL39" s="926"/>
      <c r="HDM39" s="926"/>
      <c r="HDN39" s="926"/>
      <c r="HDO39" s="926"/>
      <c r="HDP39" s="926"/>
      <c r="HDQ39" s="926"/>
      <c r="HDR39" s="926"/>
      <c r="HDS39" s="926"/>
      <c r="HDT39" s="926"/>
      <c r="HDU39" s="926"/>
      <c r="HDV39" s="926"/>
      <c r="HDW39" s="926"/>
      <c r="HDX39" s="926"/>
      <c r="HDY39" s="926"/>
      <c r="HDZ39" s="926"/>
      <c r="HEA39" s="926"/>
      <c r="HEB39" s="926"/>
      <c r="HEC39" s="926"/>
      <c r="HED39" s="926"/>
      <c r="HEE39" s="926"/>
      <c r="HEF39" s="926"/>
      <c r="HEG39" s="926"/>
      <c r="HEH39" s="926"/>
      <c r="HEI39" s="926"/>
      <c r="HEJ39" s="926"/>
      <c r="HEK39" s="926"/>
      <c r="HEL39" s="926"/>
      <c r="HEM39" s="926"/>
      <c r="HEN39" s="926"/>
      <c r="HEO39" s="926"/>
      <c r="HEP39" s="926"/>
      <c r="HEQ39" s="926"/>
      <c r="HER39" s="926"/>
      <c r="HES39" s="926"/>
      <c r="HET39" s="926"/>
      <c r="HEU39" s="926"/>
      <c r="HEV39" s="926"/>
      <c r="HEW39" s="926"/>
      <c r="HEX39" s="926"/>
      <c r="HEY39" s="926"/>
      <c r="HEZ39" s="926"/>
      <c r="HFA39" s="926"/>
      <c r="HFB39" s="926"/>
      <c r="HFC39" s="926"/>
      <c r="HFD39" s="926"/>
      <c r="HFE39" s="926"/>
      <c r="HFF39" s="926"/>
      <c r="HFG39" s="926"/>
      <c r="HFH39" s="926"/>
      <c r="HFI39" s="926"/>
      <c r="HFJ39" s="926"/>
      <c r="HFK39" s="926"/>
      <c r="HFL39" s="926"/>
      <c r="HFM39" s="926"/>
      <c r="HFN39" s="926"/>
      <c r="HFO39" s="926"/>
      <c r="HFP39" s="926"/>
      <c r="HFQ39" s="926"/>
      <c r="HFR39" s="926"/>
      <c r="HFS39" s="926"/>
      <c r="HFT39" s="926"/>
      <c r="HFU39" s="926"/>
      <c r="HFV39" s="926"/>
      <c r="HFW39" s="926"/>
      <c r="HFX39" s="926"/>
      <c r="HFY39" s="926"/>
      <c r="HFZ39" s="926"/>
      <c r="HGA39" s="926"/>
      <c r="HGB39" s="926"/>
      <c r="HGC39" s="926"/>
      <c r="HGD39" s="926"/>
      <c r="HGE39" s="926"/>
      <c r="HGF39" s="926"/>
      <c r="HGG39" s="926"/>
      <c r="HGH39" s="926"/>
      <c r="HGI39" s="926"/>
      <c r="HGJ39" s="926"/>
      <c r="HGK39" s="926"/>
      <c r="HGL39" s="926"/>
      <c r="HGM39" s="926"/>
      <c r="HGN39" s="926"/>
      <c r="HGO39" s="926"/>
      <c r="HGP39" s="926"/>
      <c r="HGQ39" s="926"/>
      <c r="HGR39" s="926"/>
      <c r="HGS39" s="926"/>
      <c r="HGT39" s="926"/>
      <c r="HGU39" s="926"/>
      <c r="HGV39" s="926"/>
      <c r="HGW39" s="926"/>
      <c r="HGX39" s="926"/>
      <c r="HGY39" s="926"/>
      <c r="HGZ39" s="926"/>
      <c r="HHA39" s="926"/>
      <c r="HHB39" s="926"/>
      <c r="HHC39" s="926"/>
      <c r="HHD39" s="926"/>
      <c r="HHE39" s="926"/>
      <c r="HHF39" s="926"/>
      <c r="HHG39" s="926"/>
      <c r="HHH39" s="926"/>
      <c r="HHI39" s="926"/>
      <c r="HHJ39" s="926"/>
      <c r="HHK39" s="926"/>
      <c r="HHL39" s="926"/>
      <c r="HHM39" s="926"/>
      <c r="HHN39" s="926"/>
      <c r="HHO39" s="926"/>
      <c r="HHP39" s="926"/>
      <c r="HHQ39" s="926"/>
      <c r="HHR39" s="926"/>
      <c r="HHS39" s="926"/>
      <c r="HHT39" s="926"/>
      <c r="HHU39" s="926"/>
      <c r="HHV39" s="926"/>
      <c r="HHW39" s="926"/>
      <c r="HHX39" s="926"/>
      <c r="HHY39" s="926"/>
      <c r="HHZ39" s="926"/>
      <c r="HIA39" s="926"/>
      <c r="HIB39" s="926"/>
      <c r="HIC39" s="926"/>
      <c r="HID39" s="926"/>
      <c r="HIE39" s="926"/>
      <c r="HIF39" s="926"/>
      <c r="HIG39" s="926"/>
      <c r="HIH39" s="926"/>
      <c r="HII39" s="926"/>
      <c r="HIJ39" s="926"/>
      <c r="HIK39" s="926"/>
      <c r="HIL39" s="926"/>
      <c r="HIM39" s="926"/>
      <c r="HIN39" s="926"/>
      <c r="HIO39" s="926"/>
      <c r="HIP39" s="926"/>
      <c r="HIQ39" s="926"/>
      <c r="HIR39" s="926"/>
      <c r="HIS39" s="926"/>
      <c r="HIT39" s="926"/>
      <c r="HIU39" s="926"/>
      <c r="HIV39" s="926"/>
      <c r="HIW39" s="926"/>
      <c r="HIX39" s="926"/>
      <c r="HIY39" s="926"/>
      <c r="HIZ39" s="926"/>
      <c r="HJA39" s="926"/>
      <c r="HJB39" s="926"/>
      <c r="HJC39" s="926"/>
      <c r="HJD39" s="926"/>
      <c r="HJE39" s="926"/>
      <c r="HJF39" s="926"/>
      <c r="HJG39" s="926"/>
      <c r="HJH39" s="926"/>
      <c r="HJI39" s="926"/>
      <c r="HJJ39" s="926"/>
      <c r="HJK39" s="926"/>
      <c r="HJL39" s="926"/>
      <c r="HJM39" s="926"/>
      <c r="HJN39" s="926"/>
      <c r="HJO39" s="926"/>
      <c r="HJP39" s="926"/>
      <c r="HJQ39" s="926"/>
      <c r="HJR39" s="926"/>
      <c r="HJS39" s="926"/>
      <c r="HJT39" s="926"/>
      <c r="HJU39" s="926"/>
      <c r="HJV39" s="926"/>
      <c r="HJW39" s="926"/>
      <c r="HJX39" s="926"/>
      <c r="HJY39" s="926"/>
      <c r="HJZ39" s="926"/>
      <c r="HKA39" s="926"/>
      <c r="HKB39" s="926"/>
      <c r="HKC39" s="926"/>
      <c r="HKD39" s="926"/>
      <c r="HKE39" s="926"/>
      <c r="HKF39" s="926"/>
      <c r="HKG39" s="926"/>
      <c r="HKH39" s="926"/>
      <c r="HKI39" s="926"/>
      <c r="HKJ39" s="926"/>
      <c r="HKK39" s="926"/>
      <c r="HKL39" s="926"/>
      <c r="HKM39" s="926"/>
      <c r="HKN39" s="926"/>
      <c r="HKO39" s="926"/>
      <c r="HKP39" s="926"/>
      <c r="HKQ39" s="926"/>
      <c r="HKR39" s="926"/>
      <c r="HKS39" s="926"/>
      <c r="HKT39" s="926"/>
      <c r="HKU39" s="926"/>
      <c r="HKV39" s="926"/>
      <c r="HKW39" s="926"/>
      <c r="HKX39" s="926"/>
      <c r="HKY39" s="926"/>
      <c r="HKZ39" s="926"/>
      <c r="HLA39" s="926"/>
      <c r="HLB39" s="926"/>
      <c r="HLC39" s="926"/>
      <c r="HLD39" s="926"/>
      <c r="HLE39" s="926"/>
      <c r="HLF39" s="926"/>
      <c r="HLG39" s="926"/>
      <c r="HLH39" s="926"/>
      <c r="HLI39" s="926"/>
      <c r="HLJ39" s="926"/>
      <c r="HLK39" s="926"/>
      <c r="HLL39" s="926"/>
      <c r="HLM39" s="926"/>
      <c r="HLN39" s="926"/>
      <c r="HLO39" s="926"/>
      <c r="HLP39" s="926"/>
      <c r="HLQ39" s="926"/>
      <c r="HLR39" s="926"/>
      <c r="HLS39" s="926"/>
      <c r="HLT39" s="926"/>
      <c r="HLU39" s="926"/>
      <c r="HLV39" s="926"/>
      <c r="HLW39" s="926"/>
      <c r="HLX39" s="926"/>
      <c r="HLY39" s="926"/>
      <c r="HLZ39" s="926"/>
      <c r="HMA39" s="926"/>
      <c r="HMB39" s="926"/>
      <c r="HMC39" s="926"/>
      <c r="HMD39" s="926"/>
      <c r="HME39" s="926"/>
      <c r="HMF39" s="926"/>
      <c r="HMG39" s="926"/>
      <c r="HMH39" s="926"/>
      <c r="HMI39" s="926"/>
      <c r="HMJ39" s="926"/>
      <c r="HMK39" s="926"/>
      <c r="HML39" s="926"/>
      <c r="HMM39" s="926"/>
      <c r="HMN39" s="926"/>
      <c r="HMO39" s="926"/>
      <c r="HMP39" s="926"/>
      <c r="HMQ39" s="926"/>
      <c r="HMR39" s="926"/>
      <c r="HMS39" s="926"/>
      <c r="HMT39" s="926"/>
      <c r="HMU39" s="926"/>
      <c r="HMV39" s="926"/>
      <c r="HMW39" s="926"/>
      <c r="HMX39" s="926"/>
      <c r="HMY39" s="926"/>
      <c r="HMZ39" s="926"/>
      <c r="HNA39" s="926"/>
      <c r="HNB39" s="926"/>
      <c r="HNC39" s="926"/>
      <c r="HND39" s="926"/>
      <c r="HNE39" s="926"/>
      <c r="HNF39" s="926"/>
      <c r="HNG39" s="926"/>
      <c r="HNH39" s="926"/>
      <c r="HNI39" s="926"/>
      <c r="HNJ39" s="926"/>
      <c r="HNK39" s="926"/>
      <c r="HNL39" s="926"/>
      <c r="HNM39" s="926"/>
      <c r="HNN39" s="926"/>
      <c r="HNO39" s="926"/>
      <c r="HNP39" s="926"/>
      <c r="HNQ39" s="926"/>
      <c r="HNR39" s="926"/>
      <c r="HNS39" s="926"/>
      <c r="HNT39" s="926"/>
      <c r="HNU39" s="926"/>
      <c r="HNV39" s="926"/>
      <c r="HNW39" s="926"/>
      <c r="HNX39" s="926"/>
      <c r="HNY39" s="926"/>
      <c r="HNZ39" s="926"/>
      <c r="HOA39" s="926"/>
      <c r="HOB39" s="926"/>
      <c r="HOC39" s="926"/>
      <c r="HOD39" s="926"/>
      <c r="HOE39" s="926"/>
      <c r="HOF39" s="926"/>
      <c r="HOG39" s="926"/>
      <c r="HOH39" s="926"/>
      <c r="HOI39" s="926"/>
      <c r="HOJ39" s="926"/>
      <c r="HOK39" s="926"/>
      <c r="HOL39" s="926"/>
      <c r="HOM39" s="926"/>
      <c r="HON39" s="926"/>
      <c r="HOO39" s="926"/>
      <c r="HOP39" s="926"/>
      <c r="HOQ39" s="926"/>
      <c r="HOR39" s="926"/>
      <c r="HOS39" s="926"/>
      <c r="HOT39" s="926"/>
      <c r="HOU39" s="926"/>
      <c r="HOV39" s="926"/>
      <c r="HOW39" s="926"/>
      <c r="HOX39" s="926"/>
      <c r="HOY39" s="926"/>
      <c r="HOZ39" s="926"/>
      <c r="HPA39" s="926"/>
      <c r="HPB39" s="926"/>
      <c r="HPC39" s="926"/>
      <c r="HPD39" s="926"/>
      <c r="HPE39" s="926"/>
      <c r="HPF39" s="926"/>
      <c r="HPG39" s="926"/>
      <c r="HPH39" s="926"/>
      <c r="HPI39" s="926"/>
      <c r="HPJ39" s="926"/>
      <c r="HPK39" s="926"/>
      <c r="HPL39" s="926"/>
      <c r="HPM39" s="926"/>
      <c r="HPN39" s="926"/>
      <c r="HPO39" s="926"/>
      <c r="HPP39" s="926"/>
      <c r="HPQ39" s="926"/>
      <c r="HPR39" s="926"/>
      <c r="HPS39" s="926"/>
      <c r="HPT39" s="926"/>
      <c r="HPU39" s="926"/>
      <c r="HPV39" s="926"/>
      <c r="HPW39" s="926"/>
      <c r="HPX39" s="926"/>
      <c r="HPY39" s="926"/>
      <c r="HPZ39" s="926"/>
      <c r="HQA39" s="926"/>
      <c r="HQB39" s="926"/>
      <c r="HQC39" s="926"/>
      <c r="HQD39" s="926"/>
      <c r="HQE39" s="926"/>
      <c r="HQF39" s="926"/>
      <c r="HQG39" s="926"/>
      <c r="HQH39" s="926"/>
      <c r="HQI39" s="926"/>
      <c r="HQJ39" s="926"/>
      <c r="HQK39" s="926"/>
      <c r="HQL39" s="926"/>
      <c r="HQM39" s="926"/>
      <c r="HQN39" s="926"/>
      <c r="HQO39" s="926"/>
      <c r="HQP39" s="926"/>
      <c r="HQQ39" s="926"/>
      <c r="HQR39" s="926"/>
      <c r="HQS39" s="926"/>
      <c r="HQT39" s="926"/>
      <c r="HQU39" s="926"/>
      <c r="HQV39" s="926"/>
      <c r="HQW39" s="926"/>
      <c r="HQX39" s="926"/>
      <c r="HQY39" s="926"/>
      <c r="HQZ39" s="926"/>
      <c r="HRA39" s="926"/>
      <c r="HRB39" s="926"/>
      <c r="HRC39" s="926"/>
      <c r="HRD39" s="926"/>
      <c r="HRE39" s="926"/>
      <c r="HRF39" s="926"/>
      <c r="HRG39" s="926"/>
      <c r="HRH39" s="926"/>
      <c r="HRI39" s="926"/>
      <c r="HRJ39" s="926"/>
      <c r="HRK39" s="926"/>
      <c r="HRL39" s="926"/>
      <c r="HRM39" s="926"/>
      <c r="HRN39" s="926"/>
      <c r="HRO39" s="926"/>
      <c r="HRP39" s="926"/>
      <c r="HRQ39" s="926"/>
      <c r="HRR39" s="926"/>
      <c r="HRS39" s="926"/>
      <c r="HRT39" s="926"/>
      <c r="HRU39" s="926"/>
      <c r="HRV39" s="926"/>
      <c r="HRW39" s="926"/>
      <c r="HRX39" s="926"/>
      <c r="HRY39" s="926"/>
      <c r="HRZ39" s="926"/>
      <c r="HSA39" s="926"/>
      <c r="HSB39" s="926"/>
      <c r="HSC39" s="926"/>
      <c r="HSD39" s="926"/>
      <c r="HSE39" s="926"/>
      <c r="HSF39" s="926"/>
      <c r="HSG39" s="926"/>
      <c r="HSH39" s="926"/>
      <c r="HSI39" s="926"/>
      <c r="HSJ39" s="926"/>
      <c r="HSK39" s="926"/>
      <c r="HSL39" s="926"/>
      <c r="HSM39" s="926"/>
      <c r="HSN39" s="926"/>
      <c r="HSO39" s="926"/>
      <c r="HSP39" s="926"/>
      <c r="HSQ39" s="926"/>
      <c r="HSR39" s="926"/>
      <c r="HSS39" s="926"/>
      <c r="HST39" s="926"/>
      <c r="HSU39" s="926"/>
      <c r="HSV39" s="926"/>
      <c r="HSW39" s="926"/>
      <c r="HSX39" s="926"/>
      <c r="HSY39" s="926"/>
      <c r="HSZ39" s="926"/>
      <c r="HTA39" s="926"/>
      <c r="HTB39" s="926"/>
      <c r="HTC39" s="926"/>
      <c r="HTD39" s="926"/>
      <c r="HTE39" s="926"/>
      <c r="HTF39" s="926"/>
      <c r="HTG39" s="926"/>
      <c r="HTH39" s="926"/>
      <c r="HTI39" s="926"/>
      <c r="HTJ39" s="926"/>
      <c r="HTK39" s="926"/>
      <c r="HTL39" s="926"/>
      <c r="HTM39" s="926"/>
      <c r="HTN39" s="926"/>
      <c r="HTO39" s="926"/>
      <c r="HTP39" s="926"/>
      <c r="HTQ39" s="926"/>
      <c r="HTR39" s="926"/>
      <c r="HTS39" s="926"/>
      <c r="HTT39" s="926"/>
      <c r="HTU39" s="926"/>
      <c r="HTV39" s="926"/>
      <c r="HTW39" s="926"/>
      <c r="HTX39" s="926"/>
      <c r="HTY39" s="926"/>
      <c r="HTZ39" s="926"/>
      <c r="HUA39" s="926"/>
      <c r="HUB39" s="926"/>
      <c r="HUC39" s="926"/>
      <c r="HUD39" s="926"/>
      <c r="HUE39" s="926"/>
      <c r="HUF39" s="926"/>
      <c r="HUG39" s="926"/>
      <c r="HUH39" s="926"/>
      <c r="HUI39" s="926"/>
      <c r="HUJ39" s="926"/>
      <c r="HUK39" s="926"/>
      <c r="HUL39" s="926"/>
      <c r="HUM39" s="926"/>
      <c r="HUN39" s="926"/>
      <c r="HUO39" s="926"/>
      <c r="HUP39" s="926"/>
      <c r="HUQ39" s="926"/>
      <c r="HUR39" s="926"/>
      <c r="HUS39" s="926"/>
      <c r="HUT39" s="926"/>
      <c r="HUU39" s="926"/>
      <c r="HUV39" s="926"/>
      <c r="HUW39" s="926"/>
      <c r="HUX39" s="926"/>
      <c r="HUY39" s="926"/>
      <c r="HUZ39" s="926"/>
      <c r="HVA39" s="926"/>
      <c r="HVB39" s="926"/>
      <c r="HVC39" s="926"/>
      <c r="HVD39" s="926"/>
      <c r="HVE39" s="926"/>
      <c r="HVF39" s="926"/>
      <c r="HVG39" s="926"/>
      <c r="HVH39" s="926"/>
      <c r="HVI39" s="926"/>
      <c r="HVJ39" s="926"/>
      <c r="HVK39" s="926"/>
      <c r="HVL39" s="926"/>
      <c r="HVM39" s="926"/>
      <c r="HVN39" s="926"/>
      <c r="HVO39" s="926"/>
      <c r="HVP39" s="926"/>
      <c r="HVQ39" s="926"/>
      <c r="HVR39" s="926"/>
      <c r="HVS39" s="926"/>
      <c r="HVT39" s="926"/>
      <c r="HVU39" s="926"/>
      <c r="HVV39" s="926"/>
      <c r="HVW39" s="926"/>
      <c r="HVX39" s="926"/>
      <c r="HVY39" s="926"/>
      <c r="HVZ39" s="926"/>
      <c r="HWA39" s="926"/>
      <c r="HWB39" s="926"/>
      <c r="HWC39" s="926"/>
      <c r="HWD39" s="926"/>
      <c r="HWE39" s="926"/>
      <c r="HWF39" s="926"/>
      <c r="HWG39" s="926"/>
      <c r="HWH39" s="926"/>
      <c r="HWI39" s="926"/>
      <c r="HWJ39" s="926"/>
      <c r="HWK39" s="926"/>
      <c r="HWL39" s="926"/>
      <c r="HWM39" s="926"/>
      <c r="HWN39" s="926"/>
      <c r="HWO39" s="926"/>
      <c r="HWP39" s="926"/>
      <c r="HWQ39" s="926"/>
      <c r="HWR39" s="926"/>
      <c r="HWS39" s="926"/>
      <c r="HWT39" s="926"/>
      <c r="HWU39" s="926"/>
      <c r="HWV39" s="926"/>
      <c r="HWW39" s="926"/>
      <c r="HWX39" s="926"/>
      <c r="HWY39" s="926"/>
      <c r="HWZ39" s="926"/>
      <c r="HXA39" s="926"/>
      <c r="HXB39" s="926"/>
      <c r="HXC39" s="926"/>
      <c r="HXD39" s="926"/>
      <c r="HXE39" s="926"/>
      <c r="HXF39" s="926"/>
      <c r="HXG39" s="926"/>
      <c r="HXH39" s="926"/>
      <c r="HXI39" s="926"/>
      <c r="HXJ39" s="926"/>
      <c r="HXK39" s="926"/>
      <c r="HXL39" s="926"/>
      <c r="HXM39" s="926"/>
      <c r="HXN39" s="926"/>
      <c r="HXO39" s="926"/>
      <c r="HXP39" s="926"/>
      <c r="HXQ39" s="926"/>
      <c r="HXR39" s="926"/>
      <c r="HXS39" s="926"/>
      <c r="HXT39" s="926"/>
      <c r="HXU39" s="926"/>
      <c r="HXV39" s="926"/>
      <c r="HXW39" s="926"/>
      <c r="HXX39" s="926"/>
      <c r="HXY39" s="926"/>
      <c r="HXZ39" s="926"/>
      <c r="HYA39" s="926"/>
      <c r="HYB39" s="926"/>
      <c r="HYC39" s="926"/>
      <c r="HYD39" s="926"/>
      <c r="HYE39" s="926"/>
      <c r="HYF39" s="926"/>
      <c r="HYG39" s="926"/>
      <c r="HYH39" s="926"/>
      <c r="HYI39" s="926"/>
      <c r="HYJ39" s="926"/>
      <c r="HYK39" s="926"/>
      <c r="HYL39" s="926"/>
      <c r="HYM39" s="926"/>
      <c r="HYN39" s="926"/>
      <c r="HYO39" s="926"/>
      <c r="HYP39" s="926"/>
      <c r="HYQ39" s="926"/>
      <c r="HYR39" s="926"/>
      <c r="HYS39" s="926"/>
      <c r="HYT39" s="926"/>
      <c r="HYU39" s="926"/>
      <c r="HYV39" s="926"/>
      <c r="HYW39" s="926"/>
      <c r="HYX39" s="926"/>
      <c r="HYY39" s="926"/>
      <c r="HYZ39" s="926"/>
      <c r="HZA39" s="926"/>
      <c r="HZB39" s="926"/>
      <c r="HZC39" s="926"/>
      <c r="HZD39" s="926"/>
      <c r="HZE39" s="926"/>
      <c r="HZF39" s="926"/>
      <c r="HZG39" s="926"/>
      <c r="HZH39" s="926"/>
      <c r="HZI39" s="926"/>
      <c r="HZJ39" s="926"/>
      <c r="HZK39" s="926"/>
      <c r="HZL39" s="926"/>
      <c r="HZM39" s="926"/>
      <c r="HZN39" s="926"/>
      <c r="HZO39" s="926"/>
      <c r="HZP39" s="926"/>
      <c r="HZQ39" s="926"/>
      <c r="HZR39" s="926"/>
      <c r="HZS39" s="926"/>
      <c r="HZT39" s="926"/>
      <c r="HZU39" s="926"/>
      <c r="HZV39" s="926"/>
      <c r="HZW39" s="926"/>
      <c r="HZX39" s="926"/>
      <c r="HZY39" s="926"/>
      <c r="HZZ39" s="926"/>
      <c r="IAA39" s="926"/>
      <c r="IAB39" s="926"/>
      <c r="IAC39" s="926"/>
      <c r="IAD39" s="926"/>
      <c r="IAE39" s="926"/>
      <c r="IAF39" s="926"/>
      <c r="IAG39" s="926"/>
      <c r="IAH39" s="926"/>
      <c r="IAI39" s="926"/>
      <c r="IAJ39" s="926"/>
      <c r="IAK39" s="926"/>
      <c r="IAL39" s="926"/>
      <c r="IAM39" s="926"/>
      <c r="IAN39" s="926"/>
      <c r="IAO39" s="926"/>
      <c r="IAP39" s="926"/>
      <c r="IAQ39" s="926"/>
      <c r="IAR39" s="926"/>
      <c r="IAS39" s="926"/>
      <c r="IAT39" s="926"/>
      <c r="IAU39" s="926"/>
      <c r="IAV39" s="926"/>
      <c r="IAW39" s="926"/>
      <c r="IAX39" s="926"/>
      <c r="IAY39" s="926"/>
      <c r="IAZ39" s="926"/>
      <c r="IBA39" s="926"/>
      <c r="IBB39" s="926"/>
      <c r="IBC39" s="926"/>
      <c r="IBD39" s="926"/>
      <c r="IBE39" s="926"/>
      <c r="IBF39" s="926"/>
      <c r="IBG39" s="926"/>
      <c r="IBH39" s="926"/>
      <c r="IBI39" s="926"/>
      <c r="IBJ39" s="926"/>
      <c r="IBK39" s="926"/>
      <c r="IBL39" s="926"/>
      <c r="IBM39" s="926"/>
      <c r="IBN39" s="926"/>
      <c r="IBO39" s="926"/>
      <c r="IBP39" s="926"/>
      <c r="IBQ39" s="926"/>
      <c r="IBR39" s="926"/>
      <c r="IBS39" s="926"/>
      <c r="IBT39" s="926"/>
      <c r="IBU39" s="926"/>
      <c r="IBV39" s="926"/>
      <c r="IBW39" s="926"/>
      <c r="IBX39" s="926"/>
      <c r="IBY39" s="926"/>
      <c r="IBZ39" s="926"/>
      <c r="ICA39" s="926"/>
      <c r="ICB39" s="926"/>
      <c r="ICC39" s="926"/>
      <c r="ICD39" s="926"/>
      <c r="ICE39" s="926"/>
      <c r="ICF39" s="926"/>
      <c r="ICG39" s="926"/>
      <c r="ICH39" s="926"/>
      <c r="ICI39" s="926"/>
      <c r="ICJ39" s="926"/>
      <c r="ICK39" s="926"/>
      <c r="ICL39" s="926"/>
      <c r="ICM39" s="926"/>
      <c r="ICN39" s="926"/>
      <c r="ICO39" s="926"/>
      <c r="ICP39" s="926"/>
      <c r="ICQ39" s="926"/>
      <c r="ICR39" s="926"/>
      <c r="ICS39" s="926"/>
      <c r="ICT39" s="926"/>
      <c r="ICU39" s="926"/>
      <c r="ICV39" s="926"/>
      <c r="ICW39" s="926"/>
      <c r="ICX39" s="926"/>
      <c r="ICY39" s="926"/>
      <c r="ICZ39" s="926"/>
      <c r="IDA39" s="926"/>
      <c r="IDB39" s="926"/>
      <c r="IDC39" s="926"/>
      <c r="IDD39" s="926"/>
      <c r="IDE39" s="926"/>
      <c r="IDF39" s="926"/>
      <c r="IDG39" s="926"/>
      <c r="IDH39" s="926"/>
      <c r="IDI39" s="926"/>
      <c r="IDJ39" s="926"/>
      <c r="IDK39" s="926"/>
      <c r="IDL39" s="926"/>
      <c r="IDM39" s="926"/>
      <c r="IDN39" s="926"/>
      <c r="IDO39" s="926"/>
      <c r="IDP39" s="926"/>
      <c r="IDQ39" s="926"/>
      <c r="IDR39" s="926"/>
      <c r="IDS39" s="926"/>
      <c r="IDT39" s="926"/>
      <c r="IDU39" s="926"/>
      <c r="IDV39" s="926"/>
      <c r="IDW39" s="926"/>
      <c r="IDX39" s="926"/>
      <c r="IDY39" s="926"/>
      <c r="IDZ39" s="926"/>
      <c r="IEA39" s="926"/>
      <c r="IEB39" s="926"/>
      <c r="IEC39" s="926"/>
      <c r="IED39" s="926"/>
      <c r="IEE39" s="926"/>
      <c r="IEF39" s="926"/>
      <c r="IEG39" s="926"/>
      <c r="IEH39" s="926"/>
      <c r="IEI39" s="926"/>
      <c r="IEJ39" s="926"/>
      <c r="IEK39" s="926"/>
      <c r="IEL39" s="926"/>
      <c r="IEM39" s="926"/>
      <c r="IEN39" s="926"/>
      <c r="IEO39" s="926"/>
      <c r="IEP39" s="926"/>
      <c r="IEQ39" s="926"/>
      <c r="IER39" s="926"/>
      <c r="IES39" s="926"/>
      <c r="IET39" s="926"/>
      <c r="IEU39" s="926"/>
      <c r="IEV39" s="926"/>
      <c r="IEW39" s="926"/>
      <c r="IEX39" s="926"/>
      <c r="IEY39" s="926"/>
      <c r="IEZ39" s="926"/>
      <c r="IFA39" s="926"/>
      <c r="IFB39" s="926"/>
      <c r="IFC39" s="926"/>
      <c r="IFD39" s="926"/>
      <c r="IFE39" s="926"/>
      <c r="IFF39" s="926"/>
      <c r="IFG39" s="926"/>
      <c r="IFH39" s="926"/>
      <c r="IFI39" s="926"/>
      <c r="IFJ39" s="926"/>
      <c r="IFK39" s="926"/>
      <c r="IFL39" s="926"/>
      <c r="IFM39" s="926"/>
      <c r="IFN39" s="926"/>
      <c r="IFO39" s="926"/>
      <c r="IFP39" s="926"/>
      <c r="IFQ39" s="926"/>
      <c r="IFR39" s="926"/>
      <c r="IFS39" s="926"/>
      <c r="IFT39" s="926"/>
      <c r="IFU39" s="926"/>
      <c r="IFV39" s="926"/>
      <c r="IFW39" s="926"/>
      <c r="IFX39" s="926"/>
      <c r="IFY39" s="926"/>
      <c r="IFZ39" s="926"/>
      <c r="IGA39" s="926"/>
      <c r="IGB39" s="926"/>
      <c r="IGC39" s="926"/>
      <c r="IGD39" s="926"/>
      <c r="IGE39" s="926"/>
      <c r="IGF39" s="926"/>
      <c r="IGG39" s="926"/>
      <c r="IGH39" s="926"/>
      <c r="IGI39" s="926"/>
      <c r="IGJ39" s="926"/>
      <c r="IGK39" s="926"/>
      <c r="IGL39" s="926"/>
      <c r="IGM39" s="926"/>
      <c r="IGN39" s="926"/>
      <c r="IGO39" s="926"/>
      <c r="IGP39" s="926"/>
      <c r="IGQ39" s="926"/>
      <c r="IGR39" s="926"/>
      <c r="IGS39" s="926"/>
      <c r="IGT39" s="926"/>
      <c r="IGU39" s="926"/>
      <c r="IGV39" s="926"/>
      <c r="IGW39" s="926"/>
      <c r="IGX39" s="926"/>
      <c r="IGY39" s="926"/>
      <c r="IGZ39" s="926"/>
      <c r="IHA39" s="926"/>
      <c r="IHB39" s="926"/>
      <c r="IHC39" s="926"/>
      <c r="IHD39" s="926"/>
      <c r="IHE39" s="926"/>
      <c r="IHF39" s="926"/>
      <c r="IHG39" s="926"/>
      <c r="IHH39" s="926"/>
      <c r="IHI39" s="926"/>
      <c r="IHJ39" s="926"/>
      <c r="IHK39" s="926"/>
      <c r="IHL39" s="926"/>
      <c r="IHM39" s="926"/>
      <c r="IHN39" s="926"/>
      <c r="IHO39" s="926"/>
      <c r="IHP39" s="926"/>
      <c r="IHQ39" s="926"/>
      <c r="IHR39" s="926"/>
      <c r="IHS39" s="926"/>
      <c r="IHT39" s="926"/>
      <c r="IHU39" s="926"/>
      <c r="IHV39" s="926"/>
      <c r="IHW39" s="926"/>
      <c r="IHX39" s="926"/>
      <c r="IHY39" s="926"/>
      <c r="IHZ39" s="926"/>
      <c r="IIA39" s="926"/>
      <c r="IIB39" s="926"/>
      <c r="IIC39" s="926"/>
      <c r="IID39" s="926"/>
      <c r="IIE39" s="926"/>
      <c r="IIF39" s="926"/>
      <c r="IIG39" s="926"/>
      <c r="IIH39" s="926"/>
      <c r="III39" s="926"/>
      <c r="IIJ39" s="926"/>
      <c r="IIK39" s="926"/>
      <c r="IIL39" s="926"/>
      <c r="IIM39" s="926"/>
      <c r="IIN39" s="926"/>
      <c r="IIO39" s="926"/>
      <c r="IIP39" s="926"/>
      <c r="IIQ39" s="926"/>
      <c r="IIR39" s="926"/>
      <c r="IIS39" s="926"/>
      <c r="IIT39" s="926"/>
      <c r="IIU39" s="926"/>
      <c r="IIV39" s="926"/>
      <c r="IIW39" s="926"/>
      <c r="IIX39" s="926"/>
      <c r="IIY39" s="926"/>
      <c r="IIZ39" s="926"/>
      <c r="IJA39" s="926"/>
      <c r="IJB39" s="926"/>
      <c r="IJC39" s="926"/>
      <c r="IJD39" s="926"/>
      <c r="IJE39" s="926"/>
      <c r="IJF39" s="926"/>
      <c r="IJG39" s="926"/>
      <c r="IJH39" s="926"/>
      <c r="IJI39" s="926"/>
      <c r="IJJ39" s="926"/>
      <c r="IJK39" s="926"/>
      <c r="IJL39" s="926"/>
      <c r="IJM39" s="926"/>
      <c r="IJN39" s="926"/>
      <c r="IJO39" s="926"/>
      <c r="IJP39" s="926"/>
      <c r="IJQ39" s="926"/>
      <c r="IJR39" s="926"/>
      <c r="IJS39" s="926"/>
      <c r="IJT39" s="926"/>
      <c r="IJU39" s="926"/>
      <c r="IJV39" s="926"/>
      <c r="IJW39" s="926"/>
      <c r="IJX39" s="926"/>
      <c r="IJY39" s="926"/>
      <c r="IJZ39" s="926"/>
      <c r="IKA39" s="926"/>
      <c r="IKB39" s="926"/>
      <c r="IKC39" s="926"/>
      <c r="IKD39" s="926"/>
      <c r="IKE39" s="926"/>
      <c r="IKF39" s="926"/>
      <c r="IKG39" s="926"/>
      <c r="IKH39" s="926"/>
      <c r="IKI39" s="926"/>
      <c r="IKJ39" s="926"/>
      <c r="IKK39" s="926"/>
      <c r="IKL39" s="926"/>
      <c r="IKM39" s="926"/>
      <c r="IKN39" s="926"/>
      <c r="IKO39" s="926"/>
      <c r="IKP39" s="926"/>
      <c r="IKQ39" s="926"/>
      <c r="IKR39" s="926"/>
      <c r="IKS39" s="926"/>
      <c r="IKT39" s="926"/>
      <c r="IKU39" s="926"/>
      <c r="IKV39" s="926"/>
      <c r="IKW39" s="926"/>
      <c r="IKX39" s="926"/>
      <c r="IKY39" s="926"/>
      <c r="IKZ39" s="926"/>
      <c r="ILA39" s="926"/>
      <c r="ILB39" s="926"/>
      <c r="ILC39" s="926"/>
      <c r="ILD39" s="926"/>
      <c r="ILE39" s="926"/>
      <c r="ILF39" s="926"/>
      <c r="ILG39" s="926"/>
      <c r="ILH39" s="926"/>
      <c r="ILI39" s="926"/>
      <c r="ILJ39" s="926"/>
      <c r="ILK39" s="926"/>
      <c r="ILL39" s="926"/>
      <c r="ILM39" s="926"/>
      <c r="ILN39" s="926"/>
      <c r="ILO39" s="926"/>
      <c r="ILP39" s="926"/>
      <c r="ILQ39" s="926"/>
      <c r="ILR39" s="926"/>
      <c r="ILS39" s="926"/>
      <c r="ILT39" s="926"/>
      <c r="ILU39" s="926"/>
      <c r="ILV39" s="926"/>
      <c r="ILW39" s="926"/>
      <c r="ILX39" s="926"/>
      <c r="ILY39" s="926"/>
      <c r="ILZ39" s="926"/>
      <c r="IMA39" s="926"/>
      <c r="IMB39" s="926"/>
      <c r="IMC39" s="926"/>
      <c r="IMD39" s="926"/>
      <c r="IME39" s="926"/>
      <c r="IMF39" s="926"/>
      <c r="IMG39" s="926"/>
      <c r="IMH39" s="926"/>
      <c r="IMI39" s="926"/>
      <c r="IMJ39" s="926"/>
      <c r="IMK39" s="926"/>
      <c r="IML39" s="926"/>
      <c r="IMM39" s="926"/>
      <c r="IMN39" s="926"/>
      <c r="IMO39" s="926"/>
      <c r="IMP39" s="926"/>
      <c r="IMQ39" s="926"/>
      <c r="IMR39" s="926"/>
      <c r="IMS39" s="926"/>
      <c r="IMT39" s="926"/>
      <c r="IMU39" s="926"/>
      <c r="IMV39" s="926"/>
      <c r="IMW39" s="926"/>
      <c r="IMX39" s="926"/>
      <c r="IMY39" s="926"/>
      <c r="IMZ39" s="926"/>
      <c r="INA39" s="926"/>
      <c r="INB39" s="926"/>
      <c r="INC39" s="926"/>
      <c r="IND39" s="926"/>
      <c r="INE39" s="926"/>
      <c r="INF39" s="926"/>
      <c r="ING39" s="926"/>
      <c r="INH39" s="926"/>
      <c r="INI39" s="926"/>
      <c r="INJ39" s="926"/>
      <c r="INK39" s="926"/>
      <c r="INL39" s="926"/>
      <c r="INM39" s="926"/>
      <c r="INN39" s="926"/>
      <c r="INO39" s="926"/>
      <c r="INP39" s="926"/>
      <c r="INQ39" s="926"/>
      <c r="INR39" s="926"/>
      <c r="INS39" s="926"/>
      <c r="INT39" s="926"/>
      <c r="INU39" s="926"/>
      <c r="INV39" s="926"/>
      <c r="INW39" s="926"/>
      <c r="INX39" s="926"/>
      <c r="INY39" s="926"/>
      <c r="INZ39" s="926"/>
      <c r="IOA39" s="926"/>
      <c r="IOB39" s="926"/>
      <c r="IOC39" s="926"/>
      <c r="IOD39" s="926"/>
      <c r="IOE39" s="926"/>
      <c r="IOF39" s="926"/>
      <c r="IOG39" s="926"/>
      <c r="IOH39" s="926"/>
      <c r="IOI39" s="926"/>
      <c r="IOJ39" s="926"/>
      <c r="IOK39" s="926"/>
      <c r="IOL39" s="926"/>
      <c r="IOM39" s="926"/>
      <c r="ION39" s="926"/>
      <c r="IOO39" s="926"/>
      <c r="IOP39" s="926"/>
      <c r="IOQ39" s="926"/>
      <c r="IOR39" s="926"/>
      <c r="IOS39" s="926"/>
      <c r="IOT39" s="926"/>
      <c r="IOU39" s="926"/>
      <c r="IOV39" s="926"/>
      <c r="IOW39" s="926"/>
      <c r="IOX39" s="926"/>
      <c r="IOY39" s="926"/>
      <c r="IOZ39" s="926"/>
      <c r="IPA39" s="926"/>
      <c r="IPB39" s="926"/>
      <c r="IPC39" s="926"/>
      <c r="IPD39" s="926"/>
      <c r="IPE39" s="926"/>
      <c r="IPF39" s="926"/>
      <c r="IPG39" s="926"/>
      <c r="IPH39" s="926"/>
      <c r="IPI39" s="926"/>
      <c r="IPJ39" s="926"/>
      <c r="IPK39" s="926"/>
      <c r="IPL39" s="926"/>
      <c r="IPM39" s="926"/>
      <c r="IPN39" s="926"/>
      <c r="IPO39" s="926"/>
      <c r="IPP39" s="926"/>
      <c r="IPQ39" s="926"/>
      <c r="IPR39" s="926"/>
      <c r="IPS39" s="926"/>
      <c r="IPT39" s="926"/>
      <c r="IPU39" s="926"/>
      <c r="IPV39" s="926"/>
      <c r="IPW39" s="926"/>
      <c r="IPX39" s="926"/>
      <c r="IPY39" s="926"/>
      <c r="IPZ39" s="926"/>
      <c r="IQA39" s="926"/>
      <c r="IQB39" s="926"/>
      <c r="IQC39" s="926"/>
      <c r="IQD39" s="926"/>
      <c r="IQE39" s="926"/>
      <c r="IQF39" s="926"/>
      <c r="IQG39" s="926"/>
      <c r="IQH39" s="926"/>
      <c r="IQI39" s="926"/>
      <c r="IQJ39" s="926"/>
      <c r="IQK39" s="926"/>
      <c r="IQL39" s="926"/>
      <c r="IQM39" s="926"/>
      <c r="IQN39" s="926"/>
      <c r="IQO39" s="926"/>
      <c r="IQP39" s="926"/>
      <c r="IQQ39" s="926"/>
      <c r="IQR39" s="926"/>
      <c r="IQS39" s="926"/>
      <c r="IQT39" s="926"/>
      <c r="IQU39" s="926"/>
      <c r="IQV39" s="926"/>
      <c r="IQW39" s="926"/>
      <c r="IQX39" s="926"/>
      <c r="IQY39" s="926"/>
      <c r="IQZ39" s="926"/>
      <c r="IRA39" s="926"/>
      <c r="IRB39" s="926"/>
      <c r="IRC39" s="926"/>
      <c r="IRD39" s="926"/>
      <c r="IRE39" s="926"/>
      <c r="IRF39" s="926"/>
      <c r="IRG39" s="926"/>
      <c r="IRH39" s="926"/>
      <c r="IRI39" s="926"/>
      <c r="IRJ39" s="926"/>
      <c r="IRK39" s="926"/>
      <c r="IRL39" s="926"/>
      <c r="IRM39" s="926"/>
      <c r="IRN39" s="926"/>
      <c r="IRO39" s="926"/>
      <c r="IRP39" s="926"/>
      <c r="IRQ39" s="926"/>
      <c r="IRR39" s="926"/>
      <c r="IRS39" s="926"/>
      <c r="IRT39" s="926"/>
      <c r="IRU39" s="926"/>
      <c r="IRV39" s="926"/>
      <c r="IRW39" s="926"/>
      <c r="IRX39" s="926"/>
      <c r="IRY39" s="926"/>
      <c r="IRZ39" s="926"/>
      <c r="ISA39" s="926"/>
      <c r="ISB39" s="926"/>
      <c r="ISC39" s="926"/>
      <c r="ISD39" s="926"/>
      <c r="ISE39" s="926"/>
      <c r="ISF39" s="926"/>
      <c r="ISG39" s="926"/>
      <c r="ISH39" s="926"/>
      <c r="ISI39" s="926"/>
      <c r="ISJ39" s="926"/>
      <c r="ISK39" s="926"/>
      <c r="ISL39" s="926"/>
      <c r="ISM39" s="926"/>
      <c r="ISN39" s="926"/>
      <c r="ISO39" s="926"/>
      <c r="ISP39" s="926"/>
      <c r="ISQ39" s="926"/>
      <c r="ISR39" s="926"/>
      <c r="ISS39" s="926"/>
      <c r="IST39" s="926"/>
      <c r="ISU39" s="926"/>
      <c r="ISV39" s="926"/>
      <c r="ISW39" s="926"/>
      <c r="ISX39" s="926"/>
      <c r="ISY39" s="926"/>
      <c r="ISZ39" s="926"/>
      <c r="ITA39" s="926"/>
      <c r="ITB39" s="926"/>
      <c r="ITC39" s="926"/>
      <c r="ITD39" s="926"/>
      <c r="ITE39" s="926"/>
      <c r="ITF39" s="926"/>
      <c r="ITG39" s="926"/>
      <c r="ITH39" s="926"/>
      <c r="ITI39" s="926"/>
      <c r="ITJ39" s="926"/>
      <c r="ITK39" s="926"/>
      <c r="ITL39" s="926"/>
      <c r="ITM39" s="926"/>
      <c r="ITN39" s="926"/>
      <c r="ITO39" s="926"/>
      <c r="ITP39" s="926"/>
      <c r="ITQ39" s="926"/>
      <c r="ITR39" s="926"/>
      <c r="ITS39" s="926"/>
      <c r="ITT39" s="926"/>
      <c r="ITU39" s="926"/>
      <c r="ITV39" s="926"/>
      <c r="ITW39" s="926"/>
      <c r="ITX39" s="926"/>
      <c r="ITY39" s="926"/>
      <c r="ITZ39" s="926"/>
      <c r="IUA39" s="926"/>
      <c r="IUB39" s="926"/>
      <c r="IUC39" s="926"/>
      <c r="IUD39" s="926"/>
      <c r="IUE39" s="926"/>
      <c r="IUF39" s="926"/>
      <c r="IUG39" s="926"/>
      <c r="IUH39" s="926"/>
      <c r="IUI39" s="926"/>
      <c r="IUJ39" s="926"/>
      <c r="IUK39" s="926"/>
      <c r="IUL39" s="926"/>
      <c r="IUM39" s="926"/>
      <c r="IUN39" s="926"/>
      <c r="IUO39" s="926"/>
      <c r="IUP39" s="926"/>
      <c r="IUQ39" s="926"/>
      <c r="IUR39" s="926"/>
      <c r="IUS39" s="926"/>
      <c r="IUT39" s="926"/>
      <c r="IUU39" s="926"/>
      <c r="IUV39" s="926"/>
      <c r="IUW39" s="926"/>
      <c r="IUX39" s="926"/>
      <c r="IUY39" s="926"/>
      <c r="IUZ39" s="926"/>
      <c r="IVA39" s="926"/>
      <c r="IVB39" s="926"/>
      <c r="IVC39" s="926"/>
      <c r="IVD39" s="926"/>
      <c r="IVE39" s="926"/>
      <c r="IVF39" s="926"/>
      <c r="IVG39" s="926"/>
      <c r="IVH39" s="926"/>
      <c r="IVI39" s="926"/>
      <c r="IVJ39" s="926"/>
      <c r="IVK39" s="926"/>
      <c r="IVL39" s="926"/>
      <c r="IVM39" s="926"/>
      <c r="IVN39" s="926"/>
      <c r="IVO39" s="926"/>
      <c r="IVP39" s="926"/>
      <c r="IVQ39" s="926"/>
      <c r="IVR39" s="926"/>
      <c r="IVS39" s="926"/>
      <c r="IVT39" s="926"/>
      <c r="IVU39" s="926"/>
      <c r="IVV39" s="926"/>
      <c r="IVW39" s="926"/>
      <c r="IVX39" s="926"/>
      <c r="IVY39" s="926"/>
      <c r="IVZ39" s="926"/>
      <c r="IWA39" s="926"/>
      <c r="IWB39" s="926"/>
      <c r="IWC39" s="926"/>
      <c r="IWD39" s="926"/>
      <c r="IWE39" s="926"/>
      <c r="IWF39" s="926"/>
      <c r="IWG39" s="926"/>
      <c r="IWH39" s="926"/>
      <c r="IWI39" s="926"/>
      <c r="IWJ39" s="926"/>
      <c r="IWK39" s="926"/>
      <c r="IWL39" s="926"/>
      <c r="IWM39" s="926"/>
      <c r="IWN39" s="926"/>
      <c r="IWO39" s="926"/>
      <c r="IWP39" s="926"/>
      <c r="IWQ39" s="926"/>
      <c r="IWR39" s="926"/>
      <c r="IWS39" s="926"/>
      <c r="IWT39" s="926"/>
      <c r="IWU39" s="926"/>
      <c r="IWV39" s="926"/>
      <c r="IWW39" s="926"/>
      <c r="IWX39" s="926"/>
      <c r="IWY39" s="926"/>
      <c r="IWZ39" s="926"/>
      <c r="IXA39" s="926"/>
      <c r="IXB39" s="926"/>
      <c r="IXC39" s="926"/>
      <c r="IXD39" s="926"/>
      <c r="IXE39" s="926"/>
      <c r="IXF39" s="926"/>
      <c r="IXG39" s="926"/>
      <c r="IXH39" s="926"/>
      <c r="IXI39" s="926"/>
      <c r="IXJ39" s="926"/>
      <c r="IXK39" s="926"/>
      <c r="IXL39" s="926"/>
      <c r="IXM39" s="926"/>
      <c r="IXN39" s="926"/>
      <c r="IXO39" s="926"/>
      <c r="IXP39" s="926"/>
      <c r="IXQ39" s="926"/>
      <c r="IXR39" s="926"/>
      <c r="IXS39" s="926"/>
      <c r="IXT39" s="926"/>
      <c r="IXU39" s="926"/>
      <c r="IXV39" s="926"/>
      <c r="IXW39" s="926"/>
      <c r="IXX39" s="926"/>
      <c r="IXY39" s="926"/>
      <c r="IXZ39" s="926"/>
      <c r="IYA39" s="926"/>
      <c r="IYB39" s="926"/>
      <c r="IYC39" s="926"/>
      <c r="IYD39" s="926"/>
      <c r="IYE39" s="926"/>
      <c r="IYF39" s="926"/>
      <c r="IYG39" s="926"/>
      <c r="IYH39" s="926"/>
      <c r="IYI39" s="926"/>
      <c r="IYJ39" s="926"/>
      <c r="IYK39" s="926"/>
      <c r="IYL39" s="926"/>
      <c r="IYM39" s="926"/>
      <c r="IYN39" s="926"/>
      <c r="IYO39" s="926"/>
      <c r="IYP39" s="926"/>
      <c r="IYQ39" s="926"/>
      <c r="IYR39" s="926"/>
      <c r="IYS39" s="926"/>
      <c r="IYT39" s="926"/>
      <c r="IYU39" s="926"/>
      <c r="IYV39" s="926"/>
      <c r="IYW39" s="926"/>
      <c r="IYX39" s="926"/>
      <c r="IYY39" s="926"/>
      <c r="IYZ39" s="926"/>
      <c r="IZA39" s="926"/>
      <c r="IZB39" s="926"/>
      <c r="IZC39" s="926"/>
      <c r="IZD39" s="926"/>
      <c r="IZE39" s="926"/>
      <c r="IZF39" s="926"/>
      <c r="IZG39" s="926"/>
      <c r="IZH39" s="926"/>
      <c r="IZI39" s="926"/>
      <c r="IZJ39" s="926"/>
      <c r="IZK39" s="926"/>
      <c r="IZL39" s="926"/>
      <c r="IZM39" s="926"/>
      <c r="IZN39" s="926"/>
      <c r="IZO39" s="926"/>
      <c r="IZP39" s="926"/>
      <c r="IZQ39" s="926"/>
      <c r="IZR39" s="926"/>
      <c r="IZS39" s="926"/>
      <c r="IZT39" s="926"/>
      <c r="IZU39" s="926"/>
      <c r="IZV39" s="926"/>
      <c r="IZW39" s="926"/>
      <c r="IZX39" s="926"/>
      <c r="IZY39" s="926"/>
      <c r="IZZ39" s="926"/>
      <c r="JAA39" s="926"/>
      <c r="JAB39" s="926"/>
      <c r="JAC39" s="926"/>
      <c r="JAD39" s="926"/>
      <c r="JAE39" s="926"/>
      <c r="JAF39" s="926"/>
      <c r="JAG39" s="926"/>
      <c r="JAH39" s="926"/>
      <c r="JAI39" s="926"/>
      <c r="JAJ39" s="926"/>
      <c r="JAK39" s="926"/>
      <c r="JAL39" s="926"/>
      <c r="JAM39" s="926"/>
      <c r="JAN39" s="926"/>
      <c r="JAO39" s="926"/>
      <c r="JAP39" s="926"/>
      <c r="JAQ39" s="926"/>
      <c r="JAR39" s="926"/>
      <c r="JAS39" s="926"/>
      <c r="JAT39" s="926"/>
      <c r="JAU39" s="926"/>
      <c r="JAV39" s="926"/>
      <c r="JAW39" s="926"/>
      <c r="JAX39" s="926"/>
      <c r="JAY39" s="926"/>
      <c r="JAZ39" s="926"/>
      <c r="JBA39" s="926"/>
      <c r="JBB39" s="926"/>
      <c r="JBC39" s="926"/>
      <c r="JBD39" s="926"/>
      <c r="JBE39" s="926"/>
      <c r="JBF39" s="926"/>
      <c r="JBG39" s="926"/>
      <c r="JBH39" s="926"/>
      <c r="JBI39" s="926"/>
      <c r="JBJ39" s="926"/>
      <c r="JBK39" s="926"/>
      <c r="JBL39" s="926"/>
      <c r="JBM39" s="926"/>
      <c r="JBN39" s="926"/>
      <c r="JBO39" s="926"/>
      <c r="JBP39" s="926"/>
      <c r="JBQ39" s="926"/>
      <c r="JBR39" s="926"/>
      <c r="JBS39" s="926"/>
      <c r="JBT39" s="926"/>
      <c r="JBU39" s="926"/>
      <c r="JBV39" s="926"/>
      <c r="JBW39" s="926"/>
      <c r="JBX39" s="926"/>
      <c r="JBY39" s="926"/>
      <c r="JBZ39" s="926"/>
      <c r="JCA39" s="926"/>
      <c r="JCB39" s="926"/>
      <c r="JCC39" s="926"/>
      <c r="JCD39" s="926"/>
      <c r="JCE39" s="926"/>
      <c r="JCF39" s="926"/>
      <c r="JCG39" s="926"/>
      <c r="JCH39" s="926"/>
      <c r="JCI39" s="926"/>
      <c r="JCJ39" s="926"/>
      <c r="JCK39" s="926"/>
      <c r="JCL39" s="926"/>
      <c r="JCM39" s="926"/>
      <c r="JCN39" s="926"/>
      <c r="JCO39" s="926"/>
      <c r="JCP39" s="926"/>
      <c r="JCQ39" s="926"/>
      <c r="JCR39" s="926"/>
      <c r="JCS39" s="926"/>
      <c r="JCT39" s="926"/>
      <c r="JCU39" s="926"/>
      <c r="JCV39" s="926"/>
      <c r="JCW39" s="926"/>
      <c r="JCX39" s="926"/>
      <c r="JCY39" s="926"/>
      <c r="JCZ39" s="926"/>
      <c r="JDA39" s="926"/>
      <c r="JDB39" s="926"/>
      <c r="JDC39" s="926"/>
      <c r="JDD39" s="926"/>
      <c r="JDE39" s="926"/>
      <c r="JDF39" s="926"/>
      <c r="JDG39" s="926"/>
      <c r="JDH39" s="926"/>
      <c r="JDI39" s="926"/>
      <c r="JDJ39" s="926"/>
      <c r="JDK39" s="926"/>
      <c r="JDL39" s="926"/>
      <c r="JDM39" s="926"/>
      <c r="JDN39" s="926"/>
      <c r="JDO39" s="926"/>
      <c r="JDP39" s="926"/>
      <c r="JDQ39" s="926"/>
      <c r="JDR39" s="926"/>
      <c r="JDS39" s="926"/>
      <c r="JDT39" s="926"/>
      <c r="JDU39" s="926"/>
      <c r="JDV39" s="926"/>
      <c r="JDW39" s="926"/>
      <c r="JDX39" s="926"/>
      <c r="JDY39" s="926"/>
      <c r="JDZ39" s="926"/>
      <c r="JEA39" s="926"/>
      <c r="JEB39" s="926"/>
      <c r="JEC39" s="926"/>
      <c r="JED39" s="926"/>
      <c r="JEE39" s="926"/>
      <c r="JEF39" s="926"/>
      <c r="JEG39" s="926"/>
      <c r="JEH39" s="926"/>
      <c r="JEI39" s="926"/>
      <c r="JEJ39" s="926"/>
      <c r="JEK39" s="926"/>
      <c r="JEL39" s="926"/>
      <c r="JEM39" s="926"/>
      <c r="JEN39" s="926"/>
      <c r="JEO39" s="926"/>
      <c r="JEP39" s="926"/>
      <c r="JEQ39" s="926"/>
      <c r="JER39" s="926"/>
      <c r="JES39" s="926"/>
      <c r="JET39" s="926"/>
      <c r="JEU39" s="926"/>
      <c r="JEV39" s="926"/>
      <c r="JEW39" s="926"/>
      <c r="JEX39" s="926"/>
      <c r="JEY39" s="926"/>
      <c r="JEZ39" s="926"/>
      <c r="JFA39" s="926"/>
      <c r="JFB39" s="926"/>
      <c r="JFC39" s="926"/>
      <c r="JFD39" s="926"/>
      <c r="JFE39" s="926"/>
      <c r="JFF39" s="926"/>
      <c r="JFG39" s="926"/>
      <c r="JFH39" s="926"/>
      <c r="JFI39" s="926"/>
      <c r="JFJ39" s="926"/>
      <c r="JFK39" s="926"/>
      <c r="JFL39" s="926"/>
      <c r="JFM39" s="926"/>
      <c r="JFN39" s="926"/>
      <c r="JFO39" s="926"/>
      <c r="JFP39" s="926"/>
      <c r="JFQ39" s="926"/>
      <c r="JFR39" s="926"/>
      <c r="JFS39" s="926"/>
      <c r="JFT39" s="926"/>
      <c r="JFU39" s="926"/>
      <c r="JFV39" s="926"/>
      <c r="JFW39" s="926"/>
      <c r="JFX39" s="926"/>
      <c r="JFY39" s="926"/>
      <c r="JFZ39" s="926"/>
      <c r="JGA39" s="926"/>
      <c r="JGB39" s="926"/>
      <c r="JGC39" s="926"/>
      <c r="JGD39" s="926"/>
      <c r="JGE39" s="926"/>
      <c r="JGF39" s="926"/>
      <c r="JGG39" s="926"/>
      <c r="JGH39" s="926"/>
      <c r="JGI39" s="926"/>
      <c r="JGJ39" s="926"/>
      <c r="JGK39" s="926"/>
      <c r="JGL39" s="926"/>
      <c r="JGM39" s="926"/>
      <c r="JGN39" s="926"/>
      <c r="JGO39" s="926"/>
      <c r="JGP39" s="926"/>
      <c r="JGQ39" s="926"/>
      <c r="JGR39" s="926"/>
      <c r="JGS39" s="926"/>
      <c r="JGT39" s="926"/>
      <c r="JGU39" s="926"/>
      <c r="JGV39" s="926"/>
      <c r="JGW39" s="926"/>
      <c r="JGX39" s="926"/>
      <c r="JGY39" s="926"/>
      <c r="JGZ39" s="926"/>
      <c r="JHA39" s="926"/>
      <c r="JHB39" s="926"/>
      <c r="JHC39" s="926"/>
      <c r="JHD39" s="926"/>
      <c r="JHE39" s="926"/>
      <c r="JHF39" s="926"/>
      <c r="JHG39" s="926"/>
      <c r="JHH39" s="926"/>
      <c r="JHI39" s="926"/>
      <c r="JHJ39" s="926"/>
      <c r="JHK39" s="926"/>
      <c r="JHL39" s="926"/>
      <c r="JHM39" s="926"/>
      <c r="JHN39" s="926"/>
      <c r="JHO39" s="926"/>
      <c r="JHP39" s="926"/>
      <c r="JHQ39" s="926"/>
      <c r="JHR39" s="926"/>
      <c r="JHS39" s="926"/>
      <c r="JHT39" s="926"/>
      <c r="JHU39" s="926"/>
      <c r="JHV39" s="926"/>
      <c r="JHW39" s="926"/>
      <c r="JHX39" s="926"/>
      <c r="JHY39" s="926"/>
      <c r="JHZ39" s="926"/>
      <c r="JIA39" s="926"/>
      <c r="JIB39" s="926"/>
      <c r="JIC39" s="926"/>
      <c r="JID39" s="926"/>
      <c r="JIE39" s="926"/>
      <c r="JIF39" s="926"/>
      <c r="JIG39" s="926"/>
      <c r="JIH39" s="926"/>
      <c r="JII39" s="926"/>
      <c r="JIJ39" s="926"/>
      <c r="JIK39" s="926"/>
      <c r="JIL39" s="926"/>
      <c r="JIM39" s="926"/>
      <c r="JIN39" s="926"/>
      <c r="JIO39" s="926"/>
      <c r="JIP39" s="926"/>
      <c r="JIQ39" s="926"/>
      <c r="JIR39" s="926"/>
      <c r="JIS39" s="926"/>
      <c r="JIT39" s="926"/>
      <c r="JIU39" s="926"/>
      <c r="JIV39" s="926"/>
      <c r="JIW39" s="926"/>
      <c r="JIX39" s="926"/>
      <c r="JIY39" s="926"/>
      <c r="JIZ39" s="926"/>
      <c r="JJA39" s="926"/>
      <c r="JJB39" s="926"/>
      <c r="JJC39" s="926"/>
      <c r="JJD39" s="926"/>
      <c r="JJE39" s="926"/>
      <c r="JJF39" s="926"/>
      <c r="JJG39" s="926"/>
      <c r="JJH39" s="926"/>
      <c r="JJI39" s="926"/>
      <c r="JJJ39" s="926"/>
      <c r="JJK39" s="926"/>
      <c r="JJL39" s="926"/>
      <c r="JJM39" s="926"/>
      <c r="JJN39" s="926"/>
      <c r="JJO39" s="926"/>
      <c r="JJP39" s="926"/>
      <c r="JJQ39" s="926"/>
      <c r="JJR39" s="926"/>
      <c r="JJS39" s="926"/>
      <c r="JJT39" s="926"/>
      <c r="JJU39" s="926"/>
      <c r="JJV39" s="926"/>
      <c r="JJW39" s="926"/>
      <c r="JJX39" s="926"/>
      <c r="JJY39" s="926"/>
      <c r="JJZ39" s="926"/>
      <c r="JKA39" s="926"/>
      <c r="JKB39" s="926"/>
      <c r="JKC39" s="926"/>
      <c r="JKD39" s="926"/>
      <c r="JKE39" s="926"/>
      <c r="JKF39" s="926"/>
      <c r="JKG39" s="926"/>
      <c r="JKH39" s="926"/>
      <c r="JKI39" s="926"/>
      <c r="JKJ39" s="926"/>
      <c r="JKK39" s="926"/>
      <c r="JKL39" s="926"/>
      <c r="JKM39" s="926"/>
      <c r="JKN39" s="926"/>
      <c r="JKO39" s="926"/>
      <c r="JKP39" s="926"/>
      <c r="JKQ39" s="926"/>
      <c r="JKR39" s="926"/>
      <c r="JKS39" s="926"/>
      <c r="JKT39" s="926"/>
      <c r="JKU39" s="926"/>
      <c r="JKV39" s="926"/>
      <c r="JKW39" s="926"/>
      <c r="JKX39" s="926"/>
      <c r="JKY39" s="926"/>
      <c r="JKZ39" s="926"/>
      <c r="JLA39" s="926"/>
      <c r="JLB39" s="926"/>
      <c r="JLC39" s="926"/>
      <c r="JLD39" s="926"/>
      <c r="JLE39" s="926"/>
      <c r="JLF39" s="926"/>
      <c r="JLG39" s="926"/>
      <c r="JLH39" s="926"/>
      <c r="JLI39" s="926"/>
      <c r="JLJ39" s="926"/>
      <c r="JLK39" s="926"/>
      <c r="JLL39" s="926"/>
      <c r="JLM39" s="926"/>
      <c r="JLN39" s="926"/>
      <c r="JLO39" s="926"/>
      <c r="JLP39" s="926"/>
      <c r="JLQ39" s="926"/>
      <c r="JLR39" s="926"/>
      <c r="JLS39" s="926"/>
      <c r="JLT39" s="926"/>
      <c r="JLU39" s="926"/>
      <c r="JLV39" s="926"/>
      <c r="JLW39" s="926"/>
      <c r="JLX39" s="926"/>
      <c r="JLY39" s="926"/>
      <c r="JLZ39" s="926"/>
      <c r="JMA39" s="926"/>
      <c r="JMB39" s="926"/>
      <c r="JMC39" s="926"/>
      <c r="JMD39" s="926"/>
      <c r="JME39" s="926"/>
      <c r="JMF39" s="926"/>
      <c r="JMG39" s="926"/>
      <c r="JMH39" s="926"/>
      <c r="JMI39" s="926"/>
      <c r="JMJ39" s="926"/>
      <c r="JMK39" s="926"/>
      <c r="JML39" s="926"/>
      <c r="JMM39" s="926"/>
      <c r="JMN39" s="926"/>
      <c r="JMO39" s="926"/>
      <c r="JMP39" s="926"/>
      <c r="JMQ39" s="926"/>
      <c r="JMR39" s="926"/>
      <c r="JMS39" s="926"/>
      <c r="JMT39" s="926"/>
      <c r="JMU39" s="926"/>
      <c r="JMV39" s="926"/>
      <c r="JMW39" s="926"/>
      <c r="JMX39" s="926"/>
      <c r="JMY39" s="926"/>
      <c r="JMZ39" s="926"/>
      <c r="JNA39" s="926"/>
      <c r="JNB39" s="926"/>
      <c r="JNC39" s="926"/>
      <c r="JND39" s="926"/>
      <c r="JNE39" s="926"/>
      <c r="JNF39" s="926"/>
      <c r="JNG39" s="926"/>
      <c r="JNH39" s="926"/>
      <c r="JNI39" s="926"/>
      <c r="JNJ39" s="926"/>
      <c r="JNK39" s="926"/>
      <c r="JNL39" s="926"/>
      <c r="JNM39" s="926"/>
      <c r="JNN39" s="926"/>
      <c r="JNO39" s="926"/>
      <c r="JNP39" s="926"/>
      <c r="JNQ39" s="926"/>
      <c r="JNR39" s="926"/>
      <c r="JNS39" s="926"/>
      <c r="JNT39" s="926"/>
      <c r="JNU39" s="926"/>
      <c r="JNV39" s="926"/>
      <c r="JNW39" s="926"/>
      <c r="JNX39" s="926"/>
      <c r="JNY39" s="926"/>
      <c r="JNZ39" s="926"/>
      <c r="JOA39" s="926"/>
      <c r="JOB39" s="926"/>
      <c r="JOC39" s="926"/>
      <c r="JOD39" s="926"/>
      <c r="JOE39" s="926"/>
      <c r="JOF39" s="926"/>
      <c r="JOG39" s="926"/>
      <c r="JOH39" s="926"/>
      <c r="JOI39" s="926"/>
      <c r="JOJ39" s="926"/>
      <c r="JOK39" s="926"/>
      <c r="JOL39" s="926"/>
      <c r="JOM39" s="926"/>
      <c r="JON39" s="926"/>
      <c r="JOO39" s="926"/>
      <c r="JOP39" s="926"/>
      <c r="JOQ39" s="926"/>
      <c r="JOR39" s="926"/>
      <c r="JOS39" s="926"/>
      <c r="JOT39" s="926"/>
      <c r="JOU39" s="926"/>
      <c r="JOV39" s="926"/>
      <c r="JOW39" s="926"/>
      <c r="JOX39" s="926"/>
      <c r="JOY39" s="926"/>
      <c r="JOZ39" s="926"/>
      <c r="JPA39" s="926"/>
      <c r="JPB39" s="926"/>
      <c r="JPC39" s="926"/>
      <c r="JPD39" s="926"/>
      <c r="JPE39" s="926"/>
      <c r="JPF39" s="926"/>
      <c r="JPG39" s="926"/>
      <c r="JPH39" s="926"/>
      <c r="JPI39" s="926"/>
      <c r="JPJ39" s="926"/>
      <c r="JPK39" s="926"/>
      <c r="JPL39" s="926"/>
      <c r="JPM39" s="926"/>
      <c r="JPN39" s="926"/>
      <c r="JPO39" s="926"/>
      <c r="JPP39" s="926"/>
      <c r="JPQ39" s="926"/>
      <c r="JPR39" s="926"/>
      <c r="JPS39" s="926"/>
      <c r="JPT39" s="926"/>
      <c r="JPU39" s="926"/>
      <c r="JPV39" s="926"/>
      <c r="JPW39" s="926"/>
      <c r="JPX39" s="926"/>
      <c r="JPY39" s="926"/>
      <c r="JPZ39" s="926"/>
      <c r="JQA39" s="926"/>
      <c r="JQB39" s="926"/>
      <c r="JQC39" s="926"/>
      <c r="JQD39" s="926"/>
      <c r="JQE39" s="926"/>
      <c r="JQF39" s="926"/>
      <c r="JQG39" s="926"/>
      <c r="JQH39" s="926"/>
      <c r="JQI39" s="926"/>
      <c r="JQJ39" s="926"/>
      <c r="JQK39" s="926"/>
      <c r="JQL39" s="926"/>
      <c r="JQM39" s="926"/>
      <c r="JQN39" s="926"/>
      <c r="JQO39" s="926"/>
      <c r="JQP39" s="926"/>
      <c r="JQQ39" s="926"/>
      <c r="JQR39" s="926"/>
      <c r="JQS39" s="926"/>
      <c r="JQT39" s="926"/>
      <c r="JQU39" s="926"/>
      <c r="JQV39" s="926"/>
      <c r="JQW39" s="926"/>
      <c r="JQX39" s="926"/>
      <c r="JQY39" s="926"/>
      <c r="JQZ39" s="926"/>
      <c r="JRA39" s="926"/>
      <c r="JRB39" s="926"/>
      <c r="JRC39" s="926"/>
      <c r="JRD39" s="926"/>
      <c r="JRE39" s="926"/>
      <c r="JRF39" s="926"/>
      <c r="JRG39" s="926"/>
      <c r="JRH39" s="926"/>
      <c r="JRI39" s="926"/>
      <c r="JRJ39" s="926"/>
      <c r="JRK39" s="926"/>
      <c r="JRL39" s="926"/>
      <c r="JRM39" s="926"/>
      <c r="JRN39" s="926"/>
      <c r="JRO39" s="926"/>
      <c r="JRP39" s="926"/>
      <c r="JRQ39" s="926"/>
      <c r="JRR39" s="926"/>
      <c r="JRS39" s="926"/>
      <c r="JRT39" s="926"/>
      <c r="JRU39" s="926"/>
      <c r="JRV39" s="926"/>
      <c r="JRW39" s="926"/>
      <c r="JRX39" s="926"/>
      <c r="JRY39" s="926"/>
      <c r="JRZ39" s="926"/>
      <c r="JSA39" s="926"/>
      <c r="JSB39" s="926"/>
      <c r="JSC39" s="926"/>
      <c r="JSD39" s="926"/>
      <c r="JSE39" s="926"/>
      <c r="JSF39" s="926"/>
      <c r="JSG39" s="926"/>
      <c r="JSH39" s="926"/>
      <c r="JSI39" s="926"/>
      <c r="JSJ39" s="926"/>
      <c r="JSK39" s="926"/>
      <c r="JSL39" s="926"/>
      <c r="JSM39" s="926"/>
      <c r="JSN39" s="926"/>
      <c r="JSO39" s="926"/>
      <c r="JSP39" s="926"/>
      <c r="JSQ39" s="926"/>
      <c r="JSR39" s="926"/>
      <c r="JSS39" s="926"/>
      <c r="JST39" s="926"/>
      <c r="JSU39" s="926"/>
      <c r="JSV39" s="926"/>
      <c r="JSW39" s="926"/>
      <c r="JSX39" s="926"/>
      <c r="JSY39" s="926"/>
      <c r="JSZ39" s="926"/>
      <c r="JTA39" s="926"/>
      <c r="JTB39" s="926"/>
      <c r="JTC39" s="926"/>
      <c r="JTD39" s="926"/>
      <c r="JTE39" s="926"/>
      <c r="JTF39" s="926"/>
      <c r="JTG39" s="926"/>
      <c r="JTH39" s="926"/>
      <c r="JTI39" s="926"/>
      <c r="JTJ39" s="926"/>
      <c r="JTK39" s="926"/>
      <c r="JTL39" s="926"/>
      <c r="JTM39" s="926"/>
      <c r="JTN39" s="926"/>
      <c r="JTO39" s="926"/>
      <c r="JTP39" s="926"/>
      <c r="JTQ39" s="926"/>
      <c r="JTR39" s="926"/>
      <c r="JTS39" s="926"/>
      <c r="JTT39" s="926"/>
      <c r="JTU39" s="926"/>
      <c r="JTV39" s="926"/>
      <c r="JTW39" s="926"/>
      <c r="JTX39" s="926"/>
      <c r="JTY39" s="926"/>
      <c r="JTZ39" s="926"/>
      <c r="JUA39" s="926"/>
      <c r="JUB39" s="926"/>
      <c r="JUC39" s="926"/>
      <c r="JUD39" s="926"/>
      <c r="JUE39" s="926"/>
      <c r="JUF39" s="926"/>
      <c r="JUG39" s="926"/>
      <c r="JUH39" s="926"/>
      <c r="JUI39" s="926"/>
      <c r="JUJ39" s="926"/>
      <c r="JUK39" s="926"/>
      <c r="JUL39" s="926"/>
      <c r="JUM39" s="926"/>
      <c r="JUN39" s="926"/>
      <c r="JUO39" s="926"/>
      <c r="JUP39" s="926"/>
      <c r="JUQ39" s="926"/>
      <c r="JUR39" s="926"/>
      <c r="JUS39" s="926"/>
      <c r="JUT39" s="926"/>
      <c r="JUU39" s="926"/>
      <c r="JUV39" s="926"/>
      <c r="JUW39" s="926"/>
      <c r="JUX39" s="926"/>
      <c r="JUY39" s="926"/>
      <c r="JUZ39" s="926"/>
      <c r="JVA39" s="926"/>
      <c r="JVB39" s="926"/>
      <c r="JVC39" s="926"/>
      <c r="JVD39" s="926"/>
      <c r="JVE39" s="926"/>
      <c r="JVF39" s="926"/>
      <c r="JVG39" s="926"/>
      <c r="JVH39" s="926"/>
      <c r="JVI39" s="926"/>
      <c r="JVJ39" s="926"/>
      <c r="JVK39" s="926"/>
      <c r="JVL39" s="926"/>
      <c r="JVM39" s="926"/>
      <c r="JVN39" s="926"/>
      <c r="JVO39" s="926"/>
      <c r="JVP39" s="926"/>
      <c r="JVQ39" s="926"/>
      <c r="JVR39" s="926"/>
      <c r="JVS39" s="926"/>
      <c r="JVT39" s="926"/>
      <c r="JVU39" s="926"/>
      <c r="JVV39" s="926"/>
      <c r="JVW39" s="926"/>
      <c r="JVX39" s="926"/>
      <c r="JVY39" s="926"/>
      <c r="JVZ39" s="926"/>
      <c r="JWA39" s="926"/>
      <c r="JWB39" s="926"/>
      <c r="JWC39" s="926"/>
      <c r="JWD39" s="926"/>
      <c r="JWE39" s="926"/>
      <c r="JWF39" s="926"/>
      <c r="JWG39" s="926"/>
      <c r="JWH39" s="926"/>
      <c r="JWI39" s="926"/>
      <c r="JWJ39" s="926"/>
      <c r="JWK39" s="926"/>
      <c r="JWL39" s="926"/>
      <c r="JWM39" s="926"/>
      <c r="JWN39" s="926"/>
      <c r="JWO39" s="926"/>
      <c r="JWP39" s="926"/>
      <c r="JWQ39" s="926"/>
      <c r="JWR39" s="926"/>
      <c r="JWS39" s="926"/>
      <c r="JWT39" s="926"/>
      <c r="JWU39" s="926"/>
      <c r="JWV39" s="926"/>
      <c r="JWW39" s="926"/>
      <c r="JWX39" s="926"/>
      <c r="JWY39" s="926"/>
      <c r="JWZ39" s="926"/>
      <c r="JXA39" s="926"/>
      <c r="JXB39" s="926"/>
      <c r="JXC39" s="926"/>
      <c r="JXD39" s="926"/>
      <c r="JXE39" s="926"/>
      <c r="JXF39" s="926"/>
      <c r="JXG39" s="926"/>
      <c r="JXH39" s="926"/>
      <c r="JXI39" s="926"/>
      <c r="JXJ39" s="926"/>
      <c r="JXK39" s="926"/>
      <c r="JXL39" s="926"/>
      <c r="JXM39" s="926"/>
      <c r="JXN39" s="926"/>
      <c r="JXO39" s="926"/>
      <c r="JXP39" s="926"/>
      <c r="JXQ39" s="926"/>
      <c r="JXR39" s="926"/>
      <c r="JXS39" s="926"/>
      <c r="JXT39" s="926"/>
      <c r="JXU39" s="926"/>
      <c r="JXV39" s="926"/>
      <c r="JXW39" s="926"/>
      <c r="JXX39" s="926"/>
      <c r="JXY39" s="926"/>
      <c r="JXZ39" s="926"/>
      <c r="JYA39" s="926"/>
      <c r="JYB39" s="926"/>
      <c r="JYC39" s="926"/>
      <c r="JYD39" s="926"/>
      <c r="JYE39" s="926"/>
      <c r="JYF39" s="926"/>
      <c r="JYG39" s="926"/>
      <c r="JYH39" s="926"/>
      <c r="JYI39" s="926"/>
      <c r="JYJ39" s="926"/>
      <c r="JYK39" s="926"/>
      <c r="JYL39" s="926"/>
      <c r="JYM39" s="926"/>
      <c r="JYN39" s="926"/>
      <c r="JYO39" s="926"/>
      <c r="JYP39" s="926"/>
      <c r="JYQ39" s="926"/>
      <c r="JYR39" s="926"/>
      <c r="JYS39" s="926"/>
      <c r="JYT39" s="926"/>
      <c r="JYU39" s="926"/>
      <c r="JYV39" s="926"/>
      <c r="JYW39" s="926"/>
      <c r="JYX39" s="926"/>
      <c r="JYY39" s="926"/>
      <c r="JYZ39" s="926"/>
      <c r="JZA39" s="926"/>
      <c r="JZB39" s="926"/>
      <c r="JZC39" s="926"/>
      <c r="JZD39" s="926"/>
      <c r="JZE39" s="926"/>
      <c r="JZF39" s="926"/>
      <c r="JZG39" s="926"/>
      <c r="JZH39" s="926"/>
      <c r="JZI39" s="926"/>
      <c r="JZJ39" s="926"/>
      <c r="JZK39" s="926"/>
      <c r="JZL39" s="926"/>
      <c r="JZM39" s="926"/>
      <c r="JZN39" s="926"/>
      <c r="JZO39" s="926"/>
      <c r="JZP39" s="926"/>
      <c r="JZQ39" s="926"/>
      <c r="JZR39" s="926"/>
      <c r="JZS39" s="926"/>
      <c r="JZT39" s="926"/>
      <c r="JZU39" s="926"/>
      <c r="JZV39" s="926"/>
      <c r="JZW39" s="926"/>
      <c r="JZX39" s="926"/>
      <c r="JZY39" s="926"/>
      <c r="JZZ39" s="926"/>
      <c r="KAA39" s="926"/>
      <c r="KAB39" s="926"/>
      <c r="KAC39" s="926"/>
      <c r="KAD39" s="926"/>
      <c r="KAE39" s="926"/>
      <c r="KAF39" s="926"/>
      <c r="KAG39" s="926"/>
      <c r="KAH39" s="926"/>
      <c r="KAI39" s="926"/>
      <c r="KAJ39" s="926"/>
      <c r="KAK39" s="926"/>
      <c r="KAL39" s="926"/>
      <c r="KAM39" s="926"/>
      <c r="KAN39" s="926"/>
      <c r="KAO39" s="926"/>
      <c r="KAP39" s="926"/>
      <c r="KAQ39" s="926"/>
      <c r="KAR39" s="926"/>
      <c r="KAS39" s="926"/>
      <c r="KAT39" s="926"/>
      <c r="KAU39" s="926"/>
      <c r="KAV39" s="926"/>
      <c r="KAW39" s="926"/>
      <c r="KAX39" s="926"/>
      <c r="KAY39" s="926"/>
      <c r="KAZ39" s="926"/>
      <c r="KBA39" s="926"/>
      <c r="KBB39" s="926"/>
      <c r="KBC39" s="926"/>
      <c r="KBD39" s="926"/>
      <c r="KBE39" s="926"/>
      <c r="KBF39" s="926"/>
      <c r="KBG39" s="926"/>
      <c r="KBH39" s="926"/>
      <c r="KBI39" s="926"/>
      <c r="KBJ39" s="926"/>
      <c r="KBK39" s="926"/>
      <c r="KBL39" s="926"/>
      <c r="KBM39" s="926"/>
      <c r="KBN39" s="926"/>
      <c r="KBO39" s="926"/>
      <c r="KBP39" s="926"/>
      <c r="KBQ39" s="926"/>
      <c r="KBR39" s="926"/>
      <c r="KBS39" s="926"/>
      <c r="KBT39" s="926"/>
      <c r="KBU39" s="926"/>
      <c r="KBV39" s="926"/>
      <c r="KBW39" s="926"/>
      <c r="KBX39" s="926"/>
      <c r="KBY39" s="926"/>
      <c r="KBZ39" s="926"/>
      <c r="KCA39" s="926"/>
      <c r="KCB39" s="926"/>
      <c r="KCC39" s="926"/>
      <c r="KCD39" s="926"/>
      <c r="KCE39" s="926"/>
      <c r="KCF39" s="926"/>
      <c r="KCG39" s="926"/>
      <c r="KCH39" s="926"/>
      <c r="KCI39" s="926"/>
      <c r="KCJ39" s="926"/>
      <c r="KCK39" s="926"/>
      <c r="KCL39" s="926"/>
      <c r="KCM39" s="926"/>
      <c r="KCN39" s="926"/>
      <c r="KCO39" s="926"/>
      <c r="KCP39" s="926"/>
      <c r="KCQ39" s="926"/>
      <c r="KCR39" s="926"/>
      <c r="KCS39" s="926"/>
      <c r="KCT39" s="926"/>
      <c r="KCU39" s="926"/>
      <c r="KCV39" s="926"/>
      <c r="KCW39" s="926"/>
      <c r="KCX39" s="926"/>
      <c r="KCY39" s="926"/>
      <c r="KCZ39" s="926"/>
      <c r="KDA39" s="926"/>
      <c r="KDB39" s="926"/>
      <c r="KDC39" s="926"/>
      <c r="KDD39" s="926"/>
      <c r="KDE39" s="926"/>
      <c r="KDF39" s="926"/>
      <c r="KDG39" s="926"/>
      <c r="KDH39" s="926"/>
      <c r="KDI39" s="926"/>
      <c r="KDJ39" s="926"/>
      <c r="KDK39" s="926"/>
      <c r="KDL39" s="926"/>
      <c r="KDM39" s="926"/>
      <c r="KDN39" s="926"/>
      <c r="KDO39" s="926"/>
      <c r="KDP39" s="926"/>
      <c r="KDQ39" s="926"/>
      <c r="KDR39" s="926"/>
      <c r="KDS39" s="926"/>
      <c r="KDT39" s="926"/>
      <c r="KDU39" s="926"/>
      <c r="KDV39" s="926"/>
      <c r="KDW39" s="926"/>
      <c r="KDX39" s="926"/>
      <c r="KDY39" s="926"/>
      <c r="KDZ39" s="926"/>
      <c r="KEA39" s="926"/>
      <c r="KEB39" s="926"/>
      <c r="KEC39" s="926"/>
      <c r="KED39" s="926"/>
      <c r="KEE39" s="926"/>
      <c r="KEF39" s="926"/>
      <c r="KEG39" s="926"/>
      <c r="KEH39" s="926"/>
      <c r="KEI39" s="926"/>
      <c r="KEJ39" s="926"/>
      <c r="KEK39" s="926"/>
      <c r="KEL39" s="926"/>
      <c r="KEM39" s="926"/>
      <c r="KEN39" s="926"/>
      <c r="KEO39" s="926"/>
      <c r="KEP39" s="926"/>
      <c r="KEQ39" s="926"/>
      <c r="KER39" s="926"/>
      <c r="KES39" s="926"/>
      <c r="KET39" s="926"/>
      <c r="KEU39" s="926"/>
      <c r="KEV39" s="926"/>
      <c r="KEW39" s="926"/>
      <c r="KEX39" s="926"/>
      <c r="KEY39" s="926"/>
      <c r="KEZ39" s="926"/>
      <c r="KFA39" s="926"/>
      <c r="KFB39" s="926"/>
      <c r="KFC39" s="926"/>
      <c r="KFD39" s="926"/>
      <c r="KFE39" s="926"/>
      <c r="KFF39" s="926"/>
      <c r="KFG39" s="926"/>
      <c r="KFH39" s="926"/>
      <c r="KFI39" s="926"/>
      <c r="KFJ39" s="926"/>
      <c r="KFK39" s="926"/>
      <c r="KFL39" s="926"/>
      <c r="KFM39" s="926"/>
      <c r="KFN39" s="926"/>
      <c r="KFO39" s="926"/>
      <c r="KFP39" s="926"/>
      <c r="KFQ39" s="926"/>
      <c r="KFR39" s="926"/>
      <c r="KFS39" s="926"/>
      <c r="KFT39" s="926"/>
      <c r="KFU39" s="926"/>
      <c r="KFV39" s="926"/>
      <c r="KFW39" s="926"/>
      <c r="KFX39" s="926"/>
      <c r="KFY39" s="926"/>
      <c r="KFZ39" s="926"/>
      <c r="KGA39" s="926"/>
      <c r="KGB39" s="926"/>
      <c r="KGC39" s="926"/>
      <c r="KGD39" s="926"/>
      <c r="KGE39" s="926"/>
      <c r="KGF39" s="926"/>
      <c r="KGG39" s="926"/>
      <c r="KGH39" s="926"/>
      <c r="KGI39" s="926"/>
      <c r="KGJ39" s="926"/>
      <c r="KGK39" s="926"/>
      <c r="KGL39" s="926"/>
      <c r="KGM39" s="926"/>
      <c r="KGN39" s="926"/>
      <c r="KGO39" s="926"/>
      <c r="KGP39" s="926"/>
      <c r="KGQ39" s="926"/>
      <c r="KGR39" s="926"/>
      <c r="KGS39" s="926"/>
      <c r="KGT39" s="926"/>
      <c r="KGU39" s="926"/>
      <c r="KGV39" s="926"/>
      <c r="KGW39" s="926"/>
      <c r="KGX39" s="926"/>
      <c r="KGY39" s="926"/>
      <c r="KGZ39" s="926"/>
      <c r="KHA39" s="926"/>
      <c r="KHB39" s="926"/>
      <c r="KHC39" s="926"/>
      <c r="KHD39" s="926"/>
      <c r="KHE39" s="926"/>
      <c r="KHF39" s="926"/>
      <c r="KHG39" s="926"/>
      <c r="KHH39" s="926"/>
      <c r="KHI39" s="926"/>
      <c r="KHJ39" s="926"/>
      <c r="KHK39" s="926"/>
      <c r="KHL39" s="926"/>
      <c r="KHM39" s="926"/>
      <c r="KHN39" s="926"/>
      <c r="KHO39" s="926"/>
      <c r="KHP39" s="926"/>
      <c r="KHQ39" s="926"/>
      <c r="KHR39" s="926"/>
      <c r="KHS39" s="926"/>
      <c r="KHT39" s="926"/>
      <c r="KHU39" s="926"/>
      <c r="KHV39" s="926"/>
      <c r="KHW39" s="926"/>
      <c r="KHX39" s="926"/>
      <c r="KHY39" s="926"/>
      <c r="KHZ39" s="926"/>
      <c r="KIA39" s="926"/>
      <c r="KIB39" s="926"/>
      <c r="KIC39" s="926"/>
      <c r="KID39" s="926"/>
      <c r="KIE39" s="926"/>
      <c r="KIF39" s="926"/>
      <c r="KIG39" s="926"/>
      <c r="KIH39" s="926"/>
      <c r="KII39" s="926"/>
      <c r="KIJ39" s="926"/>
      <c r="KIK39" s="926"/>
      <c r="KIL39" s="926"/>
      <c r="KIM39" s="926"/>
      <c r="KIN39" s="926"/>
      <c r="KIO39" s="926"/>
      <c r="KIP39" s="926"/>
      <c r="KIQ39" s="926"/>
      <c r="KIR39" s="926"/>
      <c r="KIS39" s="926"/>
      <c r="KIT39" s="926"/>
      <c r="KIU39" s="926"/>
      <c r="KIV39" s="926"/>
      <c r="KIW39" s="926"/>
      <c r="KIX39" s="926"/>
      <c r="KIY39" s="926"/>
      <c r="KIZ39" s="926"/>
      <c r="KJA39" s="926"/>
      <c r="KJB39" s="926"/>
      <c r="KJC39" s="926"/>
      <c r="KJD39" s="926"/>
      <c r="KJE39" s="926"/>
      <c r="KJF39" s="926"/>
      <c r="KJG39" s="926"/>
      <c r="KJH39" s="926"/>
      <c r="KJI39" s="926"/>
      <c r="KJJ39" s="926"/>
      <c r="KJK39" s="926"/>
      <c r="KJL39" s="926"/>
      <c r="KJM39" s="926"/>
      <c r="KJN39" s="926"/>
      <c r="KJO39" s="926"/>
      <c r="KJP39" s="926"/>
      <c r="KJQ39" s="926"/>
      <c r="KJR39" s="926"/>
      <c r="KJS39" s="926"/>
      <c r="KJT39" s="926"/>
      <c r="KJU39" s="926"/>
      <c r="KJV39" s="926"/>
      <c r="KJW39" s="926"/>
      <c r="KJX39" s="926"/>
      <c r="KJY39" s="926"/>
      <c r="KJZ39" s="926"/>
      <c r="KKA39" s="926"/>
      <c r="KKB39" s="926"/>
      <c r="KKC39" s="926"/>
      <c r="KKD39" s="926"/>
      <c r="KKE39" s="926"/>
      <c r="KKF39" s="926"/>
      <c r="KKG39" s="926"/>
      <c r="KKH39" s="926"/>
      <c r="KKI39" s="926"/>
      <c r="KKJ39" s="926"/>
      <c r="KKK39" s="926"/>
      <c r="KKL39" s="926"/>
      <c r="KKM39" s="926"/>
      <c r="KKN39" s="926"/>
      <c r="KKO39" s="926"/>
      <c r="KKP39" s="926"/>
      <c r="KKQ39" s="926"/>
      <c r="KKR39" s="926"/>
      <c r="KKS39" s="926"/>
      <c r="KKT39" s="926"/>
      <c r="KKU39" s="926"/>
      <c r="KKV39" s="926"/>
      <c r="KKW39" s="926"/>
      <c r="KKX39" s="926"/>
      <c r="KKY39" s="926"/>
      <c r="KKZ39" s="926"/>
      <c r="KLA39" s="926"/>
      <c r="KLB39" s="926"/>
      <c r="KLC39" s="926"/>
      <c r="KLD39" s="926"/>
      <c r="KLE39" s="926"/>
      <c r="KLF39" s="926"/>
      <c r="KLG39" s="926"/>
      <c r="KLH39" s="926"/>
      <c r="KLI39" s="926"/>
      <c r="KLJ39" s="926"/>
      <c r="KLK39" s="926"/>
      <c r="KLL39" s="926"/>
      <c r="KLM39" s="926"/>
      <c r="KLN39" s="926"/>
      <c r="KLO39" s="926"/>
      <c r="KLP39" s="926"/>
      <c r="KLQ39" s="926"/>
      <c r="KLR39" s="926"/>
      <c r="KLS39" s="926"/>
      <c r="KLT39" s="926"/>
      <c r="KLU39" s="926"/>
      <c r="KLV39" s="926"/>
      <c r="KLW39" s="926"/>
      <c r="KLX39" s="926"/>
      <c r="KLY39" s="926"/>
      <c r="KLZ39" s="926"/>
      <c r="KMA39" s="926"/>
      <c r="KMB39" s="926"/>
      <c r="KMC39" s="926"/>
      <c r="KMD39" s="926"/>
      <c r="KME39" s="926"/>
      <c r="KMF39" s="926"/>
      <c r="KMG39" s="926"/>
      <c r="KMH39" s="926"/>
      <c r="KMI39" s="926"/>
      <c r="KMJ39" s="926"/>
      <c r="KMK39" s="926"/>
      <c r="KML39" s="926"/>
      <c r="KMM39" s="926"/>
      <c r="KMN39" s="926"/>
      <c r="KMO39" s="926"/>
      <c r="KMP39" s="926"/>
      <c r="KMQ39" s="926"/>
      <c r="KMR39" s="926"/>
      <c r="KMS39" s="926"/>
      <c r="KMT39" s="926"/>
      <c r="KMU39" s="926"/>
      <c r="KMV39" s="926"/>
      <c r="KMW39" s="926"/>
      <c r="KMX39" s="926"/>
      <c r="KMY39" s="926"/>
      <c r="KMZ39" s="926"/>
      <c r="KNA39" s="926"/>
      <c r="KNB39" s="926"/>
      <c r="KNC39" s="926"/>
      <c r="KND39" s="926"/>
      <c r="KNE39" s="926"/>
      <c r="KNF39" s="926"/>
      <c r="KNG39" s="926"/>
      <c r="KNH39" s="926"/>
      <c r="KNI39" s="926"/>
      <c r="KNJ39" s="926"/>
      <c r="KNK39" s="926"/>
      <c r="KNL39" s="926"/>
      <c r="KNM39" s="926"/>
      <c r="KNN39" s="926"/>
      <c r="KNO39" s="926"/>
      <c r="KNP39" s="926"/>
      <c r="KNQ39" s="926"/>
      <c r="KNR39" s="926"/>
      <c r="KNS39" s="926"/>
      <c r="KNT39" s="926"/>
      <c r="KNU39" s="926"/>
      <c r="KNV39" s="926"/>
      <c r="KNW39" s="926"/>
      <c r="KNX39" s="926"/>
      <c r="KNY39" s="926"/>
      <c r="KNZ39" s="926"/>
      <c r="KOA39" s="926"/>
      <c r="KOB39" s="926"/>
      <c r="KOC39" s="926"/>
      <c r="KOD39" s="926"/>
      <c r="KOE39" s="926"/>
      <c r="KOF39" s="926"/>
      <c r="KOG39" s="926"/>
      <c r="KOH39" s="926"/>
      <c r="KOI39" s="926"/>
      <c r="KOJ39" s="926"/>
      <c r="KOK39" s="926"/>
      <c r="KOL39" s="926"/>
      <c r="KOM39" s="926"/>
      <c r="KON39" s="926"/>
      <c r="KOO39" s="926"/>
      <c r="KOP39" s="926"/>
      <c r="KOQ39" s="926"/>
      <c r="KOR39" s="926"/>
      <c r="KOS39" s="926"/>
      <c r="KOT39" s="926"/>
      <c r="KOU39" s="926"/>
      <c r="KOV39" s="926"/>
      <c r="KOW39" s="926"/>
      <c r="KOX39" s="926"/>
      <c r="KOY39" s="926"/>
      <c r="KOZ39" s="926"/>
      <c r="KPA39" s="926"/>
      <c r="KPB39" s="926"/>
      <c r="KPC39" s="926"/>
      <c r="KPD39" s="926"/>
      <c r="KPE39" s="926"/>
      <c r="KPF39" s="926"/>
      <c r="KPG39" s="926"/>
      <c r="KPH39" s="926"/>
      <c r="KPI39" s="926"/>
      <c r="KPJ39" s="926"/>
      <c r="KPK39" s="926"/>
      <c r="KPL39" s="926"/>
      <c r="KPM39" s="926"/>
      <c r="KPN39" s="926"/>
      <c r="KPO39" s="926"/>
      <c r="KPP39" s="926"/>
      <c r="KPQ39" s="926"/>
      <c r="KPR39" s="926"/>
      <c r="KPS39" s="926"/>
      <c r="KPT39" s="926"/>
      <c r="KPU39" s="926"/>
      <c r="KPV39" s="926"/>
      <c r="KPW39" s="926"/>
      <c r="KPX39" s="926"/>
      <c r="KPY39" s="926"/>
      <c r="KPZ39" s="926"/>
      <c r="KQA39" s="926"/>
      <c r="KQB39" s="926"/>
      <c r="KQC39" s="926"/>
      <c r="KQD39" s="926"/>
      <c r="KQE39" s="926"/>
      <c r="KQF39" s="926"/>
      <c r="KQG39" s="926"/>
      <c r="KQH39" s="926"/>
      <c r="KQI39" s="926"/>
      <c r="KQJ39" s="926"/>
      <c r="KQK39" s="926"/>
      <c r="KQL39" s="926"/>
      <c r="KQM39" s="926"/>
      <c r="KQN39" s="926"/>
      <c r="KQO39" s="926"/>
      <c r="KQP39" s="926"/>
      <c r="KQQ39" s="926"/>
      <c r="KQR39" s="926"/>
      <c r="KQS39" s="926"/>
      <c r="KQT39" s="926"/>
      <c r="KQU39" s="926"/>
      <c r="KQV39" s="926"/>
      <c r="KQW39" s="926"/>
      <c r="KQX39" s="926"/>
      <c r="KQY39" s="926"/>
      <c r="KQZ39" s="926"/>
      <c r="KRA39" s="926"/>
      <c r="KRB39" s="926"/>
      <c r="KRC39" s="926"/>
      <c r="KRD39" s="926"/>
      <c r="KRE39" s="926"/>
      <c r="KRF39" s="926"/>
      <c r="KRG39" s="926"/>
      <c r="KRH39" s="926"/>
      <c r="KRI39" s="926"/>
      <c r="KRJ39" s="926"/>
      <c r="KRK39" s="926"/>
      <c r="KRL39" s="926"/>
      <c r="KRM39" s="926"/>
      <c r="KRN39" s="926"/>
      <c r="KRO39" s="926"/>
      <c r="KRP39" s="926"/>
      <c r="KRQ39" s="926"/>
      <c r="KRR39" s="926"/>
      <c r="KRS39" s="926"/>
      <c r="KRT39" s="926"/>
      <c r="KRU39" s="926"/>
      <c r="KRV39" s="926"/>
      <c r="KRW39" s="926"/>
      <c r="KRX39" s="926"/>
      <c r="KRY39" s="926"/>
      <c r="KRZ39" s="926"/>
      <c r="KSA39" s="926"/>
      <c r="KSB39" s="926"/>
      <c r="KSC39" s="926"/>
      <c r="KSD39" s="926"/>
      <c r="KSE39" s="926"/>
      <c r="KSF39" s="926"/>
      <c r="KSG39" s="926"/>
      <c r="KSH39" s="926"/>
      <c r="KSI39" s="926"/>
      <c r="KSJ39" s="926"/>
      <c r="KSK39" s="926"/>
      <c r="KSL39" s="926"/>
      <c r="KSM39" s="926"/>
      <c r="KSN39" s="926"/>
      <c r="KSO39" s="926"/>
      <c r="KSP39" s="926"/>
      <c r="KSQ39" s="926"/>
      <c r="KSR39" s="926"/>
      <c r="KSS39" s="926"/>
      <c r="KST39" s="926"/>
      <c r="KSU39" s="926"/>
      <c r="KSV39" s="926"/>
      <c r="KSW39" s="926"/>
      <c r="KSX39" s="926"/>
      <c r="KSY39" s="926"/>
      <c r="KSZ39" s="926"/>
      <c r="KTA39" s="926"/>
      <c r="KTB39" s="926"/>
      <c r="KTC39" s="926"/>
      <c r="KTD39" s="926"/>
      <c r="KTE39" s="926"/>
      <c r="KTF39" s="926"/>
      <c r="KTG39" s="926"/>
      <c r="KTH39" s="926"/>
      <c r="KTI39" s="926"/>
      <c r="KTJ39" s="926"/>
      <c r="KTK39" s="926"/>
      <c r="KTL39" s="926"/>
      <c r="KTM39" s="926"/>
      <c r="KTN39" s="926"/>
      <c r="KTO39" s="926"/>
      <c r="KTP39" s="926"/>
      <c r="KTQ39" s="926"/>
      <c r="KTR39" s="926"/>
      <c r="KTS39" s="926"/>
      <c r="KTT39" s="926"/>
      <c r="KTU39" s="926"/>
      <c r="KTV39" s="926"/>
      <c r="KTW39" s="926"/>
      <c r="KTX39" s="926"/>
      <c r="KTY39" s="926"/>
      <c r="KTZ39" s="926"/>
      <c r="KUA39" s="926"/>
      <c r="KUB39" s="926"/>
      <c r="KUC39" s="926"/>
      <c r="KUD39" s="926"/>
      <c r="KUE39" s="926"/>
      <c r="KUF39" s="926"/>
      <c r="KUG39" s="926"/>
      <c r="KUH39" s="926"/>
      <c r="KUI39" s="926"/>
      <c r="KUJ39" s="926"/>
      <c r="KUK39" s="926"/>
      <c r="KUL39" s="926"/>
      <c r="KUM39" s="926"/>
      <c r="KUN39" s="926"/>
      <c r="KUO39" s="926"/>
      <c r="KUP39" s="926"/>
      <c r="KUQ39" s="926"/>
      <c r="KUR39" s="926"/>
      <c r="KUS39" s="926"/>
      <c r="KUT39" s="926"/>
      <c r="KUU39" s="926"/>
      <c r="KUV39" s="926"/>
      <c r="KUW39" s="926"/>
      <c r="KUX39" s="926"/>
      <c r="KUY39" s="926"/>
      <c r="KUZ39" s="926"/>
      <c r="KVA39" s="926"/>
      <c r="KVB39" s="926"/>
      <c r="KVC39" s="926"/>
      <c r="KVD39" s="926"/>
      <c r="KVE39" s="926"/>
      <c r="KVF39" s="926"/>
      <c r="KVG39" s="926"/>
      <c r="KVH39" s="926"/>
      <c r="KVI39" s="926"/>
      <c r="KVJ39" s="926"/>
      <c r="KVK39" s="926"/>
      <c r="KVL39" s="926"/>
      <c r="KVM39" s="926"/>
      <c r="KVN39" s="926"/>
      <c r="KVO39" s="926"/>
      <c r="KVP39" s="926"/>
      <c r="KVQ39" s="926"/>
      <c r="KVR39" s="926"/>
      <c r="KVS39" s="926"/>
      <c r="KVT39" s="926"/>
      <c r="KVU39" s="926"/>
      <c r="KVV39" s="926"/>
      <c r="KVW39" s="926"/>
      <c r="KVX39" s="926"/>
      <c r="KVY39" s="926"/>
      <c r="KVZ39" s="926"/>
      <c r="KWA39" s="926"/>
      <c r="KWB39" s="926"/>
      <c r="KWC39" s="926"/>
      <c r="KWD39" s="926"/>
      <c r="KWE39" s="926"/>
      <c r="KWF39" s="926"/>
      <c r="KWG39" s="926"/>
      <c r="KWH39" s="926"/>
      <c r="KWI39" s="926"/>
      <c r="KWJ39" s="926"/>
      <c r="KWK39" s="926"/>
      <c r="KWL39" s="926"/>
      <c r="KWM39" s="926"/>
      <c r="KWN39" s="926"/>
      <c r="KWO39" s="926"/>
      <c r="KWP39" s="926"/>
      <c r="KWQ39" s="926"/>
      <c r="KWR39" s="926"/>
      <c r="KWS39" s="926"/>
      <c r="KWT39" s="926"/>
      <c r="KWU39" s="926"/>
      <c r="KWV39" s="926"/>
      <c r="KWW39" s="926"/>
      <c r="KWX39" s="926"/>
      <c r="KWY39" s="926"/>
      <c r="KWZ39" s="926"/>
      <c r="KXA39" s="926"/>
      <c r="KXB39" s="926"/>
      <c r="KXC39" s="926"/>
      <c r="KXD39" s="926"/>
      <c r="KXE39" s="926"/>
      <c r="KXF39" s="926"/>
      <c r="KXG39" s="926"/>
      <c r="KXH39" s="926"/>
      <c r="KXI39" s="926"/>
      <c r="KXJ39" s="926"/>
      <c r="KXK39" s="926"/>
      <c r="KXL39" s="926"/>
      <c r="KXM39" s="926"/>
      <c r="KXN39" s="926"/>
      <c r="KXO39" s="926"/>
      <c r="KXP39" s="926"/>
      <c r="KXQ39" s="926"/>
      <c r="KXR39" s="926"/>
      <c r="KXS39" s="926"/>
      <c r="KXT39" s="926"/>
      <c r="KXU39" s="926"/>
      <c r="KXV39" s="926"/>
      <c r="KXW39" s="926"/>
      <c r="KXX39" s="926"/>
      <c r="KXY39" s="926"/>
      <c r="KXZ39" s="926"/>
      <c r="KYA39" s="926"/>
      <c r="KYB39" s="926"/>
      <c r="KYC39" s="926"/>
      <c r="KYD39" s="926"/>
      <c r="KYE39" s="926"/>
      <c r="KYF39" s="926"/>
      <c r="KYG39" s="926"/>
      <c r="KYH39" s="926"/>
      <c r="KYI39" s="926"/>
      <c r="KYJ39" s="926"/>
      <c r="KYK39" s="926"/>
      <c r="KYL39" s="926"/>
      <c r="KYM39" s="926"/>
      <c r="KYN39" s="926"/>
      <c r="KYO39" s="926"/>
      <c r="KYP39" s="926"/>
      <c r="KYQ39" s="926"/>
      <c r="KYR39" s="926"/>
      <c r="KYS39" s="926"/>
      <c r="KYT39" s="926"/>
      <c r="KYU39" s="926"/>
      <c r="KYV39" s="926"/>
      <c r="KYW39" s="926"/>
      <c r="KYX39" s="926"/>
      <c r="KYY39" s="926"/>
      <c r="KYZ39" s="926"/>
      <c r="KZA39" s="926"/>
      <c r="KZB39" s="926"/>
      <c r="KZC39" s="926"/>
      <c r="KZD39" s="926"/>
      <c r="KZE39" s="926"/>
      <c r="KZF39" s="926"/>
      <c r="KZG39" s="926"/>
      <c r="KZH39" s="926"/>
      <c r="KZI39" s="926"/>
      <c r="KZJ39" s="926"/>
      <c r="KZK39" s="926"/>
      <c r="KZL39" s="926"/>
      <c r="KZM39" s="926"/>
      <c r="KZN39" s="926"/>
      <c r="KZO39" s="926"/>
      <c r="KZP39" s="926"/>
      <c r="KZQ39" s="926"/>
      <c r="KZR39" s="926"/>
      <c r="KZS39" s="926"/>
      <c r="KZT39" s="926"/>
      <c r="KZU39" s="926"/>
      <c r="KZV39" s="926"/>
      <c r="KZW39" s="926"/>
      <c r="KZX39" s="926"/>
      <c r="KZY39" s="926"/>
      <c r="KZZ39" s="926"/>
      <c r="LAA39" s="926"/>
      <c r="LAB39" s="926"/>
      <c r="LAC39" s="926"/>
      <c r="LAD39" s="926"/>
      <c r="LAE39" s="926"/>
      <c r="LAF39" s="926"/>
      <c r="LAG39" s="926"/>
      <c r="LAH39" s="926"/>
      <c r="LAI39" s="926"/>
      <c r="LAJ39" s="926"/>
      <c r="LAK39" s="926"/>
      <c r="LAL39" s="926"/>
      <c r="LAM39" s="926"/>
      <c r="LAN39" s="926"/>
      <c r="LAO39" s="926"/>
      <c r="LAP39" s="926"/>
      <c r="LAQ39" s="926"/>
      <c r="LAR39" s="926"/>
      <c r="LAS39" s="926"/>
      <c r="LAT39" s="926"/>
      <c r="LAU39" s="926"/>
      <c r="LAV39" s="926"/>
      <c r="LAW39" s="926"/>
      <c r="LAX39" s="926"/>
      <c r="LAY39" s="926"/>
      <c r="LAZ39" s="926"/>
      <c r="LBA39" s="926"/>
      <c r="LBB39" s="926"/>
      <c r="LBC39" s="926"/>
      <c r="LBD39" s="926"/>
      <c r="LBE39" s="926"/>
      <c r="LBF39" s="926"/>
      <c r="LBG39" s="926"/>
      <c r="LBH39" s="926"/>
      <c r="LBI39" s="926"/>
      <c r="LBJ39" s="926"/>
      <c r="LBK39" s="926"/>
      <c r="LBL39" s="926"/>
      <c r="LBM39" s="926"/>
      <c r="LBN39" s="926"/>
      <c r="LBO39" s="926"/>
      <c r="LBP39" s="926"/>
      <c r="LBQ39" s="926"/>
      <c r="LBR39" s="926"/>
      <c r="LBS39" s="926"/>
      <c r="LBT39" s="926"/>
      <c r="LBU39" s="926"/>
      <c r="LBV39" s="926"/>
      <c r="LBW39" s="926"/>
      <c r="LBX39" s="926"/>
      <c r="LBY39" s="926"/>
      <c r="LBZ39" s="926"/>
      <c r="LCA39" s="926"/>
      <c r="LCB39" s="926"/>
      <c r="LCC39" s="926"/>
      <c r="LCD39" s="926"/>
      <c r="LCE39" s="926"/>
      <c r="LCF39" s="926"/>
      <c r="LCG39" s="926"/>
      <c r="LCH39" s="926"/>
      <c r="LCI39" s="926"/>
      <c r="LCJ39" s="926"/>
      <c r="LCK39" s="926"/>
      <c r="LCL39" s="926"/>
      <c r="LCM39" s="926"/>
      <c r="LCN39" s="926"/>
      <c r="LCO39" s="926"/>
      <c r="LCP39" s="926"/>
      <c r="LCQ39" s="926"/>
      <c r="LCR39" s="926"/>
      <c r="LCS39" s="926"/>
      <c r="LCT39" s="926"/>
      <c r="LCU39" s="926"/>
      <c r="LCV39" s="926"/>
      <c r="LCW39" s="926"/>
      <c r="LCX39" s="926"/>
      <c r="LCY39" s="926"/>
      <c r="LCZ39" s="926"/>
      <c r="LDA39" s="926"/>
      <c r="LDB39" s="926"/>
      <c r="LDC39" s="926"/>
      <c r="LDD39" s="926"/>
      <c r="LDE39" s="926"/>
      <c r="LDF39" s="926"/>
      <c r="LDG39" s="926"/>
      <c r="LDH39" s="926"/>
      <c r="LDI39" s="926"/>
      <c r="LDJ39" s="926"/>
      <c r="LDK39" s="926"/>
      <c r="LDL39" s="926"/>
      <c r="LDM39" s="926"/>
      <c r="LDN39" s="926"/>
      <c r="LDO39" s="926"/>
      <c r="LDP39" s="926"/>
      <c r="LDQ39" s="926"/>
      <c r="LDR39" s="926"/>
      <c r="LDS39" s="926"/>
      <c r="LDT39" s="926"/>
      <c r="LDU39" s="926"/>
      <c r="LDV39" s="926"/>
      <c r="LDW39" s="926"/>
      <c r="LDX39" s="926"/>
      <c r="LDY39" s="926"/>
      <c r="LDZ39" s="926"/>
      <c r="LEA39" s="926"/>
      <c r="LEB39" s="926"/>
      <c r="LEC39" s="926"/>
      <c r="LED39" s="926"/>
      <c r="LEE39" s="926"/>
      <c r="LEF39" s="926"/>
      <c r="LEG39" s="926"/>
      <c r="LEH39" s="926"/>
      <c r="LEI39" s="926"/>
      <c r="LEJ39" s="926"/>
      <c r="LEK39" s="926"/>
      <c r="LEL39" s="926"/>
      <c r="LEM39" s="926"/>
      <c r="LEN39" s="926"/>
      <c r="LEO39" s="926"/>
      <c r="LEP39" s="926"/>
      <c r="LEQ39" s="926"/>
      <c r="LER39" s="926"/>
      <c r="LES39" s="926"/>
      <c r="LET39" s="926"/>
      <c r="LEU39" s="926"/>
      <c r="LEV39" s="926"/>
      <c r="LEW39" s="926"/>
      <c r="LEX39" s="926"/>
      <c r="LEY39" s="926"/>
      <c r="LEZ39" s="926"/>
      <c r="LFA39" s="926"/>
      <c r="LFB39" s="926"/>
      <c r="LFC39" s="926"/>
      <c r="LFD39" s="926"/>
      <c r="LFE39" s="926"/>
      <c r="LFF39" s="926"/>
      <c r="LFG39" s="926"/>
      <c r="LFH39" s="926"/>
      <c r="LFI39" s="926"/>
      <c r="LFJ39" s="926"/>
      <c r="LFK39" s="926"/>
      <c r="LFL39" s="926"/>
      <c r="LFM39" s="926"/>
      <c r="LFN39" s="926"/>
      <c r="LFO39" s="926"/>
      <c r="LFP39" s="926"/>
      <c r="LFQ39" s="926"/>
      <c r="LFR39" s="926"/>
      <c r="LFS39" s="926"/>
      <c r="LFT39" s="926"/>
      <c r="LFU39" s="926"/>
      <c r="LFV39" s="926"/>
      <c r="LFW39" s="926"/>
      <c r="LFX39" s="926"/>
      <c r="LFY39" s="926"/>
      <c r="LFZ39" s="926"/>
      <c r="LGA39" s="926"/>
      <c r="LGB39" s="926"/>
      <c r="LGC39" s="926"/>
      <c r="LGD39" s="926"/>
      <c r="LGE39" s="926"/>
      <c r="LGF39" s="926"/>
      <c r="LGG39" s="926"/>
      <c r="LGH39" s="926"/>
      <c r="LGI39" s="926"/>
      <c r="LGJ39" s="926"/>
      <c r="LGK39" s="926"/>
      <c r="LGL39" s="926"/>
      <c r="LGM39" s="926"/>
      <c r="LGN39" s="926"/>
      <c r="LGO39" s="926"/>
      <c r="LGP39" s="926"/>
      <c r="LGQ39" s="926"/>
      <c r="LGR39" s="926"/>
      <c r="LGS39" s="926"/>
      <c r="LGT39" s="926"/>
      <c r="LGU39" s="926"/>
      <c r="LGV39" s="926"/>
      <c r="LGW39" s="926"/>
      <c r="LGX39" s="926"/>
      <c r="LGY39" s="926"/>
      <c r="LGZ39" s="926"/>
      <c r="LHA39" s="926"/>
      <c r="LHB39" s="926"/>
      <c r="LHC39" s="926"/>
      <c r="LHD39" s="926"/>
      <c r="LHE39" s="926"/>
      <c r="LHF39" s="926"/>
      <c r="LHG39" s="926"/>
      <c r="LHH39" s="926"/>
      <c r="LHI39" s="926"/>
      <c r="LHJ39" s="926"/>
      <c r="LHK39" s="926"/>
      <c r="LHL39" s="926"/>
      <c r="LHM39" s="926"/>
      <c r="LHN39" s="926"/>
      <c r="LHO39" s="926"/>
      <c r="LHP39" s="926"/>
      <c r="LHQ39" s="926"/>
      <c r="LHR39" s="926"/>
      <c r="LHS39" s="926"/>
      <c r="LHT39" s="926"/>
      <c r="LHU39" s="926"/>
      <c r="LHV39" s="926"/>
      <c r="LHW39" s="926"/>
      <c r="LHX39" s="926"/>
      <c r="LHY39" s="926"/>
      <c r="LHZ39" s="926"/>
      <c r="LIA39" s="926"/>
      <c r="LIB39" s="926"/>
      <c r="LIC39" s="926"/>
      <c r="LID39" s="926"/>
      <c r="LIE39" s="926"/>
      <c r="LIF39" s="926"/>
      <c r="LIG39" s="926"/>
      <c r="LIH39" s="926"/>
      <c r="LII39" s="926"/>
      <c r="LIJ39" s="926"/>
      <c r="LIK39" s="926"/>
      <c r="LIL39" s="926"/>
      <c r="LIM39" s="926"/>
      <c r="LIN39" s="926"/>
      <c r="LIO39" s="926"/>
      <c r="LIP39" s="926"/>
      <c r="LIQ39" s="926"/>
      <c r="LIR39" s="926"/>
      <c r="LIS39" s="926"/>
      <c r="LIT39" s="926"/>
      <c r="LIU39" s="926"/>
      <c r="LIV39" s="926"/>
      <c r="LIW39" s="926"/>
      <c r="LIX39" s="926"/>
      <c r="LIY39" s="926"/>
      <c r="LIZ39" s="926"/>
      <c r="LJA39" s="926"/>
      <c r="LJB39" s="926"/>
      <c r="LJC39" s="926"/>
      <c r="LJD39" s="926"/>
      <c r="LJE39" s="926"/>
      <c r="LJF39" s="926"/>
      <c r="LJG39" s="926"/>
      <c r="LJH39" s="926"/>
      <c r="LJI39" s="926"/>
      <c r="LJJ39" s="926"/>
      <c r="LJK39" s="926"/>
      <c r="LJL39" s="926"/>
      <c r="LJM39" s="926"/>
      <c r="LJN39" s="926"/>
      <c r="LJO39" s="926"/>
      <c r="LJP39" s="926"/>
      <c r="LJQ39" s="926"/>
      <c r="LJR39" s="926"/>
      <c r="LJS39" s="926"/>
      <c r="LJT39" s="926"/>
      <c r="LJU39" s="926"/>
      <c r="LJV39" s="926"/>
      <c r="LJW39" s="926"/>
      <c r="LJX39" s="926"/>
      <c r="LJY39" s="926"/>
      <c r="LJZ39" s="926"/>
      <c r="LKA39" s="926"/>
      <c r="LKB39" s="926"/>
      <c r="LKC39" s="926"/>
      <c r="LKD39" s="926"/>
      <c r="LKE39" s="926"/>
      <c r="LKF39" s="926"/>
      <c r="LKG39" s="926"/>
      <c r="LKH39" s="926"/>
      <c r="LKI39" s="926"/>
      <c r="LKJ39" s="926"/>
      <c r="LKK39" s="926"/>
      <c r="LKL39" s="926"/>
      <c r="LKM39" s="926"/>
      <c r="LKN39" s="926"/>
      <c r="LKO39" s="926"/>
      <c r="LKP39" s="926"/>
      <c r="LKQ39" s="926"/>
      <c r="LKR39" s="926"/>
      <c r="LKS39" s="926"/>
      <c r="LKT39" s="926"/>
      <c r="LKU39" s="926"/>
      <c r="LKV39" s="926"/>
      <c r="LKW39" s="926"/>
      <c r="LKX39" s="926"/>
      <c r="LKY39" s="926"/>
      <c r="LKZ39" s="926"/>
      <c r="LLA39" s="926"/>
      <c r="LLB39" s="926"/>
      <c r="LLC39" s="926"/>
      <c r="LLD39" s="926"/>
      <c r="LLE39" s="926"/>
      <c r="LLF39" s="926"/>
      <c r="LLG39" s="926"/>
      <c r="LLH39" s="926"/>
      <c r="LLI39" s="926"/>
      <c r="LLJ39" s="926"/>
      <c r="LLK39" s="926"/>
      <c r="LLL39" s="926"/>
      <c r="LLM39" s="926"/>
      <c r="LLN39" s="926"/>
      <c r="LLO39" s="926"/>
      <c r="LLP39" s="926"/>
      <c r="LLQ39" s="926"/>
      <c r="LLR39" s="926"/>
      <c r="LLS39" s="926"/>
      <c r="LLT39" s="926"/>
      <c r="LLU39" s="926"/>
      <c r="LLV39" s="926"/>
      <c r="LLW39" s="926"/>
      <c r="LLX39" s="926"/>
      <c r="LLY39" s="926"/>
      <c r="LLZ39" s="926"/>
      <c r="LMA39" s="926"/>
      <c r="LMB39" s="926"/>
      <c r="LMC39" s="926"/>
      <c r="LMD39" s="926"/>
      <c r="LME39" s="926"/>
      <c r="LMF39" s="926"/>
      <c r="LMG39" s="926"/>
      <c r="LMH39" s="926"/>
      <c r="LMI39" s="926"/>
      <c r="LMJ39" s="926"/>
      <c r="LMK39" s="926"/>
      <c r="LML39" s="926"/>
      <c r="LMM39" s="926"/>
      <c r="LMN39" s="926"/>
      <c r="LMO39" s="926"/>
      <c r="LMP39" s="926"/>
      <c r="LMQ39" s="926"/>
      <c r="LMR39" s="926"/>
      <c r="LMS39" s="926"/>
      <c r="LMT39" s="926"/>
      <c r="LMU39" s="926"/>
      <c r="LMV39" s="926"/>
      <c r="LMW39" s="926"/>
      <c r="LMX39" s="926"/>
      <c r="LMY39" s="926"/>
      <c r="LMZ39" s="926"/>
      <c r="LNA39" s="926"/>
      <c r="LNB39" s="926"/>
      <c r="LNC39" s="926"/>
      <c r="LND39" s="926"/>
      <c r="LNE39" s="926"/>
      <c r="LNF39" s="926"/>
      <c r="LNG39" s="926"/>
      <c r="LNH39" s="926"/>
      <c r="LNI39" s="926"/>
      <c r="LNJ39" s="926"/>
      <c r="LNK39" s="926"/>
      <c r="LNL39" s="926"/>
      <c r="LNM39" s="926"/>
      <c r="LNN39" s="926"/>
      <c r="LNO39" s="926"/>
      <c r="LNP39" s="926"/>
      <c r="LNQ39" s="926"/>
      <c r="LNR39" s="926"/>
      <c r="LNS39" s="926"/>
      <c r="LNT39" s="926"/>
      <c r="LNU39" s="926"/>
      <c r="LNV39" s="926"/>
      <c r="LNW39" s="926"/>
      <c r="LNX39" s="926"/>
      <c r="LNY39" s="926"/>
      <c r="LNZ39" s="926"/>
      <c r="LOA39" s="926"/>
      <c r="LOB39" s="926"/>
      <c r="LOC39" s="926"/>
      <c r="LOD39" s="926"/>
      <c r="LOE39" s="926"/>
      <c r="LOF39" s="926"/>
      <c r="LOG39" s="926"/>
      <c r="LOH39" s="926"/>
      <c r="LOI39" s="926"/>
      <c r="LOJ39" s="926"/>
      <c r="LOK39" s="926"/>
      <c r="LOL39" s="926"/>
      <c r="LOM39" s="926"/>
      <c r="LON39" s="926"/>
      <c r="LOO39" s="926"/>
      <c r="LOP39" s="926"/>
      <c r="LOQ39" s="926"/>
      <c r="LOR39" s="926"/>
      <c r="LOS39" s="926"/>
      <c r="LOT39" s="926"/>
      <c r="LOU39" s="926"/>
      <c r="LOV39" s="926"/>
      <c r="LOW39" s="926"/>
      <c r="LOX39" s="926"/>
      <c r="LOY39" s="926"/>
      <c r="LOZ39" s="926"/>
      <c r="LPA39" s="926"/>
      <c r="LPB39" s="926"/>
      <c r="LPC39" s="926"/>
      <c r="LPD39" s="926"/>
      <c r="LPE39" s="926"/>
      <c r="LPF39" s="926"/>
      <c r="LPG39" s="926"/>
      <c r="LPH39" s="926"/>
      <c r="LPI39" s="926"/>
      <c r="LPJ39" s="926"/>
      <c r="LPK39" s="926"/>
      <c r="LPL39" s="926"/>
      <c r="LPM39" s="926"/>
      <c r="LPN39" s="926"/>
      <c r="LPO39" s="926"/>
      <c r="LPP39" s="926"/>
      <c r="LPQ39" s="926"/>
      <c r="LPR39" s="926"/>
      <c r="LPS39" s="926"/>
      <c r="LPT39" s="926"/>
      <c r="LPU39" s="926"/>
      <c r="LPV39" s="926"/>
      <c r="LPW39" s="926"/>
      <c r="LPX39" s="926"/>
      <c r="LPY39" s="926"/>
      <c r="LPZ39" s="926"/>
      <c r="LQA39" s="926"/>
      <c r="LQB39" s="926"/>
      <c r="LQC39" s="926"/>
      <c r="LQD39" s="926"/>
      <c r="LQE39" s="926"/>
      <c r="LQF39" s="926"/>
      <c r="LQG39" s="926"/>
      <c r="LQH39" s="926"/>
      <c r="LQI39" s="926"/>
      <c r="LQJ39" s="926"/>
      <c r="LQK39" s="926"/>
      <c r="LQL39" s="926"/>
      <c r="LQM39" s="926"/>
      <c r="LQN39" s="926"/>
      <c r="LQO39" s="926"/>
      <c r="LQP39" s="926"/>
      <c r="LQQ39" s="926"/>
      <c r="LQR39" s="926"/>
      <c r="LQS39" s="926"/>
      <c r="LQT39" s="926"/>
      <c r="LQU39" s="926"/>
      <c r="LQV39" s="926"/>
      <c r="LQW39" s="926"/>
      <c r="LQX39" s="926"/>
      <c r="LQY39" s="926"/>
      <c r="LQZ39" s="926"/>
      <c r="LRA39" s="926"/>
      <c r="LRB39" s="926"/>
      <c r="LRC39" s="926"/>
      <c r="LRD39" s="926"/>
      <c r="LRE39" s="926"/>
      <c r="LRF39" s="926"/>
      <c r="LRG39" s="926"/>
      <c r="LRH39" s="926"/>
      <c r="LRI39" s="926"/>
      <c r="LRJ39" s="926"/>
      <c r="LRK39" s="926"/>
      <c r="LRL39" s="926"/>
      <c r="LRM39" s="926"/>
      <c r="LRN39" s="926"/>
      <c r="LRO39" s="926"/>
      <c r="LRP39" s="926"/>
      <c r="LRQ39" s="926"/>
      <c r="LRR39" s="926"/>
      <c r="LRS39" s="926"/>
      <c r="LRT39" s="926"/>
      <c r="LRU39" s="926"/>
      <c r="LRV39" s="926"/>
      <c r="LRW39" s="926"/>
      <c r="LRX39" s="926"/>
      <c r="LRY39" s="926"/>
      <c r="LRZ39" s="926"/>
      <c r="LSA39" s="926"/>
      <c r="LSB39" s="926"/>
      <c r="LSC39" s="926"/>
      <c r="LSD39" s="926"/>
      <c r="LSE39" s="926"/>
      <c r="LSF39" s="926"/>
      <c r="LSG39" s="926"/>
      <c r="LSH39" s="926"/>
      <c r="LSI39" s="926"/>
      <c r="LSJ39" s="926"/>
      <c r="LSK39" s="926"/>
      <c r="LSL39" s="926"/>
      <c r="LSM39" s="926"/>
      <c r="LSN39" s="926"/>
      <c r="LSO39" s="926"/>
      <c r="LSP39" s="926"/>
      <c r="LSQ39" s="926"/>
      <c r="LSR39" s="926"/>
      <c r="LSS39" s="926"/>
      <c r="LST39" s="926"/>
      <c r="LSU39" s="926"/>
      <c r="LSV39" s="926"/>
      <c r="LSW39" s="926"/>
      <c r="LSX39" s="926"/>
      <c r="LSY39" s="926"/>
      <c r="LSZ39" s="926"/>
      <c r="LTA39" s="926"/>
      <c r="LTB39" s="926"/>
      <c r="LTC39" s="926"/>
      <c r="LTD39" s="926"/>
      <c r="LTE39" s="926"/>
      <c r="LTF39" s="926"/>
      <c r="LTG39" s="926"/>
      <c r="LTH39" s="926"/>
      <c r="LTI39" s="926"/>
      <c r="LTJ39" s="926"/>
      <c r="LTK39" s="926"/>
      <c r="LTL39" s="926"/>
      <c r="LTM39" s="926"/>
      <c r="LTN39" s="926"/>
      <c r="LTO39" s="926"/>
      <c r="LTP39" s="926"/>
      <c r="LTQ39" s="926"/>
      <c r="LTR39" s="926"/>
      <c r="LTS39" s="926"/>
      <c r="LTT39" s="926"/>
      <c r="LTU39" s="926"/>
      <c r="LTV39" s="926"/>
      <c r="LTW39" s="926"/>
      <c r="LTX39" s="926"/>
      <c r="LTY39" s="926"/>
      <c r="LTZ39" s="926"/>
      <c r="LUA39" s="926"/>
      <c r="LUB39" s="926"/>
      <c r="LUC39" s="926"/>
      <c r="LUD39" s="926"/>
      <c r="LUE39" s="926"/>
      <c r="LUF39" s="926"/>
      <c r="LUG39" s="926"/>
      <c r="LUH39" s="926"/>
      <c r="LUI39" s="926"/>
      <c r="LUJ39" s="926"/>
      <c r="LUK39" s="926"/>
      <c r="LUL39" s="926"/>
      <c r="LUM39" s="926"/>
      <c r="LUN39" s="926"/>
      <c r="LUO39" s="926"/>
      <c r="LUP39" s="926"/>
      <c r="LUQ39" s="926"/>
      <c r="LUR39" s="926"/>
      <c r="LUS39" s="926"/>
      <c r="LUT39" s="926"/>
      <c r="LUU39" s="926"/>
      <c r="LUV39" s="926"/>
      <c r="LUW39" s="926"/>
      <c r="LUX39" s="926"/>
      <c r="LUY39" s="926"/>
      <c r="LUZ39" s="926"/>
      <c r="LVA39" s="926"/>
      <c r="LVB39" s="926"/>
      <c r="LVC39" s="926"/>
      <c r="LVD39" s="926"/>
      <c r="LVE39" s="926"/>
      <c r="LVF39" s="926"/>
      <c r="LVG39" s="926"/>
      <c r="LVH39" s="926"/>
      <c r="LVI39" s="926"/>
      <c r="LVJ39" s="926"/>
      <c r="LVK39" s="926"/>
      <c r="LVL39" s="926"/>
      <c r="LVM39" s="926"/>
      <c r="LVN39" s="926"/>
      <c r="LVO39" s="926"/>
      <c r="LVP39" s="926"/>
      <c r="LVQ39" s="926"/>
      <c r="LVR39" s="926"/>
      <c r="LVS39" s="926"/>
      <c r="LVT39" s="926"/>
      <c r="LVU39" s="926"/>
      <c r="LVV39" s="926"/>
      <c r="LVW39" s="926"/>
      <c r="LVX39" s="926"/>
      <c r="LVY39" s="926"/>
      <c r="LVZ39" s="926"/>
      <c r="LWA39" s="926"/>
      <c r="LWB39" s="926"/>
      <c r="LWC39" s="926"/>
      <c r="LWD39" s="926"/>
      <c r="LWE39" s="926"/>
      <c r="LWF39" s="926"/>
      <c r="LWG39" s="926"/>
      <c r="LWH39" s="926"/>
      <c r="LWI39" s="926"/>
      <c r="LWJ39" s="926"/>
      <c r="LWK39" s="926"/>
      <c r="LWL39" s="926"/>
      <c r="LWM39" s="926"/>
      <c r="LWN39" s="926"/>
      <c r="LWO39" s="926"/>
      <c r="LWP39" s="926"/>
      <c r="LWQ39" s="926"/>
      <c r="LWR39" s="926"/>
      <c r="LWS39" s="926"/>
      <c r="LWT39" s="926"/>
      <c r="LWU39" s="926"/>
      <c r="LWV39" s="926"/>
      <c r="LWW39" s="926"/>
      <c r="LWX39" s="926"/>
      <c r="LWY39" s="926"/>
      <c r="LWZ39" s="926"/>
      <c r="LXA39" s="926"/>
      <c r="LXB39" s="926"/>
      <c r="LXC39" s="926"/>
      <c r="LXD39" s="926"/>
      <c r="LXE39" s="926"/>
      <c r="LXF39" s="926"/>
      <c r="LXG39" s="926"/>
      <c r="LXH39" s="926"/>
      <c r="LXI39" s="926"/>
      <c r="LXJ39" s="926"/>
      <c r="LXK39" s="926"/>
      <c r="LXL39" s="926"/>
      <c r="LXM39" s="926"/>
      <c r="LXN39" s="926"/>
      <c r="LXO39" s="926"/>
      <c r="LXP39" s="926"/>
      <c r="LXQ39" s="926"/>
      <c r="LXR39" s="926"/>
      <c r="LXS39" s="926"/>
      <c r="LXT39" s="926"/>
      <c r="LXU39" s="926"/>
      <c r="LXV39" s="926"/>
      <c r="LXW39" s="926"/>
      <c r="LXX39" s="926"/>
      <c r="LXY39" s="926"/>
      <c r="LXZ39" s="926"/>
      <c r="LYA39" s="926"/>
      <c r="LYB39" s="926"/>
      <c r="LYC39" s="926"/>
      <c r="LYD39" s="926"/>
      <c r="LYE39" s="926"/>
      <c r="LYF39" s="926"/>
      <c r="LYG39" s="926"/>
      <c r="LYH39" s="926"/>
      <c r="LYI39" s="926"/>
      <c r="LYJ39" s="926"/>
      <c r="LYK39" s="926"/>
      <c r="LYL39" s="926"/>
      <c r="LYM39" s="926"/>
      <c r="LYN39" s="926"/>
      <c r="LYO39" s="926"/>
      <c r="LYP39" s="926"/>
      <c r="LYQ39" s="926"/>
      <c r="LYR39" s="926"/>
      <c r="LYS39" s="926"/>
      <c r="LYT39" s="926"/>
      <c r="LYU39" s="926"/>
      <c r="LYV39" s="926"/>
      <c r="LYW39" s="926"/>
      <c r="LYX39" s="926"/>
      <c r="LYY39" s="926"/>
      <c r="LYZ39" s="926"/>
      <c r="LZA39" s="926"/>
      <c r="LZB39" s="926"/>
      <c r="LZC39" s="926"/>
      <c r="LZD39" s="926"/>
      <c r="LZE39" s="926"/>
      <c r="LZF39" s="926"/>
      <c r="LZG39" s="926"/>
      <c r="LZH39" s="926"/>
      <c r="LZI39" s="926"/>
      <c r="LZJ39" s="926"/>
      <c r="LZK39" s="926"/>
      <c r="LZL39" s="926"/>
      <c r="LZM39" s="926"/>
      <c r="LZN39" s="926"/>
      <c r="LZO39" s="926"/>
      <c r="LZP39" s="926"/>
      <c r="LZQ39" s="926"/>
      <c r="LZR39" s="926"/>
      <c r="LZS39" s="926"/>
      <c r="LZT39" s="926"/>
      <c r="LZU39" s="926"/>
      <c r="LZV39" s="926"/>
      <c r="LZW39" s="926"/>
      <c r="LZX39" s="926"/>
      <c r="LZY39" s="926"/>
      <c r="LZZ39" s="926"/>
      <c r="MAA39" s="926"/>
      <c r="MAB39" s="926"/>
      <c r="MAC39" s="926"/>
      <c r="MAD39" s="926"/>
      <c r="MAE39" s="926"/>
      <c r="MAF39" s="926"/>
      <c r="MAG39" s="926"/>
      <c r="MAH39" s="926"/>
      <c r="MAI39" s="926"/>
      <c r="MAJ39" s="926"/>
      <c r="MAK39" s="926"/>
      <c r="MAL39" s="926"/>
      <c r="MAM39" s="926"/>
      <c r="MAN39" s="926"/>
      <c r="MAO39" s="926"/>
      <c r="MAP39" s="926"/>
      <c r="MAQ39" s="926"/>
      <c r="MAR39" s="926"/>
      <c r="MAS39" s="926"/>
      <c r="MAT39" s="926"/>
      <c r="MAU39" s="926"/>
      <c r="MAV39" s="926"/>
      <c r="MAW39" s="926"/>
      <c r="MAX39" s="926"/>
      <c r="MAY39" s="926"/>
      <c r="MAZ39" s="926"/>
      <c r="MBA39" s="926"/>
      <c r="MBB39" s="926"/>
      <c r="MBC39" s="926"/>
      <c r="MBD39" s="926"/>
      <c r="MBE39" s="926"/>
      <c r="MBF39" s="926"/>
      <c r="MBG39" s="926"/>
      <c r="MBH39" s="926"/>
      <c r="MBI39" s="926"/>
      <c r="MBJ39" s="926"/>
      <c r="MBK39" s="926"/>
      <c r="MBL39" s="926"/>
      <c r="MBM39" s="926"/>
      <c r="MBN39" s="926"/>
      <c r="MBO39" s="926"/>
      <c r="MBP39" s="926"/>
      <c r="MBQ39" s="926"/>
      <c r="MBR39" s="926"/>
      <c r="MBS39" s="926"/>
      <c r="MBT39" s="926"/>
      <c r="MBU39" s="926"/>
      <c r="MBV39" s="926"/>
      <c r="MBW39" s="926"/>
      <c r="MBX39" s="926"/>
      <c r="MBY39" s="926"/>
      <c r="MBZ39" s="926"/>
      <c r="MCA39" s="926"/>
      <c r="MCB39" s="926"/>
      <c r="MCC39" s="926"/>
      <c r="MCD39" s="926"/>
      <c r="MCE39" s="926"/>
      <c r="MCF39" s="926"/>
      <c r="MCG39" s="926"/>
      <c r="MCH39" s="926"/>
      <c r="MCI39" s="926"/>
      <c r="MCJ39" s="926"/>
      <c r="MCK39" s="926"/>
      <c r="MCL39" s="926"/>
      <c r="MCM39" s="926"/>
      <c r="MCN39" s="926"/>
      <c r="MCO39" s="926"/>
      <c r="MCP39" s="926"/>
      <c r="MCQ39" s="926"/>
      <c r="MCR39" s="926"/>
      <c r="MCS39" s="926"/>
      <c r="MCT39" s="926"/>
      <c r="MCU39" s="926"/>
      <c r="MCV39" s="926"/>
      <c r="MCW39" s="926"/>
      <c r="MCX39" s="926"/>
      <c r="MCY39" s="926"/>
      <c r="MCZ39" s="926"/>
      <c r="MDA39" s="926"/>
      <c r="MDB39" s="926"/>
      <c r="MDC39" s="926"/>
      <c r="MDD39" s="926"/>
      <c r="MDE39" s="926"/>
      <c r="MDF39" s="926"/>
      <c r="MDG39" s="926"/>
      <c r="MDH39" s="926"/>
      <c r="MDI39" s="926"/>
      <c r="MDJ39" s="926"/>
      <c r="MDK39" s="926"/>
      <c r="MDL39" s="926"/>
      <c r="MDM39" s="926"/>
      <c r="MDN39" s="926"/>
      <c r="MDO39" s="926"/>
      <c r="MDP39" s="926"/>
      <c r="MDQ39" s="926"/>
      <c r="MDR39" s="926"/>
      <c r="MDS39" s="926"/>
      <c r="MDT39" s="926"/>
      <c r="MDU39" s="926"/>
      <c r="MDV39" s="926"/>
      <c r="MDW39" s="926"/>
      <c r="MDX39" s="926"/>
      <c r="MDY39" s="926"/>
      <c r="MDZ39" s="926"/>
      <c r="MEA39" s="926"/>
      <c r="MEB39" s="926"/>
      <c r="MEC39" s="926"/>
      <c r="MED39" s="926"/>
      <c r="MEE39" s="926"/>
      <c r="MEF39" s="926"/>
      <c r="MEG39" s="926"/>
      <c r="MEH39" s="926"/>
      <c r="MEI39" s="926"/>
      <c r="MEJ39" s="926"/>
      <c r="MEK39" s="926"/>
      <c r="MEL39" s="926"/>
      <c r="MEM39" s="926"/>
      <c r="MEN39" s="926"/>
      <c r="MEO39" s="926"/>
      <c r="MEP39" s="926"/>
      <c r="MEQ39" s="926"/>
      <c r="MER39" s="926"/>
      <c r="MES39" s="926"/>
      <c r="MET39" s="926"/>
      <c r="MEU39" s="926"/>
      <c r="MEV39" s="926"/>
      <c r="MEW39" s="926"/>
      <c r="MEX39" s="926"/>
      <c r="MEY39" s="926"/>
      <c r="MEZ39" s="926"/>
      <c r="MFA39" s="926"/>
      <c r="MFB39" s="926"/>
      <c r="MFC39" s="926"/>
      <c r="MFD39" s="926"/>
      <c r="MFE39" s="926"/>
      <c r="MFF39" s="926"/>
      <c r="MFG39" s="926"/>
      <c r="MFH39" s="926"/>
      <c r="MFI39" s="926"/>
      <c r="MFJ39" s="926"/>
      <c r="MFK39" s="926"/>
      <c r="MFL39" s="926"/>
      <c r="MFM39" s="926"/>
      <c r="MFN39" s="926"/>
      <c r="MFO39" s="926"/>
      <c r="MFP39" s="926"/>
      <c r="MFQ39" s="926"/>
      <c r="MFR39" s="926"/>
      <c r="MFS39" s="926"/>
      <c r="MFT39" s="926"/>
      <c r="MFU39" s="926"/>
      <c r="MFV39" s="926"/>
      <c r="MFW39" s="926"/>
      <c r="MFX39" s="926"/>
      <c r="MFY39" s="926"/>
      <c r="MFZ39" s="926"/>
      <c r="MGA39" s="926"/>
      <c r="MGB39" s="926"/>
      <c r="MGC39" s="926"/>
      <c r="MGD39" s="926"/>
      <c r="MGE39" s="926"/>
      <c r="MGF39" s="926"/>
      <c r="MGG39" s="926"/>
      <c r="MGH39" s="926"/>
      <c r="MGI39" s="926"/>
      <c r="MGJ39" s="926"/>
      <c r="MGK39" s="926"/>
      <c r="MGL39" s="926"/>
      <c r="MGM39" s="926"/>
      <c r="MGN39" s="926"/>
      <c r="MGO39" s="926"/>
      <c r="MGP39" s="926"/>
      <c r="MGQ39" s="926"/>
      <c r="MGR39" s="926"/>
      <c r="MGS39" s="926"/>
      <c r="MGT39" s="926"/>
      <c r="MGU39" s="926"/>
      <c r="MGV39" s="926"/>
      <c r="MGW39" s="926"/>
      <c r="MGX39" s="926"/>
      <c r="MGY39" s="926"/>
      <c r="MGZ39" s="926"/>
      <c r="MHA39" s="926"/>
      <c r="MHB39" s="926"/>
      <c r="MHC39" s="926"/>
      <c r="MHD39" s="926"/>
      <c r="MHE39" s="926"/>
      <c r="MHF39" s="926"/>
      <c r="MHG39" s="926"/>
      <c r="MHH39" s="926"/>
      <c r="MHI39" s="926"/>
      <c r="MHJ39" s="926"/>
      <c r="MHK39" s="926"/>
      <c r="MHL39" s="926"/>
      <c r="MHM39" s="926"/>
      <c r="MHN39" s="926"/>
      <c r="MHO39" s="926"/>
      <c r="MHP39" s="926"/>
      <c r="MHQ39" s="926"/>
      <c r="MHR39" s="926"/>
      <c r="MHS39" s="926"/>
      <c r="MHT39" s="926"/>
      <c r="MHU39" s="926"/>
      <c r="MHV39" s="926"/>
      <c r="MHW39" s="926"/>
      <c r="MHX39" s="926"/>
      <c r="MHY39" s="926"/>
      <c r="MHZ39" s="926"/>
      <c r="MIA39" s="926"/>
      <c r="MIB39" s="926"/>
      <c r="MIC39" s="926"/>
      <c r="MID39" s="926"/>
      <c r="MIE39" s="926"/>
      <c r="MIF39" s="926"/>
      <c r="MIG39" s="926"/>
      <c r="MIH39" s="926"/>
      <c r="MII39" s="926"/>
      <c r="MIJ39" s="926"/>
      <c r="MIK39" s="926"/>
      <c r="MIL39" s="926"/>
      <c r="MIM39" s="926"/>
      <c r="MIN39" s="926"/>
      <c r="MIO39" s="926"/>
      <c r="MIP39" s="926"/>
      <c r="MIQ39" s="926"/>
      <c r="MIR39" s="926"/>
      <c r="MIS39" s="926"/>
      <c r="MIT39" s="926"/>
      <c r="MIU39" s="926"/>
      <c r="MIV39" s="926"/>
      <c r="MIW39" s="926"/>
      <c r="MIX39" s="926"/>
      <c r="MIY39" s="926"/>
      <c r="MIZ39" s="926"/>
      <c r="MJA39" s="926"/>
      <c r="MJB39" s="926"/>
      <c r="MJC39" s="926"/>
      <c r="MJD39" s="926"/>
      <c r="MJE39" s="926"/>
      <c r="MJF39" s="926"/>
      <c r="MJG39" s="926"/>
      <c r="MJH39" s="926"/>
      <c r="MJI39" s="926"/>
      <c r="MJJ39" s="926"/>
      <c r="MJK39" s="926"/>
      <c r="MJL39" s="926"/>
      <c r="MJM39" s="926"/>
      <c r="MJN39" s="926"/>
      <c r="MJO39" s="926"/>
      <c r="MJP39" s="926"/>
      <c r="MJQ39" s="926"/>
      <c r="MJR39" s="926"/>
      <c r="MJS39" s="926"/>
      <c r="MJT39" s="926"/>
      <c r="MJU39" s="926"/>
      <c r="MJV39" s="926"/>
      <c r="MJW39" s="926"/>
      <c r="MJX39" s="926"/>
      <c r="MJY39" s="926"/>
      <c r="MJZ39" s="926"/>
      <c r="MKA39" s="926"/>
      <c r="MKB39" s="926"/>
      <c r="MKC39" s="926"/>
      <c r="MKD39" s="926"/>
      <c r="MKE39" s="926"/>
      <c r="MKF39" s="926"/>
      <c r="MKG39" s="926"/>
      <c r="MKH39" s="926"/>
      <c r="MKI39" s="926"/>
      <c r="MKJ39" s="926"/>
      <c r="MKK39" s="926"/>
      <c r="MKL39" s="926"/>
      <c r="MKM39" s="926"/>
      <c r="MKN39" s="926"/>
      <c r="MKO39" s="926"/>
      <c r="MKP39" s="926"/>
      <c r="MKQ39" s="926"/>
      <c r="MKR39" s="926"/>
      <c r="MKS39" s="926"/>
      <c r="MKT39" s="926"/>
      <c r="MKU39" s="926"/>
      <c r="MKV39" s="926"/>
      <c r="MKW39" s="926"/>
      <c r="MKX39" s="926"/>
      <c r="MKY39" s="926"/>
      <c r="MKZ39" s="926"/>
      <c r="MLA39" s="926"/>
      <c r="MLB39" s="926"/>
      <c r="MLC39" s="926"/>
      <c r="MLD39" s="926"/>
      <c r="MLE39" s="926"/>
      <c r="MLF39" s="926"/>
      <c r="MLG39" s="926"/>
      <c r="MLH39" s="926"/>
      <c r="MLI39" s="926"/>
      <c r="MLJ39" s="926"/>
      <c r="MLK39" s="926"/>
      <c r="MLL39" s="926"/>
      <c r="MLM39" s="926"/>
      <c r="MLN39" s="926"/>
      <c r="MLO39" s="926"/>
      <c r="MLP39" s="926"/>
      <c r="MLQ39" s="926"/>
      <c r="MLR39" s="926"/>
      <c r="MLS39" s="926"/>
      <c r="MLT39" s="926"/>
      <c r="MLU39" s="926"/>
      <c r="MLV39" s="926"/>
      <c r="MLW39" s="926"/>
      <c r="MLX39" s="926"/>
      <c r="MLY39" s="926"/>
      <c r="MLZ39" s="926"/>
      <c r="MMA39" s="926"/>
      <c r="MMB39" s="926"/>
      <c r="MMC39" s="926"/>
      <c r="MMD39" s="926"/>
      <c r="MME39" s="926"/>
      <c r="MMF39" s="926"/>
      <c r="MMG39" s="926"/>
      <c r="MMH39" s="926"/>
      <c r="MMI39" s="926"/>
      <c r="MMJ39" s="926"/>
      <c r="MMK39" s="926"/>
      <c r="MML39" s="926"/>
      <c r="MMM39" s="926"/>
      <c r="MMN39" s="926"/>
      <c r="MMO39" s="926"/>
      <c r="MMP39" s="926"/>
      <c r="MMQ39" s="926"/>
      <c r="MMR39" s="926"/>
      <c r="MMS39" s="926"/>
      <c r="MMT39" s="926"/>
      <c r="MMU39" s="926"/>
      <c r="MMV39" s="926"/>
      <c r="MMW39" s="926"/>
      <c r="MMX39" s="926"/>
      <c r="MMY39" s="926"/>
      <c r="MMZ39" s="926"/>
      <c r="MNA39" s="926"/>
      <c r="MNB39" s="926"/>
      <c r="MNC39" s="926"/>
      <c r="MND39" s="926"/>
      <c r="MNE39" s="926"/>
      <c r="MNF39" s="926"/>
      <c r="MNG39" s="926"/>
      <c r="MNH39" s="926"/>
      <c r="MNI39" s="926"/>
      <c r="MNJ39" s="926"/>
      <c r="MNK39" s="926"/>
      <c r="MNL39" s="926"/>
      <c r="MNM39" s="926"/>
      <c r="MNN39" s="926"/>
      <c r="MNO39" s="926"/>
      <c r="MNP39" s="926"/>
      <c r="MNQ39" s="926"/>
      <c r="MNR39" s="926"/>
      <c r="MNS39" s="926"/>
      <c r="MNT39" s="926"/>
      <c r="MNU39" s="926"/>
      <c r="MNV39" s="926"/>
      <c r="MNW39" s="926"/>
      <c r="MNX39" s="926"/>
      <c r="MNY39" s="926"/>
      <c r="MNZ39" s="926"/>
      <c r="MOA39" s="926"/>
      <c r="MOB39" s="926"/>
      <c r="MOC39" s="926"/>
      <c r="MOD39" s="926"/>
      <c r="MOE39" s="926"/>
      <c r="MOF39" s="926"/>
      <c r="MOG39" s="926"/>
      <c r="MOH39" s="926"/>
      <c r="MOI39" s="926"/>
      <c r="MOJ39" s="926"/>
      <c r="MOK39" s="926"/>
      <c r="MOL39" s="926"/>
      <c r="MOM39" s="926"/>
      <c r="MON39" s="926"/>
      <c r="MOO39" s="926"/>
      <c r="MOP39" s="926"/>
      <c r="MOQ39" s="926"/>
      <c r="MOR39" s="926"/>
      <c r="MOS39" s="926"/>
      <c r="MOT39" s="926"/>
      <c r="MOU39" s="926"/>
      <c r="MOV39" s="926"/>
      <c r="MOW39" s="926"/>
      <c r="MOX39" s="926"/>
      <c r="MOY39" s="926"/>
      <c r="MOZ39" s="926"/>
      <c r="MPA39" s="926"/>
      <c r="MPB39" s="926"/>
      <c r="MPC39" s="926"/>
      <c r="MPD39" s="926"/>
      <c r="MPE39" s="926"/>
      <c r="MPF39" s="926"/>
      <c r="MPG39" s="926"/>
      <c r="MPH39" s="926"/>
      <c r="MPI39" s="926"/>
      <c r="MPJ39" s="926"/>
      <c r="MPK39" s="926"/>
      <c r="MPL39" s="926"/>
      <c r="MPM39" s="926"/>
      <c r="MPN39" s="926"/>
      <c r="MPO39" s="926"/>
      <c r="MPP39" s="926"/>
      <c r="MPQ39" s="926"/>
      <c r="MPR39" s="926"/>
      <c r="MPS39" s="926"/>
      <c r="MPT39" s="926"/>
      <c r="MPU39" s="926"/>
      <c r="MPV39" s="926"/>
      <c r="MPW39" s="926"/>
      <c r="MPX39" s="926"/>
      <c r="MPY39" s="926"/>
      <c r="MPZ39" s="926"/>
      <c r="MQA39" s="926"/>
      <c r="MQB39" s="926"/>
      <c r="MQC39" s="926"/>
      <c r="MQD39" s="926"/>
      <c r="MQE39" s="926"/>
      <c r="MQF39" s="926"/>
      <c r="MQG39" s="926"/>
      <c r="MQH39" s="926"/>
      <c r="MQI39" s="926"/>
      <c r="MQJ39" s="926"/>
      <c r="MQK39" s="926"/>
      <c r="MQL39" s="926"/>
      <c r="MQM39" s="926"/>
      <c r="MQN39" s="926"/>
      <c r="MQO39" s="926"/>
      <c r="MQP39" s="926"/>
      <c r="MQQ39" s="926"/>
      <c r="MQR39" s="926"/>
      <c r="MQS39" s="926"/>
      <c r="MQT39" s="926"/>
      <c r="MQU39" s="926"/>
      <c r="MQV39" s="926"/>
      <c r="MQW39" s="926"/>
      <c r="MQX39" s="926"/>
      <c r="MQY39" s="926"/>
      <c r="MQZ39" s="926"/>
      <c r="MRA39" s="926"/>
      <c r="MRB39" s="926"/>
      <c r="MRC39" s="926"/>
      <c r="MRD39" s="926"/>
      <c r="MRE39" s="926"/>
      <c r="MRF39" s="926"/>
      <c r="MRG39" s="926"/>
      <c r="MRH39" s="926"/>
      <c r="MRI39" s="926"/>
      <c r="MRJ39" s="926"/>
      <c r="MRK39" s="926"/>
      <c r="MRL39" s="926"/>
      <c r="MRM39" s="926"/>
      <c r="MRN39" s="926"/>
      <c r="MRO39" s="926"/>
      <c r="MRP39" s="926"/>
      <c r="MRQ39" s="926"/>
      <c r="MRR39" s="926"/>
      <c r="MRS39" s="926"/>
      <c r="MRT39" s="926"/>
      <c r="MRU39" s="926"/>
      <c r="MRV39" s="926"/>
      <c r="MRW39" s="926"/>
      <c r="MRX39" s="926"/>
      <c r="MRY39" s="926"/>
      <c r="MRZ39" s="926"/>
      <c r="MSA39" s="926"/>
      <c r="MSB39" s="926"/>
      <c r="MSC39" s="926"/>
      <c r="MSD39" s="926"/>
      <c r="MSE39" s="926"/>
      <c r="MSF39" s="926"/>
      <c r="MSG39" s="926"/>
      <c r="MSH39" s="926"/>
      <c r="MSI39" s="926"/>
      <c r="MSJ39" s="926"/>
      <c r="MSK39" s="926"/>
      <c r="MSL39" s="926"/>
      <c r="MSM39" s="926"/>
      <c r="MSN39" s="926"/>
      <c r="MSO39" s="926"/>
      <c r="MSP39" s="926"/>
      <c r="MSQ39" s="926"/>
      <c r="MSR39" s="926"/>
      <c r="MSS39" s="926"/>
      <c r="MST39" s="926"/>
      <c r="MSU39" s="926"/>
      <c r="MSV39" s="926"/>
      <c r="MSW39" s="926"/>
      <c r="MSX39" s="926"/>
      <c r="MSY39" s="926"/>
      <c r="MSZ39" s="926"/>
      <c r="MTA39" s="926"/>
      <c r="MTB39" s="926"/>
      <c r="MTC39" s="926"/>
      <c r="MTD39" s="926"/>
      <c r="MTE39" s="926"/>
      <c r="MTF39" s="926"/>
      <c r="MTG39" s="926"/>
      <c r="MTH39" s="926"/>
      <c r="MTI39" s="926"/>
      <c r="MTJ39" s="926"/>
      <c r="MTK39" s="926"/>
      <c r="MTL39" s="926"/>
      <c r="MTM39" s="926"/>
      <c r="MTN39" s="926"/>
      <c r="MTO39" s="926"/>
      <c r="MTP39" s="926"/>
      <c r="MTQ39" s="926"/>
      <c r="MTR39" s="926"/>
      <c r="MTS39" s="926"/>
      <c r="MTT39" s="926"/>
      <c r="MTU39" s="926"/>
      <c r="MTV39" s="926"/>
      <c r="MTW39" s="926"/>
      <c r="MTX39" s="926"/>
      <c r="MTY39" s="926"/>
      <c r="MTZ39" s="926"/>
      <c r="MUA39" s="926"/>
      <c r="MUB39" s="926"/>
      <c r="MUC39" s="926"/>
      <c r="MUD39" s="926"/>
      <c r="MUE39" s="926"/>
      <c r="MUF39" s="926"/>
      <c r="MUG39" s="926"/>
      <c r="MUH39" s="926"/>
      <c r="MUI39" s="926"/>
      <c r="MUJ39" s="926"/>
      <c r="MUK39" s="926"/>
      <c r="MUL39" s="926"/>
      <c r="MUM39" s="926"/>
      <c r="MUN39" s="926"/>
      <c r="MUO39" s="926"/>
      <c r="MUP39" s="926"/>
      <c r="MUQ39" s="926"/>
      <c r="MUR39" s="926"/>
      <c r="MUS39" s="926"/>
      <c r="MUT39" s="926"/>
      <c r="MUU39" s="926"/>
      <c r="MUV39" s="926"/>
      <c r="MUW39" s="926"/>
      <c r="MUX39" s="926"/>
      <c r="MUY39" s="926"/>
      <c r="MUZ39" s="926"/>
      <c r="MVA39" s="926"/>
      <c r="MVB39" s="926"/>
      <c r="MVC39" s="926"/>
      <c r="MVD39" s="926"/>
      <c r="MVE39" s="926"/>
      <c r="MVF39" s="926"/>
      <c r="MVG39" s="926"/>
      <c r="MVH39" s="926"/>
      <c r="MVI39" s="926"/>
      <c r="MVJ39" s="926"/>
      <c r="MVK39" s="926"/>
      <c r="MVL39" s="926"/>
      <c r="MVM39" s="926"/>
      <c r="MVN39" s="926"/>
      <c r="MVO39" s="926"/>
      <c r="MVP39" s="926"/>
      <c r="MVQ39" s="926"/>
      <c r="MVR39" s="926"/>
      <c r="MVS39" s="926"/>
      <c r="MVT39" s="926"/>
      <c r="MVU39" s="926"/>
      <c r="MVV39" s="926"/>
      <c r="MVW39" s="926"/>
      <c r="MVX39" s="926"/>
      <c r="MVY39" s="926"/>
      <c r="MVZ39" s="926"/>
      <c r="MWA39" s="926"/>
      <c r="MWB39" s="926"/>
      <c r="MWC39" s="926"/>
      <c r="MWD39" s="926"/>
      <c r="MWE39" s="926"/>
      <c r="MWF39" s="926"/>
      <c r="MWG39" s="926"/>
      <c r="MWH39" s="926"/>
      <c r="MWI39" s="926"/>
      <c r="MWJ39" s="926"/>
      <c r="MWK39" s="926"/>
      <c r="MWL39" s="926"/>
      <c r="MWM39" s="926"/>
      <c r="MWN39" s="926"/>
      <c r="MWO39" s="926"/>
      <c r="MWP39" s="926"/>
      <c r="MWQ39" s="926"/>
      <c r="MWR39" s="926"/>
      <c r="MWS39" s="926"/>
      <c r="MWT39" s="926"/>
      <c r="MWU39" s="926"/>
      <c r="MWV39" s="926"/>
      <c r="MWW39" s="926"/>
      <c r="MWX39" s="926"/>
      <c r="MWY39" s="926"/>
      <c r="MWZ39" s="926"/>
      <c r="MXA39" s="926"/>
      <c r="MXB39" s="926"/>
      <c r="MXC39" s="926"/>
      <c r="MXD39" s="926"/>
      <c r="MXE39" s="926"/>
      <c r="MXF39" s="926"/>
      <c r="MXG39" s="926"/>
      <c r="MXH39" s="926"/>
      <c r="MXI39" s="926"/>
      <c r="MXJ39" s="926"/>
      <c r="MXK39" s="926"/>
      <c r="MXL39" s="926"/>
      <c r="MXM39" s="926"/>
      <c r="MXN39" s="926"/>
      <c r="MXO39" s="926"/>
      <c r="MXP39" s="926"/>
      <c r="MXQ39" s="926"/>
      <c r="MXR39" s="926"/>
      <c r="MXS39" s="926"/>
      <c r="MXT39" s="926"/>
      <c r="MXU39" s="926"/>
      <c r="MXV39" s="926"/>
      <c r="MXW39" s="926"/>
      <c r="MXX39" s="926"/>
      <c r="MXY39" s="926"/>
      <c r="MXZ39" s="926"/>
      <c r="MYA39" s="926"/>
      <c r="MYB39" s="926"/>
      <c r="MYC39" s="926"/>
      <c r="MYD39" s="926"/>
      <c r="MYE39" s="926"/>
      <c r="MYF39" s="926"/>
      <c r="MYG39" s="926"/>
      <c r="MYH39" s="926"/>
      <c r="MYI39" s="926"/>
      <c r="MYJ39" s="926"/>
      <c r="MYK39" s="926"/>
      <c r="MYL39" s="926"/>
      <c r="MYM39" s="926"/>
      <c r="MYN39" s="926"/>
      <c r="MYO39" s="926"/>
      <c r="MYP39" s="926"/>
      <c r="MYQ39" s="926"/>
      <c r="MYR39" s="926"/>
      <c r="MYS39" s="926"/>
      <c r="MYT39" s="926"/>
      <c r="MYU39" s="926"/>
      <c r="MYV39" s="926"/>
      <c r="MYW39" s="926"/>
      <c r="MYX39" s="926"/>
      <c r="MYY39" s="926"/>
      <c r="MYZ39" s="926"/>
      <c r="MZA39" s="926"/>
      <c r="MZB39" s="926"/>
      <c r="MZC39" s="926"/>
      <c r="MZD39" s="926"/>
      <c r="MZE39" s="926"/>
      <c r="MZF39" s="926"/>
      <c r="MZG39" s="926"/>
      <c r="MZH39" s="926"/>
      <c r="MZI39" s="926"/>
      <c r="MZJ39" s="926"/>
      <c r="MZK39" s="926"/>
      <c r="MZL39" s="926"/>
      <c r="MZM39" s="926"/>
      <c r="MZN39" s="926"/>
      <c r="MZO39" s="926"/>
      <c r="MZP39" s="926"/>
      <c r="MZQ39" s="926"/>
      <c r="MZR39" s="926"/>
      <c r="MZS39" s="926"/>
      <c r="MZT39" s="926"/>
      <c r="MZU39" s="926"/>
      <c r="MZV39" s="926"/>
      <c r="MZW39" s="926"/>
      <c r="MZX39" s="926"/>
      <c r="MZY39" s="926"/>
      <c r="MZZ39" s="926"/>
      <c r="NAA39" s="926"/>
      <c r="NAB39" s="926"/>
      <c r="NAC39" s="926"/>
      <c r="NAD39" s="926"/>
      <c r="NAE39" s="926"/>
      <c r="NAF39" s="926"/>
      <c r="NAG39" s="926"/>
      <c r="NAH39" s="926"/>
      <c r="NAI39" s="926"/>
      <c r="NAJ39" s="926"/>
      <c r="NAK39" s="926"/>
      <c r="NAL39" s="926"/>
      <c r="NAM39" s="926"/>
      <c r="NAN39" s="926"/>
      <c r="NAO39" s="926"/>
      <c r="NAP39" s="926"/>
      <c r="NAQ39" s="926"/>
      <c r="NAR39" s="926"/>
      <c r="NAS39" s="926"/>
      <c r="NAT39" s="926"/>
      <c r="NAU39" s="926"/>
      <c r="NAV39" s="926"/>
      <c r="NAW39" s="926"/>
      <c r="NAX39" s="926"/>
      <c r="NAY39" s="926"/>
      <c r="NAZ39" s="926"/>
      <c r="NBA39" s="926"/>
      <c r="NBB39" s="926"/>
      <c r="NBC39" s="926"/>
      <c r="NBD39" s="926"/>
      <c r="NBE39" s="926"/>
      <c r="NBF39" s="926"/>
      <c r="NBG39" s="926"/>
      <c r="NBH39" s="926"/>
      <c r="NBI39" s="926"/>
      <c r="NBJ39" s="926"/>
      <c r="NBK39" s="926"/>
      <c r="NBL39" s="926"/>
      <c r="NBM39" s="926"/>
      <c r="NBN39" s="926"/>
      <c r="NBO39" s="926"/>
      <c r="NBP39" s="926"/>
      <c r="NBQ39" s="926"/>
      <c r="NBR39" s="926"/>
      <c r="NBS39" s="926"/>
      <c r="NBT39" s="926"/>
      <c r="NBU39" s="926"/>
      <c r="NBV39" s="926"/>
      <c r="NBW39" s="926"/>
      <c r="NBX39" s="926"/>
      <c r="NBY39" s="926"/>
      <c r="NBZ39" s="926"/>
      <c r="NCA39" s="926"/>
      <c r="NCB39" s="926"/>
      <c r="NCC39" s="926"/>
      <c r="NCD39" s="926"/>
      <c r="NCE39" s="926"/>
      <c r="NCF39" s="926"/>
      <c r="NCG39" s="926"/>
      <c r="NCH39" s="926"/>
      <c r="NCI39" s="926"/>
      <c r="NCJ39" s="926"/>
      <c r="NCK39" s="926"/>
      <c r="NCL39" s="926"/>
      <c r="NCM39" s="926"/>
      <c r="NCN39" s="926"/>
      <c r="NCO39" s="926"/>
      <c r="NCP39" s="926"/>
      <c r="NCQ39" s="926"/>
      <c r="NCR39" s="926"/>
      <c r="NCS39" s="926"/>
      <c r="NCT39" s="926"/>
      <c r="NCU39" s="926"/>
      <c r="NCV39" s="926"/>
      <c r="NCW39" s="926"/>
      <c r="NCX39" s="926"/>
      <c r="NCY39" s="926"/>
      <c r="NCZ39" s="926"/>
      <c r="NDA39" s="926"/>
      <c r="NDB39" s="926"/>
      <c r="NDC39" s="926"/>
      <c r="NDD39" s="926"/>
      <c r="NDE39" s="926"/>
      <c r="NDF39" s="926"/>
      <c r="NDG39" s="926"/>
      <c r="NDH39" s="926"/>
      <c r="NDI39" s="926"/>
      <c r="NDJ39" s="926"/>
      <c r="NDK39" s="926"/>
      <c r="NDL39" s="926"/>
      <c r="NDM39" s="926"/>
      <c r="NDN39" s="926"/>
      <c r="NDO39" s="926"/>
      <c r="NDP39" s="926"/>
      <c r="NDQ39" s="926"/>
      <c r="NDR39" s="926"/>
      <c r="NDS39" s="926"/>
      <c r="NDT39" s="926"/>
      <c r="NDU39" s="926"/>
      <c r="NDV39" s="926"/>
      <c r="NDW39" s="926"/>
      <c r="NDX39" s="926"/>
      <c r="NDY39" s="926"/>
      <c r="NDZ39" s="926"/>
      <c r="NEA39" s="926"/>
      <c r="NEB39" s="926"/>
      <c r="NEC39" s="926"/>
      <c r="NED39" s="926"/>
      <c r="NEE39" s="926"/>
      <c r="NEF39" s="926"/>
      <c r="NEG39" s="926"/>
      <c r="NEH39" s="926"/>
      <c r="NEI39" s="926"/>
      <c r="NEJ39" s="926"/>
      <c r="NEK39" s="926"/>
      <c r="NEL39" s="926"/>
      <c r="NEM39" s="926"/>
      <c r="NEN39" s="926"/>
      <c r="NEO39" s="926"/>
      <c r="NEP39" s="926"/>
      <c r="NEQ39" s="926"/>
      <c r="NER39" s="926"/>
      <c r="NES39" s="926"/>
      <c r="NET39" s="926"/>
      <c r="NEU39" s="926"/>
      <c r="NEV39" s="926"/>
      <c r="NEW39" s="926"/>
      <c r="NEX39" s="926"/>
      <c r="NEY39" s="926"/>
      <c r="NEZ39" s="926"/>
      <c r="NFA39" s="926"/>
      <c r="NFB39" s="926"/>
      <c r="NFC39" s="926"/>
      <c r="NFD39" s="926"/>
      <c r="NFE39" s="926"/>
      <c r="NFF39" s="926"/>
      <c r="NFG39" s="926"/>
      <c r="NFH39" s="926"/>
      <c r="NFI39" s="926"/>
      <c r="NFJ39" s="926"/>
      <c r="NFK39" s="926"/>
      <c r="NFL39" s="926"/>
      <c r="NFM39" s="926"/>
      <c r="NFN39" s="926"/>
      <c r="NFO39" s="926"/>
      <c r="NFP39" s="926"/>
      <c r="NFQ39" s="926"/>
      <c r="NFR39" s="926"/>
      <c r="NFS39" s="926"/>
      <c r="NFT39" s="926"/>
      <c r="NFU39" s="926"/>
      <c r="NFV39" s="926"/>
      <c r="NFW39" s="926"/>
      <c r="NFX39" s="926"/>
      <c r="NFY39" s="926"/>
      <c r="NFZ39" s="926"/>
      <c r="NGA39" s="926"/>
      <c r="NGB39" s="926"/>
      <c r="NGC39" s="926"/>
      <c r="NGD39" s="926"/>
      <c r="NGE39" s="926"/>
      <c r="NGF39" s="926"/>
      <c r="NGG39" s="926"/>
      <c r="NGH39" s="926"/>
      <c r="NGI39" s="926"/>
      <c r="NGJ39" s="926"/>
      <c r="NGK39" s="926"/>
      <c r="NGL39" s="926"/>
      <c r="NGM39" s="926"/>
      <c r="NGN39" s="926"/>
      <c r="NGO39" s="926"/>
      <c r="NGP39" s="926"/>
      <c r="NGQ39" s="926"/>
      <c r="NGR39" s="926"/>
      <c r="NGS39" s="926"/>
      <c r="NGT39" s="926"/>
      <c r="NGU39" s="926"/>
      <c r="NGV39" s="926"/>
      <c r="NGW39" s="926"/>
      <c r="NGX39" s="926"/>
      <c r="NGY39" s="926"/>
      <c r="NGZ39" s="926"/>
      <c r="NHA39" s="926"/>
      <c r="NHB39" s="926"/>
      <c r="NHC39" s="926"/>
      <c r="NHD39" s="926"/>
      <c r="NHE39" s="926"/>
      <c r="NHF39" s="926"/>
      <c r="NHG39" s="926"/>
      <c r="NHH39" s="926"/>
      <c r="NHI39" s="926"/>
      <c r="NHJ39" s="926"/>
      <c r="NHK39" s="926"/>
      <c r="NHL39" s="926"/>
      <c r="NHM39" s="926"/>
      <c r="NHN39" s="926"/>
      <c r="NHO39" s="926"/>
      <c r="NHP39" s="926"/>
      <c r="NHQ39" s="926"/>
      <c r="NHR39" s="926"/>
      <c r="NHS39" s="926"/>
      <c r="NHT39" s="926"/>
      <c r="NHU39" s="926"/>
      <c r="NHV39" s="926"/>
      <c r="NHW39" s="926"/>
      <c r="NHX39" s="926"/>
      <c r="NHY39" s="926"/>
      <c r="NHZ39" s="926"/>
      <c r="NIA39" s="926"/>
      <c r="NIB39" s="926"/>
      <c r="NIC39" s="926"/>
      <c r="NID39" s="926"/>
      <c r="NIE39" s="926"/>
      <c r="NIF39" s="926"/>
      <c r="NIG39" s="926"/>
      <c r="NIH39" s="926"/>
      <c r="NII39" s="926"/>
      <c r="NIJ39" s="926"/>
      <c r="NIK39" s="926"/>
      <c r="NIL39" s="926"/>
      <c r="NIM39" s="926"/>
      <c r="NIN39" s="926"/>
      <c r="NIO39" s="926"/>
      <c r="NIP39" s="926"/>
      <c r="NIQ39" s="926"/>
      <c r="NIR39" s="926"/>
      <c r="NIS39" s="926"/>
      <c r="NIT39" s="926"/>
      <c r="NIU39" s="926"/>
      <c r="NIV39" s="926"/>
      <c r="NIW39" s="926"/>
      <c r="NIX39" s="926"/>
      <c r="NIY39" s="926"/>
      <c r="NIZ39" s="926"/>
      <c r="NJA39" s="926"/>
      <c r="NJB39" s="926"/>
      <c r="NJC39" s="926"/>
      <c r="NJD39" s="926"/>
      <c r="NJE39" s="926"/>
      <c r="NJF39" s="926"/>
      <c r="NJG39" s="926"/>
      <c r="NJH39" s="926"/>
      <c r="NJI39" s="926"/>
      <c r="NJJ39" s="926"/>
      <c r="NJK39" s="926"/>
      <c r="NJL39" s="926"/>
      <c r="NJM39" s="926"/>
      <c r="NJN39" s="926"/>
      <c r="NJO39" s="926"/>
      <c r="NJP39" s="926"/>
      <c r="NJQ39" s="926"/>
      <c r="NJR39" s="926"/>
      <c r="NJS39" s="926"/>
      <c r="NJT39" s="926"/>
      <c r="NJU39" s="926"/>
      <c r="NJV39" s="926"/>
      <c r="NJW39" s="926"/>
      <c r="NJX39" s="926"/>
      <c r="NJY39" s="926"/>
      <c r="NJZ39" s="926"/>
      <c r="NKA39" s="926"/>
      <c r="NKB39" s="926"/>
      <c r="NKC39" s="926"/>
      <c r="NKD39" s="926"/>
      <c r="NKE39" s="926"/>
      <c r="NKF39" s="926"/>
      <c r="NKG39" s="926"/>
      <c r="NKH39" s="926"/>
      <c r="NKI39" s="926"/>
      <c r="NKJ39" s="926"/>
      <c r="NKK39" s="926"/>
      <c r="NKL39" s="926"/>
      <c r="NKM39" s="926"/>
      <c r="NKN39" s="926"/>
      <c r="NKO39" s="926"/>
      <c r="NKP39" s="926"/>
      <c r="NKQ39" s="926"/>
      <c r="NKR39" s="926"/>
      <c r="NKS39" s="926"/>
      <c r="NKT39" s="926"/>
      <c r="NKU39" s="926"/>
      <c r="NKV39" s="926"/>
      <c r="NKW39" s="926"/>
      <c r="NKX39" s="926"/>
      <c r="NKY39" s="926"/>
      <c r="NKZ39" s="926"/>
      <c r="NLA39" s="926"/>
      <c r="NLB39" s="926"/>
      <c r="NLC39" s="926"/>
      <c r="NLD39" s="926"/>
      <c r="NLE39" s="926"/>
      <c r="NLF39" s="926"/>
      <c r="NLG39" s="926"/>
      <c r="NLH39" s="926"/>
      <c r="NLI39" s="926"/>
      <c r="NLJ39" s="926"/>
      <c r="NLK39" s="926"/>
      <c r="NLL39" s="926"/>
      <c r="NLM39" s="926"/>
      <c r="NLN39" s="926"/>
      <c r="NLO39" s="926"/>
      <c r="NLP39" s="926"/>
      <c r="NLQ39" s="926"/>
      <c r="NLR39" s="926"/>
      <c r="NLS39" s="926"/>
      <c r="NLT39" s="926"/>
      <c r="NLU39" s="926"/>
      <c r="NLV39" s="926"/>
      <c r="NLW39" s="926"/>
      <c r="NLX39" s="926"/>
      <c r="NLY39" s="926"/>
      <c r="NLZ39" s="926"/>
      <c r="NMA39" s="926"/>
      <c r="NMB39" s="926"/>
      <c r="NMC39" s="926"/>
      <c r="NMD39" s="926"/>
      <c r="NME39" s="926"/>
      <c r="NMF39" s="926"/>
      <c r="NMG39" s="926"/>
      <c r="NMH39" s="926"/>
      <c r="NMI39" s="926"/>
      <c r="NMJ39" s="926"/>
      <c r="NMK39" s="926"/>
      <c r="NML39" s="926"/>
      <c r="NMM39" s="926"/>
      <c r="NMN39" s="926"/>
      <c r="NMO39" s="926"/>
      <c r="NMP39" s="926"/>
      <c r="NMQ39" s="926"/>
      <c r="NMR39" s="926"/>
      <c r="NMS39" s="926"/>
      <c r="NMT39" s="926"/>
      <c r="NMU39" s="926"/>
      <c r="NMV39" s="926"/>
      <c r="NMW39" s="926"/>
      <c r="NMX39" s="926"/>
      <c r="NMY39" s="926"/>
      <c r="NMZ39" s="926"/>
      <c r="NNA39" s="926"/>
      <c r="NNB39" s="926"/>
      <c r="NNC39" s="926"/>
      <c r="NND39" s="926"/>
      <c r="NNE39" s="926"/>
      <c r="NNF39" s="926"/>
      <c r="NNG39" s="926"/>
      <c r="NNH39" s="926"/>
      <c r="NNI39" s="926"/>
      <c r="NNJ39" s="926"/>
      <c r="NNK39" s="926"/>
      <c r="NNL39" s="926"/>
      <c r="NNM39" s="926"/>
      <c r="NNN39" s="926"/>
      <c r="NNO39" s="926"/>
      <c r="NNP39" s="926"/>
      <c r="NNQ39" s="926"/>
      <c r="NNR39" s="926"/>
      <c r="NNS39" s="926"/>
      <c r="NNT39" s="926"/>
      <c r="NNU39" s="926"/>
      <c r="NNV39" s="926"/>
      <c r="NNW39" s="926"/>
      <c r="NNX39" s="926"/>
      <c r="NNY39" s="926"/>
      <c r="NNZ39" s="926"/>
      <c r="NOA39" s="926"/>
      <c r="NOB39" s="926"/>
      <c r="NOC39" s="926"/>
      <c r="NOD39" s="926"/>
      <c r="NOE39" s="926"/>
      <c r="NOF39" s="926"/>
      <c r="NOG39" s="926"/>
      <c r="NOH39" s="926"/>
      <c r="NOI39" s="926"/>
      <c r="NOJ39" s="926"/>
      <c r="NOK39" s="926"/>
      <c r="NOL39" s="926"/>
      <c r="NOM39" s="926"/>
      <c r="NON39" s="926"/>
      <c r="NOO39" s="926"/>
      <c r="NOP39" s="926"/>
      <c r="NOQ39" s="926"/>
      <c r="NOR39" s="926"/>
      <c r="NOS39" s="926"/>
      <c r="NOT39" s="926"/>
      <c r="NOU39" s="926"/>
      <c r="NOV39" s="926"/>
      <c r="NOW39" s="926"/>
      <c r="NOX39" s="926"/>
      <c r="NOY39" s="926"/>
      <c r="NOZ39" s="926"/>
      <c r="NPA39" s="926"/>
      <c r="NPB39" s="926"/>
      <c r="NPC39" s="926"/>
      <c r="NPD39" s="926"/>
      <c r="NPE39" s="926"/>
      <c r="NPF39" s="926"/>
      <c r="NPG39" s="926"/>
      <c r="NPH39" s="926"/>
      <c r="NPI39" s="926"/>
      <c r="NPJ39" s="926"/>
      <c r="NPK39" s="926"/>
      <c r="NPL39" s="926"/>
      <c r="NPM39" s="926"/>
      <c r="NPN39" s="926"/>
      <c r="NPO39" s="926"/>
      <c r="NPP39" s="926"/>
      <c r="NPQ39" s="926"/>
      <c r="NPR39" s="926"/>
      <c r="NPS39" s="926"/>
      <c r="NPT39" s="926"/>
      <c r="NPU39" s="926"/>
      <c r="NPV39" s="926"/>
      <c r="NPW39" s="926"/>
      <c r="NPX39" s="926"/>
      <c r="NPY39" s="926"/>
      <c r="NPZ39" s="926"/>
      <c r="NQA39" s="926"/>
      <c r="NQB39" s="926"/>
      <c r="NQC39" s="926"/>
      <c r="NQD39" s="926"/>
      <c r="NQE39" s="926"/>
      <c r="NQF39" s="926"/>
      <c r="NQG39" s="926"/>
      <c r="NQH39" s="926"/>
      <c r="NQI39" s="926"/>
      <c r="NQJ39" s="926"/>
      <c r="NQK39" s="926"/>
      <c r="NQL39" s="926"/>
      <c r="NQM39" s="926"/>
      <c r="NQN39" s="926"/>
      <c r="NQO39" s="926"/>
      <c r="NQP39" s="926"/>
      <c r="NQQ39" s="926"/>
      <c r="NQR39" s="926"/>
      <c r="NQS39" s="926"/>
      <c r="NQT39" s="926"/>
      <c r="NQU39" s="926"/>
      <c r="NQV39" s="926"/>
      <c r="NQW39" s="926"/>
      <c r="NQX39" s="926"/>
      <c r="NQY39" s="926"/>
      <c r="NQZ39" s="926"/>
      <c r="NRA39" s="926"/>
      <c r="NRB39" s="926"/>
      <c r="NRC39" s="926"/>
      <c r="NRD39" s="926"/>
      <c r="NRE39" s="926"/>
      <c r="NRF39" s="926"/>
      <c r="NRG39" s="926"/>
      <c r="NRH39" s="926"/>
      <c r="NRI39" s="926"/>
      <c r="NRJ39" s="926"/>
      <c r="NRK39" s="926"/>
      <c r="NRL39" s="926"/>
      <c r="NRM39" s="926"/>
      <c r="NRN39" s="926"/>
      <c r="NRO39" s="926"/>
      <c r="NRP39" s="926"/>
      <c r="NRQ39" s="926"/>
      <c r="NRR39" s="926"/>
      <c r="NRS39" s="926"/>
      <c r="NRT39" s="926"/>
      <c r="NRU39" s="926"/>
      <c r="NRV39" s="926"/>
      <c r="NRW39" s="926"/>
      <c r="NRX39" s="926"/>
      <c r="NRY39" s="926"/>
      <c r="NRZ39" s="926"/>
      <c r="NSA39" s="926"/>
      <c r="NSB39" s="926"/>
      <c r="NSC39" s="926"/>
      <c r="NSD39" s="926"/>
      <c r="NSE39" s="926"/>
      <c r="NSF39" s="926"/>
      <c r="NSG39" s="926"/>
      <c r="NSH39" s="926"/>
      <c r="NSI39" s="926"/>
      <c r="NSJ39" s="926"/>
      <c r="NSK39" s="926"/>
      <c r="NSL39" s="926"/>
      <c r="NSM39" s="926"/>
      <c r="NSN39" s="926"/>
      <c r="NSO39" s="926"/>
      <c r="NSP39" s="926"/>
      <c r="NSQ39" s="926"/>
      <c r="NSR39" s="926"/>
      <c r="NSS39" s="926"/>
      <c r="NST39" s="926"/>
      <c r="NSU39" s="926"/>
      <c r="NSV39" s="926"/>
      <c r="NSW39" s="926"/>
      <c r="NSX39" s="926"/>
      <c r="NSY39" s="926"/>
      <c r="NSZ39" s="926"/>
      <c r="NTA39" s="926"/>
      <c r="NTB39" s="926"/>
      <c r="NTC39" s="926"/>
      <c r="NTD39" s="926"/>
      <c r="NTE39" s="926"/>
      <c r="NTF39" s="926"/>
      <c r="NTG39" s="926"/>
      <c r="NTH39" s="926"/>
      <c r="NTI39" s="926"/>
      <c r="NTJ39" s="926"/>
      <c r="NTK39" s="926"/>
      <c r="NTL39" s="926"/>
      <c r="NTM39" s="926"/>
      <c r="NTN39" s="926"/>
      <c r="NTO39" s="926"/>
      <c r="NTP39" s="926"/>
      <c r="NTQ39" s="926"/>
      <c r="NTR39" s="926"/>
      <c r="NTS39" s="926"/>
      <c r="NTT39" s="926"/>
      <c r="NTU39" s="926"/>
      <c r="NTV39" s="926"/>
      <c r="NTW39" s="926"/>
      <c r="NTX39" s="926"/>
      <c r="NTY39" s="926"/>
      <c r="NTZ39" s="926"/>
      <c r="NUA39" s="926"/>
      <c r="NUB39" s="926"/>
      <c r="NUC39" s="926"/>
      <c r="NUD39" s="926"/>
      <c r="NUE39" s="926"/>
      <c r="NUF39" s="926"/>
      <c r="NUG39" s="926"/>
      <c r="NUH39" s="926"/>
      <c r="NUI39" s="926"/>
      <c r="NUJ39" s="926"/>
      <c r="NUK39" s="926"/>
      <c r="NUL39" s="926"/>
      <c r="NUM39" s="926"/>
      <c r="NUN39" s="926"/>
      <c r="NUO39" s="926"/>
      <c r="NUP39" s="926"/>
      <c r="NUQ39" s="926"/>
      <c r="NUR39" s="926"/>
      <c r="NUS39" s="926"/>
      <c r="NUT39" s="926"/>
      <c r="NUU39" s="926"/>
      <c r="NUV39" s="926"/>
      <c r="NUW39" s="926"/>
      <c r="NUX39" s="926"/>
      <c r="NUY39" s="926"/>
      <c r="NUZ39" s="926"/>
      <c r="NVA39" s="926"/>
      <c r="NVB39" s="926"/>
      <c r="NVC39" s="926"/>
      <c r="NVD39" s="926"/>
      <c r="NVE39" s="926"/>
      <c r="NVF39" s="926"/>
      <c r="NVG39" s="926"/>
      <c r="NVH39" s="926"/>
      <c r="NVI39" s="926"/>
      <c r="NVJ39" s="926"/>
      <c r="NVK39" s="926"/>
      <c r="NVL39" s="926"/>
      <c r="NVM39" s="926"/>
      <c r="NVN39" s="926"/>
      <c r="NVO39" s="926"/>
      <c r="NVP39" s="926"/>
      <c r="NVQ39" s="926"/>
      <c r="NVR39" s="926"/>
      <c r="NVS39" s="926"/>
      <c r="NVT39" s="926"/>
      <c r="NVU39" s="926"/>
      <c r="NVV39" s="926"/>
      <c r="NVW39" s="926"/>
      <c r="NVX39" s="926"/>
      <c r="NVY39" s="926"/>
      <c r="NVZ39" s="926"/>
      <c r="NWA39" s="926"/>
      <c r="NWB39" s="926"/>
      <c r="NWC39" s="926"/>
      <c r="NWD39" s="926"/>
      <c r="NWE39" s="926"/>
      <c r="NWF39" s="926"/>
      <c r="NWG39" s="926"/>
      <c r="NWH39" s="926"/>
      <c r="NWI39" s="926"/>
      <c r="NWJ39" s="926"/>
      <c r="NWK39" s="926"/>
      <c r="NWL39" s="926"/>
      <c r="NWM39" s="926"/>
      <c r="NWN39" s="926"/>
      <c r="NWO39" s="926"/>
      <c r="NWP39" s="926"/>
      <c r="NWQ39" s="926"/>
      <c r="NWR39" s="926"/>
      <c r="NWS39" s="926"/>
      <c r="NWT39" s="926"/>
      <c r="NWU39" s="926"/>
      <c r="NWV39" s="926"/>
      <c r="NWW39" s="926"/>
      <c r="NWX39" s="926"/>
      <c r="NWY39" s="926"/>
      <c r="NWZ39" s="926"/>
      <c r="NXA39" s="926"/>
      <c r="NXB39" s="926"/>
      <c r="NXC39" s="926"/>
      <c r="NXD39" s="926"/>
      <c r="NXE39" s="926"/>
      <c r="NXF39" s="926"/>
      <c r="NXG39" s="926"/>
      <c r="NXH39" s="926"/>
      <c r="NXI39" s="926"/>
      <c r="NXJ39" s="926"/>
      <c r="NXK39" s="926"/>
      <c r="NXL39" s="926"/>
      <c r="NXM39" s="926"/>
      <c r="NXN39" s="926"/>
      <c r="NXO39" s="926"/>
      <c r="NXP39" s="926"/>
      <c r="NXQ39" s="926"/>
      <c r="NXR39" s="926"/>
      <c r="NXS39" s="926"/>
      <c r="NXT39" s="926"/>
      <c r="NXU39" s="926"/>
      <c r="NXV39" s="926"/>
      <c r="NXW39" s="926"/>
      <c r="NXX39" s="926"/>
      <c r="NXY39" s="926"/>
      <c r="NXZ39" s="926"/>
      <c r="NYA39" s="926"/>
      <c r="NYB39" s="926"/>
      <c r="NYC39" s="926"/>
      <c r="NYD39" s="926"/>
      <c r="NYE39" s="926"/>
      <c r="NYF39" s="926"/>
      <c r="NYG39" s="926"/>
      <c r="NYH39" s="926"/>
      <c r="NYI39" s="926"/>
      <c r="NYJ39" s="926"/>
      <c r="NYK39" s="926"/>
      <c r="NYL39" s="926"/>
      <c r="NYM39" s="926"/>
      <c r="NYN39" s="926"/>
      <c r="NYO39" s="926"/>
      <c r="NYP39" s="926"/>
      <c r="NYQ39" s="926"/>
      <c r="NYR39" s="926"/>
      <c r="NYS39" s="926"/>
      <c r="NYT39" s="926"/>
      <c r="NYU39" s="926"/>
      <c r="NYV39" s="926"/>
      <c r="NYW39" s="926"/>
      <c r="NYX39" s="926"/>
      <c r="NYY39" s="926"/>
      <c r="NYZ39" s="926"/>
      <c r="NZA39" s="926"/>
      <c r="NZB39" s="926"/>
      <c r="NZC39" s="926"/>
      <c r="NZD39" s="926"/>
      <c r="NZE39" s="926"/>
      <c r="NZF39" s="926"/>
      <c r="NZG39" s="926"/>
      <c r="NZH39" s="926"/>
      <c r="NZI39" s="926"/>
      <c r="NZJ39" s="926"/>
      <c r="NZK39" s="926"/>
      <c r="NZL39" s="926"/>
      <c r="NZM39" s="926"/>
      <c r="NZN39" s="926"/>
      <c r="NZO39" s="926"/>
      <c r="NZP39" s="926"/>
      <c r="NZQ39" s="926"/>
      <c r="NZR39" s="926"/>
      <c r="NZS39" s="926"/>
      <c r="NZT39" s="926"/>
      <c r="NZU39" s="926"/>
      <c r="NZV39" s="926"/>
      <c r="NZW39" s="926"/>
      <c r="NZX39" s="926"/>
      <c r="NZY39" s="926"/>
      <c r="NZZ39" s="926"/>
      <c r="OAA39" s="926"/>
      <c r="OAB39" s="926"/>
      <c r="OAC39" s="926"/>
      <c r="OAD39" s="926"/>
      <c r="OAE39" s="926"/>
      <c r="OAF39" s="926"/>
      <c r="OAG39" s="926"/>
      <c r="OAH39" s="926"/>
      <c r="OAI39" s="926"/>
      <c r="OAJ39" s="926"/>
      <c r="OAK39" s="926"/>
      <c r="OAL39" s="926"/>
      <c r="OAM39" s="926"/>
      <c r="OAN39" s="926"/>
      <c r="OAO39" s="926"/>
      <c r="OAP39" s="926"/>
      <c r="OAQ39" s="926"/>
      <c r="OAR39" s="926"/>
      <c r="OAS39" s="926"/>
      <c r="OAT39" s="926"/>
      <c r="OAU39" s="926"/>
      <c r="OAV39" s="926"/>
      <c r="OAW39" s="926"/>
      <c r="OAX39" s="926"/>
      <c r="OAY39" s="926"/>
      <c r="OAZ39" s="926"/>
      <c r="OBA39" s="926"/>
      <c r="OBB39" s="926"/>
      <c r="OBC39" s="926"/>
      <c r="OBD39" s="926"/>
      <c r="OBE39" s="926"/>
      <c r="OBF39" s="926"/>
      <c r="OBG39" s="926"/>
      <c r="OBH39" s="926"/>
      <c r="OBI39" s="926"/>
      <c r="OBJ39" s="926"/>
      <c r="OBK39" s="926"/>
      <c r="OBL39" s="926"/>
      <c r="OBM39" s="926"/>
      <c r="OBN39" s="926"/>
      <c r="OBO39" s="926"/>
      <c r="OBP39" s="926"/>
      <c r="OBQ39" s="926"/>
      <c r="OBR39" s="926"/>
      <c r="OBS39" s="926"/>
      <c r="OBT39" s="926"/>
      <c r="OBU39" s="926"/>
      <c r="OBV39" s="926"/>
      <c r="OBW39" s="926"/>
      <c r="OBX39" s="926"/>
      <c r="OBY39" s="926"/>
      <c r="OBZ39" s="926"/>
      <c r="OCA39" s="926"/>
      <c r="OCB39" s="926"/>
      <c r="OCC39" s="926"/>
      <c r="OCD39" s="926"/>
      <c r="OCE39" s="926"/>
      <c r="OCF39" s="926"/>
      <c r="OCG39" s="926"/>
      <c r="OCH39" s="926"/>
      <c r="OCI39" s="926"/>
      <c r="OCJ39" s="926"/>
      <c r="OCK39" s="926"/>
      <c r="OCL39" s="926"/>
      <c r="OCM39" s="926"/>
      <c r="OCN39" s="926"/>
      <c r="OCO39" s="926"/>
      <c r="OCP39" s="926"/>
      <c r="OCQ39" s="926"/>
      <c r="OCR39" s="926"/>
      <c r="OCS39" s="926"/>
      <c r="OCT39" s="926"/>
      <c r="OCU39" s="926"/>
      <c r="OCV39" s="926"/>
      <c r="OCW39" s="926"/>
      <c r="OCX39" s="926"/>
      <c r="OCY39" s="926"/>
      <c r="OCZ39" s="926"/>
      <c r="ODA39" s="926"/>
      <c r="ODB39" s="926"/>
      <c r="ODC39" s="926"/>
      <c r="ODD39" s="926"/>
      <c r="ODE39" s="926"/>
      <c r="ODF39" s="926"/>
      <c r="ODG39" s="926"/>
      <c r="ODH39" s="926"/>
      <c r="ODI39" s="926"/>
      <c r="ODJ39" s="926"/>
      <c r="ODK39" s="926"/>
      <c r="ODL39" s="926"/>
      <c r="ODM39" s="926"/>
      <c r="ODN39" s="926"/>
      <c r="ODO39" s="926"/>
      <c r="ODP39" s="926"/>
      <c r="ODQ39" s="926"/>
      <c r="ODR39" s="926"/>
      <c r="ODS39" s="926"/>
      <c r="ODT39" s="926"/>
      <c r="ODU39" s="926"/>
      <c r="ODV39" s="926"/>
      <c r="ODW39" s="926"/>
      <c r="ODX39" s="926"/>
      <c r="ODY39" s="926"/>
      <c r="ODZ39" s="926"/>
      <c r="OEA39" s="926"/>
      <c r="OEB39" s="926"/>
      <c r="OEC39" s="926"/>
      <c r="OED39" s="926"/>
      <c r="OEE39" s="926"/>
      <c r="OEF39" s="926"/>
      <c r="OEG39" s="926"/>
      <c r="OEH39" s="926"/>
      <c r="OEI39" s="926"/>
      <c r="OEJ39" s="926"/>
      <c r="OEK39" s="926"/>
      <c r="OEL39" s="926"/>
      <c r="OEM39" s="926"/>
      <c r="OEN39" s="926"/>
      <c r="OEO39" s="926"/>
      <c r="OEP39" s="926"/>
      <c r="OEQ39" s="926"/>
      <c r="OER39" s="926"/>
      <c r="OES39" s="926"/>
      <c r="OET39" s="926"/>
      <c r="OEU39" s="926"/>
      <c r="OEV39" s="926"/>
      <c r="OEW39" s="926"/>
      <c r="OEX39" s="926"/>
      <c r="OEY39" s="926"/>
      <c r="OEZ39" s="926"/>
      <c r="OFA39" s="926"/>
      <c r="OFB39" s="926"/>
      <c r="OFC39" s="926"/>
      <c r="OFD39" s="926"/>
      <c r="OFE39" s="926"/>
      <c r="OFF39" s="926"/>
      <c r="OFG39" s="926"/>
      <c r="OFH39" s="926"/>
      <c r="OFI39" s="926"/>
      <c r="OFJ39" s="926"/>
      <c r="OFK39" s="926"/>
      <c r="OFL39" s="926"/>
      <c r="OFM39" s="926"/>
      <c r="OFN39" s="926"/>
      <c r="OFO39" s="926"/>
      <c r="OFP39" s="926"/>
      <c r="OFQ39" s="926"/>
      <c r="OFR39" s="926"/>
      <c r="OFS39" s="926"/>
      <c r="OFT39" s="926"/>
      <c r="OFU39" s="926"/>
      <c r="OFV39" s="926"/>
      <c r="OFW39" s="926"/>
      <c r="OFX39" s="926"/>
      <c r="OFY39" s="926"/>
      <c r="OFZ39" s="926"/>
      <c r="OGA39" s="926"/>
      <c r="OGB39" s="926"/>
      <c r="OGC39" s="926"/>
      <c r="OGD39" s="926"/>
      <c r="OGE39" s="926"/>
      <c r="OGF39" s="926"/>
      <c r="OGG39" s="926"/>
      <c r="OGH39" s="926"/>
      <c r="OGI39" s="926"/>
      <c r="OGJ39" s="926"/>
      <c r="OGK39" s="926"/>
      <c r="OGL39" s="926"/>
      <c r="OGM39" s="926"/>
      <c r="OGN39" s="926"/>
      <c r="OGO39" s="926"/>
      <c r="OGP39" s="926"/>
      <c r="OGQ39" s="926"/>
      <c r="OGR39" s="926"/>
      <c r="OGS39" s="926"/>
      <c r="OGT39" s="926"/>
      <c r="OGU39" s="926"/>
      <c r="OGV39" s="926"/>
      <c r="OGW39" s="926"/>
      <c r="OGX39" s="926"/>
      <c r="OGY39" s="926"/>
      <c r="OGZ39" s="926"/>
      <c r="OHA39" s="926"/>
      <c r="OHB39" s="926"/>
      <c r="OHC39" s="926"/>
      <c r="OHD39" s="926"/>
      <c r="OHE39" s="926"/>
      <c r="OHF39" s="926"/>
      <c r="OHG39" s="926"/>
      <c r="OHH39" s="926"/>
      <c r="OHI39" s="926"/>
      <c r="OHJ39" s="926"/>
      <c r="OHK39" s="926"/>
      <c r="OHL39" s="926"/>
      <c r="OHM39" s="926"/>
      <c r="OHN39" s="926"/>
      <c r="OHO39" s="926"/>
      <c r="OHP39" s="926"/>
      <c r="OHQ39" s="926"/>
      <c r="OHR39" s="926"/>
      <c r="OHS39" s="926"/>
      <c r="OHT39" s="926"/>
      <c r="OHU39" s="926"/>
      <c r="OHV39" s="926"/>
      <c r="OHW39" s="926"/>
      <c r="OHX39" s="926"/>
      <c r="OHY39" s="926"/>
      <c r="OHZ39" s="926"/>
      <c r="OIA39" s="926"/>
      <c r="OIB39" s="926"/>
      <c r="OIC39" s="926"/>
      <c r="OID39" s="926"/>
      <c r="OIE39" s="926"/>
      <c r="OIF39" s="926"/>
      <c r="OIG39" s="926"/>
      <c r="OIH39" s="926"/>
      <c r="OII39" s="926"/>
      <c r="OIJ39" s="926"/>
      <c r="OIK39" s="926"/>
      <c r="OIL39" s="926"/>
      <c r="OIM39" s="926"/>
      <c r="OIN39" s="926"/>
      <c r="OIO39" s="926"/>
      <c r="OIP39" s="926"/>
      <c r="OIQ39" s="926"/>
      <c r="OIR39" s="926"/>
      <c r="OIS39" s="926"/>
      <c r="OIT39" s="926"/>
      <c r="OIU39" s="926"/>
      <c r="OIV39" s="926"/>
      <c r="OIW39" s="926"/>
      <c r="OIX39" s="926"/>
      <c r="OIY39" s="926"/>
      <c r="OIZ39" s="926"/>
      <c r="OJA39" s="926"/>
      <c r="OJB39" s="926"/>
      <c r="OJC39" s="926"/>
      <c r="OJD39" s="926"/>
      <c r="OJE39" s="926"/>
      <c r="OJF39" s="926"/>
      <c r="OJG39" s="926"/>
      <c r="OJH39" s="926"/>
      <c r="OJI39" s="926"/>
      <c r="OJJ39" s="926"/>
      <c r="OJK39" s="926"/>
      <c r="OJL39" s="926"/>
      <c r="OJM39" s="926"/>
      <c r="OJN39" s="926"/>
      <c r="OJO39" s="926"/>
      <c r="OJP39" s="926"/>
      <c r="OJQ39" s="926"/>
      <c r="OJR39" s="926"/>
      <c r="OJS39" s="926"/>
      <c r="OJT39" s="926"/>
      <c r="OJU39" s="926"/>
      <c r="OJV39" s="926"/>
      <c r="OJW39" s="926"/>
      <c r="OJX39" s="926"/>
      <c r="OJY39" s="926"/>
      <c r="OJZ39" s="926"/>
      <c r="OKA39" s="926"/>
      <c r="OKB39" s="926"/>
      <c r="OKC39" s="926"/>
      <c r="OKD39" s="926"/>
      <c r="OKE39" s="926"/>
      <c r="OKF39" s="926"/>
      <c r="OKG39" s="926"/>
      <c r="OKH39" s="926"/>
      <c r="OKI39" s="926"/>
      <c r="OKJ39" s="926"/>
      <c r="OKK39" s="926"/>
      <c r="OKL39" s="926"/>
      <c r="OKM39" s="926"/>
      <c r="OKN39" s="926"/>
      <c r="OKO39" s="926"/>
      <c r="OKP39" s="926"/>
      <c r="OKQ39" s="926"/>
      <c r="OKR39" s="926"/>
      <c r="OKS39" s="926"/>
      <c r="OKT39" s="926"/>
      <c r="OKU39" s="926"/>
      <c r="OKV39" s="926"/>
      <c r="OKW39" s="926"/>
      <c r="OKX39" s="926"/>
      <c r="OKY39" s="926"/>
      <c r="OKZ39" s="926"/>
      <c r="OLA39" s="926"/>
      <c r="OLB39" s="926"/>
      <c r="OLC39" s="926"/>
      <c r="OLD39" s="926"/>
      <c r="OLE39" s="926"/>
      <c r="OLF39" s="926"/>
      <c r="OLG39" s="926"/>
      <c r="OLH39" s="926"/>
      <c r="OLI39" s="926"/>
      <c r="OLJ39" s="926"/>
      <c r="OLK39" s="926"/>
      <c r="OLL39" s="926"/>
      <c r="OLM39" s="926"/>
      <c r="OLN39" s="926"/>
      <c r="OLO39" s="926"/>
      <c r="OLP39" s="926"/>
      <c r="OLQ39" s="926"/>
      <c r="OLR39" s="926"/>
      <c r="OLS39" s="926"/>
      <c r="OLT39" s="926"/>
      <c r="OLU39" s="926"/>
      <c r="OLV39" s="926"/>
      <c r="OLW39" s="926"/>
      <c r="OLX39" s="926"/>
      <c r="OLY39" s="926"/>
      <c r="OLZ39" s="926"/>
      <c r="OMA39" s="926"/>
      <c r="OMB39" s="926"/>
      <c r="OMC39" s="926"/>
      <c r="OMD39" s="926"/>
      <c r="OME39" s="926"/>
      <c r="OMF39" s="926"/>
      <c r="OMG39" s="926"/>
      <c r="OMH39" s="926"/>
      <c r="OMI39" s="926"/>
      <c r="OMJ39" s="926"/>
      <c r="OMK39" s="926"/>
      <c r="OML39" s="926"/>
      <c r="OMM39" s="926"/>
      <c r="OMN39" s="926"/>
      <c r="OMO39" s="926"/>
      <c r="OMP39" s="926"/>
      <c r="OMQ39" s="926"/>
      <c r="OMR39" s="926"/>
      <c r="OMS39" s="926"/>
      <c r="OMT39" s="926"/>
      <c r="OMU39" s="926"/>
      <c r="OMV39" s="926"/>
      <c r="OMW39" s="926"/>
      <c r="OMX39" s="926"/>
      <c r="OMY39" s="926"/>
      <c r="OMZ39" s="926"/>
      <c r="ONA39" s="926"/>
      <c r="ONB39" s="926"/>
      <c r="ONC39" s="926"/>
      <c r="OND39" s="926"/>
      <c r="ONE39" s="926"/>
      <c r="ONF39" s="926"/>
      <c r="ONG39" s="926"/>
      <c r="ONH39" s="926"/>
      <c r="ONI39" s="926"/>
      <c r="ONJ39" s="926"/>
      <c r="ONK39" s="926"/>
      <c r="ONL39" s="926"/>
      <c r="ONM39" s="926"/>
      <c r="ONN39" s="926"/>
      <c r="ONO39" s="926"/>
      <c r="ONP39" s="926"/>
      <c r="ONQ39" s="926"/>
      <c r="ONR39" s="926"/>
      <c r="ONS39" s="926"/>
      <c r="ONT39" s="926"/>
      <c r="ONU39" s="926"/>
      <c r="ONV39" s="926"/>
      <c r="ONW39" s="926"/>
      <c r="ONX39" s="926"/>
      <c r="ONY39" s="926"/>
      <c r="ONZ39" s="926"/>
      <c r="OOA39" s="926"/>
      <c r="OOB39" s="926"/>
      <c r="OOC39" s="926"/>
      <c r="OOD39" s="926"/>
      <c r="OOE39" s="926"/>
      <c r="OOF39" s="926"/>
      <c r="OOG39" s="926"/>
      <c r="OOH39" s="926"/>
      <c r="OOI39" s="926"/>
      <c r="OOJ39" s="926"/>
      <c r="OOK39" s="926"/>
      <c r="OOL39" s="926"/>
      <c r="OOM39" s="926"/>
      <c r="OON39" s="926"/>
      <c r="OOO39" s="926"/>
      <c r="OOP39" s="926"/>
      <c r="OOQ39" s="926"/>
      <c r="OOR39" s="926"/>
      <c r="OOS39" s="926"/>
      <c r="OOT39" s="926"/>
      <c r="OOU39" s="926"/>
      <c r="OOV39" s="926"/>
      <c r="OOW39" s="926"/>
      <c r="OOX39" s="926"/>
      <c r="OOY39" s="926"/>
      <c r="OOZ39" s="926"/>
      <c r="OPA39" s="926"/>
      <c r="OPB39" s="926"/>
      <c r="OPC39" s="926"/>
      <c r="OPD39" s="926"/>
      <c r="OPE39" s="926"/>
      <c r="OPF39" s="926"/>
      <c r="OPG39" s="926"/>
      <c r="OPH39" s="926"/>
      <c r="OPI39" s="926"/>
      <c r="OPJ39" s="926"/>
      <c r="OPK39" s="926"/>
      <c r="OPL39" s="926"/>
      <c r="OPM39" s="926"/>
      <c r="OPN39" s="926"/>
      <c r="OPO39" s="926"/>
      <c r="OPP39" s="926"/>
      <c r="OPQ39" s="926"/>
      <c r="OPR39" s="926"/>
      <c r="OPS39" s="926"/>
      <c r="OPT39" s="926"/>
      <c r="OPU39" s="926"/>
      <c r="OPV39" s="926"/>
      <c r="OPW39" s="926"/>
      <c r="OPX39" s="926"/>
      <c r="OPY39" s="926"/>
      <c r="OPZ39" s="926"/>
      <c r="OQA39" s="926"/>
      <c r="OQB39" s="926"/>
      <c r="OQC39" s="926"/>
      <c r="OQD39" s="926"/>
      <c r="OQE39" s="926"/>
      <c r="OQF39" s="926"/>
      <c r="OQG39" s="926"/>
      <c r="OQH39" s="926"/>
      <c r="OQI39" s="926"/>
      <c r="OQJ39" s="926"/>
      <c r="OQK39" s="926"/>
      <c r="OQL39" s="926"/>
      <c r="OQM39" s="926"/>
      <c r="OQN39" s="926"/>
      <c r="OQO39" s="926"/>
      <c r="OQP39" s="926"/>
      <c r="OQQ39" s="926"/>
      <c r="OQR39" s="926"/>
      <c r="OQS39" s="926"/>
      <c r="OQT39" s="926"/>
      <c r="OQU39" s="926"/>
      <c r="OQV39" s="926"/>
      <c r="OQW39" s="926"/>
      <c r="OQX39" s="926"/>
      <c r="OQY39" s="926"/>
      <c r="OQZ39" s="926"/>
      <c r="ORA39" s="926"/>
      <c r="ORB39" s="926"/>
      <c r="ORC39" s="926"/>
      <c r="ORD39" s="926"/>
      <c r="ORE39" s="926"/>
      <c r="ORF39" s="926"/>
      <c r="ORG39" s="926"/>
      <c r="ORH39" s="926"/>
      <c r="ORI39" s="926"/>
      <c r="ORJ39" s="926"/>
      <c r="ORK39" s="926"/>
      <c r="ORL39" s="926"/>
      <c r="ORM39" s="926"/>
      <c r="ORN39" s="926"/>
      <c r="ORO39" s="926"/>
      <c r="ORP39" s="926"/>
      <c r="ORQ39" s="926"/>
      <c r="ORR39" s="926"/>
      <c r="ORS39" s="926"/>
      <c r="ORT39" s="926"/>
      <c r="ORU39" s="926"/>
      <c r="ORV39" s="926"/>
      <c r="ORW39" s="926"/>
      <c r="ORX39" s="926"/>
      <c r="ORY39" s="926"/>
      <c r="ORZ39" s="926"/>
      <c r="OSA39" s="926"/>
      <c r="OSB39" s="926"/>
      <c r="OSC39" s="926"/>
      <c r="OSD39" s="926"/>
      <c r="OSE39" s="926"/>
      <c r="OSF39" s="926"/>
      <c r="OSG39" s="926"/>
      <c r="OSH39" s="926"/>
      <c r="OSI39" s="926"/>
      <c r="OSJ39" s="926"/>
      <c r="OSK39" s="926"/>
      <c r="OSL39" s="926"/>
      <c r="OSM39" s="926"/>
      <c r="OSN39" s="926"/>
      <c r="OSO39" s="926"/>
      <c r="OSP39" s="926"/>
      <c r="OSQ39" s="926"/>
      <c r="OSR39" s="926"/>
      <c r="OSS39" s="926"/>
      <c r="OST39" s="926"/>
      <c r="OSU39" s="926"/>
      <c r="OSV39" s="926"/>
      <c r="OSW39" s="926"/>
      <c r="OSX39" s="926"/>
      <c r="OSY39" s="926"/>
      <c r="OSZ39" s="926"/>
      <c r="OTA39" s="926"/>
      <c r="OTB39" s="926"/>
      <c r="OTC39" s="926"/>
      <c r="OTD39" s="926"/>
      <c r="OTE39" s="926"/>
      <c r="OTF39" s="926"/>
      <c r="OTG39" s="926"/>
      <c r="OTH39" s="926"/>
      <c r="OTI39" s="926"/>
      <c r="OTJ39" s="926"/>
      <c r="OTK39" s="926"/>
      <c r="OTL39" s="926"/>
      <c r="OTM39" s="926"/>
      <c r="OTN39" s="926"/>
      <c r="OTO39" s="926"/>
      <c r="OTP39" s="926"/>
      <c r="OTQ39" s="926"/>
      <c r="OTR39" s="926"/>
      <c r="OTS39" s="926"/>
      <c r="OTT39" s="926"/>
      <c r="OTU39" s="926"/>
      <c r="OTV39" s="926"/>
      <c r="OTW39" s="926"/>
      <c r="OTX39" s="926"/>
      <c r="OTY39" s="926"/>
      <c r="OTZ39" s="926"/>
      <c r="OUA39" s="926"/>
      <c r="OUB39" s="926"/>
      <c r="OUC39" s="926"/>
      <c r="OUD39" s="926"/>
      <c r="OUE39" s="926"/>
      <c r="OUF39" s="926"/>
      <c r="OUG39" s="926"/>
      <c r="OUH39" s="926"/>
      <c r="OUI39" s="926"/>
      <c r="OUJ39" s="926"/>
      <c r="OUK39" s="926"/>
      <c r="OUL39" s="926"/>
      <c r="OUM39" s="926"/>
      <c r="OUN39" s="926"/>
      <c r="OUO39" s="926"/>
      <c r="OUP39" s="926"/>
      <c r="OUQ39" s="926"/>
      <c r="OUR39" s="926"/>
      <c r="OUS39" s="926"/>
      <c r="OUT39" s="926"/>
      <c r="OUU39" s="926"/>
      <c r="OUV39" s="926"/>
      <c r="OUW39" s="926"/>
      <c r="OUX39" s="926"/>
      <c r="OUY39" s="926"/>
      <c r="OUZ39" s="926"/>
      <c r="OVA39" s="926"/>
      <c r="OVB39" s="926"/>
      <c r="OVC39" s="926"/>
      <c r="OVD39" s="926"/>
      <c r="OVE39" s="926"/>
      <c r="OVF39" s="926"/>
      <c r="OVG39" s="926"/>
      <c r="OVH39" s="926"/>
      <c r="OVI39" s="926"/>
      <c r="OVJ39" s="926"/>
      <c r="OVK39" s="926"/>
      <c r="OVL39" s="926"/>
      <c r="OVM39" s="926"/>
      <c r="OVN39" s="926"/>
      <c r="OVO39" s="926"/>
      <c r="OVP39" s="926"/>
      <c r="OVQ39" s="926"/>
      <c r="OVR39" s="926"/>
      <c r="OVS39" s="926"/>
      <c r="OVT39" s="926"/>
      <c r="OVU39" s="926"/>
      <c r="OVV39" s="926"/>
      <c r="OVW39" s="926"/>
      <c r="OVX39" s="926"/>
      <c r="OVY39" s="926"/>
      <c r="OVZ39" s="926"/>
      <c r="OWA39" s="926"/>
      <c r="OWB39" s="926"/>
      <c r="OWC39" s="926"/>
      <c r="OWD39" s="926"/>
      <c r="OWE39" s="926"/>
      <c r="OWF39" s="926"/>
      <c r="OWG39" s="926"/>
      <c r="OWH39" s="926"/>
      <c r="OWI39" s="926"/>
      <c r="OWJ39" s="926"/>
      <c r="OWK39" s="926"/>
      <c r="OWL39" s="926"/>
      <c r="OWM39" s="926"/>
      <c r="OWN39" s="926"/>
      <c r="OWO39" s="926"/>
      <c r="OWP39" s="926"/>
      <c r="OWQ39" s="926"/>
      <c r="OWR39" s="926"/>
      <c r="OWS39" s="926"/>
      <c r="OWT39" s="926"/>
      <c r="OWU39" s="926"/>
      <c r="OWV39" s="926"/>
      <c r="OWW39" s="926"/>
      <c r="OWX39" s="926"/>
      <c r="OWY39" s="926"/>
      <c r="OWZ39" s="926"/>
      <c r="OXA39" s="926"/>
      <c r="OXB39" s="926"/>
      <c r="OXC39" s="926"/>
      <c r="OXD39" s="926"/>
      <c r="OXE39" s="926"/>
      <c r="OXF39" s="926"/>
      <c r="OXG39" s="926"/>
      <c r="OXH39" s="926"/>
      <c r="OXI39" s="926"/>
      <c r="OXJ39" s="926"/>
      <c r="OXK39" s="926"/>
      <c r="OXL39" s="926"/>
      <c r="OXM39" s="926"/>
      <c r="OXN39" s="926"/>
      <c r="OXO39" s="926"/>
      <c r="OXP39" s="926"/>
      <c r="OXQ39" s="926"/>
      <c r="OXR39" s="926"/>
      <c r="OXS39" s="926"/>
      <c r="OXT39" s="926"/>
      <c r="OXU39" s="926"/>
      <c r="OXV39" s="926"/>
      <c r="OXW39" s="926"/>
      <c r="OXX39" s="926"/>
      <c r="OXY39" s="926"/>
      <c r="OXZ39" s="926"/>
      <c r="OYA39" s="926"/>
      <c r="OYB39" s="926"/>
      <c r="OYC39" s="926"/>
      <c r="OYD39" s="926"/>
      <c r="OYE39" s="926"/>
      <c r="OYF39" s="926"/>
      <c r="OYG39" s="926"/>
      <c r="OYH39" s="926"/>
      <c r="OYI39" s="926"/>
      <c r="OYJ39" s="926"/>
      <c r="OYK39" s="926"/>
      <c r="OYL39" s="926"/>
      <c r="OYM39" s="926"/>
      <c r="OYN39" s="926"/>
      <c r="OYO39" s="926"/>
      <c r="OYP39" s="926"/>
      <c r="OYQ39" s="926"/>
      <c r="OYR39" s="926"/>
      <c r="OYS39" s="926"/>
      <c r="OYT39" s="926"/>
      <c r="OYU39" s="926"/>
      <c r="OYV39" s="926"/>
      <c r="OYW39" s="926"/>
      <c r="OYX39" s="926"/>
      <c r="OYY39" s="926"/>
      <c r="OYZ39" s="926"/>
      <c r="OZA39" s="926"/>
      <c r="OZB39" s="926"/>
      <c r="OZC39" s="926"/>
      <c r="OZD39" s="926"/>
      <c r="OZE39" s="926"/>
      <c r="OZF39" s="926"/>
      <c r="OZG39" s="926"/>
      <c r="OZH39" s="926"/>
      <c r="OZI39" s="926"/>
      <c r="OZJ39" s="926"/>
      <c r="OZK39" s="926"/>
      <c r="OZL39" s="926"/>
      <c r="OZM39" s="926"/>
      <c r="OZN39" s="926"/>
      <c r="OZO39" s="926"/>
      <c r="OZP39" s="926"/>
      <c r="OZQ39" s="926"/>
      <c r="OZR39" s="926"/>
      <c r="OZS39" s="926"/>
      <c r="OZT39" s="926"/>
      <c r="OZU39" s="926"/>
      <c r="OZV39" s="926"/>
      <c r="OZW39" s="926"/>
      <c r="OZX39" s="926"/>
      <c r="OZY39" s="926"/>
      <c r="OZZ39" s="926"/>
      <c r="PAA39" s="926"/>
      <c r="PAB39" s="926"/>
      <c r="PAC39" s="926"/>
      <c r="PAD39" s="926"/>
      <c r="PAE39" s="926"/>
      <c r="PAF39" s="926"/>
      <c r="PAG39" s="926"/>
      <c r="PAH39" s="926"/>
      <c r="PAI39" s="926"/>
      <c r="PAJ39" s="926"/>
      <c r="PAK39" s="926"/>
      <c r="PAL39" s="926"/>
      <c r="PAM39" s="926"/>
      <c r="PAN39" s="926"/>
      <c r="PAO39" s="926"/>
      <c r="PAP39" s="926"/>
      <c r="PAQ39" s="926"/>
      <c r="PAR39" s="926"/>
      <c r="PAS39" s="926"/>
      <c r="PAT39" s="926"/>
      <c r="PAU39" s="926"/>
      <c r="PAV39" s="926"/>
      <c r="PAW39" s="926"/>
      <c r="PAX39" s="926"/>
      <c r="PAY39" s="926"/>
      <c r="PAZ39" s="926"/>
      <c r="PBA39" s="926"/>
      <c r="PBB39" s="926"/>
      <c r="PBC39" s="926"/>
      <c r="PBD39" s="926"/>
      <c r="PBE39" s="926"/>
      <c r="PBF39" s="926"/>
      <c r="PBG39" s="926"/>
      <c r="PBH39" s="926"/>
      <c r="PBI39" s="926"/>
      <c r="PBJ39" s="926"/>
      <c r="PBK39" s="926"/>
      <c r="PBL39" s="926"/>
      <c r="PBM39" s="926"/>
      <c r="PBN39" s="926"/>
      <c r="PBO39" s="926"/>
      <c r="PBP39" s="926"/>
      <c r="PBQ39" s="926"/>
      <c r="PBR39" s="926"/>
      <c r="PBS39" s="926"/>
      <c r="PBT39" s="926"/>
      <c r="PBU39" s="926"/>
      <c r="PBV39" s="926"/>
      <c r="PBW39" s="926"/>
      <c r="PBX39" s="926"/>
      <c r="PBY39" s="926"/>
      <c r="PBZ39" s="926"/>
      <c r="PCA39" s="926"/>
      <c r="PCB39" s="926"/>
      <c r="PCC39" s="926"/>
      <c r="PCD39" s="926"/>
      <c r="PCE39" s="926"/>
      <c r="PCF39" s="926"/>
      <c r="PCG39" s="926"/>
      <c r="PCH39" s="926"/>
      <c r="PCI39" s="926"/>
      <c r="PCJ39" s="926"/>
      <c r="PCK39" s="926"/>
      <c r="PCL39" s="926"/>
      <c r="PCM39" s="926"/>
      <c r="PCN39" s="926"/>
      <c r="PCO39" s="926"/>
      <c r="PCP39" s="926"/>
      <c r="PCQ39" s="926"/>
      <c r="PCR39" s="926"/>
      <c r="PCS39" s="926"/>
      <c r="PCT39" s="926"/>
      <c r="PCU39" s="926"/>
      <c r="PCV39" s="926"/>
      <c r="PCW39" s="926"/>
      <c r="PCX39" s="926"/>
      <c r="PCY39" s="926"/>
      <c r="PCZ39" s="926"/>
      <c r="PDA39" s="926"/>
      <c r="PDB39" s="926"/>
      <c r="PDC39" s="926"/>
      <c r="PDD39" s="926"/>
      <c r="PDE39" s="926"/>
      <c r="PDF39" s="926"/>
      <c r="PDG39" s="926"/>
      <c r="PDH39" s="926"/>
      <c r="PDI39" s="926"/>
      <c r="PDJ39" s="926"/>
      <c r="PDK39" s="926"/>
      <c r="PDL39" s="926"/>
      <c r="PDM39" s="926"/>
      <c r="PDN39" s="926"/>
      <c r="PDO39" s="926"/>
      <c r="PDP39" s="926"/>
      <c r="PDQ39" s="926"/>
      <c r="PDR39" s="926"/>
      <c r="PDS39" s="926"/>
      <c r="PDT39" s="926"/>
      <c r="PDU39" s="926"/>
      <c r="PDV39" s="926"/>
      <c r="PDW39" s="926"/>
      <c r="PDX39" s="926"/>
      <c r="PDY39" s="926"/>
      <c r="PDZ39" s="926"/>
      <c r="PEA39" s="926"/>
      <c r="PEB39" s="926"/>
      <c r="PEC39" s="926"/>
      <c r="PED39" s="926"/>
      <c r="PEE39" s="926"/>
      <c r="PEF39" s="926"/>
      <c r="PEG39" s="926"/>
      <c r="PEH39" s="926"/>
      <c r="PEI39" s="926"/>
      <c r="PEJ39" s="926"/>
      <c r="PEK39" s="926"/>
      <c r="PEL39" s="926"/>
      <c r="PEM39" s="926"/>
      <c r="PEN39" s="926"/>
      <c r="PEO39" s="926"/>
      <c r="PEP39" s="926"/>
      <c r="PEQ39" s="926"/>
      <c r="PER39" s="926"/>
      <c r="PES39" s="926"/>
      <c r="PET39" s="926"/>
      <c r="PEU39" s="926"/>
      <c r="PEV39" s="926"/>
      <c r="PEW39" s="926"/>
      <c r="PEX39" s="926"/>
      <c r="PEY39" s="926"/>
      <c r="PEZ39" s="926"/>
      <c r="PFA39" s="926"/>
      <c r="PFB39" s="926"/>
      <c r="PFC39" s="926"/>
      <c r="PFD39" s="926"/>
      <c r="PFE39" s="926"/>
      <c r="PFF39" s="926"/>
      <c r="PFG39" s="926"/>
      <c r="PFH39" s="926"/>
      <c r="PFI39" s="926"/>
      <c r="PFJ39" s="926"/>
      <c r="PFK39" s="926"/>
      <c r="PFL39" s="926"/>
      <c r="PFM39" s="926"/>
      <c r="PFN39" s="926"/>
      <c r="PFO39" s="926"/>
      <c r="PFP39" s="926"/>
      <c r="PFQ39" s="926"/>
      <c r="PFR39" s="926"/>
      <c r="PFS39" s="926"/>
      <c r="PFT39" s="926"/>
      <c r="PFU39" s="926"/>
      <c r="PFV39" s="926"/>
      <c r="PFW39" s="926"/>
      <c r="PFX39" s="926"/>
      <c r="PFY39" s="926"/>
      <c r="PFZ39" s="926"/>
      <c r="PGA39" s="926"/>
      <c r="PGB39" s="926"/>
      <c r="PGC39" s="926"/>
      <c r="PGD39" s="926"/>
      <c r="PGE39" s="926"/>
      <c r="PGF39" s="926"/>
      <c r="PGG39" s="926"/>
      <c r="PGH39" s="926"/>
      <c r="PGI39" s="926"/>
      <c r="PGJ39" s="926"/>
      <c r="PGK39" s="926"/>
      <c r="PGL39" s="926"/>
      <c r="PGM39" s="926"/>
      <c r="PGN39" s="926"/>
      <c r="PGO39" s="926"/>
      <c r="PGP39" s="926"/>
      <c r="PGQ39" s="926"/>
      <c r="PGR39" s="926"/>
      <c r="PGS39" s="926"/>
      <c r="PGT39" s="926"/>
      <c r="PGU39" s="926"/>
      <c r="PGV39" s="926"/>
      <c r="PGW39" s="926"/>
      <c r="PGX39" s="926"/>
      <c r="PGY39" s="926"/>
      <c r="PGZ39" s="926"/>
      <c r="PHA39" s="926"/>
      <c r="PHB39" s="926"/>
      <c r="PHC39" s="926"/>
      <c r="PHD39" s="926"/>
      <c r="PHE39" s="926"/>
      <c r="PHF39" s="926"/>
      <c r="PHG39" s="926"/>
      <c r="PHH39" s="926"/>
      <c r="PHI39" s="926"/>
      <c r="PHJ39" s="926"/>
      <c r="PHK39" s="926"/>
      <c r="PHL39" s="926"/>
      <c r="PHM39" s="926"/>
      <c r="PHN39" s="926"/>
      <c r="PHO39" s="926"/>
      <c r="PHP39" s="926"/>
      <c r="PHQ39" s="926"/>
      <c r="PHR39" s="926"/>
      <c r="PHS39" s="926"/>
      <c r="PHT39" s="926"/>
      <c r="PHU39" s="926"/>
      <c r="PHV39" s="926"/>
      <c r="PHW39" s="926"/>
      <c r="PHX39" s="926"/>
      <c r="PHY39" s="926"/>
      <c r="PHZ39" s="926"/>
      <c r="PIA39" s="926"/>
      <c r="PIB39" s="926"/>
      <c r="PIC39" s="926"/>
      <c r="PID39" s="926"/>
      <c r="PIE39" s="926"/>
      <c r="PIF39" s="926"/>
      <c r="PIG39" s="926"/>
      <c r="PIH39" s="926"/>
      <c r="PII39" s="926"/>
      <c r="PIJ39" s="926"/>
      <c r="PIK39" s="926"/>
      <c r="PIL39" s="926"/>
      <c r="PIM39" s="926"/>
      <c r="PIN39" s="926"/>
      <c r="PIO39" s="926"/>
      <c r="PIP39" s="926"/>
      <c r="PIQ39" s="926"/>
      <c r="PIR39" s="926"/>
      <c r="PIS39" s="926"/>
      <c r="PIT39" s="926"/>
      <c r="PIU39" s="926"/>
      <c r="PIV39" s="926"/>
      <c r="PIW39" s="926"/>
      <c r="PIX39" s="926"/>
      <c r="PIY39" s="926"/>
      <c r="PIZ39" s="926"/>
      <c r="PJA39" s="926"/>
      <c r="PJB39" s="926"/>
      <c r="PJC39" s="926"/>
      <c r="PJD39" s="926"/>
      <c r="PJE39" s="926"/>
      <c r="PJF39" s="926"/>
      <c r="PJG39" s="926"/>
      <c r="PJH39" s="926"/>
      <c r="PJI39" s="926"/>
      <c r="PJJ39" s="926"/>
      <c r="PJK39" s="926"/>
      <c r="PJL39" s="926"/>
      <c r="PJM39" s="926"/>
      <c r="PJN39" s="926"/>
      <c r="PJO39" s="926"/>
      <c r="PJP39" s="926"/>
      <c r="PJQ39" s="926"/>
      <c r="PJR39" s="926"/>
      <c r="PJS39" s="926"/>
      <c r="PJT39" s="926"/>
      <c r="PJU39" s="926"/>
      <c r="PJV39" s="926"/>
      <c r="PJW39" s="926"/>
      <c r="PJX39" s="926"/>
      <c r="PJY39" s="926"/>
      <c r="PJZ39" s="926"/>
      <c r="PKA39" s="926"/>
      <c r="PKB39" s="926"/>
      <c r="PKC39" s="926"/>
      <c r="PKD39" s="926"/>
      <c r="PKE39" s="926"/>
      <c r="PKF39" s="926"/>
      <c r="PKG39" s="926"/>
      <c r="PKH39" s="926"/>
      <c r="PKI39" s="926"/>
      <c r="PKJ39" s="926"/>
      <c r="PKK39" s="926"/>
      <c r="PKL39" s="926"/>
      <c r="PKM39" s="926"/>
      <c r="PKN39" s="926"/>
      <c r="PKO39" s="926"/>
      <c r="PKP39" s="926"/>
      <c r="PKQ39" s="926"/>
      <c r="PKR39" s="926"/>
      <c r="PKS39" s="926"/>
      <c r="PKT39" s="926"/>
      <c r="PKU39" s="926"/>
      <c r="PKV39" s="926"/>
      <c r="PKW39" s="926"/>
      <c r="PKX39" s="926"/>
      <c r="PKY39" s="926"/>
      <c r="PKZ39" s="926"/>
      <c r="PLA39" s="926"/>
      <c r="PLB39" s="926"/>
      <c r="PLC39" s="926"/>
      <c r="PLD39" s="926"/>
      <c r="PLE39" s="926"/>
      <c r="PLF39" s="926"/>
      <c r="PLG39" s="926"/>
      <c r="PLH39" s="926"/>
      <c r="PLI39" s="926"/>
      <c r="PLJ39" s="926"/>
      <c r="PLK39" s="926"/>
      <c r="PLL39" s="926"/>
      <c r="PLM39" s="926"/>
      <c r="PLN39" s="926"/>
      <c r="PLO39" s="926"/>
      <c r="PLP39" s="926"/>
      <c r="PLQ39" s="926"/>
      <c r="PLR39" s="926"/>
      <c r="PLS39" s="926"/>
      <c r="PLT39" s="926"/>
      <c r="PLU39" s="926"/>
      <c r="PLV39" s="926"/>
      <c r="PLW39" s="926"/>
      <c r="PLX39" s="926"/>
      <c r="PLY39" s="926"/>
      <c r="PLZ39" s="926"/>
      <c r="PMA39" s="926"/>
      <c r="PMB39" s="926"/>
      <c r="PMC39" s="926"/>
      <c r="PMD39" s="926"/>
      <c r="PME39" s="926"/>
      <c r="PMF39" s="926"/>
      <c r="PMG39" s="926"/>
      <c r="PMH39" s="926"/>
      <c r="PMI39" s="926"/>
      <c r="PMJ39" s="926"/>
      <c r="PMK39" s="926"/>
      <c r="PML39" s="926"/>
      <c r="PMM39" s="926"/>
      <c r="PMN39" s="926"/>
      <c r="PMO39" s="926"/>
      <c r="PMP39" s="926"/>
      <c r="PMQ39" s="926"/>
      <c r="PMR39" s="926"/>
      <c r="PMS39" s="926"/>
      <c r="PMT39" s="926"/>
      <c r="PMU39" s="926"/>
      <c r="PMV39" s="926"/>
      <c r="PMW39" s="926"/>
      <c r="PMX39" s="926"/>
      <c r="PMY39" s="926"/>
      <c r="PMZ39" s="926"/>
      <c r="PNA39" s="926"/>
      <c r="PNB39" s="926"/>
      <c r="PNC39" s="926"/>
      <c r="PND39" s="926"/>
      <c r="PNE39" s="926"/>
      <c r="PNF39" s="926"/>
      <c r="PNG39" s="926"/>
      <c r="PNH39" s="926"/>
      <c r="PNI39" s="926"/>
      <c r="PNJ39" s="926"/>
      <c r="PNK39" s="926"/>
      <c r="PNL39" s="926"/>
      <c r="PNM39" s="926"/>
      <c r="PNN39" s="926"/>
      <c r="PNO39" s="926"/>
      <c r="PNP39" s="926"/>
      <c r="PNQ39" s="926"/>
      <c r="PNR39" s="926"/>
      <c r="PNS39" s="926"/>
      <c r="PNT39" s="926"/>
      <c r="PNU39" s="926"/>
      <c r="PNV39" s="926"/>
      <c r="PNW39" s="926"/>
      <c r="PNX39" s="926"/>
      <c r="PNY39" s="926"/>
      <c r="PNZ39" s="926"/>
      <c r="POA39" s="926"/>
      <c r="POB39" s="926"/>
      <c r="POC39" s="926"/>
      <c r="POD39" s="926"/>
      <c r="POE39" s="926"/>
      <c r="POF39" s="926"/>
      <c r="POG39" s="926"/>
      <c r="POH39" s="926"/>
      <c r="POI39" s="926"/>
      <c r="POJ39" s="926"/>
      <c r="POK39" s="926"/>
      <c r="POL39" s="926"/>
      <c r="POM39" s="926"/>
      <c r="PON39" s="926"/>
      <c r="POO39" s="926"/>
      <c r="POP39" s="926"/>
      <c r="POQ39" s="926"/>
      <c r="POR39" s="926"/>
      <c r="POS39" s="926"/>
      <c r="POT39" s="926"/>
      <c r="POU39" s="926"/>
      <c r="POV39" s="926"/>
      <c r="POW39" s="926"/>
      <c r="POX39" s="926"/>
      <c r="POY39" s="926"/>
      <c r="POZ39" s="926"/>
      <c r="PPA39" s="926"/>
      <c r="PPB39" s="926"/>
      <c r="PPC39" s="926"/>
      <c r="PPD39" s="926"/>
      <c r="PPE39" s="926"/>
      <c r="PPF39" s="926"/>
      <c r="PPG39" s="926"/>
      <c r="PPH39" s="926"/>
      <c r="PPI39" s="926"/>
      <c r="PPJ39" s="926"/>
      <c r="PPK39" s="926"/>
      <c r="PPL39" s="926"/>
      <c r="PPM39" s="926"/>
      <c r="PPN39" s="926"/>
      <c r="PPO39" s="926"/>
      <c r="PPP39" s="926"/>
      <c r="PPQ39" s="926"/>
      <c r="PPR39" s="926"/>
      <c r="PPS39" s="926"/>
      <c r="PPT39" s="926"/>
      <c r="PPU39" s="926"/>
      <c r="PPV39" s="926"/>
      <c r="PPW39" s="926"/>
      <c r="PPX39" s="926"/>
      <c r="PPY39" s="926"/>
      <c r="PPZ39" s="926"/>
      <c r="PQA39" s="926"/>
      <c r="PQB39" s="926"/>
      <c r="PQC39" s="926"/>
      <c r="PQD39" s="926"/>
      <c r="PQE39" s="926"/>
      <c r="PQF39" s="926"/>
      <c r="PQG39" s="926"/>
      <c r="PQH39" s="926"/>
      <c r="PQI39" s="926"/>
      <c r="PQJ39" s="926"/>
      <c r="PQK39" s="926"/>
      <c r="PQL39" s="926"/>
      <c r="PQM39" s="926"/>
      <c r="PQN39" s="926"/>
      <c r="PQO39" s="926"/>
      <c r="PQP39" s="926"/>
      <c r="PQQ39" s="926"/>
      <c r="PQR39" s="926"/>
      <c r="PQS39" s="926"/>
      <c r="PQT39" s="926"/>
      <c r="PQU39" s="926"/>
      <c r="PQV39" s="926"/>
      <c r="PQW39" s="926"/>
      <c r="PQX39" s="926"/>
      <c r="PQY39" s="926"/>
      <c r="PQZ39" s="926"/>
      <c r="PRA39" s="926"/>
      <c r="PRB39" s="926"/>
      <c r="PRC39" s="926"/>
      <c r="PRD39" s="926"/>
      <c r="PRE39" s="926"/>
      <c r="PRF39" s="926"/>
      <c r="PRG39" s="926"/>
      <c r="PRH39" s="926"/>
      <c r="PRI39" s="926"/>
      <c r="PRJ39" s="926"/>
      <c r="PRK39" s="926"/>
      <c r="PRL39" s="926"/>
      <c r="PRM39" s="926"/>
      <c r="PRN39" s="926"/>
      <c r="PRO39" s="926"/>
      <c r="PRP39" s="926"/>
      <c r="PRQ39" s="926"/>
      <c r="PRR39" s="926"/>
      <c r="PRS39" s="926"/>
      <c r="PRT39" s="926"/>
      <c r="PRU39" s="926"/>
      <c r="PRV39" s="926"/>
      <c r="PRW39" s="926"/>
      <c r="PRX39" s="926"/>
      <c r="PRY39" s="926"/>
      <c r="PRZ39" s="926"/>
      <c r="PSA39" s="926"/>
      <c r="PSB39" s="926"/>
      <c r="PSC39" s="926"/>
      <c r="PSD39" s="926"/>
      <c r="PSE39" s="926"/>
      <c r="PSF39" s="926"/>
      <c r="PSG39" s="926"/>
      <c r="PSH39" s="926"/>
      <c r="PSI39" s="926"/>
      <c r="PSJ39" s="926"/>
      <c r="PSK39" s="926"/>
      <c r="PSL39" s="926"/>
      <c r="PSM39" s="926"/>
      <c r="PSN39" s="926"/>
      <c r="PSO39" s="926"/>
      <c r="PSP39" s="926"/>
      <c r="PSQ39" s="926"/>
      <c r="PSR39" s="926"/>
      <c r="PSS39" s="926"/>
      <c r="PST39" s="926"/>
      <c r="PSU39" s="926"/>
      <c r="PSV39" s="926"/>
      <c r="PSW39" s="926"/>
      <c r="PSX39" s="926"/>
      <c r="PSY39" s="926"/>
      <c r="PSZ39" s="926"/>
      <c r="PTA39" s="926"/>
      <c r="PTB39" s="926"/>
      <c r="PTC39" s="926"/>
      <c r="PTD39" s="926"/>
      <c r="PTE39" s="926"/>
      <c r="PTF39" s="926"/>
      <c r="PTG39" s="926"/>
      <c r="PTH39" s="926"/>
      <c r="PTI39" s="926"/>
      <c r="PTJ39" s="926"/>
      <c r="PTK39" s="926"/>
      <c r="PTL39" s="926"/>
      <c r="PTM39" s="926"/>
      <c r="PTN39" s="926"/>
      <c r="PTO39" s="926"/>
      <c r="PTP39" s="926"/>
      <c r="PTQ39" s="926"/>
      <c r="PTR39" s="926"/>
      <c r="PTS39" s="926"/>
      <c r="PTT39" s="926"/>
      <c r="PTU39" s="926"/>
      <c r="PTV39" s="926"/>
      <c r="PTW39" s="926"/>
      <c r="PTX39" s="926"/>
      <c r="PTY39" s="926"/>
      <c r="PTZ39" s="926"/>
      <c r="PUA39" s="926"/>
      <c r="PUB39" s="926"/>
      <c r="PUC39" s="926"/>
      <c r="PUD39" s="926"/>
      <c r="PUE39" s="926"/>
      <c r="PUF39" s="926"/>
      <c r="PUG39" s="926"/>
      <c r="PUH39" s="926"/>
      <c r="PUI39" s="926"/>
      <c r="PUJ39" s="926"/>
      <c r="PUK39" s="926"/>
      <c r="PUL39" s="926"/>
      <c r="PUM39" s="926"/>
      <c r="PUN39" s="926"/>
      <c r="PUO39" s="926"/>
      <c r="PUP39" s="926"/>
      <c r="PUQ39" s="926"/>
      <c r="PUR39" s="926"/>
      <c r="PUS39" s="926"/>
      <c r="PUT39" s="926"/>
      <c r="PUU39" s="926"/>
      <c r="PUV39" s="926"/>
      <c r="PUW39" s="926"/>
      <c r="PUX39" s="926"/>
      <c r="PUY39" s="926"/>
      <c r="PUZ39" s="926"/>
      <c r="PVA39" s="926"/>
      <c r="PVB39" s="926"/>
      <c r="PVC39" s="926"/>
      <c r="PVD39" s="926"/>
      <c r="PVE39" s="926"/>
      <c r="PVF39" s="926"/>
      <c r="PVG39" s="926"/>
      <c r="PVH39" s="926"/>
      <c r="PVI39" s="926"/>
      <c r="PVJ39" s="926"/>
      <c r="PVK39" s="926"/>
      <c r="PVL39" s="926"/>
      <c r="PVM39" s="926"/>
      <c r="PVN39" s="926"/>
      <c r="PVO39" s="926"/>
      <c r="PVP39" s="926"/>
      <c r="PVQ39" s="926"/>
      <c r="PVR39" s="926"/>
      <c r="PVS39" s="926"/>
      <c r="PVT39" s="926"/>
      <c r="PVU39" s="926"/>
      <c r="PVV39" s="926"/>
      <c r="PVW39" s="926"/>
      <c r="PVX39" s="926"/>
      <c r="PVY39" s="926"/>
      <c r="PVZ39" s="926"/>
      <c r="PWA39" s="926"/>
      <c r="PWB39" s="926"/>
      <c r="PWC39" s="926"/>
      <c r="PWD39" s="926"/>
      <c r="PWE39" s="926"/>
      <c r="PWF39" s="926"/>
      <c r="PWG39" s="926"/>
      <c r="PWH39" s="926"/>
      <c r="PWI39" s="926"/>
      <c r="PWJ39" s="926"/>
      <c r="PWK39" s="926"/>
      <c r="PWL39" s="926"/>
      <c r="PWM39" s="926"/>
      <c r="PWN39" s="926"/>
      <c r="PWO39" s="926"/>
      <c r="PWP39" s="926"/>
      <c r="PWQ39" s="926"/>
      <c r="PWR39" s="926"/>
      <c r="PWS39" s="926"/>
      <c r="PWT39" s="926"/>
      <c r="PWU39" s="926"/>
      <c r="PWV39" s="926"/>
      <c r="PWW39" s="926"/>
      <c r="PWX39" s="926"/>
      <c r="PWY39" s="926"/>
      <c r="PWZ39" s="926"/>
      <c r="PXA39" s="926"/>
      <c r="PXB39" s="926"/>
      <c r="PXC39" s="926"/>
      <c r="PXD39" s="926"/>
      <c r="PXE39" s="926"/>
      <c r="PXF39" s="926"/>
      <c r="PXG39" s="926"/>
      <c r="PXH39" s="926"/>
      <c r="PXI39" s="926"/>
      <c r="PXJ39" s="926"/>
      <c r="PXK39" s="926"/>
      <c r="PXL39" s="926"/>
      <c r="PXM39" s="926"/>
      <c r="PXN39" s="926"/>
      <c r="PXO39" s="926"/>
      <c r="PXP39" s="926"/>
      <c r="PXQ39" s="926"/>
      <c r="PXR39" s="926"/>
      <c r="PXS39" s="926"/>
      <c r="PXT39" s="926"/>
      <c r="PXU39" s="926"/>
      <c r="PXV39" s="926"/>
      <c r="PXW39" s="926"/>
      <c r="PXX39" s="926"/>
      <c r="PXY39" s="926"/>
      <c r="PXZ39" s="926"/>
      <c r="PYA39" s="926"/>
      <c r="PYB39" s="926"/>
      <c r="PYC39" s="926"/>
      <c r="PYD39" s="926"/>
      <c r="PYE39" s="926"/>
      <c r="PYF39" s="926"/>
      <c r="PYG39" s="926"/>
      <c r="PYH39" s="926"/>
      <c r="PYI39" s="926"/>
      <c r="PYJ39" s="926"/>
      <c r="PYK39" s="926"/>
      <c r="PYL39" s="926"/>
      <c r="PYM39" s="926"/>
      <c r="PYN39" s="926"/>
      <c r="PYO39" s="926"/>
      <c r="PYP39" s="926"/>
      <c r="PYQ39" s="926"/>
      <c r="PYR39" s="926"/>
      <c r="PYS39" s="926"/>
      <c r="PYT39" s="926"/>
      <c r="PYU39" s="926"/>
      <c r="PYV39" s="926"/>
      <c r="PYW39" s="926"/>
      <c r="PYX39" s="926"/>
      <c r="PYY39" s="926"/>
      <c r="PYZ39" s="926"/>
      <c r="PZA39" s="926"/>
      <c r="PZB39" s="926"/>
      <c r="PZC39" s="926"/>
      <c r="PZD39" s="926"/>
      <c r="PZE39" s="926"/>
      <c r="PZF39" s="926"/>
      <c r="PZG39" s="926"/>
      <c r="PZH39" s="926"/>
      <c r="PZI39" s="926"/>
      <c r="PZJ39" s="926"/>
      <c r="PZK39" s="926"/>
      <c r="PZL39" s="926"/>
      <c r="PZM39" s="926"/>
      <c r="PZN39" s="926"/>
      <c r="PZO39" s="926"/>
      <c r="PZP39" s="926"/>
      <c r="PZQ39" s="926"/>
      <c r="PZR39" s="926"/>
      <c r="PZS39" s="926"/>
      <c r="PZT39" s="926"/>
      <c r="PZU39" s="926"/>
      <c r="PZV39" s="926"/>
      <c r="PZW39" s="926"/>
      <c r="PZX39" s="926"/>
      <c r="PZY39" s="926"/>
      <c r="PZZ39" s="926"/>
      <c r="QAA39" s="926"/>
      <c r="QAB39" s="926"/>
      <c r="QAC39" s="926"/>
      <c r="QAD39" s="926"/>
      <c r="QAE39" s="926"/>
      <c r="QAF39" s="926"/>
      <c r="QAG39" s="926"/>
      <c r="QAH39" s="926"/>
      <c r="QAI39" s="926"/>
      <c r="QAJ39" s="926"/>
      <c r="QAK39" s="926"/>
      <c r="QAL39" s="926"/>
      <c r="QAM39" s="926"/>
      <c r="QAN39" s="926"/>
      <c r="QAO39" s="926"/>
      <c r="QAP39" s="926"/>
      <c r="QAQ39" s="926"/>
      <c r="QAR39" s="926"/>
      <c r="QAS39" s="926"/>
      <c r="QAT39" s="926"/>
      <c r="QAU39" s="926"/>
      <c r="QAV39" s="926"/>
      <c r="QAW39" s="926"/>
      <c r="QAX39" s="926"/>
      <c r="QAY39" s="926"/>
      <c r="QAZ39" s="926"/>
      <c r="QBA39" s="926"/>
      <c r="QBB39" s="926"/>
      <c r="QBC39" s="926"/>
      <c r="QBD39" s="926"/>
      <c r="QBE39" s="926"/>
      <c r="QBF39" s="926"/>
      <c r="QBG39" s="926"/>
      <c r="QBH39" s="926"/>
      <c r="QBI39" s="926"/>
      <c r="QBJ39" s="926"/>
      <c r="QBK39" s="926"/>
      <c r="QBL39" s="926"/>
      <c r="QBM39" s="926"/>
      <c r="QBN39" s="926"/>
      <c r="QBO39" s="926"/>
      <c r="QBP39" s="926"/>
      <c r="QBQ39" s="926"/>
      <c r="QBR39" s="926"/>
      <c r="QBS39" s="926"/>
      <c r="QBT39" s="926"/>
      <c r="QBU39" s="926"/>
      <c r="QBV39" s="926"/>
      <c r="QBW39" s="926"/>
      <c r="QBX39" s="926"/>
      <c r="QBY39" s="926"/>
      <c r="QBZ39" s="926"/>
      <c r="QCA39" s="926"/>
      <c r="QCB39" s="926"/>
      <c r="QCC39" s="926"/>
      <c r="QCD39" s="926"/>
      <c r="QCE39" s="926"/>
      <c r="QCF39" s="926"/>
      <c r="QCG39" s="926"/>
      <c r="QCH39" s="926"/>
      <c r="QCI39" s="926"/>
      <c r="QCJ39" s="926"/>
      <c r="QCK39" s="926"/>
      <c r="QCL39" s="926"/>
      <c r="QCM39" s="926"/>
      <c r="QCN39" s="926"/>
      <c r="QCO39" s="926"/>
      <c r="QCP39" s="926"/>
      <c r="QCQ39" s="926"/>
      <c r="QCR39" s="926"/>
      <c r="QCS39" s="926"/>
      <c r="QCT39" s="926"/>
      <c r="QCU39" s="926"/>
      <c r="QCV39" s="926"/>
      <c r="QCW39" s="926"/>
      <c r="QCX39" s="926"/>
      <c r="QCY39" s="926"/>
      <c r="QCZ39" s="926"/>
      <c r="QDA39" s="926"/>
      <c r="QDB39" s="926"/>
      <c r="QDC39" s="926"/>
      <c r="QDD39" s="926"/>
      <c r="QDE39" s="926"/>
      <c r="QDF39" s="926"/>
      <c r="QDG39" s="926"/>
      <c r="QDH39" s="926"/>
      <c r="QDI39" s="926"/>
      <c r="QDJ39" s="926"/>
      <c r="QDK39" s="926"/>
      <c r="QDL39" s="926"/>
      <c r="QDM39" s="926"/>
      <c r="QDN39" s="926"/>
      <c r="QDO39" s="926"/>
      <c r="QDP39" s="926"/>
      <c r="QDQ39" s="926"/>
      <c r="QDR39" s="926"/>
      <c r="QDS39" s="926"/>
      <c r="QDT39" s="926"/>
      <c r="QDU39" s="926"/>
      <c r="QDV39" s="926"/>
      <c r="QDW39" s="926"/>
      <c r="QDX39" s="926"/>
      <c r="QDY39" s="926"/>
      <c r="QDZ39" s="926"/>
      <c r="QEA39" s="926"/>
      <c r="QEB39" s="926"/>
      <c r="QEC39" s="926"/>
      <c r="QED39" s="926"/>
      <c r="QEE39" s="926"/>
      <c r="QEF39" s="926"/>
      <c r="QEG39" s="926"/>
      <c r="QEH39" s="926"/>
      <c r="QEI39" s="926"/>
      <c r="QEJ39" s="926"/>
      <c r="QEK39" s="926"/>
      <c r="QEL39" s="926"/>
      <c r="QEM39" s="926"/>
      <c r="QEN39" s="926"/>
      <c r="QEO39" s="926"/>
      <c r="QEP39" s="926"/>
      <c r="QEQ39" s="926"/>
      <c r="QER39" s="926"/>
      <c r="QES39" s="926"/>
      <c r="QET39" s="926"/>
      <c r="QEU39" s="926"/>
      <c r="QEV39" s="926"/>
      <c r="QEW39" s="926"/>
      <c r="QEX39" s="926"/>
      <c r="QEY39" s="926"/>
      <c r="QEZ39" s="926"/>
      <c r="QFA39" s="926"/>
      <c r="QFB39" s="926"/>
      <c r="QFC39" s="926"/>
      <c r="QFD39" s="926"/>
      <c r="QFE39" s="926"/>
      <c r="QFF39" s="926"/>
      <c r="QFG39" s="926"/>
      <c r="QFH39" s="926"/>
      <c r="QFI39" s="926"/>
      <c r="QFJ39" s="926"/>
      <c r="QFK39" s="926"/>
      <c r="QFL39" s="926"/>
      <c r="QFM39" s="926"/>
      <c r="QFN39" s="926"/>
      <c r="QFO39" s="926"/>
      <c r="QFP39" s="926"/>
      <c r="QFQ39" s="926"/>
      <c r="QFR39" s="926"/>
      <c r="QFS39" s="926"/>
      <c r="QFT39" s="926"/>
      <c r="QFU39" s="926"/>
      <c r="QFV39" s="926"/>
      <c r="QFW39" s="926"/>
      <c r="QFX39" s="926"/>
      <c r="QFY39" s="926"/>
      <c r="QFZ39" s="926"/>
      <c r="QGA39" s="926"/>
      <c r="QGB39" s="926"/>
      <c r="QGC39" s="926"/>
      <c r="QGD39" s="926"/>
      <c r="QGE39" s="926"/>
      <c r="QGF39" s="926"/>
      <c r="QGG39" s="926"/>
      <c r="QGH39" s="926"/>
      <c r="QGI39" s="926"/>
      <c r="QGJ39" s="926"/>
      <c r="QGK39" s="926"/>
      <c r="QGL39" s="926"/>
      <c r="QGM39" s="926"/>
      <c r="QGN39" s="926"/>
      <c r="QGO39" s="926"/>
      <c r="QGP39" s="926"/>
      <c r="QGQ39" s="926"/>
      <c r="QGR39" s="926"/>
      <c r="QGS39" s="926"/>
      <c r="QGT39" s="926"/>
      <c r="QGU39" s="926"/>
      <c r="QGV39" s="926"/>
      <c r="QGW39" s="926"/>
      <c r="QGX39" s="926"/>
      <c r="QGY39" s="926"/>
      <c r="QGZ39" s="926"/>
      <c r="QHA39" s="926"/>
      <c r="QHB39" s="926"/>
      <c r="QHC39" s="926"/>
      <c r="QHD39" s="926"/>
      <c r="QHE39" s="926"/>
      <c r="QHF39" s="926"/>
      <c r="QHG39" s="926"/>
      <c r="QHH39" s="926"/>
      <c r="QHI39" s="926"/>
      <c r="QHJ39" s="926"/>
      <c r="QHK39" s="926"/>
      <c r="QHL39" s="926"/>
      <c r="QHM39" s="926"/>
      <c r="QHN39" s="926"/>
      <c r="QHO39" s="926"/>
      <c r="QHP39" s="926"/>
      <c r="QHQ39" s="926"/>
      <c r="QHR39" s="926"/>
      <c r="QHS39" s="926"/>
      <c r="QHT39" s="926"/>
      <c r="QHU39" s="926"/>
      <c r="QHV39" s="926"/>
      <c r="QHW39" s="926"/>
      <c r="QHX39" s="926"/>
      <c r="QHY39" s="926"/>
      <c r="QHZ39" s="926"/>
      <c r="QIA39" s="926"/>
      <c r="QIB39" s="926"/>
      <c r="QIC39" s="926"/>
      <c r="QID39" s="926"/>
      <c r="QIE39" s="926"/>
      <c r="QIF39" s="926"/>
      <c r="QIG39" s="926"/>
      <c r="QIH39" s="926"/>
      <c r="QII39" s="926"/>
      <c r="QIJ39" s="926"/>
      <c r="QIK39" s="926"/>
      <c r="QIL39" s="926"/>
      <c r="QIM39" s="926"/>
      <c r="QIN39" s="926"/>
      <c r="QIO39" s="926"/>
      <c r="QIP39" s="926"/>
      <c r="QIQ39" s="926"/>
      <c r="QIR39" s="926"/>
      <c r="QIS39" s="926"/>
      <c r="QIT39" s="926"/>
      <c r="QIU39" s="926"/>
      <c r="QIV39" s="926"/>
      <c r="QIW39" s="926"/>
      <c r="QIX39" s="926"/>
      <c r="QIY39" s="926"/>
      <c r="QIZ39" s="926"/>
      <c r="QJA39" s="926"/>
      <c r="QJB39" s="926"/>
      <c r="QJC39" s="926"/>
      <c r="QJD39" s="926"/>
      <c r="QJE39" s="926"/>
      <c r="QJF39" s="926"/>
      <c r="QJG39" s="926"/>
      <c r="QJH39" s="926"/>
      <c r="QJI39" s="926"/>
      <c r="QJJ39" s="926"/>
      <c r="QJK39" s="926"/>
      <c r="QJL39" s="926"/>
      <c r="QJM39" s="926"/>
      <c r="QJN39" s="926"/>
      <c r="QJO39" s="926"/>
      <c r="QJP39" s="926"/>
      <c r="QJQ39" s="926"/>
      <c r="QJR39" s="926"/>
      <c r="QJS39" s="926"/>
      <c r="QJT39" s="926"/>
      <c r="QJU39" s="926"/>
      <c r="QJV39" s="926"/>
      <c r="QJW39" s="926"/>
      <c r="QJX39" s="926"/>
      <c r="QJY39" s="926"/>
      <c r="QJZ39" s="926"/>
      <c r="QKA39" s="926"/>
      <c r="QKB39" s="926"/>
      <c r="QKC39" s="926"/>
      <c r="QKD39" s="926"/>
      <c r="QKE39" s="926"/>
      <c r="QKF39" s="926"/>
      <c r="QKG39" s="926"/>
      <c r="QKH39" s="926"/>
      <c r="QKI39" s="926"/>
      <c r="QKJ39" s="926"/>
      <c r="QKK39" s="926"/>
      <c r="QKL39" s="926"/>
      <c r="QKM39" s="926"/>
      <c r="QKN39" s="926"/>
      <c r="QKO39" s="926"/>
      <c r="QKP39" s="926"/>
      <c r="QKQ39" s="926"/>
      <c r="QKR39" s="926"/>
      <c r="QKS39" s="926"/>
      <c r="QKT39" s="926"/>
      <c r="QKU39" s="926"/>
      <c r="QKV39" s="926"/>
      <c r="QKW39" s="926"/>
      <c r="QKX39" s="926"/>
      <c r="QKY39" s="926"/>
      <c r="QKZ39" s="926"/>
      <c r="QLA39" s="926"/>
      <c r="QLB39" s="926"/>
      <c r="QLC39" s="926"/>
      <c r="QLD39" s="926"/>
      <c r="QLE39" s="926"/>
      <c r="QLF39" s="926"/>
      <c r="QLG39" s="926"/>
      <c r="QLH39" s="926"/>
      <c r="QLI39" s="926"/>
      <c r="QLJ39" s="926"/>
      <c r="QLK39" s="926"/>
      <c r="QLL39" s="926"/>
      <c r="QLM39" s="926"/>
      <c r="QLN39" s="926"/>
      <c r="QLO39" s="926"/>
      <c r="QLP39" s="926"/>
      <c r="QLQ39" s="926"/>
      <c r="QLR39" s="926"/>
      <c r="QLS39" s="926"/>
      <c r="QLT39" s="926"/>
      <c r="QLU39" s="926"/>
      <c r="QLV39" s="926"/>
      <c r="QLW39" s="926"/>
      <c r="QLX39" s="926"/>
      <c r="QLY39" s="926"/>
      <c r="QLZ39" s="926"/>
      <c r="QMA39" s="926"/>
      <c r="QMB39" s="926"/>
      <c r="QMC39" s="926"/>
      <c r="QMD39" s="926"/>
      <c r="QME39" s="926"/>
      <c r="QMF39" s="926"/>
      <c r="QMG39" s="926"/>
      <c r="QMH39" s="926"/>
      <c r="QMI39" s="926"/>
      <c r="QMJ39" s="926"/>
      <c r="QMK39" s="926"/>
      <c r="QML39" s="926"/>
      <c r="QMM39" s="926"/>
      <c r="QMN39" s="926"/>
      <c r="QMO39" s="926"/>
      <c r="QMP39" s="926"/>
      <c r="QMQ39" s="926"/>
      <c r="QMR39" s="926"/>
      <c r="QMS39" s="926"/>
      <c r="QMT39" s="926"/>
      <c r="QMU39" s="926"/>
      <c r="QMV39" s="926"/>
      <c r="QMW39" s="926"/>
      <c r="QMX39" s="926"/>
      <c r="QMY39" s="926"/>
      <c r="QMZ39" s="926"/>
      <c r="QNA39" s="926"/>
      <c r="QNB39" s="926"/>
      <c r="QNC39" s="926"/>
      <c r="QND39" s="926"/>
      <c r="QNE39" s="926"/>
      <c r="QNF39" s="926"/>
      <c r="QNG39" s="926"/>
      <c r="QNH39" s="926"/>
      <c r="QNI39" s="926"/>
      <c r="QNJ39" s="926"/>
      <c r="QNK39" s="926"/>
      <c r="QNL39" s="926"/>
      <c r="QNM39" s="926"/>
      <c r="QNN39" s="926"/>
      <c r="QNO39" s="926"/>
      <c r="QNP39" s="926"/>
      <c r="QNQ39" s="926"/>
      <c r="QNR39" s="926"/>
      <c r="QNS39" s="926"/>
      <c r="QNT39" s="926"/>
      <c r="QNU39" s="926"/>
      <c r="QNV39" s="926"/>
      <c r="QNW39" s="926"/>
      <c r="QNX39" s="926"/>
      <c r="QNY39" s="926"/>
      <c r="QNZ39" s="926"/>
      <c r="QOA39" s="926"/>
      <c r="QOB39" s="926"/>
      <c r="QOC39" s="926"/>
      <c r="QOD39" s="926"/>
      <c r="QOE39" s="926"/>
      <c r="QOF39" s="926"/>
      <c r="QOG39" s="926"/>
      <c r="QOH39" s="926"/>
      <c r="QOI39" s="926"/>
      <c r="QOJ39" s="926"/>
      <c r="QOK39" s="926"/>
      <c r="QOL39" s="926"/>
      <c r="QOM39" s="926"/>
      <c r="QON39" s="926"/>
      <c r="QOO39" s="926"/>
      <c r="QOP39" s="926"/>
      <c r="QOQ39" s="926"/>
      <c r="QOR39" s="926"/>
      <c r="QOS39" s="926"/>
      <c r="QOT39" s="926"/>
      <c r="QOU39" s="926"/>
      <c r="QOV39" s="926"/>
      <c r="QOW39" s="926"/>
      <c r="QOX39" s="926"/>
      <c r="QOY39" s="926"/>
      <c r="QOZ39" s="926"/>
      <c r="QPA39" s="926"/>
      <c r="QPB39" s="926"/>
      <c r="QPC39" s="926"/>
      <c r="QPD39" s="926"/>
      <c r="QPE39" s="926"/>
      <c r="QPF39" s="926"/>
      <c r="QPG39" s="926"/>
      <c r="QPH39" s="926"/>
      <c r="QPI39" s="926"/>
      <c r="QPJ39" s="926"/>
      <c r="QPK39" s="926"/>
      <c r="QPL39" s="926"/>
      <c r="QPM39" s="926"/>
      <c r="QPN39" s="926"/>
      <c r="QPO39" s="926"/>
      <c r="QPP39" s="926"/>
      <c r="QPQ39" s="926"/>
      <c r="QPR39" s="926"/>
      <c r="QPS39" s="926"/>
      <c r="QPT39" s="926"/>
      <c r="QPU39" s="926"/>
      <c r="QPV39" s="926"/>
      <c r="QPW39" s="926"/>
      <c r="QPX39" s="926"/>
      <c r="QPY39" s="926"/>
      <c r="QPZ39" s="926"/>
      <c r="QQA39" s="926"/>
      <c r="QQB39" s="926"/>
      <c r="QQC39" s="926"/>
      <c r="QQD39" s="926"/>
      <c r="QQE39" s="926"/>
      <c r="QQF39" s="926"/>
      <c r="QQG39" s="926"/>
      <c r="QQH39" s="926"/>
      <c r="QQI39" s="926"/>
      <c r="QQJ39" s="926"/>
      <c r="QQK39" s="926"/>
      <c r="QQL39" s="926"/>
      <c r="QQM39" s="926"/>
      <c r="QQN39" s="926"/>
      <c r="QQO39" s="926"/>
      <c r="QQP39" s="926"/>
      <c r="QQQ39" s="926"/>
      <c r="QQR39" s="926"/>
      <c r="QQS39" s="926"/>
      <c r="QQT39" s="926"/>
      <c r="QQU39" s="926"/>
      <c r="QQV39" s="926"/>
      <c r="QQW39" s="926"/>
      <c r="QQX39" s="926"/>
      <c r="QQY39" s="926"/>
      <c r="QQZ39" s="926"/>
      <c r="QRA39" s="926"/>
      <c r="QRB39" s="926"/>
      <c r="QRC39" s="926"/>
      <c r="QRD39" s="926"/>
      <c r="QRE39" s="926"/>
      <c r="QRF39" s="926"/>
      <c r="QRG39" s="926"/>
      <c r="QRH39" s="926"/>
      <c r="QRI39" s="926"/>
      <c r="QRJ39" s="926"/>
      <c r="QRK39" s="926"/>
      <c r="QRL39" s="926"/>
      <c r="QRM39" s="926"/>
      <c r="QRN39" s="926"/>
      <c r="QRO39" s="926"/>
      <c r="QRP39" s="926"/>
      <c r="QRQ39" s="926"/>
      <c r="QRR39" s="926"/>
      <c r="QRS39" s="926"/>
      <c r="QRT39" s="926"/>
      <c r="QRU39" s="926"/>
      <c r="QRV39" s="926"/>
      <c r="QRW39" s="926"/>
      <c r="QRX39" s="926"/>
      <c r="QRY39" s="926"/>
      <c r="QRZ39" s="926"/>
      <c r="QSA39" s="926"/>
      <c r="QSB39" s="926"/>
      <c r="QSC39" s="926"/>
      <c r="QSD39" s="926"/>
      <c r="QSE39" s="926"/>
      <c r="QSF39" s="926"/>
      <c r="QSG39" s="926"/>
      <c r="QSH39" s="926"/>
      <c r="QSI39" s="926"/>
      <c r="QSJ39" s="926"/>
      <c r="QSK39" s="926"/>
      <c r="QSL39" s="926"/>
      <c r="QSM39" s="926"/>
      <c r="QSN39" s="926"/>
      <c r="QSO39" s="926"/>
      <c r="QSP39" s="926"/>
      <c r="QSQ39" s="926"/>
      <c r="QSR39" s="926"/>
      <c r="QSS39" s="926"/>
      <c r="QST39" s="926"/>
      <c r="QSU39" s="926"/>
      <c r="QSV39" s="926"/>
      <c r="QSW39" s="926"/>
      <c r="QSX39" s="926"/>
      <c r="QSY39" s="926"/>
      <c r="QSZ39" s="926"/>
      <c r="QTA39" s="926"/>
      <c r="QTB39" s="926"/>
      <c r="QTC39" s="926"/>
      <c r="QTD39" s="926"/>
      <c r="QTE39" s="926"/>
      <c r="QTF39" s="926"/>
      <c r="QTG39" s="926"/>
      <c r="QTH39" s="926"/>
      <c r="QTI39" s="926"/>
      <c r="QTJ39" s="926"/>
      <c r="QTK39" s="926"/>
      <c r="QTL39" s="926"/>
      <c r="QTM39" s="926"/>
      <c r="QTN39" s="926"/>
      <c r="QTO39" s="926"/>
      <c r="QTP39" s="926"/>
      <c r="QTQ39" s="926"/>
      <c r="QTR39" s="926"/>
      <c r="QTS39" s="926"/>
      <c r="QTT39" s="926"/>
      <c r="QTU39" s="926"/>
      <c r="QTV39" s="926"/>
      <c r="QTW39" s="926"/>
      <c r="QTX39" s="926"/>
      <c r="QTY39" s="926"/>
      <c r="QTZ39" s="926"/>
      <c r="QUA39" s="926"/>
      <c r="QUB39" s="926"/>
      <c r="QUC39" s="926"/>
      <c r="QUD39" s="926"/>
      <c r="QUE39" s="926"/>
      <c r="QUF39" s="926"/>
      <c r="QUG39" s="926"/>
      <c r="QUH39" s="926"/>
      <c r="QUI39" s="926"/>
      <c r="QUJ39" s="926"/>
      <c r="QUK39" s="926"/>
      <c r="QUL39" s="926"/>
      <c r="QUM39" s="926"/>
      <c r="QUN39" s="926"/>
      <c r="QUO39" s="926"/>
      <c r="QUP39" s="926"/>
      <c r="QUQ39" s="926"/>
      <c r="QUR39" s="926"/>
      <c r="QUS39" s="926"/>
      <c r="QUT39" s="926"/>
      <c r="QUU39" s="926"/>
      <c r="QUV39" s="926"/>
      <c r="QUW39" s="926"/>
      <c r="QUX39" s="926"/>
      <c r="QUY39" s="926"/>
      <c r="QUZ39" s="926"/>
      <c r="QVA39" s="926"/>
      <c r="QVB39" s="926"/>
      <c r="QVC39" s="926"/>
      <c r="QVD39" s="926"/>
      <c r="QVE39" s="926"/>
      <c r="QVF39" s="926"/>
      <c r="QVG39" s="926"/>
      <c r="QVH39" s="926"/>
      <c r="QVI39" s="926"/>
      <c r="QVJ39" s="926"/>
      <c r="QVK39" s="926"/>
      <c r="QVL39" s="926"/>
      <c r="QVM39" s="926"/>
      <c r="QVN39" s="926"/>
      <c r="QVO39" s="926"/>
      <c r="QVP39" s="926"/>
      <c r="QVQ39" s="926"/>
      <c r="QVR39" s="926"/>
      <c r="QVS39" s="926"/>
      <c r="QVT39" s="926"/>
      <c r="QVU39" s="926"/>
      <c r="QVV39" s="926"/>
      <c r="QVW39" s="926"/>
      <c r="QVX39" s="926"/>
      <c r="QVY39" s="926"/>
      <c r="QVZ39" s="926"/>
      <c r="QWA39" s="926"/>
      <c r="QWB39" s="926"/>
      <c r="QWC39" s="926"/>
      <c r="QWD39" s="926"/>
      <c r="QWE39" s="926"/>
      <c r="QWF39" s="926"/>
      <c r="QWG39" s="926"/>
      <c r="QWH39" s="926"/>
      <c r="QWI39" s="926"/>
      <c r="QWJ39" s="926"/>
      <c r="QWK39" s="926"/>
      <c r="QWL39" s="926"/>
      <c r="QWM39" s="926"/>
      <c r="QWN39" s="926"/>
      <c r="QWO39" s="926"/>
      <c r="QWP39" s="926"/>
      <c r="QWQ39" s="926"/>
      <c r="QWR39" s="926"/>
      <c r="QWS39" s="926"/>
      <c r="QWT39" s="926"/>
      <c r="QWU39" s="926"/>
      <c r="QWV39" s="926"/>
      <c r="QWW39" s="926"/>
      <c r="QWX39" s="926"/>
      <c r="QWY39" s="926"/>
      <c r="QWZ39" s="926"/>
      <c r="QXA39" s="926"/>
      <c r="QXB39" s="926"/>
      <c r="QXC39" s="926"/>
      <c r="QXD39" s="926"/>
      <c r="QXE39" s="926"/>
      <c r="QXF39" s="926"/>
      <c r="QXG39" s="926"/>
      <c r="QXH39" s="926"/>
      <c r="QXI39" s="926"/>
      <c r="QXJ39" s="926"/>
      <c r="QXK39" s="926"/>
      <c r="QXL39" s="926"/>
      <c r="QXM39" s="926"/>
      <c r="QXN39" s="926"/>
      <c r="QXO39" s="926"/>
      <c r="QXP39" s="926"/>
      <c r="QXQ39" s="926"/>
      <c r="QXR39" s="926"/>
      <c r="QXS39" s="926"/>
      <c r="QXT39" s="926"/>
      <c r="QXU39" s="926"/>
      <c r="QXV39" s="926"/>
      <c r="QXW39" s="926"/>
      <c r="QXX39" s="926"/>
      <c r="QXY39" s="926"/>
      <c r="QXZ39" s="926"/>
      <c r="QYA39" s="926"/>
      <c r="QYB39" s="926"/>
      <c r="QYC39" s="926"/>
      <c r="QYD39" s="926"/>
      <c r="QYE39" s="926"/>
      <c r="QYF39" s="926"/>
      <c r="QYG39" s="926"/>
      <c r="QYH39" s="926"/>
      <c r="QYI39" s="926"/>
      <c r="QYJ39" s="926"/>
      <c r="QYK39" s="926"/>
      <c r="QYL39" s="926"/>
      <c r="QYM39" s="926"/>
      <c r="QYN39" s="926"/>
      <c r="QYO39" s="926"/>
      <c r="QYP39" s="926"/>
      <c r="QYQ39" s="926"/>
      <c r="QYR39" s="926"/>
      <c r="QYS39" s="926"/>
      <c r="QYT39" s="926"/>
      <c r="QYU39" s="926"/>
      <c r="QYV39" s="926"/>
      <c r="QYW39" s="926"/>
      <c r="QYX39" s="926"/>
      <c r="QYY39" s="926"/>
      <c r="QYZ39" s="926"/>
      <c r="QZA39" s="926"/>
      <c r="QZB39" s="926"/>
      <c r="QZC39" s="926"/>
      <c r="QZD39" s="926"/>
      <c r="QZE39" s="926"/>
      <c r="QZF39" s="926"/>
      <c r="QZG39" s="926"/>
      <c r="QZH39" s="926"/>
      <c r="QZI39" s="926"/>
      <c r="QZJ39" s="926"/>
      <c r="QZK39" s="926"/>
      <c r="QZL39" s="926"/>
      <c r="QZM39" s="926"/>
      <c r="QZN39" s="926"/>
      <c r="QZO39" s="926"/>
      <c r="QZP39" s="926"/>
      <c r="QZQ39" s="926"/>
      <c r="QZR39" s="926"/>
      <c r="QZS39" s="926"/>
      <c r="QZT39" s="926"/>
      <c r="QZU39" s="926"/>
      <c r="QZV39" s="926"/>
      <c r="QZW39" s="926"/>
      <c r="QZX39" s="926"/>
      <c r="QZY39" s="926"/>
      <c r="QZZ39" s="926"/>
      <c r="RAA39" s="926"/>
      <c r="RAB39" s="926"/>
      <c r="RAC39" s="926"/>
      <c r="RAD39" s="926"/>
      <c r="RAE39" s="926"/>
      <c r="RAF39" s="926"/>
      <c r="RAG39" s="926"/>
      <c r="RAH39" s="926"/>
      <c r="RAI39" s="926"/>
      <c r="RAJ39" s="926"/>
      <c r="RAK39" s="926"/>
      <c r="RAL39" s="926"/>
      <c r="RAM39" s="926"/>
      <c r="RAN39" s="926"/>
      <c r="RAO39" s="926"/>
      <c r="RAP39" s="926"/>
      <c r="RAQ39" s="926"/>
      <c r="RAR39" s="926"/>
      <c r="RAS39" s="926"/>
      <c r="RAT39" s="926"/>
      <c r="RAU39" s="926"/>
      <c r="RAV39" s="926"/>
      <c r="RAW39" s="926"/>
      <c r="RAX39" s="926"/>
      <c r="RAY39" s="926"/>
      <c r="RAZ39" s="926"/>
      <c r="RBA39" s="926"/>
      <c r="RBB39" s="926"/>
      <c r="RBC39" s="926"/>
      <c r="RBD39" s="926"/>
      <c r="RBE39" s="926"/>
      <c r="RBF39" s="926"/>
      <c r="RBG39" s="926"/>
      <c r="RBH39" s="926"/>
      <c r="RBI39" s="926"/>
      <c r="RBJ39" s="926"/>
      <c r="RBK39" s="926"/>
      <c r="RBL39" s="926"/>
      <c r="RBM39" s="926"/>
      <c r="RBN39" s="926"/>
      <c r="RBO39" s="926"/>
      <c r="RBP39" s="926"/>
      <c r="RBQ39" s="926"/>
      <c r="RBR39" s="926"/>
      <c r="RBS39" s="926"/>
      <c r="RBT39" s="926"/>
      <c r="RBU39" s="926"/>
      <c r="RBV39" s="926"/>
      <c r="RBW39" s="926"/>
      <c r="RBX39" s="926"/>
      <c r="RBY39" s="926"/>
      <c r="RBZ39" s="926"/>
      <c r="RCA39" s="926"/>
      <c r="RCB39" s="926"/>
      <c r="RCC39" s="926"/>
      <c r="RCD39" s="926"/>
      <c r="RCE39" s="926"/>
      <c r="RCF39" s="926"/>
      <c r="RCG39" s="926"/>
      <c r="RCH39" s="926"/>
      <c r="RCI39" s="926"/>
      <c r="RCJ39" s="926"/>
      <c r="RCK39" s="926"/>
      <c r="RCL39" s="926"/>
      <c r="RCM39" s="926"/>
      <c r="RCN39" s="926"/>
      <c r="RCO39" s="926"/>
      <c r="RCP39" s="926"/>
      <c r="RCQ39" s="926"/>
      <c r="RCR39" s="926"/>
      <c r="RCS39" s="926"/>
      <c r="RCT39" s="926"/>
      <c r="RCU39" s="926"/>
      <c r="RCV39" s="926"/>
      <c r="RCW39" s="926"/>
      <c r="RCX39" s="926"/>
      <c r="RCY39" s="926"/>
      <c r="RCZ39" s="926"/>
      <c r="RDA39" s="926"/>
      <c r="RDB39" s="926"/>
      <c r="RDC39" s="926"/>
      <c r="RDD39" s="926"/>
      <c r="RDE39" s="926"/>
      <c r="RDF39" s="926"/>
      <c r="RDG39" s="926"/>
      <c r="RDH39" s="926"/>
      <c r="RDI39" s="926"/>
      <c r="RDJ39" s="926"/>
      <c r="RDK39" s="926"/>
      <c r="RDL39" s="926"/>
      <c r="RDM39" s="926"/>
      <c r="RDN39" s="926"/>
      <c r="RDO39" s="926"/>
      <c r="RDP39" s="926"/>
      <c r="RDQ39" s="926"/>
      <c r="RDR39" s="926"/>
      <c r="RDS39" s="926"/>
      <c r="RDT39" s="926"/>
      <c r="RDU39" s="926"/>
      <c r="RDV39" s="926"/>
      <c r="RDW39" s="926"/>
      <c r="RDX39" s="926"/>
      <c r="RDY39" s="926"/>
      <c r="RDZ39" s="926"/>
      <c r="REA39" s="926"/>
      <c r="REB39" s="926"/>
      <c r="REC39" s="926"/>
      <c r="RED39" s="926"/>
      <c r="REE39" s="926"/>
      <c r="REF39" s="926"/>
      <c r="REG39" s="926"/>
      <c r="REH39" s="926"/>
      <c r="REI39" s="926"/>
      <c r="REJ39" s="926"/>
      <c r="REK39" s="926"/>
      <c r="REL39" s="926"/>
      <c r="REM39" s="926"/>
      <c r="REN39" s="926"/>
      <c r="REO39" s="926"/>
      <c r="REP39" s="926"/>
      <c r="REQ39" s="926"/>
      <c r="RER39" s="926"/>
      <c r="RES39" s="926"/>
      <c r="RET39" s="926"/>
      <c r="REU39" s="926"/>
      <c r="REV39" s="926"/>
      <c r="REW39" s="926"/>
      <c r="REX39" s="926"/>
      <c r="REY39" s="926"/>
      <c r="REZ39" s="926"/>
      <c r="RFA39" s="926"/>
      <c r="RFB39" s="926"/>
      <c r="RFC39" s="926"/>
      <c r="RFD39" s="926"/>
      <c r="RFE39" s="926"/>
      <c r="RFF39" s="926"/>
      <c r="RFG39" s="926"/>
      <c r="RFH39" s="926"/>
      <c r="RFI39" s="926"/>
      <c r="RFJ39" s="926"/>
      <c r="RFK39" s="926"/>
      <c r="RFL39" s="926"/>
      <c r="RFM39" s="926"/>
      <c r="RFN39" s="926"/>
      <c r="RFO39" s="926"/>
      <c r="RFP39" s="926"/>
      <c r="RFQ39" s="926"/>
      <c r="RFR39" s="926"/>
      <c r="RFS39" s="926"/>
      <c r="RFT39" s="926"/>
      <c r="RFU39" s="926"/>
      <c r="RFV39" s="926"/>
      <c r="RFW39" s="926"/>
      <c r="RFX39" s="926"/>
      <c r="RFY39" s="926"/>
      <c r="RFZ39" s="926"/>
      <c r="RGA39" s="926"/>
      <c r="RGB39" s="926"/>
      <c r="RGC39" s="926"/>
      <c r="RGD39" s="926"/>
      <c r="RGE39" s="926"/>
      <c r="RGF39" s="926"/>
      <c r="RGG39" s="926"/>
      <c r="RGH39" s="926"/>
      <c r="RGI39" s="926"/>
      <c r="RGJ39" s="926"/>
      <c r="RGK39" s="926"/>
      <c r="RGL39" s="926"/>
      <c r="RGM39" s="926"/>
      <c r="RGN39" s="926"/>
      <c r="RGO39" s="926"/>
      <c r="RGP39" s="926"/>
      <c r="RGQ39" s="926"/>
      <c r="RGR39" s="926"/>
      <c r="RGS39" s="926"/>
      <c r="RGT39" s="926"/>
      <c r="RGU39" s="926"/>
      <c r="RGV39" s="926"/>
      <c r="RGW39" s="926"/>
      <c r="RGX39" s="926"/>
      <c r="RGY39" s="926"/>
      <c r="RGZ39" s="926"/>
      <c r="RHA39" s="926"/>
      <c r="RHB39" s="926"/>
      <c r="RHC39" s="926"/>
      <c r="RHD39" s="926"/>
      <c r="RHE39" s="926"/>
      <c r="RHF39" s="926"/>
      <c r="RHG39" s="926"/>
      <c r="RHH39" s="926"/>
      <c r="RHI39" s="926"/>
      <c r="RHJ39" s="926"/>
      <c r="RHK39" s="926"/>
      <c r="RHL39" s="926"/>
      <c r="RHM39" s="926"/>
      <c r="RHN39" s="926"/>
      <c r="RHO39" s="926"/>
      <c r="RHP39" s="926"/>
      <c r="RHQ39" s="926"/>
      <c r="RHR39" s="926"/>
      <c r="RHS39" s="926"/>
      <c r="RHT39" s="926"/>
      <c r="RHU39" s="926"/>
      <c r="RHV39" s="926"/>
      <c r="RHW39" s="926"/>
      <c r="RHX39" s="926"/>
      <c r="RHY39" s="926"/>
      <c r="RHZ39" s="926"/>
      <c r="RIA39" s="926"/>
      <c r="RIB39" s="926"/>
      <c r="RIC39" s="926"/>
      <c r="RID39" s="926"/>
      <c r="RIE39" s="926"/>
      <c r="RIF39" s="926"/>
      <c r="RIG39" s="926"/>
      <c r="RIH39" s="926"/>
      <c r="RII39" s="926"/>
      <c r="RIJ39" s="926"/>
      <c r="RIK39" s="926"/>
      <c r="RIL39" s="926"/>
      <c r="RIM39" s="926"/>
      <c r="RIN39" s="926"/>
      <c r="RIO39" s="926"/>
      <c r="RIP39" s="926"/>
      <c r="RIQ39" s="926"/>
      <c r="RIR39" s="926"/>
      <c r="RIS39" s="926"/>
      <c r="RIT39" s="926"/>
      <c r="RIU39" s="926"/>
      <c r="RIV39" s="926"/>
      <c r="RIW39" s="926"/>
      <c r="RIX39" s="926"/>
      <c r="RIY39" s="926"/>
      <c r="RIZ39" s="926"/>
      <c r="RJA39" s="926"/>
      <c r="RJB39" s="926"/>
      <c r="RJC39" s="926"/>
      <c r="RJD39" s="926"/>
      <c r="RJE39" s="926"/>
      <c r="RJF39" s="926"/>
      <c r="RJG39" s="926"/>
      <c r="RJH39" s="926"/>
      <c r="RJI39" s="926"/>
      <c r="RJJ39" s="926"/>
      <c r="RJK39" s="926"/>
      <c r="RJL39" s="926"/>
      <c r="RJM39" s="926"/>
      <c r="RJN39" s="926"/>
      <c r="RJO39" s="926"/>
      <c r="RJP39" s="926"/>
      <c r="RJQ39" s="926"/>
      <c r="RJR39" s="926"/>
      <c r="RJS39" s="926"/>
      <c r="RJT39" s="926"/>
      <c r="RJU39" s="926"/>
      <c r="RJV39" s="926"/>
      <c r="RJW39" s="926"/>
      <c r="RJX39" s="926"/>
      <c r="RJY39" s="926"/>
      <c r="RJZ39" s="926"/>
      <c r="RKA39" s="926"/>
      <c r="RKB39" s="926"/>
      <c r="RKC39" s="926"/>
      <c r="RKD39" s="926"/>
      <c r="RKE39" s="926"/>
      <c r="RKF39" s="926"/>
      <c r="RKG39" s="926"/>
      <c r="RKH39" s="926"/>
      <c r="RKI39" s="926"/>
      <c r="RKJ39" s="926"/>
      <c r="RKK39" s="926"/>
      <c r="RKL39" s="926"/>
      <c r="RKM39" s="926"/>
      <c r="RKN39" s="926"/>
      <c r="RKO39" s="926"/>
      <c r="RKP39" s="926"/>
      <c r="RKQ39" s="926"/>
      <c r="RKR39" s="926"/>
      <c r="RKS39" s="926"/>
      <c r="RKT39" s="926"/>
      <c r="RKU39" s="926"/>
      <c r="RKV39" s="926"/>
      <c r="RKW39" s="926"/>
      <c r="RKX39" s="926"/>
      <c r="RKY39" s="926"/>
      <c r="RKZ39" s="926"/>
      <c r="RLA39" s="926"/>
      <c r="RLB39" s="926"/>
      <c r="RLC39" s="926"/>
      <c r="RLD39" s="926"/>
      <c r="RLE39" s="926"/>
      <c r="RLF39" s="926"/>
      <c r="RLG39" s="926"/>
      <c r="RLH39" s="926"/>
      <c r="RLI39" s="926"/>
      <c r="RLJ39" s="926"/>
      <c r="RLK39" s="926"/>
      <c r="RLL39" s="926"/>
      <c r="RLM39" s="926"/>
      <c r="RLN39" s="926"/>
      <c r="RLO39" s="926"/>
      <c r="RLP39" s="926"/>
      <c r="RLQ39" s="926"/>
      <c r="RLR39" s="926"/>
      <c r="RLS39" s="926"/>
      <c r="RLT39" s="926"/>
      <c r="RLU39" s="926"/>
      <c r="RLV39" s="926"/>
      <c r="RLW39" s="926"/>
      <c r="RLX39" s="926"/>
      <c r="RLY39" s="926"/>
      <c r="RLZ39" s="926"/>
      <c r="RMA39" s="926"/>
      <c r="RMB39" s="926"/>
      <c r="RMC39" s="926"/>
      <c r="RMD39" s="926"/>
      <c r="RME39" s="926"/>
      <c r="RMF39" s="926"/>
      <c r="RMG39" s="926"/>
      <c r="RMH39" s="926"/>
      <c r="RMI39" s="926"/>
      <c r="RMJ39" s="926"/>
      <c r="RMK39" s="926"/>
      <c r="RML39" s="926"/>
      <c r="RMM39" s="926"/>
      <c r="RMN39" s="926"/>
      <c r="RMO39" s="926"/>
      <c r="RMP39" s="926"/>
      <c r="RMQ39" s="926"/>
      <c r="RMR39" s="926"/>
      <c r="RMS39" s="926"/>
      <c r="RMT39" s="926"/>
      <c r="RMU39" s="926"/>
      <c r="RMV39" s="926"/>
      <c r="RMW39" s="926"/>
      <c r="RMX39" s="926"/>
      <c r="RMY39" s="926"/>
      <c r="RMZ39" s="926"/>
      <c r="RNA39" s="926"/>
      <c r="RNB39" s="926"/>
      <c r="RNC39" s="926"/>
      <c r="RND39" s="926"/>
      <c r="RNE39" s="926"/>
      <c r="RNF39" s="926"/>
      <c r="RNG39" s="926"/>
      <c r="RNH39" s="926"/>
      <c r="RNI39" s="926"/>
      <c r="RNJ39" s="926"/>
      <c r="RNK39" s="926"/>
      <c r="RNL39" s="926"/>
      <c r="RNM39" s="926"/>
      <c r="RNN39" s="926"/>
      <c r="RNO39" s="926"/>
      <c r="RNP39" s="926"/>
      <c r="RNQ39" s="926"/>
      <c r="RNR39" s="926"/>
      <c r="RNS39" s="926"/>
      <c r="RNT39" s="926"/>
      <c r="RNU39" s="926"/>
      <c r="RNV39" s="926"/>
      <c r="RNW39" s="926"/>
      <c r="RNX39" s="926"/>
      <c r="RNY39" s="926"/>
      <c r="RNZ39" s="926"/>
      <c r="ROA39" s="926"/>
      <c r="ROB39" s="926"/>
      <c r="ROC39" s="926"/>
      <c r="ROD39" s="926"/>
      <c r="ROE39" s="926"/>
      <c r="ROF39" s="926"/>
      <c r="ROG39" s="926"/>
      <c r="ROH39" s="926"/>
      <c r="ROI39" s="926"/>
      <c r="ROJ39" s="926"/>
      <c r="ROK39" s="926"/>
      <c r="ROL39" s="926"/>
      <c r="ROM39" s="926"/>
      <c r="RON39" s="926"/>
      <c r="ROO39" s="926"/>
      <c r="ROP39" s="926"/>
      <c r="ROQ39" s="926"/>
      <c r="ROR39" s="926"/>
      <c r="ROS39" s="926"/>
      <c r="ROT39" s="926"/>
      <c r="ROU39" s="926"/>
      <c r="ROV39" s="926"/>
      <c r="ROW39" s="926"/>
      <c r="ROX39" s="926"/>
      <c r="ROY39" s="926"/>
      <c r="ROZ39" s="926"/>
      <c r="RPA39" s="926"/>
      <c r="RPB39" s="926"/>
      <c r="RPC39" s="926"/>
      <c r="RPD39" s="926"/>
      <c r="RPE39" s="926"/>
      <c r="RPF39" s="926"/>
      <c r="RPG39" s="926"/>
      <c r="RPH39" s="926"/>
      <c r="RPI39" s="926"/>
      <c r="RPJ39" s="926"/>
      <c r="RPK39" s="926"/>
      <c r="RPL39" s="926"/>
      <c r="RPM39" s="926"/>
      <c r="RPN39" s="926"/>
      <c r="RPO39" s="926"/>
      <c r="RPP39" s="926"/>
      <c r="RPQ39" s="926"/>
      <c r="RPR39" s="926"/>
      <c r="RPS39" s="926"/>
      <c r="RPT39" s="926"/>
      <c r="RPU39" s="926"/>
      <c r="RPV39" s="926"/>
      <c r="RPW39" s="926"/>
      <c r="RPX39" s="926"/>
      <c r="RPY39" s="926"/>
      <c r="RPZ39" s="926"/>
      <c r="RQA39" s="926"/>
      <c r="RQB39" s="926"/>
      <c r="RQC39" s="926"/>
      <c r="RQD39" s="926"/>
      <c r="RQE39" s="926"/>
      <c r="RQF39" s="926"/>
      <c r="RQG39" s="926"/>
      <c r="RQH39" s="926"/>
      <c r="RQI39" s="926"/>
      <c r="RQJ39" s="926"/>
      <c r="RQK39" s="926"/>
      <c r="RQL39" s="926"/>
      <c r="RQM39" s="926"/>
      <c r="RQN39" s="926"/>
      <c r="RQO39" s="926"/>
      <c r="RQP39" s="926"/>
      <c r="RQQ39" s="926"/>
      <c r="RQR39" s="926"/>
      <c r="RQS39" s="926"/>
      <c r="RQT39" s="926"/>
      <c r="RQU39" s="926"/>
      <c r="RQV39" s="926"/>
      <c r="RQW39" s="926"/>
      <c r="RQX39" s="926"/>
      <c r="RQY39" s="926"/>
      <c r="RQZ39" s="926"/>
      <c r="RRA39" s="926"/>
      <c r="RRB39" s="926"/>
      <c r="RRC39" s="926"/>
      <c r="RRD39" s="926"/>
      <c r="RRE39" s="926"/>
      <c r="RRF39" s="926"/>
      <c r="RRG39" s="926"/>
      <c r="RRH39" s="926"/>
      <c r="RRI39" s="926"/>
      <c r="RRJ39" s="926"/>
      <c r="RRK39" s="926"/>
      <c r="RRL39" s="926"/>
      <c r="RRM39" s="926"/>
      <c r="RRN39" s="926"/>
      <c r="RRO39" s="926"/>
      <c r="RRP39" s="926"/>
      <c r="RRQ39" s="926"/>
      <c r="RRR39" s="926"/>
      <c r="RRS39" s="926"/>
      <c r="RRT39" s="926"/>
      <c r="RRU39" s="926"/>
      <c r="RRV39" s="926"/>
      <c r="RRW39" s="926"/>
      <c r="RRX39" s="926"/>
      <c r="RRY39" s="926"/>
      <c r="RRZ39" s="926"/>
      <c r="RSA39" s="926"/>
      <c r="RSB39" s="926"/>
      <c r="RSC39" s="926"/>
      <c r="RSD39" s="926"/>
      <c r="RSE39" s="926"/>
      <c r="RSF39" s="926"/>
      <c r="RSG39" s="926"/>
      <c r="RSH39" s="926"/>
      <c r="RSI39" s="926"/>
      <c r="RSJ39" s="926"/>
      <c r="RSK39" s="926"/>
      <c r="RSL39" s="926"/>
      <c r="RSM39" s="926"/>
      <c r="RSN39" s="926"/>
      <c r="RSO39" s="926"/>
      <c r="RSP39" s="926"/>
      <c r="RSQ39" s="926"/>
      <c r="RSR39" s="926"/>
      <c r="RSS39" s="926"/>
      <c r="RST39" s="926"/>
      <c r="RSU39" s="926"/>
      <c r="RSV39" s="926"/>
      <c r="RSW39" s="926"/>
      <c r="RSX39" s="926"/>
      <c r="RSY39" s="926"/>
      <c r="RSZ39" s="926"/>
      <c r="RTA39" s="926"/>
      <c r="RTB39" s="926"/>
      <c r="RTC39" s="926"/>
      <c r="RTD39" s="926"/>
      <c r="RTE39" s="926"/>
      <c r="RTF39" s="926"/>
      <c r="RTG39" s="926"/>
      <c r="RTH39" s="926"/>
      <c r="RTI39" s="926"/>
      <c r="RTJ39" s="926"/>
      <c r="RTK39" s="926"/>
      <c r="RTL39" s="926"/>
      <c r="RTM39" s="926"/>
      <c r="RTN39" s="926"/>
      <c r="RTO39" s="926"/>
      <c r="RTP39" s="926"/>
      <c r="RTQ39" s="926"/>
      <c r="RTR39" s="926"/>
      <c r="RTS39" s="926"/>
      <c r="RTT39" s="926"/>
      <c r="RTU39" s="926"/>
      <c r="RTV39" s="926"/>
      <c r="RTW39" s="926"/>
      <c r="RTX39" s="926"/>
      <c r="RTY39" s="926"/>
      <c r="RTZ39" s="926"/>
      <c r="RUA39" s="926"/>
      <c r="RUB39" s="926"/>
      <c r="RUC39" s="926"/>
      <c r="RUD39" s="926"/>
      <c r="RUE39" s="926"/>
      <c r="RUF39" s="926"/>
      <c r="RUG39" s="926"/>
      <c r="RUH39" s="926"/>
      <c r="RUI39" s="926"/>
      <c r="RUJ39" s="926"/>
      <c r="RUK39" s="926"/>
      <c r="RUL39" s="926"/>
      <c r="RUM39" s="926"/>
      <c r="RUN39" s="926"/>
      <c r="RUO39" s="926"/>
      <c r="RUP39" s="926"/>
      <c r="RUQ39" s="926"/>
      <c r="RUR39" s="926"/>
      <c r="RUS39" s="926"/>
      <c r="RUT39" s="926"/>
      <c r="RUU39" s="926"/>
      <c r="RUV39" s="926"/>
      <c r="RUW39" s="926"/>
      <c r="RUX39" s="926"/>
      <c r="RUY39" s="926"/>
      <c r="RUZ39" s="926"/>
      <c r="RVA39" s="926"/>
      <c r="RVB39" s="926"/>
      <c r="RVC39" s="926"/>
      <c r="RVD39" s="926"/>
      <c r="RVE39" s="926"/>
      <c r="RVF39" s="926"/>
      <c r="RVG39" s="926"/>
      <c r="RVH39" s="926"/>
      <c r="RVI39" s="926"/>
      <c r="RVJ39" s="926"/>
      <c r="RVK39" s="926"/>
      <c r="RVL39" s="926"/>
      <c r="RVM39" s="926"/>
      <c r="RVN39" s="926"/>
      <c r="RVO39" s="926"/>
      <c r="RVP39" s="926"/>
      <c r="RVQ39" s="926"/>
      <c r="RVR39" s="926"/>
      <c r="RVS39" s="926"/>
      <c r="RVT39" s="926"/>
      <c r="RVU39" s="926"/>
      <c r="RVV39" s="926"/>
      <c r="RVW39" s="926"/>
      <c r="RVX39" s="926"/>
      <c r="RVY39" s="926"/>
      <c r="RVZ39" s="926"/>
      <c r="RWA39" s="926"/>
      <c r="RWB39" s="926"/>
      <c r="RWC39" s="926"/>
      <c r="RWD39" s="926"/>
      <c r="RWE39" s="926"/>
      <c r="RWF39" s="926"/>
      <c r="RWG39" s="926"/>
      <c r="RWH39" s="926"/>
      <c r="RWI39" s="926"/>
      <c r="RWJ39" s="926"/>
      <c r="RWK39" s="926"/>
      <c r="RWL39" s="926"/>
      <c r="RWM39" s="926"/>
      <c r="RWN39" s="926"/>
      <c r="RWO39" s="926"/>
      <c r="RWP39" s="926"/>
      <c r="RWQ39" s="926"/>
      <c r="RWR39" s="926"/>
      <c r="RWS39" s="926"/>
      <c r="RWT39" s="926"/>
      <c r="RWU39" s="926"/>
      <c r="RWV39" s="926"/>
      <c r="RWW39" s="926"/>
      <c r="RWX39" s="926"/>
      <c r="RWY39" s="926"/>
      <c r="RWZ39" s="926"/>
      <c r="RXA39" s="926"/>
      <c r="RXB39" s="926"/>
      <c r="RXC39" s="926"/>
      <c r="RXD39" s="926"/>
      <c r="RXE39" s="926"/>
      <c r="RXF39" s="926"/>
      <c r="RXG39" s="926"/>
      <c r="RXH39" s="926"/>
      <c r="RXI39" s="926"/>
      <c r="RXJ39" s="926"/>
      <c r="RXK39" s="926"/>
      <c r="RXL39" s="926"/>
      <c r="RXM39" s="926"/>
      <c r="RXN39" s="926"/>
      <c r="RXO39" s="926"/>
      <c r="RXP39" s="926"/>
      <c r="RXQ39" s="926"/>
      <c r="RXR39" s="926"/>
      <c r="RXS39" s="926"/>
      <c r="RXT39" s="926"/>
      <c r="RXU39" s="926"/>
      <c r="RXV39" s="926"/>
      <c r="RXW39" s="926"/>
      <c r="RXX39" s="926"/>
      <c r="RXY39" s="926"/>
      <c r="RXZ39" s="926"/>
      <c r="RYA39" s="926"/>
      <c r="RYB39" s="926"/>
      <c r="RYC39" s="926"/>
      <c r="RYD39" s="926"/>
      <c r="RYE39" s="926"/>
      <c r="RYF39" s="926"/>
      <c r="RYG39" s="926"/>
      <c r="RYH39" s="926"/>
      <c r="RYI39" s="926"/>
      <c r="RYJ39" s="926"/>
      <c r="RYK39" s="926"/>
      <c r="RYL39" s="926"/>
      <c r="RYM39" s="926"/>
      <c r="RYN39" s="926"/>
      <c r="RYO39" s="926"/>
      <c r="RYP39" s="926"/>
      <c r="RYQ39" s="926"/>
      <c r="RYR39" s="926"/>
      <c r="RYS39" s="926"/>
      <c r="RYT39" s="926"/>
      <c r="RYU39" s="926"/>
      <c r="RYV39" s="926"/>
      <c r="RYW39" s="926"/>
      <c r="RYX39" s="926"/>
      <c r="RYY39" s="926"/>
      <c r="RYZ39" s="926"/>
      <c r="RZA39" s="926"/>
      <c r="RZB39" s="926"/>
      <c r="RZC39" s="926"/>
      <c r="RZD39" s="926"/>
      <c r="RZE39" s="926"/>
      <c r="RZF39" s="926"/>
      <c r="RZG39" s="926"/>
      <c r="RZH39" s="926"/>
      <c r="RZI39" s="926"/>
      <c r="RZJ39" s="926"/>
      <c r="RZK39" s="926"/>
      <c r="RZL39" s="926"/>
      <c r="RZM39" s="926"/>
      <c r="RZN39" s="926"/>
      <c r="RZO39" s="926"/>
      <c r="RZP39" s="926"/>
      <c r="RZQ39" s="926"/>
      <c r="RZR39" s="926"/>
      <c r="RZS39" s="926"/>
      <c r="RZT39" s="926"/>
      <c r="RZU39" s="926"/>
      <c r="RZV39" s="926"/>
      <c r="RZW39" s="926"/>
      <c r="RZX39" s="926"/>
      <c r="RZY39" s="926"/>
      <c r="RZZ39" s="926"/>
      <c r="SAA39" s="926"/>
      <c r="SAB39" s="926"/>
      <c r="SAC39" s="926"/>
      <c r="SAD39" s="926"/>
      <c r="SAE39" s="926"/>
      <c r="SAF39" s="926"/>
      <c r="SAG39" s="926"/>
      <c r="SAH39" s="926"/>
      <c r="SAI39" s="926"/>
      <c r="SAJ39" s="926"/>
      <c r="SAK39" s="926"/>
      <c r="SAL39" s="926"/>
      <c r="SAM39" s="926"/>
      <c r="SAN39" s="926"/>
      <c r="SAO39" s="926"/>
      <c r="SAP39" s="926"/>
      <c r="SAQ39" s="926"/>
      <c r="SAR39" s="926"/>
      <c r="SAS39" s="926"/>
      <c r="SAT39" s="926"/>
      <c r="SAU39" s="926"/>
      <c r="SAV39" s="926"/>
      <c r="SAW39" s="926"/>
      <c r="SAX39" s="926"/>
      <c r="SAY39" s="926"/>
      <c r="SAZ39" s="926"/>
      <c r="SBA39" s="926"/>
      <c r="SBB39" s="926"/>
      <c r="SBC39" s="926"/>
      <c r="SBD39" s="926"/>
      <c r="SBE39" s="926"/>
      <c r="SBF39" s="926"/>
      <c r="SBG39" s="926"/>
      <c r="SBH39" s="926"/>
      <c r="SBI39" s="926"/>
      <c r="SBJ39" s="926"/>
      <c r="SBK39" s="926"/>
      <c r="SBL39" s="926"/>
      <c r="SBM39" s="926"/>
      <c r="SBN39" s="926"/>
      <c r="SBO39" s="926"/>
      <c r="SBP39" s="926"/>
      <c r="SBQ39" s="926"/>
      <c r="SBR39" s="926"/>
      <c r="SBS39" s="926"/>
      <c r="SBT39" s="926"/>
      <c r="SBU39" s="926"/>
      <c r="SBV39" s="926"/>
      <c r="SBW39" s="926"/>
      <c r="SBX39" s="926"/>
      <c r="SBY39" s="926"/>
      <c r="SBZ39" s="926"/>
      <c r="SCA39" s="926"/>
      <c r="SCB39" s="926"/>
      <c r="SCC39" s="926"/>
      <c r="SCD39" s="926"/>
      <c r="SCE39" s="926"/>
      <c r="SCF39" s="926"/>
      <c r="SCG39" s="926"/>
      <c r="SCH39" s="926"/>
      <c r="SCI39" s="926"/>
      <c r="SCJ39" s="926"/>
      <c r="SCK39" s="926"/>
      <c r="SCL39" s="926"/>
      <c r="SCM39" s="926"/>
      <c r="SCN39" s="926"/>
      <c r="SCO39" s="926"/>
      <c r="SCP39" s="926"/>
      <c r="SCQ39" s="926"/>
      <c r="SCR39" s="926"/>
      <c r="SCS39" s="926"/>
      <c r="SCT39" s="926"/>
      <c r="SCU39" s="926"/>
      <c r="SCV39" s="926"/>
      <c r="SCW39" s="926"/>
      <c r="SCX39" s="926"/>
      <c r="SCY39" s="926"/>
      <c r="SCZ39" s="926"/>
      <c r="SDA39" s="926"/>
      <c r="SDB39" s="926"/>
      <c r="SDC39" s="926"/>
      <c r="SDD39" s="926"/>
      <c r="SDE39" s="926"/>
      <c r="SDF39" s="926"/>
      <c r="SDG39" s="926"/>
      <c r="SDH39" s="926"/>
      <c r="SDI39" s="926"/>
      <c r="SDJ39" s="926"/>
      <c r="SDK39" s="926"/>
      <c r="SDL39" s="926"/>
      <c r="SDM39" s="926"/>
      <c r="SDN39" s="926"/>
      <c r="SDO39" s="926"/>
      <c r="SDP39" s="926"/>
      <c r="SDQ39" s="926"/>
      <c r="SDR39" s="926"/>
      <c r="SDS39" s="926"/>
      <c r="SDT39" s="926"/>
      <c r="SDU39" s="926"/>
      <c r="SDV39" s="926"/>
      <c r="SDW39" s="926"/>
      <c r="SDX39" s="926"/>
      <c r="SDY39" s="926"/>
      <c r="SDZ39" s="926"/>
      <c r="SEA39" s="926"/>
      <c r="SEB39" s="926"/>
      <c r="SEC39" s="926"/>
      <c r="SED39" s="926"/>
      <c r="SEE39" s="926"/>
      <c r="SEF39" s="926"/>
      <c r="SEG39" s="926"/>
      <c r="SEH39" s="926"/>
      <c r="SEI39" s="926"/>
      <c r="SEJ39" s="926"/>
      <c r="SEK39" s="926"/>
      <c r="SEL39" s="926"/>
      <c r="SEM39" s="926"/>
      <c r="SEN39" s="926"/>
      <c r="SEO39" s="926"/>
      <c r="SEP39" s="926"/>
      <c r="SEQ39" s="926"/>
      <c r="SER39" s="926"/>
      <c r="SES39" s="926"/>
      <c r="SET39" s="926"/>
      <c r="SEU39" s="926"/>
      <c r="SEV39" s="926"/>
      <c r="SEW39" s="926"/>
      <c r="SEX39" s="926"/>
      <c r="SEY39" s="926"/>
      <c r="SEZ39" s="926"/>
      <c r="SFA39" s="926"/>
      <c r="SFB39" s="926"/>
      <c r="SFC39" s="926"/>
      <c r="SFD39" s="926"/>
      <c r="SFE39" s="926"/>
      <c r="SFF39" s="926"/>
      <c r="SFG39" s="926"/>
      <c r="SFH39" s="926"/>
      <c r="SFI39" s="926"/>
      <c r="SFJ39" s="926"/>
      <c r="SFK39" s="926"/>
      <c r="SFL39" s="926"/>
      <c r="SFM39" s="926"/>
      <c r="SFN39" s="926"/>
      <c r="SFO39" s="926"/>
      <c r="SFP39" s="926"/>
      <c r="SFQ39" s="926"/>
      <c r="SFR39" s="926"/>
      <c r="SFS39" s="926"/>
      <c r="SFT39" s="926"/>
      <c r="SFU39" s="926"/>
      <c r="SFV39" s="926"/>
      <c r="SFW39" s="926"/>
      <c r="SFX39" s="926"/>
      <c r="SFY39" s="926"/>
      <c r="SFZ39" s="926"/>
      <c r="SGA39" s="926"/>
      <c r="SGB39" s="926"/>
      <c r="SGC39" s="926"/>
      <c r="SGD39" s="926"/>
      <c r="SGE39" s="926"/>
      <c r="SGF39" s="926"/>
      <c r="SGG39" s="926"/>
      <c r="SGH39" s="926"/>
      <c r="SGI39" s="926"/>
      <c r="SGJ39" s="926"/>
      <c r="SGK39" s="926"/>
      <c r="SGL39" s="926"/>
      <c r="SGM39" s="926"/>
      <c r="SGN39" s="926"/>
      <c r="SGO39" s="926"/>
      <c r="SGP39" s="926"/>
      <c r="SGQ39" s="926"/>
      <c r="SGR39" s="926"/>
      <c r="SGS39" s="926"/>
      <c r="SGT39" s="926"/>
      <c r="SGU39" s="926"/>
      <c r="SGV39" s="926"/>
      <c r="SGW39" s="926"/>
      <c r="SGX39" s="926"/>
      <c r="SGY39" s="926"/>
      <c r="SGZ39" s="926"/>
      <c r="SHA39" s="926"/>
      <c r="SHB39" s="926"/>
      <c r="SHC39" s="926"/>
      <c r="SHD39" s="926"/>
      <c r="SHE39" s="926"/>
      <c r="SHF39" s="926"/>
      <c r="SHG39" s="926"/>
      <c r="SHH39" s="926"/>
      <c r="SHI39" s="926"/>
      <c r="SHJ39" s="926"/>
      <c r="SHK39" s="926"/>
      <c r="SHL39" s="926"/>
      <c r="SHM39" s="926"/>
      <c r="SHN39" s="926"/>
      <c r="SHO39" s="926"/>
      <c r="SHP39" s="926"/>
      <c r="SHQ39" s="926"/>
      <c r="SHR39" s="926"/>
      <c r="SHS39" s="926"/>
      <c r="SHT39" s="926"/>
      <c r="SHU39" s="926"/>
      <c r="SHV39" s="926"/>
      <c r="SHW39" s="926"/>
      <c r="SHX39" s="926"/>
      <c r="SHY39" s="926"/>
      <c r="SHZ39" s="926"/>
      <c r="SIA39" s="926"/>
      <c r="SIB39" s="926"/>
      <c r="SIC39" s="926"/>
      <c r="SID39" s="926"/>
      <c r="SIE39" s="926"/>
      <c r="SIF39" s="926"/>
      <c r="SIG39" s="926"/>
      <c r="SIH39" s="926"/>
      <c r="SII39" s="926"/>
      <c r="SIJ39" s="926"/>
      <c r="SIK39" s="926"/>
      <c r="SIL39" s="926"/>
      <c r="SIM39" s="926"/>
      <c r="SIN39" s="926"/>
      <c r="SIO39" s="926"/>
      <c r="SIP39" s="926"/>
      <c r="SIQ39" s="926"/>
      <c r="SIR39" s="926"/>
      <c r="SIS39" s="926"/>
      <c r="SIT39" s="926"/>
      <c r="SIU39" s="926"/>
      <c r="SIV39" s="926"/>
      <c r="SIW39" s="926"/>
      <c r="SIX39" s="926"/>
      <c r="SIY39" s="926"/>
      <c r="SIZ39" s="926"/>
      <c r="SJA39" s="926"/>
      <c r="SJB39" s="926"/>
      <c r="SJC39" s="926"/>
      <c r="SJD39" s="926"/>
      <c r="SJE39" s="926"/>
      <c r="SJF39" s="926"/>
      <c r="SJG39" s="926"/>
      <c r="SJH39" s="926"/>
      <c r="SJI39" s="926"/>
      <c r="SJJ39" s="926"/>
      <c r="SJK39" s="926"/>
      <c r="SJL39" s="926"/>
      <c r="SJM39" s="926"/>
      <c r="SJN39" s="926"/>
      <c r="SJO39" s="926"/>
      <c r="SJP39" s="926"/>
      <c r="SJQ39" s="926"/>
      <c r="SJR39" s="926"/>
      <c r="SJS39" s="926"/>
      <c r="SJT39" s="926"/>
      <c r="SJU39" s="926"/>
      <c r="SJV39" s="926"/>
      <c r="SJW39" s="926"/>
      <c r="SJX39" s="926"/>
      <c r="SJY39" s="926"/>
      <c r="SJZ39" s="926"/>
      <c r="SKA39" s="926"/>
      <c r="SKB39" s="926"/>
      <c r="SKC39" s="926"/>
      <c r="SKD39" s="926"/>
      <c r="SKE39" s="926"/>
      <c r="SKF39" s="926"/>
      <c r="SKG39" s="926"/>
      <c r="SKH39" s="926"/>
      <c r="SKI39" s="926"/>
      <c r="SKJ39" s="926"/>
      <c r="SKK39" s="926"/>
      <c r="SKL39" s="926"/>
      <c r="SKM39" s="926"/>
      <c r="SKN39" s="926"/>
      <c r="SKO39" s="926"/>
      <c r="SKP39" s="926"/>
      <c r="SKQ39" s="926"/>
      <c r="SKR39" s="926"/>
      <c r="SKS39" s="926"/>
      <c r="SKT39" s="926"/>
      <c r="SKU39" s="926"/>
      <c r="SKV39" s="926"/>
      <c r="SKW39" s="926"/>
      <c r="SKX39" s="926"/>
      <c r="SKY39" s="926"/>
      <c r="SKZ39" s="926"/>
      <c r="SLA39" s="926"/>
      <c r="SLB39" s="926"/>
      <c r="SLC39" s="926"/>
      <c r="SLD39" s="926"/>
      <c r="SLE39" s="926"/>
      <c r="SLF39" s="926"/>
      <c r="SLG39" s="926"/>
      <c r="SLH39" s="926"/>
      <c r="SLI39" s="926"/>
      <c r="SLJ39" s="926"/>
      <c r="SLK39" s="926"/>
      <c r="SLL39" s="926"/>
      <c r="SLM39" s="926"/>
      <c r="SLN39" s="926"/>
      <c r="SLO39" s="926"/>
      <c r="SLP39" s="926"/>
      <c r="SLQ39" s="926"/>
      <c r="SLR39" s="926"/>
      <c r="SLS39" s="926"/>
      <c r="SLT39" s="926"/>
      <c r="SLU39" s="926"/>
      <c r="SLV39" s="926"/>
      <c r="SLW39" s="926"/>
      <c r="SLX39" s="926"/>
      <c r="SLY39" s="926"/>
      <c r="SLZ39" s="926"/>
      <c r="SMA39" s="926"/>
      <c r="SMB39" s="926"/>
      <c r="SMC39" s="926"/>
      <c r="SMD39" s="926"/>
      <c r="SME39" s="926"/>
      <c r="SMF39" s="926"/>
      <c r="SMG39" s="926"/>
      <c r="SMH39" s="926"/>
      <c r="SMI39" s="926"/>
      <c r="SMJ39" s="926"/>
      <c r="SMK39" s="926"/>
      <c r="SML39" s="926"/>
      <c r="SMM39" s="926"/>
      <c r="SMN39" s="926"/>
      <c r="SMO39" s="926"/>
      <c r="SMP39" s="926"/>
      <c r="SMQ39" s="926"/>
      <c r="SMR39" s="926"/>
      <c r="SMS39" s="926"/>
      <c r="SMT39" s="926"/>
      <c r="SMU39" s="926"/>
      <c r="SMV39" s="926"/>
      <c r="SMW39" s="926"/>
      <c r="SMX39" s="926"/>
      <c r="SMY39" s="926"/>
      <c r="SMZ39" s="926"/>
      <c r="SNA39" s="926"/>
      <c r="SNB39" s="926"/>
      <c r="SNC39" s="926"/>
      <c r="SND39" s="926"/>
      <c r="SNE39" s="926"/>
      <c r="SNF39" s="926"/>
      <c r="SNG39" s="926"/>
      <c r="SNH39" s="926"/>
      <c r="SNI39" s="926"/>
      <c r="SNJ39" s="926"/>
      <c r="SNK39" s="926"/>
      <c r="SNL39" s="926"/>
      <c r="SNM39" s="926"/>
      <c r="SNN39" s="926"/>
      <c r="SNO39" s="926"/>
      <c r="SNP39" s="926"/>
      <c r="SNQ39" s="926"/>
      <c r="SNR39" s="926"/>
      <c r="SNS39" s="926"/>
      <c r="SNT39" s="926"/>
      <c r="SNU39" s="926"/>
      <c r="SNV39" s="926"/>
      <c r="SNW39" s="926"/>
      <c r="SNX39" s="926"/>
      <c r="SNY39" s="926"/>
      <c r="SNZ39" s="926"/>
      <c r="SOA39" s="926"/>
      <c r="SOB39" s="926"/>
      <c r="SOC39" s="926"/>
      <c r="SOD39" s="926"/>
      <c r="SOE39" s="926"/>
      <c r="SOF39" s="926"/>
      <c r="SOG39" s="926"/>
      <c r="SOH39" s="926"/>
      <c r="SOI39" s="926"/>
      <c r="SOJ39" s="926"/>
      <c r="SOK39" s="926"/>
      <c r="SOL39" s="926"/>
      <c r="SOM39" s="926"/>
      <c r="SON39" s="926"/>
      <c r="SOO39" s="926"/>
      <c r="SOP39" s="926"/>
      <c r="SOQ39" s="926"/>
      <c r="SOR39" s="926"/>
      <c r="SOS39" s="926"/>
      <c r="SOT39" s="926"/>
      <c r="SOU39" s="926"/>
      <c r="SOV39" s="926"/>
      <c r="SOW39" s="926"/>
      <c r="SOX39" s="926"/>
      <c r="SOY39" s="926"/>
      <c r="SOZ39" s="926"/>
      <c r="SPA39" s="926"/>
      <c r="SPB39" s="926"/>
      <c r="SPC39" s="926"/>
      <c r="SPD39" s="926"/>
      <c r="SPE39" s="926"/>
      <c r="SPF39" s="926"/>
      <c r="SPG39" s="926"/>
      <c r="SPH39" s="926"/>
      <c r="SPI39" s="926"/>
      <c r="SPJ39" s="926"/>
      <c r="SPK39" s="926"/>
      <c r="SPL39" s="926"/>
      <c r="SPM39" s="926"/>
      <c r="SPN39" s="926"/>
      <c r="SPO39" s="926"/>
      <c r="SPP39" s="926"/>
      <c r="SPQ39" s="926"/>
      <c r="SPR39" s="926"/>
      <c r="SPS39" s="926"/>
      <c r="SPT39" s="926"/>
      <c r="SPU39" s="926"/>
      <c r="SPV39" s="926"/>
      <c r="SPW39" s="926"/>
      <c r="SPX39" s="926"/>
      <c r="SPY39" s="926"/>
      <c r="SPZ39" s="926"/>
      <c r="SQA39" s="926"/>
      <c r="SQB39" s="926"/>
      <c r="SQC39" s="926"/>
      <c r="SQD39" s="926"/>
      <c r="SQE39" s="926"/>
      <c r="SQF39" s="926"/>
      <c r="SQG39" s="926"/>
      <c r="SQH39" s="926"/>
      <c r="SQI39" s="926"/>
      <c r="SQJ39" s="926"/>
      <c r="SQK39" s="926"/>
      <c r="SQL39" s="926"/>
      <c r="SQM39" s="926"/>
      <c r="SQN39" s="926"/>
      <c r="SQO39" s="926"/>
      <c r="SQP39" s="926"/>
      <c r="SQQ39" s="926"/>
      <c r="SQR39" s="926"/>
      <c r="SQS39" s="926"/>
      <c r="SQT39" s="926"/>
      <c r="SQU39" s="926"/>
      <c r="SQV39" s="926"/>
      <c r="SQW39" s="926"/>
      <c r="SQX39" s="926"/>
      <c r="SQY39" s="926"/>
      <c r="SQZ39" s="926"/>
      <c r="SRA39" s="926"/>
      <c r="SRB39" s="926"/>
      <c r="SRC39" s="926"/>
      <c r="SRD39" s="926"/>
      <c r="SRE39" s="926"/>
      <c r="SRF39" s="926"/>
      <c r="SRG39" s="926"/>
      <c r="SRH39" s="926"/>
      <c r="SRI39" s="926"/>
      <c r="SRJ39" s="926"/>
      <c r="SRK39" s="926"/>
      <c r="SRL39" s="926"/>
      <c r="SRM39" s="926"/>
      <c r="SRN39" s="926"/>
      <c r="SRO39" s="926"/>
      <c r="SRP39" s="926"/>
      <c r="SRQ39" s="926"/>
      <c r="SRR39" s="926"/>
      <c r="SRS39" s="926"/>
      <c r="SRT39" s="926"/>
      <c r="SRU39" s="926"/>
      <c r="SRV39" s="926"/>
      <c r="SRW39" s="926"/>
      <c r="SRX39" s="926"/>
      <c r="SRY39" s="926"/>
      <c r="SRZ39" s="926"/>
      <c r="SSA39" s="926"/>
      <c r="SSB39" s="926"/>
      <c r="SSC39" s="926"/>
      <c r="SSD39" s="926"/>
      <c r="SSE39" s="926"/>
      <c r="SSF39" s="926"/>
      <c r="SSG39" s="926"/>
      <c r="SSH39" s="926"/>
      <c r="SSI39" s="926"/>
      <c r="SSJ39" s="926"/>
      <c r="SSK39" s="926"/>
      <c r="SSL39" s="926"/>
      <c r="SSM39" s="926"/>
      <c r="SSN39" s="926"/>
      <c r="SSO39" s="926"/>
      <c r="SSP39" s="926"/>
      <c r="SSQ39" s="926"/>
      <c r="SSR39" s="926"/>
      <c r="SSS39" s="926"/>
      <c r="SST39" s="926"/>
      <c r="SSU39" s="926"/>
      <c r="SSV39" s="926"/>
      <c r="SSW39" s="926"/>
      <c r="SSX39" s="926"/>
      <c r="SSY39" s="926"/>
      <c r="SSZ39" s="926"/>
      <c r="STA39" s="926"/>
      <c r="STB39" s="926"/>
      <c r="STC39" s="926"/>
      <c r="STD39" s="926"/>
      <c r="STE39" s="926"/>
      <c r="STF39" s="926"/>
      <c r="STG39" s="926"/>
      <c r="STH39" s="926"/>
      <c r="STI39" s="926"/>
      <c r="STJ39" s="926"/>
      <c r="STK39" s="926"/>
      <c r="STL39" s="926"/>
      <c r="STM39" s="926"/>
      <c r="STN39" s="926"/>
      <c r="STO39" s="926"/>
      <c r="STP39" s="926"/>
      <c r="STQ39" s="926"/>
      <c r="STR39" s="926"/>
      <c r="STS39" s="926"/>
      <c r="STT39" s="926"/>
      <c r="STU39" s="926"/>
      <c r="STV39" s="926"/>
      <c r="STW39" s="926"/>
      <c r="STX39" s="926"/>
      <c r="STY39" s="926"/>
      <c r="STZ39" s="926"/>
      <c r="SUA39" s="926"/>
      <c r="SUB39" s="926"/>
      <c r="SUC39" s="926"/>
      <c r="SUD39" s="926"/>
      <c r="SUE39" s="926"/>
      <c r="SUF39" s="926"/>
      <c r="SUG39" s="926"/>
      <c r="SUH39" s="926"/>
      <c r="SUI39" s="926"/>
      <c r="SUJ39" s="926"/>
      <c r="SUK39" s="926"/>
      <c r="SUL39" s="926"/>
      <c r="SUM39" s="926"/>
      <c r="SUN39" s="926"/>
      <c r="SUO39" s="926"/>
      <c r="SUP39" s="926"/>
      <c r="SUQ39" s="926"/>
      <c r="SUR39" s="926"/>
      <c r="SUS39" s="926"/>
      <c r="SUT39" s="926"/>
      <c r="SUU39" s="926"/>
      <c r="SUV39" s="926"/>
      <c r="SUW39" s="926"/>
      <c r="SUX39" s="926"/>
      <c r="SUY39" s="926"/>
      <c r="SUZ39" s="926"/>
      <c r="SVA39" s="926"/>
      <c r="SVB39" s="926"/>
      <c r="SVC39" s="926"/>
      <c r="SVD39" s="926"/>
      <c r="SVE39" s="926"/>
      <c r="SVF39" s="926"/>
      <c r="SVG39" s="926"/>
      <c r="SVH39" s="926"/>
      <c r="SVI39" s="926"/>
      <c r="SVJ39" s="926"/>
      <c r="SVK39" s="926"/>
      <c r="SVL39" s="926"/>
      <c r="SVM39" s="926"/>
      <c r="SVN39" s="926"/>
      <c r="SVO39" s="926"/>
      <c r="SVP39" s="926"/>
      <c r="SVQ39" s="926"/>
      <c r="SVR39" s="926"/>
      <c r="SVS39" s="926"/>
      <c r="SVT39" s="926"/>
      <c r="SVU39" s="926"/>
      <c r="SVV39" s="926"/>
      <c r="SVW39" s="926"/>
      <c r="SVX39" s="926"/>
      <c r="SVY39" s="926"/>
      <c r="SVZ39" s="926"/>
      <c r="SWA39" s="926"/>
      <c r="SWB39" s="926"/>
      <c r="SWC39" s="926"/>
      <c r="SWD39" s="926"/>
      <c r="SWE39" s="926"/>
      <c r="SWF39" s="926"/>
      <c r="SWG39" s="926"/>
      <c r="SWH39" s="926"/>
      <c r="SWI39" s="926"/>
      <c r="SWJ39" s="926"/>
      <c r="SWK39" s="926"/>
      <c r="SWL39" s="926"/>
      <c r="SWM39" s="926"/>
      <c r="SWN39" s="926"/>
      <c r="SWO39" s="926"/>
      <c r="SWP39" s="926"/>
      <c r="SWQ39" s="926"/>
      <c r="SWR39" s="926"/>
      <c r="SWS39" s="926"/>
      <c r="SWT39" s="926"/>
      <c r="SWU39" s="926"/>
      <c r="SWV39" s="926"/>
      <c r="SWW39" s="926"/>
      <c r="SWX39" s="926"/>
      <c r="SWY39" s="926"/>
      <c r="SWZ39" s="926"/>
      <c r="SXA39" s="926"/>
      <c r="SXB39" s="926"/>
      <c r="SXC39" s="926"/>
      <c r="SXD39" s="926"/>
      <c r="SXE39" s="926"/>
      <c r="SXF39" s="926"/>
      <c r="SXG39" s="926"/>
      <c r="SXH39" s="926"/>
      <c r="SXI39" s="926"/>
      <c r="SXJ39" s="926"/>
      <c r="SXK39" s="926"/>
      <c r="SXL39" s="926"/>
      <c r="SXM39" s="926"/>
      <c r="SXN39" s="926"/>
      <c r="SXO39" s="926"/>
      <c r="SXP39" s="926"/>
      <c r="SXQ39" s="926"/>
      <c r="SXR39" s="926"/>
      <c r="SXS39" s="926"/>
      <c r="SXT39" s="926"/>
      <c r="SXU39" s="926"/>
      <c r="SXV39" s="926"/>
      <c r="SXW39" s="926"/>
      <c r="SXX39" s="926"/>
      <c r="SXY39" s="926"/>
      <c r="SXZ39" s="926"/>
      <c r="SYA39" s="926"/>
      <c r="SYB39" s="926"/>
      <c r="SYC39" s="926"/>
      <c r="SYD39" s="926"/>
      <c r="SYE39" s="926"/>
      <c r="SYF39" s="926"/>
      <c r="SYG39" s="926"/>
      <c r="SYH39" s="926"/>
      <c r="SYI39" s="926"/>
      <c r="SYJ39" s="926"/>
      <c r="SYK39" s="926"/>
      <c r="SYL39" s="926"/>
      <c r="SYM39" s="926"/>
      <c r="SYN39" s="926"/>
      <c r="SYO39" s="926"/>
      <c r="SYP39" s="926"/>
      <c r="SYQ39" s="926"/>
      <c r="SYR39" s="926"/>
      <c r="SYS39" s="926"/>
      <c r="SYT39" s="926"/>
      <c r="SYU39" s="926"/>
      <c r="SYV39" s="926"/>
      <c r="SYW39" s="926"/>
      <c r="SYX39" s="926"/>
      <c r="SYY39" s="926"/>
      <c r="SYZ39" s="926"/>
      <c r="SZA39" s="926"/>
      <c r="SZB39" s="926"/>
      <c r="SZC39" s="926"/>
      <c r="SZD39" s="926"/>
      <c r="SZE39" s="926"/>
      <c r="SZF39" s="926"/>
      <c r="SZG39" s="926"/>
      <c r="SZH39" s="926"/>
      <c r="SZI39" s="926"/>
      <c r="SZJ39" s="926"/>
      <c r="SZK39" s="926"/>
      <c r="SZL39" s="926"/>
      <c r="SZM39" s="926"/>
      <c r="SZN39" s="926"/>
      <c r="SZO39" s="926"/>
      <c r="SZP39" s="926"/>
      <c r="SZQ39" s="926"/>
      <c r="SZR39" s="926"/>
      <c r="SZS39" s="926"/>
      <c r="SZT39" s="926"/>
      <c r="SZU39" s="926"/>
      <c r="SZV39" s="926"/>
      <c r="SZW39" s="926"/>
      <c r="SZX39" s="926"/>
      <c r="SZY39" s="926"/>
      <c r="SZZ39" s="926"/>
      <c r="TAA39" s="926"/>
      <c r="TAB39" s="926"/>
      <c r="TAC39" s="926"/>
      <c r="TAD39" s="926"/>
      <c r="TAE39" s="926"/>
      <c r="TAF39" s="926"/>
      <c r="TAG39" s="926"/>
      <c r="TAH39" s="926"/>
      <c r="TAI39" s="926"/>
      <c r="TAJ39" s="926"/>
      <c r="TAK39" s="926"/>
      <c r="TAL39" s="926"/>
      <c r="TAM39" s="926"/>
      <c r="TAN39" s="926"/>
      <c r="TAO39" s="926"/>
      <c r="TAP39" s="926"/>
      <c r="TAQ39" s="926"/>
      <c r="TAR39" s="926"/>
      <c r="TAS39" s="926"/>
      <c r="TAT39" s="926"/>
      <c r="TAU39" s="926"/>
      <c r="TAV39" s="926"/>
      <c r="TAW39" s="926"/>
      <c r="TAX39" s="926"/>
      <c r="TAY39" s="926"/>
      <c r="TAZ39" s="926"/>
      <c r="TBA39" s="926"/>
      <c r="TBB39" s="926"/>
      <c r="TBC39" s="926"/>
      <c r="TBD39" s="926"/>
      <c r="TBE39" s="926"/>
      <c r="TBF39" s="926"/>
      <c r="TBG39" s="926"/>
      <c r="TBH39" s="926"/>
      <c r="TBI39" s="926"/>
      <c r="TBJ39" s="926"/>
      <c r="TBK39" s="926"/>
      <c r="TBL39" s="926"/>
      <c r="TBM39" s="926"/>
      <c r="TBN39" s="926"/>
      <c r="TBO39" s="926"/>
      <c r="TBP39" s="926"/>
      <c r="TBQ39" s="926"/>
      <c r="TBR39" s="926"/>
      <c r="TBS39" s="926"/>
      <c r="TBT39" s="926"/>
      <c r="TBU39" s="926"/>
      <c r="TBV39" s="926"/>
      <c r="TBW39" s="926"/>
      <c r="TBX39" s="926"/>
      <c r="TBY39" s="926"/>
      <c r="TBZ39" s="926"/>
      <c r="TCA39" s="926"/>
      <c r="TCB39" s="926"/>
      <c r="TCC39" s="926"/>
      <c r="TCD39" s="926"/>
      <c r="TCE39" s="926"/>
      <c r="TCF39" s="926"/>
      <c r="TCG39" s="926"/>
      <c r="TCH39" s="926"/>
      <c r="TCI39" s="926"/>
      <c r="TCJ39" s="926"/>
      <c r="TCK39" s="926"/>
      <c r="TCL39" s="926"/>
      <c r="TCM39" s="926"/>
      <c r="TCN39" s="926"/>
      <c r="TCO39" s="926"/>
      <c r="TCP39" s="926"/>
      <c r="TCQ39" s="926"/>
      <c r="TCR39" s="926"/>
      <c r="TCS39" s="926"/>
      <c r="TCT39" s="926"/>
      <c r="TCU39" s="926"/>
      <c r="TCV39" s="926"/>
      <c r="TCW39" s="926"/>
      <c r="TCX39" s="926"/>
      <c r="TCY39" s="926"/>
      <c r="TCZ39" s="926"/>
      <c r="TDA39" s="926"/>
      <c r="TDB39" s="926"/>
      <c r="TDC39" s="926"/>
      <c r="TDD39" s="926"/>
      <c r="TDE39" s="926"/>
      <c r="TDF39" s="926"/>
      <c r="TDG39" s="926"/>
      <c r="TDH39" s="926"/>
      <c r="TDI39" s="926"/>
      <c r="TDJ39" s="926"/>
      <c r="TDK39" s="926"/>
      <c r="TDL39" s="926"/>
      <c r="TDM39" s="926"/>
      <c r="TDN39" s="926"/>
      <c r="TDO39" s="926"/>
      <c r="TDP39" s="926"/>
      <c r="TDQ39" s="926"/>
      <c r="TDR39" s="926"/>
      <c r="TDS39" s="926"/>
      <c r="TDT39" s="926"/>
      <c r="TDU39" s="926"/>
      <c r="TDV39" s="926"/>
      <c r="TDW39" s="926"/>
      <c r="TDX39" s="926"/>
      <c r="TDY39" s="926"/>
      <c r="TDZ39" s="926"/>
      <c r="TEA39" s="926"/>
      <c r="TEB39" s="926"/>
      <c r="TEC39" s="926"/>
      <c r="TED39" s="926"/>
      <c r="TEE39" s="926"/>
      <c r="TEF39" s="926"/>
      <c r="TEG39" s="926"/>
      <c r="TEH39" s="926"/>
      <c r="TEI39" s="926"/>
      <c r="TEJ39" s="926"/>
      <c r="TEK39" s="926"/>
      <c r="TEL39" s="926"/>
      <c r="TEM39" s="926"/>
      <c r="TEN39" s="926"/>
      <c r="TEO39" s="926"/>
      <c r="TEP39" s="926"/>
      <c r="TEQ39" s="926"/>
      <c r="TER39" s="926"/>
      <c r="TES39" s="926"/>
      <c r="TET39" s="926"/>
      <c r="TEU39" s="926"/>
      <c r="TEV39" s="926"/>
      <c r="TEW39" s="926"/>
      <c r="TEX39" s="926"/>
      <c r="TEY39" s="926"/>
      <c r="TEZ39" s="926"/>
      <c r="TFA39" s="926"/>
      <c r="TFB39" s="926"/>
      <c r="TFC39" s="926"/>
      <c r="TFD39" s="926"/>
      <c r="TFE39" s="926"/>
      <c r="TFF39" s="926"/>
      <c r="TFG39" s="926"/>
      <c r="TFH39" s="926"/>
      <c r="TFI39" s="926"/>
      <c r="TFJ39" s="926"/>
      <c r="TFK39" s="926"/>
      <c r="TFL39" s="926"/>
      <c r="TFM39" s="926"/>
      <c r="TFN39" s="926"/>
      <c r="TFO39" s="926"/>
      <c r="TFP39" s="926"/>
      <c r="TFQ39" s="926"/>
      <c r="TFR39" s="926"/>
      <c r="TFS39" s="926"/>
      <c r="TFT39" s="926"/>
      <c r="TFU39" s="926"/>
      <c r="TFV39" s="926"/>
      <c r="TFW39" s="926"/>
      <c r="TFX39" s="926"/>
      <c r="TFY39" s="926"/>
      <c r="TFZ39" s="926"/>
      <c r="TGA39" s="926"/>
      <c r="TGB39" s="926"/>
      <c r="TGC39" s="926"/>
      <c r="TGD39" s="926"/>
      <c r="TGE39" s="926"/>
      <c r="TGF39" s="926"/>
      <c r="TGG39" s="926"/>
      <c r="TGH39" s="926"/>
      <c r="TGI39" s="926"/>
      <c r="TGJ39" s="926"/>
      <c r="TGK39" s="926"/>
      <c r="TGL39" s="926"/>
      <c r="TGM39" s="926"/>
      <c r="TGN39" s="926"/>
      <c r="TGO39" s="926"/>
      <c r="TGP39" s="926"/>
      <c r="TGQ39" s="926"/>
      <c r="TGR39" s="926"/>
      <c r="TGS39" s="926"/>
      <c r="TGT39" s="926"/>
      <c r="TGU39" s="926"/>
      <c r="TGV39" s="926"/>
      <c r="TGW39" s="926"/>
      <c r="TGX39" s="926"/>
      <c r="TGY39" s="926"/>
      <c r="TGZ39" s="926"/>
      <c r="THA39" s="926"/>
      <c r="THB39" s="926"/>
      <c r="THC39" s="926"/>
      <c r="THD39" s="926"/>
      <c r="THE39" s="926"/>
      <c r="THF39" s="926"/>
      <c r="THG39" s="926"/>
      <c r="THH39" s="926"/>
      <c r="THI39" s="926"/>
      <c r="THJ39" s="926"/>
      <c r="THK39" s="926"/>
      <c r="THL39" s="926"/>
      <c r="THM39" s="926"/>
      <c r="THN39" s="926"/>
      <c r="THO39" s="926"/>
      <c r="THP39" s="926"/>
      <c r="THQ39" s="926"/>
      <c r="THR39" s="926"/>
      <c r="THS39" s="926"/>
      <c r="THT39" s="926"/>
      <c r="THU39" s="926"/>
      <c r="THV39" s="926"/>
      <c r="THW39" s="926"/>
      <c r="THX39" s="926"/>
      <c r="THY39" s="926"/>
      <c r="THZ39" s="926"/>
      <c r="TIA39" s="926"/>
      <c r="TIB39" s="926"/>
      <c r="TIC39" s="926"/>
      <c r="TID39" s="926"/>
      <c r="TIE39" s="926"/>
      <c r="TIF39" s="926"/>
      <c r="TIG39" s="926"/>
      <c r="TIH39" s="926"/>
      <c r="TII39" s="926"/>
      <c r="TIJ39" s="926"/>
      <c r="TIK39" s="926"/>
      <c r="TIL39" s="926"/>
      <c r="TIM39" s="926"/>
      <c r="TIN39" s="926"/>
      <c r="TIO39" s="926"/>
      <c r="TIP39" s="926"/>
      <c r="TIQ39" s="926"/>
      <c r="TIR39" s="926"/>
      <c r="TIS39" s="926"/>
      <c r="TIT39" s="926"/>
      <c r="TIU39" s="926"/>
      <c r="TIV39" s="926"/>
      <c r="TIW39" s="926"/>
      <c r="TIX39" s="926"/>
      <c r="TIY39" s="926"/>
      <c r="TIZ39" s="926"/>
      <c r="TJA39" s="926"/>
      <c r="TJB39" s="926"/>
      <c r="TJC39" s="926"/>
      <c r="TJD39" s="926"/>
      <c r="TJE39" s="926"/>
      <c r="TJF39" s="926"/>
      <c r="TJG39" s="926"/>
      <c r="TJH39" s="926"/>
      <c r="TJI39" s="926"/>
      <c r="TJJ39" s="926"/>
      <c r="TJK39" s="926"/>
      <c r="TJL39" s="926"/>
      <c r="TJM39" s="926"/>
      <c r="TJN39" s="926"/>
      <c r="TJO39" s="926"/>
      <c r="TJP39" s="926"/>
      <c r="TJQ39" s="926"/>
      <c r="TJR39" s="926"/>
      <c r="TJS39" s="926"/>
      <c r="TJT39" s="926"/>
      <c r="TJU39" s="926"/>
      <c r="TJV39" s="926"/>
      <c r="TJW39" s="926"/>
      <c r="TJX39" s="926"/>
      <c r="TJY39" s="926"/>
      <c r="TJZ39" s="926"/>
      <c r="TKA39" s="926"/>
      <c r="TKB39" s="926"/>
      <c r="TKC39" s="926"/>
      <c r="TKD39" s="926"/>
      <c r="TKE39" s="926"/>
      <c r="TKF39" s="926"/>
      <c r="TKG39" s="926"/>
      <c r="TKH39" s="926"/>
      <c r="TKI39" s="926"/>
      <c r="TKJ39" s="926"/>
      <c r="TKK39" s="926"/>
      <c r="TKL39" s="926"/>
      <c r="TKM39" s="926"/>
      <c r="TKN39" s="926"/>
      <c r="TKO39" s="926"/>
      <c r="TKP39" s="926"/>
      <c r="TKQ39" s="926"/>
      <c r="TKR39" s="926"/>
      <c r="TKS39" s="926"/>
      <c r="TKT39" s="926"/>
      <c r="TKU39" s="926"/>
      <c r="TKV39" s="926"/>
      <c r="TKW39" s="926"/>
      <c r="TKX39" s="926"/>
      <c r="TKY39" s="926"/>
      <c r="TKZ39" s="926"/>
      <c r="TLA39" s="926"/>
      <c r="TLB39" s="926"/>
      <c r="TLC39" s="926"/>
      <c r="TLD39" s="926"/>
      <c r="TLE39" s="926"/>
      <c r="TLF39" s="926"/>
      <c r="TLG39" s="926"/>
      <c r="TLH39" s="926"/>
      <c r="TLI39" s="926"/>
      <c r="TLJ39" s="926"/>
      <c r="TLK39" s="926"/>
      <c r="TLL39" s="926"/>
      <c r="TLM39" s="926"/>
      <c r="TLN39" s="926"/>
      <c r="TLO39" s="926"/>
      <c r="TLP39" s="926"/>
      <c r="TLQ39" s="926"/>
      <c r="TLR39" s="926"/>
      <c r="TLS39" s="926"/>
      <c r="TLT39" s="926"/>
      <c r="TLU39" s="926"/>
      <c r="TLV39" s="926"/>
      <c r="TLW39" s="926"/>
      <c r="TLX39" s="926"/>
      <c r="TLY39" s="926"/>
      <c r="TLZ39" s="926"/>
      <c r="TMA39" s="926"/>
      <c r="TMB39" s="926"/>
      <c r="TMC39" s="926"/>
      <c r="TMD39" s="926"/>
      <c r="TME39" s="926"/>
      <c r="TMF39" s="926"/>
      <c r="TMG39" s="926"/>
      <c r="TMH39" s="926"/>
      <c r="TMI39" s="926"/>
      <c r="TMJ39" s="926"/>
      <c r="TMK39" s="926"/>
      <c r="TML39" s="926"/>
      <c r="TMM39" s="926"/>
      <c r="TMN39" s="926"/>
      <c r="TMO39" s="926"/>
      <c r="TMP39" s="926"/>
      <c r="TMQ39" s="926"/>
      <c r="TMR39" s="926"/>
      <c r="TMS39" s="926"/>
      <c r="TMT39" s="926"/>
      <c r="TMU39" s="926"/>
      <c r="TMV39" s="926"/>
      <c r="TMW39" s="926"/>
      <c r="TMX39" s="926"/>
      <c r="TMY39" s="926"/>
      <c r="TMZ39" s="926"/>
      <c r="TNA39" s="926"/>
      <c r="TNB39" s="926"/>
      <c r="TNC39" s="926"/>
      <c r="TND39" s="926"/>
      <c r="TNE39" s="926"/>
      <c r="TNF39" s="926"/>
      <c r="TNG39" s="926"/>
      <c r="TNH39" s="926"/>
      <c r="TNI39" s="926"/>
      <c r="TNJ39" s="926"/>
      <c r="TNK39" s="926"/>
      <c r="TNL39" s="926"/>
      <c r="TNM39" s="926"/>
      <c r="TNN39" s="926"/>
      <c r="TNO39" s="926"/>
      <c r="TNP39" s="926"/>
      <c r="TNQ39" s="926"/>
      <c r="TNR39" s="926"/>
      <c r="TNS39" s="926"/>
      <c r="TNT39" s="926"/>
      <c r="TNU39" s="926"/>
      <c r="TNV39" s="926"/>
      <c r="TNW39" s="926"/>
      <c r="TNX39" s="926"/>
      <c r="TNY39" s="926"/>
      <c r="TNZ39" s="926"/>
      <c r="TOA39" s="926"/>
      <c r="TOB39" s="926"/>
      <c r="TOC39" s="926"/>
      <c r="TOD39" s="926"/>
      <c r="TOE39" s="926"/>
      <c r="TOF39" s="926"/>
      <c r="TOG39" s="926"/>
      <c r="TOH39" s="926"/>
      <c r="TOI39" s="926"/>
      <c r="TOJ39" s="926"/>
      <c r="TOK39" s="926"/>
      <c r="TOL39" s="926"/>
      <c r="TOM39" s="926"/>
      <c r="TON39" s="926"/>
      <c r="TOO39" s="926"/>
      <c r="TOP39" s="926"/>
      <c r="TOQ39" s="926"/>
      <c r="TOR39" s="926"/>
      <c r="TOS39" s="926"/>
      <c r="TOT39" s="926"/>
      <c r="TOU39" s="926"/>
      <c r="TOV39" s="926"/>
      <c r="TOW39" s="926"/>
      <c r="TOX39" s="926"/>
      <c r="TOY39" s="926"/>
      <c r="TOZ39" s="926"/>
      <c r="TPA39" s="926"/>
      <c r="TPB39" s="926"/>
      <c r="TPC39" s="926"/>
      <c r="TPD39" s="926"/>
      <c r="TPE39" s="926"/>
      <c r="TPF39" s="926"/>
      <c r="TPG39" s="926"/>
      <c r="TPH39" s="926"/>
      <c r="TPI39" s="926"/>
      <c r="TPJ39" s="926"/>
      <c r="TPK39" s="926"/>
      <c r="TPL39" s="926"/>
      <c r="TPM39" s="926"/>
      <c r="TPN39" s="926"/>
      <c r="TPO39" s="926"/>
      <c r="TPP39" s="926"/>
      <c r="TPQ39" s="926"/>
      <c r="TPR39" s="926"/>
      <c r="TPS39" s="926"/>
      <c r="TPT39" s="926"/>
      <c r="TPU39" s="926"/>
      <c r="TPV39" s="926"/>
      <c r="TPW39" s="926"/>
      <c r="TPX39" s="926"/>
      <c r="TPY39" s="926"/>
      <c r="TPZ39" s="926"/>
      <c r="TQA39" s="926"/>
      <c r="TQB39" s="926"/>
      <c r="TQC39" s="926"/>
      <c r="TQD39" s="926"/>
      <c r="TQE39" s="926"/>
      <c r="TQF39" s="926"/>
      <c r="TQG39" s="926"/>
      <c r="TQH39" s="926"/>
      <c r="TQI39" s="926"/>
      <c r="TQJ39" s="926"/>
      <c r="TQK39" s="926"/>
      <c r="TQL39" s="926"/>
      <c r="TQM39" s="926"/>
      <c r="TQN39" s="926"/>
      <c r="TQO39" s="926"/>
      <c r="TQP39" s="926"/>
      <c r="TQQ39" s="926"/>
      <c r="TQR39" s="926"/>
      <c r="TQS39" s="926"/>
      <c r="TQT39" s="926"/>
      <c r="TQU39" s="926"/>
      <c r="TQV39" s="926"/>
      <c r="TQW39" s="926"/>
      <c r="TQX39" s="926"/>
      <c r="TQY39" s="926"/>
      <c r="TQZ39" s="926"/>
      <c r="TRA39" s="926"/>
      <c r="TRB39" s="926"/>
      <c r="TRC39" s="926"/>
      <c r="TRD39" s="926"/>
      <c r="TRE39" s="926"/>
      <c r="TRF39" s="926"/>
      <c r="TRG39" s="926"/>
      <c r="TRH39" s="926"/>
      <c r="TRI39" s="926"/>
      <c r="TRJ39" s="926"/>
      <c r="TRK39" s="926"/>
      <c r="TRL39" s="926"/>
      <c r="TRM39" s="926"/>
      <c r="TRN39" s="926"/>
      <c r="TRO39" s="926"/>
      <c r="TRP39" s="926"/>
      <c r="TRQ39" s="926"/>
      <c r="TRR39" s="926"/>
      <c r="TRS39" s="926"/>
      <c r="TRT39" s="926"/>
      <c r="TRU39" s="926"/>
      <c r="TRV39" s="926"/>
      <c r="TRW39" s="926"/>
      <c r="TRX39" s="926"/>
      <c r="TRY39" s="926"/>
      <c r="TRZ39" s="926"/>
      <c r="TSA39" s="926"/>
      <c r="TSB39" s="926"/>
      <c r="TSC39" s="926"/>
      <c r="TSD39" s="926"/>
      <c r="TSE39" s="926"/>
      <c r="TSF39" s="926"/>
      <c r="TSG39" s="926"/>
      <c r="TSH39" s="926"/>
      <c r="TSI39" s="926"/>
      <c r="TSJ39" s="926"/>
      <c r="TSK39" s="926"/>
      <c r="TSL39" s="926"/>
      <c r="TSM39" s="926"/>
      <c r="TSN39" s="926"/>
      <c r="TSO39" s="926"/>
      <c r="TSP39" s="926"/>
      <c r="TSQ39" s="926"/>
      <c r="TSR39" s="926"/>
      <c r="TSS39" s="926"/>
      <c r="TST39" s="926"/>
      <c r="TSU39" s="926"/>
      <c r="TSV39" s="926"/>
      <c r="TSW39" s="926"/>
      <c r="TSX39" s="926"/>
      <c r="TSY39" s="926"/>
      <c r="TSZ39" s="926"/>
      <c r="TTA39" s="926"/>
      <c r="TTB39" s="926"/>
      <c r="TTC39" s="926"/>
      <c r="TTD39" s="926"/>
      <c r="TTE39" s="926"/>
      <c r="TTF39" s="926"/>
      <c r="TTG39" s="926"/>
      <c r="TTH39" s="926"/>
      <c r="TTI39" s="926"/>
      <c r="TTJ39" s="926"/>
      <c r="TTK39" s="926"/>
      <c r="TTL39" s="926"/>
      <c r="TTM39" s="926"/>
      <c r="TTN39" s="926"/>
      <c r="TTO39" s="926"/>
      <c r="TTP39" s="926"/>
      <c r="TTQ39" s="926"/>
      <c r="TTR39" s="926"/>
      <c r="TTS39" s="926"/>
      <c r="TTT39" s="926"/>
      <c r="TTU39" s="926"/>
      <c r="TTV39" s="926"/>
      <c r="TTW39" s="926"/>
      <c r="TTX39" s="926"/>
      <c r="TTY39" s="926"/>
      <c r="TTZ39" s="926"/>
      <c r="TUA39" s="926"/>
      <c r="TUB39" s="926"/>
      <c r="TUC39" s="926"/>
      <c r="TUD39" s="926"/>
      <c r="TUE39" s="926"/>
      <c r="TUF39" s="926"/>
      <c r="TUG39" s="926"/>
      <c r="TUH39" s="926"/>
      <c r="TUI39" s="926"/>
      <c r="TUJ39" s="926"/>
      <c r="TUK39" s="926"/>
      <c r="TUL39" s="926"/>
      <c r="TUM39" s="926"/>
      <c r="TUN39" s="926"/>
      <c r="TUO39" s="926"/>
      <c r="TUP39" s="926"/>
      <c r="TUQ39" s="926"/>
      <c r="TUR39" s="926"/>
      <c r="TUS39" s="926"/>
      <c r="TUT39" s="926"/>
      <c r="TUU39" s="926"/>
      <c r="TUV39" s="926"/>
      <c r="TUW39" s="926"/>
      <c r="TUX39" s="926"/>
      <c r="TUY39" s="926"/>
      <c r="TUZ39" s="926"/>
      <c r="TVA39" s="926"/>
      <c r="TVB39" s="926"/>
      <c r="TVC39" s="926"/>
      <c r="TVD39" s="926"/>
      <c r="TVE39" s="926"/>
      <c r="TVF39" s="926"/>
      <c r="TVG39" s="926"/>
      <c r="TVH39" s="926"/>
      <c r="TVI39" s="926"/>
      <c r="TVJ39" s="926"/>
      <c r="TVK39" s="926"/>
      <c r="TVL39" s="926"/>
      <c r="TVM39" s="926"/>
      <c r="TVN39" s="926"/>
      <c r="TVO39" s="926"/>
      <c r="TVP39" s="926"/>
      <c r="TVQ39" s="926"/>
      <c r="TVR39" s="926"/>
      <c r="TVS39" s="926"/>
      <c r="TVT39" s="926"/>
      <c r="TVU39" s="926"/>
      <c r="TVV39" s="926"/>
      <c r="TVW39" s="926"/>
      <c r="TVX39" s="926"/>
      <c r="TVY39" s="926"/>
      <c r="TVZ39" s="926"/>
      <c r="TWA39" s="926"/>
      <c r="TWB39" s="926"/>
      <c r="TWC39" s="926"/>
      <c r="TWD39" s="926"/>
      <c r="TWE39" s="926"/>
      <c r="TWF39" s="926"/>
      <c r="TWG39" s="926"/>
      <c r="TWH39" s="926"/>
      <c r="TWI39" s="926"/>
      <c r="TWJ39" s="926"/>
      <c r="TWK39" s="926"/>
      <c r="TWL39" s="926"/>
      <c r="TWM39" s="926"/>
      <c r="TWN39" s="926"/>
      <c r="TWO39" s="926"/>
      <c r="TWP39" s="926"/>
      <c r="TWQ39" s="926"/>
      <c r="TWR39" s="926"/>
      <c r="TWS39" s="926"/>
      <c r="TWT39" s="926"/>
      <c r="TWU39" s="926"/>
      <c r="TWV39" s="926"/>
      <c r="TWW39" s="926"/>
      <c r="TWX39" s="926"/>
      <c r="TWY39" s="926"/>
      <c r="TWZ39" s="926"/>
      <c r="TXA39" s="926"/>
      <c r="TXB39" s="926"/>
      <c r="TXC39" s="926"/>
      <c r="TXD39" s="926"/>
      <c r="TXE39" s="926"/>
      <c r="TXF39" s="926"/>
      <c r="TXG39" s="926"/>
      <c r="TXH39" s="926"/>
      <c r="TXI39" s="926"/>
      <c r="TXJ39" s="926"/>
      <c r="TXK39" s="926"/>
      <c r="TXL39" s="926"/>
      <c r="TXM39" s="926"/>
      <c r="TXN39" s="926"/>
      <c r="TXO39" s="926"/>
      <c r="TXP39" s="926"/>
      <c r="TXQ39" s="926"/>
      <c r="TXR39" s="926"/>
      <c r="TXS39" s="926"/>
      <c r="TXT39" s="926"/>
      <c r="TXU39" s="926"/>
      <c r="TXV39" s="926"/>
      <c r="TXW39" s="926"/>
      <c r="TXX39" s="926"/>
      <c r="TXY39" s="926"/>
      <c r="TXZ39" s="926"/>
      <c r="TYA39" s="926"/>
      <c r="TYB39" s="926"/>
      <c r="TYC39" s="926"/>
      <c r="TYD39" s="926"/>
      <c r="TYE39" s="926"/>
      <c r="TYF39" s="926"/>
      <c r="TYG39" s="926"/>
      <c r="TYH39" s="926"/>
      <c r="TYI39" s="926"/>
      <c r="TYJ39" s="926"/>
      <c r="TYK39" s="926"/>
      <c r="TYL39" s="926"/>
      <c r="TYM39" s="926"/>
      <c r="TYN39" s="926"/>
      <c r="TYO39" s="926"/>
      <c r="TYP39" s="926"/>
      <c r="TYQ39" s="926"/>
      <c r="TYR39" s="926"/>
      <c r="TYS39" s="926"/>
      <c r="TYT39" s="926"/>
      <c r="TYU39" s="926"/>
      <c r="TYV39" s="926"/>
      <c r="TYW39" s="926"/>
      <c r="TYX39" s="926"/>
      <c r="TYY39" s="926"/>
      <c r="TYZ39" s="926"/>
      <c r="TZA39" s="926"/>
      <c r="TZB39" s="926"/>
      <c r="TZC39" s="926"/>
      <c r="TZD39" s="926"/>
      <c r="TZE39" s="926"/>
      <c r="TZF39" s="926"/>
      <c r="TZG39" s="926"/>
      <c r="TZH39" s="926"/>
      <c r="TZI39" s="926"/>
      <c r="TZJ39" s="926"/>
      <c r="TZK39" s="926"/>
      <c r="TZL39" s="926"/>
      <c r="TZM39" s="926"/>
      <c r="TZN39" s="926"/>
      <c r="TZO39" s="926"/>
      <c r="TZP39" s="926"/>
      <c r="TZQ39" s="926"/>
      <c r="TZR39" s="926"/>
      <c r="TZS39" s="926"/>
      <c r="TZT39" s="926"/>
      <c r="TZU39" s="926"/>
      <c r="TZV39" s="926"/>
      <c r="TZW39" s="926"/>
      <c r="TZX39" s="926"/>
      <c r="TZY39" s="926"/>
      <c r="TZZ39" s="926"/>
      <c r="UAA39" s="926"/>
      <c r="UAB39" s="926"/>
      <c r="UAC39" s="926"/>
      <c r="UAD39" s="926"/>
      <c r="UAE39" s="926"/>
      <c r="UAF39" s="926"/>
      <c r="UAG39" s="926"/>
      <c r="UAH39" s="926"/>
      <c r="UAI39" s="926"/>
      <c r="UAJ39" s="926"/>
      <c r="UAK39" s="926"/>
      <c r="UAL39" s="926"/>
      <c r="UAM39" s="926"/>
      <c r="UAN39" s="926"/>
      <c r="UAO39" s="926"/>
      <c r="UAP39" s="926"/>
      <c r="UAQ39" s="926"/>
      <c r="UAR39" s="926"/>
      <c r="UAS39" s="926"/>
      <c r="UAT39" s="926"/>
      <c r="UAU39" s="926"/>
      <c r="UAV39" s="926"/>
      <c r="UAW39" s="926"/>
      <c r="UAX39" s="926"/>
      <c r="UAY39" s="926"/>
      <c r="UAZ39" s="926"/>
      <c r="UBA39" s="926"/>
      <c r="UBB39" s="926"/>
      <c r="UBC39" s="926"/>
      <c r="UBD39" s="926"/>
      <c r="UBE39" s="926"/>
      <c r="UBF39" s="926"/>
      <c r="UBG39" s="926"/>
      <c r="UBH39" s="926"/>
      <c r="UBI39" s="926"/>
      <c r="UBJ39" s="926"/>
      <c r="UBK39" s="926"/>
      <c r="UBL39" s="926"/>
      <c r="UBM39" s="926"/>
      <c r="UBN39" s="926"/>
      <c r="UBO39" s="926"/>
      <c r="UBP39" s="926"/>
      <c r="UBQ39" s="926"/>
      <c r="UBR39" s="926"/>
      <c r="UBS39" s="926"/>
      <c r="UBT39" s="926"/>
      <c r="UBU39" s="926"/>
      <c r="UBV39" s="926"/>
      <c r="UBW39" s="926"/>
      <c r="UBX39" s="926"/>
      <c r="UBY39" s="926"/>
      <c r="UBZ39" s="926"/>
      <c r="UCA39" s="926"/>
      <c r="UCB39" s="926"/>
      <c r="UCC39" s="926"/>
      <c r="UCD39" s="926"/>
      <c r="UCE39" s="926"/>
      <c r="UCF39" s="926"/>
      <c r="UCG39" s="926"/>
      <c r="UCH39" s="926"/>
      <c r="UCI39" s="926"/>
      <c r="UCJ39" s="926"/>
      <c r="UCK39" s="926"/>
      <c r="UCL39" s="926"/>
      <c r="UCM39" s="926"/>
      <c r="UCN39" s="926"/>
      <c r="UCO39" s="926"/>
      <c r="UCP39" s="926"/>
      <c r="UCQ39" s="926"/>
      <c r="UCR39" s="926"/>
      <c r="UCS39" s="926"/>
      <c r="UCT39" s="926"/>
      <c r="UCU39" s="926"/>
      <c r="UCV39" s="926"/>
      <c r="UCW39" s="926"/>
      <c r="UCX39" s="926"/>
      <c r="UCY39" s="926"/>
      <c r="UCZ39" s="926"/>
      <c r="UDA39" s="926"/>
      <c r="UDB39" s="926"/>
      <c r="UDC39" s="926"/>
      <c r="UDD39" s="926"/>
      <c r="UDE39" s="926"/>
      <c r="UDF39" s="926"/>
      <c r="UDG39" s="926"/>
      <c r="UDH39" s="926"/>
      <c r="UDI39" s="926"/>
      <c r="UDJ39" s="926"/>
      <c r="UDK39" s="926"/>
      <c r="UDL39" s="926"/>
      <c r="UDM39" s="926"/>
      <c r="UDN39" s="926"/>
      <c r="UDO39" s="926"/>
      <c r="UDP39" s="926"/>
      <c r="UDQ39" s="926"/>
      <c r="UDR39" s="926"/>
      <c r="UDS39" s="926"/>
      <c r="UDT39" s="926"/>
      <c r="UDU39" s="926"/>
      <c r="UDV39" s="926"/>
      <c r="UDW39" s="926"/>
      <c r="UDX39" s="926"/>
      <c r="UDY39" s="926"/>
      <c r="UDZ39" s="926"/>
      <c r="UEA39" s="926"/>
      <c r="UEB39" s="926"/>
      <c r="UEC39" s="926"/>
      <c r="UED39" s="926"/>
      <c r="UEE39" s="926"/>
      <c r="UEF39" s="926"/>
      <c r="UEG39" s="926"/>
      <c r="UEH39" s="926"/>
      <c r="UEI39" s="926"/>
      <c r="UEJ39" s="926"/>
      <c r="UEK39" s="926"/>
      <c r="UEL39" s="926"/>
      <c r="UEM39" s="926"/>
      <c r="UEN39" s="926"/>
      <c r="UEO39" s="926"/>
      <c r="UEP39" s="926"/>
      <c r="UEQ39" s="926"/>
      <c r="UER39" s="926"/>
      <c r="UES39" s="926"/>
      <c r="UET39" s="926"/>
      <c r="UEU39" s="926"/>
      <c r="UEV39" s="926"/>
      <c r="UEW39" s="926"/>
      <c r="UEX39" s="926"/>
      <c r="UEY39" s="926"/>
      <c r="UEZ39" s="926"/>
      <c r="UFA39" s="926"/>
      <c r="UFB39" s="926"/>
      <c r="UFC39" s="926"/>
      <c r="UFD39" s="926"/>
      <c r="UFE39" s="926"/>
      <c r="UFF39" s="926"/>
      <c r="UFG39" s="926"/>
      <c r="UFH39" s="926"/>
      <c r="UFI39" s="926"/>
      <c r="UFJ39" s="926"/>
      <c r="UFK39" s="926"/>
      <c r="UFL39" s="926"/>
      <c r="UFM39" s="926"/>
      <c r="UFN39" s="926"/>
      <c r="UFO39" s="926"/>
      <c r="UFP39" s="926"/>
      <c r="UFQ39" s="926"/>
      <c r="UFR39" s="926"/>
      <c r="UFS39" s="926"/>
      <c r="UFT39" s="926"/>
      <c r="UFU39" s="926"/>
      <c r="UFV39" s="926"/>
      <c r="UFW39" s="926"/>
      <c r="UFX39" s="926"/>
      <c r="UFY39" s="926"/>
      <c r="UFZ39" s="926"/>
      <c r="UGA39" s="926"/>
      <c r="UGB39" s="926"/>
      <c r="UGC39" s="926"/>
      <c r="UGD39" s="926"/>
      <c r="UGE39" s="926"/>
      <c r="UGF39" s="926"/>
      <c r="UGG39" s="926"/>
      <c r="UGH39" s="926"/>
      <c r="UGI39" s="926"/>
      <c r="UGJ39" s="926"/>
      <c r="UGK39" s="926"/>
      <c r="UGL39" s="926"/>
      <c r="UGM39" s="926"/>
      <c r="UGN39" s="926"/>
      <c r="UGO39" s="926"/>
      <c r="UGP39" s="926"/>
      <c r="UGQ39" s="926"/>
      <c r="UGR39" s="926"/>
      <c r="UGS39" s="926"/>
      <c r="UGT39" s="926"/>
      <c r="UGU39" s="926"/>
      <c r="UGV39" s="926"/>
      <c r="UGW39" s="926"/>
      <c r="UGX39" s="926"/>
      <c r="UGY39" s="926"/>
      <c r="UGZ39" s="926"/>
      <c r="UHA39" s="926"/>
      <c r="UHB39" s="926"/>
      <c r="UHC39" s="926"/>
      <c r="UHD39" s="926"/>
      <c r="UHE39" s="926"/>
      <c r="UHF39" s="926"/>
      <c r="UHG39" s="926"/>
      <c r="UHH39" s="926"/>
      <c r="UHI39" s="926"/>
      <c r="UHJ39" s="926"/>
      <c r="UHK39" s="926"/>
      <c r="UHL39" s="926"/>
      <c r="UHM39" s="926"/>
      <c r="UHN39" s="926"/>
      <c r="UHO39" s="926"/>
      <c r="UHP39" s="926"/>
      <c r="UHQ39" s="926"/>
      <c r="UHR39" s="926"/>
      <c r="UHS39" s="926"/>
      <c r="UHT39" s="926"/>
      <c r="UHU39" s="926"/>
      <c r="UHV39" s="926"/>
      <c r="UHW39" s="926"/>
      <c r="UHX39" s="926"/>
      <c r="UHY39" s="926"/>
      <c r="UHZ39" s="926"/>
      <c r="UIA39" s="926"/>
      <c r="UIB39" s="926"/>
      <c r="UIC39" s="926"/>
      <c r="UID39" s="926"/>
      <c r="UIE39" s="926"/>
      <c r="UIF39" s="926"/>
      <c r="UIG39" s="926"/>
      <c r="UIH39" s="926"/>
      <c r="UII39" s="926"/>
      <c r="UIJ39" s="926"/>
      <c r="UIK39" s="926"/>
      <c r="UIL39" s="926"/>
      <c r="UIM39" s="926"/>
      <c r="UIN39" s="926"/>
      <c r="UIO39" s="926"/>
      <c r="UIP39" s="926"/>
      <c r="UIQ39" s="926"/>
      <c r="UIR39" s="926"/>
      <c r="UIS39" s="926"/>
      <c r="UIT39" s="926"/>
      <c r="UIU39" s="926"/>
      <c r="UIV39" s="926"/>
      <c r="UIW39" s="926"/>
      <c r="UIX39" s="926"/>
      <c r="UIY39" s="926"/>
      <c r="UIZ39" s="926"/>
      <c r="UJA39" s="926"/>
      <c r="UJB39" s="926"/>
      <c r="UJC39" s="926"/>
      <c r="UJD39" s="926"/>
      <c r="UJE39" s="926"/>
      <c r="UJF39" s="926"/>
      <c r="UJG39" s="926"/>
      <c r="UJH39" s="926"/>
      <c r="UJI39" s="926"/>
      <c r="UJJ39" s="926"/>
      <c r="UJK39" s="926"/>
      <c r="UJL39" s="926"/>
      <c r="UJM39" s="926"/>
      <c r="UJN39" s="926"/>
      <c r="UJO39" s="926"/>
      <c r="UJP39" s="926"/>
      <c r="UJQ39" s="926"/>
      <c r="UJR39" s="926"/>
      <c r="UJS39" s="926"/>
      <c r="UJT39" s="926"/>
      <c r="UJU39" s="926"/>
      <c r="UJV39" s="926"/>
      <c r="UJW39" s="926"/>
      <c r="UJX39" s="926"/>
      <c r="UJY39" s="926"/>
      <c r="UJZ39" s="926"/>
      <c r="UKA39" s="926"/>
      <c r="UKB39" s="926"/>
      <c r="UKC39" s="926"/>
      <c r="UKD39" s="926"/>
      <c r="UKE39" s="926"/>
      <c r="UKF39" s="926"/>
      <c r="UKG39" s="926"/>
      <c r="UKH39" s="926"/>
      <c r="UKI39" s="926"/>
      <c r="UKJ39" s="926"/>
      <c r="UKK39" s="926"/>
      <c r="UKL39" s="926"/>
      <c r="UKM39" s="926"/>
      <c r="UKN39" s="926"/>
      <c r="UKO39" s="926"/>
      <c r="UKP39" s="926"/>
      <c r="UKQ39" s="926"/>
      <c r="UKR39" s="926"/>
      <c r="UKS39" s="926"/>
      <c r="UKT39" s="926"/>
      <c r="UKU39" s="926"/>
      <c r="UKV39" s="926"/>
      <c r="UKW39" s="926"/>
      <c r="UKX39" s="926"/>
      <c r="UKY39" s="926"/>
      <c r="UKZ39" s="926"/>
      <c r="ULA39" s="926"/>
      <c r="ULB39" s="926"/>
      <c r="ULC39" s="926"/>
      <c r="ULD39" s="926"/>
      <c r="ULE39" s="926"/>
      <c r="ULF39" s="926"/>
      <c r="ULG39" s="926"/>
      <c r="ULH39" s="926"/>
      <c r="ULI39" s="926"/>
      <c r="ULJ39" s="926"/>
      <c r="ULK39" s="926"/>
      <c r="ULL39" s="926"/>
      <c r="ULM39" s="926"/>
      <c r="ULN39" s="926"/>
      <c r="ULO39" s="926"/>
      <c r="ULP39" s="926"/>
      <c r="ULQ39" s="926"/>
      <c r="ULR39" s="926"/>
      <c r="ULS39" s="926"/>
      <c r="ULT39" s="926"/>
      <c r="ULU39" s="926"/>
      <c r="ULV39" s="926"/>
      <c r="ULW39" s="926"/>
      <c r="ULX39" s="926"/>
      <c r="ULY39" s="926"/>
      <c r="ULZ39" s="926"/>
      <c r="UMA39" s="926"/>
      <c r="UMB39" s="926"/>
      <c r="UMC39" s="926"/>
      <c r="UMD39" s="926"/>
      <c r="UME39" s="926"/>
      <c r="UMF39" s="926"/>
      <c r="UMG39" s="926"/>
      <c r="UMH39" s="926"/>
      <c r="UMI39" s="926"/>
      <c r="UMJ39" s="926"/>
      <c r="UMK39" s="926"/>
      <c r="UML39" s="926"/>
      <c r="UMM39" s="926"/>
      <c r="UMN39" s="926"/>
      <c r="UMO39" s="926"/>
      <c r="UMP39" s="926"/>
      <c r="UMQ39" s="926"/>
      <c r="UMR39" s="926"/>
      <c r="UMS39" s="926"/>
      <c r="UMT39" s="926"/>
      <c r="UMU39" s="926"/>
      <c r="UMV39" s="926"/>
      <c r="UMW39" s="926"/>
      <c r="UMX39" s="926"/>
      <c r="UMY39" s="926"/>
      <c r="UMZ39" s="926"/>
      <c r="UNA39" s="926"/>
      <c r="UNB39" s="926"/>
      <c r="UNC39" s="926"/>
      <c r="UND39" s="926"/>
      <c r="UNE39" s="926"/>
      <c r="UNF39" s="926"/>
      <c r="UNG39" s="926"/>
      <c r="UNH39" s="926"/>
      <c r="UNI39" s="926"/>
      <c r="UNJ39" s="926"/>
      <c r="UNK39" s="926"/>
      <c r="UNL39" s="926"/>
      <c r="UNM39" s="926"/>
      <c r="UNN39" s="926"/>
      <c r="UNO39" s="926"/>
      <c r="UNP39" s="926"/>
      <c r="UNQ39" s="926"/>
      <c r="UNR39" s="926"/>
      <c r="UNS39" s="926"/>
      <c r="UNT39" s="926"/>
      <c r="UNU39" s="926"/>
      <c r="UNV39" s="926"/>
      <c r="UNW39" s="926"/>
      <c r="UNX39" s="926"/>
      <c r="UNY39" s="926"/>
      <c r="UNZ39" s="926"/>
      <c r="UOA39" s="926"/>
      <c r="UOB39" s="926"/>
      <c r="UOC39" s="926"/>
      <c r="UOD39" s="926"/>
      <c r="UOE39" s="926"/>
      <c r="UOF39" s="926"/>
      <c r="UOG39" s="926"/>
      <c r="UOH39" s="926"/>
      <c r="UOI39" s="926"/>
      <c r="UOJ39" s="926"/>
      <c r="UOK39" s="926"/>
      <c r="UOL39" s="926"/>
      <c r="UOM39" s="926"/>
      <c r="UON39" s="926"/>
      <c r="UOO39" s="926"/>
      <c r="UOP39" s="926"/>
      <c r="UOQ39" s="926"/>
      <c r="UOR39" s="926"/>
      <c r="UOS39" s="926"/>
      <c r="UOT39" s="926"/>
      <c r="UOU39" s="926"/>
      <c r="UOV39" s="926"/>
      <c r="UOW39" s="926"/>
      <c r="UOX39" s="926"/>
      <c r="UOY39" s="926"/>
      <c r="UOZ39" s="926"/>
      <c r="UPA39" s="926"/>
      <c r="UPB39" s="926"/>
      <c r="UPC39" s="926"/>
      <c r="UPD39" s="926"/>
      <c r="UPE39" s="926"/>
      <c r="UPF39" s="926"/>
      <c r="UPG39" s="926"/>
      <c r="UPH39" s="926"/>
      <c r="UPI39" s="926"/>
      <c r="UPJ39" s="926"/>
      <c r="UPK39" s="926"/>
      <c r="UPL39" s="926"/>
      <c r="UPM39" s="926"/>
      <c r="UPN39" s="926"/>
      <c r="UPO39" s="926"/>
      <c r="UPP39" s="926"/>
      <c r="UPQ39" s="926"/>
      <c r="UPR39" s="926"/>
      <c r="UPS39" s="926"/>
      <c r="UPT39" s="926"/>
      <c r="UPU39" s="926"/>
      <c r="UPV39" s="926"/>
      <c r="UPW39" s="926"/>
      <c r="UPX39" s="926"/>
      <c r="UPY39" s="926"/>
      <c r="UPZ39" s="926"/>
      <c r="UQA39" s="926"/>
      <c r="UQB39" s="926"/>
      <c r="UQC39" s="926"/>
      <c r="UQD39" s="926"/>
      <c r="UQE39" s="926"/>
      <c r="UQF39" s="926"/>
      <c r="UQG39" s="926"/>
      <c r="UQH39" s="926"/>
      <c r="UQI39" s="926"/>
      <c r="UQJ39" s="926"/>
      <c r="UQK39" s="926"/>
      <c r="UQL39" s="926"/>
      <c r="UQM39" s="926"/>
      <c r="UQN39" s="926"/>
      <c r="UQO39" s="926"/>
      <c r="UQP39" s="926"/>
      <c r="UQQ39" s="926"/>
      <c r="UQR39" s="926"/>
      <c r="UQS39" s="926"/>
      <c r="UQT39" s="926"/>
      <c r="UQU39" s="926"/>
      <c r="UQV39" s="926"/>
      <c r="UQW39" s="926"/>
      <c r="UQX39" s="926"/>
      <c r="UQY39" s="926"/>
      <c r="UQZ39" s="926"/>
      <c r="URA39" s="926"/>
      <c r="URB39" s="926"/>
      <c r="URC39" s="926"/>
      <c r="URD39" s="926"/>
      <c r="URE39" s="926"/>
      <c r="URF39" s="926"/>
      <c r="URG39" s="926"/>
      <c r="URH39" s="926"/>
      <c r="URI39" s="926"/>
      <c r="URJ39" s="926"/>
      <c r="URK39" s="926"/>
      <c r="URL39" s="926"/>
      <c r="URM39" s="926"/>
      <c r="URN39" s="926"/>
      <c r="URO39" s="926"/>
      <c r="URP39" s="926"/>
      <c r="URQ39" s="926"/>
      <c r="URR39" s="926"/>
      <c r="URS39" s="926"/>
      <c r="URT39" s="926"/>
      <c r="URU39" s="926"/>
      <c r="URV39" s="926"/>
      <c r="URW39" s="926"/>
      <c r="URX39" s="926"/>
      <c r="URY39" s="926"/>
      <c r="URZ39" s="926"/>
      <c r="USA39" s="926"/>
      <c r="USB39" s="926"/>
      <c r="USC39" s="926"/>
      <c r="USD39" s="926"/>
      <c r="USE39" s="926"/>
      <c r="USF39" s="926"/>
      <c r="USG39" s="926"/>
      <c r="USH39" s="926"/>
      <c r="USI39" s="926"/>
      <c r="USJ39" s="926"/>
      <c r="USK39" s="926"/>
      <c r="USL39" s="926"/>
      <c r="USM39" s="926"/>
      <c r="USN39" s="926"/>
      <c r="USO39" s="926"/>
      <c r="USP39" s="926"/>
      <c r="USQ39" s="926"/>
      <c r="USR39" s="926"/>
      <c r="USS39" s="926"/>
      <c r="UST39" s="926"/>
      <c r="USU39" s="926"/>
      <c r="USV39" s="926"/>
      <c r="USW39" s="926"/>
      <c r="USX39" s="926"/>
      <c r="USY39" s="926"/>
      <c r="USZ39" s="926"/>
      <c r="UTA39" s="926"/>
      <c r="UTB39" s="926"/>
      <c r="UTC39" s="926"/>
      <c r="UTD39" s="926"/>
      <c r="UTE39" s="926"/>
      <c r="UTF39" s="926"/>
      <c r="UTG39" s="926"/>
      <c r="UTH39" s="926"/>
      <c r="UTI39" s="926"/>
      <c r="UTJ39" s="926"/>
      <c r="UTK39" s="926"/>
      <c r="UTL39" s="926"/>
      <c r="UTM39" s="926"/>
      <c r="UTN39" s="926"/>
      <c r="UTO39" s="926"/>
      <c r="UTP39" s="926"/>
      <c r="UTQ39" s="926"/>
      <c r="UTR39" s="926"/>
      <c r="UTS39" s="926"/>
      <c r="UTT39" s="926"/>
      <c r="UTU39" s="926"/>
      <c r="UTV39" s="926"/>
      <c r="UTW39" s="926"/>
      <c r="UTX39" s="926"/>
      <c r="UTY39" s="926"/>
      <c r="UTZ39" s="926"/>
      <c r="UUA39" s="926"/>
      <c r="UUB39" s="926"/>
      <c r="UUC39" s="926"/>
      <c r="UUD39" s="926"/>
      <c r="UUE39" s="926"/>
      <c r="UUF39" s="926"/>
      <c r="UUG39" s="926"/>
      <c r="UUH39" s="926"/>
      <c r="UUI39" s="926"/>
      <c r="UUJ39" s="926"/>
      <c r="UUK39" s="926"/>
      <c r="UUL39" s="926"/>
      <c r="UUM39" s="926"/>
      <c r="UUN39" s="926"/>
      <c r="UUO39" s="926"/>
      <c r="UUP39" s="926"/>
      <c r="UUQ39" s="926"/>
      <c r="UUR39" s="926"/>
      <c r="UUS39" s="926"/>
      <c r="UUT39" s="926"/>
      <c r="UUU39" s="926"/>
      <c r="UUV39" s="926"/>
      <c r="UUW39" s="926"/>
      <c r="UUX39" s="926"/>
      <c r="UUY39" s="926"/>
      <c r="UUZ39" s="926"/>
      <c r="UVA39" s="926"/>
      <c r="UVB39" s="926"/>
      <c r="UVC39" s="926"/>
      <c r="UVD39" s="926"/>
      <c r="UVE39" s="926"/>
      <c r="UVF39" s="926"/>
      <c r="UVG39" s="926"/>
      <c r="UVH39" s="926"/>
      <c r="UVI39" s="926"/>
      <c r="UVJ39" s="926"/>
      <c r="UVK39" s="926"/>
      <c r="UVL39" s="926"/>
      <c r="UVM39" s="926"/>
      <c r="UVN39" s="926"/>
      <c r="UVO39" s="926"/>
      <c r="UVP39" s="926"/>
      <c r="UVQ39" s="926"/>
      <c r="UVR39" s="926"/>
      <c r="UVS39" s="926"/>
      <c r="UVT39" s="926"/>
      <c r="UVU39" s="926"/>
      <c r="UVV39" s="926"/>
      <c r="UVW39" s="926"/>
      <c r="UVX39" s="926"/>
      <c r="UVY39" s="926"/>
      <c r="UVZ39" s="926"/>
      <c r="UWA39" s="926"/>
      <c r="UWB39" s="926"/>
      <c r="UWC39" s="926"/>
      <c r="UWD39" s="926"/>
      <c r="UWE39" s="926"/>
      <c r="UWF39" s="926"/>
      <c r="UWG39" s="926"/>
      <c r="UWH39" s="926"/>
      <c r="UWI39" s="926"/>
      <c r="UWJ39" s="926"/>
      <c r="UWK39" s="926"/>
      <c r="UWL39" s="926"/>
      <c r="UWM39" s="926"/>
      <c r="UWN39" s="926"/>
      <c r="UWO39" s="926"/>
      <c r="UWP39" s="926"/>
      <c r="UWQ39" s="926"/>
      <c r="UWR39" s="926"/>
      <c r="UWS39" s="926"/>
      <c r="UWT39" s="926"/>
      <c r="UWU39" s="926"/>
      <c r="UWV39" s="926"/>
      <c r="UWW39" s="926"/>
      <c r="UWX39" s="926"/>
      <c r="UWY39" s="926"/>
      <c r="UWZ39" s="926"/>
      <c r="UXA39" s="926"/>
      <c r="UXB39" s="926"/>
      <c r="UXC39" s="926"/>
      <c r="UXD39" s="926"/>
      <c r="UXE39" s="926"/>
      <c r="UXF39" s="926"/>
      <c r="UXG39" s="926"/>
      <c r="UXH39" s="926"/>
      <c r="UXI39" s="926"/>
      <c r="UXJ39" s="926"/>
      <c r="UXK39" s="926"/>
      <c r="UXL39" s="926"/>
      <c r="UXM39" s="926"/>
      <c r="UXN39" s="926"/>
      <c r="UXO39" s="926"/>
      <c r="UXP39" s="926"/>
      <c r="UXQ39" s="926"/>
      <c r="UXR39" s="926"/>
      <c r="UXS39" s="926"/>
      <c r="UXT39" s="926"/>
      <c r="UXU39" s="926"/>
      <c r="UXV39" s="926"/>
      <c r="UXW39" s="926"/>
      <c r="UXX39" s="926"/>
      <c r="UXY39" s="926"/>
      <c r="UXZ39" s="926"/>
      <c r="UYA39" s="926"/>
      <c r="UYB39" s="926"/>
      <c r="UYC39" s="926"/>
      <c r="UYD39" s="926"/>
      <c r="UYE39" s="926"/>
      <c r="UYF39" s="926"/>
      <c r="UYG39" s="926"/>
      <c r="UYH39" s="926"/>
      <c r="UYI39" s="926"/>
      <c r="UYJ39" s="926"/>
      <c r="UYK39" s="926"/>
      <c r="UYL39" s="926"/>
      <c r="UYM39" s="926"/>
      <c r="UYN39" s="926"/>
      <c r="UYO39" s="926"/>
      <c r="UYP39" s="926"/>
      <c r="UYQ39" s="926"/>
      <c r="UYR39" s="926"/>
      <c r="UYS39" s="926"/>
      <c r="UYT39" s="926"/>
      <c r="UYU39" s="926"/>
      <c r="UYV39" s="926"/>
      <c r="UYW39" s="926"/>
      <c r="UYX39" s="926"/>
      <c r="UYY39" s="926"/>
      <c r="UYZ39" s="926"/>
      <c r="UZA39" s="926"/>
      <c r="UZB39" s="926"/>
      <c r="UZC39" s="926"/>
      <c r="UZD39" s="926"/>
      <c r="UZE39" s="926"/>
      <c r="UZF39" s="926"/>
      <c r="UZG39" s="926"/>
      <c r="UZH39" s="926"/>
      <c r="UZI39" s="926"/>
      <c r="UZJ39" s="926"/>
      <c r="UZK39" s="926"/>
      <c r="UZL39" s="926"/>
      <c r="UZM39" s="926"/>
      <c r="UZN39" s="926"/>
      <c r="UZO39" s="926"/>
      <c r="UZP39" s="926"/>
      <c r="UZQ39" s="926"/>
      <c r="UZR39" s="926"/>
      <c r="UZS39" s="926"/>
      <c r="UZT39" s="926"/>
      <c r="UZU39" s="926"/>
      <c r="UZV39" s="926"/>
      <c r="UZW39" s="926"/>
      <c r="UZX39" s="926"/>
      <c r="UZY39" s="926"/>
      <c r="UZZ39" s="926"/>
      <c r="VAA39" s="926"/>
      <c r="VAB39" s="926"/>
      <c r="VAC39" s="926"/>
      <c r="VAD39" s="926"/>
      <c r="VAE39" s="926"/>
      <c r="VAF39" s="926"/>
      <c r="VAG39" s="926"/>
      <c r="VAH39" s="926"/>
      <c r="VAI39" s="926"/>
      <c r="VAJ39" s="926"/>
      <c r="VAK39" s="926"/>
      <c r="VAL39" s="926"/>
      <c r="VAM39" s="926"/>
      <c r="VAN39" s="926"/>
      <c r="VAO39" s="926"/>
      <c r="VAP39" s="926"/>
      <c r="VAQ39" s="926"/>
      <c r="VAR39" s="926"/>
      <c r="VAS39" s="926"/>
      <c r="VAT39" s="926"/>
      <c r="VAU39" s="926"/>
      <c r="VAV39" s="926"/>
      <c r="VAW39" s="926"/>
      <c r="VAX39" s="926"/>
      <c r="VAY39" s="926"/>
      <c r="VAZ39" s="926"/>
      <c r="VBA39" s="926"/>
      <c r="VBB39" s="926"/>
      <c r="VBC39" s="926"/>
      <c r="VBD39" s="926"/>
      <c r="VBE39" s="926"/>
      <c r="VBF39" s="926"/>
      <c r="VBG39" s="926"/>
      <c r="VBH39" s="926"/>
      <c r="VBI39" s="926"/>
      <c r="VBJ39" s="926"/>
      <c r="VBK39" s="926"/>
      <c r="VBL39" s="926"/>
      <c r="VBM39" s="926"/>
      <c r="VBN39" s="926"/>
      <c r="VBO39" s="926"/>
      <c r="VBP39" s="926"/>
      <c r="VBQ39" s="926"/>
      <c r="VBR39" s="926"/>
      <c r="VBS39" s="926"/>
      <c r="VBT39" s="926"/>
      <c r="VBU39" s="926"/>
      <c r="VBV39" s="926"/>
      <c r="VBW39" s="926"/>
      <c r="VBX39" s="926"/>
      <c r="VBY39" s="926"/>
      <c r="VBZ39" s="926"/>
      <c r="VCA39" s="926"/>
      <c r="VCB39" s="926"/>
      <c r="VCC39" s="926"/>
      <c r="VCD39" s="926"/>
      <c r="VCE39" s="926"/>
      <c r="VCF39" s="926"/>
      <c r="VCG39" s="926"/>
      <c r="VCH39" s="926"/>
      <c r="VCI39" s="926"/>
      <c r="VCJ39" s="926"/>
      <c r="VCK39" s="926"/>
      <c r="VCL39" s="926"/>
      <c r="VCM39" s="926"/>
      <c r="VCN39" s="926"/>
      <c r="VCO39" s="926"/>
      <c r="VCP39" s="926"/>
      <c r="VCQ39" s="926"/>
      <c r="VCR39" s="926"/>
      <c r="VCS39" s="926"/>
      <c r="VCT39" s="926"/>
      <c r="VCU39" s="926"/>
      <c r="VCV39" s="926"/>
      <c r="VCW39" s="926"/>
      <c r="VCX39" s="926"/>
      <c r="VCY39" s="926"/>
      <c r="VCZ39" s="926"/>
      <c r="VDA39" s="926"/>
      <c r="VDB39" s="926"/>
      <c r="VDC39" s="926"/>
      <c r="VDD39" s="926"/>
      <c r="VDE39" s="926"/>
      <c r="VDF39" s="926"/>
      <c r="VDG39" s="926"/>
      <c r="VDH39" s="926"/>
      <c r="VDI39" s="926"/>
      <c r="VDJ39" s="926"/>
      <c r="VDK39" s="926"/>
      <c r="VDL39" s="926"/>
      <c r="VDM39" s="926"/>
      <c r="VDN39" s="926"/>
      <c r="VDO39" s="926"/>
      <c r="VDP39" s="926"/>
      <c r="VDQ39" s="926"/>
      <c r="VDR39" s="926"/>
      <c r="VDS39" s="926"/>
      <c r="VDT39" s="926"/>
      <c r="VDU39" s="926"/>
      <c r="VDV39" s="926"/>
      <c r="VDW39" s="926"/>
      <c r="VDX39" s="926"/>
      <c r="VDY39" s="926"/>
      <c r="VDZ39" s="926"/>
      <c r="VEA39" s="926"/>
      <c r="VEB39" s="926"/>
      <c r="VEC39" s="926"/>
      <c r="VED39" s="926"/>
      <c r="VEE39" s="926"/>
      <c r="VEF39" s="926"/>
      <c r="VEG39" s="926"/>
      <c r="VEH39" s="926"/>
      <c r="VEI39" s="926"/>
      <c r="VEJ39" s="926"/>
      <c r="VEK39" s="926"/>
      <c r="VEL39" s="926"/>
      <c r="VEM39" s="926"/>
      <c r="VEN39" s="926"/>
      <c r="VEO39" s="926"/>
      <c r="VEP39" s="926"/>
      <c r="VEQ39" s="926"/>
      <c r="VER39" s="926"/>
      <c r="VES39" s="926"/>
      <c r="VET39" s="926"/>
      <c r="VEU39" s="926"/>
      <c r="VEV39" s="926"/>
      <c r="VEW39" s="926"/>
      <c r="VEX39" s="926"/>
      <c r="VEY39" s="926"/>
      <c r="VEZ39" s="926"/>
      <c r="VFA39" s="926"/>
      <c r="VFB39" s="926"/>
      <c r="VFC39" s="926"/>
      <c r="VFD39" s="926"/>
      <c r="VFE39" s="926"/>
      <c r="VFF39" s="926"/>
      <c r="VFG39" s="926"/>
      <c r="VFH39" s="926"/>
      <c r="VFI39" s="926"/>
      <c r="VFJ39" s="926"/>
      <c r="VFK39" s="926"/>
      <c r="VFL39" s="926"/>
      <c r="VFM39" s="926"/>
      <c r="VFN39" s="926"/>
      <c r="VFO39" s="926"/>
      <c r="VFP39" s="926"/>
      <c r="VFQ39" s="926"/>
      <c r="VFR39" s="926"/>
      <c r="VFS39" s="926"/>
      <c r="VFT39" s="926"/>
      <c r="VFU39" s="926"/>
      <c r="VFV39" s="926"/>
      <c r="VFW39" s="926"/>
      <c r="VFX39" s="926"/>
      <c r="VFY39" s="926"/>
      <c r="VFZ39" s="926"/>
      <c r="VGA39" s="926"/>
      <c r="VGB39" s="926"/>
      <c r="VGC39" s="926"/>
      <c r="VGD39" s="926"/>
      <c r="VGE39" s="926"/>
      <c r="VGF39" s="926"/>
      <c r="VGG39" s="926"/>
      <c r="VGH39" s="926"/>
      <c r="VGI39" s="926"/>
      <c r="VGJ39" s="926"/>
      <c r="VGK39" s="926"/>
      <c r="VGL39" s="926"/>
      <c r="VGM39" s="926"/>
      <c r="VGN39" s="926"/>
      <c r="VGO39" s="926"/>
      <c r="VGP39" s="926"/>
      <c r="VGQ39" s="926"/>
      <c r="VGR39" s="926"/>
      <c r="VGS39" s="926"/>
      <c r="VGT39" s="926"/>
      <c r="VGU39" s="926"/>
      <c r="VGV39" s="926"/>
      <c r="VGW39" s="926"/>
      <c r="VGX39" s="926"/>
      <c r="VGY39" s="926"/>
      <c r="VGZ39" s="926"/>
      <c r="VHA39" s="926"/>
      <c r="VHB39" s="926"/>
      <c r="VHC39" s="926"/>
      <c r="VHD39" s="926"/>
      <c r="VHE39" s="926"/>
      <c r="VHF39" s="926"/>
      <c r="VHG39" s="926"/>
      <c r="VHH39" s="926"/>
      <c r="VHI39" s="926"/>
      <c r="VHJ39" s="926"/>
      <c r="VHK39" s="926"/>
      <c r="VHL39" s="926"/>
      <c r="VHM39" s="926"/>
      <c r="VHN39" s="926"/>
      <c r="VHO39" s="926"/>
      <c r="VHP39" s="926"/>
      <c r="VHQ39" s="926"/>
      <c r="VHR39" s="926"/>
      <c r="VHS39" s="926"/>
      <c r="VHT39" s="926"/>
      <c r="VHU39" s="926"/>
      <c r="VHV39" s="926"/>
      <c r="VHW39" s="926"/>
      <c r="VHX39" s="926"/>
      <c r="VHY39" s="926"/>
      <c r="VHZ39" s="926"/>
      <c r="VIA39" s="926"/>
      <c r="VIB39" s="926"/>
      <c r="VIC39" s="926"/>
      <c r="VID39" s="926"/>
      <c r="VIE39" s="926"/>
      <c r="VIF39" s="926"/>
      <c r="VIG39" s="926"/>
      <c r="VIH39" s="926"/>
      <c r="VII39" s="926"/>
      <c r="VIJ39" s="926"/>
      <c r="VIK39" s="926"/>
      <c r="VIL39" s="926"/>
      <c r="VIM39" s="926"/>
      <c r="VIN39" s="926"/>
      <c r="VIO39" s="926"/>
      <c r="VIP39" s="926"/>
      <c r="VIQ39" s="926"/>
      <c r="VIR39" s="926"/>
      <c r="VIS39" s="926"/>
      <c r="VIT39" s="926"/>
      <c r="VIU39" s="926"/>
      <c r="VIV39" s="926"/>
      <c r="VIW39" s="926"/>
      <c r="VIX39" s="926"/>
      <c r="VIY39" s="926"/>
      <c r="VIZ39" s="926"/>
      <c r="VJA39" s="926"/>
      <c r="VJB39" s="926"/>
      <c r="VJC39" s="926"/>
      <c r="VJD39" s="926"/>
      <c r="VJE39" s="926"/>
      <c r="VJF39" s="926"/>
      <c r="VJG39" s="926"/>
      <c r="VJH39" s="926"/>
      <c r="VJI39" s="926"/>
      <c r="VJJ39" s="926"/>
      <c r="VJK39" s="926"/>
      <c r="VJL39" s="926"/>
      <c r="VJM39" s="926"/>
      <c r="VJN39" s="926"/>
      <c r="VJO39" s="926"/>
      <c r="VJP39" s="926"/>
      <c r="VJQ39" s="926"/>
      <c r="VJR39" s="926"/>
      <c r="VJS39" s="926"/>
      <c r="VJT39" s="926"/>
      <c r="VJU39" s="926"/>
      <c r="VJV39" s="926"/>
      <c r="VJW39" s="926"/>
      <c r="VJX39" s="926"/>
      <c r="VJY39" s="926"/>
      <c r="VJZ39" s="926"/>
      <c r="VKA39" s="926"/>
      <c r="VKB39" s="926"/>
      <c r="VKC39" s="926"/>
      <c r="VKD39" s="926"/>
      <c r="VKE39" s="926"/>
      <c r="VKF39" s="926"/>
      <c r="VKG39" s="926"/>
      <c r="VKH39" s="926"/>
      <c r="VKI39" s="926"/>
      <c r="VKJ39" s="926"/>
      <c r="VKK39" s="926"/>
      <c r="VKL39" s="926"/>
      <c r="VKM39" s="926"/>
      <c r="VKN39" s="926"/>
      <c r="VKO39" s="926"/>
      <c r="VKP39" s="926"/>
      <c r="VKQ39" s="926"/>
      <c r="VKR39" s="926"/>
      <c r="VKS39" s="926"/>
      <c r="VKT39" s="926"/>
      <c r="VKU39" s="926"/>
      <c r="VKV39" s="926"/>
      <c r="VKW39" s="926"/>
      <c r="VKX39" s="926"/>
      <c r="VKY39" s="926"/>
      <c r="VKZ39" s="926"/>
      <c r="VLA39" s="926"/>
      <c r="VLB39" s="926"/>
      <c r="VLC39" s="926"/>
      <c r="VLD39" s="926"/>
      <c r="VLE39" s="926"/>
      <c r="VLF39" s="926"/>
      <c r="VLG39" s="926"/>
      <c r="VLH39" s="926"/>
      <c r="VLI39" s="926"/>
      <c r="VLJ39" s="926"/>
      <c r="VLK39" s="926"/>
      <c r="VLL39" s="926"/>
      <c r="VLM39" s="926"/>
      <c r="VLN39" s="926"/>
      <c r="VLO39" s="926"/>
      <c r="VLP39" s="926"/>
      <c r="VLQ39" s="926"/>
      <c r="VLR39" s="926"/>
      <c r="VLS39" s="926"/>
      <c r="VLT39" s="926"/>
      <c r="VLU39" s="926"/>
      <c r="VLV39" s="926"/>
      <c r="VLW39" s="926"/>
      <c r="VLX39" s="926"/>
      <c r="VLY39" s="926"/>
      <c r="VLZ39" s="926"/>
      <c r="VMA39" s="926"/>
      <c r="VMB39" s="926"/>
      <c r="VMC39" s="926"/>
      <c r="VMD39" s="926"/>
      <c r="VME39" s="926"/>
      <c r="VMF39" s="926"/>
      <c r="VMG39" s="926"/>
      <c r="VMH39" s="926"/>
      <c r="VMI39" s="926"/>
      <c r="VMJ39" s="926"/>
      <c r="VMK39" s="926"/>
      <c r="VML39" s="926"/>
      <c r="VMM39" s="926"/>
      <c r="VMN39" s="926"/>
      <c r="VMO39" s="926"/>
      <c r="VMP39" s="926"/>
      <c r="VMQ39" s="926"/>
      <c r="VMR39" s="926"/>
      <c r="VMS39" s="926"/>
      <c r="VMT39" s="926"/>
      <c r="VMU39" s="926"/>
      <c r="VMV39" s="926"/>
      <c r="VMW39" s="926"/>
      <c r="VMX39" s="926"/>
      <c r="VMY39" s="926"/>
      <c r="VMZ39" s="926"/>
      <c r="VNA39" s="926"/>
      <c r="VNB39" s="926"/>
      <c r="VNC39" s="926"/>
      <c r="VND39" s="926"/>
      <c r="VNE39" s="926"/>
      <c r="VNF39" s="926"/>
      <c r="VNG39" s="926"/>
      <c r="VNH39" s="926"/>
      <c r="VNI39" s="926"/>
      <c r="VNJ39" s="926"/>
      <c r="VNK39" s="926"/>
      <c r="VNL39" s="926"/>
      <c r="VNM39" s="926"/>
      <c r="VNN39" s="926"/>
      <c r="VNO39" s="926"/>
      <c r="VNP39" s="926"/>
      <c r="VNQ39" s="926"/>
      <c r="VNR39" s="926"/>
      <c r="VNS39" s="926"/>
      <c r="VNT39" s="926"/>
      <c r="VNU39" s="926"/>
      <c r="VNV39" s="926"/>
      <c r="VNW39" s="926"/>
      <c r="VNX39" s="926"/>
      <c r="VNY39" s="926"/>
      <c r="VNZ39" s="926"/>
      <c r="VOA39" s="926"/>
      <c r="VOB39" s="926"/>
      <c r="VOC39" s="926"/>
      <c r="VOD39" s="926"/>
      <c r="VOE39" s="926"/>
      <c r="VOF39" s="926"/>
      <c r="VOG39" s="926"/>
      <c r="VOH39" s="926"/>
      <c r="VOI39" s="926"/>
      <c r="VOJ39" s="926"/>
      <c r="VOK39" s="926"/>
      <c r="VOL39" s="926"/>
      <c r="VOM39" s="926"/>
      <c r="VON39" s="926"/>
      <c r="VOO39" s="926"/>
      <c r="VOP39" s="926"/>
      <c r="VOQ39" s="926"/>
      <c r="VOR39" s="926"/>
      <c r="VOS39" s="926"/>
      <c r="VOT39" s="926"/>
      <c r="VOU39" s="926"/>
      <c r="VOV39" s="926"/>
      <c r="VOW39" s="926"/>
      <c r="VOX39" s="926"/>
      <c r="VOY39" s="926"/>
      <c r="VOZ39" s="926"/>
      <c r="VPA39" s="926"/>
      <c r="VPB39" s="926"/>
      <c r="VPC39" s="926"/>
      <c r="VPD39" s="926"/>
      <c r="VPE39" s="926"/>
      <c r="VPF39" s="926"/>
      <c r="VPG39" s="926"/>
      <c r="VPH39" s="926"/>
      <c r="VPI39" s="926"/>
      <c r="VPJ39" s="926"/>
      <c r="VPK39" s="926"/>
      <c r="VPL39" s="926"/>
      <c r="VPM39" s="926"/>
      <c r="VPN39" s="926"/>
      <c r="VPO39" s="926"/>
      <c r="VPP39" s="926"/>
      <c r="VPQ39" s="926"/>
      <c r="VPR39" s="926"/>
      <c r="VPS39" s="926"/>
      <c r="VPT39" s="926"/>
      <c r="VPU39" s="926"/>
      <c r="VPV39" s="926"/>
      <c r="VPW39" s="926"/>
      <c r="VPX39" s="926"/>
      <c r="VPY39" s="926"/>
      <c r="VPZ39" s="926"/>
      <c r="VQA39" s="926"/>
      <c r="VQB39" s="926"/>
      <c r="VQC39" s="926"/>
      <c r="VQD39" s="926"/>
      <c r="VQE39" s="926"/>
      <c r="VQF39" s="926"/>
      <c r="VQG39" s="926"/>
      <c r="VQH39" s="926"/>
      <c r="VQI39" s="926"/>
      <c r="VQJ39" s="926"/>
      <c r="VQK39" s="926"/>
      <c r="VQL39" s="926"/>
      <c r="VQM39" s="926"/>
      <c r="VQN39" s="926"/>
      <c r="VQO39" s="926"/>
      <c r="VQP39" s="926"/>
      <c r="VQQ39" s="926"/>
      <c r="VQR39" s="926"/>
      <c r="VQS39" s="926"/>
      <c r="VQT39" s="926"/>
      <c r="VQU39" s="926"/>
      <c r="VQV39" s="926"/>
      <c r="VQW39" s="926"/>
      <c r="VQX39" s="926"/>
      <c r="VQY39" s="926"/>
      <c r="VQZ39" s="926"/>
      <c r="VRA39" s="926"/>
      <c r="VRB39" s="926"/>
      <c r="VRC39" s="926"/>
      <c r="VRD39" s="926"/>
      <c r="VRE39" s="926"/>
      <c r="VRF39" s="926"/>
      <c r="VRG39" s="926"/>
      <c r="VRH39" s="926"/>
      <c r="VRI39" s="926"/>
      <c r="VRJ39" s="926"/>
      <c r="VRK39" s="926"/>
      <c r="VRL39" s="926"/>
      <c r="VRM39" s="926"/>
      <c r="VRN39" s="926"/>
      <c r="VRO39" s="926"/>
      <c r="VRP39" s="926"/>
      <c r="VRQ39" s="926"/>
      <c r="VRR39" s="926"/>
      <c r="VRS39" s="926"/>
      <c r="VRT39" s="926"/>
      <c r="VRU39" s="926"/>
      <c r="VRV39" s="926"/>
      <c r="VRW39" s="926"/>
      <c r="VRX39" s="926"/>
      <c r="VRY39" s="926"/>
      <c r="VRZ39" s="926"/>
      <c r="VSA39" s="926"/>
      <c r="VSB39" s="926"/>
      <c r="VSC39" s="926"/>
      <c r="VSD39" s="926"/>
      <c r="VSE39" s="926"/>
      <c r="VSF39" s="926"/>
      <c r="VSG39" s="926"/>
      <c r="VSH39" s="926"/>
      <c r="VSI39" s="926"/>
      <c r="VSJ39" s="926"/>
      <c r="VSK39" s="926"/>
      <c r="VSL39" s="926"/>
      <c r="VSM39" s="926"/>
      <c r="VSN39" s="926"/>
      <c r="VSO39" s="926"/>
      <c r="VSP39" s="926"/>
      <c r="VSQ39" s="926"/>
      <c r="VSR39" s="926"/>
      <c r="VSS39" s="926"/>
      <c r="VST39" s="926"/>
      <c r="VSU39" s="926"/>
      <c r="VSV39" s="926"/>
      <c r="VSW39" s="926"/>
      <c r="VSX39" s="926"/>
      <c r="VSY39" s="926"/>
      <c r="VSZ39" s="926"/>
      <c r="VTA39" s="926"/>
      <c r="VTB39" s="926"/>
      <c r="VTC39" s="926"/>
      <c r="VTD39" s="926"/>
      <c r="VTE39" s="926"/>
      <c r="VTF39" s="926"/>
      <c r="VTG39" s="926"/>
      <c r="VTH39" s="926"/>
      <c r="VTI39" s="926"/>
      <c r="VTJ39" s="926"/>
      <c r="VTK39" s="926"/>
      <c r="VTL39" s="926"/>
      <c r="VTM39" s="926"/>
      <c r="VTN39" s="926"/>
      <c r="VTO39" s="926"/>
      <c r="VTP39" s="926"/>
      <c r="VTQ39" s="926"/>
      <c r="VTR39" s="926"/>
      <c r="VTS39" s="926"/>
      <c r="VTT39" s="926"/>
      <c r="VTU39" s="926"/>
      <c r="VTV39" s="926"/>
      <c r="VTW39" s="926"/>
      <c r="VTX39" s="926"/>
      <c r="VTY39" s="926"/>
      <c r="VTZ39" s="926"/>
      <c r="VUA39" s="926"/>
      <c r="VUB39" s="926"/>
      <c r="VUC39" s="926"/>
      <c r="VUD39" s="926"/>
      <c r="VUE39" s="926"/>
      <c r="VUF39" s="926"/>
      <c r="VUG39" s="926"/>
      <c r="VUH39" s="926"/>
      <c r="VUI39" s="926"/>
      <c r="VUJ39" s="926"/>
      <c r="VUK39" s="926"/>
      <c r="VUL39" s="926"/>
      <c r="VUM39" s="926"/>
      <c r="VUN39" s="926"/>
      <c r="VUO39" s="926"/>
      <c r="VUP39" s="926"/>
      <c r="VUQ39" s="926"/>
      <c r="VUR39" s="926"/>
      <c r="VUS39" s="926"/>
      <c r="VUT39" s="926"/>
      <c r="VUU39" s="926"/>
      <c r="VUV39" s="926"/>
      <c r="VUW39" s="926"/>
      <c r="VUX39" s="926"/>
      <c r="VUY39" s="926"/>
      <c r="VUZ39" s="926"/>
      <c r="VVA39" s="926"/>
      <c r="VVB39" s="926"/>
      <c r="VVC39" s="926"/>
      <c r="VVD39" s="926"/>
      <c r="VVE39" s="926"/>
      <c r="VVF39" s="926"/>
      <c r="VVG39" s="926"/>
      <c r="VVH39" s="926"/>
      <c r="VVI39" s="926"/>
      <c r="VVJ39" s="926"/>
      <c r="VVK39" s="926"/>
      <c r="VVL39" s="926"/>
      <c r="VVM39" s="926"/>
      <c r="VVN39" s="926"/>
      <c r="VVO39" s="926"/>
      <c r="VVP39" s="926"/>
      <c r="VVQ39" s="926"/>
      <c r="VVR39" s="926"/>
      <c r="VVS39" s="926"/>
      <c r="VVT39" s="926"/>
      <c r="VVU39" s="926"/>
      <c r="VVV39" s="926"/>
      <c r="VVW39" s="926"/>
      <c r="VVX39" s="926"/>
      <c r="VVY39" s="926"/>
      <c r="VVZ39" s="926"/>
      <c r="VWA39" s="926"/>
      <c r="VWB39" s="926"/>
      <c r="VWC39" s="926"/>
      <c r="VWD39" s="926"/>
      <c r="VWE39" s="926"/>
      <c r="VWF39" s="926"/>
      <c r="VWG39" s="926"/>
      <c r="VWH39" s="926"/>
      <c r="VWI39" s="926"/>
      <c r="VWJ39" s="926"/>
      <c r="VWK39" s="926"/>
      <c r="VWL39" s="926"/>
      <c r="VWM39" s="926"/>
      <c r="VWN39" s="926"/>
      <c r="VWO39" s="926"/>
      <c r="VWP39" s="926"/>
      <c r="VWQ39" s="926"/>
      <c r="VWR39" s="926"/>
      <c r="VWS39" s="926"/>
      <c r="VWT39" s="926"/>
      <c r="VWU39" s="926"/>
      <c r="VWV39" s="926"/>
      <c r="VWW39" s="926"/>
      <c r="VWX39" s="926"/>
      <c r="VWY39" s="926"/>
      <c r="VWZ39" s="926"/>
      <c r="VXA39" s="926"/>
      <c r="VXB39" s="926"/>
      <c r="VXC39" s="926"/>
      <c r="VXD39" s="926"/>
      <c r="VXE39" s="926"/>
      <c r="VXF39" s="926"/>
      <c r="VXG39" s="926"/>
      <c r="VXH39" s="926"/>
      <c r="VXI39" s="926"/>
      <c r="VXJ39" s="926"/>
      <c r="VXK39" s="926"/>
      <c r="VXL39" s="926"/>
      <c r="VXM39" s="926"/>
      <c r="VXN39" s="926"/>
      <c r="VXO39" s="926"/>
      <c r="VXP39" s="926"/>
      <c r="VXQ39" s="926"/>
      <c r="VXR39" s="926"/>
      <c r="VXS39" s="926"/>
      <c r="VXT39" s="926"/>
      <c r="VXU39" s="926"/>
      <c r="VXV39" s="926"/>
      <c r="VXW39" s="926"/>
      <c r="VXX39" s="926"/>
      <c r="VXY39" s="926"/>
      <c r="VXZ39" s="926"/>
      <c r="VYA39" s="926"/>
      <c r="VYB39" s="926"/>
      <c r="VYC39" s="926"/>
      <c r="VYD39" s="926"/>
      <c r="VYE39" s="926"/>
      <c r="VYF39" s="926"/>
      <c r="VYG39" s="926"/>
      <c r="VYH39" s="926"/>
      <c r="VYI39" s="926"/>
      <c r="VYJ39" s="926"/>
      <c r="VYK39" s="926"/>
      <c r="VYL39" s="926"/>
      <c r="VYM39" s="926"/>
      <c r="VYN39" s="926"/>
      <c r="VYO39" s="926"/>
      <c r="VYP39" s="926"/>
      <c r="VYQ39" s="926"/>
      <c r="VYR39" s="926"/>
      <c r="VYS39" s="926"/>
      <c r="VYT39" s="926"/>
      <c r="VYU39" s="926"/>
      <c r="VYV39" s="926"/>
      <c r="VYW39" s="926"/>
      <c r="VYX39" s="926"/>
      <c r="VYY39" s="926"/>
      <c r="VYZ39" s="926"/>
      <c r="VZA39" s="926"/>
      <c r="VZB39" s="926"/>
      <c r="VZC39" s="926"/>
      <c r="VZD39" s="926"/>
      <c r="VZE39" s="926"/>
      <c r="VZF39" s="926"/>
      <c r="VZG39" s="926"/>
      <c r="VZH39" s="926"/>
      <c r="VZI39" s="926"/>
      <c r="VZJ39" s="926"/>
      <c r="VZK39" s="926"/>
      <c r="VZL39" s="926"/>
      <c r="VZM39" s="926"/>
      <c r="VZN39" s="926"/>
      <c r="VZO39" s="926"/>
      <c r="VZP39" s="926"/>
      <c r="VZQ39" s="926"/>
      <c r="VZR39" s="926"/>
      <c r="VZS39" s="926"/>
      <c r="VZT39" s="926"/>
      <c r="VZU39" s="926"/>
      <c r="VZV39" s="926"/>
      <c r="VZW39" s="926"/>
      <c r="VZX39" s="926"/>
      <c r="VZY39" s="926"/>
      <c r="VZZ39" s="926"/>
      <c r="WAA39" s="926"/>
      <c r="WAB39" s="926"/>
      <c r="WAC39" s="926"/>
      <c r="WAD39" s="926"/>
      <c r="WAE39" s="926"/>
      <c r="WAF39" s="926"/>
      <c r="WAG39" s="926"/>
      <c r="WAH39" s="926"/>
      <c r="WAI39" s="926"/>
      <c r="WAJ39" s="926"/>
      <c r="WAK39" s="926"/>
      <c r="WAL39" s="926"/>
      <c r="WAM39" s="926"/>
      <c r="WAN39" s="926"/>
      <c r="WAO39" s="926"/>
      <c r="WAP39" s="926"/>
      <c r="WAQ39" s="926"/>
      <c r="WAR39" s="926"/>
      <c r="WAS39" s="926"/>
      <c r="WAT39" s="926"/>
      <c r="WAU39" s="926"/>
      <c r="WAV39" s="926"/>
      <c r="WAW39" s="926"/>
      <c r="WAX39" s="926"/>
      <c r="WAY39" s="926"/>
      <c r="WAZ39" s="926"/>
      <c r="WBA39" s="926"/>
      <c r="WBB39" s="926"/>
      <c r="WBC39" s="926"/>
      <c r="WBD39" s="926"/>
      <c r="WBE39" s="926"/>
      <c r="WBF39" s="926"/>
      <c r="WBG39" s="926"/>
      <c r="WBH39" s="926"/>
      <c r="WBI39" s="926"/>
      <c r="WBJ39" s="926"/>
      <c r="WBK39" s="926"/>
      <c r="WBL39" s="926"/>
      <c r="WBM39" s="926"/>
      <c r="WBN39" s="926"/>
      <c r="WBO39" s="926"/>
      <c r="WBP39" s="926"/>
      <c r="WBQ39" s="926"/>
      <c r="WBR39" s="926"/>
      <c r="WBS39" s="926"/>
      <c r="WBT39" s="926"/>
      <c r="WBU39" s="926"/>
      <c r="WBV39" s="926"/>
      <c r="WBW39" s="926"/>
      <c r="WBX39" s="926"/>
      <c r="WBY39" s="926"/>
      <c r="WBZ39" s="926"/>
      <c r="WCA39" s="926"/>
      <c r="WCB39" s="926"/>
      <c r="WCC39" s="926"/>
      <c r="WCD39" s="926"/>
      <c r="WCE39" s="926"/>
      <c r="WCF39" s="926"/>
      <c r="WCG39" s="926"/>
      <c r="WCH39" s="926"/>
      <c r="WCI39" s="926"/>
      <c r="WCJ39" s="926"/>
      <c r="WCK39" s="926"/>
      <c r="WCL39" s="926"/>
      <c r="WCM39" s="926"/>
      <c r="WCN39" s="926"/>
      <c r="WCO39" s="926"/>
      <c r="WCP39" s="926"/>
      <c r="WCQ39" s="926"/>
      <c r="WCR39" s="926"/>
      <c r="WCS39" s="926"/>
      <c r="WCT39" s="926"/>
      <c r="WCU39" s="926"/>
      <c r="WCV39" s="926"/>
      <c r="WCW39" s="926"/>
      <c r="WCX39" s="926"/>
      <c r="WCY39" s="926"/>
      <c r="WCZ39" s="926"/>
      <c r="WDA39" s="926"/>
      <c r="WDB39" s="926"/>
      <c r="WDC39" s="926"/>
      <c r="WDD39" s="926"/>
      <c r="WDE39" s="926"/>
      <c r="WDF39" s="926"/>
      <c r="WDG39" s="926"/>
      <c r="WDH39" s="926"/>
      <c r="WDI39" s="926"/>
      <c r="WDJ39" s="926"/>
      <c r="WDK39" s="926"/>
      <c r="WDL39" s="926"/>
      <c r="WDM39" s="926"/>
      <c r="WDN39" s="926"/>
      <c r="WDO39" s="926"/>
      <c r="WDP39" s="926"/>
      <c r="WDQ39" s="926"/>
      <c r="WDR39" s="926"/>
      <c r="WDS39" s="926"/>
      <c r="WDT39" s="926"/>
      <c r="WDU39" s="926"/>
      <c r="WDV39" s="926"/>
      <c r="WDW39" s="926"/>
      <c r="WDX39" s="926"/>
      <c r="WDY39" s="926"/>
      <c r="WDZ39" s="926"/>
      <c r="WEA39" s="926"/>
      <c r="WEB39" s="926"/>
      <c r="WEC39" s="926"/>
      <c r="WED39" s="926"/>
      <c r="WEE39" s="926"/>
      <c r="WEF39" s="926"/>
      <c r="WEG39" s="926"/>
      <c r="WEH39" s="926"/>
      <c r="WEI39" s="926"/>
      <c r="WEJ39" s="926"/>
      <c r="WEK39" s="926"/>
      <c r="WEL39" s="926"/>
      <c r="WEM39" s="926"/>
      <c r="WEN39" s="926"/>
      <c r="WEO39" s="926"/>
      <c r="WEP39" s="926"/>
      <c r="WEQ39" s="926"/>
      <c r="WER39" s="926"/>
      <c r="WES39" s="926"/>
      <c r="WET39" s="926"/>
      <c r="WEU39" s="926"/>
      <c r="WEV39" s="926"/>
      <c r="WEW39" s="926"/>
      <c r="WEX39" s="926"/>
      <c r="WEY39" s="926"/>
      <c r="WEZ39" s="926"/>
      <c r="WFA39" s="926"/>
      <c r="WFB39" s="926"/>
      <c r="WFC39" s="926"/>
      <c r="WFD39" s="926"/>
      <c r="WFE39" s="926"/>
      <c r="WFF39" s="926"/>
      <c r="WFG39" s="926"/>
      <c r="WFH39" s="926"/>
      <c r="WFI39" s="926"/>
      <c r="WFJ39" s="926"/>
      <c r="WFK39" s="926"/>
      <c r="WFL39" s="926"/>
      <c r="WFM39" s="926"/>
      <c r="WFN39" s="926"/>
      <c r="WFO39" s="926"/>
      <c r="WFP39" s="926"/>
      <c r="WFQ39" s="926"/>
      <c r="WFR39" s="926"/>
      <c r="WFS39" s="926"/>
      <c r="WFT39" s="926"/>
      <c r="WFU39" s="926"/>
      <c r="WFV39" s="926"/>
      <c r="WFW39" s="926"/>
      <c r="WFX39" s="926"/>
      <c r="WFY39" s="926"/>
      <c r="WFZ39" s="926"/>
      <c r="WGA39" s="926"/>
      <c r="WGB39" s="926"/>
      <c r="WGC39" s="926"/>
      <c r="WGD39" s="926"/>
      <c r="WGE39" s="926"/>
      <c r="WGF39" s="926"/>
      <c r="WGG39" s="926"/>
      <c r="WGH39" s="926"/>
      <c r="WGI39" s="926"/>
      <c r="WGJ39" s="926"/>
      <c r="WGK39" s="926"/>
      <c r="WGL39" s="926"/>
      <c r="WGM39" s="926"/>
      <c r="WGN39" s="926"/>
      <c r="WGO39" s="926"/>
      <c r="WGP39" s="926"/>
      <c r="WGQ39" s="926"/>
      <c r="WGR39" s="926"/>
      <c r="WGS39" s="926"/>
      <c r="WGT39" s="926"/>
      <c r="WGU39" s="926"/>
      <c r="WGV39" s="926"/>
      <c r="WGW39" s="926"/>
      <c r="WGX39" s="926"/>
      <c r="WGY39" s="926"/>
      <c r="WGZ39" s="926"/>
      <c r="WHA39" s="926"/>
      <c r="WHB39" s="926"/>
      <c r="WHC39" s="926"/>
      <c r="WHD39" s="926"/>
      <c r="WHE39" s="926"/>
      <c r="WHF39" s="926"/>
      <c r="WHG39" s="926"/>
      <c r="WHH39" s="926"/>
      <c r="WHI39" s="926"/>
      <c r="WHJ39" s="926"/>
      <c r="WHK39" s="926"/>
      <c r="WHL39" s="926"/>
      <c r="WHM39" s="926"/>
      <c r="WHN39" s="926"/>
      <c r="WHO39" s="926"/>
      <c r="WHP39" s="926"/>
      <c r="WHQ39" s="926"/>
      <c r="WHR39" s="926"/>
      <c r="WHS39" s="926"/>
      <c r="WHT39" s="926"/>
      <c r="WHU39" s="926"/>
      <c r="WHV39" s="926"/>
      <c r="WHW39" s="926"/>
      <c r="WHX39" s="926"/>
      <c r="WHY39" s="926"/>
      <c r="WHZ39" s="926"/>
      <c r="WIA39" s="926"/>
      <c r="WIB39" s="926"/>
      <c r="WIC39" s="926"/>
      <c r="WID39" s="926"/>
      <c r="WIE39" s="926"/>
      <c r="WIF39" s="926"/>
      <c r="WIG39" s="926"/>
      <c r="WIH39" s="926"/>
      <c r="WII39" s="926"/>
      <c r="WIJ39" s="926"/>
      <c r="WIK39" s="926"/>
      <c r="WIL39" s="926"/>
      <c r="WIM39" s="926"/>
      <c r="WIN39" s="926"/>
      <c r="WIO39" s="926"/>
      <c r="WIP39" s="926"/>
      <c r="WIQ39" s="926"/>
      <c r="WIR39" s="926"/>
      <c r="WIS39" s="926"/>
      <c r="WIT39" s="926"/>
      <c r="WIU39" s="926"/>
      <c r="WIV39" s="926"/>
      <c r="WIW39" s="926"/>
      <c r="WIX39" s="926"/>
      <c r="WIY39" s="926"/>
      <c r="WIZ39" s="926"/>
      <c r="WJA39" s="926"/>
      <c r="WJB39" s="926"/>
      <c r="WJC39" s="926"/>
      <c r="WJD39" s="926"/>
      <c r="WJE39" s="926"/>
      <c r="WJF39" s="926"/>
      <c r="WJG39" s="926"/>
      <c r="WJH39" s="926"/>
      <c r="WJI39" s="926"/>
      <c r="WJJ39" s="926"/>
      <c r="WJK39" s="926"/>
      <c r="WJL39" s="926"/>
      <c r="WJM39" s="926"/>
      <c r="WJN39" s="926"/>
      <c r="WJO39" s="926"/>
      <c r="WJP39" s="926"/>
      <c r="WJQ39" s="926"/>
      <c r="WJR39" s="926"/>
      <c r="WJS39" s="926"/>
      <c r="WJT39" s="926"/>
      <c r="WJU39" s="926"/>
      <c r="WJV39" s="926"/>
      <c r="WJW39" s="926"/>
      <c r="WJX39" s="926"/>
      <c r="WJY39" s="926"/>
      <c r="WJZ39" s="926"/>
      <c r="WKA39" s="926"/>
      <c r="WKB39" s="926"/>
      <c r="WKC39" s="926"/>
      <c r="WKD39" s="926"/>
      <c r="WKE39" s="926"/>
      <c r="WKF39" s="926"/>
      <c r="WKG39" s="926"/>
      <c r="WKH39" s="926"/>
      <c r="WKI39" s="926"/>
      <c r="WKJ39" s="926"/>
      <c r="WKK39" s="926"/>
      <c r="WKL39" s="926"/>
      <c r="WKM39" s="926"/>
      <c r="WKN39" s="926"/>
      <c r="WKO39" s="926"/>
      <c r="WKP39" s="926"/>
      <c r="WKQ39" s="926"/>
      <c r="WKR39" s="926"/>
      <c r="WKS39" s="926"/>
      <c r="WKT39" s="926"/>
      <c r="WKU39" s="926"/>
      <c r="WKV39" s="926"/>
      <c r="WKW39" s="926"/>
      <c r="WKX39" s="926"/>
      <c r="WKY39" s="926"/>
      <c r="WKZ39" s="926"/>
      <c r="WLA39" s="926"/>
      <c r="WLB39" s="926"/>
      <c r="WLC39" s="926"/>
      <c r="WLD39" s="926"/>
      <c r="WLE39" s="926"/>
      <c r="WLF39" s="926"/>
      <c r="WLG39" s="926"/>
      <c r="WLH39" s="926"/>
      <c r="WLI39" s="926"/>
      <c r="WLJ39" s="926"/>
      <c r="WLK39" s="926"/>
      <c r="WLL39" s="926"/>
      <c r="WLM39" s="926"/>
      <c r="WLN39" s="926"/>
      <c r="WLO39" s="926"/>
      <c r="WLP39" s="926"/>
      <c r="WLQ39" s="926"/>
      <c r="WLR39" s="926"/>
      <c r="WLS39" s="926"/>
      <c r="WLT39" s="926"/>
      <c r="WLU39" s="926"/>
      <c r="WLV39" s="926"/>
      <c r="WLW39" s="926"/>
      <c r="WLX39" s="926"/>
      <c r="WLY39" s="926"/>
      <c r="WLZ39" s="926"/>
      <c r="WMA39" s="926"/>
      <c r="WMB39" s="926"/>
      <c r="WMC39" s="926"/>
      <c r="WMD39" s="926"/>
      <c r="WME39" s="926"/>
      <c r="WMF39" s="926"/>
      <c r="WMG39" s="926"/>
      <c r="WMH39" s="926"/>
      <c r="WMI39" s="926"/>
      <c r="WMJ39" s="926"/>
      <c r="WMK39" s="926"/>
      <c r="WML39" s="926"/>
      <c r="WMM39" s="926"/>
      <c r="WMN39" s="926"/>
      <c r="WMO39" s="926"/>
      <c r="WMP39" s="926"/>
      <c r="WMQ39" s="926"/>
      <c r="WMR39" s="926"/>
      <c r="WMS39" s="926"/>
      <c r="WMT39" s="926"/>
      <c r="WMU39" s="926"/>
      <c r="WMV39" s="926"/>
      <c r="WMW39" s="926"/>
      <c r="WMX39" s="926"/>
      <c r="WMY39" s="926"/>
      <c r="WMZ39" s="926"/>
      <c r="WNA39" s="926"/>
      <c r="WNB39" s="926"/>
      <c r="WNC39" s="926"/>
      <c r="WND39" s="926"/>
      <c r="WNE39" s="926"/>
      <c r="WNF39" s="926"/>
      <c r="WNG39" s="926"/>
      <c r="WNH39" s="926"/>
      <c r="WNI39" s="926"/>
      <c r="WNJ39" s="926"/>
      <c r="WNK39" s="926"/>
      <c r="WNL39" s="926"/>
      <c r="WNM39" s="926"/>
      <c r="WNN39" s="926"/>
      <c r="WNO39" s="926"/>
      <c r="WNP39" s="926"/>
      <c r="WNQ39" s="926"/>
      <c r="WNR39" s="926"/>
      <c r="WNS39" s="926"/>
      <c r="WNT39" s="926"/>
      <c r="WNU39" s="926"/>
      <c r="WNV39" s="926"/>
      <c r="WNW39" s="926"/>
      <c r="WNX39" s="926"/>
      <c r="WNY39" s="926"/>
      <c r="WNZ39" s="926"/>
      <c r="WOA39" s="926"/>
      <c r="WOB39" s="926"/>
      <c r="WOC39" s="926"/>
      <c r="WOD39" s="926"/>
      <c r="WOE39" s="926"/>
      <c r="WOF39" s="926"/>
      <c r="WOG39" s="926"/>
      <c r="WOH39" s="926"/>
      <c r="WOI39" s="926"/>
      <c r="WOJ39" s="926"/>
      <c r="WOK39" s="926"/>
      <c r="WOL39" s="926"/>
      <c r="WOM39" s="926"/>
      <c r="WON39" s="926"/>
      <c r="WOO39" s="926"/>
      <c r="WOP39" s="926"/>
      <c r="WOQ39" s="926"/>
      <c r="WOR39" s="926"/>
      <c r="WOS39" s="926"/>
      <c r="WOT39" s="926"/>
      <c r="WOU39" s="926"/>
      <c r="WOV39" s="926"/>
      <c r="WOW39" s="926"/>
      <c r="WOX39" s="926"/>
      <c r="WOY39" s="926"/>
      <c r="WOZ39" s="926"/>
      <c r="WPA39" s="926"/>
      <c r="WPB39" s="926"/>
      <c r="WPC39" s="926"/>
      <c r="WPD39" s="926"/>
      <c r="WPE39" s="926"/>
      <c r="WPF39" s="926"/>
      <c r="WPG39" s="926"/>
      <c r="WPH39" s="926"/>
      <c r="WPI39" s="926"/>
      <c r="WPJ39" s="926"/>
      <c r="WPK39" s="926"/>
      <c r="WPL39" s="926"/>
      <c r="WPM39" s="926"/>
      <c r="WPN39" s="926"/>
      <c r="WPO39" s="926"/>
      <c r="WPP39" s="926"/>
      <c r="WPQ39" s="926"/>
      <c r="WPR39" s="926"/>
      <c r="WPS39" s="926"/>
      <c r="WPT39" s="926"/>
      <c r="WPU39" s="926"/>
      <c r="WPV39" s="926"/>
      <c r="WPW39" s="926"/>
      <c r="WPX39" s="926"/>
      <c r="WPY39" s="926"/>
      <c r="WPZ39" s="926"/>
      <c r="WQA39" s="926"/>
      <c r="WQB39" s="926"/>
      <c r="WQC39" s="926"/>
      <c r="WQD39" s="926"/>
      <c r="WQE39" s="926"/>
      <c r="WQF39" s="926"/>
      <c r="WQG39" s="926"/>
      <c r="WQH39" s="926"/>
      <c r="WQI39" s="926"/>
      <c r="WQJ39" s="926"/>
      <c r="WQK39" s="926"/>
      <c r="WQL39" s="926"/>
      <c r="WQM39" s="926"/>
      <c r="WQN39" s="926"/>
      <c r="WQO39" s="926"/>
      <c r="WQP39" s="926"/>
      <c r="WQQ39" s="926"/>
      <c r="WQR39" s="926"/>
      <c r="WQS39" s="926"/>
      <c r="WQT39" s="926"/>
      <c r="WQU39" s="926"/>
      <c r="WQV39" s="926"/>
      <c r="WQW39" s="926"/>
      <c r="WQX39" s="926"/>
      <c r="WQY39" s="926"/>
      <c r="WQZ39" s="926"/>
      <c r="WRA39" s="926"/>
      <c r="WRB39" s="926"/>
      <c r="WRC39" s="926"/>
      <c r="WRD39" s="926"/>
      <c r="WRE39" s="926"/>
      <c r="WRF39" s="926"/>
      <c r="WRG39" s="926"/>
      <c r="WRH39" s="926"/>
      <c r="WRI39" s="926"/>
      <c r="WRJ39" s="926"/>
      <c r="WRK39" s="926"/>
      <c r="WRL39" s="926"/>
      <c r="WRM39" s="926"/>
      <c r="WRN39" s="926"/>
      <c r="WRO39" s="926"/>
      <c r="WRP39" s="926"/>
      <c r="WRQ39" s="926"/>
      <c r="WRR39" s="926"/>
      <c r="WRS39" s="926"/>
      <c r="WRT39" s="926"/>
      <c r="WRU39" s="926"/>
      <c r="WRV39" s="926"/>
      <c r="WRW39" s="926"/>
      <c r="WRX39" s="926"/>
      <c r="WRY39" s="926"/>
      <c r="WRZ39" s="926"/>
      <c r="WSA39" s="926"/>
      <c r="WSB39" s="926"/>
      <c r="WSC39" s="926"/>
      <c r="WSD39" s="926"/>
      <c r="WSE39" s="926"/>
      <c r="WSF39" s="926"/>
      <c r="WSG39" s="926"/>
      <c r="WSH39" s="926"/>
      <c r="WSI39" s="926"/>
      <c r="WSJ39" s="926"/>
      <c r="WSK39" s="926"/>
      <c r="WSL39" s="926"/>
      <c r="WSM39" s="926"/>
      <c r="WSN39" s="926"/>
      <c r="WSO39" s="926"/>
      <c r="WSP39" s="926"/>
      <c r="WSQ39" s="926"/>
      <c r="WSR39" s="926"/>
      <c r="WSS39" s="926"/>
      <c r="WST39" s="926"/>
      <c r="WSU39" s="926"/>
      <c r="WSV39" s="926"/>
      <c r="WSW39" s="926"/>
      <c r="WSX39" s="926"/>
      <c r="WSY39" s="926"/>
      <c r="WSZ39" s="926"/>
      <c r="WTA39" s="926"/>
      <c r="WTB39" s="926"/>
      <c r="WTC39" s="926"/>
      <c r="WTD39" s="926"/>
      <c r="WTE39" s="926"/>
      <c r="WTF39" s="926"/>
      <c r="WTG39" s="926"/>
      <c r="WTH39" s="926"/>
      <c r="WTI39" s="926"/>
      <c r="WTJ39" s="926"/>
      <c r="WTK39" s="926"/>
      <c r="WTL39" s="926"/>
      <c r="WTM39" s="926"/>
      <c r="WTN39" s="926"/>
      <c r="WTO39" s="926"/>
      <c r="WTP39" s="926"/>
      <c r="WTQ39" s="926"/>
      <c r="WTR39" s="926"/>
      <c r="WTS39" s="926"/>
      <c r="WTT39" s="926"/>
      <c r="WTU39" s="926"/>
      <c r="WTV39" s="926"/>
      <c r="WTW39" s="926"/>
      <c r="WTX39" s="926"/>
      <c r="WTY39" s="926"/>
      <c r="WTZ39" s="926"/>
      <c r="WUA39" s="926"/>
      <c r="WUB39" s="926"/>
      <c r="WUC39" s="926"/>
      <c r="WUD39" s="926"/>
      <c r="WUE39" s="926"/>
      <c r="WUF39" s="926"/>
      <c r="WUG39" s="926"/>
      <c r="WUH39" s="926"/>
      <c r="WUI39" s="926"/>
      <c r="WUJ39" s="926"/>
      <c r="WUK39" s="926"/>
      <c r="WUL39" s="926"/>
      <c r="WUM39" s="926"/>
      <c r="WUN39" s="926"/>
      <c r="WUO39" s="926"/>
      <c r="WUP39" s="926"/>
      <c r="WUQ39" s="926"/>
      <c r="WUR39" s="926"/>
      <c r="WUS39" s="926"/>
      <c r="WUT39" s="926"/>
      <c r="WUU39" s="926"/>
      <c r="WUV39" s="926"/>
      <c r="WUW39" s="926"/>
      <c r="WUX39" s="926"/>
      <c r="WUY39" s="926"/>
      <c r="WUZ39" s="926"/>
      <c r="WVA39" s="926"/>
      <c r="WVB39" s="926"/>
      <c r="WVC39" s="926"/>
      <c r="WVD39" s="926"/>
      <c r="WVE39" s="926"/>
      <c r="WVF39" s="926"/>
      <c r="WVG39" s="926"/>
      <c r="WVH39" s="926"/>
      <c r="WVI39" s="926"/>
      <c r="WVJ39" s="926"/>
      <c r="WVK39" s="926"/>
      <c r="WVL39" s="926"/>
      <c r="WVM39" s="926"/>
      <c r="WVN39" s="926"/>
      <c r="WVO39" s="926"/>
      <c r="WVP39" s="926"/>
      <c r="WVQ39" s="926"/>
      <c r="WVR39" s="926"/>
      <c r="WVS39" s="926"/>
      <c r="WVT39" s="926"/>
      <c r="WVU39" s="926"/>
      <c r="WVV39" s="926"/>
      <c r="WVW39" s="926"/>
      <c r="WVX39" s="926"/>
      <c r="WVY39" s="926"/>
      <c r="WVZ39" s="926"/>
      <c r="WWA39" s="926"/>
      <c r="WWB39" s="926"/>
      <c r="WWC39" s="926"/>
      <c r="WWD39" s="926"/>
      <c r="WWE39" s="926"/>
      <c r="WWF39" s="926"/>
      <c r="WWG39" s="926"/>
      <c r="WWH39" s="926"/>
      <c r="WWI39" s="926"/>
      <c r="WWJ39" s="926"/>
      <c r="WWK39" s="926"/>
      <c r="WWL39" s="926"/>
      <c r="WWM39" s="926"/>
      <c r="WWN39" s="926"/>
      <c r="WWO39" s="926"/>
      <c r="WWP39" s="926"/>
      <c r="WWQ39" s="926"/>
      <c r="WWR39" s="926"/>
      <c r="WWS39" s="926"/>
      <c r="WWT39" s="926"/>
      <c r="WWU39" s="926"/>
      <c r="WWV39" s="926"/>
      <c r="WWW39" s="926"/>
      <c r="WWX39" s="926"/>
      <c r="WWY39" s="926"/>
      <c r="WWZ39" s="926"/>
      <c r="WXA39" s="926"/>
      <c r="WXB39" s="926"/>
      <c r="WXC39" s="926"/>
      <c r="WXD39" s="926"/>
      <c r="WXE39" s="926"/>
      <c r="WXF39" s="926"/>
      <c r="WXG39" s="926"/>
      <c r="WXH39" s="926"/>
      <c r="WXI39" s="926"/>
      <c r="WXJ39" s="926"/>
      <c r="WXK39" s="926"/>
      <c r="WXL39" s="926"/>
      <c r="WXM39" s="926"/>
      <c r="WXN39" s="926"/>
      <c r="WXO39" s="926"/>
      <c r="WXP39" s="926"/>
      <c r="WXQ39" s="926"/>
      <c r="WXR39" s="926"/>
      <c r="WXS39" s="926"/>
      <c r="WXT39" s="926"/>
      <c r="WXU39" s="926"/>
      <c r="WXV39" s="926"/>
      <c r="WXW39" s="926"/>
      <c r="WXX39" s="926"/>
      <c r="WXY39" s="926"/>
      <c r="WXZ39" s="926"/>
      <c r="WYA39" s="926"/>
      <c r="WYB39" s="926"/>
      <c r="WYC39" s="926"/>
      <c r="WYD39" s="926"/>
      <c r="WYE39" s="926"/>
      <c r="WYF39" s="926"/>
      <c r="WYG39" s="926"/>
      <c r="WYH39" s="926"/>
      <c r="WYI39" s="926"/>
      <c r="WYJ39" s="926"/>
      <c r="WYK39" s="926"/>
      <c r="WYL39" s="926"/>
      <c r="WYM39" s="926"/>
      <c r="WYN39" s="926"/>
      <c r="WYO39" s="926"/>
      <c r="WYP39" s="926"/>
      <c r="WYQ39" s="926"/>
      <c r="WYR39" s="926"/>
      <c r="WYS39" s="926"/>
      <c r="WYT39" s="926"/>
      <c r="WYU39" s="926"/>
      <c r="WYV39" s="926"/>
      <c r="WYW39" s="926"/>
      <c r="WYX39" s="926"/>
      <c r="WYY39" s="926"/>
      <c r="WYZ39" s="926"/>
      <c r="WZA39" s="926"/>
      <c r="WZB39" s="926"/>
      <c r="WZC39" s="926"/>
      <c r="WZD39" s="926"/>
      <c r="WZE39" s="926"/>
      <c r="WZF39" s="926"/>
      <c r="WZG39" s="926"/>
      <c r="WZH39" s="926"/>
      <c r="WZI39" s="926"/>
      <c r="WZJ39" s="926"/>
      <c r="WZK39" s="926"/>
      <c r="WZL39" s="926"/>
      <c r="WZM39" s="926"/>
      <c r="WZN39" s="926"/>
      <c r="WZO39" s="926"/>
      <c r="WZP39" s="926"/>
      <c r="WZQ39" s="926"/>
      <c r="WZR39" s="926"/>
      <c r="WZS39" s="926"/>
      <c r="WZT39" s="926"/>
      <c r="WZU39" s="926"/>
      <c r="WZV39" s="926"/>
      <c r="WZW39" s="926"/>
      <c r="WZX39" s="926"/>
      <c r="WZY39" s="926"/>
      <c r="WZZ39" s="926"/>
      <c r="XAA39" s="926"/>
      <c r="XAB39" s="926"/>
      <c r="XAC39" s="926"/>
      <c r="XAD39" s="926"/>
      <c r="XAE39" s="926"/>
      <c r="XAF39" s="926"/>
      <c r="XAG39" s="926"/>
      <c r="XAH39" s="926"/>
      <c r="XAI39" s="926"/>
      <c r="XAJ39" s="926"/>
      <c r="XAK39" s="926"/>
      <c r="XAL39" s="926"/>
      <c r="XAM39" s="926"/>
      <c r="XAN39" s="926"/>
      <c r="XAO39" s="926"/>
      <c r="XAP39" s="926"/>
      <c r="XAQ39" s="926"/>
      <c r="XAR39" s="926"/>
      <c r="XAS39" s="926"/>
      <c r="XAT39" s="926"/>
      <c r="XAU39" s="926"/>
      <c r="XAV39" s="926"/>
      <c r="XAW39" s="926"/>
      <c r="XAX39" s="926"/>
      <c r="XAY39" s="926"/>
      <c r="XAZ39" s="926"/>
      <c r="XBA39" s="926"/>
      <c r="XBB39" s="926"/>
      <c r="XBC39" s="926"/>
      <c r="XBD39" s="926"/>
      <c r="XBE39" s="926"/>
      <c r="XBF39" s="926"/>
      <c r="XBG39" s="926"/>
      <c r="XBH39" s="926"/>
      <c r="XBI39" s="926"/>
      <c r="XBJ39" s="926"/>
      <c r="XBK39" s="926"/>
      <c r="XBL39" s="926"/>
      <c r="XBM39" s="926"/>
      <c r="XBN39" s="926"/>
      <c r="XBO39" s="926"/>
      <c r="XBP39" s="926"/>
      <c r="XBQ39" s="926"/>
      <c r="XBR39" s="926"/>
      <c r="XBS39" s="926"/>
      <c r="XBT39" s="926"/>
      <c r="XBU39" s="926"/>
      <c r="XBV39" s="926"/>
      <c r="XBW39" s="926"/>
      <c r="XBX39" s="926"/>
      <c r="XBY39" s="926"/>
      <c r="XBZ39" s="926"/>
      <c r="XCA39" s="926"/>
      <c r="XCB39" s="926"/>
      <c r="XCC39" s="926"/>
      <c r="XCD39" s="926"/>
      <c r="XCE39" s="926"/>
      <c r="XCF39" s="926"/>
      <c r="XCG39" s="926"/>
      <c r="XCH39" s="926"/>
      <c r="XCI39" s="926"/>
      <c r="XCJ39" s="926"/>
      <c r="XCK39" s="926"/>
      <c r="XCL39" s="926"/>
      <c r="XCM39" s="926"/>
      <c r="XCN39" s="926"/>
      <c r="XCO39" s="926"/>
      <c r="XCP39" s="926"/>
      <c r="XCQ39" s="926"/>
      <c r="XCR39" s="926"/>
      <c r="XCS39" s="926"/>
      <c r="XCT39" s="926"/>
      <c r="XCU39" s="926"/>
      <c r="XCV39" s="926"/>
      <c r="XCW39" s="926"/>
      <c r="XCX39" s="926"/>
      <c r="XCY39" s="926"/>
      <c r="XCZ39" s="926"/>
      <c r="XDA39" s="926"/>
      <c r="XDB39" s="926"/>
      <c r="XDC39" s="926"/>
      <c r="XDD39" s="926"/>
      <c r="XDE39" s="926"/>
      <c r="XDF39" s="926"/>
      <c r="XDG39" s="926"/>
      <c r="XDH39" s="926"/>
      <c r="XDI39" s="926"/>
      <c r="XDJ39" s="926"/>
      <c r="XDK39" s="926"/>
      <c r="XDL39" s="926"/>
      <c r="XDM39" s="926"/>
      <c r="XDN39" s="926"/>
      <c r="XDO39" s="926"/>
      <c r="XDP39" s="926"/>
      <c r="XDQ39" s="926"/>
      <c r="XDR39" s="926"/>
      <c r="XDS39" s="926"/>
      <c r="XDT39" s="926"/>
      <c r="XDU39" s="926"/>
      <c r="XDV39" s="926"/>
      <c r="XDW39" s="926"/>
      <c r="XDX39" s="926"/>
      <c r="XDY39" s="926"/>
      <c r="XDZ39" s="926"/>
      <c r="XEA39" s="926"/>
      <c r="XEB39" s="926"/>
      <c r="XEC39" s="926"/>
      <c r="XED39" s="926"/>
      <c r="XEE39" s="926"/>
      <c r="XEF39" s="926"/>
      <c r="XEG39" s="926"/>
      <c r="XEH39" s="926"/>
      <c r="XEI39" s="926"/>
      <c r="XEJ39" s="926"/>
      <c r="XEK39" s="926"/>
      <c r="XEL39" s="926"/>
      <c r="XEM39" s="926"/>
      <c r="XEN39" s="926"/>
      <c r="XEO39" s="926"/>
      <c r="XEP39" s="926"/>
      <c r="XEQ39" s="926"/>
      <c r="XER39" s="926"/>
      <c r="XES39" s="926"/>
      <c r="XET39" s="926"/>
      <c r="XEU39" s="926"/>
      <c r="XEV39" s="926"/>
      <c r="XEW39" s="926"/>
      <c r="XEX39" s="926"/>
      <c r="XEY39" s="926"/>
      <c r="XEZ39" s="926"/>
      <c r="XFA39" s="926"/>
      <c r="XFB39" s="926"/>
      <c r="XFC39" s="926"/>
      <c r="XFD39" s="926"/>
    </row>
    <row r="40" spans="3:16384" x14ac:dyDescent="0.35">
      <c r="C40" s="931" t="s">
        <v>7</v>
      </c>
      <c r="D40" s="932"/>
      <c r="E40" s="811">
        <f t="shared" si="7"/>
        <v>3648713.9066685243</v>
      </c>
      <c r="F40" s="876">
        <f t="shared" ref="F40:AN40" si="13">$F$53*F29</f>
        <v>0</v>
      </c>
      <c r="G40" s="876">
        <f t="shared" si="13"/>
        <v>0</v>
      </c>
      <c r="H40" s="876">
        <f t="shared" si="13"/>
        <v>130311.21095244733</v>
      </c>
      <c r="I40" s="876">
        <f t="shared" si="13"/>
        <v>130311.21095244733</v>
      </c>
      <c r="J40" s="876">
        <f t="shared" si="13"/>
        <v>130311.21095244733</v>
      </c>
      <c r="K40" s="876">
        <f t="shared" si="13"/>
        <v>130311.21095244733</v>
      </c>
      <c r="L40" s="876">
        <f t="shared" si="13"/>
        <v>130311.21095244733</v>
      </c>
      <c r="M40" s="876">
        <f t="shared" si="13"/>
        <v>130311.21095244733</v>
      </c>
      <c r="N40" s="876">
        <f t="shared" si="13"/>
        <v>130311.21095244733</v>
      </c>
      <c r="O40" s="876">
        <f t="shared" si="13"/>
        <v>130311.21095244733</v>
      </c>
      <c r="P40" s="876">
        <f t="shared" si="13"/>
        <v>130311.21095244733</v>
      </c>
      <c r="Q40" s="876">
        <f t="shared" si="13"/>
        <v>130311.21095244733</v>
      </c>
      <c r="R40" s="876">
        <f t="shared" si="13"/>
        <v>130311.21095244733</v>
      </c>
      <c r="S40" s="876">
        <f t="shared" si="13"/>
        <v>130311.21095244733</v>
      </c>
      <c r="T40" s="876">
        <f t="shared" si="13"/>
        <v>130311.21095244733</v>
      </c>
      <c r="U40" s="876">
        <f t="shared" si="13"/>
        <v>130311.21095244733</v>
      </c>
      <c r="V40" s="876">
        <f t="shared" si="13"/>
        <v>130311.21095244733</v>
      </c>
      <c r="W40" s="876">
        <f t="shared" si="13"/>
        <v>130311.21095244733</v>
      </c>
      <c r="X40" s="876">
        <f t="shared" si="13"/>
        <v>130311.21095244733</v>
      </c>
      <c r="Y40" s="876">
        <f t="shared" si="13"/>
        <v>130311.21095244733</v>
      </c>
      <c r="Z40" s="876">
        <f t="shared" si="13"/>
        <v>130311.21095244733</v>
      </c>
      <c r="AA40" s="876">
        <f t="shared" si="13"/>
        <v>130311.21095244733</v>
      </c>
      <c r="AB40" s="876">
        <f t="shared" si="13"/>
        <v>130311.21095244733</v>
      </c>
      <c r="AC40" s="876">
        <f t="shared" si="13"/>
        <v>130311.21095244733</v>
      </c>
      <c r="AD40" s="876">
        <f t="shared" si="13"/>
        <v>130311.21095244733</v>
      </c>
      <c r="AE40" s="876">
        <f t="shared" si="13"/>
        <v>130311.21095244733</v>
      </c>
      <c r="AF40" s="876">
        <f t="shared" si="13"/>
        <v>130311.21095244733</v>
      </c>
      <c r="AG40" s="876">
        <f t="shared" si="13"/>
        <v>130311.21095244733</v>
      </c>
      <c r="AH40" s="876">
        <f t="shared" si="13"/>
        <v>130311.21095244733</v>
      </c>
      <c r="AI40" s="876">
        <f t="shared" si="13"/>
        <v>130311.21095244733</v>
      </c>
      <c r="AJ40" s="876">
        <f t="shared" si="13"/>
        <v>0</v>
      </c>
      <c r="AK40" s="876">
        <f t="shared" si="13"/>
        <v>0</v>
      </c>
      <c r="AL40" s="876">
        <f t="shared" si="13"/>
        <v>0</v>
      </c>
      <c r="AM40" s="876">
        <f t="shared" si="13"/>
        <v>0</v>
      </c>
      <c r="AN40" s="876">
        <f t="shared" si="13"/>
        <v>0</v>
      </c>
    </row>
    <row r="41" spans="3:16384" x14ac:dyDescent="0.35">
      <c r="C41" s="931" t="s">
        <v>8</v>
      </c>
      <c r="D41" s="932"/>
      <c r="E41" s="811">
        <f t="shared" si="7"/>
        <v>3324168.7970971577</v>
      </c>
      <c r="F41" s="876">
        <f t="shared" ref="F41:AN41" si="14">$F$54*F29</f>
        <v>0</v>
      </c>
      <c r="G41" s="876">
        <f t="shared" si="14"/>
        <v>0</v>
      </c>
      <c r="H41" s="876">
        <f t="shared" si="14"/>
        <v>118720.3141820414</v>
      </c>
      <c r="I41" s="876">
        <f t="shared" si="14"/>
        <v>118720.3141820414</v>
      </c>
      <c r="J41" s="876">
        <f t="shared" si="14"/>
        <v>118720.3141820414</v>
      </c>
      <c r="K41" s="876">
        <f t="shared" si="14"/>
        <v>118720.3141820414</v>
      </c>
      <c r="L41" s="876">
        <f t="shared" si="14"/>
        <v>118720.3141820414</v>
      </c>
      <c r="M41" s="876">
        <f t="shared" si="14"/>
        <v>118720.3141820414</v>
      </c>
      <c r="N41" s="876">
        <f t="shared" si="14"/>
        <v>118720.3141820414</v>
      </c>
      <c r="O41" s="876">
        <f t="shared" si="14"/>
        <v>118720.3141820414</v>
      </c>
      <c r="P41" s="876">
        <f t="shared" si="14"/>
        <v>118720.3141820414</v>
      </c>
      <c r="Q41" s="876">
        <f t="shared" si="14"/>
        <v>118720.3141820414</v>
      </c>
      <c r="R41" s="876">
        <f t="shared" si="14"/>
        <v>118720.3141820414</v>
      </c>
      <c r="S41" s="876">
        <f t="shared" si="14"/>
        <v>118720.3141820414</v>
      </c>
      <c r="T41" s="876">
        <f t="shared" si="14"/>
        <v>118720.3141820414</v>
      </c>
      <c r="U41" s="876">
        <f t="shared" si="14"/>
        <v>118720.3141820414</v>
      </c>
      <c r="V41" s="876">
        <f t="shared" si="14"/>
        <v>118720.3141820414</v>
      </c>
      <c r="W41" s="876">
        <f t="shared" si="14"/>
        <v>118720.3141820414</v>
      </c>
      <c r="X41" s="876">
        <f t="shared" si="14"/>
        <v>118720.3141820414</v>
      </c>
      <c r="Y41" s="876">
        <f t="shared" si="14"/>
        <v>118720.3141820414</v>
      </c>
      <c r="Z41" s="876">
        <f t="shared" si="14"/>
        <v>118720.3141820414</v>
      </c>
      <c r="AA41" s="876">
        <f t="shared" si="14"/>
        <v>118720.3141820414</v>
      </c>
      <c r="AB41" s="876">
        <f t="shared" si="14"/>
        <v>118720.3141820414</v>
      </c>
      <c r="AC41" s="876">
        <f t="shared" si="14"/>
        <v>118720.3141820414</v>
      </c>
      <c r="AD41" s="876">
        <f t="shared" si="14"/>
        <v>118720.3141820414</v>
      </c>
      <c r="AE41" s="876">
        <f t="shared" si="14"/>
        <v>118720.3141820414</v>
      </c>
      <c r="AF41" s="876">
        <f t="shared" si="14"/>
        <v>118720.3141820414</v>
      </c>
      <c r="AG41" s="876">
        <f t="shared" si="14"/>
        <v>118720.3141820414</v>
      </c>
      <c r="AH41" s="876">
        <f t="shared" si="14"/>
        <v>118720.3141820414</v>
      </c>
      <c r="AI41" s="876">
        <f t="shared" si="14"/>
        <v>118720.3141820414</v>
      </c>
      <c r="AJ41" s="876">
        <f t="shared" si="14"/>
        <v>0</v>
      </c>
      <c r="AK41" s="876">
        <f t="shared" si="14"/>
        <v>0</v>
      </c>
      <c r="AL41" s="876">
        <f t="shared" si="14"/>
        <v>0</v>
      </c>
      <c r="AM41" s="876">
        <f t="shared" si="14"/>
        <v>0</v>
      </c>
      <c r="AN41" s="876">
        <f t="shared" si="14"/>
        <v>0</v>
      </c>
    </row>
    <row r="42" spans="3:16384" x14ac:dyDescent="0.35">
      <c r="C42" s="878" t="s">
        <v>9</v>
      </c>
      <c r="D42" s="880"/>
      <c r="E42" s="811">
        <f t="shared" si="7"/>
        <v>2727594.1395271146</v>
      </c>
      <c r="F42" s="876">
        <f t="shared" ref="F42:AN42" si="15">$F$55*F29</f>
        <v>0</v>
      </c>
      <c r="G42" s="876">
        <f t="shared" si="15"/>
        <v>0</v>
      </c>
      <c r="H42" s="876">
        <f t="shared" si="15"/>
        <v>97414.076411682705</v>
      </c>
      <c r="I42" s="876">
        <f t="shared" si="15"/>
        <v>97414.076411682705</v>
      </c>
      <c r="J42" s="876">
        <f t="shared" si="15"/>
        <v>97414.076411682705</v>
      </c>
      <c r="K42" s="876">
        <f t="shared" si="15"/>
        <v>97414.076411682705</v>
      </c>
      <c r="L42" s="876">
        <f t="shared" si="15"/>
        <v>97414.076411682705</v>
      </c>
      <c r="M42" s="876">
        <f t="shared" si="15"/>
        <v>97414.076411682705</v>
      </c>
      <c r="N42" s="876">
        <f t="shared" si="15"/>
        <v>97414.076411682705</v>
      </c>
      <c r="O42" s="876">
        <f t="shared" si="15"/>
        <v>97414.076411682705</v>
      </c>
      <c r="P42" s="876">
        <f t="shared" si="15"/>
        <v>97414.076411682705</v>
      </c>
      <c r="Q42" s="876">
        <f t="shared" si="15"/>
        <v>97414.076411682705</v>
      </c>
      <c r="R42" s="876">
        <f t="shared" si="15"/>
        <v>97414.076411682705</v>
      </c>
      <c r="S42" s="876">
        <f t="shared" si="15"/>
        <v>97414.076411682705</v>
      </c>
      <c r="T42" s="876">
        <f t="shared" si="15"/>
        <v>97414.076411682705</v>
      </c>
      <c r="U42" s="876">
        <f t="shared" si="15"/>
        <v>97414.076411682705</v>
      </c>
      <c r="V42" s="876">
        <f t="shared" si="15"/>
        <v>97414.076411682705</v>
      </c>
      <c r="W42" s="876">
        <f t="shared" si="15"/>
        <v>97414.076411682705</v>
      </c>
      <c r="X42" s="876">
        <f t="shared" si="15"/>
        <v>97414.076411682705</v>
      </c>
      <c r="Y42" s="876">
        <f t="shared" si="15"/>
        <v>97414.076411682705</v>
      </c>
      <c r="Z42" s="876">
        <f t="shared" si="15"/>
        <v>97414.076411682705</v>
      </c>
      <c r="AA42" s="876">
        <f t="shared" si="15"/>
        <v>97414.076411682705</v>
      </c>
      <c r="AB42" s="876">
        <f t="shared" si="15"/>
        <v>97414.076411682705</v>
      </c>
      <c r="AC42" s="876">
        <f t="shared" si="15"/>
        <v>97414.076411682705</v>
      </c>
      <c r="AD42" s="876">
        <f t="shared" si="15"/>
        <v>97414.076411682705</v>
      </c>
      <c r="AE42" s="876">
        <f t="shared" si="15"/>
        <v>97414.076411682705</v>
      </c>
      <c r="AF42" s="876">
        <f t="shared" si="15"/>
        <v>97414.076411682705</v>
      </c>
      <c r="AG42" s="876">
        <f t="shared" si="15"/>
        <v>97414.076411682705</v>
      </c>
      <c r="AH42" s="876">
        <f t="shared" si="15"/>
        <v>97414.076411682705</v>
      </c>
      <c r="AI42" s="876">
        <f t="shared" si="15"/>
        <v>97414.076411682705</v>
      </c>
      <c r="AJ42" s="876">
        <f t="shared" si="15"/>
        <v>0</v>
      </c>
      <c r="AK42" s="876">
        <f t="shared" si="15"/>
        <v>0</v>
      </c>
      <c r="AL42" s="876">
        <f t="shared" si="15"/>
        <v>0</v>
      </c>
      <c r="AM42" s="876">
        <f t="shared" si="15"/>
        <v>0</v>
      </c>
      <c r="AN42" s="876">
        <f t="shared" si="15"/>
        <v>0</v>
      </c>
    </row>
    <row r="43" spans="3:16384" x14ac:dyDescent="0.35">
      <c r="C43" s="800" t="s">
        <v>455</v>
      </c>
      <c r="D43" s="861"/>
      <c r="E43" s="801">
        <f t="shared" ref="E43:AN43" si="16">SUM(E34:E42)</f>
        <v>67250307.880000025</v>
      </c>
      <c r="F43" s="801">
        <f t="shared" si="16"/>
        <v>0</v>
      </c>
      <c r="G43" s="801">
        <f t="shared" si="16"/>
        <v>0</v>
      </c>
      <c r="H43" s="801">
        <f t="shared" si="16"/>
        <v>2401796.71</v>
      </c>
      <c r="I43" s="801">
        <f t="shared" si="16"/>
        <v>2401796.71</v>
      </c>
      <c r="J43" s="801">
        <f t="shared" si="16"/>
        <v>2401796.71</v>
      </c>
      <c r="K43" s="801">
        <f t="shared" si="16"/>
        <v>2401796.71</v>
      </c>
      <c r="L43" s="801">
        <f t="shared" si="16"/>
        <v>2401796.71</v>
      </c>
      <c r="M43" s="801">
        <f t="shared" si="16"/>
        <v>2401796.71</v>
      </c>
      <c r="N43" s="801">
        <f t="shared" si="16"/>
        <v>2401796.71</v>
      </c>
      <c r="O43" s="801">
        <f t="shared" si="16"/>
        <v>2401796.71</v>
      </c>
      <c r="P43" s="801">
        <f t="shared" si="16"/>
        <v>2401796.71</v>
      </c>
      <c r="Q43" s="801">
        <f t="shared" si="16"/>
        <v>2401796.71</v>
      </c>
      <c r="R43" s="801">
        <f t="shared" si="16"/>
        <v>2401796.71</v>
      </c>
      <c r="S43" s="801">
        <f t="shared" si="16"/>
        <v>2401796.71</v>
      </c>
      <c r="T43" s="801">
        <f t="shared" si="16"/>
        <v>2401796.71</v>
      </c>
      <c r="U43" s="801">
        <f t="shared" si="16"/>
        <v>2401796.71</v>
      </c>
      <c r="V43" s="801">
        <f t="shared" si="16"/>
        <v>2401796.71</v>
      </c>
      <c r="W43" s="801">
        <f t="shared" si="16"/>
        <v>2401796.71</v>
      </c>
      <c r="X43" s="801">
        <f t="shared" si="16"/>
        <v>2401796.71</v>
      </c>
      <c r="Y43" s="801">
        <f t="shared" si="16"/>
        <v>2401796.71</v>
      </c>
      <c r="Z43" s="801">
        <f t="shared" si="16"/>
        <v>2401796.71</v>
      </c>
      <c r="AA43" s="801">
        <f t="shared" si="16"/>
        <v>2401796.71</v>
      </c>
      <c r="AB43" s="801">
        <f t="shared" si="16"/>
        <v>2401796.71</v>
      </c>
      <c r="AC43" s="801">
        <f t="shared" si="16"/>
        <v>2401796.71</v>
      </c>
      <c r="AD43" s="801">
        <f t="shared" si="16"/>
        <v>2401796.71</v>
      </c>
      <c r="AE43" s="801">
        <f t="shared" si="16"/>
        <v>2401796.71</v>
      </c>
      <c r="AF43" s="801">
        <f t="shared" si="16"/>
        <v>2401796.71</v>
      </c>
      <c r="AG43" s="801">
        <f t="shared" si="16"/>
        <v>2401796.71</v>
      </c>
      <c r="AH43" s="801">
        <f t="shared" si="16"/>
        <v>2401796.71</v>
      </c>
      <c r="AI43" s="801">
        <f t="shared" si="16"/>
        <v>2401796.71</v>
      </c>
      <c r="AJ43" s="801">
        <f t="shared" si="16"/>
        <v>0</v>
      </c>
      <c r="AK43" s="801">
        <f t="shared" si="16"/>
        <v>0</v>
      </c>
      <c r="AL43" s="801">
        <f t="shared" si="16"/>
        <v>0</v>
      </c>
      <c r="AM43" s="801">
        <f t="shared" si="16"/>
        <v>0</v>
      </c>
      <c r="AN43" s="801">
        <f t="shared" si="16"/>
        <v>0</v>
      </c>
    </row>
    <row r="44" spans="3:16384" x14ac:dyDescent="0.35">
      <c r="F44" s="221"/>
    </row>
    <row r="45" spans="3:16384" x14ac:dyDescent="0.35">
      <c r="C45" s="77" t="s">
        <v>839</v>
      </c>
    </row>
    <row r="46" spans="3:16384" x14ac:dyDescent="0.35">
      <c r="C46" s="862" t="s">
        <v>68</v>
      </c>
      <c r="D46" s="892"/>
      <c r="E46" s="869"/>
      <c r="F46" s="802" t="s">
        <v>176</v>
      </c>
      <c r="G46" s="1013"/>
      <c r="H46" s="1014"/>
      <c r="I46" s="1014"/>
      <c r="J46" s="1014"/>
      <c r="K46" s="1014"/>
      <c r="L46" s="1014"/>
      <c r="M46" s="1014"/>
      <c r="N46" s="1014"/>
      <c r="O46" s="1014"/>
      <c r="P46" s="1014"/>
      <c r="Q46" s="1014"/>
      <c r="R46" s="1014"/>
      <c r="S46" s="1014"/>
      <c r="T46" s="1014"/>
      <c r="U46" s="1014"/>
      <c r="V46" s="1014"/>
      <c r="W46" s="1014"/>
      <c r="X46" s="1014"/>
      <c r="Y46" s="1014"/>
      <c r="Z46" s="1014"/>
      <c r="AA46" s="1014"/>
      <c r="AB46" s="1014"/>
      <c r="AC46" s="1014"/>
      <c r="AD46" s="1014"/>
      <c r="AE46" s="1014"/>
      <c r="AF46" s="1014"/>
      <c r="AG46" s="1014"/>
      <c r="AH46" s="1014"/>
      <c r="AI46" s="1014"/>
      <c r="AJ46" s="1014"/>
      <c r="AK46" s="1014"/>
      <c r="AL46" s="1014"/>
      <c r="AM46" s="1014"/>
      <c r="AN46" s="1014"/>
    </row>
    <row r="47" spans="3:16384" x14ac:dyDescent="0.35">
      <c r="C47" s="895" t="s">
        <v>1</v>
      </c>
      <c r="D47" s="896"/>
      <c r="E47" s="897"/>
      <c r="F47" s="1067">
        <f>'Premissas Gerais'!G165</f>
        <v>6.8271733926195486E-3</v>
      </c>
      <c r="G47" s="1028"/>
      <c r="H47" s="1029"/>
      <c r="I47" s="1029"/>
      <c r="J47" s="1029"/>
      <c r="K47" s="1029"/>
      <c r="L47" s="1029"/>
      <c r="M47" s="1029"/>
      <c r="N47" s="1029"/>
      <c r="O47" s="1029"/>
      <c r="P47" s="1029"/>
      <c r="Q47" s="1029"/>
      <c r="R47" s="1029"/>
      <c r="S47" s="1029"/>
      <c r="T47" s="1029"/>
      <c r="U47" s="1029"/>
      <c r="V47" s="1029"/>
      <c r="W47" s="1029"/>
      <c r="X47" s="1029"/>
      <c r="Y47" s="1029"/>
      <c r="Z47" s="1029"/>
      <c r="AA47" s="1029"/>
      <c r="AB47" s="1029"/>
      <c r="AC47" s="1029"/>
      <c r="AD47" s="1029"/>
      <c r="AE47" s="1029"/>
      <c r="AF47" s="1029"/>
      <c r="AG47" s="1029"/>
      <c r="AH47" s="1029"/>
      <c r="AI47" s="1029"/>
      <c r="AJ47" s="1029"/>
      <c r="AK47" s="1029"/>
      <c r="AL47" s="1029"/>
      <c r="AM47" s="1029"/>
      <c r="AN47" s="1029"/>
    </row>
    <row r="48" spans="3:16384" x14ac:dyDescent="0.35">
      <c r="C48" s="898" t="s">
        <v>2</v>
      </c>
      <c r="D48" s="899"/>
      <c r="E48" s="900"/>
      <c r="F48" s="1068">
        <f>'Premissas Gerais'!G166</f>
        <v>8.6463706442174645E-2</v>
      </c>
      <c r="G48" s="1028"/>
      <c r="H48" s="1029"/>
      <c r="I48" s="1029"/>
      <c r="J48" s="1029"/>
      <c r="K48" s="1029"/>
      <c r="L48" s="1029"/>
      <c r="M48" s="1029"/>
      <c r="N48" s="1029"/>
      <c r="O48" s="1029"/>
      <c r="P48" s="1029"/>
      <c r="Q48" s="1029"/>
      <c r="R48" s="1029"/>
      <c r="S48" s="1029"/>
      <c r="T48" s="1029"/>
      <c r="U48" s="1029"/>
      <c r="V48" s="1029"/>
      <c r="W48" s="1029"/>
      <c r="X48" s="1029"/>
      <c r="Y48" s="1029"/>
      <c r="Z48" s="1029"/>
      <c r="AA48" s="1029"/>
      <c r="AB48" s="1029"/>
      <c r="AC48" s="1029"/>
      <c r="AD48" s="1029"/>
      <c r="AE48" s="1029"/>
      <c r="AF48" s="1029"/>
      <c r="AG48" s="1029"/>
      <c r="AH48" s="1029"/>
      <c r="AI48" s="1029"/>
      <c r="AJ48" s="1029"/>
      <c r="AK48" s="1029"/>
      <c r="AL48" s="1029"/>
      <c r="AM48" s="1029"/>
      <c r="AN48" s="1029"/>
    </row>
    <row r="49" spans="3:40" x14ac:dyDescent="0.35">
      <c r="C49" s="898" t="s">
        <v>3</v>
      </c>
      <c r="D49" s="899"/>
      <c r="E49" s="900"/>
      <c r="F49" s="1068">
        <f>'Premissas Gerais'!G167</f>
        <v>1.0357808135649236E-2</v>
      </c>
      <c r="G49" s="1028"/>
      <c r="H49" s="1029"/>
      <c r="I49" s="1029"/>
      <c r="J49" s="1029"/>
      <c r="K49" s="1029"/>
      <c r="L49" s="1029"/>
      <c r="M49" s="1029"/>
      <c r="N49" s="1029"/>
      <c r="O49" s="1029"/>
      <c r="P49" s="1029"/>
      <c r="Q49" s="1029"/>
      <c r="R49" s="1029"/>
      <c r="S49" s="1029"/>
      <c r="T49" s="1029"/>
      <c r="U49" s="1029"/>
      <c r="V49" s="1029"/>
      <c r="W49" s="1029"/>
      <c r="X49" s="1029"/>
      <c r="Y49" s="1029"/>
      <c r="Z49" s="1029"/>
      <c r="AA49" s="1029"/>
      <c r="AB49" s="1029"/>
      <c r="AC49" s="1029"/>
      <c r="AD49" s="1029"/>
      <c r="AE49" s="1029"/>
      <c r="AF49" s="1029"/>
      <c r="AG49" s="1029"/>
      <c r="AH49" s="1029"/>
      <c r="AI49" s="1029"/>
      <c r="AJ49" s="1029"/>
      <c r="AK49" s="1029"/>
      <c r="AL49" s="1029"/>
      <c r="AM49" s="1029"/>
      <c r="AN49" s="1029"/>
    </row>
    <row r="50" spans="3:40" x14ac:dyDescent="0.35">
      <c r="C50" s="898" t="s">
        <v>4</v>
      </c>
      <c r="D50" s="899"/>
      <c r="E50" s="900"/>
      <c r="F50" s="1068">
        <f>'Premissas Gerais'!G168</f>
        <v>2.7637330894877687E-2</v>
      </c>
      <c r="G50" s="1028"/>
      <c r="H50" s="1029"/>
      <c r="I50" s="1029"/>
      <c r="J50" s="1029"/>
      <c r="K50" s="1029"/>
      <c r="L50" s="1029"/>
      <c r="M50" s="1029"/>
      <c r="N50" s="1029"/>
      <c r="O50" s="1029"/>
      <c r="P50" s="1029"/>
      <c r="Q50" s="1029"/>
      <c r="R50" s="1029"/>
      <c r="S50" s="1029"/>
      <c r="T50" s="1029"/>
      <c r="U50" s="1029"/>
      <c r="V50" s="1029"/>
      <c r="W50" s="1029"/>
      <c r="X50" s="1029"/>
      <c r="Y50" s="1029"/>
      <c r="Z50" s="1029"/>
      <c r="AA50" s="1029"/>
      <c r="AB50" s="1029"/>
      <c r="AC50" s="1029"/>
      <c r="AD50" s="1029"/>
      <c r="AE50" s="1029"/>
      <c r="AF50" s="1029"/>
      <c r="AG50" s="1029"/>
      <c r="AH50" s="1029"/>
      <c r="AI50" s="1029"/>
      <c r="AJ50" s="1029"/>
      <c r="AK50" s="1029"/>
      <c r="AL50" s="1029"/>
      <c r="AM50" s="1029"/>
      <c r="AN50" s="1029"/>
    </row>
    <row r="51" spans="3:40" x14ac:dyDescent="0.35">
      <c r="C51" s="898" t="s">
        <v>5</v>
      </c>
      <c r="D51" s="899"/>
      <c r="E51" s="900"/>
      <c r="F51" s="1068">
        <f>'Premissas Gerais'!G169</f>
        <v>6.0023208808459072E-2</v>
      </c>
      <c r="G51" s="1028"/>
      <c r="H51" s="1029"/>
      <c r="I51" s="1029"/>
      <c r="J51" s="1029"/>
      <c r="K51" s="1029"/>
      <c r="L51" s="1029"/>
      <c r="M51" s="1029"/>
      <c r="N51" s="1029"/>
      <c r="O51" s="1029"/>
      <c r="P51" s="1029"/>
      <c r="Q51" s="1029"/>
      <c r="R51" s="1029"/>
      <c r="S51" s="1029"/>
      <c r="T51" s="1029"/>
      <c r="U51" s="1029"/>
      <c r="V51" s="1029"/>
      <c r="W51" s="1029"/>
      <c r="X51" s="1029"/>
      <c r="Y51" s="1029"/>
      <c r="Z51" s="1029"/>
      <c r="AA51" s="1029"/>
      <c r="AB51" s="1029"/>
      <c r="AC51" s="1029"/>
      <c r="AD51" s="1029"/>
      <c r="AE51" s="1029"/>
      <c r="AF51" s="1029"/>
      <c r="AG51" s="1029"/>
      <c r="AH51" s="1029"/>
      <c r="AI51" s="1029"/>
      <c r="AJ51" s="1029"/>
      <c r="AK51" s="1029"/>
      <c r="AL51" s="1029"/>
      <c r="AM51" s="1029"/>
      <c r="AN51" s="1029"/>
    </row>
    <row r="52" spans="3:40" x14ac:dyDescent="0.35">
      <c r="C52" s="898" t="s">
        <v>6</v>
      </c>
      <c r="D52" s="899"/>
      <c r="E52" s="900"/>
      <c r="F52" s="1068">
        <f>'Premissas Gerais'!G170</f>
        <v>0.66444642387502584</v>
      </c>
      <c r="G52" s="1028"/>
      <c r="H52" s="1029"/>
      <c r="I52" s="1029"/>
      <c r="J52" s="1029"/>
      <c r="K52" s="1029"/>
      <c r="L52" s="1029"/>
      <c r="M52" s="1029"/>
      <c r="N52" s="1029"/>
      <c r="O52" s="1029"/>
      <c r="P52" s="1029"/>
      <c r="Q52" s="1029"/>
      <c r="R52" s="1029"/>
      <c r="S52" s="1029"/>
      <c r="T52" s="1029"/>
      <c r="U52" s="1029"/>
      <c r="V52" s="1029"/>
      <c r="W52" s="1029"/>
      <c r="X52" s="1029"/>
      <c r="Y52" s="1029"/>
      <c r="Z52" s="1029"/>
      <c r="AA52" s="1029"/>
      <c r="AB52" s="1029"/>
      <c r="AC52" s="1029"/>
      <c r="AD52" s="1029"/>
      <c r="AE52" s="1029"/>
      <c r="AF52" s="1029"/>
      <c r="AG52" s="1029"/>
      <c r="AH52" s="1029"/>
      <c r="AI52" s="1029"/>
      <c r="AJ52" s="1029"/>
      <c r="AK52" s="1029"/>
      <c r="AL52" s="1029"/>
      <c r="AM52" s="1029"/>
      <c r="AN52" s="1029"/>
    </row>
    <row r="53" spans="3:40" x14ac:dyDescent="0.35">
      <c r="C53" s="898" t="s">
        <v>7</v>
      </c>
      <c r="D53" s="899"/>
      <c r="E53" s="900"/>
      <c r="F53" s="1068">
        <f>'Premissas Gerais'!G171</f>
        <v>5.4255720482041685E-2</v>
      </c>
      <c r="G53" s="1028"/>
      <c r="H53" s="1029"/>
      <c r="I53" s="1029"/>
      <c r="J53" s="1029"/>
      <c r="K53" s="1029"/>
      <c r="L53" s="1029"/>
      <c r="M53" s="1029"/>
      <c r="N53" s="1029"/>
      <c r="O53" s="1029"/>
      <c r="P53" s="1029"/>
      <c r="Q53" s="1029"/>
      <c r="R53" s="1029"/>
      <c r="S53" s="1029"/>
      <c r="T53" s="1029"/>
      <c r="U53" s="1029"/>
      <c r="V53" s="1029"/>
      <c r="W53" s="1029"/>
      <c r="X53" s="1029"/>
      <c r="Y53" s="1029"/>
      <c r="Z53" s="1029"/>
      <c r="AA53" s="1029"/>
      <c r="AB53" s="1029"/>
      <c r="AC53" s="1029"/>
      <c r="AD53" s="1029"/>
      <c r="AE53" s="1029"/>
      <c r="AF53" s="1029"/>
      <c r="AG53" s="1029"/>
      <c r="AH53" s="1029"/>
      <c r="AI53" s="1029"/>
      <c r="AJ53" s="1029"/>
      <c r="AK53" s="1029"/>
      <c r="AL53" s="1029"/>
      <c r="AM53" s="1029"/>
      <c r="AN53" s="1029"/>
    </row>
    <row r="54" spans="3:40" x14ac:dyDescent="0.35">
      <c r="C54" s="898" t="s">
        <v>8</v>
      </c>
      <c r="D54" s="899"/>
      <c r="E54" s="900"/>
      <c r="F54" s="1068">
        <f>'Premissas Gerais'!G172</f>
        <v>4.9429792991115142E-2</v>
      </c>
      <c r="G54" s="1028"/>
      <c r="H54" s="1029"/>
      <c r="I54" s="1029"/>
      <c r="J54" s="1029"/>
      <c r="K54" s="1029"/>
      <c r="L54" s="1029"/>
      <c r="M54" s="1029"/>
      <c r="N54" s="1029"/>
      <c r="O54" s="1029"/>
      <c r="P54" s="1029"/>
      <c r="Q54" s="1029"/>
      <c r="R54" s="1029"/>
      <c r="S54" s="1029"/>
      <c r="T54" s="1029"/>
      <c r="U54" s="1029"/>
      <c r="V54" s="1029"/>
      <c r="W54" s="1029"/>
      <c r="X54" s="1029"/>
      <c r="Y54" s="1029"/>
      <c r="Z54" s="1029"/>
      <c r="AA54" s="1029"/>
      <c r="AB54" s="1029"/>
      <c r="AC54" s="1029"/>
      <c r="AD54" s="1029"/>
      <c r="AE54" s="1029"/>
      <c r="AF54" s="1029"/>
      <c r="AG54" s="1029"/>
      <c r="AH54" s="1029"/>
      <c r="AI54" s="1029"/>
      <c r="AJ54" s="1029"/>
      <c r="AK54" s="1029"/>
      <c r="AL54" s="1029"/>
      <c r="AM54" s="1029"/>
      <c r="AN54" s="1029"/>
    </row>
    <row r="55" spans="3:40" x14ac:dyDescent="0.35">
      <c r="C55" s="898" t="s">
        <v>9</v>
      </c>
      <c r="D55" s="899"/>
      <c r="E55" s="900"/>
      <c r="F55" s="1068">
        <f>'Premissas Gerais'!G173</f>
        <v>4.0558834978037216E-2</v>
      </c>
      <c r="G55" s="1028"/>
      <c r="H55" s="1029"/>
      <c r="I55" s="1029"/>
      <c r="J55" s="1029"/>
      <c r="K55" s="1029"/>
      <c r="L55" s="1029"/>
      <c r="M55" s="1029"/>
      <c r="N55" s="1029"/>
      <c r="O55" s="1029"/>
      <c r="P55" s="1029"/>
      <c r="Q55" s="1029"/>
      <c r="R55" s="1029"/>
      <c r="S55" s="1029"/>
      <c r="T55" s="1029"/>
      <c r="U55" s="1029"/>
      <c r="V55" s="1029"/>
      <c r="W55" s="1029"/>
      <c r="X55" s="1029"/>
      <c r="Y55" s="1029"/>
      <c r="Z55" s="1029"/>
      <c r="AA55" s="1029"/>
      <c r="AB55" s="1029"/>
      <c r="AC55" s="1029"/>
      <c r="AD55" s="1029"/>
      <c r="AE55" s="1029"/>
      <c r="AF55" s="1029"/>
      <c r="AG55" s="1029"/>
      <c r="AH55" s="1029"/>
      <c r="AI55" s="1029"/>
      <c r="AJ55" s="1029"/>
      <c r="AK55" s="1029"/>
      <c r="AL55" s="1029"/>
      <c r="AM55" s="1029"/>
      <c r="AN55" s="1029"/>
    </row>
    <row r="56" spans="3:40" x14ac:dyDescent="0.35">
      <c r="C56" s="800" t="s">
        <v>455</v>
      </c>
      <c r="D56" s="893"/>
      <c r="E56" s="894"/>
      <c r="F56" s="928">
        <f>SUM(F47:F55)</f>
        <v>1</v>
      </c>
      <c r="G56" s="1030"/>
      <c r="H56" s="1031"/>
      <c r="I56" s="1031"/>
      <c r="J56" s="1031"/>
      <c r="K56" s="1031"/>
      <c r="L56" s="1031"/>
      <c r="M56" s="1031"/>
      <c r="N56" s="1031"/>
      <c r="O56" s="1031"/>
      <c r="P56" s="1031"/>
      <c r="Q56" s="1031"/>
      <c r="R56" s="1031"/>
      <c r="S56" s="1031"/>
      <c r="T56" s="1031"/>
      <c r="U56" s="1031"/>
      <c r="V56" s="1031"/>
      <c r="W56" s="1031"/>
      <c r="X56" s="1031"/>
      <c r="Y56" s="1031"/>
      <c r="Z56" s="1031"/>
      <c r="AA56" s="1031"/>
      <c r="AB56" s="1031"/>
      <c r="AC56" s="1031"/>
      <c r="AD56" s="1031"/>
      <c r="AE56" s="1031"/>
      <c r="AF56" s="1031"/>
      <c r="AG56" s="1031"/>
      <c r="AH56" s="1031"/>
      <c r="AI56" s="1031"/>
      <c r="AJ56" s="1031"/>
      <c r="AK56" s="1031"/>
      <c r="AL56" s="1031"/>
      <c r="AM56" s="1031"/>
      <c r="AN56" s="1031"/>
    </row>
  </sheetData>
  <sheetProtection algorithmName="SHA-512" hashValue="Nvaq5hZ4phdmEbN6LvgWrav564vMxJmz4KaqvBwSkkgktliEq7pYOWEWxZCySlCRIJSfctqOuClkEcRxWq0mwA==" saltValue="FviJD1laOy5cSzKQqTTKsw==" spinCount="100000" sheet="1" objects="1" scenarios="1"/>
  <mergeCells count="2">
    <mergeCell ref="C27:D27"/>
    <mergeCell ref="C28:D28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41D9-E004-48F7-AFE1-FB72AE964F97}">
  <sheetPr codeName="Planilha17"/>
  <dimension ref="B2:AO74"/>
  <sheetViews>
    <sheetView showGridLines="0" topLeftCell="A25" zoomScaleNormal="100" workbookViewId="0">
      <selection activeCell="J30" sqref="J30"/>
    </sheetView>
  </sheetViews>
  <sheetFormatPr defaultColWidth="8.81640625" defaultRowHeight="14.5" x14ac:dyDescent="0.35"/>
  <cols>
    <col min="1" max="1" width="1.6328125" customWidth="1"/>
    <col min="2" max="2" width="3.36328125" customWidth="1"/>
    <col min="3" max="3" width="20.81640625" customWidth="1"/>
    <col min="4" max="4" width="20" customWidth="1"/>
    <col min="5" max="5" width="18.6328125" customWidth="1"/>
    <col min="6" max="6" width="17.81640625" customWidth="1"/>
    <col min="7" max="7" width="23.36328125" bestFit="1" customWidth="1"/>
    <col min="8" max="8" width="17.453125" customWidth="1"/>
    <col min="9" max="9" width="17" customWidth="1"/>
    <col min="10" max="10" width="16.81640625" customWidth="1"/>
    <col min="11" max="35" width="15" bestFit="1" customWidth="1"/>
    <col min="36" max="40" width="7.08984375" bestFit="1" customWidth="1"/>
  </cols>
  <sheetData>
    <row r="2" spans="2:39" ht="21" x14ac:dyDescent="0.5">
      <c r="B2" s="98"/>
      <c r="C2" s="98" t="s">
        <v>1017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ht="8.25" customHeight="1" x14ac:dyDescent="0.35"/>
    <row r="4" spans="2:39" ht="5.25" customHeight="1" x14ac:dyDescent="0.35"/>
    <row r="5" spans="2:39" ht="19" thickBot="1" x14ac:dyDescent="0.5">
      <c r="B5" s="549"/>
      <c r="C5" s="846" t="s">
        <v>1018</v>
      </c>
      <c r="D5" s="549"/>
      <c r="E5" s="549"/>
      <c r="F5" s="549"/>
      <c r="G5" s="549"/>
      <c r="H5" s="549"/>
      <c r="I5" s="549"/>
      <c r="J5" s="549"/>
      <c r="K5" s="549"/>
      <c r="L5" s="549"/>
    </row>
    <row r="6" spans="2:39" ht="15" thickBot="1" x14ac:dyDescent="0.4">
      <c r="B6" s="549"/>
      <c r="C6" s="882"/>
      <c r="D6" s="850"/>
      <c r="E6" s="850" t="s">
        <v>1019</v>
      </c>
      <c r="F6" s="549"/>
      <c r="G6" s="549"/>
      <c r="H6" s="549"/>
      <c r="I6" s="549"/>
      <c r="J6" s="549"/>
      <c r="K6" s="549"/>
      <c r="L6" s="549"/>
    </row>
    <row r="7" spans="2:39" ht="15" thickBot="1" x14ac:dyDescent="0.4">
      <c r="B7" s="549"/>
      <c r="C7" s="883" t="s">
        <v>209</v>
      </c>
      <c r="D7" s="881"/>
      <c r="E7" s="1001">
        <v>9379687.4600000009</v>
      </c>
      <c r="F7" s="549"/>
      <c r="G7" s="549"/>
      <c r="H7" s="549"/>
      <c r="I7" s="549"/>
      <c r="J7" s="549"/>
      <c r="K7" s="549"/>
      <c r="L7" s="549"/>
    </row>
    <row r="8" spans="2:39" ht="15" thickBot="1" x14ac:dyDescent="0.4">
      <c r="B8" s="549"/>
      <c r="C8" s="883" t="s">
        <v>210</v>
      </c>
      <c r="D8" s="881"/>
      <c r="E8" s="1001">
        <v>9393532.9800000004</v>
      </c>
      <c r="F8" s="549"/>
      <c r="G8" s="549"/>
      <c r="H8" s="549"/>
      <c r="I8" s="549"/>
      <c r="J8" s="549"/>
      <c r="K8" s="549"/>
      <c r="L8" s="549"/>
    </row>
    <row r="9" spans="2:39" ht="15" thickBot="1" x14ac:dyDescent="0.4">
      <c r="B9" s="549"/>
      <c r="C9" s="883" t="s">
        <v>211</v>
      </c>
      <c r="D9" s="881"/>
      <c r="E9" s="1001">
        <v>6748106.75</v>
      </c>
      <c r="F9" s="549"/>
      <c r="G9" s="549"/>
      <c r="H9" s="549"/>
      <c r="I9" s="549"/>
      <c r="J9" s="549"/>
      <c r="K9" s="549"/>
      <c r="L9" s="549"/>
    </row>
    <row r="10" spans="2:39" ht="15" thickBot="1" x14ac:dyDescent="0.4">
      <c r="B10" s="549"/>
      <c r="C10" s="883" t="s">
        <v>212</v>
      </c>
      <c r="D10" s="881"/>
      <c r="E10" s="1001">
        <v>6779139.3600000003</v>
      </c>
      <c r="F10" s="549"/>
      <c r="G10" s="549"/>
      <c r="H10" s="549"/>
      <c r="I10" s="549"/>
      <c r="J10" s="549"/>
      <c r="K10" s="549"/>
      <c r="L10" s="549"/>
    </row>
    <row r="11" spans="2:39" ht="15" thickBot="1" x14ac:dyDescent="0.4">
      <c r="B11" s="549"/>
      <c r="C11" s="882" t="s">
        <v>200</v>
      </c>
      <c r="D11" s="850"/>
      <c r="E11" s="844">
        <f>SUM(E7:E10)</f>
        <v>32300466.550000001</v>
      </c>
      <c r="F11" s="549"/>
      <c r="G11" s="549"/>
      <c r="H11" s="549"/>
      <c r="I11" s="549"/>
      <c r="J11" s="549"/>
      <c r="K11" s="549"/>
      <c r="L11" s="549"/>
    </row>
    <row r="12" spans="2:39" ht="3.75" customHeight="1" x14ac:dyDescent="0.35">
      <c r="B12" s="549"/>
      <c r="C12" s="549"/>
      <c r="D12" s="549"/>
      <c r="E12" s="549"/>
      <c r="F12" s="549"/>
      <c r="G12" s="549"/>
      <c r="H12" s="549"/>
      <c r="I12" s="549"/>
      <c r="J12" s="549"/>
      <c r="K12" s="549"/>
      <c r="L12" s="549"/>
    </row>
    <row r="13" spans="2:39" x14ac:dyDescent="0.35">
      <c r="B13" s="549"/>
      <c r="C13" s="549"/>
      <c r="D13" s="549"/>
      <c r="E13" s="549"/>
      <c r="F13" s="549"/>
      <c r="G13" s="549"/>
      <c r="H13" s="549"/>
      <c r="I13" s="549"/>
      <c r="J13" s="549"/>
      <c r="K13" s="549"/>
      <c r="L13" s="549"/>
    </row>
    <row r="14" spans="2:39" ht="3.75" customHeight="1" x14ac:dyDescent="0.35"/>
    <row r="15" spans="2:39" ht="19" thickBot="1" x14ac:dyDescent="0.5">
      <c r="B15" s="549"/>
      <c r="C15" s="846" t="s">
        <v>1020</v>
      </c>
      <c r="D15" s="549"/>
      <c r="E15" s="549"/>
      <c r="F15" s="549"/>
      <c r="G15" s="549"/>
      <c r="H15" s="549"/>
      <c r="I15" s="549"/>
      <c r="J15" s="549"/>
      <c r="K15" s="549"/>
      <c r="L15" s="549"/>
    </row>
    <row r="16" spans="2:39" ht="15" thickBot="1" x14ac:dyDescent="0.4">
      <c r="B16" s="549"/>
      <c r="C16" s="1971" t="s">
        <v>818</v>
      </c>
      <c r="D16" s="1972"/>
      <c r="E16" s="1972"/>
      <c r="F16" s="1973"/>
      <c r="G16" s="850" t="s">
        <v>1007</v>
      </c>
      <c r="H16" s="549"/>
      <c r="I16" s="549"/>
      <c r="J16" s="549"/>
      <c r="K16" s="549"/>
      <c r="L16" s="549"/>
    </row>
    <row r="17" spans="2:12" ht="55.5" customHeight="1" thickBot="1" x14ac:dyDescent="0.4">
      <c r="B17" s="549"/>
      <c r="C17" s="2047" t="s">
        <v>1021</v>
      </c>
      <c r="D17" s="1952"/>
      <c r="E17" s="1952"/>
      <c r="F17" s="2048"/>
      <c r="G17" s="1001">
        <v>6801138.3099999996</v>
      </c>
      <c r="H17" s="549"/>
      <c r="I17" s="549"/>
      <c r="J17" s="549"/>
      <c r="K17" s="549"/>
      <c r="L17" s="549"/>
    </row>
    <row r="18" spans="2:12" ht="15" thickBot="1" x14ac:dyDescent="0.4">
      <c r="B18" s="549"/>
      <c r="C18" s="1971" t="s">
        <v>200</v>
      </c>
      <c r="D18" s="1972"/>
      <c r="E18" s="1972"/>
      <c r="F18" s="1973"/>
      <c r="G18" s="844">
        <f>G17</f>
        <v>6801138.3099999996</v>
      </c>
      <c r="H18" s="549"/>
      <c r="I18" s="549"/>
      <c r="J18" s="549"/>
      <c r="K18" s="549"/>
      <c r="L18" s="549"/>
    </row>
    <row r="19" spans="2:12" ht="3.75" customHeight="1" x14ac:dyDescent="0.35">
      <c r="B19" s="549"/>
      <c r="C19" s="549"/>
      <c r="D19" s="549"/>
      <c r="E19" s="549"/>
      <c r="F19" s="549"/>
      <c r="G19" s="549"/>
      <c r="H19" s="549"/>
      <c r="I19" s="549"/>
      <c r="J19" s="549"/>
      <c r="K19" s="549"/>
      <c r="L19" s="549"/>
    </row>
    <row r="20" spans="2:12" x14ac:dyDescent="0.35">
      <c r="B20" s="549"/>
      <c r="C20" s="549"/>
      <c r="D20" s="549"/>
      <c r="E20" s="549"/>
      <c r="F20" s="549"/>
      <c r="G20" s="549"/>
      <c r="H20" s="549"/>
      <c r="I20" s="549"/>
      <c r="J20" s="549"/>
      <c r="K20" s="549"/>
      <c r="L20" s="549"/>
    </row>
    <row r="21" spans="2:12" x14ac:dyDescent="0.35">
      <c r="B21" s="549"/>
      <c r="C21" s="920" t="s">
        <v>1022</v>
      </c>
      <c r="D21" s="1097">
        <v>3</v>
      </c>
      <c r="E21" s="919" t="s">
        <v>1023</v>
      </c>
      <c r="F21" s="1097">
        <v>4</v>
      </c>
      <c r="G21" s="549"/>
      <c r="H21" s="549"/>
      <c r="I21" s="549"/>
      <c r="J21" s="549"/>
      <c r="K21" s="549"/>
      <c r="L21" s="549"/>
    </row>
    <row r="22" spans="2:12" x14ac:dyDescent="0.35">
      <c r="B22" s="549"/>
      <c r="C22" s="549"/>
      <c r="D22" s="549"/>
      <c r="E22" s="549"/>
      <c r="F22" s="549"/>
      <c r="G22" s="549"/>
      <c r="H22" s="549"/>
      <c r="I22" s="549"/>
      <c r="J22" s="549"/>
      <c r="K22" s="549"/>
      <c r="L22" s="549"/>
    </row>
    <row r="23" spans="2:12" ht="5.25" customHeight="1" x14ac:dyDescent="0.35"/>
    <row r="24" spans="2:12" ht="39.75" customHeight="1" thickBot="1" x14ac:dyDescent="0.5">
      <c r="B24" s="549"/>
      <c r="C24" s="1330" t="s">
        <v>1024</v>
      </c>
      <c r="D24" s="549"/>
      <c r="E24" s="549"/>
      <c r="F24" s="549"/>
      <c r="G24" s="549"/>
      <c r="H24" s="2045" t="s">
        <v>1025</v>
      </c>
      <c r="I24" s="2045"/>
      <c r="J24" s="2045"/>
      <c r="K24" s="2045"/>
      <c r="L24" s="549"/>
    </row>
    <row r="25" spans="2:12" ht="15" thickBot="1" x14ac:dyDescent="0.4">
      <c r="B25" s="549"/>
      <c r="C25" s="882" t="s">
        <v>818</v>
      </c>
      <c r="D25" s="850"/>
      <c r="E25" s="850" t="s">
        <v>1007</v>
      </c>
      <c r="F25" s="549"/>
      <c r="G25" s="549"/>
      <c r="H25" s="882" t="s">
        <v>818</v>
      </c>
      <c r="I25" s="850"/>
      <c r="J25" s="850" t="s">
        <v>1007</v>
      </c>
      <c r="K25" s="549"/>
      <c r="L25" s="549"/>
    </row>
    <row r="26" spans="2:12" ht="15" thickBot="1" x14ac:dyDescent="0.4">
      <c r="B26" s="549"/>
      <c r="C26" s="883" t="s">
        <v>1026</v>
      </c>
      <c r="D26" s="881"/>
      <c r="E26" s="1001">
        <v>1469817.75</v>
      </c>
      <c r="F26" s="549"/>
      <c r="G26" s="549"/>
      <c r="H26" s="883" t="s">
        <v>1026</v>
      </c>
      <c r="I26" s="881"/>
      <c r="J26" s="1001">
        <v>1469817.75</v>
      </c>
      <c r="K26" s="549"/>
      <c r="L26" s="549"/>
    </row>
    <row r="27" spans="2:12" ht="15" thickBot="1" x14ac:dyDescent="0.4">
      <c r="B27" s="549"/>
      <c r="C27" s="883" t="s">
        <v>1027</v>
      </c>
      <c r="D27" s="881"/>
      <c r="E27" s="1001">
        <v>12192.3</v>
      </c>
      <c r="F27" s="549"/>
      <c r="G27" s="549"/>
      <c r="H27" s="883" t="s">
        <v>1027</v>
      </c>
      <c r="I27" s="881"/>
      <c r="J27" s="1001">
        <v>12192.3</v>
      </c>
      <c r="K27" s="549"/>
      <c r="L27" s="549"/>
    </row>
    <row r="28" spans="2:12" ht="15" thickBot="1" x14ac:dyDescent="0.4">
      <c r="B28" s="549"/>
      <c r="C28" s="883" t="s">
        <v>1028</v>
      </c>
      <c r="D28" s="881"/>
      <c r="E28" s="1001">
        <v>612308.47999999998</v>
      </c>
      <c r="F28" s="549"/>
      <c r="G28" s="549"/>
      <c r="H28" s="883" t="s">
        <v>1028</v>
      </c>
      <c r="I28" s="881"/>
      <c r="J28" s="1001">
        <v>612308.47999999998</v>
      </c>
      <c r="K28" s="549"/>
      <c r="L28" s="549"/>
    </row>
    <row r="29" spans="2:12" ht="15" thickBot="1" x14ac:dyDescent="0.4">
      <c r="B29" s="549"/>
      <c r="C29" s="883" t="s">
        <v>1029</v>
      </c>
      <c r="D29" s="881"/>
      <c r="E29" s="1001">
        <v>64853.919999999998</v>
      </c>
      <c r="F29" s="549"/>
      <c r="G29" s="549"/>
      <c r="H29" s="883" t="s">
        <v>1029</v>
      </c>
      <c r="I29" s="881"/>
      <c r="J29" s="1001">
        <v>64853.919999999998</v>
      </c>
      <c r="K29" s="549"/>
      <c r="L29" s="549"/>
    </row>
    <row r="30" spans="2:12" ht="15" thickBot="1" x14ac:dyDescent="0.4">
      <c r="B30" s="549"/>
      <c r="C30" s="883" t="s">
        <v>1030</v>
      </c>
      <c r="D30" s="881"/>
      <c r="E30" s="1001">
        <v>133197.44</v>
      </c>
      <c r="F30" s="549"/>
      <c r="G30" s="549"/>
      <c r="H30" s="883" t="s">
        <v>1030</v>
      </c>
      <c r="I30" s="881"/>
      <c r="J30" s="1001">
        <v>133197.44</v>
      </c>
      <c r="K30" s="549"/>
      <c r="L30" s="549"/>
    </row>
    <row r="31" spans="2:12" ht="15" thickBot="1" x14ac:dyDescent="0.4">
      <c r="B31" s="549"/>
      <c r="C31" s="883" t="s">
        <v>1031</v>
      </c>
      <c r="D31" s="881"/>
      <c r="E31" s="1001">
        <v>47389.259999999995</v>
      </c>
      <c r="F31" s="549"/>
      <c r="G31" s="549"/>
      <c r="H31" s="883" t="s">
        <v>1031</v>
      </c>
      <c r="I31" s="881"/>
      <c r="J31" s="1001">
        <v>47389.259999999995</v>
      </c>
      <c r="K31" s="549"/>
      <c r="L31" s="549"/>
    </row>
    <row r="32" spans="2:12" ht="25.5" customHeight="1" thickBot="1" x14ac:dyDescent="0.4">
      <c r="B32" s="549"/>
      <c r="C32" s="882" t="s">
        <v>200</v>
      </c>
      <c r="D32" s="850"/>
      <c r="E32" s="844">
        <f>SUM(E26:E31)</f>
        <v>2339759.15</v>
      </c>
      <c r="F32" s="549"/>
      <c r="G32" s="549"/>
      <c r="H32" s="2012" t="s">
        <v>1032</v>
      </c>
      <c r="I32" s="2046"/>
      <c r="J32" s="1001">
        <v>1705903.88</v>
      </c>
      <c r="K32" s="549"/>
      <c r="L32" s="549"/>
    </row>
    <row r="33" spans="2:41" ht="15" thickBot="1" x14ac:dyDescent="0.4">
      <c r="B33" s="549"/>
      <c r="C33" s="549"/>
      <c r="D33" s="549"/>
      <c r="E33" s="549"/>
      <c r="F33" s="549"/>
      <c r="G33" s="549"/>
      <c r="H33" s="882" t="s">
        <v>200</v>
      </c>
      <c r="I33" s="850"/>
      <c r="J33" s="844">
        <f>SUM(J26:J32)</f>
        <v>4045663.03</v>
      </c>
      <c r="K33" s="549"/>
      <c r="L33" s="549"/>
    </row>
    <row r="34" spans="2:41" x14ac:dyDescent="0.35">
      <c r="B34" s="549"/>
      <c r="C34" s="549"/>
      <c r="D34" s="549"/>
      <c r="E34" s="549"/>
      <c r="F34" s="549"/>
      <c r="G34" s="549"/>
      <c r="H34" s="549"/>
      <c r="I34" s="549"/>
      <c r="J34" s="549"/>
      <c r="K34" s="549"/>
      <c r="L34" s="549"/>
    </row>
    <row r="35" spans="2:41" x14ac:dyDescent="0.35">
      <c r="B35" s="549"/>
      <c r="C35" s="920" t="s">
        <v>1022</v>
      </c>
      <c r="D35" s="987">
        <v>5</v>
      </c>
      <c r="E35" s="919" t="s">
        <v>1023</v>
      </c>
      <c r="F35" s="987">
        <v>10</v>
      </c>
      <c r="G35" s="549"/>
      <c r="H35" s="920" t="s">
        <v>1022</v>
      </c>
      <c r="I35" s="987">
        <v>11</v>
      </c>
      <c r="J35" s="919" t="s">
        <v>1023</v>
      </c>
      <c r="K35" s="987">
        <v>30</v>
      </c>
      <c r="L35" s="549"/>
    </row>
    <row r="36" spans="2:41" x14ac:dyDescent="0.35">
      <c r="B36" s="549"/>
      <c r="C36" s="549"/>
      <c r="D36" s="549"/>
      <c r="E36" s="549"/>
      <c r="F36" s="549"/>
      <c r="G36" s="549"/>
      <c r="H36" s="549"/>
      <c r="I36" s="549"/>
      <c r="J36" s="549"/>
      <c r="K36" s="549"/>
      <c r="L36" s="549"/>
    </row>
    <row r="37" spans="2:41" x14ac:dyDescent="0.35">
      <c r="B37" s="549"/>
      <c r="C37" s="549"/>
      <c r="D37" s="549"/>
      <c r="E37" s="549"/>
      <c r="F37" s="549"/>
      <c r="G37" s="549"/>
      <c r="H37" s="549"/>
      <c r="I37" s="549"/>
      <c r="J37" s="549"/>
      <c r="K37" s="549"/>
      <c r="L37" s="549"/>
    </row>
    <row r="38" spans="2:41" ht="5.25" customHeight="1" x14ac:dyDescent="0.35"/>
    <row r="40" spans="2:41" ht="15" thickBot="1" x14ac:dyDescent="0.4"/>
    <row r="41" spans="2:41" x14ac:dyDescent="0.35">
      <c r="B41" s="5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8"/>
    </row>
    <row r="42" spans="2:41" x14ac:dyDescent="0.35">
      <c r="B42" s="9"/>
      <c r="C42" s="77" t="s">
        <v>1033</v>
      </c>
      <c r="AO42" s="16"/>
    </row>
    <row r="43" spans="2:41" x14ac:dyDescent="0.35">
      <c r="B43" s="9"/>
      <c r="C43" s="87"/>
      <c r="D43" s="87"/>
      <c r="E43" s="229" t="s">
        <v>455</v>
      </c>
      <c r="F43" s="89">
        <v>1</v>
      </c>
      <c r="G43" s="89">
        <f>F43+1</f>
        <v>2</v>
      </c>
      <c r="H43" s="89">
        <f t="shared" ref="H43:AN43" si="0">G43+1</f>
        <v>3</v>
      </c>
      <c r="I43" s="89">
        <f t="shared" si="0"/>
        <v>4</v>
      </c>
      <c r="J43" s="89">
        <f t="shared" si="0"/>
        <v>5</v>
      </c>
      <c r="K43" s="89">
        <f t="shared" si="0"/>
        <v>6</v>
      </c>
      <c r="L43" s="89">
        <f t="shared" si="0"/>
        <v>7</v>
      </c>
      <c r="M43" s="89">
        <f t="shared" si="0"/>
        <v>8</v>
      </c>
      <c r="N43" s="89">
        <f t="shared" si="0"/>
        <v>9</v>
      </c>
      <c r="O43" s="89">
        <f t="shared" si="0"/>
        <v>10</v>
      </c>
      <c r="P43" s="89">
        <f t="shared" si="0"/>
        <v>11</v>
      </c>
      <c r="Q43" s="89">
        <f t="shared" si="0"/>
        <v>12</v>
      </c>
      <c r="R43" s="89">
        <f t="shared" si="0"/>
        <v>13</v>
      </c>
      <c r="S43" s="89">
        <f t="shared" si="0"/>
        <v>14</v>
      </c>
      <c r="T43" s="89">
        <f t="shared" si="0"/>
        <v>15</v>
      </c>
      <c r="U43" s="89">
        <f t="shared" si="0"/>
        <v>16</v>
      </c>
      <c r="V43" s="89">
        <f t="shared" si="0"/>
        <v>17</v>
      </c>
      <c r="W43" s="89">
        <f t="shared" si="0"/>
        <v>18</v>
      </c>
      <c r="X43" s="89">
        <f t="shared" si="0"/>
        <v>19</v>
      </c>
      <c r="Y43" s="89">
        <f t="shared" si="0"/>
        <v>20</v>
      </c>
      <c r="Z43" s="89">
        <f t="shared" si="0"/>
        <v>21</v>
      </c>
      <c r="AA43" s="89">
        <f t="shared" si="0"/>
        <v>22</v>
      </c>
      <c r="AB43" s="89">
        <f t="shared" si="0"/>
        <v>23</v>
      </c>
      <c r="AC43" s="89">
        <f t="shared" si="0"/>
        <v>24</v>
      </c>
      <c r="AD43" s="89">
        <f t="shared" si="0"/>
        <v>25</v>
      </c>
      <c r="AE43" s="89">
        <f t="shared" si="0"/>
        <v>26</v>
      </c>
      <c r="AF43" s="89">
        <f t="shared" si="0"/>
        <v>27</v>
      </c>
      <c r="AG43" s="89">
        <f t="shared" si="0"/>
        <v>28</v>
      </c>
      <c r="AH43" s="89">
        <f t="shared" si="0"/>
        <v>29</v>
      </c>
      <c r="AI43" s="89">
        <f t="shared" si="0"/>
        <v>30</v>
      </c>
      <c r="AJ43" s="89">
        <f t="shared" si="0"/>
        <v>31</v>
      </c>
      <c r="AK43" s="89">
        <f t="shared" si="0"/>
        <v>32</v>
      </c>
      <c r="AL43" s="89">
        <f t="shared" si="0"/>
        <v>33</v>
      </c>
      <c r="AM43" s="89">
        <f t="shared" si="0"/>
        <v>34</v>
      </c>
      <c r="AN43" s="89">
        <f t="shared" si="0"/>
        <v>35</v>
      </c>
      <c r="AO43" s="16"/>
    </row>
    <row r="44" spans="2:41" x14ac:dyDescent="0.35">
      <c r="B44" s="9"/>
      <c r="C44" s="1986" t="s">
        <v>1034</v>
      </c>
      <c r="D44" s="1986"/>
      <c r="E44" s="906">
        <f>SUM(F44:AN44)</f>
        <v>32300466.550000001</v>
      </c>
      <c r="F44" s="562">
        <f>E7</f>
        <v>9379687.4600000009</v>
      </c>
      <c r="G44" s="562">
        <f>E8</f>
        <v>9393532.9800000004</v>
      </c>
      <c r="H44" s="562">
        <f>E9</f>
        <v>6748106.75</v>
      </c>
      <c r="I44" s="562">
        <f>E10</f>
        <v>6779139.3600000003</v>
      </c>
      <c r="J44" s="562">
        <v>0</v>
      </c>
      <c r="K44" s="562">
        <v>0</v>
      </c>
      <c r="L44" s="562">
        <v>0</v>
      </c>
      <c r="M44" s="562">
        <v>0</v>
      </c>
      <c r="N44" s="562">
        <v>0</v>
      </c>
      <c r="O44" s="562">
        <v>0</v>
      </c>
      <c r="P44" s="562">
        <v>0</v>
      </c>
      <c r="Q44" s="562">
        <v>0</v>
      </c>
      <c r="R44" s="562">
        <v>0</v>
      </c>
      <c r="S44" s="562">
        <v>0</v>
      </c>
      <c r="T44" s="562">
        <v>0</v>
      </c>
      <c r="U44" s="562">
        <v>0</v>
      </c>
      <c r="V44" s="562">
        <v>0</v>
      </c>
      <c r="W44" s="562">
        <v>0</v>
      </c>
      <c r="X44" s="562">
        <v>0</v>
      </c>
      <c r="Y44" s="562">
        <v>0</v>
      </c>
      <c r="Z44" s="562">
        <v>0</v>
      </c>
      <c r="AA44" s="562">
        <v>0</v>
      </c>
      <c r="AB44" s="562">
        <v>0</v>
      </c>
      <c r="AC44" s="562">
        <v>0</v>
      </c>
      <c r="AD44" s="562">
        <v>0</v>
      </c>
      <c r="AE44" s="562">
        <v>0</v>
      </c>
      <c r="AF44" s="562">
        <v>0</v>
      </c>
      <c r="AG44" s="562">
        <v>0</v>
      </c>
      <c r="AH44" s="562">
        <v>0</v>
      </c>
      <c r="AI44" s="562">
        <v>0</v>
      </c>
      <c r="AJ44" s="562">
        <v>0</v>
      </c>
      <c r="AK44" s="562">
        <v>0</v>
      </c>
      <c r="AL44" s="562">
        <v>0</v>
      </c>
      <c r="AM44" s="562">
        <v>0</v>
      </c>
      <c r="AN44" s="562">
        <v>0</v>
      </c>
      <c r="AO44" s="16"/>
    </row>
    <row r="45" spans="2:41" x14ac:dyDescent="0.35">
      <c r="B45" s="9"/>
      <c r="C45" s="1986" t="s">
        <v>1035</v>
      </c>
      <c r="D45" s="2011"/>
      <c r="E45" s="906">
        <f>SUM(F45:AN45)</f>
        <v>13602276.619999999</v>
      </c>
      <c r="F45" s="562">
        <f>IF(AND(F43&gt;=($D$21),F43&lt;=$F$21),$G$18,0)</f>
        <v>0</v>
      </c>
      <c r="G45" s="562">
        <f t="shared" ref="G45:AN45" si="1">IF(AND(G43&gt;=($D$21),G43&lt;=$F$21),$G$18,0)</f>
        <v>0</v>
      </c>
      <c r="H45" s="562">
        <f>IF(AND(H43&gt;=($D$21),H43&lt;=$F$21),$G$18,0)</f>
        <v>6801138.3099999996</v>
      </c>
      <c r="I45" s="562">
        <f t="shared" si="1"/>
        <v>6801138.3099999996</v>
      </c>
      <c r="J45" s="562">
        <f t="shared" si="1"/>
        <v>0</v>
      </c>
      <c r="K45" s="562">
        <f t="shared" si="1"/>
        <v>0</v>
      </c>
      <c r="L45" s="562">
        <f t="shared" si="1"/>
        <v>0</v>
      </c>
      <c r="M45" s="562">
        <f t="shared" si="1"/>
        <v>0</v>
      </c>
      <c r="N45" s="562">
        <f t="shared" si="1"/>
        <v>0</v>
      </c>
      <c r="O45" s="562">
        <f t="shared" si="1"/>
        <v>0</v>
      </c>
      <c r="P45" s="562">
        <f t="shared" si="1"/>
        <v>0</v>
      </c>
      <c r="Q45" s="562">
        <f t="shared" si="1"/>
        <v>0</v>
      </c>
      <c r="R45" s="562">
        <f t="shared" si="1"/>
        <v>0</v>
      </c>
      <c r="S45" s="562">
        <f t="shared" si="1"/>
        <v>0</v>
      </c>
      <c r="T45" s="562">
        <f t="shared" si="1"/>
        <v>0</v>
      </c>
      <c r="U45" s="562">
        <f t="shared" si="1"/>
        <v>0</v>
      </c>
      <c r="V45" s="562">
        <f t="shared" si="1"/>
        <v>0</v>
      </c>
      <c r="W45" s="562">
        <f t="shared" si="1"/>
        <v>0</v>
      </c>
      <c r="X45" s="562">
        <f t="shared" si="1"/>
        <v>0</v>
      </c>
      <c r="Y45" s="562">
        <f t="shared" si="1"/>
        <v>0</v>
      </c>
      <c r="Z45" s="562">
        <f t="shared" si="1"/>
        <v>0</v>
      </c>
      <c r="AA45" s="562">
        <f t="shared" si="1"/>
        <v>0</v>
      </c>
      <c r="AB45" s="562">
        <f t="shared" si="1"/>
        <v>0</v>
      </c>
      <c r="AC45" s="562">
        <f t="shared" si="1"/>
        <v>0</v>
      </c>
      <c r="AD45" s="562">
        <f t="shared" si="1"/>
        <v>0</v>
      </c>
      <c r="AE45" s="562">
        <f t="shared" si="1"/>
        <v>0</v>
      </c>
      <c r="AF45" s="562">
        <f t="shared" si="1"/>
        <v>0</v>
      </c>
      <c r="AG45" s="562">
        <f t="shared" si="1"/>
        <v>0</v>
      </c>
      <c r="AH45" s="562">
        <f t="shared" si="1"/>
        <v>0</v>
      </c>
      <c r="AI45" s="562">
        <f t="shared" si="1"/>
        <v>0</v>
      </c>
      <c r="AJ45" s="562">
        <f t="shared" si="1"/>
        <v>0</v>
      </c>
      <c r="AK45" s="562">
        <f t="shared" si="1"/>
        <v>0</v>
      </c>
      <c r="AL45" s="562">
        <f t="shared" si="1"/>
        <v>0</v>
      </c>
      <c r="AM45" s="562">
        <f t="shared" si="1"/>
        <v>0</v>
      </c>
      <c r="AN45" s="562">
        <f t="shared" si="1"/>
        <v>0</v>
      </c>
      <c r="AO45" s="16"/>
    </row>
    <row r="46" spans="2:41" x14ac:dyDescent="0.35">
      <c r="B46" s="9"/>
      <c r="C46" s="1985" t="s">
        <v>1024</v>
      </c>
      <c r="D46" s="2044"/>
      <c r="E46" s="906">
        <f t="shared" ref="E46" si="2">SUM(F46:AN46)</f>
        <v>94951815.500000015</v>
      </c>
      <c r="F46" s="562">
        <f>IF(AND(F43&gt;=($D$35),F43&lt;=$F$35),$E$32,IF(AND(F43&gt;=($I$35),F43&lt;=$K$35),$J$33,0))</f>
        <v>0</v>
      </c>
      <c r="G46" s="562">
        <f t="shared" ref="G46:AN46" si="3">IF(AND(G43&gt;=($D$35),G43&lt;=$F$35),$E$32,IF(AND(G43&gt;=($I$35),G43&lt;=$K$35),$J$33,0))</f>
        <v>0</v>
      </c>
      <c r="H46" s="562">
        <f t="shared" si="3"/>
        <v>0</v>
      </c>
      <c r="I46" s="562">
        <f t="shared" si="3"/>
        <v>0</v>
      </c>
      <c r="J46" s="562">
        <f>IF(AND(J43&gt;=($D$35),J43&lt;=$F$35),$E$32,IF(AND(J43&gt;=($I$35),J43&lt;=$K$35),$J$33,0))</f>
        <v>2339759.15</v>
      </c>
      <c r="K46" s="562">
        <f t="shared" si="3"/>
        <v>2339759.15</v>
      </c>
      <c r="L46" s="562">
        <f t="shared" si="3"/>
        <v>2339759.15</v>
      </c>
      <c r="M46" s="562">
        <f t="shared" si="3"/>
        <v>2339759.15</v>
      </c>
      <c r="N46" s="562">
        <f t="shared" si="3"/>
        <v>2339759.15</v>
      </c>
      <c r="O46" s="562">
        <f t="shared" si="3"/>
        <v>2339759.15</v>
      </c>
      <c r="P46" s="562">
        <f>IF(AND(P43&gt;=($D$35),P43&lt;=$F$35),$E$32,IF(AND(P43&gt;=($I$35),P43&lt;=$K$35),$J$33,0))</f>
        <v>4045663.03</v>
      </c>
      <c r="Q46" s="562">
        <f t="shared" si="3"/>
        <v>4045663.03</v>
      </c>
      <c r="R46" s="562">
        <f t="shared" si="3"/>
        <v>4045663.03</v>
      </c>
      <c r="S46" s="562">
        <f t="shared" si="3"/>
        <v>4045663.03</v>
      </c>
      <c r="T46" s="562">
        <f t="shared" si="3"/>
        <v>4045663.03</v>
      </c>
      <c r="U46" s="562">
        <f t="shared" si="3"/>
        <v>4045663.03</v>
      </c>
      <c r="V46" s="562">
        <f t="shared" si="3"/>
        <v>4045663.03</v>
      </c>
      <c r="W46" s="562">
        <f t="shared" si="3"/>
        <v>4045663.03</v>
      </c>
      <c r="X46" s="562">
        <f t="shared" si="3"/>
        <v>4045663.03</v>
      </c>
      <c r="Y46" s="562">
        <f t="shared" si="3"/>
        <v>4045663.03</v>
      </c>
      <c r="Z46" s="562">
        <f t="shared" si="3"/>
        <v>4045663.03</v>
      </c>
      <c r="AA46" s="562">
        <f t="shared" si="3"/>
        <v>4045663.03</v>
      </c>
      <c r="AB46" s="562">
        <f t="shared" si="3"/>
        <v>4045663.03</v>
      </c>
      <c r="AC46" s="562">
        <f t="shared" si="3"/>
        <v>4045663.03</v>
      </c>
      <c r="AD46" s="562">
        <f t="shared" si="3"/>
        <v>4045663.03</v>
      </c>
      <c r="AE46" s="562">
        <f t="shared" si="3"/>
        <v>4045663.03</v>
      </c>
      <c r="AF46" s="562">
        <f t="shared" si="3"/>
        <v>4045663.03</v>
      </c>
      <c r="AG46" s="562">
        <f t="shared" si="3"/>
        <v>4045663.03</v>
      </c>
      <c r="AH46" s="562">
        <f t="shared" si="3"/>
        <v>4045663.03</v>
      </c>
      <c r="AI46" s="562">
        <f t="shared" si="3"/>
        <v>4045663.03</v>
      </c>
      <c r="AJ46" s="562">
        <f t="shared" si="3"/>
        <v>0</v>
      </c>
      <c r="AK46" s="562">
        <f t="shared" si="3"/>
        <v>0</v>
      </c>
      <c r="AL46" s="562">
        <f t="shared" si="3"/>
        <v>0</v>
      </c>
      <c r="AM46" s="562">
        <f t="shared" si="3"/>
        <v>0</v>
      </c>
      <c r="AN46" s="562">
        <f t="shared" si="3"/>
        <v>0</v>
      </c>
      <c r="AO46" s="16"/>
    </row>
    <row r="47" spans="2:41" x14ac:dyDescent="0.35">
      <c r="B47" s="9"/>
      <c r="C47" s="111" t="s">
        <v>455</v>
      </c>
      <c r="D47" s="112"/>
      <c r="E47" s="907">
        <f t="shared" ref="E47:AN47" si="4">SUM(E44:E46)</f>
        <v>140854558.67000002</v>
      </c>
      <c r="F47" s="488">
        <f t="shared" si="4"/>
        <v>9379687.4600000009</v>
      </c>
      <c r="G47" s="488">
        <f t="shared" si="4"/>
        <v>9393532.9800000004</v>
      </c>
      <c r="H47" s="488">
        <f t="shared" si="4"/>
        <v>13549245.059999999</v>
      </c>
      <c r="I47" s="488">
        <f t="shared" si="4"/>
        <v>13580277.67</v>
      </c>
      <c r="J47" s="488">
        <f t="shared" si="4"/>
        <v>2339759.15</v>
      </c>
      <c r="K47" s="488">
        <f t="shared" si="4"/>
        <v>2339759.15</v>
      </c>
      <c r="L47" s="488">
        <f t="shared" si="4"/>
        <v>2339759.15</v>
      </c>
      <c r="M47" s="488">
        <f t="shared" si="4"/>
        <v>2339759.15</v>
      </c>
      <c r="N47" s="488">
        <f t="shared" si="4"/>
        <v>2339759.15</v>
      </c>
      <c r="O47" s="488">
        <f t="shared" si="4"/>
        <v>2339759.15</v>
      </c>
      <c r="P47" s="488">
        <f t="shared" si="4"/>
        <v>4045663.03</v>
      </c>
      <c r="Q47" s="488">
        <f t="shared" si="4"/>
        <v>4045663.03</v>
      </c>
      <c r="R47" s="488">
        <f t="shared" si="4"/>
        <v>4045663.03</v>
      </c>
      <c r="S47" s="488">
        <f t="shared" si="4"/>
        <v>4045663.03</v>
      </c>
      <c r="T47" s="488">
        <f t="shared" si="4"/>
        <v>4045663.03</v>
      </c>
      <c r="U47" s="488">
        <f t="shared" si="4"/>
        <v>4045663.03</v>
      </c>
      <c r="V47" s="488">
        <f t="shared" si="4"/>
        <v>4045663.03</v>
      </c>
      <c r="W47" s="488">
        <f t="shared" si="4"/>
        <v>4045663.03</v>
      </c>
      <c r="X47" s="488">
        <f t="shared" si="4"/>
        <v>4045663.03</v>
      </c>
      <c r="Y47" s="488">
        <f t="shared" si="4"/>
        <v>4045663.03</v>
      </c>
      <c r="Z47" s="488">
        <f t="shared" si="4"/>
        <v>4045663.03</v>
      </c>
      <c r="AA47" s="488">
        <f t="shared" si="4"/>
        <v>4045663.03</v>
      </c>
      <c r="AB47" s="488">
        <f t="shared" si="4"/>
        <v>4045663.03</v>
      </c>
      <c r="AC47" s="488">
        <f t="shared" si="4"/>
        <v>4045663.03</v>
      </c>
      <c r="AD47" s="488">
        <f t="shared" si="4"/>
        <v>4045663.03</v>
      </c>
      <c r="AE47" s="488">
        <f t="shared" si="4"/>
        <v>4045663.03</v>
      </c>
      <c r="AF47" s="488">
        <f t="shared" si="4"/>
        <v>4045663.03</v>
      </c>
      <c r="AG47" s="488">
        <f t="shared" si="4"/>
        <v>4045663.03</v>
      </c>
      <c r="AH47" s="488">
        <f t="shared" si="4"/>
        <v>4045663.03</v>
      </c>
      <c r="AI47" s="488">
        <f t="shared" si="4"/>
        <v>4045663.03</v>
      </c>
      <c r="AJ47" s="488">
        <f t="shared" si="4"/>
        <v>0</v>
      </c>
      <c r="AK47" s="488">
        <f t="shared" si="4"/>
        <v>0</v>
      </c>
      <c r="AL47" s="488">
        <f t="shared" si="4"/>
        <v>0</v>
      </c>
      <c r="AM47" s="488">
        <f t="shared" si="4"/>
        <v>0</v>
      </c>
      <c r="AN47" s="488">
        <f t="shared" si="4"/>
        <v>0</v>
      </c>
      <c r="AO47" s="16"/>
    </row>
    <row r="48" spans="2:41" ht="15" thickBot="1" x14ac:dyDescent="0.4">
      <c r="B48" s="38"/>
      <c r="C48" s="59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69"/>
    </row>
    <row r="50" spans="3:40" x14ac:dyDescent="0.35">
      <c r="C50" s="77" t="s">
        <v>1036</v>
      </c>
    </row>
    <row r="51" spans="3:40" x14ac:dyDescent="0.35">
      <c r="C51" s="560" t="s">
        <v>179</v>
      </c>
      <c r="D51" s="860"/>
      <c r="E51" s="229" t="s">
        <v>455</v>
      </c>
      <c r="F51" s="802">
        <v>1</v>
      </c>
      <c r="G51" s="802">
        <f>F51+1</f>
        <v>2</v>
      </c>
      <c r="H51" s="802">
        <f t="shared" ref="H51:AN51" si="5">G51+1</f>
        <v>3</v>
      </c>
      <c r="I51" s="802">
        <f t="shared" si="5"/>
        <v>4</v>
      </c>
      <c r="J51" s="802">
        <f t="shared" si="5"/>
        <v>5</v>
      </c>
      <c r="K51" s="802">
        <f t="shared" si="5"/>
        <v>6</v>
      </c>
      <c r="L51" s="802">
        <f t="shared" si="5"/>
        <v>7</v>
      </c>
      <c r="M51" s="802">
        <f t="shared" si="5"/>
        <v>8</v>
      </c>
      <c r="N51" s="802">
        <f t="shared" si="5"/>
        <v>9</v>
      </c>
      <c r="O51" s="802">
        <f t="shared" si="5"/>
        <v>10</v>
      </c>
      <c r="P51" s="802">
        <f t="shared" si="5"/>
        <v>11</v>
      </c>
      <c r="Q51" s="802">
        <f t="shared" si="5"/>
        <v>12</v>
      </c>
      <c r="R51" s="802">
        <f t="shared" si="5"/>
        <v>13</v>
      </c>
      <c r="S51" s="802">
        <f t="shared" si="5"/>
        <v>14</v>
      </c>
      <c r="T51" s="802">
        <f t="shared" si="5"/>
        <v>15</v>
      </c>
      <c r="U51" s="802">
        <f t="shared" si="5"/>
        <v>16</v>
      </c>
      <c r="V51" s="802">
        <f t="shared" si="5"/>
        <v>17</v>
      </c>
      <c r="W51" s="802">
        <f t="shared" si="5"/>
        <v>18</v>
      </c>
      <c r="X51" s="802">
        <f t="shared" si="5"/>
        <v>19</v>
      </c>
      <c r="Y51" s="802">
        <f t="shared" si="5"/>
        <v>20</v>
      </c>
      <c r="Z51" s="802">
        <f t="shared" si="5"/>
        <v>21</v>
      </c>
      <c r="AA51" s="802">
        <f t="shared" si="5"/>
        <v>22</v>
      </c>
      <c r="AB51" s="802">
        <f t="shared" si="5"/>
        <v>23</v>
      </c>
      <c r="AC51" s="802">
        <f t="shared" si="5"/>
        <v>24</v>
      </c>
      <c r="AD51" s="802">
        <f t="shared" si="5"/>
        <v>25</v>
      </c>
      <c r="AE51" s="802">
        <f t="shared" si="5"/>
        <v>26</v>
      </c>
      <c r="AF51" s="802">
        <f t="shared" si="5"/>
        <v>27</v>
      </c>
      <c r="AG51" s="802">
        <f t="shared" si="5"/>
        <v>28</v>
      </c>
      <c r="AH51" s="802">
        <f t="shared" si="5"/>
        <v>29</v>
      </c>
      <c r="AI51" s="802">
        <f t="shared" si="5"/>
        <v>30</v>
      </c>
      <c r="AJ51" s="802">
        <f t="shared" si="5"/>
        <v>31</v>
      </c>
      <c r="AK51" s="802">
        <f t="shared" si="5"/>
        <v>32</v>
      </c>
      <c r="AL51" s="802">
        <f t="shared" si="5"/>
        <v>33</v>
      </c>
      <c r="AM51" s="802">
        <f t="shared" si="5"/>
        <v>34</v>
      </c>
      <c r="AN51" s="802">
        <f t="shared" si="5"/>
        <v>35</v>
      </c>
    </row>
    <row r="52" spans="3:40" x14ac:dyDescent="0.35">
      <c r="C52" s="929" t="s">
        <v>1</v>
      </c>
      <c r="D52" s="930"/>
      <c r="E52" s="808">
        <f>SUM(F52:AN52)</f>
        <v>961638.49518099218</v>
      </c>
      <c r="F52" s="875">
        <f t="shared" ref="F52:AN52" si="6">$F$65*F47</f>
        <v>64036.752657999241</v>
      </c>
      <c r="G52" s="875">
        <f t="shared" si="6"/>
        <v>64131.27842375022</v>
      </c>
      <c r="H52" s="875">
        <f t="shared" si="6"/>
        <v>92503.045363713856</v>
      </c>
      <c r="I52" s="875">
        <f t="shared" si="6"/>
        <v>92714.910373009392</v>
      </c>
      <c r="J52" s="875">
        <f t="shared" si="6"/>
        <v>15973.941414018131</v>
      </c>
      <c r="K52" s="875">
        <f t="shared" si="6"/>
        <v>15973.941414018131</v>
      </c>
      <c r="L52" s="875">
        <f t="shared" si="6"/>
        <v>15973.941414018131</v>
      </c>
      <c r="M52" s="875">
        <f t="shared" si="6"/>
        <v>15973.941414018131</v>
      </c>
      <c r="N52" s="875">
        <f t="shared" si="6"/>
        <v>15973.941414018131</v>
      </c>
      <c r="O52" s="875">
        <f t="shared" si="6"/>
        <v>15973.941414018131</v>
      </c>
      <c r="P52" s="875">
        <f t="shared" si="6"/>
        <v>27620.44299392058</v>
      </c>
      <c r="Q52" s="875">
        <f t="shared" si="6"/>
        <v>27620.44299392058</v>
      </c>
      <c r="R52" s="875">
        <f t="shared" si="6"/>
        <v>27620.44299392058</v>
      </c>
      <c r="S52" s="875">
        <f t="shared" si="6"/>
        <v>27620.44299392058</v>
      </c>
      <c r="T52" s="875">
        <f t="shared" si="6"/>
        <v>27620.44299392058</v>
      </c>
      <c r="U52" s="875">
        <f t="shared" si="6"/>
        <v>27620.44299392058</v>
      </c>
      <c r="V52" s="875">
        <f t="shared" si="6"/>
        <v>27620.44299392058</v>
      </c>
      <c r="W52" s="875">
        <f t="shared" si="6"/>
        <v>27620.44299392058</v>
      </c>
      <c r="X52" s="875">
        <f t="shared" si="6"/>
        <v>27620.44299392058</v>
      </c>
      <c r="Y52" s="875">
        <f t="shared" si="6"/>
        <v>27620.44299392058</v>
      </c>
      <c r="Z52" s="875">
        <f t="shared" si="6"/>
        <v>27620.44299392058</v>
      </c>
      <c r="AA52" s="875">
        <f t="shared" si="6"/>
        <v>27620.44299392058</v>
      </c>
      <c r="AB52" s="875">
        <f t="shared" si="6"/>
        <v>27620.44299392058</v>
      </c>
      <c r="AC52" s="875">
        <f t="shared" si="6"/>
        <v>27620.44299392058</v>
      </c>
      <c r="AD52" s="875">
        <f t="shared" si="6"/>
        <v>27620.44299392058</v>
      </c>
      <c r="AE52" s="875">
        <f t="shared" si="6"/>
        <v>27620.44299392058</v>
      </c>
      <c r="AF52" s="875">
        <f t="shared" si="6"/>
        <v>27620.44299392058</v>
      </c>
      <c r="AG52" s="875">
        <f t="shared" si="6"/>
        <v>27620.44299392058</v>
      </c>
      <c r="AH52" s="875">
        <f t="shared" si="6"/>
        <v>27620.44299392058</v>
      </c>
      <c r="AI52" s="875">
        <f t="shared" si="6"/>
        <v>27620.44299392058</v>
      </c>
      <c r="AJ52" s="875">
        <f t="shared" si="6"/>
        <v>0</v>
      </c>
      <c r="AK52" s="875">
        <f t="shared" si="6"/>
        <v>0</v>
      </c>
      <c r="AL52" s="875">
        <f t="shared" si="6"/>
        <v>0</v>
      </c>
      <c r="AM52" s="875">
        <f t="shared" si="6"/>
        <v>0</v>
      </c>
      <c r="AN52" s="875">
        <f t="shared" si="6"/>
        <v>0</v>
      </c>
    </row>
    <row r="53" spans="3:40" x14ac:dyDescent="0.35">
      <c r="C53" s="931" t="s">
        <v>2</v>
      </c>
      <c r="D53" s="932"/>
      <c r="E53" s="811">
        <f t="shared" ref="E53:E60" si="7">SUM(F53:AN53)</f>
        <v>12178807.211884946</v>
      </c>
      <c r="F53" s="876">
        <f t="shared" ref="F53:AN53" si="8">$F$66*F47</f>
        <v>811002.54306078679</v>
      </c>
      <c r="G53" s="876">
        <f t="shared" si="8"/>
        <v>812199.67803760606</v>
      </c>
      <c r="H53" s="876">
        <f t="shared" si="8"/>
        <v>1171517.9473809248</v>
      </c>
      <c r="I53" s="876">
        <f t="shared" si="8"/>
        <v>1174201.1418620995</v>
      </c>
      <c r="J53" s="876">
        <f t="shared" si="8"/>
        <v>202304.24829099205</v>
      </c>
      <c r="K53" s="876">
        <f t="shared" si="8"/>
        <v>202304.24829099205</v>
      </c>
      <c r="L53" s="876">
        <f t="shared" si="8"/>
        <v>202304.24829099205</v>
      </c>
      <c r="M53" s="876">
        <f t="shared" si="8"/>
        <v>202304.24829099205</v>
      </c>
      <c r="N53" s="876">
        <f t="shared" si="8"/>
        <v>202304.24829099205</v>
      </c>
      <c r="O53" s="876">
        <f t="shared" si="8"/>
        <v>202304.24829099205</v>
      </c>
      <c r="P53" s="876">
        <f t="shared" si="8"/>
        <v>349803.02058987878</v>
      </c>
      <c r="Q53" s="876">
        <f t="shared" si="8"/>
        <v>349803.02058987878</v>
      </c>
      <c r="R53" s="876">
        <f t="shared" si="8"/>
        <v>349803.02058987878</v>
      </c>
      <c r="S53" s="876">
        <f t="shared" si="8"/>
        <v>349803.02058987878</v>
      </c>
      <c r="T53" s="876">
        <f t="shared" si="8"/>
        <v>349803.02058987878</v>
      </c>
      <c r="U53" s="876">
        <f t="shared" si="8"/>
        <v>349803.02058987878</v>
      </c>
      <c r="V53" s="876">
        <f t="shared" si="8"/>
        <v>349803.02058987878</v>
      </c>
      <c r="W53" s="876">
        <f t="shared" si="8"/>
        <v>349803.02058987878</v>
      </c>
      <c r="X53" s="876">
        <f t="shared" si="8"/>
        <v>349803.02058987878</v>
      </c>
      <c r="Y53" s="876">
        <f t="shared" si="8"/>
        <v>349803.02058987878</v>
      </c>
      <c r="Z53" s="876">
        <f t="shared" si="8"/>
        <v>349803.02058987878</v>
      </c>
      <c r="AA53" s="876">
        <f t="shared" si="8"/>
        <v>349803.02058987878</v>
      </c>
      <c r="AB53" s="876">
        <f t="shared" si="8"/>
        <v>349803.02058987878</v>
      </c>
      <c r="AC53" s="876">
        <f t="shared" si="8"/>
        <v>349803.02058987878</v>
      </c>
      <c r="AD53" s="876">
        <f t="shared" si="8"/>
        <v>349803.02058987878</v>
      </c>
      <c r="AE53" s="876">
        <f t="shared" si="8"/>
        <v>349803.02058987878</v>
      </c>
      <c r="AF53" s="876">
        <f t="shared" si="8"/>
        <v>349803.02058987878</v>
      </c>
      <c r="AG53" s="876">
        <f t="shared" si="8"/>
        <v>349803.02058987878</v>
      </c>
      <c r="AH53" s="876">
        <f t="shared" si="8"/>
        <v>349803.02058987878</v>
      </c>
      <c r="AI53" s="876">
        <f t="shared" si="8"/>
        <v>349803.02058987878</v>
      </c>
      <c r="AJ53" s="876">
        <f t="shared" si="8"/>
        <v>0</v>
      </c>
      <c r="AK53" s="876">
        <f t="shared" si="8"/>
        <v>0</v>
      </c>
      <c r="AL53" s="876">
        <f t="shared" si="8"/>
        <v>0</v>
      </c>
      <c r="AM53" s="876">
        <f t="shared" si="8"/>
        <v>0</v>
      </c>
      <c r="AN53" s="876">
        <f t="shared" si="8"/>
        <v>0</v>
      </c>
    </row>
    <row r="54" spans="3:40" x14ac:dyDescent="0.35">
      <c r="C54" s="931" t="s">
        <v>3</v>
      </c>
      <c r="D54" s="932"/>
      <c r="E54" s="811">
        <f t="shared" si="7"/>
        <v>1458944.4937354089</v>
      </c>
      <c r="F54" s="876">
        <f t="shared" ref="F54:AN54" si="9">$F$67*F47</f>
        <v>97153.003083035132</v>
      </c>
      <c r="G54" s="876">
        <f t="shared" si="9"/>
        <v>97296.41232273342</v>
      </c>
      <c r="H54" s="876">
        <f t="shared" si="9"/>
        <v>140340.4807143732</v>
      </c>
      <c r="I54" s="876">
        <f t="shared" si="9"/>
        <v>140661.91053470166</v>
      </c>
      <c r="J54" s="876">
        <f t="shared" si="9"/>
        <v>24234.776359329742</v>
      </c>
      <c r="K54" s="876">
        <f t="shared" si="9"/>
        <v>24234.776359329742</v>
      </c>
      <c r="L54" s="876">
        <f t="shared" si="9"/>
        <v>24234.776359329742</v>
      </c>
      <c r="M54" s="876">
        <f t="shared" si="9"/>
        <v>24234.776359329742</v>
      </c>
      <c r="N54" s="876">
        <f t="shared" si="9"/>
        <v>24234.776359329742</v>
      </c>
      <c r="O54" s="876">
        <f t="shared" si="9"/>
        <v>24234.776359329742</v>
      </c>
      <c r="P54" s="876">
        <f t="shared" si="9"/>
        <v>41904.201446229337</v>
      </c>
      <c r="Q54" s="876">
        <f t="shared" si="9"/>
        <v>41904.201446229337</v>
      </c>
      <c r="R54" s="876">
        <f t="shared" si="9"/>
        <v>41904.201446229337</v>
      </c>
      <c r="S54" s="876">
        <f t="shared" si="9"/>
        <v>41904.201446229337</v>
      </c>
      <c r="T54" s="876">
        <f t="shared" si="9"/>
        <v>41904.201446229337</v>
      </c>
      <c r="U54" s="876">
        <f t="shared" si="9"/>
        <v>41904.201446229337</v>
      </c>
      <c r="V54" s="876">
        <f t="shared" si="9"/>
        <v>41904.201446229337</v>
      </c>
      <c r="W54" s="876">
        <f t="shared" si="9"/>
        <v>41904.201446229337</v>
      </c>
      <c r="X54" s="876">
        <f t="shared" si="9"/>
        <v>41904.201446229337</v>
      </c>
      <c r="Y54" s="876">
        <f t="shared" si="9"/>
        <v>41904.201446229337</v>
      </c>
      <c r="Z54" s="876">
        <f t="shared" si="9"/>
        <v>41904.201446229337</v>
      </c>
      <c r="AA54" s="876">
        <f t="shared" si="9"/>
        <v>41904.201446229337</v>
      </c>
      <c r="AB54" s="876">
        <f t="shared" si="9"/>
        <v>41904.201446229337</v>
      </c>
      <c r="AC54" s="876">
        <f t="shared" si="9"/>
        <v>41904.201446229337</v>
      </c>
      <c r="AD54" s="876">
        <f t="shared" si="9"/>
        <v>41904.201446229337</v>
      </c>
      <c r="AE54" s="876">
        <f t="shared" si="9"/>
        <v>41904.201446229337</v>
      </c>
      <c r="AF54" s="876">
        <f t="shared" si="9"/>
        <v>41904.201446229337</v>
      </c>
      <c r="AG54" s="876">
        <f t="shared" si="9"/>
        <v>41904.201446229337</v>
      </c>
      <c r="AH54" s="876">
        <f t="shared" si="9"/>
        <v>41904.201446229337</v>
      </c>
      <c r="AI54" s="876">
        <f t="shared" si="9"/>
        <v>41904.201446229337</v>
      </c>
      <c r="AJ54" s="876">
        <f t="shared" si="9"/>
        <v>0</v>
      </c>
      <c r="AK54" s="876">
        <f t="shared" si="9"/>
        <v>0</v>
      </c>
      <c r="AL54" s="876">
        <f t="shared" si="9"/>
        <v>0</v>
      </c>
      <c r="AM54" s="876">
        <f t="shared" si="9"/>
        <v>0</v>
      </c>
      <c r="AN54" s="876">
        <f t="shared" si="9"/>
        <v>0</v>
      </c>
    </row>
    <row r="55" spans="3:40" x14ac:dyDescent="0.35">
      <c r="C55" s="931" t="s">
        <v>4</v>
      </c>
      <c r="D55" s="932"/>
      <c r="E55" s="811">
        <f t="shared" si="7"/>
        <v>3892844.0460147508</v>
      </c>
      <c r="F55" s="876">
        <f t="shared" ref="F55:AN55" si="10">$F$68*F47</f>
        <v>259229.52602255484</v>
      </c>
      <c r="G55" s="876">
        <f t="shared" si="10"/>
        <v>259612.17924020649</v>
      </c>
      <c r="H55" s="876">
        <f t="shared" si="10"/>
        <v>374464.96909900685</v>
      </c>
      <c r="I55" s="876">
        <f t="shared" si="10"/>
        <v>375322.62761010858</v>
      </c>
      <c r="J55" s="876">
        <f t="shared" si="10"/>
        <v>64664.697842867754</v>
      </c>
      <c r="K55" s="876">
        <f t="shared" si="10"/>
        <v>64664.697842867754</v>
      </c>
      <c r="L55" s="876">
        <f t="shared" si="10"/>
        <v>64664.697842867754</v>
      </c>
      <c r="M55" s="876">
        <f t="shared" si="10"/>
        <v>64664.697842867754</v>
      </c>
      <c r="N55" s="876">
        <f t="shared" si="10"/>
        <v>64664.697842867754</v>
      </c>
      <c r="O55" s="876">
        <f t="shared" si="10"/>
        <v>64664.697842867754</v>
      </c>
      <c r="P55" s="876">
        <f t="shared" si="10"/>
        <v>111811.32784928347</v>
      </c>
      <c r="Q55" s="876">
        <f t="shared" si="10"/>
        <v>111811.32784928347</v>
      </c>
      <c r="R55" s="876">
        <f t="shared" si="10"/>
        <v>111811.32784928347</v>
      </c>
      <c r="S55" s="876">
        <f t="shared" si="10"/>
        <v>111811.32784928347</v>
      </c>
      <c r="T55" s="876">
        <f t="shared" si="10"/>
        <v>111811.32784928347</v>
      </c>
      <c r="U55" s="876">
        <f t="shared" si="10"/>
        <v>111811.32784928347</v>
      </c>
      <c r="V55" s="876">
        <f t="shared" si="10"/>
        <v>111811.32784928347</v>
      </c>
      <c r="W55" s="876">
        <f t="shared" si="10"/>
        <v>111811.32784928347</v>
      </c>
      <c r="X55" s="876">
        <f t="shared" si="10"/>
        <v>111811.32784928347</v>
      </c>
      <c r="Y55" s="876">
        <f t="shared" si="10"/>
        <v>111811.32784928347</v>
      </c>
      <c r="Z55" s="876">
        <f t="shared" si="10"/>
        <v>111811.32784928347</v>
      </c>
      <c r="AA55" s="876">
        <f t="shared" si="10"/>
        <v>111811.32784928347</v>
      </c>
      <c r="AB55" s="876">
        <f t="shared" si="10"/>
        <v>111811.32784928347</v>
      </c>
      <c r="AC55" s="876">
        <f t="shared" si="10"/>
        <v>111811.32784928347</v>
      </c>
      <c r="AD55" s="876">
        <f t="shared" si="10"/>
        <v>111811.32784928347</v>
      </c>
      <c r="AE55" s="876">
        <f t="shared" si="10"/>
        <v>111811.32784928347</v>
      </c>
      <c r="AF55" s="876">
        <f t="shared" si="10"/>
        <v>111811.32784928347</v>
      </c>
      <c r="AG55" s="876">
        <f t="shared" si="10"/>
        <v>111811.32784928347</v>
      </c>
      <c r="AH55" s="876">
        <f t="shared" si="10"/>
        <v>111811.32784928347</v>
      </c>
      <c r="AI55" s="876">
        <f t="shared" si="10"/>
        <v>111811.32784928347</v>
      </c>
      <c r="AJ55" s="876">
        <f t="shared" si="10"/>
        <v>0</v>
      </c>
      <c r="AK55" s="876">
        <f t="shared" si="10"/>
        <v>0</v>
      </c>
      <c r="AL55" s="876">
        <f t="shared" si="10"/>
        <v>0</v>
      </c>
      <c r="AM55" s="876">
        <f t="shared" si="10"/>
        <v>0</v>
      </c>
      <c r="AN55" s="876">
        <f t="shared" si="10"/>
        <v>0</v>
      </c>
    </row>
    <row r="56" spans="3:40" x14ac:dyDescent="0.35">
      <c r="C56" s="931" t="s">
        <v>5</v>
      </c>
      <c r="D56" s="932"/>
      <c r="E56" s="811">
        <f t="shared" si="7"/>
        <v>8454542.5866727568</v>
      </c>
      <c r="F56" s="876">
        <f t="shared" ref="F56:AN56" si="11">$F$69*F47</f>
        <v>562998.93896966521</v>
      </c>
      <c r="G56" s="876">
        <f t="shared" si="11"/>
        <v>563829.99150768679</v>
      </c>
      <c r="H56" s="876">
        <f t="shared" si="11"/>
        <v>813269.16543336248</v>
      </c>
      <c r="I56" s="876">
        <f t="shared" si="11"/>
        <v>815131.842263264</v>
      </c>
      <c r="J56" s="876">
        <f t="shared" si="11"/>
        <v>140439.85202195271</v>
      </c>
      <c r="K56" s="876">
        <f t="shared" si="11"/>
        <v>140439.85202195271</v>
      </c>
      <c r="L56" s="876">
        <f t="shared" si="11"/>
        <v>140439.85202195271</v>
      </c>
      <c r="M56" s="876">
        <f t="shared" si="11"/>
        <v>140439.85202195271</v>
      </c>
      <c r="N56" s="876">
        <f t="shared" si="11"/>
        <v>140439.85202195271</v>
      </c>
      <c r="O56" s="876">
        <f t="shared" si="11"/>
        <v>140439.85202195271</v>
      </c>
      <c r="P56" s="876">
        <f t="shared" si="11"/>
        <v>242833.67681835321</v>
      </c>
      <c r="Q56" s="876">
        <f t="shared" si="11"/>
        <v>242833.67681835321</v>
      </c>
      <c r="R56" s="876">
        <f t="shared" si="11"/>
        <v>242833.67681835321</v>
      </c>
      <c r="S56" s="876">
        <f t="shared" si="11"/>
        <v>242833.67681835321</v>
      </c>
      <c r="T56" s="876">
        <f t="shared" si="11"/>
        <v>242833.67681835321</v>
      </c>
      <c r="U56" s="876">
        <f t="shared" si="11"/>
        <v>242833.67681835321</v>
      </c>
      <c r="V56" s="876">
        <f t="shared" si="11"/>
        <v>242833.67681835321</v>
      </c>
      <c r="W56" s="876">
        <f t="shared" si="11"/>
        <v>242833.67681835321</v>
      </c>
      <c r="X56" s="876">
        <f t="shared" si="11"/>
        <v>242833.67681835321</v>
      </c>
      <c r="Y56" s="876">
        <f t="shared" si="11"/>
        <v>242833.67681835321</v>
      </c>
      <c r="Z56" s="876">
        <f t="shared" si="11"/>
        <v>242833.67681835321</v>
      </c>
      <c r="AA56" s="876">
        <f t="shared" si="11"/>
        <v>242833.67681835321</v>
      </c>
      <c r="AB56" s="876">
        <f t="shared" si="11"/>
        <v>242833.67681835321</v>
      </c>
      <c r="AC56" s="876">
        <f t="shared" si="11"/>
        <v>242833.67681835321</v>
      </c>
      <c r="AD56" s="876">
        <f t="shared" si="11"/>
        <v>242833.67681835321</v>
      </c>
      <c r="AE56" s="876">
        <f t="shared" si="11"/>
        <v>242833.67681835321</v>
      </c>
      <c r="AF56" s="876">
        <f t="shared" si="11"/>
        <v>242833.67681835321</v>
      </c>
      <c r="AG56" s="876">
        <f t="shared" si="11"/>
        <v>242833.67681835321</v>
      </c>
      <c r="AH56" s="876">
        <f t="shared" si="11"/>
        <v>242833.67681835321</v>
      </c>
      <c r="AI56" s="876">
        <f t="shared" si="11"/>
        <v>242833.67681835321</v>
      </c>
      <c r="AJ56" s="876">
        <f t="shared" si="11"/>
        <v>0</v>
      </c>
      <c r="AK56" s="876">
        <f t="shared" si="11"/>
        <v>0</v>
      </c>
      <c r="AL56" s="876">
        <f t="shared" si="11"/>
        <v>0</v>
      </c>
      <c r="AM56" s="876">
        <f t="shared" si="11"/>
        <v>0</v>
      </c>
      <c r="AN56" s="876">
        <f t="shared" si="11"/>
        <v>0</v>
      </c>
    </row>
    <row r="57" spans="3:40" x14ac:dyDescent="0.35">
      <c r="C57" s="931" t="s">
        <v>6</v>
      </c>
      <c r="D57" s="932"/>
      <c r="E57" s="811">
        <f t="shared" si="7"/>
        <v>93590307.794776455</v>
      </c>
      <c r="F57" s="876">
        <f t="shared" ref="F57:AN57" si="12">$F$70*F47</f>
        <v>6232299.7898624251</v>
      </c>
      <c r="G57" s="876">
        <f t="shared" si="12"/>
        <v>6241499.3961131154</v>
      </c>
      <c r="H57" s="876">
        <f t="shared" si="12"/>
        <v>9002747.4263233598</v>
      </c>
      <c r="I57" s="876">
        <f t="shared" si="12"/>
        <v>9023366.9330613688</v>
      </c>
      <c r="J57" s="876">
        <f t="shared" si="12"/>
        <v>1554644.5999463701</v>
      </c>
      <c r="K57" s="876">
        <f t="shared" si="12"/>
        <v>1554644.5999463701</v>
      </c>
      <c r="L57" s="876">
        <f t="shared" si="12"/>
        <v>1554644.5999463701</v>
      </c>
      <c r="M57" s="876">
        <f t="shared" si="12"/>
        <v>1554644.5999463701</v>
      </c>
      <c r="N57" s="876">
        <f t="shared" si="12"/>
        <v>1554644.5999463701</v>
      </c>
      <c r="O57" s="876">
        <f t="shared" si="12"/>
        <v>1554644.5999463701</v>
      </c>
      <c r="P57" s="876">
        <f t="shared" si="12"/>
        <v>2688126.3324869014</v>
      </c>
      <c r="Q57" s="876">
        <f t="shared" si="12"/>
        <v>2688126.3324869014</v>
      </c>
      <c r="R57" s="876">
        <f t="shared" si="12"/>
        <v>2688126.3324869014</v>
      </c>
      <c r="S57" s="876">
        <f t="shared" si="12"/>
        <v>2688126.3324869014</v>
      </c>
      <c r="T57" s="876">
        <f t="shared" si="12"/>
        <v>2688126.3324869014</v>
      </c>
      <c r="U57" s="876">
        <f t="shared" si="12"/>
        <v>2688126.3324869014</v>
      </c>
      <c r="V57" s="876">
        <f t="shared" si="12"/>
        <v>2688126.3324869014</v>
      </c>
      <c r="W57" s="876">
        <f t="shared" si="12"/>
        <v>2688126.3324869014</v>
      </c>
      <c r="X57" s="876">
        <f t="shared" si="12"/>
        <v>2688126.3324869014</v>
      </c>
      <c r="Y57" s="876">
        <f t="shared" si="12"/>
        <v>2688126.3324869014</v>
      </c>
      <c r="Z57" s="876">
        <f t="shared" si="12"/>
        <v>2688126.3324869014</v>
      </c>
      <c r="AA57" s="876">
        <f t="shared" si="12"/>
        <v>2688126.3324869014</v>
      </c>
      <c r="AB57" s="876">
        <f t="shared" si="12"/>
        <v>2688126.3324869014</v>
      </c>
      <c r="AC57" s="876">
        <f t="shared" si="12"/>
        <v>2688126.3324869014</v>
      </c>
      <c r="AD57" s="876">
        <f t="shared" si="12"/>
        <v>2688126.3324869014</v>
      </c>
      <c r="AE57" s="876">
        <f t="shared" si="12"/>
        <v>2688126.3324869014</v>
      </c>
      <c r="AF57" s="876">
        <f t="shared" si="12"/>
        <v>2688126.3324869014</v>
      </c>
      <c r="AG57" s="876">
        <f t="shared" si="12"/>
        <v>2688126.3324869014</v>
      </c>
      <c r="AH57" s="876">
        <f t="shared" si="12"/>
        <v>2688126.3324869014</v>
      </c>
      <c r="AI57" s="876">
        <f t="shared" si="12"/>
        <v>2688126.3324869014</v>
      </c>
      <c r="AJ57" s="876">
        <f t="shared" si="12"/>
        <v>0</v>
      </c>
      <c r="AK57" s="876">
        <f t="shared" si="12"/>
        <v>0</v>
      </c>
      <c r="AL57" s="876">
        <f t="shared" si="12"/>
        <v>0</v>
      </c>
      <c r="AM57" s="876">
        <f t="shared" si="12"/>
        <v>0</v>
      </c>
      <c r="AN57" s="876">
        <f t="shared" si="12"/>
        <v>0</v>
      </c>
    </row>
    <row r="58" spans="3:40" x14ac:dyDescent="0.35">
      <c r="C58" s="931" t="s">
        <v>7</v>
      </c>
      <c r="D58" s="932"/>
      <c r="E58" s="811">
        <f t="shared" si="7"/>
        <v>7642165.5638208557</v>
      </c>
      <c r="F58" s="876">
        <f t="shared" ref="F58:AN58" si="13">$F$71*F47</f>
        <v>508901.7010386716</v>
      </c>
      <c r="G58" s="876">
        <f t="shared" si="13"/>
        <v>509652.8997017201</v>
      </c>
      <c r="H58" s="876">
        <f t="shared" si="13"/>
        <v>735124.05271804403</v>
      </c>
      <c r="I58" s="876">
        <f t="shared" si="13"/>
        <v>736807.74933203228</v>
      </c>
      <c r="J58" s="876">
        <f t="shared" si="13"/>
        <v>126945.31843769943</v>
      </c>
      <c r="K58" s="876">
        <f t="shared" si="13"/>
        <v>126945.31843769943</v>
      </c>
      <c r="L58" s="876">
        <f t="shared" si="13"/>
        <v>126945.31843769943</v>
      </c>
      <c r="M58" s="876">
        <f t="shared" si="13"/>
        <v>126945.31843769943</v>
      </c>
      <c r="N58" s="876">
        <f t="shared" si="13"/>
        <v>126945.31843769943</v>
      </c>
      <c r="O58" s="876">
        <f t="shared" si="13"/>
        <v>126945.31843769943</v>
      </c>
      <c r="P58" s="876">
        <f t="shared" si="13"/>
        <v>219500.3625202098</v>
      </c>
      <c r="Q58" s="876">
        <f t="shared" si="13"/>
        <v>219500.3625202098</v>
      </c>
      <c r="R58" s="876">
        <f t="shared" si="13"/>
        <v>219500.3625202098</v>
      </c>
      <c r="S58" s="876">
        <f t="shared" si="13"/>
        <v>219500.3625202098</v>
      </c>
      <c r="T58" s="876">
        <f t="shared" si="13"/>
        <v>219500.3625202098</v>
      </c>
      <c r="U58" s="876">
        <f t="shared" si="13"/>
        <v>219500.3625202098</v>
      </c>
      <c r="V58" s="876">
        <f t="shared" si="13"/>
        <v>219500.3625202098</v>
      </c>
      <c r="W58" s="876">
        <f t="shared" si="13"/>
        <v>219500.3625202098</v>
      </c>
      <c r="X58" s="876">
        <f t="shared" si="13"/>
        <v>219500.3625202098</v>
      </c>
      <c r="Y58" s="876">
        <f t="shared" si="13"/>
        <v>219500.3625202098</v>
      </c>
      <c r="Z58" s="876">
        <f t="shared" si="13"/>
        <v>219500.3625202098</v>
      </c>
      <c r="AA58" s="876">
        <f t="shared" si="13"/>
        <v>219500.3625202098</v>
      </c>
      <c r="AB58" s="876">
        <f t="shared" si="13"/>
        <v>219500.3625202098</v>
      </c>
      <c r="AC58" s="876">
        <f t="shared" si="13"/>
        <v>219500.3625202098</v>
      </c>
      <c r="AD58" s="876">
        <f t="shared" si="13"/>
        <v>219500.3625202098</v>
      </c>
      <c r="AE58" s="876">
        <f t="shared" si="13"/>
        <v>219500.3625202098</v>
      </c>
      <c r="AF58" s="876">
        <f t="shared" si="13"/>
        <v>219500.3625202098</v>
      </c>
      <c r="AG58" s="876">
        <f t="shared" si="13"/>
        <v>219500.3625202098</v>
      </c>
      <c r="AH58" s="876">
        <f t="shared" si="13"/>
        <v>219500.3625202098</v>
      </c>
      <c r="AI58" s="876">
        <f t="shared" si="13"/>
        <v>219500.3625202098</v>
      </c>
      <c r="AJ58" s="876">
        <f t="shared" si="13"/>
        <v>0</v>
      </c>
      <c r="AK58" s="876">
        <f t="shared" si="13"/>
        <v>0</v>
      </c>
      <c r="AL58" s="876">
        <f t="shared" si="13"/>
        <v>0</v>
      </c>
      <c r="AM58" s="876">
        <f t="shared" si="13"/>
        <v>0</v>
      </c>
      <c r="AN58" s="876">
        <f t="shared" si="13"/>
        <v>0</v>
      </c>
    </row>
    <row r="59" spans="3:40" x14ac:dyDescent="0.35">
      <c r="C59" s="931" t="s">
        <v>8</v>
      </c>
      <c r="D59" s="932"/>
      <c r="E59" s="811">
        <f t="shared" si="7"/>
        <v>6962411.6769129857</v>
      </c>
      <c r="F59" s="876">
        <f t="shared" ref="F59:AN59" si="14">$F$72*F47</f>
        <v>463636.00946915866</v>
      </c>
      <c r="G59" s="876">
        <f t="shared" si="14"/>
        <v>464320.39065661293</v>
      </c>
      <c r="H59" s="876">
        <f t="shared" si="14"/>
        <v>669736.37850168941</v>
      </c>
      <c r="I59" s="876">
        <f t="shared" si="14"/>
        <v>671270.3139899635</v>
      </c>
      <c r="J59" s="876">
        <f t="shared" si="14"/>
        <v>115653.81043356752</v>
      </c>
      <c r="K59" s="876">
        <f t="shared" si="14"/>
        <v>115653.81043356752</v>
      </c>
      <c r="L59" s="876">
        <f t="shared" si="14"/>
        <v>115653.81043356752</v>
      </c>
      <c r="M59" s="876">
        <f t="shared" si="14"/>
        <v>115653.81043356752</v>
      </c>
      <c r="N59" s="876">
        <f t="shared" si="14"/>
        <v>115653.81043356752</v>
      </c>
      <c r="O59" s="876">
        <f t="shared" si="14"/>
        <v>115653.81043356752</v>
      </c>
      <c r="P59" s="876">
        <f t="shared" si="14"/>
        <v>199976.28608470762</v>
      </c>
      <c r="Q59" s="876">
        <f t="shared" si="14"/>
        <v>199976.28608470762</v>
      </c>
      <c r="R59" s="876">
        <f t="shared" si="14"/>
        <v>199976.28608470762</v>
      </c>
      <c r="S59" s="876">
        <f t="shared" si="14"/>
        <v>199976.28608470762</v>
      </c>
      <c r="T59" s="876">
        <f t="shared" si="14"/>
        <v>199976.28608470762</v>
      </c>
      <c r="U59" s="876">
        <f t="shared" si="14"/>
        <v>199976.28608470762</v>
      </c>
      <c r="V59" s="876">
        <f t="shared" si="14"/>
        <v>199976.28608470762</v>
      </c>
      <c r="W59" s="876">
        <f t="shared" si="14"/>
        <v>199976.28608470762</v>
      </c>
      <c r="X59" s="876">
        <f t="shared" si="14"/>
        <v>199976.28608470762</v>
      </c>
      <c r="Y59" s="876">
        <f t="shared" si="14"/>
        <v>199976.28608470762</v>
      </c>
      <c r="Z59" s="876">
        <f t="shared" si="14"/>
        <v>199976.28608470762</v>
      </c>
      <c r="AA59" s="876">
        <f t="shared" si="14"/>
        <v>199976.28608470762</v>
      </c>
      <c r="AB59" s="876">
        <f t="shared" si="14"/>
        <v>199976.28608470762</v>
      </c>
      <c r="AC59" s="876">
        <f t="shared" si="14"/>
        <v>199976.28608470762</v>
      </c>
      <c r="AD59" s="876">
        <f t="shared" si="14"/>
        <v>199976.28608470762</v>
      </c>
      <c r="AE59" s="876">
        <f t="shared" si="14"/>
        <v>199976.28608470762</v>
      </c>
      <c r="AF59" s="876">
        <f t="shared" si="14"/>
        <v>199976.28608470762</v>
      </c>
      <c r="AG59" s="876">
        <f t="shared" si="14"/>
        <v>199976.28608470762</v>
      </c>
      <c r="AH59" s="876">
        <f t="shared" si="14"/>
        <v>199976.28608470762</v>
      </c>
      <c r="AI59" s="876">
        <f t="shared" si="14"/>
        <v>199976.28608470762</v>
      </c>
      <c r="AJ59" s="876">
        <f t="shared" si="14"/>
        <v>0</v>
      </c>
      <c r="AK59" s="876">
        <f t="shared" si="14"/>
        <v>0</v>
      </c>
      <c r="AL59" s="876">
        <f t="shared" si="14"/>
        <v>0</v>
      </c>
      <c r="AM59" s="876">
        <f t="shared" si="14"/>
        <v>0</v>
      </c>
      <c r="AN59" s="876">
        <f t="shared" si="14"/>
        <v>0</v>
      </c>
    </row>
    <row r="60" spans="3:40" x14ac:dyDescent="0.35">
      <c r="C60" s="878" t="s">
        <v>9</v>
      </c>
      <c r="D60" s="880"/>
      <c r="E60" s="811">
        <f t="shared" si="7"/>
        <v>5712896.8010007888</v>
      </c>
      <c r="F60" s="876">
        <f t="shared" ref="F60:AN60" si="15">$F$73*F47</f>
        <v>380429.19583570509</v>
      </c>
      <c r="G60" s="876">
        <f t="shared" si="15"/>
        <v>380990.75399657019</v>
      </c>
      <c r="H60" s="876">
        <f t="shared" si="15"/>
        <v>549541.59446552594</v>
      </c>
      <c r="I60" s="876">
        <f t="shared" si="15"/>
        <v>550800.24097345374</v>
      </c>
      <c r="J60" s="876">
        <f t="shared" si="15"/>
        <v>94897.905253202625</v>
      </c>
      <c r="K60" s="876">
        <f t="shared" si="15"/>
        <v>94897.905253202625</v>
      </c>
      <c r="L60" s="876">
        <f t="shared" si="15"/>
        <v>94897.905253202625</v>
      </c>
      <c r="M60" s="876">
        <f t="shared" si="15"/>
        <v>94897.905253202625</v>
      </c>
      <c r="N60" s="876">
        <f t="shared" si="15"/>
        <v>94897.905253202625</v>
      </c>
      <c r="O60" s="876">
        <f t="shared" si="15"/>
        <v>94897.905253202625</v>
      </c>
      <c r="P60" s="876">
        <f t="shared" si="15"/>
        <v>164087.37921051602</v>
      </c>
      <c r="Q60" s="876">
        <f t="shared" si="15"/>
        <v>164087.37921051602</v>
      </c>
      <c r="R60" s="876">
        <f t="shared" si="15"/>
        <v>164087.37921051602</v>
      </c>
      <c r="S60" s="876">
        <f t="shared" si="15"/>
        <v>164087.37921051602</v>
      </c>
      <c r="T60" s="876">
        <f t="shared" si="15"/>
        <v>164087.37921051602</v>
      </c>
      <c r="U60" s="876">
        <f t="shared" si="15"/>
        <v>164087.37921051602</v>
      </c>
      <c r="V60" s="876">
        <f t="shared" si="15"/>
        <v>164087.37921051602</v>
      </c>
      <c r="W60" s="876">
        <f t="shared" si="15"/>
        <v>164087.37921051602</v>
      </c>
      <c r="X60" s="876">
        <f t="shared" si="15"/>
        <v>164087.37921051602</v>
      </c>
      <c r="Y60" s="876">
        <f t="shared" si="15"/>
        <v>164087.37921051602</v>
      </c>
      <c r="Z60" s="876">
        <f t="shared" si="15"/>
        <v>164087.37921051602</v>
      </c>
      <c r="AA60" s="876">
        <f t="shared" si="15"/>
        <v>164087.37921051602</v>
      </c>
      <c r="AB60" s="876">
        <f t="shared" si="15"/>
        <v>164087.37921051602</v>
      </c>
      <c r="AC60" s="876">
        <f t="shared" si="15"/>
        <v>164087.37921051602</v>
      </c>
      <c r="AD60" s="876">
        <f t="shared" si="15"/>
        <v>164087.37921051602</v>
      </c>
      <c r="AE60" s="876">
        <f t="shared" si="15"/>
        <v>164087.37921051602</v>
      </c>
      <c r="AF60" s="876">
        <f t="shared" si="15"/>
        <v>164087.37921051602</v>
      </c>
      <c r="AG60" s="876">
        <f t="shared" si="15"/>
        <v>164087.37921051602</v>
      </c>
      <c r="AH60" s="876">
        <f t="shared" si="15"/>
        <v>164087.37921051602</v>
      </c>
      <c r="AI60" s="876">
        <f t="shared" si="15"/>
        <v>164087.37921051602</v>
      </c>
      <c r="AJ60" s="876">
        <f t="shared" si="15"/>
        <v>0</v>
      </c>
      <c r="AK60" s="876">
        <f t="shared" si="15"/>
        <v>0</v>
      </c>
      <c r="AL60" s="876">
        <f t="shared" si="15"/>
        <v>0</v>
      </c>
      <c r="AM60" s="876">
        <f t="shared" si="15"/>
        <v>0</v>
      </c>
      <c r="AN60" s="876">
        <f t="shared" si="15"/>
        <v>0</v>
      </c>
    </row>
    <row r="61" spans="3:40" x14ac:dyDescent="0.35">
      <c r="C61" s="800" t="s">
        <v>455</v>
      </c>
      <c r="D61" s="861"/>
      <c r="E61" s="801">
        <f t="shared" ref="E61:AN61" si="16">SUM(E52:E60)</f>
        <v>140854558.66999996</v>
      </c>
      <c r="F61" s="801">
        <f t="shared" si="16"/>
        <v>9379687.4600000028</v>
      </c>
      <c r="G61" s="801">
        <f t="shared" si="16"/>
        <v>9393532.9800000004</v>
      </c>
      <c r="H61" s="801">
        <f t="shared" si="16"/>
        <v>13549245.059999999</v>
      </c>
      <c r="I61" s="801">
        <f t="shared" si="16"/>
        <v>13580277.670000002</v>
      </c>
      <c r="J61" s="801">
        <f t="shared" si="16"/>
        <v>2339759.15</v>
      </c>
      <c r="K61" s="801">
        <f t="shared" si="16"/>
        <v>2339759.15</v>
      </c>
      <c r="L61" s="801">
        <f t="shared" si="16"/>
        <v>2339759.15</v>
      </c>
      <c r="M61" s="801">
        <f t="shared" si="16"/>
        <v>2339759.15</v>
      </c>
      <c r="N61" s="801">
        <f t="shared" si="16"/>
        <v>2339759.15</v>
      </c>
      <c r="O61" s="801">
        <f t="shared" si="16"/>
        <v>2339759.15</v>
      </c>
      <c r="P61" s="801">
        <f t="shared" si="16"/>
        <v>4045663.0300000007</v>
      </c>
      <c r="Q61" s="801">
        <f t="shared" si="16"/>
        <v>4045663.0300000007</v>
      </c>
      <c r="R61" s="801">
        <f t="shared" si="16"/>
        <v>4045663.0300000007</v>
      </c>
      <c r="S61" s="801">
        <f t="shared" si="16"/>
        <v>4045663.0300000007</v>
      </c>
      <c r="T61" s="801">
        <f t="shared" si="16"/>
        <v>4045663.0300000007</v>
      </c>
      <c r="U61" s="801">
        <f t="shared" si="16"/>
        <v>4045663.0300000007</v>
      </c>
      <c r="V61" s="801">
        <f t="shared" si="16"/>
        <v>4045663.0300000007</v>
      </c>
      <c r="W61" s="801">
        <f t="shared" si="16"/>
        <v>4045663.0300000007</v>
      </c>
      <c r="X61" s="801">
        <f t="shared" si="16"/>
        <v>4045663.0300000007</v>
      </c>
      <c r="Y61" s="801">
        <f t="shared" si="16"/>
        <v>4045663.0300000007</v>
      </c>
      <c r="Z61" s="801">
        <f t="shared" si="16"/>
        <v>4045663.0300000007</v>
      </c>
      <c r="AA61" s="801">
        <f t="shared" si="16"/>
        <v>4045663.0300000007</v>
      </c>
      <c r="AB61" s="801">
        <f t="shared" si="16"/>
        <v>4045663.0300000007</v>
      </c>
      <c r="AC61" s="801">
        <f t="shared" si="16"/>
        <v>4045663.0300000007</v>
      </c>
      <c r="AD61" s="801">
        <f t="shared" si="16"/>
        <v>4045663.0300000007</v>
      </c>
      <c r="AE61" s="801">
        <f t="shared" si="16"/>
        <v>4045663.0300000007</v>
      </c>
      <c r="AF61" s="801">
        <f t="shared" si="16"/>
        <v>4045663.0300000007</v>
      </c>
      <c r="AG61" s="801">
        <f t="shared" si="16"/>
        <v>4045663.0300000007</v>
      </c>
      <c r="AH61" s="801">
        <f t="shared" si="16"/>
        <v>4045663.0300000007</v>
      </c>
      <c r="AI61" s="801">
        <f t="shared" si="16"/>
        <v>4045663.0300000007</v>
      </c>
      <c r="AJ61" s="801">
        <f t="shared" si="16"/>
        <v>0</v>
      </c>
      <c r="AK61" s="801">
        <f t="shared" si="16"/>
        <v>0</v>
      </c>
      <c r="AL61" s="801">
        <f t="shared" si="16"/>
        <v>0</v>
      </c>
      <c r="AM61" s="801">
        <f t="shared" si="16"/>
        <v>0</v>
      </c>
      <c r="AN61" s="801">
        <f t="shared" si="16"/>
        <v>0</v>
      </c>
    </row>
    <row r="62" spans="3:40" x14ac:dyDescent="0.35">
      <c r="F62" s="221"/>
    </row>
    <row r="63" spans="3:40" x14ac:dyDescent="0.35">
      <c r="C63" s="77" t="s">
        <v>839</v>
      </c>
    </row>
    <row r="64" spans="3:40" x14ac:dyDescent="0.35">
      <c r="C64" s="862" t="s">
        <v>68</v>
      </c>
      <c r="D64" s="892"/>
      <c r="E64" s="869"/>
      <c r="F64" s="802" t="s">
        <v>176</v>
      </c>
      <c r="G64" s="1013"/>
      <c r="H64" s="1014"/>
      <c r="I64" s="1014"/>
      <c r="J64" s="1014"/>
      <c r="K64" s="1014"/>
      <c r="L64" s="1014"/>
      <c r="M64" s="1014"/>
      <c r="N64" s="1014"/>
      <c r="O64" s="1014"/>
      <c r="P64" s="1014"/>
      <c r="Q64" s="1014"/>
      <c r="R64" s="1014"/>
      <c r="S64" s="1014"/>
      <c r="T64" s="1014"/>
      <c r="U64" s="1014"/>
      <c r="V64" s="1014"/>
      <c r="W64" s="1014"/>
      <c r="X64" s="1014"/>
      <c r="Y64" s="1014"/>
      <c r="Z64" s="1014"/>
      <c r="AA64" s="1014"/>
      <c r="AB64" s="1014"/>
      <c r="AC64" s="1014"/>
      <c r="AD64" s="1014"/>
      <c r="AE64" s="1014"/>
      <c r="AF64" s="1014"/>
      <c r="AG64" s="1014"/>
      <c r="AH64" s="1014"/>
      <c r="AI64" s="1014"/>
      <c r="AJ64" s="1014"/>
      <c r="AK64" s="1014"/>
      <c r="AL64" s="1014"/>
      <c r="AM64" s="1014"/>
      <c r="AN64" s="1014"/>
    </row>
    <row r="65" spans="3:40" x14ac:dyDescent="0.35">
      <c r="C65" s="895" t="s">
        <v>1</v>
      </c>
      <c r="D65" s="896"/>
      <c r="E65" s="897"/>
      <c r="F65" s="1067">
        <f>'Premissas Gerais'!G165</f>
        <v>6.8271733926195486E-3</v>
      </c>
      <c r="G65" s="1028"/>
      <c r="H65" s="1029"/>
      <c r="I65" s="1029"/>
      <c r="J65" s="1029"/>
      <c r="K65" s="1029"/>
      <c r="L65" s="1029"/>
      <c r="M65" s="1029"/>
      <c r="N65" s="1029"/>
      <c r="O65" s="1029"/>
      <c r="P65" s="1029"/>
      <c r="Q65" s="1029"/>
      <c r="R65" s="1029"/>
      <c r="S65" s="1029"/>
      <c r="T65" s="1029"/>
      <c r="U65" s="1029"/>
      <c r="V65" s="1029"/>
      <c r="W65" s="1029"/>
      <c r="X65" s="1029"/>
      <c r="Y65" s="1029"/>
      <c r="Z65" s="1029"/>
      <c r="AA65" s="1029"/>
      <c r="AB65" s="1029"/>
      <c r="AC65" s="1029"/>
      <c r="AD65" s="1029"/>
      <c r="AE65" s="1029"/>
      <c r="AF65" s="1029"/>
      <c r="AG65" s="1029"/>
      <c r="AH65" s="1029"/>
      <c r="AI65" s="1029"/>
      <c r="AJ65" s="1029"/>
      <c r="AK65" s="1029"/>
      <c r="AL65" s="1029"/>
      <c r="AM65" s="1029"/>
      <c r="AN65" s="1029"/>
    </row>
    <row r="66" spans="3:40" x14ac:dyDescent="0.35">
      <c r="C66" s="898" t="s">
        <v>2</v>
      </c>
      <c r="D66" s="899"/>
      <c r="E66" s="900"/>
      <c r="F66" s="1068">
        <f>'Premissas Gerais'!G166</f>
        <v>8.6463706442174645E-2</v>
      </c>
      <c r="G66" s="1028"/>
      <c r="H66" s="1029"/>
      <c r="I66" s="1029"/>
      <c r="J66" s="1029"/>
      <c r="K66" s="1029"/>
      <c r="L66" s="1029"/>
      <c r="M66" s="1029"/>
      <c r="N66" s="1029"/>
      <c r="O66" s="1029"/>
      <c r="P66" s="1029"/>
      <c r="Q66" s="1029"/>
      <c r="R66" s="1029"/>
      <c r="S66" s="1029"/>
      <c r="T66" s="1029"/>
      <c r="U66" s="1029"/>
      <c r="V66" s="1029"/>
      <c r="W66" s="1029"/>
      <c r="X66" s="1029"/>
      <c r="Y66" s="1029"/>
      <c r="Z66" s="1029"/>
      <c r="AA66" s="1029"/>
      <c r="AB66" s="1029"/>
      <c r="AC66" s="1029"/>
      <c r="AD66" s="1029"/>
      <c r="AE66" s="1029"/>
      <c r="AF66" s="1029"/>
      <c r="AG66" s="1029"/>
      <c r="AH66" s="1029"/>
      <c r="AI66" s="1029"/>
      <c r="AJ66" s="1029"/>
      <c r="AK66" s="1029"/>
      <c r="AL66" s="1029"/>
      <c r="AM66" s="1029"/>
      <c r="AN66" s="1029"/>
    </row>
    <row r="67" spans="3:40" x14ac:dyDescent="0.35">
      <c r="C67" s="898" t="s">
        <v>3</v>
      </c>
      <c r="D67" s="899"/>
      <c r="E67" s="900"/>
      <c r="F67" s="1068">
        <f>'Premissas Gerais'!G167</f>
        <v>1.0357808135649236E-2</v>
      </c>
      <c r="G67" s="1028"/>
      <c r="H67" s="1029"/>
      <c r="I67" s="1029"/>
      <c r="J67" s="1029"/>
      <c r="K67" s="1029"/>
      <c r="L67" s="1029"/>
      <c r="M67" s="1029"/>
      <c r="N67" s="1029"/>
      <c r="O67" s="1029"/>
      <c r="P67" s="1029"/>
      <c r="Q67" s="1029"/>
      <c r="R67" s="1029"/>
      <c r="S67" s="1029"/>
      <c r="T67" s="1029"/>
      <c r="U67" s="1029"/>
      <c r="V67" s="1029"/>
      <c r="W67" s="1029"/>
      <c r="X67" s="1029"/>
      <c r="Y67" s="1029"/>
      <c r="Z67" s="1029"/>
      <c r="AA67" s="1029"/>
      <c r="AB67" s="1029"/>
      <c r="AC67" s="1029"/>
      <c r="AD67" s="1029"/>
      <c r="AE67" s="1029"/>
      <c r="AF67" s="1029"/>
      <c r="AG67" s="1029"/>
      <c r="AH67" s="1029"/>
      <c r="AI67" s="1029"/>
      <c r="AJ67" s="1029"/>
      <c r="AK67" s="1029"/>
      <c r="AL67" s="1029"/>
      <c r="AM67" s="1029"/>
      <c r="AN67" s="1029"/>
    </row>
    <row r="68" spans="3:40" x14ac:dyDescent="0.35">
      <c r="C68" s="898" t="s">
        <v>4</v>
      </c>
      <c r="D68" s="899"/>
      <c r="E68" s="900"/>
      <c r="F68" s="1068">
        <f>'Premissas Gerais'!G168</f>
        <v>2.7637330894877687E-2</v>
      </c>
      <c r="G68" s="1028"/>
      <c r="H68" s="1029"/>
      <c r="I68" s="1029"/>
      <c r="J68" s="1029"/>
      <c r="K68" s="1029"/>
      <c r="L68" s="1029"/>
      <c r="M68" s="1029"/>
      <c r="N68" s="1029"/>
      <c r="O68" s="1029"/>
      <c r="P68" s="1029"/>
      <c r="Q68" s="1029"/>
      <c r="R68" s="1029"/>
      <c r="S68" s="1029"/>
      <c r="T68" s="1029"/>
      <c r="U68" s="1029"/>
      <c r="V68" s="1029"/>
      <c r="W68" s="1029"/>
      <c r="X68" s="1029"/>
      <c r="Y68" s="1029"/>
      <c r="Z68" s="1029"/>
      <c r="AA68" s="1029"/>
      <c r="AB68" s="1029"/>
      <c r="AC68" s="1029"/>
      <c r="AD68" s="1029"/>
      <c r="AE68" s="1029"/>
      <c r="AF68" s="1029"/>
      <c r="AG68" s="1029"/>
      <c r="AH68" s="1029"/>
      <c r="AI68" s="1029"/>
      <c r="AJ68" s="1029"/>
      <c r="AK68" s="1029"/>
      <c r="AL68" s="1029"/>
      <c r="AM68" s="1029"/>
      <c r="AN68" s="1029"/>
    </row>
    <row r="69" spans="3:40" x14ac:dyDescent="0.35">
      <c r="C69" s="898" t="s">
        <v>5</v>
      </c>
      <c r="D69" s="899"/>
      <c r="E69" s="900"/>
      <c r="F69" s="1068">
        <f>'Premissas Gerais'!G169</f>
        <v>6.0023208808459072E-2</v>
      </c>
      <c r="G69" s="1028"/>
      <c r="H69" s="1029"/>
      <c r="I69" s="1029"/>
      <c r="J69" s="1029"/>
      <c r="K69" s="1029"/>
      <c r="L69" s="1029"/>
      <c r="M69" s="1029"/>
      <c r="N69" s="1029"/>
      <c r="O69" s="1029"/>
      <c r="P69" s="1029"/>
      <c r="Q69" s="1029"/>
      <c r="R69" s="1029"/>
      <c r="S69" s="1029"/>
      <c r="T69" s="1029"/>
      <c r="U69" s="1029"/>
      <c r="V69" s="1029"/>
      <c r="W69" s="1029"/>
      <c r="X69" s="1029"/>
      <c r="Y69" s="1029"/>
      <c r="Z69" s="1029"/>
      <c r="AA69" s="1029"/>
      <c r="AB69" s="1029"/>
      <c r="AC69" s="1029"/>
      <c r="AD69" s="1029"/>
      <c r="AE69" s="1029"/>
      <c r="AF69" s="1029"/>
      <c r="AG69" s="1029"/>
      <c r="AH69" s="1029"/>
      <c r="AI69" s="1029"/>
      <c r="AJ69" s="1029"/>
      <c r="AK69" s="1029"/>
      <c r="AL69" s="1029"/>
      <c r="AM69" s="1029"/>
      <c r="AN69" s="1029"/>
    </row>
    <row r="70" spans="3:40" x14ac:dyDescent="0.35">
      <c r="C70" s="898" t="s">
        <v>6</v>
      </c>
      <c r="D70" s="899"/>
      <c r="E70" s="900"/>
      <c r="F70" s="1068">
        <f>'Premissas Gerais'!G170</f>
        <v>0.66444642387502584</v>
      </c>
      <c r="G70" s="1028"/>
      <c r="H70" s="1029"/>
      <c r="I70" s="1029"/>
      <c r="J70" s="1029"/>
      <c r="K70" s="1029"/>
      <c r="L70" s="1029"/>
      <c r="M70" s="1029"/>
      <c r="N70" s="1029"/>
      <c r="O70" s="1029"/>
      <c r="P70" s="1029"/>
      <c r="Q70" s="1029"/>
      <c r="R70" s="1029"/>
      <c r="S70" s="1029"/>
      <c r="T70" s="1029"/>
      <c r="U70" s="1029"/>
      <c r="V70" s="1029"/>
      <c r="W70" s="1029"/>
      <c r="X70" s="1029"/>
      <c r="Y70" s="1029"/>
      <c r="Z70" s="1029"/>
      <c r="AA70" s="1029"/>
      <c r="AB70" s="1029"/>
      <c r="AC70" s="1029"/>
      <c r="AD70" s="1029"/>
      <c r="AE70" s="1029"/>
      <c r="AF70" s="1029"/>
      <c r="AG70" s="1029"/>
      <c r="AH70" s="1029"/>
      <c r="AI70" s="1029"/>
      <c r="AJ70" s="1029"/>
      <c r="AK70" s="1029"/>
      <c r="AL70" s="1029"/>
      <c r="AM70" s="1029"/>
      <c r="AN70" s="1029"/>
    </row>
    <row r="71" spans="3:40" x14ac:dyDescent="0.35">
      <c r="C71" s="898" t="s">
        <v>7</v>
      </c>
      <c r="D71" s="899"/>
      <c r="E71" s="900"/>
      <c r="F71" s="1068">
        <f>'Premissas Gerais'!G171</f>
        <v>5.4255720482041685E-2</v>
      </c>
      <c r="G71" s="1028"/>
      <c r="H71" s="1029"/>
      <c r="I71" s="1029"/>
      <c r="J71" s="1029"/>
      <c r="K71" s="1029"/>
      <c r="L71" s="1029"/>
      <c r="M71" s="1029"/>
      <c r="N71" s="1029"/>
      <c r="O71" s="1029"/>
      <c r="P71" s="1029"/>
      <c r="Q71" s="1029"/>
      <c r="R71" s="1029"/>
      <c r="S71" s="1029"/>
      <c r="T71" s="1029"/>
      <c r="U71" s="1029"/>
      <c r="V71" s="1029"/>
      <c r="W71" s="1029"/>
      <c r="X71" s="1029"/>
      <c r="Y71" s="1029"/>
      <c r="Z71" s="1029"/>
      <c r="AA71" s="1029"/>
      <c r="AB71" s="1029"/>
      <c r="AC71" s="1029"/>
      <c r="AD71" s="1029"/>
      <c r="AE71" s="1029"/>
      <c r="AF71" s="1029"/>
      <c r="AG71" s="1029"/>
      <c r="AH71" s="1029"/>
      <c r="AI71" s="1029"/>
      <c r="AJ71" s="1029"/>
      <c r="AK71" s="1029"/>
      <c r="AL71" s="1029"/>
      <c r="AM71" s="1029"/>
      <c r="AN71" s="1029"/>
    </row>
    <row r="72" spans="3:40" x14ac:dyDescent="0.35">
      <c r="C72" s="898" t="s">
        <v>8</v>
      </c>
      <c r="D72" s="899"/>
      <c r="E72" s="900"/>
      <c r="F72" s="1068">
        <f>'Premissas Gerais'!G172</f>
        <v>4.9429792991115142E-2</v>
      </c>
      <c r="G72" s="1028"/>
      <c r="H72" s="1029"/>
      <c r="I72" s="1029"/>
      <c r="J72" s="1029"/>
      <c r="K72" s="1029"/>
      <c r="L72" s="1029"/>
      <c r="M72" s="1029"/>
      <c r="N72" s="1029"/>
      <c r="O72" s="1029"/>
      <c r="P72" s="1029"/>
      <c r="Q72" s="1029"/>
      <c r="R72" s="1029"/>
      <c r="S72" s="1029"/>
      <c r="T72" s="1029"/>
      <c r="U72" s="1029"/>
      <c r="V72" s="1029"/>
      <c r="W72" s="1029"/>
      <c r="X72" s="1029"/>
      <c r="Y72" s="1029"/>
      <c r="Z72" s="1029"/>
      <c r="AA72" s="1029"/>
      <c r="AB72" s="1029"/>
      <c r="AC72" s="1029"/>
      <c r="AD72" s="1029"/>
      <c r="AE72" s="1029"/>
      <c r="AF72" s="1029"/>
      <c r="AG72" s="1029"/>
      <c r="AH72" s="1029"/>
      <c r="AI72" s="1029"/>
      <c r="AJ72" s="1029"/>
      <c r="AK72" s="1029"/>
      <c r="AL72" s="1029"/>
      <c r="AM72" s="1029"/>
      <c r="AN72" s="1029"/>
    </row>
    <row r="73" spans="3:40" x14ac:dyDescent="0.35">
      <c r="C73" s="898" t="s">
        <v>9</v>
      </c>
      <c r="D73" s="899"/>
      <c r="E73" s="900"/>
      <c r="F73" s="1068">
        <f>'Premissas Gerais'!G173</f>
        <v>4.0558834978037216E-2</v>
      </c>
      <c r="G73" s="1028"/>
      <c r="H73" s="1029"/>
      <c r="I73" s="1029"/>
      <c r="J73" s="1029"/>
      <c r="K73" s="1029"/>
      <c r="L73" s="1029"/>
      <c r="M73" s="1029"/>
      <c r="N73" s="1029"/>
      <c r="O73" s="1029"/>
      <c r="P73" s="1029"/>
      <c r="Q73" s="1029"/>
      <c r="R73" s="1029"/>
      <c r="S73" s="1029"/>
      <c r="T73" s="1029"/>
      <c r="U73" s="1029"/>
      <c r="V73" s="1029"/>
      <c r="W73" s="1029"/>
      <c r="X73" s="1029"/>
      <c r="Y73" s="1029"/>
      <c r="Z73" s="1029"/>
      <c r="AA73" s="1029"/>
      <c r="AB73" s="1029"/>
      <c r="AC73" s="1029"/>
      <c r="AD73" s="1029"/>
      <c r="AE73" s="1029"/>
      <c r="AF73" s="1029"/>
      <c r="AG73" s="1029"/>
      <c r="AH73" s="1029"/>
      <c r="AI73" s="1029"/>
      <c r="AJ73" s="1029"/>
      <c r="AK73" s="1029"/>
      <c r="AL73" s="1029"/>
      <c r="AM73" s="1029"/>
      <c r="AN73" s="1029"/>
    </row>
    <row r="74" spans="3:40" x14ac:dyDescent="0.35">
      <c r="C74" s="800" t="s">
        <v>455</v>
      </c>
      <c r="D74" s="893"/>
      <c r="E74" s="894"/>
      <c r="F74" s="928">
        <f>SUM(F65:F73)</f>
        <v>1</v>
      </c>
      <c r="G74" s="1030"/>
      <c r="H74" s="1031"/>
      <c r="I74" s="1031"/>
      <c r="J74" s="1031"/>
      <c r="K74" s="1031"/>
      <c r="L74" s="1031"/>
      <c r="M74" s="1031"/>
      <c r="N74" s="1031"/>
      <c r="O74" s="1031"/>
      <c r="P74" s="1031"/>
      <c r="Q74" s="1031"/>
      <c r="R74" s="1031"/>
      <c r="S74" s="1031"/>
      <c r="T74" s="1031"/>
      <c r="U74" s="1031"/>
      <c r="V74" s="1031"/>
      <c r="W74" s="1031"/>
      <c r="X74" s="1031"/>
      <c r="Y74" s="1031"/>
      <c r="Z74" s="1031"/>
      <c r="AA74" s="1031"/>
      <c r="AB74" s="1031"/>
      <c r="AC74" s="1031"/>
      <c r="AD74" s="1031"/>
      <c r="AE74" s="1031"/>
      <c r="AF74" s="1031"/>
      <c r="AG74" s="1031"/>
      <c r="AH74" s="1031"/>
      <c r="AI74" s="1031"/>
      <c r="AJ74" s="1031"/>
      <c r="AK74" s="1031"/>
      <c r="AL74" s="1031"/>
      <c r="AM74" s="1031"/>
      <c r="AN74" s="1031"/>
    </row>
  </sheetData>
  <sheetProtection algorithmName="SHA-512" hashValue="+8wvuMOSBHrA+zHah7K7qmE5XP9/KAauXlrpVDTrsDHgWJXLBmE6rizJ81FPCtSvtqTIWy+dZkSDSekSMLig2A==" saltValue="UNGJQ1Dlhh2OQCZeDBdEBQ==" spinCount="100000" sheet="1" objects="1" scenarios="1"/>
  <mergeCells count="8">
    <mergeCell ref="C17:F17"/>
    <mergeCell ref="C16:F16"/>
    <mergeCell ref="C18:F18"/>
    <mergeCell ref="C46:D46"/>
    <mergeCell ref="C45:D45"/>
    <mergeCell ref="C44:D44"/>
    <mergeCell ref="H24:K24"/>
    <mergeCell ref="H32:I32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F84CC-B500-4F34-B713-E97CD2ADBCF9}">
  <sheetPr codeName="Planilha8"/>
  <dimension ref="B2:AO69"/>
  <sheetViews>
    <sheetView showGridLines="0" topLeftCell="A17" zoomScale="80" zoomScaleNormal="80" workbookViewId="0">
      <selection activeCell="C31" sqref="C31"/>
    </sheetView>
  </sheetViews>
  <sheetFormatPr defaultColWidth="8.81640625" defaultRowHeight="14.5" x14ac:dyDescent="0.35"/>
  <cols>
    <col min="1" max="2" width="3.453125" customWidth="1"/>
    <col min="3" max="3" width="35.6328125" customWidth="1"/>
    <col min="4" max="4" width="21.08984375" customWidth="1"/>
    <col min="5" max="5" width="17.453125" customWidth="1"/>
    <col min="6" max="6" width="16.453125" customWidth="1"/>
    <col min="7" max="7" width="17" customWidth="1"/>
    <col min="8" max="8" width="16.453125" customWidth="1"/>
    <col min="9" max="35" width="14.453125" bestFit="1" customWidth="1"/>
    <col min="36" max="40" width="13" customWidth="1"/>
  </cols>
  <sheetData>
    <row r="2" spans="2:39" ht="21" x14ac:dyDescent="0.5">
      <c r="B2" s="98"/>
      <c r="C2" s="98" t="s">
        <v>1037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</row>
    <row r="3" spans="2:39" ht="4.5" customHeight="1" x14ac:dyDescent="0.35"/>
    <row r="4" spans="2:39" ht="19" thickBot="1" x14ac:dyDescent="0.5">
      <c r="B4" s="549"/>
      <c r="C4" s="846" t="s">
        <v>1038</v>
      </c>
      <c r="D4" s="549"/>
      <c r="E4" s="549"/>
      <c r="F4" s="549"/>
      <c r="G4" s="549"/>
      <c r="H4" s="549"/>
      <c r="I4" s="549"/>
      <c r="J4" s="549"/>
      <c r="K4" s="549"/>
    </row>
    <row r="5" spans="2:39" ht="15" thickBot="1" x14ac:dyDescent="0.4">
      <c r="B5" s="549"/>
      <c r="C5" s="882" t="s">
        <v>818</v>
      </c>
      <c r="D5" s="850"/>
      <c r="E5" s="850" t="s">
        <v>1007</v>
      </c>
      <c r="F5" s="549"/>
      <c r="G5" s="549"/>
      <c r="H5" s="549"/>
      <c r="I5" s="549"/>
      <c r="J5" s="549"/>
      <c r="K5" s="549"/>
    </row>
    <row r="6" spans="2:39" ht="15" thickBot="1" x14ac:dyDescent="0.4">
      <c r="B6" s="549"/>
      <c r="C6" s="2049" t="s">
        <v>1039</v>
      </c>
      <c r="D6" s="2050"/>
      <c r="E6" s="1357">
        <v>13518</v>
      </c>
      <c r="F6" s="549"/>
      <c r="G6" s="549"/>
      <c r="H6" s="549"/>
      <c r="I6" s="549"/>
      <c r="J6" s="549"/>
      <c r="K6" s="549"/>
    </row>
    <row r="7" spans="2:39" ht="15" thickBot="1" x14ac:dyDescent="0.4">
      <c r="B7" s="549"/>
      <c r="C7" s="2049" t="s">
        <v>1040</v>
      </c>
      <c r="D7" s="2050"/>
      <c r="E7" s="1357">
        <v>137613.6</v>
      </c>
      <c r="F7" s="549"/>
      <c r="G7" s="549"/>
      <c r="H7" s="549"/>
      <c r="I7" s="549"/>
      <c r="J7" s="549"/>
      <c r="K7" s="549"/>
    </row>
    <row r="8" spans="2:39" ht="15" thickBot="1" x14ac:dyDescent="0.4">
      <c r="B8" s="549"/>
      <c r="C8" s="2049" t="s">
        <v>1041</v>
      </c>
      <c r="D8" s="2050"/>
      <c r="E8" s="1357">
        <v>7432.04</v>
      </c>
      <c r="F8" s="549"/>
      <c r="G8" s="549"/>
      <c r="H8" s="549"/>
      <c r="I8" s="549"/>
      <c r="J8" s="549"/>
      <c r="K8" s="549"/>
    </row>
    <row r="9" spans="2:39" ht="54.75" customHeight="1" thickBot="1" x14ac:dyDescent="0.4">
      <c r="B9" s="549"/>
      <c r="C9" s="2049" t="s">
        <v>1042</v>
      </c>
      <c r="D9" s="2050"/>
      <c r="E9" s="1357">
        <v>52295.040000000001</v>
      </c>
      <c r="F9" s="549"/>
      <c r="G9" s="549"/>
      <c r="H9" s="549"/>
      <c r="I9" s="549"/>
      <c r="J9" s="549"/>
      <c r="K9" s="549"/>
    </row>
    <row r="10" spans="2:39" ht="15" thickBot="1" x14ac:dyDescent="0.4">
      <c r="B10" s="549"/>
      <c r="C10" s="2049" t="s">
        <v>1043</v>
      </c>
      <c r="D10" s="2050"/>
      <c r="E10" s="1357">
        <v>104957.4</v>
      </c>
      <c r="F10" s="549"/>
      <c r="G10" s="549"/>
      <c r="H10" s="549"/>
      <c r="I10" s="549"/>
      <c r="J10" s="549"/>
      <c r="K10" s="549"/>
    </row>
    <row r="11" spans="2:39" ht="15" thickBot="1" x14ac:dyDescent="0.4">
      <c r="B11" s="549"/>
      <c r="C11" s="1846" t="s">
        <v>1044</v>
      </c>
      <c r="D11" s="1847"/>
      <c r="E11" s="1357">
        <v>15975.9</v>
      </c>
      <c r="F11" s="549"/>
      <c r="G11" s="549"/>
      <c r="H11" s="549"/>
      <c r="I11" s="549"/>
      <c r="J11" s="549"/>
      <c r="K11" s="549"/>
    </row>
    <row r="12" spans="2:39" ht="15" thickBot="1" x14ac:dyDescent="0.4">
      <c r="B12" s="549"/>
      <c r="C12" s="2049" t="s">
        <v>1045</v>
      </c>
      <c r="D12" s="2050"/>
      <c r="E12" s="1357">
        <v>7987.95</v>
      </c>
      <c r="F12" s="549"/>
      <c r="G12" s="549"/>
      <c r="H12" s="549"/>
      <c r="I12" s="549"/>
      <c r="J12" s="549"/>
      <c r="K12" s="549"/>
    </row>
    <row r="13" spans="2:39" ht="18.75" customHeight="1" thickBot="1" x14ac:dyDescent="0.4">
      <c r="B13" s="549"/>
      <c r="C13" s="2049" t="s">
        <v>1046</v>
      </c>
      <c r="D13" s="2052"/>
      <c r="E13" s="1357">
        <v>9235.6</v>
      </c>
      <c r="F13" s="549"/>
      <c r="G13" s="549"/>
      <c r="H13" s="549"/>
      <c r="I13" s="549"/>
      <c r="J13" s="549"/>
      <c r="K13" s="549"/>
    </row>
    <row r="14" spans="2:39" ht="15" thickBot="1" x14ac:dyDescent="0.4">
      <c r="B14" s="549"/>
      <c r="C14" s="1846" t="s">
        <v>1047</v>
      </c>
      <c r="D14" s="1847"/>
      <c r="E14" s="1357">
        <v>2451.08</v>
      </c>
      <c r="F14" s="549"/>
      <c r="G14" s="549"/>
      <c r="H14" s="549"/>
      <c r="I14" s="549"/>
      <c r="J14" s="549"/>
      <c r="K14" s="549"/>
    </row>
    <row r="15" spans="2:39" ht="15" thickBot="1" x14ac:dyDescent="0.4">
      <c r="B15" s="549"/>
      <c r="C15" s="1846" t="s">
        <v>1048</v>
      </c>
      <c r="D15" s="1847"/>
      <c r="E15" s="1357">
        <v>14016.2</v>
      </c>
      <c r="F15" s="549"/>
      <c r="G15" s="549"/>
      <c r="H15" s="549"/>
      <c r="I15" s="549"/>
      <c r="J15" s="549"/>
      <c r="K15" s="549"/>
    </row>
    <row r="16" spans="2:39" ht="15" thickBot="1" x14ac:dyDescent="0.4">
      <c r="B16" s="549"/>
      <c r="C16" s="1846" t="s">
        <v>1049</v>
      </c>
      <c r="D16" s="1847"/>
      <c r="E16" s="1357">
        <v>126145.8</v>
      </c>
      <c r="F16" s="549"/>
      <c r="G16" s="549"/>
      <c r="H16" s="549"/>
      <c r="I16" s="549"/>
      <c r="J16" s="549"/>
      <c r="K16" s="549"/>
    </row>
    <row r="17" spans="2:11" ht="26.25" customHeight="1" thickBot="1" x14ac:dyDescent="0.4">
      <c r="B17" s="549"/>
      <c r="C17" s="2049" t="s">
        <v>1046</v>
      </c>
      <c r="D17" s="2050"/>
      <c r="E17" s="1357">
        <v>41560.199999999997</v>
      </c>
      <c r="F17" s="549"/>
      <c r="G17" s="549"/>
      <c r="H17" s="549"/>
      <c r="I17" s="549"/>
      <c r="J17" s="549"/>
      <c r="K17" s="549"/>
    </row>
    <row r="18" spans="2:11" ht="17.25" customHeight="1" thickBot="1" x14ac:dyDescent="0.4">
      <c r="B18" s="549"/>
      <c r="C18" s="2049" t="s">
        <v>1050</v>
      </c>
      <c r="D18" s="2050"/>
      <c r="E18" s="1357">
        <v>10326.799999999999</v>
      </c>
      <c r="F18" s="549"/>
      <c r="G18" s="549"/>
      <c r="H18" s="549"/>
      <c r="I18" s="549"/>
      <c r="J18" s="549"/>
      <c r="K18" s="549"/>
    </row>
    <row r="19" spans="2:11" ht="15" thickBot="1" x14ac:dyDescent="0.4">
      <c r="B19" s="549"/>
      <c r="C19" s="1757" t="s">
        <v>200</v>
      </c>
      <c r="D19" s="1848"/>
      <c r="E19" s="844">
        <f>SUM(E6:E18)</f>
        <v>543515.6100000001</v>
      </c>
      <c r="F19" s="549"/>
      <c r="G19" s="549"/>
      <c r="H19" s="549"/>
      <c r="I19" s="549"/>
      <c r="J19" s="549"/>
      <c r="K19" s="549"/>
    </row>
    <row r="20" spans="2:11" ht="15" thickBot="1" x14ac:dyDescent="0.4">
      <c r="B20" s="549"/>
      <c r="C20" s="2049" t="s">
        <v>1051</v>
      </c>
      <c r="D20" s="2050"/>
      <c r="E20" s="1357">
        <v>15021.1</v>
      </c>
      <c r="F20" s="549"/>
      <c r="G20" s="549"/>
      <c r="H20" s="549"/>
      <c r="I20" s="549"/>
      <c r="J20" s="549"/>
      <c r="K20" s="549"/>
    </row>
    <row r="21" spans="2:11" x14ac:dyDescent="0.35">
      <c r="B21" s="549"/>
      <c r="C21" s="549"/>
      <c r="D21" s="549"/>
      <c r="E21" s="549"/>
      <c r="F21" s="549"/>
      <c r="G21" s="549"/>
      <c r="H21" s="549"/>
      <c r="I21" s="549"/>
      <c r="J21" s="549"/>
      <c r="K21" s="549"/>
    </row>
    <row r="22" spans="2:11" x14ac:dyDescent="0.35">
      <c r="B22" s="549"/>
      <c r="C22" s="920" t="s">
        <v>1022</v>
      </c>
      <c r="D22" s="987">
        <v>1</v>
      </c>
      <c r="E22" s="919" t="s">
        <v>1023</v>
      </c>
      <c r="F22" s="987">
        <v>30</v>
      </c>
      <c r="G22" s="549"/>
      <c r="H22" s="549"/>
      <c r="I22" s="549"/>
      <c r="J22" s="549"/>
      <c r="K22" s="549"/>
    </row>
    <row r="23" spans="2:11" x14ac:dyDescent="0.35">
      <c r="B23" s="549"/>
      <c r="C23" s="549"/>
      <c r="D23" s="549"/>
      <c r="E23" s="549"/>
      <c r="F23" s="549"/>
      <c r="G23" s="549"/>
      <c r="H23" s="549"/>
      <c r="I23" s="549"/>
      <c r="J23" s="549"/>
      <c r="K23" s="549"/>
    </row>
    <row r="24" spans="2:11" ht="4.5" customHeight="1" x14ac:dyDescent="0.35"/>
    <row r="25" spans="2:11" ht="19" thickBot="1" x14ac:dyDescent="0.5">
      <c r="B25" s="549"/>
      <c r="C25" s="846" t="s">
        <v>1052</v>
      </c>
      <c r="D25" s="549"/>
      <c r="E25" s="549"/>
      <c r="F25" s="549"/>
      <c r="G25" s="549"/>
      <c r="H25" s="549"/>
      <c r="I25" s="549"/>
      <c r="J25" s="549"/>
      <c r="K25" s="549"/>
    </row>
    <row r="26" spans="2:11" ht="15" thickBot="1" x14ac:dyDescent="0.4">
      <c r="B26" s="549"/>
      <c r="C26" s="882" t="s">
        <v>818</v>
      </c>
      <c r="D26" s="850"/>
      <c r="E26" s="850" t="s">
        <v>1007</v>
      </c>
      <c r="F26" s="549"/>
      <c r="G26" s="549"/>
      <c r="H26" s="549"/>
      <c r="I26" s="549"/>
      <c r="J26" s="549"/>
      <c r="K26" s="549"/>
    </row>
    <row r="27" spans="2:11" ht="17.25" customHeight="1" thickBot="1" x14ac:dyDescent="0.4">
      <c r="B27" s="549"/>
      <c r="C27" s="883" t="s">
        <v>1053</v>
      </c>
      <c r="D27" s="881"/>
      <c r="E27" s="1001">
        <v>1478136.24</v>
      </c>
      <c r="F27" s="549"/>
      <c r="G27" s="549"/>
      <c r="H27" s="549"/>
      <c r="I27" s="549"/>
      <c r="J27" s="549"/>
      <c r="K27" s="549"/>
    </row>
    <row r="28" spans="2:11" ht="17.25" customHeight="1" thickBot="1" x14ac:dyDescent="0.4">
      <c r="B28" s="549"/>
      <c r="C28" s="883" t="s">
        <v>1054</v>
      </c>
      <c r="D28" s="881"/>
      <c r="E28" s="1369">
        <v>461869.04</v>
      </c>
      <c r="F28" s="549"/>
      <c r="G28" s="549"/>
      <c r="H28" s="549"/>
      <c r="I28" s="549"/>
      <c r="J28" s="549"/>
      <c r="K28" s="549"/>
    </row>
    <row r="29" spans="2:11" ht="15" thickBot="1" x14ac:dyDescent="0.4">
      <c r="B29" s="549"/>
      <c r="C29" s="882" t="s">
        <v>200</v>
      </c>
      <c r="D29" s="850"/>
      <c r="E29" s="844">
        <f>SUM(E27:E28)</f>
        <v>1940005.28</v>
      </c>
      <c r="F29" s="549"/>
      <c r="G29" s="549"/>
      <c r="H29" s="549"/>
      <c r="I29" s="549"/>
      <c r="J29" s="549"/>
      <c r="K29" s="549"/>
    </row>
    <row r="30" spans="2:11" ht="5.25" customHeight="1" x14ac:dyDescent="0.35">
      <c r="B30" s="549"/>
      <c r="C30" s="549"/>
      <c r="D30" s="549"/>
      <c r="E30" s="549"/>
      <c r="F30" s="549"/>
      <c r="G30" s="549"/>
      <c r="H30" s="549"/>
      <c r="I30" s="549"/>
      <c r="J30" s="549"/>
      <c r="K30" s="549"/>
    </row>
    <row r="31" spans="2:11" x14ac:dyDescent="0.35">
      <c r="B31" s="549"/>
      <c r="C31" s="549"/>
      <c r="D31" s="549"/>
      <c r="E31" s="549"/>
      <c r="F31" s="549"/>
      <c r="G31" s="549"/>
      <c r="H31" s="549"/>
      <c r="I31" s="549"/>
      <c r="J31" s="549"/>
      <c r="K31" s="549"/>
    </row>
    <row r="32" spans="2:11" ht="15" thickBot="1" x14ac:dyDescent="0.4">
      <c r="B32" s="548"/>
      <c r="C32" s="549"/>
      <c r="D32" s="240" t="s">
        <v>96</v>
      </c>
      <c r="E32" s="240" t="s">
        <v>176</v>
      </c>
      <c r="F32" s="240" t="s">
        <v>822</v>
      </c>
      <c r="G32" s="549"/>
      <c r="H32" s="549"/>
      <c r="I32" s="549"/>
      <c r="J32" s="549"/>
      <c r="K32" s="549"/>
    </row>
    <row r="33" spans="2:41" ht="15" thickBot="1" x14ac:dyDescent="0.4">
      <c r="B33" s="548"/>
      <c r="C33" s="549" t="s">
        <v>819</v>
      </c>
      <c r="D33" s="626">
        <v>1</v>
      </c>
      <c r="E33" s="901">
        <v>0.5</v>
      </c>
      <c r="F33" s="564">
        <f>(E29)*E33</f>
        <v>970002.64</v>
      </c>
      <c r="G33" s="549"/>
      <c r="H33" s="549"/>
      <c r="I33" s="549"/>
      <c r="J33" s="549"/>
      <c r="K33" s="549"/>
    </row>
    <row r="34" spans="2:41" ht="15" thickBot="1" x14ac:dyDescent="0.4">
      <c r="B34" s="548"/>
      <c r="C34" s="549"/>
      <c r="D34" s="626">
        <v>2</v>
      </c>
      <c r="E34" s="901">
        <v>0.5</v>
      </c>
      <c r="F34" s="565">
        <f>(E29)*E33</f>
        <v>970002.64</v>
      </c>
      <c r="G34" s="549"/>
      <c r="H34" s="549"/>
      <c r="I34" s="549"/>
      <c r="J34" s="549"/>
      <c r="K34" s="549"/>
    </row>
    <row r="35" spans="2:41" x14ac:dyDescent="0.35">
      <c r="B35" s="548"/>
      <c r="C35" s="549"/>
      <c r="D35" s="549"/>
      <c r="E35" s="549"/>
      <c r="F35" s="549"/>
      <c r="G35" s="549"/>
      <c r="H35" s="549"/>
      <c r="I35" s="549"/>
      <c r="J35" s="549"/>
      <c r="K35" s="549"/>
    </row>
    <row r="36" spans="2:41" ht="15" thickBot="1" x14ac:dyDescent="0.4"/>
    <row r="37" spans="2:41" x14ac:dyDescent="0.35">
      <c r="B37" s="5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8"/>
    </row>
    <row r="38" spans="2:41" x14ac:dyDescent="0.35">
      <c r="B38" s="9"/>
      <c r="C38" s="77" t="s">
        <v>1037</v>
      </c>
      <c r="F38" s="96"/>
      <c r="AO38" s="16"/>
    </row>
    <row r="39" spans="2:41" x14ac:dyDescent="0.35">
      <c r="B39" s="9"/>
      <c r="C39" s="87"/>
      <c r="D39" s="87"/>
      <c r="E39" s="229" t="s">
        <v>455</v>
      </c>
      <c r="F39" s="89">
        <v>1</v>
      </c>
      <c r="G39" s="89">
        <f>F39+1</f>
        <v>2</v>
      </c>
      <c r="H39" s="89">
        <f t="shared" ref="H39:AN39" si="0">G39+1</f>
        <v>3</v>
      </c>
      <c r="I39" s="89">
        <f t="shared" si="0"/>
        <v>4</v>
      </c>
      <c r="J39" s="89">
        <f t="shared" si="0"/>
        <v>5</v>
      </c>
      <c r="K39" s="89">
        <f t="shared" si="0"/>
        <v>6</v>
      </c>
      <c r="L39" s="89">
        <f t="shared" si="0"/>
        <v>7</v>
      </c>
      <c r="M39" s="89">
        <f t="shared" si="0"/>
        <v>8</v>
      </c>
      <c r="N39" s="89">
        <f t="shared" si="0"/>
        <v>9</v>
      </c>
      <c r="O39" s="89">
        <f t="shared" si="0"/>
        <v>10</v>
      </c>
      <c r="P39" s="89">
        <f t="shared" si="0"/>
        <v>11</v>
      </c>
      <c r="Q39" s="89">
        <f t="shared" si="0"/>
        <v>12</v>
      </c>
      <c r="R39" s="89">
        <f t="shared" si="0"/>
        <v>13</v>
      </c>
      <c r="S39" s="89">
        <f t="shared" si="0"/>
        <v>14</v>
      </c>
      <c r="T39" s="89">
        <f t="shared" si="0"/>
        <v>15</v>
      </c>
      <c r="U39" s="89">
        <f t="shared" si="0"/>
        <v>16</v>
      </c>
      <c r="V39" s="89">
        <f t="shared" si="0"/>
        <v>17</v>
      </c>
      <c r="W39" s="89">
        <f t="shared" si="0"/>
        <v>18</v>
      </c>
      <c r="X39" s="89">
        <f t="shared" si="0"/>
        <v>19</v>
      </c>
      <c r="Y39" s="89">
        <f t="shared" si="0"/>
        <v>20</v>
      </c>
      <c r="Z39" s="89">
        <f t="shared" si="0"/>
        <v>21</v>
      </c>
      <c r="AA39" s="89">
        <f t="shared" si="0"/>
        <v>22</v>
      </c>
      <c r="AB39" s="89">
        <f t="shared" si="0"/>
        <v>23</v>
      </c>
      <c r="AC39" s="89">
        <f t="shared" si="0"/>
        <v>24</v>
      </c>
      <c r="AD39" s="89">
        <f t="shared" si="0"/>
        <v>25</v>
      </c>
      <c r="AE39" s="89">
        <f t="shared" si="0"/>
        <v>26</v>
      </c>
      <c r="AF39" s="89">
        <f t="shared" si="0"/>
        <v>27</v>
      </c>
      <c r="AG39" s="89">
        <f t="shared" si="0"/>
        <v>28</v>
      </c>
      <c r="AH39" s="89">
        <f t="shared" si="0"/>
        <v>29</v>
      </c>
      <c r="AI39" s="89">
        <f t="shared" si="0"/>
        <v>30</v>
      </c>
      <c r="AJ39" s="89">
        <f t="shared" si="0"/>
        <v>31</v>
      </c>
      <c r="AK39" s="89">
        <f t="shared" si="0"/>
        <v>32</v>
      </c>
      <c r="AL39" s="89">
        <f t="shared" si="0"/>
        <v>33</v>
      </c>
      <c r="AM39" s="89">
        <f t="shared" si="0"/>
        <v>34</v>
      </c>
      <c r="AN39" s="89">
        <f t="shared" si="0"/>
        <v>35</v>
      </c>
      <c r="AO39" s="16"/>
    </row>
    <row r="40" spans="2:41" x14ac:dyDescent="0.35">
      <c r="B40" s="9"/>
      <c r="C40" s="1986" t="s">
        <v>1038</v>
      </c>
      <c r="D40" s="1986"/>
      <c r="E40" s="1524">
        <f>SUM(F40:AN40)</f>
        <v>16320489.399999995</v>
      </c>
      <c r="F40" s="1708">
        <f>IF(AND(F39&gt;=($D$22),F39&lt;=$F$22),$E$19,0)+E20</f>
        <v>558536.71000000008</v>
      </c>
      <c r="G40" s="562">
        <f t="shared" ref="G40:AN40" si="1">IF(AND(G39&gt;=($D$22),G39&lt;=$F$22),$E$19,0)</f>
        <v>543515.6100000001</v>
      </c>
      <c r="H40" s="562">
        <f t="shared" si="1"/>
        <v>543515.6100000001</v>
      </c>
      <c r="I40" s="562">
        <f t="shared" si="1"/>
        <v>543515.6100000001</v>
      </c>
      <c r="J40" s="562">
        <f t="shared" si="1"/>
        <v>543515.6100000001</v>
      </c>
      <c r="K40" s="562">
        <f t="shared" si="1"/>
        <v>543515.6100000001</v>
      </c>
      <c r="L40" s="562">
        <f t="shared" si="1"/>
        <v>543515.6100000001</v>
      </c>
      <c r="M40" s="562">
        <f t="shared" si="1"/>
        <v>543515.6100000001</v>
      </c>
      <c r="N40" s="562">
        <f t="shared" si="1"/>
        <v>543515.6100000001</v>
      </c>
      <c r="O40" s="562">
        <f t="shared" si="1"/>
        <v>543515.6100000001</v>
      </c>
      <c r="P40" s="562">
        <f t="shared" si="1"/>
        <v>543515.6100000001</v>
      </c>
      <c r="Q40" s="562">
        <f t="shared" si="1"/>
        <v>543515.6100000001</v>
      </c>
      <c r="R40" s="562">
        <f t="shared" si="1"/>
        <v>543515.6100000001</v>
      </c>
      <c r="S40" s="562">
        <f t="shared" si="1"/>
        <v>543515.6100000001</v>
      </c>
      <c r="T40" s="562">
        <f t="shared" si="1"/>
        <v>543515.6100000001</v>
      </c>
      <c r="U40" s="562">
        <f t="shared" si="1"/>
        <v>543515.6100000001</v>
      </c>
      <c r="V40" s="562">
        <f t="shared" si="1"/>
        <v>543515.6100000001</v>
      </c>
      <c r="W40" s="562">
        <f t="shared" si="1"/>
        <v>543515.6100000001</v>
      </c>
      <c r="X40" s="562">
        <f t="shared" si="1"/>
        <v>543515.6100000001</v>
      </c>
      <c r="Y40" s="562">
        <f t="shared" si="1"/>
        <v>543515.6100000001</v>
      </c>
      <c r="Z40" s="562">
        <f t="shared" si="1"/>
        <v>543515.6100000001</v>
      </c>
      <c r="AA40" s="562">
        <f t="shared" si="1"/>
        <v>543515.6100000001</v>
      </c>
      <c r="AB40" s="562">
        <f t="shared" si="1"/>
        <v>543515.6100000001</v>
      </c>
      <c r="AC40" s="562">
        <f t="shared" si="1"/>
        <v>543515.6100000001</v>
      </c>
      <c r="AD40" s="562">
        <f t="shared" si="1"/>
        <v>543515.6100000001</v>
      </c>
      <c r="AE40" s="562">
        <f t="shared" si="1"/>
        <v>543515.6100000001</v>
      </c>
      <c r="AF40" s="562">
        <f t="shared" si="1"/>
        <v>543515.6100000001</v>
      </c>
      <c r="AG40" s="562">
        <f t="shared" si="1"/>
        <v>543515.6100000001</v>
      </c>
      <c r="AH40" s="562">
        <f t="shared" si="1"/>
        <v>543515.6100000001</v>
      </c>
      <c r="AI40" s="562">
        <f t="shared" si="1"/>
        <v>543515.6100000001</v>
      </c>
      <c r="AJ40" s="562">
        <f t="shared" si="1"/>
        <v>0</v>
      </c>
      <c r="AK40" s="562">
        <f t="shared" si="1"/>
        <v>0</v>
      </c>
      <c r="AL40" s="562">
        <f t="shared" si="1"/>
        <v>0</v>
      </c>
      <c r="AM40" s="562">
        <f t="shared" si="1"/>
        <v>0</v>
      </c>
      <c r="AN40" s="562">
        <f t="shared" si="1"/>
        <v>0</v>
      </c>
      <c r="AO40" s="16"/>
    </row>
    <row r="41" spans="2:41" x14ac:dyDescent="0.35">
      <c r="B41" s="9"/>
      <c r="C41" s="2051" t="s">
        <v>1055</v>
      </c>
      <c r="D41" s="2037"/>
      <c r="E41" s="906">
        <f t="shared" ref="E41" si="2">SUM(F41:AN41)</f>
        <v>1940005.28</v>
      </c>
      <c r="F41" s="562">
        <f>IF(F39&gt;'Premissas Gerais'!$E$7,0,IFERROR(VLOOKUP(F39,$D$33:$F$34,3,FALSE),0))</f>
        <v>970002.64</v>
      </c>
      <c r="G41" s="562">
        <f>IF(G39&gt;'Premissas Gerais'!$E$7,0,IFERROR(VLOOKUP(G39,$D$33:$F$34,3,FALSE),0))</f>
        <v>970002.64</v>
      </c>
      <c r="H41" s="562">
        <f>IF(H39&gt;'Premissas Gerais'!$E$7,0,IFERROR(VLOOKUP(H39,$D$33:$F$34,3,FALSE),0))</f>
        <v>0</v>
      </c>
      <c r="I41" s="562">
        <f>IF(I39&gt;'Premissas Gerais'!$E$7,0,IFERROR(VLOOKUP(I39,$D$33:$F$34,3,FALSE),0))</f>
        <v>0</v>
      </c>
      <c r="J41" s="562">
        <f>IF(J39&gt;'Premissas Gerais'!$E$7,0,IFERROR(VLOOKUP(J39,$D$33:$F$34,3,FALSE),0))</f>
        <v>0</v>
      </c>
      <c r="K41" s="562">
        <f>IF(K39&gt;'Premissas Gerais'!$E$7,0,IFERROR(VLOOKUP(K39,$D$33:$F$34,3,FALSE),0))</f>
        <v>0</v>
      </c>
      <c r="L41" s="562">
        <f>IF(L39&gt;'Premissas Gerais'!$E$7,0,IFERROR(VLOOKUP(L39,$D$33:$F$34,3,FALSE),0))</f>
        <v>0</v>
      </c>
      <c r="M41" s="562">
        <f>IF(M39&gt;'Premissas Gerais'!$E$7,0,IFERROR(VLOOKUP(M39,$D$33:$F$34,3,FALSE),0))</f>
        <v>0</v>
      </c>
      <c r="N41" s="562">
        <f>IF(N39&gt;'Premissas Gerais'!$E$7,0,IFERROR(VLOOKUP(N39,$D$33:$F$34,3,FALSE),0))</f>
        <v>0</v>
      </c>
      <c r="O41" s="562">
        <f>IF(O39&gt;'Premissas Gerais'!$E$7,0,IFERROR(VLOOKUP(O39,$D$33:$F$34,3,FALSE),0))</f>
        <v>0</v>
      </c>
      <c r="P41" s="562">
        <f>IF(P39&gt;'Premissas Gerais'!$E$7,0,IFERROR(VLOOKUP(P39,$D$33:$F$34,3,FALSE),0))</f>
        <v>0</v>
      </c>
      <c r="Q41" s="562">
        <f>IF(Q39&gt;'Premissas Gerais'!$E$7,0,IFERROR(VLOOKUP(Q39,$D$33:$F$34,3,FALSE),0))</f>
        <v>0</v>
      </c>
      <c r="R41" s="562">
        <f>IF(R39&gt;'Premissas Gerais'!$E$7,0,IFERROR(VLOOKUP(R39,$D$33:$F$34,3,FALSE),0))</f>
        <v>0</v>
      </c>
      <c r="S41" s="562">
        <f>IF(S39&gt;'Premissas Gerais'!$E$7,0,IFERROR(VLOOKUP(S39,$D$33:$F$34,3,FALSE),0))</f>
        <v>0</v>
      </c>
      <c r="T41" s="562">
        <f>IF(T39&gt;'Premissas Gerais'!$E$7,0,IFERROR(VLOOKUP(T39,$D$33:$F$34,3,FALSE),0))</f>
        <v>0</v>
      </c>
      <c r="U41" s="562">
        <f>IF(U39&gt;'Premissas Gerais'!$E$7,0,IFERROR(VLOOKUP(U39,$D$33:$F$34,3,FALSE),0))</f>
        <v>0</v>
      </c>
      <c r="V41" s="562">
        <f>IF(V39&gt;'Premissas Gerais'!$E$7,0,IFERROR(VLOOKUP(V39,$D$33:$F$34,3,FALSE),0))</f>
        <v>0</v>
      </c>
      <c r="W41" s="562">
        <f>IF(W39&gt;'Premissas Gerais'!$E$7,0,IFERROR(VLOOKUP(W39,$D$33:$F$34,3,FALSE),0))</f>
        <v>0</v>
      </c>
      <c r="X41" s="562">
        <f>IF(X39&gt;'Premissas Gerais'!$E$7,0,IFERROR(VLOOKUP(X39,$D$33:$F$34,3,FALSE),0))</f>
        <v>0</v>
      </c>
      <c r="Y41" s="562">
        <f>IF(Y39&gt;'Premissas Gerais'!$E$7,0,IFERROR(VLOOKUP(Y39,$D$33:$F$34,3,FALSE),0))</f>
        <v>0</v>
      </c>
      <c r="Z41" s="562">
        <f>IF(Z39&gt;'Premissas Gerais'!$E$7,0,IFERROR(VLOOKUP(Z39,$D$33:$F$34,3,FALSE),0))</f>
        <v>0</v>
      </c>
      <c r="AA41" s="562">
        <f>IF(AA39&gt;'Premissas Gerais'!$E$7,0,IFERROR(VLOOKUP(AA39,$D$33:$F$34,3,FALSE),0))</f>
        <v>0</v>
      </c>
      <c r="AB41" s="562">
        <f>IF(AB39&gt;'Premissas Gerais'!$E$7,0,IFERROR(VLOOKUP(AB39,$D$33:$F$34,3,FALSE),0))</f>
        <v>0</v>
      </c>
      <c r="AC41" s="562">
        <f>IF(AC39&gt;'Premissas Gerais'!$E$7,0,IFERROR(VLOOKUP(AC39,$D$33:$F$34,3,FALSE),0))</f>
        <v>0</v>
      </c>
      <c r="AD41" s="562">
        <f>IF(AD39&gt;'Premissas Gerais'!$E$7,0,IFERROR(VLOOKUP(AD39,$D$33:$F$34,3,FALSE),0))</f>
        <v>0</v>
      </c>
      <c r="AE41" s="562">
        <f>IF(AE39&gt;'Premissas Gerais'!$E$7,0,IFERROR(VLOOKUP(AE39,$D$33:$F$34,3,FALSE),0))</f>
        <v>0</v>
      </c>
      <c r="AF41" s="562">
        <f>IF(AF39&gt;'Premissas Gerais'!$E$7,0,IFERROR(VLOOKUP(AF39,$D$33:$F$34,3,FALSE),0))</f>
        <v>0</v>
      </c>
      <c r="AG41" s="562">
        <f>IF(AG39&gt;'Premissas Gerais'!$E$7,0,IFERROR(VLOOKUP(AG39,$D$33:$F$34,3,FALSE),0))</f>
        <v>0</v>
      </c>
      <c r="AH41" s="562">
        <f>IF(AH39&gt;'Premissas Gerais'!$E$7,0,IFERROR(VLOOKUP(AH39,$D$33:$F$34,3,FALSE),0))</f>
        <v>0</v>
      </c>
      <c r="AI41" s="562">
        <f>IF(AI39&gt;'Premissas Gerais'!$E$7,0,IFERROR(VLOOKUP(AI39,$D$33:$F$34,3,FALSE),0))</f>
        <v>0</v>
      </c>
      <c r="AJ41" s="562">
        <f>IF(AJ39&gt;'Premissas Gerais'!$E$7,0,IFERROR(VLOOKUP(AJ39,$D$33:$F$34,3,FALSE),0))</f>
        <v>0</v>
      </c>
      <c r="AK41" s="562">
        <f>IF(AK39&gt;'Premissas Gerais'!$E$7,0,IFERROR(VLOOKUP(AK39,$D$33:$F$34,3,FALSE),0))</f>
        <v>0</v>
      </c>
      <c r="AL41" s="562">
        <f>IF(AL39&gt;'Premissas Gerais'!$E$7,0,IFERROR(VLOOKUP(AL39,$D$33:$F$34,3,FALSE),0))</f>
        <v>0</v>
      </c>
      <c r="AM41" s="562">
        <f>IF(AM39&gt;'Premissas Gerais'!$E$7,0,IFERROR(VLOOKUP(AM39,$D$33:$F$34,3,FALSE),0))</f>
        <v>0</v>
      </c>
      <c r="AN41" s="562">
        <f>IF(AN39&gt;'Premissas Gerais'!$E$7,0,IFERROR(VLOOKUP(AN39,$D$33:$F$34,3,FALSE),0))</f>
        <v>0</v>
      </c>
      <c r="AO41" s="16"/>
    </row>
    <row r="42" spans="2:41" x14ac:dyDescent="0.35">
      <c r="B42" s="9"/>
      <c r="C42" s="111" t="s">
        <v>455</v>
      </c>
      <c r="D42" s="112"/>
      <c r="E42" s="907">
        <f t="shared" ref="E42:AN42" si="3">SUM(E40:E41)</f>
        <v>18260494.679999996</v>
      </c>
      <c r="F42" s="488">
        <f t="shared" si="3"/>
        <v>1528539.35</v>
      </c>
      <c r="G42" s="488">
        <f t="shared" si="3"/>
        <v>1513518.25</v>
      </c>
      <c r="H42" s="488">
        <f t="shared" si="3"/>
        <v>543515.6100000001</v>
      </c>
      <c r="I42" s="488">
        <f t="shared" si="3"/>
        <v>543515.6100000001</v>
      </c>
      <c r="J42" s="488">
        <f t="shared" si="3"/>
        <v>543515.6100000001</v>
      </c>
      <c r="K42" s="488">
        <f t="shared" si="3"/>
        <v>543515.6100000001</v>
      </c>
      <c r="L42" s="488">
        <f t="shared" si="3"/>
        <v>543515.6100000001</v>
      </c>
      <c r="M42" s="488">
        <f t="shared" si="3"/>
        <v>543515.6100000001</v>
      </c>
      <c r="N42" s="488">
        <f t="shared" si="3"/>
        <v>543515.6100000001</v>
      </c>
      <c r="O42" s="488">
        <f t="shared" si="3"/>
        <v>543515.6100000001</v>
      </c>
      <c r="P42" s="488">
        <f t="shared" si="3"/>
        <v>543515.6100000001</v>
      </c>
      <c r="Q42" s="488">
        <f t="shared" si="3"/>
        <v>543515.6100000001</v>
      </c>
      <c r="R42" s="488">
        <f t="shared" si="3"/>
        <v>543515.6100000001</v>
      </c>
      <c r="S42" s="488">
        <f t="shared" si="3"/>
        <v>543515.6100000001</v>
      </c>
      <c r="T42" s="488">
        <f t="shared" si="3"/>
        <v>543515.6100000001</v>
      </c>
      <c r="U42" s="488">
        <f t="shared" si="3"/>
        <v>543515.6100000001</v>
      </c>
      <c r="V42" s="488">
        <f t="shared" si="3"/>
        <v>543515.6100000001</v>
      </c>
      <c r="W42" s="488">
        <f t="shared" si="3"/>
        <v>543515.6100000001</v>
      </c>
      <c r="X42" s="488">
        <f t="shared" si="3"/>
        <v>543515.6100000001</v>
      </c>
      <c r="Y42" s="488">
        <f t="shared" si="3"/>
        <v>543515.6100000001</v>
      </c>
      <c r="Z42" s="488">
        <f t="shared" si="3"/>
        <v>543515.6100000001</v>
      </c>
      <c r="AA42" s="488">
        <f t="shared" si="3"/>
        <v>543515.6100000001</v>
      </c>
      <c r="AB42" s="488">
        <f t="shared" si="3"/>
        <v>543515.6100000001</v>
      </c>
      <c r="AC42" s="488">
        <f t="shared" si="3"/>
        <v>543515.6100000001</v>
      </c>
      <c r="AD42" s="488">
        <f t="shared" si="3"/>
        <v>543515.6100000001</v>
      </c>
      <c r="AE42" s="488">
        <f t="shared" si="3"/>
        <v>543515.6100000001</v>
      </c>
      <c r="AF42" s="488">
        <f t="shared" si="3"/>
        <v>543515.6100000001</v>
      </c>
      <c r="AG42" s="488">
        <f t="shared" si="3"/>
        <v>543515.6100000001</v>
      </c>
      <c r="AH42" s="488">
        <f t="shared" si="3"/>
        <v>543515.6100000001</v>
      </c>
      <c r="AI42" s="488">
        <f t="shared" si="3"/>
        <v>543515.6100000001</v>
      </c>
      <c r="AJ42" s="488">
        <f t="shared" si="3"/>
        <v>0</v>
      </c>
      <c r="AK42" s="488">
        <f t="shared" si="3"/>
        <v>0</v>
      </c>
      <c r="AL42" s="488">
        <f t="shared" si="3"/>
        <v>0</v>
      </c>
      <c r="AM42" s="488">
        <f t="shared" si="3"/>
        <v>0</v>
      </c>
      <c r="AN42" s="488">
        <f t="shared" si="3"/>
        <v>0</v>
      </c>
      <c r="AO42" s="16"/>
    </row>
    <row r="43" spans="2:41" ht="15" thickBot="1" x14ac:dyDescent="0.4">
      <c r="B43" s="38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69"/>
    </row>
    <row r="45" spans="2:41" x14ac:dyDescent="0.35">
      <c r="C45" s="77" t="s">
        <v>1056</v>
      </c>
    </row>
    <row r="46" spans="2:41" x14ac:dyDescent="0.35">
      <c r="C46" s="560" t="s">
        <v>179</v>
      </c>
      <c r="D46" s="860"/>
      <c r="E46" s="229" t="s">
        <v>455</v>
      </c>
      <c r="F46" s="802">
        <v>1</v>
      </c>
      <c r="G46" s="802">
        <f>F46+1</f>
        <v>2</v>
      </c>
      <c r="H46" s="802">
        <f t="shared" ref="H46:AN46" si="4">G46+1</f>
        <v>3</v>
      </c>
      <c r="I46" s="802">
        <f t="shared" si="4"/>
        <v>4</v>
      </c>
      <c r="J46" s="802">
        <f t="shared" si="4"/>
        <v>5</v>
      </c>
      <c r="K46" s="802">
        <f t="shared" si="4"/>
        <v>6</v>
      </c>
      <c r="L46" s="802">
        <f t="shared" si="4"/>
        <v>7</v>
      </c>
      <c r="M46" s="802">
        <f t="shared" si="4"/>
        <v>8</v>
      </c>
      <c r="N46" s="802">
        <f t="shared" si="4"/>
        <v>9</v>
      </c>
      <c r="O46" s="802">
        <f t="shared" si="4"/>
        <v>10</v>
      </c>
      <c r="P46" s="802">
        <f t="shared" si="4"/>
        <v>11</v>
      </c>
      <c r="Q46" s="802">
        <f t="shared" si="4"/>
        <v>12</v>
      </c>
      <c r="R46" s="802">
        <f t="shared" si="4"/>
        <v>13</v>
      </c>
      <c r="S46" s="802">
        <f t="shared" si="4"/>
        <v>14</v>
      </c>
      <c r="T46" s="802">
        <f t="shared" si="4"/>
        <v>15</v>
      </c>
      <c r="U46" s="802">
        <f t="shared" si="4"/>
        <v>16</v>
      </c>
      <c r="V46" s="802">
        <f t="shared" si="4"/>
        <v>17</v>
      </c>
      <c r="W46" s="802">
        <f t="shared" si="4"/>
        <v>18</v>
      </c>
      <c r="X46" s="802">
        <f t="shared" si="4"/>
        <v>19</v>
      </c>
      <c r="Y46" s="802">
        <f t="shared" si="4"/>
        <v>20</v>
      </c>
      <c r="Z46" s="802">
        <f t="shared" si="4"/>
        <v>21</v>
      </c>
      <c r="AA46" s="802">
        <f t="shared" si="4"/>
        <v>22</v>
      </c>
      <c r="AB46" s="802">
        <f t="shared" si="4"/>
        <v>23</v>
      </c>
      <c r="AC46" s="802">
        <f t="shared" si="4"/>
        <v>24</v>
      </c>
      <c r="AD46" s="802">
        <f t="shared" si="4"/>
        <v>25</v>
      </c>
      <c r="AE46" s="802">
        <f t="shared" si="4"/>
        <v>26</v>
      </c>
      <c r="AF46" s="802">
        <f t="shared" si="4"/>
        <v>27</v>
      </c>
      <c r="AG46" s="802">
        <f t="shared" si="4"/>
        <v>28</v>
      </c>
      <c r="AH46" s="802">
        <f t="shared" si="4"/>
        <v>29</v>
      </c>
      <c r="AI46" s="802">
        <f t="shared" si="4"/>
        <v>30</v>
      </c>
      <c r="AJ46" s="802">
        <f t="shared" si="4"/>
        <v>31</v>
      </c>
      <c r="AK46" s="802">
        <f t="shared" si="4"/>
        <v>32</v>
      </c>
      <c r="AL46" s="802">
        <f t="shared" si="4"/>
        <v>33</v>
      </c>
      <c r="AM46" s="802">
        <f t="shared" si="4"/>
        <v>34</v>
      </c>
      <c r="AN46" s="802">
        <f t="shared" si="4"/>
        <v>35</v>
      </c>
    </row>
    <row r="47" spans="2:41" x14ac:dyDescent="0.35">
      <c r="C47" s="929" t="s">
        <v>1</v>
      </c>
      <c r="D47" s="930"/>
      <c r="E47" s="808">
        <f>SUM(F47:AN47)</f>
        <v>124667.56341536676</v>
      </c>
      <c r="F47" s="875">
        <f t="shared" ref="F47:AN47" si="5">F42*$F$60</f>
        <v>10435.603179891979</v>
      </c>
      <c r="G47" s="875">
        <f t="shared" si="5"/>
        <v>10333.051525644101</v>
      </c>
      <c r="H47" s="875">
        <f t="shared" si="5"/>
        <v>3710.675311065384</v>
      </c>
      <c r="I47" s="875">
        <f t="shared" si="5"/>
        <v>3710.675311065384</v>
      </c>
      <c r="J47" s="875">
        <f t="shared" si="5"/>
        <v>3710.675311065384</v>
      </c>
      <c r="K47" s="875">
        <f t="shared" si="5"/>
        <v>3710.675311065384</v>
      </c>
      <c r="L47" s="875">
        <f t="shared" si="5"/>
        <v>3710.675311065384</v>
      </c>
      <c r="M47" s="875">
        <f t="shared" si="5"/>
        <v>3710.675311065384</v>
      </c>
      <c r="N47" s="875">
        <f t="shared" si="5"/>
        <v>3710.675311065384</v>
      </c>
      <c r="O47" s="875">
        <f t="shared" si="5"/>
        <v>3710.675311065384</v>
      </c>
      <c r="P47" s="875">
        <f t="shared" si="5"/>
        <v>3710.675311065384</v>
      </c>
      <c r="Q47" s="875">
        <f t="shared" si="5"/>
        <v>3710.675311065384</v>
      </c>
      <c r="R47" s="875">
        <f t="shared" si="5"/>
        <v>3710.675311065384</v>
      </c>
      <c r="S47" s="875">
        <f t="shared" si="5"/>
        <v>3710.675311065384</v>
      </c>
      <c r="T47" s="875">
        <f t="shared" si="5"/>
        <v>3710.675311065384</v>
      </c>
      <c r="U47" s="875">
        <f t="shared" si="5"/>
        <v>3710.675311065384</v>
      </c>
      <c r="V47" s="875">
        <f t="shared" si="5"/>
        <v>3710.675311065384</v>
      </c>
      <c r="W47" s="875">
        <f t="shared" si="5"/>
        <v>3710.675311065384</v>
      </c>
      <c r="X47" s="875">
        <f t="shared" si="5"/>
        <v>3710.675311065384</v>
      </c>
      <c r="Y47" s="875">
        <f t="shared" si="5"/>
        <v>3710.675311065384</v>
      </c>
      <c r="Z47" s="875">
        <f t="shared" si="5"/>
        <v>3710.675311065384</v>
      </c>
      <c r="AA47" s="875">
        <f t="shared" si="5"/>
        <v>3710.675311065384</v>
      </c>
      <c r="AB47" s="875">
        <f t="shared" si="5"/>
        <v>3710.675311065384</v>
      </c>
      <c r="AC47" s="875">
        <f t="shared" si="5"/>
        <v>3710.675311065384</v>
      </c>
      <c r="AD47" s="875">
        <f t="shared" si="5"/>
        <v>3710.675311065384</v>
      </c>
      <c r="AE47" s="875">
        <f t="shared" si="5"/>
        <v>3710.675311065384</v>
      </c>
      <c r="AF47" s="875">
        <f t="shared" si="5"/>
        <v>3710.675311065384</v>
      </c>
      <c r="AG47" s="875">
        <f t="shared" si="5"/>
        <v>3710.675311065384</v>
      </c>
      <c r="AH47" s="875">
        <f t="shared" si="5"/>
        <v>3710.675311065384</v>
      </c>
      <c r="AI47" s="875">
        <f t="shared" si="5"/>
        <v>3710.675311065384</v>
      </c>
      <c r="AJ47" s="875">
        <f t="shared" si="5"/>
        <v>0</v>
      </c>
      <c r="AK47" s="875">
        <f t="shared" si="5"/>
        <v>0</v>
      </c>
      <c r="AL47" s="875">
        <f t="shared" si="5"/>
        <v>0</v>
      </c>
      <c r="AM47" s="875">
        <f t="shared" si="5"/>
        <v>0</v>
      </c>
      <c r="AN47" s="875">
        <f t="shared" si="5"/>
        <v>0</v>
      </c>
    </row>
    <row r="48" spans="2:41" x14ac:dyDescent="0.35">
      <c r="C48" s="931" t="s">
        <v>2</v>
      </c>
      <c r="D48" s="932"/>
      <c r="E48" s="811">
        <f t="shared" ref="E48:E55" si="6">SUM(F48:AN48)</f>
        <v>1578870.0515004124</v>
      </c>
      <c r="F48" s="876">
        <f t="shared" ref="F48:AN48" si="7">F42*$F$61</f>
        <v>132163.17764371246</v>
      </c>
      <c r="G48" s="876">
        <f t="shared" si="7"/>
        <v>130864.39766287389</v>
      </c>
      <c r="H48" s="876">
        <f t="shared" si="7"/>
        <v>46994.374149779491</v>
      </c>
      <c r="I48" s="876">
        <f t="shared" si="7"/>
        <v>46994.374149779491</v>
      </c>
      <c r="J48" s="876">
        <f t="shared" si="7"/>
        <v>46994.374149779491</v>
      </c>
      <c r="K48" s="876">
        <f t="shared" si="7"/>
        <v>46994.374149779491</v>
      </c>
      <c r="L48" s="876">
        <f t="shared" si="7"/>
        <v>46994.374149779491</v>
      </c>
      <c r="M48" s="876">
        <f t="shared" si="7"/>
        <v>46994.374149779491</v>
      </c>
      <c r="N48" s="876">
        <f t="shared" si="7"/>
        <v>46994.374149779491</v>
      </c>
      <c r="O48" s="876">
        <f t="shared" si="7"/>
        <v>46994.374149779491</v>
      </c>
      <c r="P48" s="876">
        <f t="shared" si="7"/>
        <v>46994.374149779491</v>
      </c>
      <c r="Q48" s="876">
        <f t="shared" si="7"/>
        <v>46994.374149779491</v>
      </c>
      <c r="R48" s="876">
        <f t="shared" si="7"/>
        <v>46994.374149779491</v>
      </c>
      <c r="S48" s="876">
        <f t="shared" si="7"/>
        <v>46994.374149779491</v>
      </c>
      <c r="T48" s="876">
        <f t="shared" si="7"/>
        <v>46994.374149779491</v>
      </c>
      <c r="U48" s="876">
        <f t="shared" si="7"/>
        <v>46994.374149779491</v>
      </c>
      <c r="V48" s="876">
        <f t="shared" si="7"/>
        <v>46994.374149779491</v>
      </c>
      <c r="W48" s="876">
        <f t="shared" si="7"/>
        <v>46994.374149779491</v>
      </c>
      <c r="X48" s="876">
        <f t="shared" si="7"/>
        <v>46994.374149779491</v>
      </c>
      <c r="Y48" s="876">
        <f t="shared" si="7"/>
        <v>46994.374149779491</v>
      </c>
      <c r="Z48" s="876">
        <f t="shared" si="7"/>
        <v>46994.374149779491</v>
      </c>
      <c r="AA48" s="876">
        <f t="shared" si="7"/>
        <v>46994.374149779491</v>
      </c>
      <c r="AB48" s="876">
        <f t="shared" si="7"/>
        <v>46994.374149779491</v>
      </c>
      <c r="AC48" s="876">
        <f t="shared" si="7"/>
        <v>46994.374149779491</v>
      </c>
      <c r="AD48" s="876">
        <f t="shared" si="7"/>
        <v>46994.374149779491</v>
      </c>
      <c r="AE48" s="876">
        <f t="shared" si="7"/>
        <v>46994.374149779491</v>
      </c>
      <c r="AF48" s="876">
        <f t="shared" si="7"/>
        <v>46994.374149779491</v>
      </c>
      <c r="AG48" s="876">
        <f t="shared" si="7"/>
        <v>46994.374149779491</v>
      </c>
      <c r="AH48" s="876">
        <f t="shared" si="7"/>
        <v>46994.374149779491</v>
      </c>
      <c r="AI48" s="876">
        <f t="shared" si="7"/>
        <v>46994.374149779491</v>
      </c>
      <c r="AJ48" s="876">
        <f t="shared" si="7"/>
        <v>0</v>
      </c>
      <c r="AK48" s="876">
        <f t="shared" si="7"/>
        <v>0</v>
      </c>
      <c r="AL48" s="876">
        <f t="shared" si="7"/>
        <v>0</v>
      </c>
      <c r="AM48" s="876">
        <f t="shared" si="7"/>
        <v>0</v>
      </c>
      <c r="AN48" s="876">
        <f t="shared" si="7"/>
        <v>0</v>
      </c>
    </row>
    <row r="49" spans="3:40" x14ac:dyDescent="0.35">
      <c r="C49" s="931" t="s">
        <v>3</v>
      </c>
      <c r="D49" s="932"/>
      <c r="E49" s="811">
        <f t="shared" si="6"/>
        <v>189138.7003574835</v>
      </c>
      <c r="F49" s="876">
        <f t="shared" ref="F49:AN49" si="8">F42*$F$62</f>
        <v>15832.317315089997</v>
      </c>
      <c r="G49" s="876">
        <f t="shared" si="8"/>
        <v>15676.731643303594</v>
      </c>
      <c r="H49" s="876">
        <f t="shared" si="8"/>
        <v>5629.6304071103586</v>
      </c>
      <c r="I49" s="876">
        <f t="shared" si="8"/>
        <v>5629.6304071103586</v>
      </c>
      <c r="J49" s="876">
        <f t="shared" si="8"/>
        <v>5629.6304071103586</v>
      </c>
      <c r="K49" s="876">
        <f t="shared" si="8"/>
        <v>5629.6304071103586</v>
      </c>
      <c r="L49" s="876">
        <f t="shared" si="8"/>
        <v>5629.6304071103586</v>
      </c>
      <c r="M49" s="876">
        <f t="shared" si="8"/>
        <v>5629.6304071103586</v>
      </c>
      <c r="N49" s="876">
        <f t="shared" si="8"/>
        <v>5629.6304071103586</v>
      </c>
      <c r="O49" s="876">
        <f t="shared" si="8"/>
        <v>5629.6304071103586</v>
      </c>
      <c r="P49" s="876">
        <f t="shared" si="8"/>
        <v>5629.6304071103586</v>
      </c>
      <c r="Q49" s="876">
        <f t="shared" si="8"/>
        <v>5629.6304071103586</v>
      </c>
      <c r="R49" s="876">
        <f t="shared" si="8"/>
        <v>5629.6304071103586</v>
      </c>
      <c r="S49" s="876">
        <f t="shared" si="8"/>
        <v>5629.6304071103586</v>
      </c>
      <c r="T49" s="876">
        <f t="shared" si="8"/>
        <v>5629.6304071103586</v>
      </c>
      <c r="U49" s="876">
        <f t="shared" si="8"/>
        <v>5629.6304071103586</v>
      </c>
      <c r="V49" s="876">
        <f t="shared" si="8"/>
        <v>5629.6304071103586</v>
      </c>
      <c r="W49" s="876">
        <f t="shared" si="8"/>
        <v>5629.6304071103586</v>
      </c>
      <c r="X49" s="876">
        <f t="shared" si="8"/>
        <v>5629.6304071103586</v>
      </c>
      <c r="Y49" s="876">
        <f t="shared" si="8"/>
        <v>5629.6304071103586</v>
      </c>
      <c r="Z49" s="876">
        <f t="shared" si="8"/>
        <v>5629.6304071103586</v>
      </c>
      <c r="AA49" s="876">
        <f t="shared" si="8"/>
        <v>5629.6304071103586</v>
      </c>
      <c r="AB49" s="876">
        <f t="shared" si="8"/>
        <v>5629.6304071103586</v>
      </c>
      <c r="AC49" s="876">
        <f t="shared" si="8"/>
        <v>5629.6304071103586</v>
      </c>
      <c r="AD49" s="876">
        <f t="shared" si="8"/>
        <v>5629.6304071103586</v>
      </c>
      <c r="AE49" s="876">
        <f t="shared" si="8"/>
        <v>5629.6304071103586</v>
      </c>
      <c r="AF49" s="876">
        <f t="shared" si="8"/>
        <v>5629.6304071103586</v>
      </c>
      <c r="AG49" s="876">
        <f t="shared" si="8"/>
        <v>5629.6304071103586</v>
      </c>
      <c r="AH49" s="876">
        <f t="shared" si="8"/>
        <v>5629.6304071103586</v>
      </c>
      <c r="AI49" s="876">
        <f t="shared" si="8"/>
        <v>5629.6304071103586</v>
      </c>
      <c r="AJ49" s="876">
        <f t="shared" si="8"/>
        <v>0</v>
      </c>
      <c r="AK49" s="876">
        <f t="shared" si="8"/>
        <v>0</v>
      </c>
      <c r="AL49" s="876">
        <f t="shared" si="8"/>
        <v>0</v>
      </c>
      <c r="AM49" s="876">
        <f t="shared" si="8"/>
        <v>0</v>
      </c>
      <c r="AN49" s="876">
        <f t="shared" si="8"/>
        <v>0</v>
      </c>
    </row>
    <row r="50" spans="3:40" x14ac:dyDescent="0.35">
      <c r="C50" s="931" t="s">
        <v>4</v>
      </c>
      <c r="D50" s="932"/>
      <c r="E50" s="811">
        <f t="shared" si="6"/>
        <v>504671.33377531392</v>
      </c>
      <c r="F50" s="876">
        <f t="shared" ref="F50:AN50" si="9">F42*$F$63</f>
        <v>42244.747801791258</v>
      </c>
      <c r="G50" s="876">
        <f t="shared" si="9"/>
        <v>41829.60469068621</v>
      </c>
      <c r="H50" s="876">
        <f t="shared" si="9"/>
        <v>15021.320760101295</v>
      </c>
      <c r="I50" s="876">
        <f t="shared" si="9"/>
        <v>15021.320760101295</v>
      </c>
      <c r="J50" s="876">
        <f t="shared" si="9"/>
        <v>15021.320760101295</v>
      </c>
      <c r="K50" s="876">
        <f t="shared" si="9"/>
        <v>15021.320760101295</v>
      </c>
      <c r="L50" s="876">
        <f t="shared" si="9"/>
        <v>15021.320760101295</v>
      </c>
      <c r="M50" s="876">
        <f t="shared" si="9"/>
        <v>15021.320760101295</v>
      </c>
      <c r="N50" s="876">
        <f t="shared" si="9"/>
        <v>15021.320760101295</v>
      </c>
      <c r="O50" s="876">
        <f t="shared" si="9"/>
        <v>15021.320760101295</v>
      </c>
      <c r="P50" s="876">
        <f t="shared" si="9"/>
        <v>15021.320760101295</v>
      </c>
      <c r="Q50" s="876">
        <f t="shared" si="9"/>
        <v>15021.320760101295</v>
      </c>
      <c r="R50" s="876">
        <f t="shared" si="9"/>
        <v>15021.320760101295</v>
      </c>
      <c r="S50" s="876">
        <f t="shared" si="9"/>
        <v>15021.320760101295</v>
      </c>
      <c r="T50" s="876">
        <f t="shared" si="9"/>
        <v>15021.320760101295</v>
      </c>
      <c r="U50" s="876">
        <f t="shared" si="9"/>
        <v>15021.320760101295</v>
      </c>
      <c r="V50" s="876">
        <f t="shared" si="9"/>
        <v>15021.320760101295</v>
      </c>
      <c r="W50" s="876">
        <f t="shared" si="9"/>
        <v>15021.320760101295</v>
      </c>
      <c r="X50" s="876">
        <f t="shared" si="9"/>
        <v>15021.320760101295</v>
      </c>
      <c r="Y50" s="876">
        <f t="shared" si="9"/>
        <v>15021.320760101295</v>
      </c>
      <c r="Z50" s="876">
        <f t="shared" si="9"/>
        <v>15021.320760101295</v>
      </c>
      <c r="AA50" s="876">
        <f t="shared" si="9"/>
        <v>15021.320760101295</v>
      </c>
      <c r="AB50" s="876">
        <f t="shared" si="9"/>
        <v>15021.320760101295</v>
      </c>
      <c r="AC50" s="876">
        <f t="shared" si="9"/>
        <v>15021.320760101295</v>
      </c>
      <c r="AD50" s="876">
        <f t="shared" si="9"/>
        <v>15021.320760101295</v>
      </c>
      <c r="AE50" s="876">
        <f t="shared" si="9"/>
        <v>15021.320760101295</v>
      </c>
      <c r="AF50" s="876">
        <f t="shared" si="9"/>
        <v>15021.320760101295</v>
      </c>
      <c r="AG50" s="876">
        <f t="shared" si="9"/>
        <v>15021.320760101295</v>
      </c>
      <c r="AH50" s="876">
        <f t="shared" si="9"/>
        <v>15021.320760101295</v>
      </c>
      <c r="AI50" s="876">
        <f t="shared" si="9"/>
        <v>15021.320760101295</v>
      </c>
      <c r="AJ50" s="876">
        <f t="shared" si="9"/>
        <v>0</v>
      </c>
      <c r="AK50" s="876">
        <f t="shared" si="9"/>
        <v>0</v>
      </c>
      <c r="AL50" s="876">
        <f t="shared" si="9"/>
        <v>0</v>
      </c>
      <c r="AM50" s="876">
        <f t="shared" si="9"/>
        <v>0</v>
      </c>
      <c r="AN50" s="876">
        <f t="shared" si="9"/>
        <v>0</v>
      </c>
    </row>
    <row r="51" spans="3:40" x14ac:dyDescent="0.35">
      <c r="C51" s="931" t="s">
        <v>5</v>
      </c>
      <c r="D51" s="932"/>
      <c r="E51" s="811">
        <f t="shared" si="6"/>
        <v>1096053.4851233964</v>
      </c>
      <c r="F51" s="876">
        <f t="shared" ref="F51:AN51" si="10">F42*$F$64</f>
        <v>91747.836576996313</v>
      </c>
      <c r="G51" s="876">
        <f t="shared" si="10"/>
        <v>90846.221955163564</v>
      </c>
      <c r="H51" s="876">
        <f t="shared" si="10"/>
        <v>32623.550949687011</v>
      </c>
      <c r="I51" s="876">
        <f t="shared" si="10"/>
        <v>32623.550949687011</v>
      </c>
      <c r="J51" s="876">
        <f t="shared" si="10"/>
        <v>32623.550949687011</v>
      </c>
      <c r="K51" s="876">
        <f t="shared" si="10"/>
        <v>32623.550949687011</v>
      </c>
      <c r="L51" s="876">
        <f t="shared" si="10"/>
        <v>32623.550949687011</v>
      </c>
      <c r="M51" s="876">
        <f t="shared" si="10"/>
        <v>32623.550949687011</v>
      </c>
      <c r="N51" s="876">
        <f t="shared" si="10"/>
        <v>32623.550949687011</v>
      </c>
      <c r="O51" s="876">
        <f t="shared" si="10"/>
        <v>32623.550949687011</v>
      </c>
      <c r="P51" s="876">
        <f t="shared" si="10"/>
        <v>32623.550949687011</v>
      </c>
      <c r="Q51" s="876">
        <f t="shared" si="10"/>
        <v>32623.550949687011</v>
      </c>
      <c r="R51" s="876">
        <f t="shared" si="10"/>
        <v>32623.550949687011</v>
      </c>
      <c r="S51" s="876">
        <f t="shared" si="10"/>
        <v>32623.550949687011</v>
      </c>
      <c r="T51" s="876">
        <f t="shared" si="10"/>
        <v>32623.550949687011</v>
      </c>
      <c r="U51" s="876">
        <f t="shared" si="10"/>
        <v>32623.550949687011</v>
      </c>
      <c r="V51" s="876">
        <f t="shared" si="10"/>
        <v>32623.550949687011</v>
      </c>
      <c r="W51" s="876">
        <f t="shared" si="10"/>
        <v>32623.550949687011</v>
      </c>
      <c r="X51" s="876">
        <f t="shared" si="10"/>
        <v>32623.550949687011</v>
      </c>
      <c r="Y51" s="876">
        <f t="shared" si="10"/>
        <v>32623.550949687011</v>
      </c>
      <c r="Z51" s="876">
        <f t="shared" si="10"/>
        <v>32623.550949687011</v>
      </c>
      <c r="AA51" s="876">
        <f t="shared" si="10"/>
        <v>32623.550949687011</v>
      </c>
      <c r="AB51" s="876">
        <f t="shared" si="10"/>
        <v>32623.550949687011</v>
      </c>
      <c r="AC51" s="876">
        <f t="shared" si="10"/>
        <v>32623.550949687011</v>
      </c>
      <c r="AD51" s="876">
        <f t="shared" si="10"/>
        <v>32623.550949687011</v>
      </c>
      <c r="AE51" s="876">
        <f t="shared" si="10"/>
        <v>32623.550949687011</v>
      </c>
      <c r="AF51" s="876">
        <f t="shared" si="10"/>
        <v>32623.550949687011</v>
      </c>
      <c r="AG51" s="876">
        <f t="shared" si="10"/>
        <v>32623.550949687011</v>
      </c>
      <c r="AH51" s="876">
        <f t="shared" si="10"/>
        <v>32623.550949687011</v>
      </c>
      <c r="AI51" s="876">
        <f t="shared" si="10"/>
        <v>32623.550949687011</v>
      </c>
      <c r="AJ51" s="876">
        <f t="shared" si="10"/>
        <v>0</v>
      </c>
      <c r="AK51" s="876">
        <f t="shared" si="10"/>
        <v>0</v>
      </c>
      <c r="AL51" s="876">
        <f t="shared" si="10"/>
        <v>0</v>
      </c>
      <c r="AM51" s="876">
        <f t="shared" si="10"/>
        <v>0</v>
      </c>
      <c r="AN51" s="876">
        <f t="shared" si="10"/>
        <v>0</v>
      </c>
    </row>
    <row r="52" spans="3:40" x14ac:dyDescent="0.35">
      <c r="C52" s="931" t="s">
        <v>6</v>
      </c>
      <c r="D52" s="932"/>
      <c r="E52" s="811">
        <f t="shared" si="6"/>
        <v>12133120.388314942</v>
      </c>
      <c r="F52" s="876">
        <f t="shared" ref="F52:AN52" si="11">F42*$F$65</f>
        <v>1015632.5048597566</v>
      </c>
      <c r="G52" s="876">
        <f t="shared" si="11"/>
        <v>1005651.7886820873</v>
      </c>
      <c r="H52" s="876">
        <f t="shared" si="11"/>
        <v>361137.0033847533</v>
      </c>
      <c r="I52" s="876">
        <f t="shared" si="11"/>
        <v>361137.0033847533</v>
      </c>
      <c r="J52" s="876">
        <f t="shared" si="11"/>
        <v>361137.0033847533</v>
      </c>
      <c r="K52" s="876">
        <f t="shared" si="11"/>
        <v>361137.0033847533</v>
      </c>
      <c r="L52" s="876">
        <f t="shared" si="11"/>
        <v>361137.0033847533</v>
      </c>
      <c r="M52" s="876">
        <f t="shared" si="11"/>
        <v>361137.0033847533</v>
      </c>
      <c r="N52" s="876">
        <f t="shared" si="11"/>
        <v>361137.0033847533</v>
      </c>
      <c r="O52" s="876">
        <f t="shared" si="11"/>
        <v>361137.0033847533</v>
      </c>
      <c r="P52" s="876">
        <f t="shared" si="11"/>
        <v>361137.0033847533</v>
      </c>
      <c r="Q52" s="876">
        <f t="shared" si="11"/>
        <v>361137.0033847533</v>
      </c>
      <c r="R52" s="876">
        <f t="shared" si="11"/>
        <v>361137.0033847533</v>
      </c>
      <c r="S52" s="876">
        <f t="shared" si="11"/>
        <v>361137.0033847533</v>
      </c>
      <c r="T52" s="876">
        <f t="shared" si="11"/>
        <v>361137.0033847533</v>
      </c>
      <c r="U52" s="876">
        <f t="shared" si="11"/>
        <v>361137.0033847533</v>
      </c>
      <c r="V52" s="876">
        <f t="shared" si="11"/>
        <v>361137.0033847533</v>
      </c>
      <c r="W52" s="876">
        <f t="shared" si="11"/>
        <v>361137.0033847533</v>
      </c>
      <c r="X52" s="876">
        <f t="shared" si="11"/>
        <v>361137.0033847533</v>
      </c>
      <c r="Y52" s="876">
        <f t="shared" si="11"/>
        <v>361137.0033847533</v>
      </c>
      <c r="Z52" s="876">
        <f t="shared" si="11"/>
        <v>361137.0033847533</v>
      </c>
      <c r="AA52" s="876">
        <f t="shared" si="11"/>
        <v>361137.0033847533</v>
      </c>
      <c r="AB52" s="876">
        <f t="shared" si="11"/>
        <v>361137.0033847533</v>
      </c>
      <c r="AC52" s="876">
        <f t="shared" si="11"/>
        <v>361137.0033847533</v>
      </c>
      <c r="AD52" s="876">
        <f t="shared" si="11"/>
        <v>361137.0033847533</v>
      </c>
      <c r="AE52" s="876">
        <f t="shared" si="11"/>
        <v>361137.0033847533</v>
      </c>
      <c r="AF52" s="876">
        <f t="shared" si="11"/>
        <v>361137.0033847533</v>
      </c>
      <c r="AG52" s="876">
        <f t="shared" si="11"/>
        <v>361137.0033847533</v>
      </c>
      <c r="AH52" s="876">
        <f t="shared" si="11"/>
        <v>361137.0033847533</v>
      </c>
      <c r="AI52" s="876">
        <f t="shared" si="11"/>
        <v>361137.0033847533</v>
      </c>
      <c r="AJ52" s="876">
        <f t="shared" si="11"/>
        <v>0</v>
      </c>
      <c r="AK52" s="876">
        <f t="shared" si="11"/>
        <v>0</v>
      </c>
      <c r="AL52" s="876">
        <f t="shared" si="11"/>
        <v>0</v>
      </c>
      <c r="AM52" s="876">
        <f t="shared" si="11"/>
        <v>0</v>
      </c>
      <c r="AN52" s="876">
        <f t="shared" si="11"/>
        <v>0</v>
      </c>
    </row>
    <row r="53" spans="3:40" x14ac:dyDescent="0.35">
      <c r="C53" s="931" t="s">
        <v>7</v>
      </c>
      <c r="D53" s="932"/>
      <c r="E53" s="811">
        <f t="shared" si="6"/>
        <v>990736.29522188904</v>
      </c>
      <c r="F53" s="876">
        <f t="shared" ref="F53:AN53" si="12">F42*$F$66</f>
        <v>82932.003719401691</v>
      </c>
      <c r="G53" s="876">
        <f t="shared" si="12"/>
        <v>82117.023116468888</v>
      </c>
      <c r="H53" s="876">
        <f t="shared" si="12"/>
        <v>29488.831013786385</v>
      </c>
      <c r="I53" s="876">
        <f t="shared" si="12"/>
        <v>29488.831013786385</v>
      </c>
      <c r="J53" s="876">
        <f t="shared" si="12"/>
        <v>29488.831013786385</v>
      </c>
      <c r="K53" s="876">
        <f t="shared" si="12"/>
        <v>29488.831013786385</v>
      </c>
      <c r="L53" s="876">
        <f t="shared" si="12"/>
        <v>29488.831013786385</v>
      </c>
      <c r="M53" s="876">
        <f t="shared" si="12"/>
        <v>29488.831013786385</v>
      </c>
      <c r="N53" s="876">
        <f t="shared" si="12"/>
        <v>29488.831013786385</v>
      </c>
      <c r="O53" s="876">
        <f t="shared" si="12"/>
        <v>29488.831013786385</v>
      </c>
      <c r="P53" s="876">
        <f t="shared" si="12"/>
        <v>29488.831013786385</v>
      </c>
      <c r="Q53" s="876">
        <f t="shared" si="12"/>
        <v>29488.831013786385</v>
      </c>
      <c r="R53" s="876">
        <f t="shared" si="12"/>
        <v>29488.831013786385</v>
      </c>
      <c r="S53" s="876">
        <f t="shared" si="12"/>
        <v>29488.831013786385</v>
      </c>
      <c r="T53" s="876">
        <f t="shared" si="12"/>
        <v>29488.831013786385</v>
      </c>
      <c r="U53" s="876">
        <f t="shared" si="12"/>
        <v>29488.831013786385</v>
      </c>
      <c r="V53" s="876">
        <f t="shared" si="12"/>
        <v>29488.831013786385</v>
      </c>
      <c r="W53" s="876">
        <f t="shared" si="12"/>
        <v>29488.831013786385</v>
      </c>
      <c r="X53" s="876">
        <f t="shared" si="12"/>
        <v>29488.831013786385</v>
      </c>
      <c r="Y53" s="876">
        <f t="shared" si="12"/>
        <v>29488.831013786385</v>
      </c>
      <c r="Z53" s="876">
        <f t="shared" si="12"/>
        <v>29488.831013786385</v>
      </c>
      <c r="AA53" s="876">
        <f t="shared" si="12"/>
        <v>29488.831013786385</v>
      </c>
      <c r="AB53" s="876">
        <f t="shared" si="12"/>
        <v>29488.831013786385</v>
      </c>
      <c r="AC53" s="876">
        <f t="shared" si="12"/>
        <v>29488.831013786385</v>
      </c>
      <c r="AD53" s="876">
        <f t="shared" si="12"/>
        <v>29488.831013786385</v>
      </c>
      <c r="AE53" s="876">
        <f t="shared" si="12"/>
        <v>29488.831013786385</v>
      </c>
      <c r="AF53" s="876">
        <f t="shared" si="12"/>
        <v>29488.831013786385</v>
      </c>
      <c r="AG53" s="876">
        <f t="shared" si="12"/>
        <v>29488.831013786385</v>
      </c>
      <c r="AH53" s="876">
        <f t="shared" si="12"/>
        <v>29488.831013786385</v>
      </c>
      <c r="AI53" s="876">
        <f t="shared" si="12"/>
        <v>29488.831013786385</v>
      </c>
      <c r="AJ53" s="876">
        <f t="shared" si="12"/>
        <v>0</v>
      </c>
      <c r="AK53" s="876">
        <f t="shared" si="12"/>
        <v>0</v>
      </c>
      <c r="AL53" s="876">
        <f t="shared" si="12"/>
        <v>0</v>
      </c>
      <c r="AM53" s="876">
        <f t="shared" si="12"/>
        <v>0</v>
      </c>
      <c r="AN53" s="876">
        <f t="shared" si="12"/>
        <v>0</v>
      </c>
    </row>
    <row r="54" spans="3:40" x14ac:dyDescent="0.35">
      <c r="C54" s="931" t="s">
        <v>8</v>
      </c>
      <c r="D54" s="932"/>
      <c r="E54" s="811">
        <f t="shared" si="6"/>
        <v>902612.47194775881</v>
      </c>
      <c r="F54" s="876">
        <f t="shared" ref="F54:AN54" si="13">F42*$F$67</f>
        <v>75555.383649273703</v>
      </c>
      <c r="G54" s="876">
        <f t="shared" si="13"/>
        <v>74812.893785774853</v>
      </c>
      <c r="H54" s="876">
        <f t="shared" si="13"/>
        <v>26865.864089739676</v>
      </c>
      <c r="I54" s="876">
        <f t="shared" si="13"/>
        <v>26865.864089739676</v>
      </c>
      <c r="J54" s="876">
        <f t="shared" si="13"/>
        <v>26865.864089739676</v>
      </c>
      <c r="K54" s="876">
        <f t="shared" si="13"/>
        <v>26865.864089739676</v>
      </c>
      <c r="L54" s="876">
        <f t="shared" si="13"/>
        <v>26865.864089739676</v>
      </c>
      <c r="M54" s="876">
        <f t="shared" si="13"/>
        <v>26865.864089739676</v>
      </c>
      <c r="N54" s="876">
        <f t="shared" si="13"/>
        <v>26865.864089739676</v>
      </c>
      <c r="O54" s="876">
        <f t="shared" si="13"/>
        <v>26865.864089739676</v>
      </c>
      <c r="P54" s="876">
        <f t="shared" si="13"/>
        <v>26865.864089739676</v>
      </c>
      <c r="Q54" s="876">
        <f t="shared" si="13"/>
        <v>26865.864089739676</v>
      </c>
      <c r="R54" s="876">
        <f t="shared" si="13"/>
        <v>26865.864089739676</v>
      </c>
      <c r="S54" s="876">
        <f t="shared" si="13"/>
        <v>26865.864089739676</v>
      </c>
      <c r="T54" s="876">
        <f t="shared" si="13"/>
        <v>26865.864089739676</v>
      </c>
      <c r="U54" s="876">
        <f t="shared" si="13"/>
        <v>26865.864089739676</v>
      </c>
      <c r="V54" s="876">
        <f t="shared" si="13"/>
        <v>26865.864089739676</v>
      </c>
      <c r="W54" s="876">
        <f t="shared" si="13"/>
        <v>26865.864089739676</v>
      </c>
      <c r="X54" s="876">
        <f t="shared" si="13"/>
        <v>26865.864089739676</v>
      </c>
      <c r="Y54" s="876">
        <f t="shared" si="13"/>
        <v>26865.864089739676</v>
      </c>
      <c r="Z54" s="876">
        <f t="shared" si="13"/>
        <v>26865.864089739676</v>
      </c>
      <c r="AA54" s="876">
        <f t="shared" si="13"/>
        <v>26865.864089739676</v>
      </c>
      <c r="AB54" s="876">
        <f t="shared" si="13"/>
        <v>26865.864089739676</v>
      </c>
      <c r="AC54" s="876">
        <f t="shared" si="13"/>
        <v>26865.864089739676</v>
      </c>
      <c r="AD54" s="876">
        <f t="shared" si="13"/>
        <v>26865.864089739676</v>
      </c>
      <c r="AE54" s="876">
        <f t="shared" si="13"/>
        <v>26865.864089739676</v>
      </c>
      <c r="AF54" s="876">
        <f t="shared" si="13"/>
        <v>26865.864089739676</v>
      </c>
      <c r="AG54" s="876">
        <f t="shared" si="13"/>
        <v>26865.864089739676</v>
      </c>
      <c r="AH54" s="876">
        <f t="shared" si="13"/>
        <v>26865.864089739676</v>
      </c>
      <c r="AI54" s="876">
        <f t="shared" si="13"/>
        <v>26865.864089739676</v>
      </c>
      <c r="AJ54" s="876">
        <f t="shared" si="13"/>
        <v>0</v>
      </c>
      <c r="AK54" s="876">
        <f t="shared" si="13"/>
        <v>0</v>
      </c>
      <c r="AL54" s="876">
        <f t="shared" si="13"/>
        <v>0</v>
      </c>
      <c r="AM54" s="876">
        <f t="shared" si="13"/>
        <v>0</v>
      </c>
      <c r="AN54" s="876">
        <f t="shared" si="13"/>
        <v>0</v>
      </c>
    </row>
    <row r="55" spans="3:40" x14ac:dyDescent="0.35">
      <c r="C55" s="878" t="s">
        <v>9</v>
      </c>
      <c r="D55" s="880"/>
      <c r="E55" s="811">
        <f t="shared" si="6"/>
        <v>740624.39034344687</v>
      </c>
      <c r="F55" s="876">
        <f t="shared" ref="F55:AN55" si="14">F42*$F$68</f>
        <v>61995.775254086271</v>
      </c>
      <c r="G55" s="876">
        <f t="shared" si="14"/>
        <v>61386.536937997676</v>
      </c>
      <c r="H55" s="876">
        <f t="shared" si="14"/>
        <v>22044.359933977237</v>
      </c>
      <c r="I55" s="876">
        <f t="shared" si="14"/>
        <v>22044.359933977237</v>
      </c>
      <c r="J55" s="876">
        <f t="shared" si="14"/>
        <v>22044.359933977237</v>
      </c>
      <c r="K55" s="876">
        <f t="shared" si="14"/>
        <v>22044.359933977237</v>
      </c>
      <c r="L55" s="876">
        <f t="shared" si="14"/>
        <v>22044.359933977237</v>
      </c>
      <c r="M55" s="876">
        <f t="shared" si="14"/>
        <v>22044.359933977237</v>
      </c>
      <c r="N55" s="876">
        <f t="shared" si="14"/>
        <v>22044.359933977237</v>
      </c>
      <c r="O55" s="876">
        <f t="shared" si="14"/>
        <v>22044.359933977237</v>
      </c>
      <c r="P55" s="876">
        <f t="shared" si="14"/>
        <v>22044.359933977237</v>
      </c>
      <c r="Q55" s="876">
        <f t="shared" si="14"/>
        <v>22044.359933977237</v>
      </c>
      <c r="R55" s="876">
        <f t="shared" si="14"/>
        <v>22044.359933977237</v>
      </c>
      <c r="S55" s="876">
        <f t="shared" si="14"/>
        <v>22044.359933977237</v>
      </c>
      <c r="T55" s="876">
        <f t="shared" si="14"/>
        <v>22044.359933977237</v>
      </c>
      <c r="U55" s="876">
        <f t="shared" si="14"/>
        <v>22044.359933977237</v>
      </c>
      <c r="V55" s="876">
        <f t="shared" si="14"/>
        <v>22044.359933977237</v>
      </c>
      <c r="W55" s="876">
        <f t="shared" si="14"/>
        <v>22044.359933977237</v>
      </c>
      <c r="X55" s="876">
        <f t="shared" si="14"/>
        <v>22044.359933977237</v>
      </c>
      <c r="Y55" s="876">
        <f t="shared" si="14"/>
        <v>22044.359933977237</v>
      </c>
      <c r="Z55" s="876">
        <f t="shared" si="14"/>
        <v>22044.359933977237</v>
      </c>
      <c r="AA55" s="876">
        <f t="shared" si="14"/>
        <v>22044.359933977237</v>
      </c>
      <c r="AB55" s="876">
        <f t="shared" si="14"/>
        <v>22044.359933977237</v>
      </c>
      <c r="AC55" s="876">
        <f t="shared" si="14"/>
        <v>22044.359933977237</v>
      </c>
      <c r="AD55" s="876">
        <f t="shared" si="14"/>
        <v>22044.359933977237</v>
      </c>
      <c r="AE55" s="876">
        <f t="shared" si="14"/>
        <v>22044.359933977237</v>
      </c>
      <c r="AF55" s="876">
        <f t="shared" si="14"/>
        <v>22044.359933977237</v>
      </c>
      <c r="AG55" s="876">
        <f t="shared" si="14"/>
        <v>22044.359933977237</v>
      </c>
      <c r="AH55" s="876">
        <f t="shared" si="14"/>
        <v>22044.359933977237</v>
      </c>
      <c r="AI55" s="876">
        <f t="shared" si="14"/>
        <v>22044.359933977237</v>
      </c>
      <c r="AJ55" s="876">
        <f t="shared" si="14"/>
        <v>0</v>
      </c>
      <c r="AK55" s="876">
        <f t="shared" si="14"/>
        <v>0</v>
      </c>
      <c r="AL55" s="876">
        <f t="shared" si="14"/>
        <v>0</v>
      </c>
      <c r="AM55" s="876">
        <f t="shared" si="14"/>
        <v>0</v>
      </c>
      <c r="AN55" s="876">
        <f t="shared" si="14"/>
        <v>0</v>
      </c>
    </row>
    <row r="56" spans="3:40" x14ac:dyDescent="0.35">
      <c r="C56" s="800" t="s">
        <v>455</v>
      </c>
      <c r="D56" s="861"/>
      <c r="E56" s="801">
        <f t="shared" ref="E56:AN56" si="15">SUM(E47:E55)</f>
        <v>18260494.680000007</v>
      </c>
      <c r="F56" s="801">
        <f t="shared" si="15"/>
        <v>1528539.3500000006</v>
      </c>
      <c r="G56" s="801">
        <f t="shared" si="15"/>
        <v>1513518.2500000002</v>
      </c>
      <c r="H56" s="801">
        <f t="shared" si="15"/>
        <v>543515.6100000001</v>
      </c>
      <c r="I56" s="801">
        <f t="shared" si="15"/>
        <v>543515.6100000001</v>
      </c>
      <c r="J56" s="801">
        <f t="shared" si="15"/>
        <v>543515.6100000001</v>
      </c>
      <c r="K56" s="801">
        <f t="shared" si="15"/>
        <v>543515.6100000001</v>
      </c>
      <c r="L56" s="801">
        <f t="shared" si="15"/>
        <v>543515.6100000001</v>
      </c>
      <c r="M56" s="801">
        <f t="shared" si="15"/>
        <v>543515.6100000001</v>
      </c>
      <c r="N56" s="801">
        <f t="shared" si="15"/>
        <v>543515.6100000001</v>
      </c>
      <c r="O56" s="801">
        <f t="shared" si="15"/>
        <v>543515.6100000001</v>
      </c>
      <c r="P56" s="801">
        <f t="shared" si="15"/>
        <v>543515.6100000001</v>
      </c>
      <c r="Q56" s="801">
        <f t="shared" si="15"/>
        <v>543515.6100000001</v>
      </c>
      <c r="R56" s="801">
        <f t="shared" si="15"/>
        <v>543515.6100000001</v>
      </c>
      <c r="S56" s="801">
        <f t="shared" si="15"/>
        <v>543515.6100000001</v>
      </c>
      <c r="T56" s="801">
        <f t="shared" si="15"/>
        <v>543515.6100000001</v>
      </c>
      <c r="U56" s="801">
        <f t="shared" si="15"/>
        <v>543515.6100000001</v>
      </c>
      <c r="V56" s="801">
        <f t="shared" si="15"/>
        <v>543515.6100000001</v>
      </c>
      <c r="W56" s="801">
        <f t="shared" si="15"/>
        <v>543515.6100000001</v>
      </c>
      <c r="X56" s="801">
        <f t="shared" si="15"/>
        <v>543515.6100000001</v>
      </c>
      <c r="Y56" s="801">
        <f t="shared" si="15"/>
        <v>543515.6100000001</v>
      </c>
      <c r="Z56" s="801">
        <f t="shared" si="15"/>
        <v>543515.6100000001</v>
      </c>
      <c r="AA56" s="801">
        <f t="shared" si="15"/>
        <v>543515.6100000001</v>
      </c>
      <c r="AB56" s="801">
        <f t="shared" si="15"/>
        <v>543515.6100000001</v>
      </c>
      <c r="AC56" s="801">
        <f t="shared" si="15"/>
        <v>543515.6100000001</v>
      </c>
      <c r="AD56" s="801">
        <f t="shared" si="15"/>
        <v>543515.6100000001</v>
      </c>
      <c r="AE56" s="801">
        <f t="shared" si="15"/>
        <v>543515.6100000001</v>
      </c>
      <c r="AF56" s="801">
        <f t="shared" si="15"/>
        <v>543515.6100000001</v>
      </c>
      <c r="AG56" s="801">
        <f t="shared" si="15"/>
        <v>543515.6100000001</v>
      </c>
      <c r="AH56" s="801">
        <f t="shared" si="15"/>
        <v>543515.6100000001</v>
      </c>
      <c r="AI56" s="801">
        <f t="shared" si="15"/>
        <v>543515.6100000001</v>
      </c>
      <c r="AJ56" s="801">
        <f t="shared" si="15"/>
        <v>0</v>
      </c>
      <c r="AK56" s="801">
        <f t="shared" si="15"/>
        <v>0</v>
      </c>
      <c r="AL56" s="801">
        <f t="shared" si="15"/>
        <v>0</v>
      </c>
      <c r="AM56" s="801">
        <f t="shared" si="15"/>
        <v>0</v>
      </c>
      <c r="AN56" s="801">
        <f t="shared" si="15"/>
        <v>0</v>
      </c>
    </row>
    <row r="57" spans="3:40" x14ac:dyDescent="0.35">
      <c r="F57" s="221"/>
    </row>
    <row r="58" spans="3:40" x14ac:dyDescent="0.35">
      <c r="C58" s="77" t="s">
        <v>839</v>
      </c>
    </row>
    <row r="59" spans="3:40" x14ac:dyDescent="0.35">
      <c r="C59" s="862" t="s">
        <v>68</v>
      </c>
      <c r="D59" s="892"/>
      <c r="E59" s="869"/>
      <c r="F59" s="802" t="s">
        <v>176</v>
      </c>
    </row>
    <row r="60" spans="3:40" x14ac:dyDescent="0.35">
      <c r="C60" s="895" t="s">
        <v>1</v>
      </c>
      <c r="D60" s="896"/>
      <c r="E60" s="897"/>
      <c r="F60" s="1067">
        <f>'Premissas Gerais'!G165</f>
        <v>6.8271733926195486E-3</v>
      </c>
    </row>
    <row r="61" spans="3:40" x14ac:dyDescent="0.35">
      <c r="C61" s="898" t="s">
        <v>2</v>
      </c>
      <c r="D61" s="899"/>
      <c r="E61" s="900"/>
      <c r="F61" s="1068">
        <f>'Premissas Gerais'!G166</f>
        <v>8.6463706442174645E-2</v>
      </c>
    </row>
    <row r="62" spans="3:40" x14ac:dyDescent="0.35">
      <c r="C62" s="898" t="s">
        <v>3</v>
      </c>
      <c r="D62" s="899"/>
      <c r="E62" s="900"/>
      <c r="F62" s="1068">
        <f>'Premissas Gerais'!G167</f>
        <v>1.0357808135649236E-2</v>
      </c>
    </row>
    <row r="63" spans="3:40" x14ac:dyDescent="0.35">
      <c r="C63" s="898" t="s">
        <v>4</v>
      </c>
      <c r="D63" s="899"/>
      <c r="E63" s="900"/>
      <c r="F63" s="1068">
        <f>'Premissas Gerais'!G168</f>
        <v>2.7637330894877687E-2</v>
      </c>
    </row>
    <row r="64" spans="3:40" x14ac:dyDescent="0.35">
      <c r="C64" s="898" t="s">
        <v>5</v>
      </c>
      <c r="D64" s="899"/>
      <c r="E64" s="900"/>
      <c r="F64" s="1068">
        <f>'Premissas Gerais'!G169</f>
        <v>6.0023208808459072E-2</v>
      </c>
    </row>
    <row r="65" spans="3:6" x14ac:dyDescent="0.35">
      <c r="C65" s="898" t="s">
        <v>6</v>
      </c>
      <c r="D65" s="899"/>
      <c r="E65" s="900"/>
      <c r="F65" s="1068">
        <f>'Premissas Gerais'!G170</f>
        <v>0.66444642387502584</v>
      </c>
    </row>
    <row r="66" spans="3:6" x14ac:dyDescent="0.35">
      <c r="C66" s="898" t="s">
        <v>7</v>
      </c>
      <c r="D66" s="899"/>
      <c r="E66" s="900"/>
      <c r="F66" s="1068">
        <f>'Premissas Gerais'!G171</f>
        <v>5.4255720482041685E-2</v>
      </c>
    </row>
    <row r="67" spans="3:6" x14ac:dyDescent="0.35">
      <c r="C67" s="898" t="s">
        <v>8</v>
      </c>
      <c r="D67" s="899"/>
      <c r="E67" s="900"/>
      <c r="F67" s="1068">
        <f>'Premissas Gerais'!G172</f>
        <v>4.9429792991115142E-2</v>
      </c>
    </row>
    <row r="68" spans="3:6" x14ac:dyDescent="0.35">
      <c r="C68" s="898" t="s">
        <v>9</v>
      </c>
      <c r="D68" s="899"/>
      <c r="E68" s="900"/>
      <c r="F68" s="1068">
        <f>'Premissas Gerais'!G173</f>
        <v>4.0558834978037216E-2</v>
      </c>
    </row>
    <row r="69" spans="3:6" x14ac:dyDescent="0.35">
      <c r="C69" s="800" t="s">
        <v>455</v>
      </c>
      <c r="D69" s="893"/>
      <c r="E69" s="894"/>
      <c r="F69" s="928">
        <f>SUM(F60:F68)</f>
        <v>1</v>
      </c>
    </row>
  </sheetData>
  <sheetProtection algorithmName="SHA-512" hashValue="1z/HiPlnIBvsVSWDr/z3YmDDYXFri+HazUc1dIEMwJ5p2SuLSTU/kF1+Q7DHP4Ws6PIIft1zr5GA9gl2FRMMxg==" saltValue="wj7ysKmh21euDO2oIgRPbg==" spinCount="100000" sheet="1" objects="1" scenarios="1"/>
  <mergeCells count="12">
    <mergeCell ref="C6:D6"/>
    <mergeCell ref="C40:D40"/>
    <mergeCell ref="C41:D41"/>
    <mergeCell ref="C7:D7"/>
    <mergeCell ref="C8:D8"/>
    <mergeCell ref="C9:D9"/>
    <mergeCell ref="C10:D10"/>
    <mergeCell ref="C18:D18"/>
    <mergeCell ref="C20:D20"/>
    <mergeCell ref="C12:D12"/>
    <mergeCell ref="C17:D17"/>
    <mergeCell ref="C13:D13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E4292-9CF4-476A-A58B-09BE200D9B5D}">
  <sheetPr codeName="Planilha23"/>
  <dimension ref="B2:AQ77"/>
  <sheetViews>
    <sheetView showGridLines="0" topLeftCell="B31" workbookViewId="0">
      <selection activeCell="E49" sqref="E49"/>
    </sheetView>
  </sheetViews>
  <sheetFormatPr defaultColWidth="8.81640625" defaultRowHeight="14.5" x14ac:dyDescent="0.35"/>
  <cols>
    <col min="1" max="1" width="3" customWidth="1"/>
    <col min="2" max="2" width="2.453125" customWidth="1"/>
    <col min="3" max="3" width="12.453125" customWidth="1"/>
    <col min="4" max="4" width="38.453125" bestFit="1" customWidth="1"/>
    <col min="5" max="5" width="15.36328125" bestFit="1" customWidth="1"/>
    <col min="6" max="6" width="15" bestFit="1" customWidth="1"/>
    <col min="7" max="7" width="15.36328125" bestFit="1" customWidth="1"/>
    <col min="8" max="35" width="15" bestFit="1" customWidth="1"/>
    <col min="36" max="36" width="18.6328125" customWidth="1"/>
    <col min="37" max="37" width="14.81640625" customWidth="1"/>
    <col min="38" max="38" width="18" customWidth="1"/>
    <col min="39" max="39" width="15" customWidth="1"/>
    <col min="40" max="40" width="13.36328125" bestFit="1" customWidth="1"/>
  </cols>
  <sheetData>
    <row r="2" spans="2:43" ht="21" x14ac:dyDescent="0.5">
      <c r="B2" s="98"/>
      <c r="C2" s="98" t="s">
        <v>1057</v>
      </c>
      <c r="D2" s="76"/>
      <c r="E2" s="76"/>
      <c r="F2" s="76"/>
      <c r="G2" s="76"/>
      <c r="H2" s="76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</row>
    <row r="3" spans="2:43" ht="6" customHeight="1" x14ac:dyDescent="0.35"/>
    <row r="4" spans="2:43" ht="15" thickBot="1" x14ac:dyDescent="0.4">
      <c r="B4" s="549"/>
      <c r="C4" s="549"/>
      <c r="D4" s="851"/>
      <c r="E4" s="549"/>
      <c r="F4" s="549"/>
      <c r="G4" s="549"/>
      <c r="H4" s="549"/>
      <c r="I4" s="549"/>
    </row>
    <row r="5" spans="2:43" ht="15" thickBot="1" x14ac:dyDescent="0.4">
      <c r="B5" s="549"/>
      <c r="C5" s="1050"/>
      <c r="D5" s="1073"/>
      <c r="E5" s="1073"/>
      <c r="F5" s="1074"/>
      <c r="G5" s="1057" t="s">
        <v>869</v>
      </c>
      <c r="H5" s="1040"/>
      <c r="I5" s="1040"/>
    </row>
    <row r="6" spans="2:43" ht="15" thickBot="1" x14ac:dyDescent="0.4">
      <c r="B6" s="549"/>
      <c r="C6" s="1071" t="s">
        <v>1058</v>
      </c>
      <c r="D6" s="1075"/>
      <c r="E6" s="1075"/>
      <c r="F6" s="1076"/>
      <c r="G6" s="1085" t="s">
        <v>1059</v>
      </c>
      <c r="H6" s="1042"/>
      <c r="I6" s="1042"/>
    </row>
    <row r="7" spans="2:43" ht="15" thickBot="1" x14ac:dyDescent="0.4">
      <c r="B7" s="549"/>
      <c r="C7" s="1069"/>
      <c r="D7" s="1077" t="s">
        <v>1058</v>
      </c>
      <c r="E7" s="1077"/>
      <c r="F7" s="1078"/>
      <c r="G7" s="1186">
        <v>3132.91</v>
      </c>
      <c r="H7" s="1042"/>
      <c r="I7" s="1042"/>
    </row>
    <row r="8" spans="2:43" ht="15" thickBot="1" x14ac:dyDescent="0.4">
      <c r="B8" s="549"/>
      <c r="C8" s="1084" t="s">
        <v>1060</v>
      </c>
      <c r="D8" s="1081"/>
      <c r="E8" s="1081"/>
      <c r="F8" s="1082"/>
      <c r="G8" s="1083">
        <f>SUM(G7:G7)</f>
        <v>3132.91</v>
      </c>
      <c r="H8" s="1042"/>
      <c r="I8" s="1042"/>
    </row>
    <row r="9" spans="2:43" ht="26.5" thickBot="1" x14ac:dyDescent="0.4">
      <c r="B9" s="549"/>
      <c r="C9" s="1071" t="s">
        <v>1061</v>
      </c>
      <c r="D9" s="1075"/>
      <c r="E9" s="1075" t="s">
        <v>867</v>
      </c>
      <c r="F9" s="1080" t="s">
        <v>1062</v>
      </c>
      <c r="G9" s="1085" t="s">
        <v>1059</v>
      </c>
      <c r="H9" s="1042"/>
      <c r="I9" s="1042"/>
    </row>
    <row r="10" spans="2:43" ht="15" thickBot="1" x14ac:dyDescent="0.4">
      <c r="B10" s="549"/>
      <c r="C10" s="1069"/>
      <c r="D10" s="1077" t="s">
        <v>1063</v>
      </c>
      <c r="E10" s="1185">
        <v>2</v>
      </c>
      <c r="F10" s="1186">
        <v>2931.3</v>
      </c>
      <c r="G10" s="1072">
        <f>F10*E10</f>
        <v>5862.6</v>
      </c>
      <c r="H10" s="1042"/>
      <c r="I10" s="1042"/>
    </row>
    <row r="11" spans="2:43" ht="15" thickBot="1" x14ac:dyDescent="0.4">
      <c r="B11" s="549"/>
      <c r="C11" s="1070"/>
      <c r="D11" s="1079" t="s">
        <v>1064</v>
      </c>
      <c r="E11" s="1188">
        <v>4</v>
      </c>
      <c r="F11" s="1187">
        <v>3659.03</v>
      </c>
      <c r="G11" s="1072">
        <f t="shared" ref="G11" si="0">F11*E11</f>
        <v>14636.12</v>
      </c>
      <c r="H11" s="1042"/>
      <c r="I11" s="1042"/>
    </row>
    <row r="12" spans="2:43" ht="15" thickBot="1" x14ac:dyDescent="0.4">
      <c r="B12" s="549"/>
      <c r="C12" s="1084" t="s">
        <v>1065</v>
      </c>
      <c r="D12" s="1081"/>
      <c r="E12" s="1081"/>
      <c r="F12" s="1082"/>
      <c r="G12" s="1083">
        <f>SUM(G10:G11)</f>
        <v>20498.72</v>
      </c>
      <c r="H12" s="1042"/>
      <c r="I12" s="1042"/>
    </row>
    <row r="13" spans="2:43" ht="26.5" thickBot="1" x14ac:dyDescent="0.4">
      <c r="B13" s="549"/>
      <c r="C13" s="1071" t="s">
        <v>1066</v>
      </c>
      <c r="D13" s="1075"/>
      <c r="E13" s="1075" t="s">
        <v>867</v>
      </c>
      <c r="F13" s="1080" t="s">
        <v>1062</v>
      </c>
      <c r="G13" s="1085" t="s">
        <v>1059</v>
      </c>
      <c r="H13" s="1042"/>
      <c r="I13" s="1042"/>
    </row>
    <row r="14" spans="2:43" ht="15" thickBot="1" x14ac:dyDescent="0.4">
      <c r="B14" s="549"/>
      <c r="C14" s="1069"/>
      <c r="D14" s="1077" t="s">
        <v>1067</v>
      </c>
      <c r="E14" s="1185">
        <v>1</v>
      </c>
      <c r="F14" s="1186">
        <v>31833.19</v>
      </c>
      <c r="G14" s="1072">
        <f>F14*E14</f>
        <v>31833.19</v>
      </c>
      <c r="H14" s="1042"/>
      <c r="I14" s="1042"/>
    </row>
    <row r="15" spans="2:43" ht="15" thickBot="1" x14ac:dyDescent="0.4">
      <c r="B15" s="549"/>
      <c r="C15" s="1069"/>
      <c r="D15" s="1077" t="s">
        <v>1068</v>
      </c>
      <c r="E15" s="1185">
        <v>0</v>
      </c>
      <c r="F15" s="1187">
        <v>24041.46</v>
      </c>
      <c r="G15" s="1072">
        <f t="shared" ref="G15:G32" si="1">F15*E15</f>
        <v>0</v>
      </c>
      <c r="H15" s="1042"/>
      <c r="I15" s="1042"/>
    </row>
    <row r="16" spans="2:43" ht="15" thickBot="1" x14ac:dyDescent="0.4">
      <c r="B16" s="549"/>
      <c r="C16" s="1069"/>
      <c r="D16" s="1077" t="s">
        <v>1069</v>
      </c>
      <c r="E16" s="1185">
        <v>2</v>
      </c>
      <c r="F16" s="1187">
        <v>7235.18</v>
      </c>
      <c r="G16" s="1072">
        <f t="shared" si="1"/>
        <v>14470.36</v>
      </c>
      <c r="H16" s="1042"/>
      <c r="I16" s="1042"/>
    </row>
    <row r="17" spans="2:9" ht="15" thickBot="1" x14ac:dyDescent="0.4">
      <c r="B17" s="549"/>
      <c r="C17" s="1069"/>
      <c r="D17" s="1077" t="s">
        <v>1070</v>
      </c>
      <c r="E17" s="1185">
        <v>1</v>
      </c>
      <c r="F17" s="1187">
        <v>7235.18</v>
      </c>
      <c r="G17" s="1072">
        <f t="shared" si="1"/>
        <v>7235.18</v>
      </c>
      <c r="H17" s="1042"/>
      <c r="I17" s="1042"/>
    </row>
    <row r="18" spans="2:9" ht="15" thickBot="1" x14ac:dyDescent="0.4">
      <c r="B18" s="549"/>
      <c r="C18" s="1069"/>
      <c r="D18" s="1077" t="s">
        <v>1071</v>
      </c>
      <c r="E18" s="1185">
        <v>1</v>
      </c>
      <c r="F18" s="1187">
        <v>7235.18</v>
      </c>
      <c r="G18" s="1072">
        <f t="shared" si="1"/>
        <v>7235.18</v>
      </c>
      <c r="H18" s="1042"/>
      <c r="I18" s="1042"/>
    </row>
    <row r="19" spans="2:9" ht="15" thickBot="1" x14ac:dyDescent="0.4">
      <c r="B19" s="549"/>
      <c r="C19" s="1069"/>
      <c r="D19" s="1077" t="s">
        <v>1072</v>
      </c>
      <c r="E19" s="1185">
        <v>1</v>
      </c>
      <c r="F19" s="1187">
        <v>7235.18</v>
      </c>
      <c r="G19" s="1072">
        <f t="shared" si="1"/>
        <v>7235.18</v>
      </c>
      <c r="H19" s="1042"/>
      <c r="I19" s="1042"/>
    </row>
    <row r="20" spans="2:9" ht="15" thickBot="1" x14ac:dyDescent="0.4">
      <c r="B20" s="549"/>
      <c r="C20" s="1069"/>
      <c r="D20" s="1077" t="s">
        <v>1073</v>
      </c>
      <c r="E20" s="1185">
        <v>2</v>
      </c>
      <c r="F20" s="1187">
        <v>4339.09</v>
      </c>
      <c r="G20" s="1072">
        <f t="shared" si="1"/>
        <v>8678.18</v>
      </c>
      <c r="H20" s="1042"/>
      <c r="I20" s="1042"/>
    </row>
    <row r="21" spans="2:9" ht="15" thickBot="1" x14ac:dyDescent="0.4">
      <c r="B21" s="549"/>
      <c r="C21" s="1069"/>
      <c r="D21" s="1077" t="s">
        <v>1074</v>
      </c>
      <c r="E21" s="1185">
        <v>1</v>
      </c>
      <c r="F21" s="1187">
        <v>8058.24</v>
      </c>
      <c r="G21" s="1072">
        <f t="shared" si="1"/>
        <v>8058.24</v>
      </c>
      <c r="H21" s="1042"/>
      <c r="I21" s="1042"/>
    </row>
    <row r="22" spans="2:9" ht="15" thickBot="1" x14ac:dyDescent="0.4">
      <c r="B22" s="549"/>
      <c r="C22" s="1069"/>
      <c r="D22" s="1077" t="s">
        <v>1075</v>
      </c>
      <c r="E22" s="1185">
        <v>2</v>
      </c>
      <c r="F22" s="1187">
        <v>1621</v>
      </c>
      <c r="G22" s="1072">
        <f t="shared" si="1"/>
        <v>3242</v>
      </c>
      <c r="H22" s="1042"/>
      <c r="I22" s="1042"/>
    </row>
    <row r="23" spans="2:9" ht="15" thickBot="1" x14ac:dyDescent="0.4">
      <c r="B23" s="549"/>
      <c r="C23" s="1069"/>
      <c r="D23" s="1077" t="s">
        <v>1076</v>
      </c>
      <c r="E23" s="1185">
        <v>1</v>
      </c>
      <c r="F23" s="1187">
        <v>7605.2</v>
      </c>
      <c r="G23" s="1072">
        <f t="shared" si="1"/>
        <v>7605.2</v>
      </c>
      <c r="H23" s="1042"/>
      <c r="I23" s="1042"/>
    </row>
    <row r="24" spans="2:9" ht="15" thickBot="1" x14ac:dyDescent="0.4">
      <c r="B24" s="549"/>
      <c r="C24" s="1069"/>
      <c r="D24" s="1077" t="s">
        <v>1077</v>
      </c>
      <c r="E24" s="1185">
        <v>0</v>
      </c>
      <c r="F24" s="1187">
        <v>4339.09</v>
      </c>
      <c r="G24" s="1072">
        <f t="shared" si="1"/>
        <v>0</v>
      </c>
      <c r="H24" s="1042"/>
      <c r="I24" s="1042"/>
    </row>
    <row r="25" spans="2:9" ht="15" thickBot="1" x14ac:dyDescent="0.4">
      <c r="B25" s="549"/>
      <c r="C25" s="1069"/>
      <c r="D25" s="1077" t="s">
        <v>1078</v>
      </c>
      <c r="E25" s="1185">
        <v>1</v>
      </c>
      <c r="F25" s="1187">
        <v>5611.73</v>
      </c>
      <c r="G25" s="1072">
        <f t="shared" si="1"/>
        <v>5611.73</v>
      </c>
      <c r="H25" s="1042"/>
      <c r="I25" s="1042"/>
    </row>
    <row r="26" spans="2:9" ht="15" thickBot="1" x14ac:dyDescent="0.4">
      <c r="B26" s="549"/>
      <c r="C26" s="1069"/>
      <c r="D26" s="1077" t="s">
        <v>1079</v>
      </c>
      <c r="E26" s="1185">
        <v>2</v>
      </c>
      <c r="F26" s="1187">
        <v>3144.51</v>
      </c>
      <c r="G26" s="1072">
        <f t="shared" si="1"/>
        <v>6289.02</v>
      </c>
      <c r="H26" s="1042"/>
      <c r="I26" s="1042"/>
    </row>
    <row r="27" spans="2:9" ht="15" thickBot="1" x14ac:dyDescent="0.4">
      <c r="B27" s="549"/>
      <c r="C27" s="1069"/>
      <c r="D27" s="1077" t="s">
        <v>1080</v>
      </c>
      <c r="E27" s="1185">
        <v>4</v>
      </c>
      <c r="F27" s="1187">
        <v>4938.37</v>
      </c>
      <c r="G27" s="1072">
        <f t="shared" si="1"/>
        <v>19753.48</v>
      </c>
      <c r="H27" s="1042"/>
      <c r="I27" s="1042"/>
    </row>
    <row r="28" spans="2:9" ht="15" thickBot="1" x14ac:dyDescent="0.4">
      <c r="B28" s="549"/>
      <c r="C28" s="1069"/>
      <c r="D28" s="1077" t="s">
        <v>1081</v>
      </c>
      <c r="E28" s="1185">
        <v>1</v>
      </c>
      <c r="F28" s="1187">
        <v>7235.18</v>
      </c>
      <c r="G28" s="1072">
        <f t="shared" si="1"/>
        <v>7235.18</v>
      </c>
      <c r="H28" s="1042"/>
      <c r="I28" s="1042"/>
    </row>
    <row r="29" spans="2:9" ht="15" thickBot="1" x14ac:dyDescent="0.4">
      <c r="B29" s="549"/>
      <c r="C29" s="1069"/>
      <c r="D29" s="1077" t="s">
        <v>1082</v>
      </c>
      <c r="E29" s="1185">
        <v>2</v>
      </c>
      <c r="F29" s="1187">
        <v>6416.83</v>
      </c>
      <c r="G29" s="1072">
        <f t="shared" si="1"/>
        <v>12833.66</v>
      </c>
      <c r="H29" s="1042"/>
      <c r="I29" s="1042"/>
    </row>
    <row r="30" spans="2:9" ht="15" thickBot="1" x14ac:dyDescent="0.4">
      <c r="B30" s="549"/>
      <c r="C30" s="1069"/>
      <c r="D30" s="1077" t="s">
        <v>1083</v>
      </c>
      <c r="E30" s="1185">
        <v>1</v>
      </c>
      <c r="F30" s="1187">
        <v>5791.3</v>
      </c>
      <c r="G30" s="1072">
        <f t="shared" si="1"/>
        <v>5791.3</v>
      </c>
      <c r="H30" s="1042"/>
      <c r="I30" s="1042"/>
    </row>
    <row r="31" spans="2:9" ht="15" thickBot="1" x14ac:dyDescent="0.4">
      <c r="B31" s="549"/>
      <c r="C31" s="1069"/>
      <c r="D31" s="1077" t="s">
        <v>1084</v>
      </c>
      <c r="E31" s="1185">
        <v>1</v>
      </c>
      <c r="F31" s="1187">
        <v>3538.57</v>
      </c>
      <c r="G31" s="1072">
        <f t="shared" si="1"/>
        <v>3538.57</v>
      </c>
      <c r="H31" s="1042"/>
      <c r="I31" s="1042"/>
    </row>
    <row r="32" spans="2:9" ht="15" thickBot="1" x14ac:dyDescent="0.4">
      <c r="B32" s="549"/>
      <c r="C32" s="1069"/>
      <c r="D32" s="1077" t="s">
        <v>1085</v>
      </c>
      <c r="E32" s="1185">
        <v>0</v>
      </c>
      <c r="F32" s="1187">
        <v>5780.22</v>
      </c>
      <c r="G32" s="1072">
        <f t="shared" si="1"/>
        <v>0</v>
      </c>
      <c r="H32" s="1042"/>
      <c r="I32" s="1042"/>
    </row>
    <row r="33" spans="2:41" ht="15" thickBot="1" x14ac:dyDescent="0.4">
      <c r="B33" s="549"/>
      <c r="C33" s="1084" t="s">
        <v>1086</v>
      </c>
      <c r="D33" s="1081"/>
      <c r="E33" s="1081"/>
      <c r="F33" s="1082"/>
      <c r="G33" s="1083">
        <f>SUM(G14:G32)</f>
        <v>156645.65</v>
      </c>
      <c r="H33" s="1042"/>
      <c r="I33" s="1042"/>
    </row>
    <row r="34" spans="2:41" ht="4.5" customHeight="1" thickBot="1" x14ac:dyDescent="0.4">
      <c r="B34" s="549"/>
      <c r="C34" s="1043"/>
      <c r="D34" s="1044"/>
      <c r="E34" s="1045"/>
      <c r="F34" s="1046"/>
      <c r="G34" s="1047"/>
      <c r="H34" s="1047"/>
      <c r="I34" s="1047"/>
    </row>
    <row r="35" spans="2:41" ht="15" thickBot="1" x14ac:dyDescent="0.4">
      <c r="B35" s="549"/>
      <c r="C35" s="1971" t="s">
        <v>1087</v>
      </c>
      <c r="D35" s="1972"/>
      <c r="E35" s="1972"/>
      <c r="F35" s="1973"/>
      <c r="G35" s="844">
        <f>G33+G12+G8</f>
        <v>180277.28</v>
      </c>
      <c r="H35" s="1048"/>
      <c r="I35" s="1048"/>
    </row>
    <row r="36" spans="2:41" ht="15" thickBot="1" x14ac:dyDescent="0.4">
      <c r="B36" s="549"/>
      <c r="C36" s="1049"/>
      <c r="D36" s="851"/>
      <c r="E36" s="549"/>
      <c r="F36" s="549"/>
      <c r="G36" s="549"/>
      <c r="H36" s="549"/>
      <c r="I36" s="549"/>
    </row>
    <row r="37" spans="2:41" ht="15" thickBot="1" x14ac:dyDescent="0.4">
      <c r="B37" s="549"/>
      <c r="C37" s="1520" t="s">
        <v>1088</v>
      </c>
      <c r="D37" s="1521"/>
      <c r="E37" s="1521" t="s">
        <v>867</v>
      </c>
      <c r="F37" s="1522" t="s">
        <v>868</v>
      </c>
      <c r="G37" s="1085" t="s">
        <v>1089</v>
      </c>
      <c r="H37" s="549"/>
      <c r="I37" s="549"/>
    </row>
    <row r="38" spans="2:41" ht="15" thickBot="1" x14ac:dyDescent="0.4">
      <c r="B38" s="549"/>
      <c r="C38" s="1069"/>
      <c r="D38" s="1077" t="s">
        <v>1090</v>
      </c>
      <c r="E38" s="1185">
        <v>2</v>
      </c>
      <c r="F38" s="1186">
        <v>13668.66</v>
      </c>
      <c r="G38" s="1072">
        <f>F38*E38</f>
        <v>27337.32</v>
      </c>
      <c r="H38" s="549"/>
      <c r="I38" s="549"/>
    </row>
    <row r="39" spans="2:41" ht="15" thickBot="1" x14ac:dyDescent="0.4">
      <c r="B39" s="549"/>
      <c r="C39" s="1069"/>
      <c r="D39" s="1077" t="s">
        <v>1091</v>
      </c>
      <c r="E39" s="1185">
        <v>2</v>
      </c>
      <c r="F39" s="1186">
        <v>13668.66</v>
      </c>
      <c r="G39" s="1072">
        <f t="shared" ref="G39" si="2">F39*E39</f>
        <v>27337.32</v>
      </c>
      <c r="H39" s="549"/>
      <c r="I39" s="549"/>
    </row>
    <row r="40" spans="2:41" x14ac:dyDescent="0.35">
      <c r="B40" s="549"/>
      <c r="C40" s="1049"/>
      <c r="D40" s="851"/>
      <c r="E40" s="549"/>
      <c r="F40" s="549"/>
      <c r="G40" s="549"/>
      <c r="H40" s="549"/>
      <c r="I40" s="549"/>
    </row>
    <row r="41" spans="2:41" x14ac:dyDescent="0.35">
      <c r="B41" s="549"/>
      <c r="C41" s="1049"/>
      <c r="D41" s="851"/>
      <c r="E41" s="549"/>
      <c r="F41" s="549"/>
      <c r="G41" s="549"/>
      <c r="H41" s="549"/>
      <c r="I41" s="549"/>
    </row>
    <row r="42" spans="2:41" ht="15" thickBot="1" x14ac:dyDescent="0.4"/>
    <row r="43" spans="2:41" x14ac:dyDescent="0.35">
      <c r="B43" s="5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8"/>
    </row>
    <row r="44" spans="2:41" x14ac:dyDescent="0.35">
      <c r="B44" s="9"/>
      <c r="C44" s="77" t="s">
        <v>1092</v>
      </c>
      <c r="AO44" s="16"/>
    </row>
    <row r="45" spans="2:41" x14ac:dyDescent="0.35">
      <c r="B45" s="9"/>
      <c r="C45" s="87"/>
      <c r="D45" s="87"/>
      <c r="E45" s="229" t="s">
        <v>455</v>
      </c>
      <c r="F45" s="89">
        <v>1</v>
      </c>
      <c r="G45" s="89">
        <f>F45+1</f>
        <v>2</v>
      </c>
      <c r="H45" s="89">
        <f t="shared" ref="H45:AN45" si="3">G45+1</f>
        <v>3</v>
      </c>
      <c r="I45" s="89">
        <f t="shared" si="3"/>
        <v>4</v>
      </c>
      <c r="J45" s="89">
        <f t="shared" si="3"/>
        <v>5</v>
      </c>
      <c r="K45" s="89">
        <f t="shared" si="3"/>
        <v>6</v>
      </c>
      <c r="L45" s="89">
        <f t="shared" si="3"/>
        <v>7</v>
      </c>
      <c r="M45" s="89">
        <f t="shared" si="3"/>
        <v>8</v>
      </c>
      <c r="N45" s="89">
        <f t="shared" si="3"/>
        <v>9</v>
      </c>
      <c r="O45" s="89">
        <f t="shared" si="3"/>
        <v>10</v>
      </c>
      <c r="P45" s="89">
        <f t="shared" si="3"/>
        <v>11</v>
      </c>
      <c r="Q45" s="89">
        <f t="shared" si="3"/>
        <v>12</v>
      </c>
      <c r="R45" s="89">
        <f t="shared" si="3"/>
        <v>13</v>
      </c>
      <c r="S45" s="89">
        <f t="shared" si="3"/>
        <v>14</v>
      </c>
      <c r="T45" s="89">
        <f t="shared" si="3"/>
        <v>15</v>
      </c>
      <c r="U45" s="89">
        <f t="shared" si="3"/>
        <v>16</v>
      </c>
      <c r="V45" s="89">
        <f t="shared" si="3"/>
        <v>17</v>
      </c>
      <c r="W45" s="89">
        <f t="shared" si="3"/>
        <v>18</v>
      </c>
      <c r="X45" s="89">
        <f t="shared" si="3"/>
        <v>19</v>
      </c>
      <c r="Y45" s="89">
        <f t="shared" si="3"/>
        <v>20</v>
      </c>
      <c r="Z45" s="89">
        <f t="shared" si="3"/>
        <v>21</v>
      </c>
      <c r="AA45" s="89">
        <f t="shared" si="3"/>
        <v>22</v>
      </c>
      <c r="AB45" s="89">
        <f t="shared" si="3"/>
        <v>23</v>
      </c>
      <c r="AC45" s="89">
        <f t="shared" si="3"/>
        <v>24</v>
      </c>
      <c r="AD45" s="89">
        <f t="shared" si="3"/>
        <v>25</v>
      </c>
      <c r="AE45" s="89">
        <f t="shared" si="3"/>
        <v>26</v>
      </c>
      <c r="AF45" s="89">
        <f t="shared" si="3"/>
        <v>27</v>
      </c>
      <c r="AG45" s="89">
        <f t="shared" si="3"/>
        <v>28</v>
      </c>
      <c r="AH45" s="89">
        <f t="shared" si="3"/>
        <v>29</v>
      </c>
      <c r="AI45" s="89">
        <f t="shared" si="3"/>
        <v>30</v>
      </c>
      <c r="AJ45" s="89">
        <f t="shared" si="3"/>
        <v>31</v>
      </c>
      <c r="AK45" s="89">
        <f t="shared" si="3"/>
        <v>32</v>
      </c>
      <c r="AL45" s="89">
        <f t="shared" si="3"/>
        <v>33</v>
      </c>
      <c r="AM45" s="89">
        <f t="shared" si="3"/>
        <v>34</v>
      </c>
      <c r="AN45" s="89">
        <f t="shared" si="3"/>
        <v>35</v>
      </c>
      <c r="AO45" s="16"/>
    </row>
    <row r="46" spans="2:41" x14ac:dyDescent="0.35">
      <c r="B46" s="9"/>
      <c r="C46" s="2017" t="s">
        <v>1058</v>
      </c>
      <c r="D46" s="2017"/>
      <c r="E46" s="1088">
        <f>SUM(F46:AN46)</f>
        <v>1127847.6000000003</v>
      </c>
      <c r="F46" s="562">
        <f>G8*12</f>
        <v>37594.92</v>
      </c>
      <c r="G46" s="562">
        <f>IF(G45&gt;'Premissas Gerais'!$E$7,0,F46)</f>
        <v>37594.92</v>
      </c>
      <c r="H46" s="562">
        <f>IF(H45&gt;'Premissas Gerais'!$E$7,0,G46)</f>
        <v>37594.92</v>
      </c>
      <c r="I46" s="562">
        <f>IF(I45&gt;'Premissas Gerais'!$E$7,0,H46)</f>
        <v>37594.92</v>
      </c>
      <c r="J46" s="562">
        <f>IF(J45&gt;'Premissas Gerais'!$E$7,0,I46)</f>
        <v>37594.92</v>
      </c>
      <c r="K46" s="562">
        <f>IF(K45&gt;'Premissas Gerais'!$E$7,0,J46)</f>
        <v>37594.92</v>
      </c>
      <c r="L46" s="562">
        <f>IF(L45&gt;'Premissas Gerais'!$E$7,0,K46)</f>
        <v>37594.92</v>
      </c>
      <c r="M46" s="562">
        <f>IF(M45&gt;'Premissas Gerais'!$E$7,0,L46)</f>
        <v>37594.92</v>
      </c>
      <c r="N46" s="562">
        <f>IF(N45&gt;'Premissas Gerais'!$E$7,0,M46)</f>
        <v>37594.92</v>
      </c>
      <c r="O46" s="562">
        <f>IF(O45&gt;'Premissas Gerais'!$E$7,0,N46)</f>
        <v>37594.92</v>
      </c>
      <c r="P46" s="562">
        <f>IF(P45&gt;'Premissas Gerais'!$E$7,0,O46)</f>
        <v>37594.92</v>
      </c>
      <c r="Q46" s="562">
        <f>IF(Q45&gt;'Premissas Gerais'!$E$7,0,P46)</f>
        <v>37594.92</v>
      </c>
      <c r="R46" s="562">
        <f>IF(R45&gt;'Premissas Gerais'!$E$7,0,Q46)</f>
        <v>37594.92</v>
      </c>
      <c r="S46" s="562">
        <f>IF(S45&gt;'Premissas Gerais'!$E$7,0,R46)</f>
        <v>37594.92</v>
      </c>
      <c r="T46" s="562">
        <f>IF(T45&gt;'Premissas Gerais'!$E$7,0,S46)</f>
        <v>37594.92</v>
      </c>
      <c r="U46" s="562">
        <f>IF(U45&gt;'Premissas Gerais'!$E$7,0,T46)</f>
        <v>37594.92</v>
      </c>
      <c r="V46" s="562">
        <f>IF(V45&gt;'Premissas Gerais'!$E$7,0,U46)</f>
        <v>37594.92</v>
      </c>
      <c r="W46" s="562">
        <f>IF(W45&gt;'Premissas Gerais'!$E$7,0,V46)</f>
        <v>37594.92</v>
      </c>
      <c r="X46" s="562">
        <f>IF(X45&gt;'Premissas Gerais'!$E$7,0,W46)</f>
        <v>37594.92</v>
      </c>
      <c r="Y46" s="562">
        <f>IF(Y45&gt;'Premissas Gerais'!$E$7,0,X46)</f>
        <v>37594.92</v>
      </c>
      <c r="Z46" s="562">
        <f>IF(Z45&gt;'Premissas Gerais'!$E$7,0,Y46)</f>
        <v>37594.92</v>
      </c>
      <c r="AA46" s="562">
        <f>IF(AA45&gt;'Premissas Gerais'!$E$7,0,Z46)</f>
        <v>37594.92</v>
      </c>
      <c r="AB46" s="562">
        <f>IF(AB45&gt;'Premissas Gerais'!$E$7,0,AA46)</f>
        <v>37594.92</v>
      </c>
      <c r="AC46" s="562">
        <f>IF(AC45&gt;'Premissas Gerais'!$E$7,0,AB46)</f>
        <v>37594.92</v>
      </c>
      <c r="AD46" s="562">
        <f>IF(AD45&gt;'Premissas Gerais'!$E$7,0,AC46)</f>
        <v>37594.92</v>
      </c>
      <c r="AE46" s="562">
        <f>IF(AE45&gt;'Premissas Gerais'!$E$7,0,AD46)</f>
        <v>37594.92</v>
      </c>
      <c r="AF46" s="562">
        <f>IF(AF45&gt;'Premissas Gerais'!$E$7,0,AE46)</f>
        <v>37594.92</v>
      </c>
      <c r="AG46" s="562">
        <f>IF(AG45&gt;'Premissas Gerais'!$E$7,0,AF46)</f>
        <v>37594.92</v>
      </c>
      <c r="AH46" s="562">
        <f>IF(AH45&gt;'Premissas Gerais'!$E$7,0,AG46)</f>
        <v>37594.92</v>
      </c>
      <c r="AI46" s="562">
        <f>IF(AI45&gt;'Premissas Gerais'!$E$7,0,AH46)</f>
        <v>37594.92</v>
      </c>
      <c r="AJ46" s="562">
        <f>IF(AJ45&gt;'Premissas Gerais'!$E$7,0,AI46)</f>
        <v>0</v>
      </c>
      <c r="AK46" s="562">
        <f>IF(AK45&gt;'Premissas Gerais'!$E$7,0,AJ46)</f>
        <v>0</v>
      </c>
      <c r="AL46" s="562">
        <f>IF(AL45&gt;'Premissas Gerais'!$E$7,0,AK46)</f>
        <v>0</v>
      </c>
      <c r="AM46" s="562">
        <f>IF(AM45&gt;'Premissas Gerais'!$E$7,0,AL46)</f>
        <v>0</v>
      </c>
      <c r="AN46" s="562">
        <f>IF(AN45&gt;'Premissas Gerais'!$E$7,0,AM46)</f>
        <v>0</v>
      </c>
      <c r="AO46" s="16"/>
    </row>
    <row r="47" spans="2:41" x14ac:dyDescent="0.35">
      <c r="B47" s="9"/>
      <c r="C47" s="2024" t="s">
        <v>1093</v>
      </c>
      <c r="D47" s="2024"/>
      <c r="E47" s="1088">
        <f>SUM(F47:AN47)</f>
        <v>7379539.1999999974</v>
      </c>
      <c r="F47" s="562">
        <f>G12*12</f>
        <v>245984.64000000001</v>
      </c>
      <c r="G47" s="562">
        <f>IF(G45&gt;'Premissas Gerais'!$E$7,0,F47)</f>
        <v>245984.64000000001</v>
      </c>
      <c r="H47" s="562">
        <f>IF(H45&gt;'Premissas Gerais'!$E$7,0,G47)</f>
        <v>245984.64000000001</v>
      </c>
      <c r="I47" s="562">
        <f>IF(I45&gt;'Premissas Gerais'!$E$7,0,H47)</f>
        <v>245984.64000000001</v>
      </c>
      <c r="J47" s="562">
        <f>IF(J45&gt;'Premissas Gerais'!$E$7,0,I47)</f>
        <v>245984.64000000001</v>
      </c>
      <c r="K47" s="562">
        <f>IF(K45&gt;'Premissas Gerais'!$E$7,0,J47)</f>
        <v>245984.64000000001</v>
      </c>
      <c r="L47" s="562">
        <f>IF(L45&gt;'Premissas Gerais'!$E$7,0,K47)</f>
        <v>245984.64000000001</v>
      </c>
      <c r="M47" s="562">
        <f>IF(M45&gt;'Premissas Gerais'!$E$7,0,L47)</f>
        <v>245984.64000000001</v>
      </c>
      <c r="N47" s="562">
        <f>IF(N45&gt;'Premissas Gerais'!$E$7,0,M47)</f>
        <v>245984.64000000001</v>
      </c>
      <c r="O47" s="562">
        <f>IF(O45&gt;'Premissas Gerais'!$E$7,0,N47)</f>
        <v>245984.64000000001</v>
      </c>
      <c r="P47" s="562">
        <f>IF(P45&gt;'Premissas Gerais'!$E$7,0,O47)</f>
        <v>245984.64000000001</v>
      </c>
      <c r="Q47" s="562">
        <f>IF(Q45&gt;'Premissas Gerais'!$E$7,0,P47)</f>
        <v>245984.64000000001</v>
      </c>
      <c r="R47" s="562">
        <f>IF(R45&gt;'Premissas Gerais'!$E$7,0,Q47)</f>
        <v>245984.64000000001</v>
      </c>
      <c r="S47" s="562">
        <f>IF(S45&gt;'Premissas Gerais'!$E$7,0,R47)</f>
        <v>245984.64000000001</v>
      </c>
      <c r="T47" s="562">
        <f>IF(T45&gt;'Premissas Gerais'!$E$7,0,S47)</f>
        <v>245984.64000000001</v>
      </c>
      <c r="U47" s="562">
        <f>IF(U45&gt;'Premissas Gerais'!$E$7,0,T47)</f>
        <v>245984.64000000001</v>
      </c>
      <c r="V47" s="562">
        <f>IF(V45&gt;'Premissas Gerais'!$E$7,0,U47)</f>
        <v>245984.64000000001</v>
      </c>
      <c r="W47" s="562">
        <f>IF(W45&gt;'Premissas Gerais'!$E$7,0,V47)</f>
        <v>245984.64000000001</v>
      </c>
      <c r="X47" s="562">
        <f>IF(X45&gt;'Premissas Gerais'!$E$7,0,W47)</f>
        <v>245984.64000000001</v>
      </c>
      <c r="Y47" s="562">
        <f>IF(Y45&gt;'Premissas Gerais'!$E$7,0,X47)</f>
        <v>245984.64000000001</v>
      </c>
      <c r="Z47" s="562">
        <f>IF(Z45&gt;'Premissas Gerais'!$E$7,0,Y47)</f>
        <v>245984.64000000001</v>
      </c>
      <c r="AA47" s="562">
        <f>IF(AA45&gt;'Premissas Gerais'!$E$7,0,Z47)</f>
        <v>245984.64000000001</v>
      </c>
      <c r="AB47" s="562">
        <f>IF(AB45&gt;'Premissas Gerais'!$E$7,0,AA47)</f>
        <v>245984.64000000001</v>
      </c>
      <c r="AC47" s="562">
        <f>IF(AC45&gt;'Premissas Gerais'!$E$7,0,AB47)</f>
        <v>245984.64000000001</v>
      </c>
      <c r="AD47" s="562">
        <f>IF(AD45&gt;'Premissas Gerais'!$E$7,0,AC47)</f>
        <v>245984.64000000001</v>
      </c>
      <c r="AE47" s="562">
        <f>IF(AE45&gt;'Premissas Gerais'!$E$7,0,AD47)</f>
        <v>245984.64000000001</v>
      </c>
      <c r="AF47" s="562">
        <f>IF(AF45&gt;'Premissas Gerais'!$E$7,0,AE47)</f>
        <v>245984.64000000001</v>
      </c>
      <c r="AG47" s="562">
        <f>IF(AG45&gt;'Premissas Gerais'!$E$7,0,AF47)</f>
        <v>245984.64000000001</v>
      </c>
      <c r="AH47" s="562">
        <f>IF(AH45&gt;'Premissas Gerais'!$E$7,0,AG47)</f>
        <v>245984.64000000001</v>
      </c>
      <c r="AI47" s="562">
        <f>IF(AI45&gt;'Premissas Gerais'!$E$7,0,AH47)</f>
        <v>245984.64000000001</v>
      </c>
      <c r="AJ47" s="562">
        <f>IF(AJ45&gt;'Premissas Gerais'!$E$7,0,AI47)</f>
        <v>0</v>
      </c>
      <c r="AK47" s="562">
        <f>IF(AK45&gt;'Premissas Gerais'!$E$7,0,AJ47)</f>
        <v>0</v>
      </c>
      <c r="AL47" s="562">
        <f>IF(AL45&gt;'Premissas Gerais'!$E$7,0,AK47)</f>
        <v>0</v>
      </c>
      <c r="AM47" s="562">
        <f>IF(AM45&gt;'Premissas Gerais'!$E$7,0,AL47)</f>
        <v>0</v>
      </c>
      <c r="AN47" s="562">
        <f>IF(AN45&gt;'Premissas Gerais'!$E$7,0,AM47)</f>
        <v>0</v>
      </c>
      <c r="AO47" s="16"/>
    </row>
    <row r="48" spans="2:41" x14ac:dyDescent="0.35">
      <c r="B48" s="9"/>
      <c r="C48" s="2024" t="str">
        <f>C13</f>
        <v>Mão de obra administrativa e de apoio</v>
      </c>
      <c r="D48" s="2024"/>
      <c r="E48" s="1088">
        <f>SUM(F48:AN48)</f>
        <v>56392433.99999997</v>
      </c>
      <c r="F48" s="562">
        <f>G33*12</f>
        <v>1879747.7999999998</v>
      </c>
      <c r="G48" s="562">
        <f>IF(G45&gt;'Premissas Gerais'!$E$7,0,F48)</f>
        <v>1879747.7999999998</v>
      </c>
      <c r="H48" s="562">
        <f>IF(H45&gt;'Premissas Gerais'!$E$7,0,G48)</f>
        <v>1879747.7999999998</v>
      </c>
      <c r="I48" s="562">
        <f>IF(I45&gt;'Premissas Gerais'!$E$7,0,H48)</f>
        <v>1879747.7999999998</v>
      </c>
      <c r="J48" s="562">
        <f>IF(J45&gt;'Premissas Gerais'!$E$7,0,I48)</f>
        <v>1879747.7999999998</v>
      </c>
      <c r="K48" s="562">
        <f>IF(K45&gt;'Premissas Gerais'!$E$7,0,J48)</f>
        <v>1879747.7999999998</v>
      </c>
      <c r="L48" s="562">
        <f>IF(L45&gt;'Premissas Gerais'!$E$7,0,K48)</f>
        <v>1879747.7999999998</v>
      </c>
      <c r="M48" s="562">
        <f>IF(M45&gt;'Premissas Gerais'!$E$7,0,L48)</f>
        <v>1879747.7999999998</v>
      </c>
      <c r="N48" s="562">
        <f>IF(N45&gt;'Premissas Gerais'!$E$7,0,M48)</f>
        <v>1879747.7999999998</v>
      </c>
      <c r="O48" s="562">
        <f>IF(O45&gt;'Premissas Gerais'!$E$7,0,N48)</f>
        <v>1879747.7999999998</v>
      </c>
      <c r="P48" s="562">
        <f>IF(P45&gt;'Premissas Gerais'!$E$7,0,O48)</f>
        <v>1879747.7999999998</v>
      </c>
      <c r="Q48" s="562">
        <f>IF(Q45&gt;'Premissas Gerais'!$E$7,0,P48)</f>
        <v>1879747.7999999998</v>
      </c>
      <c r="R48" s="562">
        <f>IF(R45&gt;'Premissas Gerais'!$E$7,0,Q48)</f>
        <v>1879747.7999999998</v>
      </c>
      <c r="S48" s="562">
        <f>IF(S45&gt;'Premissas Gerais'!$E$7,0,R48)</f>
        <v>1879747.7999999998</v>
      </c>
      <c r="T48" s="562">
        <f>IF(T45&gt;'Premissas Gerais'!$E$7,0,S48)</f>
        <v>1879747.7999999998</v>
      </c>
      <c r="U48" s="562">
        <f>IF(U45&gt;'Premissas Gerais'!$E$7,0,T48)</f>
        <v>1879747.7999999998</v>
      </c>
      <c r="V48" s="562">
        <f>IF(V45&gt;'Premissas Gerais'!$E$7,0,U48)</f>
        <v>1879747.7999999998</v>
      </c>
      <c r="W48" s="562">
        <f>IF(W45&gt;'Premissas Gerais'!$E$7,0,V48)</f>
        <v>1879747.7999999998</v>
      </c>
      <c r="X48" s="562">
        <f>IF(X45&gt;'Premissas Gerais'!$E$7,0,W48)</f>
        <v>1879747.7999999998</v>
      </c>
      <c r="Y48" s="562">
        <f>IF(Y45&gt;'Premissas Gerais'!$E$7,0,X48)</f>
        <v>1879747.7999999998</v>
      </c>
      <c r="Z48" s="562">
        <f>IF(Z45&gt;'Premissas Gerais'!$E$7,0,Y48)</f>
        <v>1879747.7999999998</v>
      </c>
      <c r="AA48" s="562">
        <f>IF(AA45&gt;'Premissas Gerais'!$E$7,0,Z48)</f>
        <v>1879747.7999999998</v>
      </c>
      <c r="AB48" s="562">
        <f>IF(AB45&gt;'Premissas Gerais'!$E$7,0,AA48)</f>
        <v>1879747.7999999998</v>
      </c>
      <c r="AC48" s="562">
        <f>IF(AC45&gt;'Premissas Gerais'!$E$7,0,AB48)</f>
        <v>1879747.7999999998</v>
      </c>
      <c r="AD48" s="562">
        <f>IF(AD45&gt;'Premissas Gerais'!$E$7,0,AC48)</f>
        <v>1879747.7999999998</v>
      </c>
      <c r="AE48" s="562">
        <f>IF(AE45&gt;'Premissas Gerais'!$E$7,0,AD48)</f>
        <v>1879747.7999999998</v>
      </c>
      <c r="AF48" s="562">
        <f>IF(AF45&gt;'Premissas Gerais'!$E$7,0,AE48)</f>
        <v>1879747.7999999998</v>
      </c>
      <c r="AG48" s="562">
        <f>IF(AG45&gt;'Premissas Gerais'!$E$7,0,AF48)</f>
        <v>1879747.7999999998</v>
      </c>
      <c r="AH48" s="562">
        <f>IF(AH45&gt;'Premissas Gerais'!$E$7,0,AG48)</f>
        <v>1879747.7999999998</v>
      </c>
      <c r="AI48" s="562">
        <f>IF(AI45&gt;'Premissas Gerais'!$E$7,0,AH48)</f>
        <v>1879747.7999999998</v>
      </c>
      <c r="AJ48" s="562">
        <f>IF(AJ45&gt;'Premissas Gerais'!$E$7,0,AI48)</f>
        <v>0</v>
      </c>
      <c r="AK48" s="562">
        <f>IF(AK45&gt;'Premissas Gerais'!$E$7,0,AJ48)</f>
        <v>0</v>
      </c>
      <c r="AL48" s="562">
        <f>IF(AL45&gt;'Premissas Gerais'!$E$7,0,AK48)</f>
        <v>0</v>
      </c>
      <c r="AM48" s="562">
        <f>IF(AM45&gt;'Premissas Gerais'!$E$7,0,AL48)</f>
        <v>0</v>
      </c>
      <c r="AN48" s="562">
        <f>IF(AN45&gt;'Premissas Gerais'!$E$7,0,AM48)</f>
        <v>0</v>
      </c>
      <c r="AO48" s="16"/>
    </row>
    <row r="49" spans="2:41" x14ac:dyDescent="0.35">
      <c r="B49" s="9"/>
      <c r="C49" s="2024" t="s">
        <v>1088</v>
      </c>
      <c r="D49" s="2024"/>
      <c r="E49" s="1088">
        <f t="shared" ref="E49" si="4">SUM(F49:AN49)</f>
        <v>820119.59999999951</v>
      </c>
      <c r="F49" s="563">
        <f>IF(F45&lt;2,$G$38,$G$39)</f>
        <v>27337.32</v>
      </c>
      <c r="G49" s="563">
        <f>IF(G45&lt;2,$G$38,$G$39)</f>
        <v>27337.32</v>
      </c>
      <c r="H49" s="563">
        <f t="shared" ref="H49:AI49" si="5">IF(H45&lt;2,$G$38,$G$39)</f>
        <v>27337.32</v>
      </c>
      <c r="I49" s="563">
        <f t="shared" si="5"/>
        <v>27337.32</v>
      </c>
      <c r="J49" s="563">
        <f t="shared" si="5"/>
        <v>27337.32</v>
      </c>
      <c r="K49" s="563">
        <f t="shared" si="5"/>
        <v>27337.32</v>
      </c>
      <c r="L49" s="563">
        <f t="shared" si="5"/>
        <v>27337.32</v>
      </c>
      <c r="M49" s="563">
        <f t="shared" si="5"/>
        <v>27337.32</v>
      </c>
      <c r="N49" s="563">
        <f t="shared" si="5"/>
        <v>27337.32</v>
      </c>
      <c r="O49" s="563">
        <f t="shared" si="5"/>
        <v>27337.32</v>
      </c>
      <c r="P49" s="563">
        <f t="shared" si="5"/>
        <v>27337.32</v>
      </c>
      <c r="Q49" s="563">
        <f t="shared" si="5"/>
        <v>27337.32</v>
      </c>
      <c r="R49" s="563">
        <f t="shared" si="5"/>
        <v>27337.32</v>
      </c>
      <c r="S49" s="563">
        <f t="shared" si="5"/>
        <v>27337.32</v>
      </c>
      <c r="T49" s="563">
        <f t="shared" si="5"/>
        <v>27337.32</v>
      </c>
      <c r="U49" s="563">
        <f t="shared" si="5"/>
        <v>27337.32</v>
      </c>
      <c r="V49" s="563">
        <f t="shared" si="5"/>
        <v>27337.32</v>
      </c>
      <c r="W49" s="563">
        <f t="shared" si="5"/>
        <v>27337.32</v>
      </c>
      <c r="X49" s="563">
        <f t="shared" si="5"/>
        <v>27337.32</v>
      </c>
      <c r="Y49" s="563">
        <f t="shared" si="5"/>
        <v>27337.32</v>
      </c>
      <c r="Z49" s="563">
        <f t="shared" si="5"/>
        <v>27337.32</v>
      </c>
      <c r="AA49" s="563">
        <f t="shared" si="5"/>
        <v>27337.32</v>
      </c>
      <c r="AB49" s="563">
        <f t="shared" si="5"/>
        <v>27337.32</v>
      </c>
      <c r="AC49" s="563">
        <f t="shared" si="5"/>
        <v>27337.32</v>
      </c>
      <c r="AD49" s="563">
        <f t="shared" si="5"/>
        <v>27337.32</v>
      </c>
      <c r="AE49" s="563">
        <f t="shared" si="5"/>
        <v>27337.32</v>
      </c>
      <c r="AF49" s="563">
        <f t="shared" si="5"/>
        <v>27337.32</v>
      </c>
      <c r="AG49" s="563">
        <f t="shared" si="5"/>
        <v>27337.32</v>
      </c>
      <c r="AH49" s="563">
        <f t="shared" si="5"/>
        <v>27337.32</v>
      </c>
      <c r="AI49" s="563">
        <f t="shared" si="5"/>
        <v>27337.32</v>
      </c>
      <c r="AJ49" s="563">
        <f>IF(AJ45&lt;('Premissas Gerais'!$E$7+1),$G$39,0)</f>
        <v>0</v>
      </c>
      <c r="AK49" s="563">
        <f>IF(AK45&lt;('Premissas Gerais'!$E$7+1),$G$39,0)</f>
        <v>0</v>
      </c>
      <c r="AL49" s="563">
        <f>IF(AL45&lt;('Premissas Gerais'!$E$7+1),$G$39,0)</f>
        <v>0</v>
      </c>
      <c r="AM49" s="563">
        <f>IF(AM45&lt;('Premissas Gerais'!$E$7+1),$G$39,0)</f>
        <v>0</v>
      </c>
      <c r="AN49" s="563">
        <f>IF(AN45&lt;('Premissas Gerais'!$E$7+1),$G$39,0)</f>
        <v>0</v>
      </c>
      <c r="AO49" s="16"/>
    </row>
    <row r="50" spans="2:41" x14ac:dyDescent="0.35">
      <c r="B50" s="9"/>
      <c r="C50" s="233" t="s">
        <v>200</v>
      </c>
      <c r="D50" s="232"/>
      <c r="E50" s="1089">
        <f>SUM(E46:E49)</f>
        <v>65719940.399999969</v>
      </c>
      <c r="F50" s="566">
        <f>SUM(F46:F49)</f>
        <v>2190664.6799999997</v>
      </c>
      <c r="G50" s="566">
        <f>SUM(G46:G49)</f>
        <v>2190664.6799999997</v>
      </c>
      <c r="H50" s="566">
        <f>SUM(H46:H49)</f>
        <v>2190664.6799999997</v>
      </c>
      <c r="I50" s="566">
        <f t="shared" ref="I50:AN50" si="6">SUM(I46:I49)</f>
        <v>2190664.6799999997</v>
      </c>
      <c r="J50" s="566">
        <f t="shared" si="6"/>
        <v>2190664.6799999997</v>
      </c>
      <c r="K50" s="566">
        <f t="shared" si="6"/>
        <v>2190664.6799999997</v>
      </c>
      <c r="L50" s="566">
        <f t="shared" si="6"/>
        <v>2190664.6799999997</v>
      </c>
      <c r="M50" s="566">
        <f t="shared" si="6"/>
        <v>2190664.6799999997</v>
      </c>
      <c r="N50" s="566">
        <f t="shared" si="6"/>
        <v>2190664.6799999997</v>
      </c>
      <c r="O50" s="566">
        <f t="shared" si="6"/>
        <v>2190664.6799999997</v>
      </c>
      <c r="P50" s="566">
        <f t="shared" si="6"/>
        <v>2190664.6799999997</v>
      </c>
      <c r="Q50" s="566">
        <f t="shared" si="6"/>
        <v>2190664.6799999997</v>
      </c>
      <c r="R50" s="566">
        <f t="shared" si="6"/>
        <v>2190664.6799999997</v>
      </c>
      <c r="S50" s="566">
        <f t="shared" si="6"/>
        <v>2190664.6799999997</v>
      </c>
      <c r="T50" s="566">
        <f t="shared" si="6"/>
        <v>2190664.6799999997</v>
      </c>
      <c r="U50" s="566">
        <f t="shared" si="6"/>
        <v>2190664.6799999997</v>
      </c>
      <c r="V50" s="566">
        <f t="shared" si="6"/>
        <v>2190664.6799999997</v>
      </c>
      <c r="W50" s="566">
        <f t="shared" si="6"/>
        <v>2190664.6799999997</v>
      </c>
      <c r="X50" s="566">
        <f t="shared" si="6"/>
        <v>2190664.6799999997</v>
      </c>
      <c r="Y50" s="566">
        <f t="shared" si="6"/>
        <v>2190664.6799999997</v>
      </c>
      <c r="Z50" s="566">
        <f t="shared" si="6"/>
        <v>2190664.6799999997</v>
      </c>
      <c r="AA50" s="566">
        <f t="shared" si="6"/>
        <v>2190664.6799999997</v>
      </c>
      <c r="AB50" s="566">
        <f t="shared" si="6"/>
        <v>2190664.6799999997</v>
      </c>
      <c r="AC50" s="566">
        <f t="shared" si="6"/>
        <v>2190664.6799999997</v>
      </c>
      <c r="AD50" s="566">
        <f t="shared" si="6"/>
        <v>2190664.6799999997</v>
      </c>
      <c r="AE50" s="566">
        <f t="shared" si="6"/>
        <v>2190664.6799999997</v>
      </c>
      <c r="AF50" s="566">
        <f t="shared" si="6"/>
        <v>2190664.6799999997</v>
      </c>
      <c r="AG50" s="566">
        <f t="shared" si="6"/>
        <v>2190664.6799999997</v>
      </c>
      <c r="AH50" s="566">
        <f t="shared" si="6"/>
        <v>2190664.6799999997</v>
      </c>
      <c r="AI50" s="566">
        <f t="shared" si="6"/>
        <v>2190664.6799999997</v>
      </c>
      <c r="AJ50" s="566">
        <f t="shared" si="6"/>
        <v>0</v>
      </c>
      <c r="AK50" s="566">
        <f t="shared" si="6"/>
        <v>0</v>
      </c>
      <c r="AL50" s="566">
        <f t="shared" si="6"/>
        <v>0</v>
      </c>
      <c r="AM50" s="566">
        <f t="shared" si="6"/>
        <v>0</v>
      </c>
      <c r="AN50" s="566">
        <f t="shared" si="6"/>
        <v>0</v>
      </c>
      <c r="AO50" s="16"/>
    </row>
    <row r="51" spans="2:41" ht="15" thickBot="1" x14ac:dyDescent="0.4">
      <c r="B51" s="38"/>
      <c r="C51" s="59"/>
      <c r="D51" s="59"/>
      <c r="E51" s="1544"/>
      <c r="F51" s="59"/>
      <c r="G51" s="59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  <c r="AN51" s="59"/>
      <c r="AO51" s="69"/>
    </row>
    <row r="52" spans="2:41" x14ac:dyDescent="0.35">
      <c r="E52" s="97"/>
      <c r="F52" s="97"/>
      <c r="G52" s="97"/>
    </row>
    <row r="53" spans="2:41" x14ac:dyDescent="0.35">
      <c r="C53" s="77" t="s">
        <v>1094</v>
      </c>
    </row>
    <row r="54" spans="2:41" x14ac:dyDescent="0.35">
      <c r="C54" s="560" t="s">
        <v>179</v>
      </c>
      <c r="D54" s="860"/>
      <c r="E54" s="229" t="s">
        <v>455</v>
      </c>
      <c r="F54" s="802">
        <v>1</v>
      </c>
      <c r="G54" s="802">
        <f>F54+1</f>
        <v>2</v>
      </c>
      <c r="H54" s="802">
        <f t="shared" ref="H54:AN54" si="7">G54+1</f>
        <v>3</v>
      </c>
      <c r="I54" s="802">
        <f t="shared" si="7"/>
        <v>4</v>
      </c>
      <c r="J54" s="802">
        <f t="shared" si="7"/>
        <v>5</v>
      </c>
      <c r="K54" s="802">
        <f t="shared" si="7"/>
        <v>6</v>
      </c>
      <c r="L54" s="802">
        <f t="shared" si="7"/>
        <v>7</v>
      </c>
      <c r="M54" s="802">
        <f t="shared" si="7"/>
        <v>8</v>
      </c>
      <c r="N54" s="802">
        <f t="shared" si="7"/>
        <v>9</v>
      </c>
      <c r="O54" s="802">
        <f t="shared" si="7"/>
        <v>10</v>
      </c>
      <c r="P54" s="802">
        <f t="shared" si="7"/>
        <v>11</v>
      </c>
      <c r="Q54" s="802">
        <f t="shared" si="7"/>
        <v>12</v>
      </c>
      <c r="R54" s="802">
        <f t="shared" si="7"/>
        <v>13</v>
      </c>
      <c r="S54" s="802">
        <f t="shared" si="7"/>
        <v>14</v>
      </c>
      <c r="T54" s="802">
        <f t="shared" si="7"/>
        <v>15</v>
      </c>
      <c r="U54" s="802">
        <f t="shared" si="7"/>
        <v>16</v>
      </c>
      <c r="V54" s="802">
        <f t="shared" si="7"/>
        <v>17</v>
      </c>
      <c r="W54" s="802">
        <f t="shared" si="7"/>
        <v>18</v>
      </c>
      <c r="X54" s="802">
        <f t="shared" si="7"/>
        <v>19</v>
      </c>
      <c r="Y54" s="802">
        <f t="shared" si="7"/>
        <v>20</v>
      </c>
      <c r="Z54" s="802">
        <f t="shared" si="7"/>
        <v>21</v>
      </c>
      <c r="AA54" s="802">
        <f t="shared" si="7"/>
        <v>22</v>
      </c>
      <c r="AB54" s="802">
        <f t="shared" si="7"/>
        <v>23</v>
      </c>
      <c r="AC54" s="802">
        <f t="shared" si="7"/>
        <v>24</v>
      </c>
      <c r="AD54" s="802">
        <f t="shared" si="7"/>
        <v>25</v>
      </c>
      <c r="AE54" s="802">
        <f t="shared" si="7"/>
        <v>26</v>
      </c>
      <c r="AF54" s="802">
        <f t="shared" si="7"/>
        <v>27</v>
      </c>
      <c r="AG54" s="802">
        <f t="shared" si="7"/>
        <v>28</v>
      </c>
      <c r="AH54" s="802">
        <f t="shared" si="7"/>
        <v>29</v>
      </c>
      <c r="AI54" s="802">
        <f t="shared" si="7"/>
        <v>30</v>
      </c>
      <c r="AJ54" s="802">
        <f t="shared" si="7"/>
        <v>31</v>
      </c>
      <c r="AK54" s="802">
        <f t="shared" si="7"/>
        <v>32</v>
      </c>
      <c r="AL54" s="802">
        <f t="shared" si="7"/>
        <v>33</v>
      </c>
      <c r="AM54" s="802">
        <f t="shared" si="7"/>
        <v>34</v>
      </c>
      <c r="AN54" s="802">
        <f t="shared" si="7"/>
        <v>35</v>
      </c>
    </row>
    <row r="55" spans="2:41" x14ac:dyDescent="0.35">
      <c r="C55" s="2019" t="s">
        <v>1</v>
      </c>
      <c r="D55" s="2020"/>
      <c r="E55" s="808">
        <f>SUM(F55:AN55)</f>
        <v>448681.42846342281</v>
      </c>
      <c r="F55" s="916">
        <f t="shared" ref="F55:AN55" si="8">F50*$E$68</f>
        <v>14956.047615447416</v>
      </c>
      <c r="G55" s="916">
        <f t="shared" si="8"/>
        <v>14956.047615447416</v>
      </c>
      <c r="H55" s="916">
        <f t="shared" si="8"/>
        <v>14956.047615447416</v>
      </c>
      <c r="I55" s="916">
        <f t="shared" si="8"/>
        <v>14956.047615447416</v>
      </c>
      <c r="J55" s="916">
        <f t="shared" si="8"/>
        <v>14956.047615447416</v>
      </c>
      <c r="K55" s="916">
        <f t="shared" si="8"/>
        <v>14956.047615447416</v>
      </c>
      <c r="L55" s="916">
        <f t="shared" si="8"/>
        <v>14956.047615447416</v>
      </c>
      <c r="M55" s="916">
        <f t="shared" si="8"/>
        <v>14956.047615447416</v>
      </c>
      <c r="N55" s="916">
        <f t="shared" si="8"/>
        <v>14956.047615447416</v>
      </c>
      <c r="O55" s="916">
        <f t="shared" si="8"/>
        <v>14956.047615447416</v>
      </c>
      <c r="P55" s="916">
        <f t="shared" si="8"/>
        <v>14956.047615447416</v>
      </c>
      <c r="Q55" s="916">
        <f t="shared" si="8"/>
        <v>14956.047615447416</v>
      </c>
      <c r="R55" s="916">
        <f t="shared" si="8"/>
        <v>14956.047615447416</v>
      </c>
      <c r="S55" s="916">
        <f t="shared" si="8"/>
        <v>14956.047615447416</v>
      </c>
      <c r="T55" s="916">
        <f t="shared" si="8"/>
        <v>14956.047615447416</v>
      </c>
      <c r="U55" s="916">
        <f t="shared" si="8"/>
        <v>14956.047615447416</v>
      </c>
      <c r="V55" s="916">
        <f t="shared" si="8"/>
        <v>14956.047615447416</v>
      </c>
      <c r="W55" s="916">
        <f t="shared" si="8"/>
        <v>14956.047615447416</v>
      </c>
      <c r="X55" s="916">
        <f t="shared" si="8"/>
        <v>14956.047615447416</v>
      </c>
      <c r="Y55" s="916">
        <f t="shared" si="8"/>
        <v>14956.047615447416</v>
      </c>
      <c r="Z55" s="916">
        <f t="shared" si="8"/>
        <v>14956.047615447416</v>
      </c>
      <c r="AA55" s="916">
        <f t="shared" si="8"/>
        <v>14956.047615447416</v>
      </c>
      <c r="AB55" s="916">
        <f t="shared" si="8"/>
        <v>14956.047615447416</v>
      </c>
      <c r="AC55" s="916">
        <f t="shared" si="8"/>
        <v>14956.047615447416</v>
      </c>
      <c r="AD55" s="916">
        <f t="shared" si="8"/>
        <v>14956.047615447416</v>
      </c>
      <c r="AE55" s="916">
        <f t="shared" si="8"/>
        <v>14956.047615447416</v>
      </c>
      <c r="AF55" s="916">
        <f t="shared" si="8"/>
        <v>14956.047615447416</v>
      </c>
      <c r="AG55" s="916">
        <f t="shared" si="8"/>
        <v>14956.047615447416</v>
      </c>
      <c r="AH55" s="916">
        <f t="shared" si="8"/>
        <v>14956.047615447416</v>
      </c>
      <c r="AI55" s="916">
        <f t="shared" si="8"/>
        <v>14956.047615447416</v>
      </c>
      <c r="AJ55" s="916">
        <f t="shared" si="8"/>
        <v>0</v>
      </c>
      <c r="AK55" s="916">
        <f t="shared" si="8"/>
        <v>0</v>
      </c>
      <c r="AL55" s="916">
        <f t="shared" si="8"/>
        <v>0</v>
      </c>
      <c r="AM55" s="916">
        <f t="shared" si="8"/>
        <v>0</v>
      </c>
      <c r="AN55" s="916">
        <f t="shared" si="8"/>
        <v>0</v>
      </c>
    </row>
    <row r="56" spans="2:41" x14ac:dyDescent="0.35">
      <c r="C56" s="2015" t="s">
        <v>2</v>
      </c>
      <c r="D56" s="2016"/>
      <c r="E56" s="811">
        <f t="shared" ref="E56:E63" si="9">SUM(F56:AN56)</f>
        <v>5682389.6341428095</v>
      </c>
      <c r="F56" s="917">
        <f t="shared" ref="F56:AN56" si="10">F50*$E$69</f>
        <v>189412.98780476043</v>
      </c>
      <c r="G56" s="917">
        <f t="shared" si="10"/>
        <v>189412.98780476043</v>
      </c>
      <c r="H56" s="917">
        <f t="shared" si="10"/>
        <v>189412.98780476043</v>
      </c>
      <c r="I56" s="917">
        <f t="shared" si="10"/>
        <v>189412.98780476043</v>
      </c>
      <c r="J56" s="917">
        <f t="shared" si="10"/>
        <v>189412.98780476043</v>
      </c>
      <c r="K56" s="917">
        <f t="shared" si="10"/>
        <v>189412.98780476043</v>
      </c>
      <c r="L56" s="917">
        <f t="shared" si="10"/>
        <v>189412.98780476043</v>
      </c>
      <c r="M56" s="917">
        <f t="shared" si="10"/>
        <v>189412.98780476043</v>
      </c>
      <c r="N56" s="917">
        <f t="shared" si="10"/>
        <v>189412.98780476043</v>
      </c>
      <c r="O56" s="917">
        <f t="shared" si="10"/>
        <v>189412.98780476043</v>
      </c>
      <c r="P56" s="917">
        <f t="shared" si="10"/>
        <v>189412.98780476043</v>
      </c>
      <c r="Q56" s="917">
        <f t="shared" si="10"/>
        <v>189412.98780476043</v>
      </c>
      <c r="R56" s="917">
        <f t="shared" si="10"/>
        <v>189412.98780476043</v>
      </c>
      <c r="S56" s="917">
        <f t="shared" si="10"/>
        <v>189412.98780476043</v>
      </c>
      <c r="T56" s="917">
        <f t="shared" si="10"/>
        <v>189412.98780476043</v>
      </c>
      <c r="U56" s="917">
        <f t="shared" si="10"/>
        <v>189412.98780476043</v>
      </c>
      <c r="V56" s="917">
        <f t="shared" si="10"/>
        <v>189412.98780476043</v>
      </c>
      <c r="W56" s="917">
        <f t="shared" si="10"/>
        <v>189412.98780476043</v>
      </c>
      <c r="X56" s="917">
        <f t="shared" si="10"/>
        <v>189412.98780476043</v>
      </c>
      <c r="Y56" s="917">
        <f t="shared" si="10"/>
        <v>189412.98780476043</v>
      </c>
      <c r="Z56" s="917">
        <f t="shared" si="10"/>
        <v>189412.98780476043</v>
      </c>
      <c r="AA56" s="917">
        <f t="shared" si="10"/>
        <v>189412.98780476043</v>
      </c>
      <c r="AB56" s="917">
        <f t="shared" si="10"/>
        <v>189412.98780476043</v>
      </c>
      <c r="AC56" s="917">
        <f t="shared" si="10"/>
        <v>189412.98780476043</v>
      </c>
      <c r="AD56" s="917">
        <f t="shared" si="10"/>
        <v>189412.98780476043</v>
      </c>
      <c r="AE56" s="917">
        <f t="shared" si="10"/>
        <v>189412.98780476043</v>
      </c>
      <c r="AF56" s="917">
        <f t="shared" si="10"/>
        <v>189412.98780476043</v>
      </c>
      <c r="AG56" s="917">
        <f t="shared" si="10"/>
        <v>189412.98780476043</v>
      </c>
      <c r="AH56" s="917">
        <f t="shared" si="10"/>
        <v>189412.98780476043</v>
      </c>
      <c r="AI56" s="917">
        <f t="shared" si="10"/>
        <v>189412.98780476043</v>
      </c>
      <c r="AJ56" s="917">
        <f t="shared" si="10"/>
        <v>0</v>
      </c>
      <c r="AK56" s="917">
        <f t="shared" si="10"/>
        <v>0</v>
      </c>
      <c r="AL56" s="917">
        <f t="shared" si="10"/>
        <v>0</v>
      </c>
      <c r="AM56" s="917">
        <f t="shared" si="10"/>
        <v>0</v>
      </c>
      <c r="AN56" s="917">
        <f t="shared" si="10"/>
        <v>0</v>
      </c>
    </row>
    <row r="57" spans="2:41" x14ac:dyDescent="0.35">
      <c r="C57" s="2015" t="s">
        <v>3</v>
      </c>
      <c r="D57" s="2016"/>
      <c r="E57" s="811">
        <f t="shared" si="9"/>
        <v>680714.53334950272</v>
      </c>
      <c r="F57" s="917">
        <f t="shared" ref="F57:AN57" si="11">F50*$E$70</f>
        <v>22690.484444983427</v>
      </c>
      <c r="G57" s="917">
        <f t="shared" si="11"/>
        <v>22690.484444983427</v>
      </c>
      <c r="H57" s="917">
        <f t="shared" si="11"/>
        <v>22690.484444983427</v>
      </c>
      <c r="I57" s="917">
        <f t="shared" si="11"/>
        <v>22690.484444983427</v>
      </c>
      <c r="J57" s="917">
        <f t="shared" si="11"/>
        <v>22690.484444983427</v>
      </c>
      <c r="K57" s="917">
        <f t="shared" si="11"/>
        <v>22690.484444983427</v>
      </c>
      <c r="L57" s="917">
        <f t="shared" si="11"/>
        <v>22690.484444983427</v>
      </c>
      <c r="M57" s="917">
        <f t="shared" si="11"/>
        <v>22690.484444983427</v>
      </c>
      <c r="N57" s="917">
        <f t="shared" si="11"/>
        <v>22690.484444983427</v>
      </c>
      <c r="O57" s="917">
        <f t="shared" si="11"/>
        <v>22690.484444983427</v>
      </c>
      <c r="P57" s="917">
        <f t="shared" si="11"/>
        <v>22690.484444983427</v>
      </c>
      <c r="Q57" s="917">
        <f t="shared" si="11"/>
        <v>22690.484444983427</v>
      </c>
      <c r="R57" s="917">
        <f t="shared" si="11"/>
        <v>22690.484444983427</v>
      </c>
      <c r="S57" s="917">
        <f t="shared" si="11"/>
        <v>22690.484444983427</v>
      </c>
      <c r="T57" s="917">
        <f t="shared" si="11"/>
        <v>22690.484444983427</v>
      </c>
      <c r="U57" s="917">
        <f t="shared" si="11"/>
        <v>22690.484444983427</v>
      </c>
      <c r="V57" s="917">
        <f t="shared" si="11"/>
        <v>22690.484444983427</v>
      </c>
      <c r="W57" s="917">
        <f t="shared" si="11"/>
        <v>22690.484444983427</v>
      </c>
      <c r="X57" s="917">
        <f t="shared" si="11"/>
        <v>22690.484444983427</v>
      </c>
      <c r="Y57" s="917">
        <f t="shared" si="11"/>
        <v>22690.484444983427</v>
      </c>
      <c r="Z57" s="917">
        <f t="shared" si="11"/>
        <v>22690.484444983427</v>
      </c>
      <c r="AA57" s="917">
        <f t="shared" si="11"/>
        <v>22690.484444983427</v>
      </c>
      <c r="AB57" s="917">
        <f t="shared" si="11"/>
        <v>22690.484444983427</v>
      </c>
      <c r="AC57" s="917">
        <f t="shared" si="11"/>
        <v>22690.484444983427</v>
      </c>
      <c r="AD57" s="917">
        <f t="shared" si="11"/>
        <v>22690.484444983427</v>
      </c>
      <c r="AE57" s="917">
        <f t="shared" si="11"/>
        <v>22690.484444983427</v>
      </c>
      <c r="AF57" s="917">
        <f t="shared" si="11"/>
        <v>22690.484444983427</v>
      </c>
      <c r="AG57" s="917">
        <f t="shared" si="11"/>
        <v>22690.484444983427</v>
      </c>
      <c r="AH57" s="917">
        <f t="shared" si="11"/>
        <v>22690.484444983427</v>
      </c>
      <c r="AI57" s="917">
        <f t="shared" si="11"/>
        <v>22690.484444983427</v>
      </c>
      <c r="AJ57" s="917">
        <f t="shared" si="11"/>
        <v>0</v>
      </c>
      <c r="AK57" s="917">
        <f t="shared" si="11"/>
        <v>0</v>
      </c>
      <c r="AL57" s="917">
        <f t="shared" si="11"/>
        <v>0</v>
      </c>
      <c r="AM57" s="917">
        <f t="shared" si="11"/>
        <v>0</v>
      </c>
      <c r="AN57" s="917">
        <f t="shared" si="11"/>
        <v>0</v>
      </c>
    </row>
    <row r="58" spans="2:41" x14ac:dyDescent="0.35">
      <c r="C58" s="2015" t="s">
        <v>4</v>
      </c>
      <c r="D58" s="2016"/>
      <c r="E58" s="811">
        <f t="shared" si="9"/>
        <v>1816323.7392264397</v>
      </c>
      <c r="F58" s="917">
        <f t="shared" ref="F58:AN58" si="12">F50*$E$71</f>
        <v>60544.124640881331</v>
      </c>
      <c r="G58" s="917">
        <f t="shared" si="12"/>
        <v>60544.124640881331</v>
      </c>
      <c r="H58" s="917">
        <f t="shared" si="12"/>
        <v>60544.124640881331</v>
      </c>
      <c r="I58" s="917">
        <f t="shared" si="12"/>
        <v>60544.124640881331</v>
      </c>
      <c r="J58" s="917">
        <f t="shared" si="12"/>
        <v>60544.124640881331</v>
      </c>
      <c r="K58" s="917">
        <f t="shared" si="12"/>
        <v>60544.124640881331</v>
      </c>
      <c r="L58" s="917">
        <f t="shared" si="12"/>
        <v>60544.124640881331</v>
      </c>
      <c r="M58" s="917">
        <f t="shared" si="12"/>
        <v>60544.124640881331</v>
      </c>
      <c r="N58" s="917">
        <f t="shared" si="12"/>
        <v>60544.124640881331</v>
      </c>
      <c r="O58" s="917">
        <f t="shared" si="12"/>
        <v>60544.124640881331</v>
      </c>
      <c r="P58" s="917">
        <f t="shared" si="12"/>
        <v>60544.124640881331</v>
      </c>
      <c r="Q58" s="917">
        <f t="shared" si="12"/>
        <v>60544.124640881331</v>
      </c>
      <c r="R58" s="917">
        <f t="shared" si="12"/>
        <v>60544.124640881331</v>
      </c>
      <c r="S58" s="917">
        <f t="shared" si="12"/>
        <v>60544.124640881331</v>
      </c>
      <c r="T58" s="917">
        <f t="shared" si="12"/>
        <v>60544.124640881331</v>
      </c>
      <c r="U58" s="917">
        <f t="shared" si="12"/>
        <v>60544.124640881331</v>
      </c>
      <c r="V58" s="917">
        <f t="shared" si="12"/>
        <v>60544.124640881331</v>
      </c>
      <c r="W58" s="917">
        <f t="shared" si="12"/>
        <v>60544.124640881331</v>
      </c>
      <c r="X58" s="917">
        <f t="shared" si="12"/>
        <v>60544.124640881331</v>
      </c>
      <c r="Y58" s="917">
        <f t="shared" si="12"/>
        <v>60544.124640881331</v>
      </c>
      <c r="Z58" s="917">
        <f t="shared" si="12"/>
        <v>60544.124640881331</v>
      </c>
      <c r="AA58" s="917">
        <f t="shared" si="12"/>
        <v>60544.124640881331</v>
      </c>
      <c r="AB58" s="917">
        <f t="shared" si="12"/>
        <v>60544.124640881331</v>
      </c>
      <c r="AC58" s="917">
        <f t="shared" si="12"/>
        <v>60544.124640881331</v>
      </c>
      <c r="AD58" s="917">
        <f t="shared" si="12"/>
        <v>60544.124640881331</v>
      </c>
      <c r="AE58" s="917">
        <f t="shared" si="12"/>
        <v>60544.124640881331</v>
      </c>
      <c r="AF58" s="917">
        <f t="shared" si="12"/>
        <v>60544.124640881331</v>
      </c>
      <c r="AG58" s="917">
        <f t="shared" si="12"/>
        <v>60544.124640881331</v>
      </c>
      <c r="AH58" s="917">
        <f t="shared" si="12"/>
        <v>60544.124640881331</v>
      </c>
      <c r="AI58" s="917">
        <f t="shared" si="12"/>
        <v>60544.124640881331</v>
      </c>
      <c r="AJ58" s="917">
        <f t="shared" si="12"/>
        <v>0</v>
      </c>
      <c r="AK58" s="917">
        <f t="shared" si="12"/>
        <v>0</v>
      </c>
      <c r="AL58" s="917">
        <f t="shared" si="12"/>
        <v>0</v>
      </c>
      <c r="AM58" s="917">
        <f t="shared" si="12"/>
        <v>0</v>
      </c>
      <c r="AN58" s="917">
        <f t="shared" si="12"/>
        <v>0</v>
      </c>
    </row>
    <row r="59" spans="2:41" x14ac:dyDescent="0.35">
      <c r="C59" s="2015" t="s">
        <v>5</v>
      </c>
      <c r="D59" s="2016"/>
      <c r="E59" s="811">
        <f t="shared" si="9"/>
        <v>3944721.7055086824</v>
      </c>
      <c r="F59" s="917">
        <f t="shared" ref="F59:AN59" si="13">F50*$E$72</f>
        <v>131490.72351695615</v>
      </c>
      <c r="G59" s="917">
        <f t="shared" si="13"/>
        <v>131490.72351695615</v>
      </c>
      <c r="H59" s="917">
        <f t="shared" si="13"/>
        <v>131490.72351695615</v>
      </c>
      <c r="I59" s="917">
        <f t="shared" si="13"/>
        <v>131490.72351695615</v>
      </c>
      <c r="J59" s="917">
        <f t="shared" si="13"/>
        <v>131490.72351695615</v>
      </c>
      <c r="K59" s="917">
        <f t="shared" si="13"/>
        <v>131490.72351695615</v>
      </c>
      <c r="L59" s="917">
        <f t="shared" si="13"/>
        <v>131490.72351695615</v>
      </c>
      <c r="M59" s="917">
        <f t="shared" si="13"/>
        <v>131490.72351695615</v>
      </c>
      <c r="N59" s="917">
        <f t="shared" si="13"/>
        <v>131490.72351695615</v>
      </c>
      <c r="O59" s="917">
        <f t="shared" si="13"/>
        <v>131490.72351695615</v>
      </c>
      <c r="P59" s="917">
        <f t="shared" si="13"/>
        <v>131490.72351695615</v>
      </c>
      <c r="Q59" s="917">
        <f t="shared" si="13"/>
        <v>131490.72351695615</v>
      </c>
      <c r="R59" s="917">
        <f t="shared" si="13"/>
        <v>131490.72351695615</v>
      </c>
      <c r="S59" s="917">
        <f t="shared" si="13"/>
        <v>131490.72351695615</v>
      </c>
      <c r="T59" s="917">
        <f t="shared" si="13"/>
        <v>131490.72351695615</v>
      </c>
      <c r="U59" s="917">
        <f t="shared" si="13"/>
        <v>131490.72351695615</v>
      </c>
      <c r="V59" s="917">
        <f t="shared" si="13"/>
        <v>131490.72351695615</v>
      </c>
      <c r="W59" s="917">
        <f t="shared" si="13"/>
        <v>131490.72351695615</v>
      </c>
      <c r="X59" s="917">
        <f t="shared" si="13"/>
        <v>131490.72351695615</v>
      </c>
      <c r="Y59" s="917">
        <f t="shared" si="13"/>
        <v>131490.72351695615</v>
      </c>
      <c r="Z59" s="917">
        <f t="shared" si="13"/>
        <v>131490.72351695615</v>
      </c>
      <c r="AA59" s="917">
        <f t="shared" si="13"/>
        <v>131490.72351695615</v>
      </c>
      <c r="AB59" s="917">
        <f t="shared" si="13"/>
        <v>131490.72351695615</v>
      </c>
      <c r="AC59" s="917">
        <f t="shared" si="13"/>
        <v>131490.72351695615</v>
      </c>
      <c r="AD59" s="917">
        <f t="shared" si="13"/>
        <v>131490.72351695615</v>
      </c>
      <c r="AE59" s="917">
        <f t="shared" si="13"/>
        <v>131490.72351695615</v>
      </c>
      <c r="AF59" s="917">
        <f t="shared" si="13"/>
        <v>131490.72351695615</v>
      </c>
      <c r="AG59" s="917">
        <f t="shared" si="13"/>
        <v>131490.72351695615</v>
      </c>
      <c r="AH59" s="917">
        <f t="shared" si="13"/>
        <v>131490.72351695615</v>
      </c>
      <c r="AI59" s="917">
        <f t="shared" si="13"/>
        <v>131490.72351695615</v>
      </c>
      <c r="AJ59" s="917">
        <f t="shared" si="13"/>
        <v>0</v>
      </c>
      <c r="AK59" s="917">
        <f t="shared" si="13"/>
        <v>0</v>
      </c>
      <c r="AL59" s="917">
        <f t="shared" si="13"/>
        <v>0</v>
      </c>
      <c r="AM59" s="917">
        <f t="shared" si="13"/>
        <v>0</v>
      </c>
      <c r="AN59" s="917">
        <f t="shared" si="13"/>
        <v>0</v>
      </c>
    </row>
    <row r="60" spans="2:41" x14ac:dyDescent="0.35">
      <c r="C60" s="2015" t="s">
        <v>6</v>
      </c>
      <c r="D60" s="2016"/>
      <c r="E60" s="811">
        <f t="shared" si="9"/>
        <v>43667379.376059838</v>
      </c>
      <c r="F60" s="917">
        <f t="shared" ref="F60:AN60" si="14">F50*$E$73</f>
        <v>1455579.3125353276</v>
      </c>
      <c r="G60" s="917">
        <f t="shared" si="14"/>
        <v>1455579.3125353276</v>
      </c>
      <c r="H60" s="917">
        <f t="shared" si="14"/>
        <v>1455579.3125353276</v>
      </c>
      <c r="I60" s="917">
        <f t="shared" si="14"/>
        <v>1455579.3125353276</v>
      </c>
      <c r="J60" s="917">
        <f t="shared" si="14"/>
        <v>1455579.3125353276</v>
      </c>
      <c r="K60" s="917">
        <f t="shared" si="14"/>
        <v>1455579.3125353276</v>
      </c>
      <c r="L60" s="917">
        <f t="shared" si="14"/>
        <v>1455579.3125353276</v>
      </c>
      <c r="M60" s="917">
        <f t="shared" si="14"/>
        <v>1455579.3125353276</v>
      </c>
      <c r="N60" s="917">
        <f t="shared" si="14"/>
        <v>1455579.3125353276</v>
      </c>
      <c r="O60" s="917">
        <f t="shared" si="14"/>
        <v>1455579.3125353276</v>
      </c>
      <c r="P60" s="917">
        <f t="shared" si="14"/>
        <v>1455579.3125353276</v>
      </c>
      <c r="Q60" s="917">
        <f t="shared" si="14"/>
        <v>1455579.3125353276</v>
      </c>
      <c r="R60" s="917">
        <f t="shared" si="14"/>
        <v>1455579.3125353276</v>
      </c>
      <c r="S60" s="917">
        <f t="shared" si="14"/>
        <v>1455579.3125353276</v>
      </c>
      <c r="T60" s="917">
        <f t="shared" si="14"/>
        <v>1455579.3125353276</v>
      </c>
      <c r="U60" s="917">
        <f t="shared" si="14"/>
        <v>1455579.3125353276</v>
      </c>
      <c r="V60" s="917">
        <f t="shared" si="14"/>
        <v>1455579.3125353276</v>
      </c>
      <c r="W60" s="917">
        <f t="shared" si="14"/>
        <v>1455579.3125353276</v>
      </c>
      <c r="X60" s="917">
        <f t="shared" si="14"/>
        <v>1455579.3125353276</v>
      </c>
      <c r="Y60" s="917">
        <f t="shared" si="14"/>
        <v>1455579.3125353276</v>
      </c>
      <c r="Z60" s="917">
        <f t="shared" si="14"/>
        <v>1455579.3125353276</v>
      </c>
      <c r="AA60" s="917">
        <f t="shared" si="14"/>
        <v>1455579.3125353276</v>
      </c>
      <c r="AB60" s="917">
        <f t="shared" si="14"/>
        <v>1455579.3125353276</v>
      </c>
      <c r="AC60" s="917">
        <f t="shared" si="14"/>
        <v>1455579.3125353276</v>
      </c>
      <c r="AD60" s="917">
        <f t="shared" si="14"/>
        <v>1455579.3125353276</v>
      </c>
      <c r="AE60" s="917">
        <f t="shared" si="14"/>
        <v>1455579.3125353276</v>
      </c>
      <c r="AF60" s="917">
        <f t="shared" si="14"/>
        <v>1455579.3125353276</v>
      </c>
      <c r="AG60" s="917">
        <f t="shared" si="14"/>
        <v>1455579.3125353276</v>
      </c>
      <c r="AH60" s="917">
        <f t="shared" si="14"/>
        <v>1455579.3125353276</v>
      </c>
      <c r="AI60" s="917">
        <f t="shared" si="14"/>
        <v>1455579.3125353276</v>
      </c>
      <c r="AJ60" s="917">
        <f t="shared" si="14"/>
        <v>0</v>
      </c>
      <c r="AK60" s="917">
        <f t="shared" si="14"/>
        <v>0</v>
      </c>
      <c r="AL60" s="917">
        <f t="shared" si="14"/>
        <v>0</v>
      </c>
      <c r="AM60" s="917">
        <f t="shared" si="14"/>
        <v>0</v>
      </c>
      <c r="AN60" s="917">
        <f t="shared" si="14"/>
        <v>0</v>
      </c>
    </row>
    <row r="61" spans="2:41" x14ac:dyDescent="0.35">
      <c r="C61" s="2015" t="s">
        <v>7</v>
      </c>
      <c r="D61" s="2016"/>
      <c r="E61" s="811">
        <f t="shared" si="9"/>
        <v>3565682.7164388364</v>
      </c>
      <c r="F61" s="917">
        <f t="shared" ref="F61:AN61" si="15">F50*$E$74</f>
        <v>118856.09054796127</v>
      </c>
      <c r="G61" s="917">
        <f t="shared" si="15"/>
        <v>118856.09054796127</v>
      </c>
      <c r="H61" s="917">
        <f t="shared" si="15"/>
        <v>118856.09054796127</v>
      </c>
      <c r="I61" s="917">
        <f t="shared" si="15"/>
        <v>118856.09054796127</v>
      </c>
      <c r="J61" s="917">
        <f t="shared" si="15"/>
        <v>118856.09054796127</v>
      </c>
      <c r="K61" s="917">
        <f t="shared" si="15"/>
        <v>118856.09054796127</v>
      </c>
      <c r="L61" s="917">
        <f t="shared" si="15"/>
        <v>118856.09054796127</v>
      </c>
      <c r="M61" s="917">
        <f t="shared" si="15"/>
        <v>118856.09054796127</v>
      </c>
      <c r="N61" s="917">
        <f t="shared" si="15"/>
        <v>118856.09054796127</v>
      </c>
      <c r="O61" s="917">
        <f t="shared" si="15"/>
        <v>118856.09054796127</v>
      </c>
      <c r="P61" s="917">
        <f t="shared" si="15"/>
        <v>118856.09054796127</v>
      </c>
      <c r="Q61" s="917">
        <f t="shared" si="15"/>
        <v>118856.09054796127</v>
      </c>
      <c r="R61" s="917">
        <f t="shared" si="15"/>
        <v>118856.09054796127</v>
      </c>
      <c r="S61" s="917">
        <f t="shared" si="15"/>
        <v>118856.09054796127</v>
      </c>
      <c r="T61" s="917">
        <f t="shared" si="15"/>
        <v>118856.09054796127</v>
      </c>
      <c r="U61" s="917">
        <f t="shared" si="15"/>
        <v>118856.09054796127</v>
      </c>
      <c r="V61" s="917">
        <f t="shared" si="15"/>
        <v>118856.09054796127</v>
      </c>
      <c r="W61" s="917">
        <f t="shared" si="15"/>
        <v>118856.09054796127</v>
      </c>
      <c r="X61" s="917">
        <f t="shared" si="15"/>
        <v>118856.09054796127</v>
      </c>
      <c r="Y61" s="917">
        <f t="shared" si="15"/>
        <v>118856.09054796127</v>
      </c>
      <c r="Z61" s="917">
        <f t="shared" si="15"/>
        <v>118856.09054796127</v>
      </c>
      <c r="AA61" s="917">
        <f t="shared" si="15"/>
        <v>118856.09054796127</v>
      </c>
      <c r="AB61" s="917">
        <f t="shared" si="15"/>
        <v>118856.09054796127</v>
      </c>
      <c r="AC61" s="917">
        <f t="shared" si="15"/>
        <v>118856.09054796127</v>
      </c>
      <c r="AD61" s="917">
        <f t="shared" si="15"/>
        <v>118856.09054796127</v>
      </c>
      <c r="AE61" s="917">
        <f t="shared" si="15"/>
        <v>118856.09054796127</v>
      </c>
      <c r="AF61" s="917">
        <f t="shared" si="15"/>
        <v>118856.09054796127</v>
      </c>
      <c r="AG61" s="917">
        <f t="shared" si="15"/>
        <v>118856.09054796127</v>
      </c>
      <c r="AH61" s="917">
        <f t="shared" si="15"/>
        <v>118856.09054796127</v>
      </c>
      <c r="AI61" s="917">
        <f t="shared" si="15"/>
        <v>118856.09054796127</v>
      </c>
      <c r="AJ61" s="917">
        <f t="shared" si="15"/>
        <v>0</v>
      </c>
      <c r="AK61" s="917">
        <f t="shared" si="15"/>
        <v>0</v>
      </c>
      <c r="AL61" s="917">
        <f t="shared" si="15"/>
        <v>0</v>
      </c>
      <c r="AM61" s="917">
        <f t="shared" si="15"/>
        <v>0</v>
      </c>
      <c r="AN61" s="917">
        <f t="shared" si="15"/>
        <v>0</v>
      </c>
    </row>
    <row r="62" spans="2:41" x14ac:dyDescent="0.35">
      <c r="C62" s="2015" t="s">
        <v>8</v>
      </c>
      <c r="D62" s="2016"/>
      <c r="E62" s="811">
        <f t="shared" si="9"/>
        <v>3248523.0493604257</v>
      </c>
      <c r="F62" s="917">
        <f t="shared" ref="F62:AN62" si="16">F50*$E$75</f>
        <v>108284.10164534747</v>
      </c>
      <c r="G62" s="917">
        <f t="shared" si="16"/>
        <v>108284.10164534747</v>
      </c>
      <c r="H62" s="917">
        <f t="shared" si="16"/>
        <v>108284.10164534747</v>
      </c>
      <c r="I62" s="917">
        <f t="shared" si="16"/>
        <v>108284.10164534747</v>
      </c>
      <c r="J62" s="917">
        <f t="shared" si="16"/>
        <v>108284.10164534747</v>
      </c>
      <c r="K62" s="917">
        <f t="shared" si="16"/>
        <v>108284.10164534747</v>
      </c>
      <c r="L62" s="917">
        <f t="shared" si="16"/>
        <v>108284.10164534747</v>
      </c>
      <c r="M62" s="917">
        <f t="shared" si="16"/>
        <v>108284.10164534747</v>
      </c>
      <c r="N62" s="917">
        <f t="shared" si="16"/>
        <v>108284.10164534747</v>
      </c>
      <c r="O62" s="917">
        <f t="shared" si="16"/>
        <v>108284.10164534747</v>
      </c>
      <c r="P62" s="917">
        <f t="shared" si="16"/>
        <v>108284.10164534747</v>
      </c>
      <c r="Q62" s="917">
        <f t="shared" si="16"/>
        <v>108284.10164534747</v>
      </c>
      <c r="R62" s="917">
        <f t="shared" si="16"/>
        <v>108284.10164534747</v>
      </c>
      <c r="S62" s="917">
        <f t="shared" si="16"/>
        <v>108284.10164534747</v>
      </c>
      <c r="T62" s="917">
        <f t="shared" si="16"/>
        <v>108284.10164534747</v>
      </c>
      <c r="U62" s="917">
        <f t="shared" si="16"/>
        <v>108284.10164534747</v>
      </c>
      <c r="V62" s="917">
        <f t="shared" si="16"/>
        <v>108284.10164534747</v>
      </c>
      <c r="W62" s="917">
        <f t="shared" si="16"/>
        <v>108284.10164534747</v>
      </c>
      <c r="X62" s="917">
        <f t="shared" si="16"/>
        <v>108284.10164534747</v>
      </c>
      <c r="Y62" s="917">
        <f t="shared" si="16"/>
        <v>108284.10164534747</v>
      </c>
      <c r="Z62" s="917">
        <f t="shared" si="16"/>
        <v>108284.10164534747</v>
      </c>
      <c r="AA62" s="917">
        <f t="shared" si="16"/>
        <v>108284.10164534747</v>
      </c>
      <c r="AB62" s="917">
        <f t="shared" si="16"/>
        <v>108284.10164534747</v>
      </c>
      <c r="AC62" s="917">
        <f t="shared" si="16"/>
        <v>108284.10164534747</v>
      </c>
      <c r="AD62" s="917">
        <f t="shared" si="16"/>
        <v>108284.10164534747</v>
      </c>
      <c r="AE62" s="917">
        <f t="shared" si="16"/>
        <v>108284.10164534747</v>
      </c>
      <c r="AF62" s="917">
        <f t="shared" si="16"/>
        <v>108284.10164534747</v>
      </c>
      <c r="AG62" s="917">
        <f t="shared" si="16"/>
        <v>108284.10164534747</v>
      </c>
      <c r="AH62" s="917">
        <f t="shared" si="16"/>
        <v>108284.10164534747</v>
      </c>
      <c r="AI62" s="917">
        <f t="shared" si="16"/>
        <v>108284.10164534747</v>
      </c>
      <c r="AJ62" s="917">
        <f t="shared" si="16"/>
        <v>0</v>
      </c>
      <c r="AK62" s="917">
        <f t="shared" si="16"/>
        <v>0</v>
      </c>
      <c r="AL62" s="917">
        <f t="shared" si="16"/>
        <v>0</v>
      </c>
      <c r="AM62" s="917">
        <f t="shared" si="16"/>
        <v>0</v>
      </c>
      <c r="AN62" s="917">
        <f t="shared" si="16"/>
        <v>0</v>
      </c>
    </row>
    <row r="63" spans="2:41" x14ac:dyDescent="0.35">
      <c r="C63" s="2015" t="s">
        <v>9</v>
      </c>
      <c r="D63" s="2016"/>
      <c r="E63" s="811">
        <f t="shared" si="9"/>
        <v>2665524.2174500409</v>
      </c>
      <c r="F63" s="917">
        <f t="shared" ref="F63:AN63" si="17">F50*$E$76</f>
        <v>88850.807248334691</v>
      </c>
      <c r="G63" s="917">
        <f t="shared" si="17"/>
        <v>88850.807248334691</v>
      </c>
      <c r="H63" s="917">
        <f t="shared" si="17"/>
        <v>88850.807248334691</v>
      </c>
      <c r="I63" s="917">
        <f t="shared" si="17"/>
        <v>88850.807248334691</v>
      </c>
      <c r="J63" s="917">
        <f t="shared" si="17"/>
        <v>88850.807248334691</v>
      </c>
      <c r="K63" s="917">
        <f t="shared" si="17"/>
        <v>88850.807248334691</v>
      </c>
      <c r="L63" s="917">
        <f t="shared" si="17"/>
        <v>88850.807248334691</v>
      </c>
      <c r="M63" s="917">
        <f t="shared" si="17"/>
        <v>88850.807248334691</v>
      </c>
      <c r="N63" s="917">
        <f t="shared" si="17"/>
        <v>88850.807248334691</v>
      </c>
      <c r="O63" s="917">
        <f t="shared" si="17"/>
        <v>88850.807248334691</v>
      </c>
      <c r="P63" s="917">
        <f t="shared" si="17"/>
        <v>88850.807248334691</v>
      </c>
      <c r="Q63" s="917">
        <f t="shared" si="17"/>
        <v>88850.807248334691</v>
      </c>
      <c r="R63" s="917">
        <f t="shared" si="17"/>
        <v>88850.807248334691</v>
      </c>
      <c r="S63" s="917">
        <f t="shared" si="17"/>
        <v>88850.807248334691</v>
      </c>
      <c r="T63" s="917">
        <f t="shared" si="17"/>
        <v>88850.807248334691</v>
      </c>
      <c r="U63" s="917">
        <f t="shared" si="17"/>
        <v>88850.807248334691</v>
      </c>
      <c r="V63" s="917">
        <f t="shared" si="17"/>
        <v>88850.807248334691</v>
      </c>
      <c r="W63" s="917">
        <f t="shared" si="17"/>
        <v>88850.807248334691</v>
      </c>
      <c r="X63" s="917">
        <f t="shared" si="17"/>
        <v>88850.807248334691</v>
      </c>
      <c r="Y63" s="917">
        <f t="shared" si="17"/>
        <v>88850.807248334691</v>
      </c>
      <c r="Z63" s="917">
        <f t="shared" si="17"/>
        <v>88850.807248334691</v>
      </c>
      <c r="AA63" s="917">
        <f t="shared" si="17"/>
        <v>88850.807248334691</v>
      </c>
      <c r="AB63" s="917">
        <f t="shared" si="17"/>
        <v>88850.807248334691</v>
      </c>
      <c r="AC63" s="917">
        <f t="shared" si="17"/>
        <v>88850.807248334691</v>
      </c>
      <c r="AD63" s="917">
        <f t="shared" si="17"/>
        <v>88850.807248334691</v>
      </c>
      <c r="AE63" s="917">
        <f t="shared" si="17"/>
        <v>88850.807248334691</v>
      </c>
      <c r="AF63" s="917">
        <f t="shared" si="17"/>
        <v>88850.807248334691</v>
      </c>
      <c r="AG63" s="917">
        <f t="shared" si="17"/>
        <v>88850.807248334691</v>
      </c>
      <c r="AH63" s="917">
        <f t="shared" si="17"/>
        <v>88850.807248334691</v>
      </c>
      <c r="AI63" s="917">
        <f t="shared" si="17"/>
        <v>88850.807248334691</v>
      </c>
      <c r="AJ63" s="917">
        <f t="shared" si="17"/>
        <v>0</v>
      </c>
      <c r="AK63" s="917">
        <f t="shared" si="17"/>
        <v>0</v>
      </c>
      <c r="AL63" s="917">
        <f t="shared" si="17"/>
        <v>0</v>
      </c>
      <c r="AM63" s="917">
        <f t="shared" si="17"/>
        <v>0</v>
      </c>
      <c r="AN63" s="917">
        <f t="shared" si="17"/>
        <v>0</v>
      </c>
    </row>
    <row r="64" spans="2:41" x14ac:dyDescent="0.35">
      <c r="C64" s="800" t="s">
        <v>455</v>
      </c>
      <c r="D64" s="861"/>
      <c r="E64" s="801">
        <f t="shared" ref="E64:AN64" si="18">SUM(E55:E63)</f>
        <v>65719940.399999999</v>
      </c>
      <c r="F64" s="801">
        <f t="shared" si="18"/>
        <v>2190664.6800000002</v>
      </c>
      <c r="G64" s="801">
        <f t="shared" si="18"/>
        <v>2190664.6800000002</v>
      </c>
      <c r="H64" s="801">
        <f t="shared" si="18"/>
        <v>2190664.6800000002</v>
      </c>
      <c r="I64" s="801">
        <f t="shared" si="18"/>
        <v>2190664.6800000002</v>
      </c>
      <c r="J64" s="801">
        <f t="shared" si="18"/>
        <v>2190664.6800000002</v>
      </c>
      <c r="K64" s="801">
        <f t="shared" si="18"/>
        <v>2190664.6800000002</v>
      </c>
      <c r="L64" s="801">
        <f t="shared" si="18"/>
        <v>2190664.6800000002</v>
      </c>
      <c r="M64" s="801">
        <f t="shared" si="18"/>
        <v>2190664.6800000002</v>
      </c>
      <c r="N64" s="801">
        <f t="shared" si="18"/>
        <v>2190664.6800000002</v>
      </c>
      <c r="O64" s="801">
        <f t="shared" si="18"/>
        <v>2190664.6800000002</v>
      </c>
      <c r="P64" s="801">
        <f t="shared" si="18"/>
        <v>2190664.6800000002</v>
      </c>
      <c r="Q64" s="801">
        <f t="shared" si="18"/>
        <v>2190664.6800000002</v>
      </c>
      <c r="R64" s="801">
        <f t="shared" si="18"/>
        <v>2190664.6800000002</v>
      </c>
      <c r="S64" s="801">
        <f t="shared" si="18"/>
        <v>2190664.6800000002</v>
      </c>
      <c r="T64" s="801">
        <f t="shared" si="18"/>
        <v>2190664.6800000002</v>
      </c>
      <c r="U64" s="801">
        <f t="shared" si="18"/>
        <v>2190664.6800000002</v>
      </c>
      <c r="V64" s="801">
        <f t="shared" si="18"/>
        <v>2190664.6800000002</v>
      </c>
      <c r="W64" s="801">
        <f t="shared" si="18"/>
        <v>2190664.6800000002</v>
      </c>
      <c r="X64" s="801">
        <f t="shared" si="18"/>
        <v>2190664.6800000002</v>
      </c>
      <c r="Y64" s="801">
        <f t="shared" si="18"/>
        <v>2190664.6800000002</v>
      </c>
      <c r="Z64" s="801">
        <f t="shared" si="18"/>
        <v>2190664.6800000002</v>
      </c>
      <c r="AA64" s="801">
        <f t="shared" si="18"/>
        <v>2190664.6800000002</v>
      </c>
      <c r="AB64" s="801">
        <f t="shared" si="18"/>
        <v>2190664.6800000002</v>
      </c>
      <c r="AC64" s="801">
        <f t="shared" si="18"/>
        <v>2190664.6800000002</v>
      </c>
      <c r="AD64" s="801">
        <f t="shared" si="18"/>
        <v>2190664.6800000002</v>
      </c>
      <c r="AE64" s="801">
        <f t="shared" si="18"/>
        <v>2190664.6800000002</v>
      </c>
      <c r="AF64" s="801">
        <f t="shared" si="18"/>
        <v>2190664.6800000002</v>
      </c>
      <c r="AG64" s="801">
        <f t="shared" si="18"/>
        <v>2190664.6800000002</v>
      </c>
      <c r="AH64" s="801">
        <f t="shared" si="18"/>
        <v>2190664.6800000002</v>
      </c>
      <c r="AI64" s="801">
        <f t="shared" si="18"/>
        <v>2190664.6800000002</v>
      </c>
      <c r="AJ64" s="801">
        <f t="shared" si="18"/>
        <v>0</v>
      </c>
      <c r="AK64" s="801">
        <f t="shared" si="18"/>
        <v>0</v>
      </c>
      <c r="AL64" s="801">
        <f t="shared" si="18"/>
        <v>0</v>
      </c>
      <c r="AM64" s="801">
        <f t="shared" si="18"/>
        <v>0</v>
      </c>
      <c r="AN64" s="801">
        <f t="shared" si="18"/>
        <v>0</v>
      </c>
    </row>
    <row r="65" spans="3:40" x14ac:dyDescent="0.35">
      <c r="C65" s="280"/>
      <c r="D65" s="280"/>
      <c r="E65" s="527"/>
      <c r="F65" s="527"/>
      <c r="G65" s="527"/>
      <c r="H65" s="527"/>
      <c r="I65" s="527"/>
      <c r="J65" s="527"/>
      <c r="K65" s="527"/>
      <c r="L65" s="527"/>
      <c r="M65" s="527"/>
      <c r="N65" s="527"/>
      <c r="O65" s="527"/>
      <c r="P65" s="527"/>
      <c r="Q65" s="527"/>
      <c r="R65" s="527"/>
      <c r="S65" s="527"/>
      <c r="T65" s="527"/>
      <c r="U65" s="527"/>
      <c r="V65" s="527"/>
      <c r="W65" s="527"/>
      <c r="X65" s="527"/>
      <c r="Y65" s="527"/>
      <c r="Z65" s="527"/>
      <c r="AA65" s="527"/>
      <c r="AB65" s="527"/>
      <c r="AC65" s="527"/>
      <c r="AD65" s="527"/>
      <c r="AE65" s="527"/>
      <c r="AF65" s="527"/>
      <c r="AG65" s="527"/>
      <c r="AH65" s="527"/>
      <c r="AI65" s="527"/>
      <c r="AJ65" s="527"/>
      <c r="AK65" s="527"/>
      <c r="AL65" s="527"/>
      <c r="AM65" s="527"/>
      <c r="AN65" s="527"/>
    </row>
    <row r="66" spans="3:40" x14ac:dyDescent="0.35">
      <c r="C66" s="77" t="s">
        <v>839</v>
      </c>
    </row>
    <row r="67" spans="3:40" x14ac:dyDescent="0.35">
      <c r="C67" s="862" t="s">
        <v>68</v>
      </c>
      <c r="D67" s="892"/>
      <c r="E67" s="802" t="s">
        <v>176</v>
      </c>
      <c r="F67" s="246"/>
      <c r="G67" s="1014"/>
      <c r="H67" s="1014"/>
      <c r="I67" s="1014"/>
      <c r="J67" s="1014"/>
      <c r="K67" s="1014"/>
      <c r="L67" s="1014"/>
      <c r="M67" s="1014"/>
      <c r="N67" s="1014"/>
      <c r="O67" s="1014"/>
      <c r="P67" s="1014"/>
      <c r="Q67" s="1014"/>
      <c r="R67" s="1014"/>
      <c r="S67" s="1014"/>
      <c r="T67" s="1014"/>
      <c r="U67" s="1014"/>
      <c r="V67" s="1014"/>
      <c r="W67" s="1014"/>
      <c r="X67" s="1014"/>
      <c r="Y67" s="1014"/>
      <c r="Z67" s="1014"/>
      <c r="AA67" s="1014"/>
      <c r="AB67" s="1014"/>
      <c r="AC67" s="1014"/>
      <c r="AD67" s="1014"/>
      <c r="AE67" s="1014"/>
      <c r="AF67" s="1014"/>
      <c r="AG67" s="1014"/>
      <c r="AH67" s="1014"/>
      <c r="AI67" s="1014"/>
      <c r="AJ67" s="1014"/>
      <c r="AK67" s="1014"/>
      <c r="AL67" s="1014"/>
      <c r="AM67" s="1014"/>
      <c r="AN67" s="1014"/>
    </row>
    <row r="68" spans="3:40" x14ac:dyDescent="0.35">
      <c r="C68" s="2055" t="s">
        <v>1</v>
      </c>
      <c r="D68" s="2056"/>
      <c r="E68" s="1067">
        <f>'Premissas Gerais'!G165</f>
        <v>6.8271733926195486E-3</v>
      </c>
      <c r="F68" s="246"/>
      <c r="G68" s="1034"/>
      <c r="H68" s="1034"/>
      <c r="I68" s="1034"/>
      <c r="J68" s="1034"/>
      <c r="K68" s="1034"/>
      <c r="L68" s="1034"/>
      <c r="M68" s="1034"/>
      <c r="N68" s="1034"/>
      <c r="O68" s="1034"/>
      <c r="P68" s="1034"/>
      <c r="Q68" s="1034"/>
      <c r="R68" s="1034"/>
      <c r="S68" s="1034"/>
      <c r="T68" s="1034"/>
      <c r="U68" s="1034"/>
      <c r="V68" s="1034"/>
      <c r="W68" s="1034"/>
      <c r="X68" s="1034"/>
      <c r="Y68" s="1034"/>
      <c r="Z68" s="1034"/>
      <c r="AA68" s="1034"/>
      <c r="AB68" s="1034"/>
      <c r="AC68" s="1034"/>
      <c r="AD68" s="1034"/>
      <c r="AE68" s="1034"/>
      <c r="AF68" s="1034"/>
      <c r="AG68" s="1034"/>
      <c r="AH68" s="1034"/>
      <c r="AI68" s="1034"/>
      <c r="AJ68" s="1034"/>
      <c r="AK68" s="1034"/>
      <c r="AL68" s="1034"/>
      <c r="AM68" s="1034"/>
      <c r="AN68" s="1034"/>
    </row>
    <row r="69" spans="3:40" x14ac:dyDescent="0.35">
      <c r="C69" s="2053" t="s">
        <v>2</v>
      </c>
      <c r="D69" s="2054"/>
      <c r="E69" s="1068">
        <f>'Premissas Gerais'!G166</f>
        <v>8.6463706442174645E-2</v>
      </c>
      <c r="F69" s="246"/>
      <c r="G69" s="1034"/>
      <c r="H69" s="1034"/>
      <c r="I69" s="1034"/>
      <c r="J69" s="1034"/>
      <c r="K69" s="1034"/>
      <c r="L69" s="1034"/>
      <c r="M69" s="1034"/>
      <c r="N69" s="1034"/>
      <c r="O69" s="1034"/>
      <c r="P69" s="1034"/>
      <c r="Q69" s="1034"/>
      <c r="R69" s="1034"/>
      <c r="S69" s="1034"/>
      <c r="T69" s="1034"/>
      <c r="U69" s="1034"/>
      <c r="V69" s="1034"/>
      <c r="W69" s="1034"/>
      <c r="X69" s="1034"/>
      <c r="Y69" s="1034"/>
      <c r="Z69" s="1034"/>
      <c r="AA69" s="1034"/>
      <c r="AB69" s="1034"/>
      <c r="AC69" s="1034"/>
      <c r="AD69" s="1034"/>
      <c r="AE69" s="1034"/>
      <c r="AF69" s="1034"/>
      <c r="AG69" s="1034"/>
      <c r="AH69" s="1034"/>
      <c r="AI69" s="1034"/>
      <c r="AJ69" s="1034"/>
      <c r="AK69" s="1034"/>
      <c r="AL69" s="1034"/>
      <c r="AM69" s="1034"/>
      <c r="AN69" s="1034"/>
    </row>
    <row r="70" spans="3:40" x14ac:dyDescent="0.35">
      <c r="C70" s="2053" t="s">
        <v>3</v>
      </c>
      <c r="D70" s="2054"/>
      <c r="E70" s="1068">
        <f>'Premissas Gerais'!G167</f>
        <v>1.0357808135649236E-2</v>
      </c>
      <c r="F70" s="246"/>
      <c r="G70" s="1034"/>
      <c r="H70" s="1034"/>
      <c r="I70" s="1034"/>
      <c r="J70" s="1034"/>
      <c r="K70" s="1034"/>
      <c r="L70" s="1034"/>
      <c r="M70" s="1034"/>
      <c r="N70" s="1034"/>
      <c r="O70" s="1034"/>
      <c r="P70" s="1034"/>
      <c r="Q70" s="1034"/>
      <c r="R70" s="1034"/>
      <c r="S70" s="1034"/>
      <c r="T70" s="1034"/>
      <c r="U70" s="1034"/>
      <c r="V70" s="1034"/>
      <c r="W70" s="1034"/>
      <c r="X70" s="1034"/>
      <c r="Y70" s="1034"/>
      <c r="Z70" s="1034"/>
      <c r="AA70" s="1034"/>
      <c r="AB70" s="1034"/>
      <c r="AC70" s="1034"/>
      <c r="AD70" s="1034"/>
      <c r="AE70" s="1034"/>
      <c r="AF70" s="1034"/>
      <c r="AG70" s="1034"/>
      <c r="AH70" s="1034"/>
      <c r="AI70" s="1034"/>
      <c r="AJ70" s="1034"/>
      <c r="AK70" s="1034"/>
      <c r="AL70" s="1034"/>
      <c r="AM70" s="1034"/>
      <c r="AN70" s="1034"/>
    </row>
    <row r="71" spans="3:40" x14ac:dyDescent="0.35">
      <c r="C71" s="2053" t="s">
        <v>4</v>
      </c>
      <c r="D71" s="2054"/>
      <c r="E71" s="1068">
        <f>'Premissas Gerais'!G168</f>
        <v>2.7637330894877687E-2</v>
      </c>
      <c r="F71" s="246"/>
      <c r="G71" s="1034"/>
      <c r="H71" s="1034"/>
      <c r="I71" s="1034"/>
      <c r="J71" s="1034"/>
      <c r="K71" s="1034"/>
      <c r="L71" s="1034"/>
      <c r="M71" s="1034"/>
      <c r="N71" s="1034"/>
      <c r="O71" s="1034"/>
      <c r="P71" s="1034"/>
      <c r="Q71" s="1034"/>
      <c r="R71" s="1034"/>
      <c r="S71" s="1034"/>
      <c r="T71" s="1034"/>
      <c r="U71" s="1034"/>
      <c r="V71" s="1034"/>
      <c r="W71" s="1034"/>
      <c r="X71" s="1034"/>
      <c r="Y71" s="1034"/>
      <c r="Z71" s="1034"/>
      <c r="AA71" s="1034"/>
      <c r="AB71" s="1034"/>
      <c r="AC71" s="1034"/>
      <c r="AD71" s="1034"/>
      <c r="AE71" s="1034"/>
      <c r="AF71" s="1034"/>
      <c r="AG71" s="1034"/>
      <c r="AH71" s="1034"/>
      <c r="AI71" s="1034"/>
      <c r="AJ71" s="1034"/>
      <c r="AK71" s="1034"/>
      <c r="AL71" s="1034"/>
      <c r="AM71" s="1034"/>
      <c r="AN71" s="1034"/>
    </row>
    <row r="72" spans="3:40" x14ac:dyDescent="0.35">
      <c r="C72" s="2053" t="s">
        <v>5</v>
      </c>
      <c r="D72" s="2054"/>
      <c r="E72" s="1068">
        <f>'Premissas Gerais'!G169</f>
        <v>6.0023208808459072E-2</v>
      </c>
      <c r="F72" s="246"/>
      <c r="G72" s="1034"/>
      <c r="H72" s="1034"/>
      <c r="I72" s="1034"/>
      <c r="J72" s="1034"/>
      <c r="K72" s="1034"/>
      <c r="L72" s="1034"/>
      <c r="M72" s="1034"/>
      <c r="N72" s="1034"/>
      <c r="O72" s="1034"/>
      <c r="P72" s="1034"/>
      <c r="Q72" s="1034"/>
      <c r="R72" s="1034"/>
      <c r="S72" s="1034"/>
      <c r="T72" s="1034"/>
      <c r="U72" s="1034"/>
      <c r="V72" s="1034"/>
      <c r="W72" s="1034"/>
      <c r="X72" s="1034"/>
      <c r="Y72" s="1034"/>
      <c r="Z72" s="1034"/>
      <c r="AA72" s="1034"/>
      <c r="AB72" s="1034"/>
      <c r="AC72" s="1034"/>
      <c r="AD72" s="1034"/>
      <c r="AE72" s="1034"/>
      <c r="AF72" s="1034"/>
      <c r="AG72" s="1034"/>
      <c r="AH72" s="1034"/>
      <c r="AI72" s="1034"/>
      <c r="AJ72" s="1034"/>
      <c r="AK72" s="1034"/>
      <c r="AL72" s="1034"/>
      <c r="AM72" s="1034"/>
      <c r="AN72" s="1034"/>
    </row>
    <row r="73" spans="3:40" x14ac:dyDescent="0.35">
      <c r="C73" s="2053" t="s">
        <v>6</v>
      </c>
      <c r="D73" s="2054"/>
      <c r="E73" s="1068">
        <f>'Premissas Gerais'!G170</f>
        <v>0.66444642387502584</v>
      </c>
      <c r="F73" s="246"/>
      <c r="G73" s="1034"/>
      <c r="H73" s="1034"/>
      <c r="I73" s="1034"/>
      <c r="J73" s="1034"/>
      <c r="K73" s="1034"/>
      <c r="L73" s="1034"/>
      <c r="M73" s="1034"/>
      <c r="N73" s="1034"/>
      <c r="O73" s="1034"/>
      <c r="P73" s="1034"/>
      <c r="Q73" s="1034"/>
      <c r="R73" s="1034"/>
      <c r="S73" s="1034"/>
      <c r="T73" s="1034"/>
      <c r="U73" s="1034"/>
      <c r="V73" s="1034"/>
      <c r="W73" s="1034"/>
      <c r="X73" s="1034"/>
      <c r="Y73" s="1034"/>
      <c r="Z73" s="1034"/>
      <c r="AA73" s="1034"/>
      <c r="AB73" s="1034"/>
      <c r="AC73" s="1034"/>
      <c r="AD73" s="1034"/>
      <c r="AE73" s="1034"/>
      <c r="AF73" s="1034"/>
      <c r="AG73" s="1034"/>
      <c r="AH73" s="1034"/>
      <c r="AI73" s="1034"/>
      <c r="AJ73" s="1034"/>
      <c r="AK73" s="1034"/>
      <c r="AL73" s="1034"/>
      <c r="AM73" s="1034"/>
      <c r="AN73" s="1034"/>
    </row>
    <row r="74" spans="3:40" x14ac:dyDescent="0.35">
      <c r="C74" s="2053" t="s">
        <v>7</v>
      </c>
      <c r="D74" s="2054"/>
      <c r="E74" s="1068">
        <f>'Premissas Gerais'!G171</f>
        <v>5.4255720482041685E-2</v>
      </c>
      <c r="F74" s="246"/>
      <c r="G74" s="1034"/>
      <c r="H74" s="1034"/>
      <c r="I74" s="1034"/>
      <c r="J74" s="1034"/>
      <c r="K74" s="1034"/>
      <c r="L74" s="1034"/>
      <c r="M74" s="1034"/>
      <c r="N74" s="1034"/>
      <c r="O74" s="1034"/>
      <c r="P74" s="1034"/>
      <c r="Q74" s="1034"/>
      <c r="R74" s="1034"/>
      <c r="S74" s="1034"/>
      <c r="T74" s="1034"/>
      <c r="U74" s="1034"/>
      <c r="V74" s="1034"/>
      <c r="W74" s="1034"/>
      <c r="X74" s="1034"/>
      <c r="Y74" s="1034"/>
      <c r="Z74" s="1034"/>
      <c r="AA74" s="1034"/>
      <c r="AB74" s="1034"/>
      <c r="AC74" s="1034"/>
      <c r="AD74" s="1034"/>
      <c r="AE74" s="1034"/>
      <c r="AF74" s="1034"/>
      <c r="AG74" s="1034"/>
      <c r="AH74" s="1034"/>
      <c r="AI74" s="1034"/>
      <c r="AJ74" s="1034"/>
      <c r="AK74" s="1034"/>
      <c r="AL74" s="1034"/>
      <c r="AM74" s="1034"/>
      <c r="AN74" s="1034"/>
    </row>
    <row r="75" spans="3:40" x14ac:dyDescent="0.35">
      <c r="C75" s="2053" t="s">
        <v>8</v>
      </c>
      <c r="D75" s="2054"/>
      <c r="E75" s="1068">
        <f>'Premissas Gerais'!G172</f>
        <v>4.9429792991115142E-2</v>
      </c>
      <c r="F75" s="246"/>
      <c r="G75" s="1034"/>
      <c r="H75" s="1034"/>
      <c r="I75" s="1034"/>
      <c r="J75" s="1034"/>
      <c r="K75" s="1034"/>
      <c r="L75" s="1034"/>
      <c r="M75" s="1034"/>
      <c r="N75" s="1034"/>
      <c r="O75" s="1034"/>
      <c r="P75" s="1034"/>
      <c r="Q75" s="1034"/>
      <c r="R75" s="1034"/>
      <c r="S75" s="1034"/>
      <c r="T75" s="1034"/>
      <c r="U75" s="1034"/>
      <c r="V75" s="1034"/>
      <c r="W75" s="1034"/>
      <c r="X75" s="1034"/>
      <c r="Y75" s="1034"/>
      <c r="Z75" s="1034"/>
      <c r="AA75" s="1034"/>
      <c r="AB75" s="1034"/>
      <c r="AC75" s="1034"/>
      <c r="AD75" s="1034"/>
      <c r="AE75" s="1034"/>
      <c r="AF75" s="1034"/>
      <c r="AG75" s="1034"/>
      <c r="AH75" s="1034"/>
      <c r="AI75" s="1034"/>
      <c r="AJ75" s="1034"/>
      <c r="AK75" s="1034"/>
      <c r="AL75" s="1034"/>
      <c r="AM75" s="1034"/>
      <c r="AN75" s="1034"/>
    </row>
    <row r="76" spans="3:40" x14ac:dyDescent="0.35">
      <c r="C76" s="2053" t="s">
        <v>9</v>
      </c>
      <c r="D76" s="2054"/>
      <c r="E76" s="1068">
        <f>'Premissas Gerais'!G173</f>
        <v>4.0558834978037216E-2</v>
      </c>
      <c r="F76" s="246"/>
      <c r="G76" s="1034"/>
      <c r="H76" s="1034"/>
      <c r="I76" s="1034"/>
      <c r="J76" s="1034"/>
      <c r="K76" s="1034"/>
      <c r="L76" s="1034"/>
      <c r="M76" s="1034"/>
      <c r="N76" s="1034"/>
      <c r="O76" s="1034"/>
      <c r="P76" s="1034"/>
      <c r="Q76" s="1034"/>
      <c r="R76" s="1034"/>
      <c r="S76" s="1034"/>
      <c r="T76" s="1034"/>
      <c r="U76" s="1034"/>
      <c r="V76" s="1034"/>
      <c r="W76" s="1034"/>
      <c r="X76" s="1034"/>
      <c r="Y76" s="1034"/>
      <c r="Z76" s="1034"/>
      <c r="AA76" s="1034"/>
      <c r="AB76" s="1034"/>
      <c r="AC76" s="1034"/>
      <c r="AD76" s="1034"/>
      <c r="AE76" s="1034"/>
      <c r="AF76" s="1034"/>
      <c r="AG76" s="1034"/>
      <c r="AH76" s="1034"/>
      <c r="AI76" s="1034"/>
      <c r="AJ76" s="1034"/>
      <c r="AK76" s="1034"/>
      <c r="AL76" s="1034"/>
      <c r="AM76" s="1034"/>
      <c r="AN76" s="1034"/>
    </row>
    <row r="77" spans="3:40" x14ac:dyDescent="0.35">
      <c r="C77" s="800" t="s">
        <v>455</v>
      </c>
      <c r="D77" s="893"/>
      <c r="E77" s="891">
        <f>SUM(E68:E76)</f>
        <v>1</v>
      </c>
      <c r="F77" s="246"/>
      <c r="G77" s="1035"/>
      <c r="H77" s="1035"/>
      <c r="I77" s="1035"/>
      <c r="J77" s="1035"/>
      <c r="K77" s="1035"/>
      <c r="L77" s="1035"/>
      <c r="M77" s="1035"/>
      <c r="N77" s="1035"/>
      <c r="O77" s="1035"/>
      <c r="P77" s="1035"/>
      <c r="Q77" s="1035"/>
      <c r="R77" s="1035"/>
      <c r="S77" s="1035"/>
      <c r="T77" s="1035"/>
      <c r="U77" s="1035"/>
      <c r="V77" s="1035"/>
      <c r="W77" s="1035"/>
      <c r="X77" s="1035"/>
      <c r="Y77" s="1035"/>
      <c r="Z77" s="1035"/>
      <c r="AA77" s="1035"/>
      <c r="AB77" s="1035"/>
      <c r="AC77" s="1035"/>
      <c r="AD77" s="1035"/>
      <c r="AE77" s="1035"/>
      <c r="AF77" s="1035"/>
      <c r="AG77" s="1035"/>
      <c r="AH77" s="1035"/>
      <c r="AI77" s="1035"/>
      <c r="AJ77" s="1035"/>
      <c r="AK77" s="1035"/>
      <c r="AL77" s="1035"/>
      <c r="AM77" s="1035"/>
      <c r="AN77" s="1035"/>
    </row>
  </sheetData>
  <sheetProtection algorithmName="SHA-512" hashValue="gSUNcQ+Dk3Bl/vyEayhmURku0ZE7v4jU/J1J2W1a+8SN1XFOx6AUZCN3KNsCP71ZfQ9M2HTLOB2ohBV3yzE6Rg==" saltValue="I+JekbOuXjYTJ7ylmvORVA==" spinCount="100000" sheet="1" objects="1" scenarios="1"/>
  <mergeCells count="23">
    <mergeCell ref="C76:D76"/>
    <mergeCell ref="C73:D73"/>
    <mergeCell ref="C74:D74"/>
    <mergeCell ref="C75:D75"/>
    <mergeCell ref="C35:F35"/>
    <mergeCell ref="C47:D47"/>
    <mergeCell ref="C55:D55"/>
    <mergeCell ref="C49:D49"/>
    <mergeCell ref="C60:D60"/>
    <mergeCell ref="C56:D56"/>
    <mergeCell ref="C57:D57"/>
    <mergeCell ref="C58:D58"/>
    <mergeCell ref="C59:D59"/>
    <mergeCell ref="C46:D46"/>
    <mergeCell ref="C48:D48"/>
    <mergeCell ref="C61:D61"/>
    <mergeCell ref="C62:D62"/>
    <mergeCell ref="C70:D70"/>
    <mergeCell ref="C71:D71"/>
    <mergeCell ref="C72:D72"/>
    <mergeCell ref="C63:D63"/>
    <mergeCell ref="C68:D68"/>
    <mergeCell ref="C69:D69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0A8F-90D8-49D8-AD7F-B738B4F67016}">
  <sheetPr codeName="Planilha36"/>
  <dimension ref="B2:AQ128"/>
  <sheetViews>
    <sheetView showGridLines="0" topLeftCell="A86" zoomScale="85" zoomScaleNormal="85" workbookViewId="0">
      <selection activeCell="C97" sqref="C97:D97"/>
    </sheetView>
  </sheetViews>
  <sheetFormatPr defaultColWidth="8.81640625" defaultRowHeight="14.5" x14ac:dyDescent="0.35"/>
  <cols>
    <col min="1" max="1" width="3" customWidth="1"/>
    <col min="2" max="2" width="2.453125" customWidth="1"/>
    <col min="3" max="3" width="33.36328125" customWidth="1"/>
    <col min="4" max="4" width="22.08984375" customWidth="1"/>
    <col min="5" max="5" width="15.36328125" bestFit="1" customWidth="1"/>
    <col min="6" max="6" width="17.08984375" bestFit="1" customWidth="1"/>
    <col min="7" max="7" width="16.81640625" bestFit="1" customWidth="1"/>
    <col min="8" max="8" width="18.81640625" customWidth="1"/>
    <col min="9" max="9" width="19.08984375" bestFit="1" customWidth="1"/>
    <col min="10" max="35" width="15" bestFit="1" customWidth="1"/>
    <col min="36" max="36" width="18.6328125" customWidth="1"/>
    <col min="37" max="37" width="14.81640625" customWidth="1"/>
    <col min="38" max="38" width="18" customWidth="1"/>
    <col min="39" max="39" width="15" customWidth="1"/>
    <col min="40" max="40" width="13.36328125" bestFit="1" customWidth="1"/>
  </cols>
  <sheetData>
    <row r="2" spans="2:43" ht="21" x14ac:dyDescent="0.5">
      <c r="B2" s="98"/>
      <c r="C2" s="98" t="s">
        <v>1095</v>
      </c>
      <c r="D2" s="76"/>
      <c r="E2" s="76"/>
      <c r="F2" s="76"/>
      <c r="G2" s="76"/>
      <c r="H2" s="76"/>
      <c r="I2" s="75"/>
      <c r="J2" s="75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</row>
    <row r="3" spans="2:43" ht="6" customHeight="1" thickBot="1" x14ac:dyDescent="0.4"/>
    <row r="4" spans="2:43" x14ac:dyDescent="0.35">
      <c r="B4" s="1625"/>
      <c r="C4" s="1214"/>
      <c r="D4" s="1626"/>
      <c r="E4" s="1214"/>
      <c r="F4" s="1214"/>
      <c r="G4" s="1214"/>
      <c r="H4" s="1214"/>
      <c r="I4" s="1214"/>
      <c r="J4" s="1627"/>
    </row>
    <row r="5" spans="2:43" ht="18.5" x14ac:dyDescent="0.45">
      <c r="B5" s="1628"/>
      <c r="C5" s="846" t="s">
        <v>1096</v>
      </c>
      <c r="D5" s="851"/>
      <c r="E5" s="549"/>
      <c r="F5" s="549"/>
      <c r="G5" s="549"/>
      <c r="H5" s="549"/>
      <c r="I5" s="549"/>
      <c r="J5" s="1629"/>
    </row>
    <row r="6" spans="2:43" ht="15" thickBot="1" x14ac:dyDescent="0.4">
      <c r="B6" s="1628"/>
      <c r="C6" s="549"/>
      <c r="D6" s="851"/>
      <c r="E6" s="549"/>
      <c r="F6" s="549"/>
      <c r="G6" s="549"/>
      <c r="H6" s="549"/>
      <c r="I6" s="549"/>
      <c r="J6" s="1629"/>
    </row>
    <row r="7" spans="2:43" ht="15" thickBot="1" x14ac:dyDescent="0.4">
      <c r="B7" s="1628"/>
      <c r="C7" s="1520" t="s">
        <v>1097</v>
      </c>
      <c r="D7" s="1623"/>
      <c r="E7" s="1621" t="s">
        <v>1098</v>
      </c>
      <c r="F7" s="1621" t="s">
        <v>868</v>
      </c>
      <c r="G7" s="1635" t="s">
        <v>867</v>
      </c>
      <c r="H7" s="1085" t="s">
        <v>1059</v>
      </c>
      <c r="I7" s="549"/>
      <c r="J7" s="1629"/>
    </row>
    <row r="8" spans="2:43" ht="15" thickBot="1" x14ac:dyDescent="0.4">
      <c r="B8" s="1628"/>
      <c r="C8" s="1069"/>
      <c r="D8" s="1077"/>
      <c r="E8" s="1185" t="s">
        <v>1099</v>
      </c>
      <c r="F8" s="1622">
        <v>1621</v>
      </c>
      <c r="G8" s="1185">
        <v>7</v>
      </c>
      <c r="H8" s="1072">
        <f>G8*F8</f>
        <v>11347</v>
      </c>
      <c r="I8" s="549"/>
      <c r="J8" s="1629"/>
    </row>
    <row r="9" spans="2:43" ht="15" thickBot="1" x14ac:dyDescent="0.4">
      <c r="B9" s="1628"/>
      <c r="C9" s="1971" t="s">
        <v>1100</v>
      </c>
      <c r="D9" s="1972"/>
      <c r="E9" s="1972"/>
      <c r="F9" s="2058"/>
      <c r="G9" s="2059"/>
      <c r="H9" s="1624">
        <f>H8</f>
        <v>11347</v>
      </c>
      <c r="I9" s="549"/>
      <c r="J9" s="1629"/>
    </row>
    <row r="10" spans="2:43" ht="15" thickBot="1" x14ac:dyDescent="0.4">
      <c r="B10" s="1628"/>
      <c r="C10" s="1971" t="s">
        <v>1101</v>
      </c>
      <c r="D10" s="1972"/>
      <c r="E10" s="1972"/>
      <c r="F10" s="2058"/>
      <c r="G10" s="2059"/>
      <c r="H10" s="1624">
        <f>H9*12</f>
        <v>136164</v>
      </c>
      <c r="I10" s="549"/>
      <c r="J10" s="1629"/>
    </row>
    <row r="11" spans="2:43" x14ac:dyDescent="0.35">
      <c r="B11" s="1628"/>
      <c r="C11" s="549"/>
      <c r="D11" s="851"/>
      <c r="E11" s="549"/>
      <c r="F11" s="549"/>
      <c r="G11" s="549"/>
      <c r="H11" s="549"/>
      <c r="I11" s="549"/>
      <c r="J11" s="1629"/>
    </row>
    <row r="12" spans="2:43" ht="15" thickBot="1" x14ac:dyDescent="0.4">
      <c r="B12" s="1630"/>
      <c r="C12" s="1215"/>
      <c r="D12" s="1632"/>
      <c r="E12" s="1215"/>
      <c r="F12" s="1215"/>
      <c r="G12" s="1215"/>
      <c r="H12" s="1215"/>
      <c r="I12" s="1215"/>
      <c r="J12" s="1633"/>
    </row>
    <row r="13" spans="2:43" x14ac:dyDescent="0.35">
      <c r="B13" s="1671"/>
      <c r="C13" s="1049"/>
      <c r="D13" s="851"/>
      <c r="E13" s="549"/>
      <c r="F13" s="549"/>
      <c r="G13" s="549"/>
      <c r="H13" s="549"/>
      <c r="I13" s="549"/>
      <c r="J13" s="1672"/>
    </row>
    <row r="14" spans="2:43" ht="37.5" customHeight="1" x14ac:dyDescent="0.45">
      <c r="B14" s="1671"/>
      <c r="C14" s="2057" t="s">
        <v>1102</v>
      </c>
      <c r="D14" s="2057"/>
      <c r="E14" s="2057"/>
      <c r="F14" s="2057"/>
      <c r="G14" s="2057"/>
      <c r="H14" s="2057"/>
      <c r="I14" s="549"/>
      <c r="J14" s="1672"/>
    </row>
    <row r="15" spans="2:43" ht="15" thickBot="1" x14ac:dyDescent="0.4">
      <c r="B15" s="1671"/>
      <c r="C15" s="1049"/>
      <c r="D15" s="851"/>
      <c r="E15" s="549"/>
      <c r="F15" s="549"/>
      <c r="G15" s="549"/>
      <c r="H15" s="549"/>
      <c r="I15" s="549"/>
      <c r="J15" s="1672"/>
    </row>
    <row r="16" spans="2:43" ht="15" thickBot="1" x14ac:dyDescent="0.4">
      <c r="B16" s="1671"/>
      <c r="C16" s="1520" t="s">
        <v>1066</v>
      </c>
      <c r="D16" s="1623"/>
      <c r="E16" s="1621" t="s">
        <v>1098</v>
      </c>
      <c r="F16" s="1621" t="s">
        <v>868</v>
      </c>
      <c r="G16" s="1635" t="s">
        <v>867</v>
      </c>
      <c r="H16" s="1085" t="s">
        <v>1059</v>
      </c>
      <c r="I16" s="549"/>
      <c r="J16" s="1672"/>
    </row>
    <row r="17" spans="2:10" ht="15" thickBot="1" x14ac:dyDescent="0.4">
      <c r="B17" s="1671"/>
      <c r="C17" s="1069" t="s">
        <v>1103</v>
      </c>
      <c r="D17" s="1077"/>
      <c r="E17" s="1185" t="s">
        <v>1099</v>
      </c>
      <c r="F17" s="1622">
        <v>69.760000000000005</v>
      </c>
      <c r="G17" s="1185">
        <v>176</v>
      </c>
      <c r="H17" s="1072">
        <f>G17*F17</f>
        <v>12277.76</v>
      </c>
      <c r="I17" s="549"/>
      <c r="J17" s="1672"/>
    </row>
    <row r="18" spans="2:10" ht="15" thickBot="1" x14ac:dyDescent="0.4">
      <c r="B18" s="1671"/>
      <c r="C18" s="1069" t="s">
        <v>1104</v>
      </c>
      <c r="D18" s="1077"/>
      <c r="E18" s="1185" t="s">
        <v>1099</v>
      </c>
      <c r="F18" s="1622">
        <v>56.24</v>
      </c>
      <c r="G18" s="1185">
        <v>176</v>
      </c>
      <c r="H18" s="1072">
        <f t="shared" ref="H18:H27" si="0">G18*F18</f>
        <v>9898.24</v>
      </c>
      <c r="I18" s="549"/>
      <c r="J18" s="1672"/>
    </row>
    <row r="19" spans="2:10" ht="15" thickBot="1" x14ac:dyDescent="0.4">
      <c r="B19" s="1671"/>
      <c r="C19" s="1069" t="s">
        <v>1105</v>
      </c>
      <c r="D19" s="1077"/>
      <c r="E19" s="1185" t="s">
        <v>1099</v>
      </c>
      <c r="F19" s="1622">
        <v>56.24</v>
      </c>
      <c r="G19" s="1185">
        <v>176</v>
      </c>
      <c r="H19" s="1072">
        <f t="shared" si="0"/>
        <v>9898.24</v>
      </c>
      <c r="I19" s="549"/>
      <c r="J19" s="1672"/>
    </row>
    <row r="20" spans="2:10" ht="15" thickBot="1" x14ac:dyDescent="0.4">
      <c r="B20" s="1671"/>
      <c r="C20" s="1069" t="s">
        <v>1106</v>
      </c>
      <c r="D20" s="1077"/>
      <c r="E20" s="1185" t="s">
        <v>1099</v>
      </c>
      <c r="F20" s="1622">
        <v>56.24</v>
      </c>
      <c r="G20" s="1185">
        <v>176</v>
      </c>
      <c r="H20" s="1072">
        <f t="shared" si="0"/>
        <v>9898.24</v>
      </c>
      <c r="I20" s="549"/>
      <c r="J20" s="1672"/>
    </row>
    <row r="21" spans="2:10" ht="15" thickBot="1" x14ac:dyDescent="0.4">
      <c r="B21" s="1671"/>
      <c r="C21" s="1069" t="s">
        <v>1107</v>
      </c>
      <c r="D21" s="1077"/>
      <c r="E21" s="1185" t="s">
        <v>1099</v>
      </c>
      <c r="F21" s="1622">
        <v>23.49</v>
      </c>
      <c r="G21" s="1185">
        <v>176</v>
      </c>
      <c r="H21" s="1072">
        <f t="shared" si="0"/>
        <v>4134.24</v>
      </c>
      <c r="I21" s="549"/>
      <c r="J21" s="1672"/>
    </row>
    <row r="22" spans="2:10" ht="15" thickBot="1" x14ac:dyDescent="0.4">
      <c r="B22" s="1671"/>
      <c r="C22" s="1069" t="s">
        <v>1108</v>
      </c>
      <c r="D22" s="1077"/>
      <c r="E22" s="1185" t="s">
        <v>1099</v>
      </c>
      <c r="F22" s="1622">
        <v>20.92</v>
      </c>
      <c r="G22" s="1185">
        <v>176</v>
      </c>
      <c r="H22" s="1072">
        <f t="shared" si="0"/>
        <v>3681.92</v>
      </c>
      <c r="I22" s="549"/>
      <c r="J22" s="1672"/>
    </row>
    <row r="23" spans="2:10" ht="15" thickBot="1" x14ac:dyDescent="0.4">
      <c r="B23" s="1671"/>
      <c r="C23" s="1069" t="s">
        <v>1109</v>
      </c>
      <c r="D23" s="1077"/>
      <c r="E23" s="1185" t="s">
        <v>1099</v>
      </c>
      <c r="F23" s="1622">
        <v>56.24</v>
      </c>
      <c r="G23" s="1185">
        <v>0</v>
      </c>
      <c r="H23" s="1072">
        <f t="shared" si="0"/>
        <v>0</v>
      </c>
      <c r="I23" s="549"/>
      <c r="J23" s="1672"/>
    </row>
    <row r="24" spans="2:10" ht="15" thickBot="1" x14ac:dyDescent="0.4">
      <c r="B24" s="1671"/>
      <c r="C24" s="1069" t="s">
        <v>1110</v>
      </c>
      <c r="D24" s="1077"/>
      <c r="E24" s="1185" t="s">
        <v>1111</v>
      </c>
      <c r="F24" s="1622">
        <v>4048.64</v>
      </c>
      <c r="G24" s="1185">
        <v>1</v>
      </c>
      <c r="H24" s="1072">
        <f t="shared" si="0"/>
        <v>4048.64</v>
      </c>
      <c r="I24" s="549"/>
      <c r="J24" s="1672"/>
    </row>
    <row r="25" spans="2:10" ht="15" thickBot="1" x14ac:dyDescent="0.4">
      <c r="B25" s="1671"/>
      <c r="C25" s="1069" t="s">
        <v>1112</v>
      </c>
      <c r="D25" s="1077"/>
      <c r="E25" s="1185" t="s">
        <v>1111</v>
      </c>
      <c r="F25" s="1622">
        <v>3970.4</v>
      </c>
      <c r="G25" s="1185">
        <v>1</v>
      </c>
      <c r="H25" s="1072">
        <f t="shared" si="0"/>
        <v>3970.4</v>
      </c>
      <c r="I25" s="549"/>
      <c r="J25" s="1672"/>
    </row>
    <row r="26" spans="2:10" ht="15" thickBot="1" x14ac:dyDescent="0.4">
      <c r="B26" s="1671"/>
      <c r="C26" s="1069" t="s">
        <v>1113</v>
      </c>
      <c r="D26" s="1077"/>
      <c r="E26" s="1185" t="s">
        <v>1111</v>
      </c>
      <c r="F26" s="1622">
        <v>274.64</v>
      </c>
      <c r="G26" s="1185">
        <v>6</v>
      </c>
      <c r="H26" s="1072">
        <f t="shared" si="0"/>
        <v>1647.84</v>
      </c>
      <c r="I26" s="549"/>
      <c r="J26" s="1672"/>
    </row>
    <row r="27" spans="2:10" ht="15" thickBot="1" x14ac:dyDescent="0.4">
      <c r="B27" s="1671"/>
      <c r="C27" s="1636" t="s">
        <v>1114</v>
      </c>
      <c r="D27" s="1637"/>
      <c r="E27" s="1638" t="s">
        <v>1111</v>
      </c>
      <c r="F27" s="1639">
        <v>309.29000000000002</v>
      </c>
      <c r="G27" s="1638">
        <v>2</v>
      </c>
      <c r="H27" s="1072">
        <f t="shared" si="0"/>
        <v>618.58000000000004</v>
      </c>
      <c r="I27" s="549"/>
      <c r="J27" s="1672"/>
    </row>
    <row r="28" spans="2:10" ht="15" thickBot="1" x14ac:dyDescent="0.4">
      <c r="B28" s="1671"/>
      <c r="C28" s="1971" t="s">
        <v>1087</v>
      </c>
      <c r="D28" s="1972"/>
      <c r="E28" s="1972"/>
      <c r="F28" s="2058"/>
      <c r="G28" s="2059"/>
      <c r="H28" s="1624">
        <f>SUM(H17:H27)</f>
        <v>60074.099999999991</v>
      </c>
      <c r="I28" s="549"/>
      <c r="J28" s="1672"/>
    </row>
    <row r="29" spans="2:10" ht="15" thickBot="1" x14ac:dyDescent="0.4">
      <c r="B29" s="1671"/>
      <c r="C29" s="1971" t="s">
        <v>1115</v>
      </c>
      <c r="D29" s="1972"/>
      <c r="E29" s="1972"/>
      <c r="F29" s="2058"/>
      <c r="G29" s="2059"/>
      <c r="H29" s="1624">
        <f>H28*6.67</f>
        <v>400694.24699999992</v>
      </c>
      <c r="I29" s="549"/>
      <c r="J29" s="1672"/>
    </row>
    <row r="30" spans="2:10" ht="15" thickBot="1" x14ac:dyDescent="0.4">
      <c r="B30" s="1671"/>
      <c r="C30" s="1049"/>
      <c r="D30" s="851"/>
      <c r="E30" s="549"/>
      <c r="F30" s="549"/>
      <c r="G30" s="549"/>
      <c r="H30" s="549"/>
      <c r="I30" s="549"/>
      <c r="J30" s="1672"/>
    </row>
    <row r="31" spans="2:10" ht="15" thickBot="1" x14ac:dyDescent="0.4">
      <c r="B31" s="1671"/>
      <c r="C31" s="1971" t="s">
        <v>1116</v>
      </c>
      <c r="D31" s="1972"/>
      <c r="E31" s="1972"/>
      <c r="F31" s="2058"/>
      <c r="G31" s="2059"/>
      <c r="H31" s="1624">
        <f>H10+H29</f>
        <v>536858.24699999997</v>
      </c>
      <c r="I31" s="549"/>
      <c r="J31" s="1672"/>
    </row>
    <row r="32" spans="2:10" x14ac:dyDescent="0.35">
      <c r="B32" s="1671"/>
      <c r="C32" s="1049"/>
      <c r="D32" s="851"/>
      <c r="E32" s="549"/>
      <c r="F32" s="549"/>
      <c r="G32" s="549"/>
      <c r="H32" s="549"/>
      <c r="I32" s="549"/>
      <c r="J32" s="1672"/>
    </row>
    <row r="33" spans="2:10" ht="15" thickBot="1" x14ac:dyDescent="0.4">
      <c r="B33" s="1673"/>
      <c r="C33" s="1674"/>
      <c r="D33" s="1675"/>
      <c r="E33" s="1543"/>
      <c r="F33" s="1543"/>
      <c r="G33" s="1543"/>
      <c r="H33" s="1543"/>
      <c r="I33" s="1543"/>
      <c r="J33" s="1676"/>
    </row>
    <row r="34" spans="2:10" ht="15" thickTop="1" x14ac:dyDescent="0.35">
      <c r="B34" s="1858"/>
      <c r="C34" s="1859"/>
      <c r="D34" s="1860"/>
      <c r="E34" s="1858"/>
      <c r="F34" s="1858"/>
      <c r="G34" s="1858"/>
      <c r="H34" s="1858"/>
      <c r="I34" s="1858"/>
      <c r="J34" s="1869"/>
    </row>
    <row r="35" spans="2:10" ht="18.5" x14ac:dyDescent="0.45">
      <c r="B35" s="549"/>
      <c r="C35" s="846" t="s">
        <v>1379</v>
      </c>
      <c r="D35" s="851"/>
      <c r="E35" s="549"/>
      <c r="F35" s="549"/>
      <c r="G35" s="549"/>
      <c r="H35" s="549"/>
      <c r="I35" s="549"/>
      <c r="J35" s="1672"/>
    </row>
    <row r="36" spans="2:10" ht="15" thickBot="1" x14ac:dyDescent="0.4">
      <c r="B36" s="549"/>
      <c r="C36" s="1049"/>
      <c r="D36" s="851"/>
      <c r="E36" s="549"/>
      <c r="F36" s="549"/>
      <c r="G36" s="549"/>
      <c r="H36" s="549"/>
      <c r="I36" s="549"/>
      <c r="J36" s="1672"/>
    </row>
    <row r="37" spans="2:10" ht="15" thickBot="1" x14ac:dyDescent="0.4">
      <c r="B37" s="549"/>
      <c r="C37" s="1620" t="s">
        <v>1117</v>
      </c>
      <c r="D37" s="1521"/>
      <c r="E37" s="1623"/>
      <c r="F37" s="1522" t="s">
        <v>1118</v>
      </c>
      <c r="G37" s="1522" t="s">
        <v>1119</v>
      </c>
      <c r="H37" s="1522" t="s">
        <v>1120</v>
      </c>
      <c r="I37" s="1522" t="s">
        <v>1121</v>
      </c>
      <c r="J37" s="1672"/>
    </row>
    <row r="38" spans="2:10" ht="15" thickBot="1" x14ac:dyDescent="0.4">
      <c r="B38" s="549"/>
      <c r="C38" s="1069" t="s">
        <v>1374</v>
      </c>
      <c r="D38" s="1077"/>
      <c r="E38" s="1078"/>
      <c r="F38" s="1622">
        <f>G38/12</f>
        <v>1092.8216666666667</v>
      </c>
      <c r="G38" s="1677">
        <v>13113.86</v>
      </c>
      <c r="H38" s="1865" t="s">
        <v>1122</v>
      </c>
      <c r="I38" s="1865">
        <f>G38*30</f>
        <v>393415.80000000005</v>
      </c>
      <c r="J38" s="1672"/>
    </row>
    <row r="39" spans="2:10" ht="15" thickBot="1" x14ac:dyDescent="0.4">
      <c r="B39" s="549"/>
      <c r="C39" s="1069" t="s">
        <v>1375</v>
      </c>
      <c r="D39" s="1866"/>
      <c r="E39" s="1867"/>
      <c r="F39" s="1622">
        <f>G39/12</f>
        <v>4508.0999999999995</v>
      </c>
      <c r="G39" s="1622">
        <v>54097.2</v>
      </c>
      <c r="H39" s="1865" t="s">
        <v>1122</v>
      </c>
      <c r="I39" s="1865">
        <f>G39*30</f>
        <v>1622916</v>
      </c>
      <c r="J39" s="1672"/>
    </row>
    <row r="40" spans="2:10" ht="15" thickBot="1" x14ac:dyDescent="0.4">
      <c r="B40" s="549"/>
      <c r="C40" s="1069" t="s">
        <v>1376</v>
      </c>
      <c r="D40" s="1077"/>
      <c r="E40" s="1078"/>
      <c r="F40" s="1622">
        <f>G40/12</f>
        <v>6588.6125000000002</v>
      </c>
      <c r="G40" s="1677">
        <v>79063.350000000006</v>
      </c>
      <c r="H40" s="1865" t="s">
        <v>1122</v>
      </c>
      <c r="I40" s="1865">
        <f>G40*30</f>
        <v>2371900.5</v>
      </c>
      <c r="J40" s="1672"/>
    </row>
    <row r="41" spans="2:10" ht="15" thickBot="1" x14ac:dyDescent="0.4">
      <c r="B41" s="549"/>
      <c r="C41" s="1971" t="s">
        <v>948</v>
      </c>
      <c r="D41" s="1972"/>
      <c r="E41" s="1972"/>
      <c r="F41" s="1624">
        <f>SUM(F38:F40)</f>
        <v>12189.534166666666</v>
      </c>
      <c r="G41" s="1624">
        <f>SUM(G38:G40)</f>
        <v>146274.41</v>
      </c>
      <c r="H41" s="549"/>
      <c r="I41" s="1048"/>
      <c r="J41" s="1672"/>
    </row>
    <row r="42" spans="2:10" ht="15" thickBot="1" x14ac:dyDescent="0.4">
      <c r="B42" s="1543"/>
      <c r="C42" s="1674"/>
      <c r="D42" s="1675"/>
      <c r="E42" s="1543"/>
      <c r="F42" s="1543"/>
      <c r="G42" s="1543"/>
      <c r="H42" s="1543"/>
      <c r="I42" s="1543"/>
      <c r="J42" s="1676"/>
    </row>
    <row r="43" spans="2:10" ht="15" thickTop="1" x14ac:dyDescent="0.35">
      <c r="B43" s="1628"/>
      <c r="C43" s="549"/>
      <c r="D43" s="851"/>
      <c r="E43" s="549"/>
      <c r="F43" s="549"/>
      <c r="G43" s="549"/>
      <c r="H43" s="549"/>
      <c r="I43" s="549"/>
      <c r="J43" s="1869"/>
    </row>
    <row r="44" spans="2:10" ht="18.5" x14ac:dyDescent="0.45">
      <c r="B44" s="1628"/>
      <c r="C44" s="846" t="s">
        <v>1377</v>
      </c>
      <c r="D44" s="851"/>
      <c r="E44" s="549"/>
      <c r="F44" s="549"/>
      <c r="G44" s="549"/>
      <c r="H44" s="549"/>
      <c r="I44" s="549"/>
      <c r="J44" s="1672"/>
    </row>
    <row r="45" spans="2:10" ht="15" thickBot="1" x14ac:dyDescent="0.4">
      <c r="B45" s="1628"/>
      <c r="C45" s="549"/>
      <c r="D45" s="851"/>
      <c r="E45" s="549"/>
      <c r="F45" s="549"/>
      <c r="G45" s="1744"/>
      <c r="H45" s="549"/>
      <c r="I45" s="549"/>
      <c r="J45" s="1672"/>
    </row>
    <row r="46" spans="2:10" ht="15" thickBot="1" x14ac:dyDescent="0.4">
      <c r="B46" s="1628"/>
      <c r="C46" s="1620" t="s">
        <v>1117</v>
      </c>
      <c r="D46" s="1521"/>
      <c r="E46" s="1623"/>
      <c r="F46" s="1522" t="s">
        <v>1119</v>
      </c>
      <c r="G46" s="1522" t="s">
        <v>1120</v>
      </c>
      <c r="H46" s="1522" t="s">
        <v>1121</v>
      </c>
      <c r="I46" s="1042"/>
      <c r="J46" s="1672"/>
    </row>
    <row r="47" spans="2:10" ht="15" thickBot="1" x14ac:dyDescent="0.4">
      <c r="B47" s="1628"/>
      <c r="C47" s="1069" t="s">
        <v>1123</v>
      </c>
      <c r="D47" s="1077"/>
      <c r="E47" s="1078"/>
      <c r="F47" s="1622">
        <v>104033.92</v>
      </c>
      <c r="G47" s="1864" t="s">
        <v>1124</v>
      </c>
      <c r="H47" s="1864">
        <f>F47*5</f>
        <v>520169.6</v>
      </c>
      <c r="I47" s="1042"/>
      <c r="J47" s="1672"/>
    </row>
    <row r="48" spans="2:10" ht="15" thickBot="1" x14ac:dyDescent="0.4">
      <c r="B48" s="1628"/>
      <c r="C48" s="1069" t="s">
        <v>1125</v>
      </c>
      <c r="D48" s="1077"/>
      <c r="E48" s="1078"/>
      <c r="F48" s="1677">
        <v>109378.56</v>
      </c>
      <c r="G48" s="1865" t="s">
        <v>1122</v>
      </c>
      <c r="H48" s="1865">
        <f>F48*30</f>
        <v>3281356.7999999998</v>
      </c>
      <c r="I48" s="1042"/>
      <c r="J48" s="1672"/>
    </row>
    <row r="49" spans="2:10" ht="15" thickBot="1" x14ac:dyDescent="0.4">
      <c r="B49" s="1628"/>
      <c r="C49" s="1069" t="s">
        <v>1126</v>
      </c>
      <c r="D49" s="1077"/>
      <c r="E49" s="1078"/>
      <c r="F49" s="1677">
        <v>54689.279999999999</v>
      </c>
      <c r="G49" s="1865" t="s">
        <v>1122</v>
      </c>
      <c r="H49" s="1865">
        <f t="shared" ref="H49:H51" si="1">F49*30</f>
        <v>1640678.3999999999</v>
      </c>
      <c r="I49" s="1042"/>
      <c r="J49" s="1672"/>
    </row>
    <row r="50" spans="2:10" ht="15" thickBot="1" x14ac:dyDescent="0.4">
      <c r="B50" s="1628"/>
      <c r="C50" s="1069" t="s">
        <v>1127</v>
      </c>
      <c r="D50" s="1077"/>
      <c r="E50" s="1078"/>
      <c r="F50" s="1677">
        <v>38904</v>
      </c>
      <c r="G50" s="1865" t="s">
        <v>1122</v>
      </c>
      <c r="H50" s="1865">
        <f t="shared" si="1"/>
        <v>1167120</v>
      </c>
      <c r="I50" s="1042"/>
      <c r="J50" s="1672"/>
    </row>
    <row r="51" spans="2:10" ht="15" thickBot="1" x14ac:dyDescent="0.4">
      <c r="B51" s="1628"/>
      <c r="C51" s="1069" t="s">
        <v>1128</v>
      </c>
      <c r="D51" s="1077"/>
      <c r="E51" s="1078"/>
      <c r="F51" s="1677">
        <v>3956.3</v>
      </c>
      <c r="G51" s="1865" t="s">
        <v>1122</v>
      </c>
      <c r="H51" s="1865">
        <f t="shared" si="1"/>
        <v>118689</v>
      </c>
      <c r="I51" s="1042"/>
      <c r="J51" s="1672"/>
    </row>
    <row r="52" spans="2:10" ht="15" thickBot="1" x14ac:dyDescent="0.4">
      <c r="B52" s="1628"/>
      <c r="C52" s="1069" t="s">
        <v>1129</v>
      </c>
      <c r="D52" s="1077"/>
      <c r="E52" s="1078"/>
      <c r="F52" s="1677">
        <v>79100.28</v>
      </c>
      <c r="G52" s="1865" t="s">
        <v>1122</v>
      </c>
      <c r="H52" s="1865">
        <f t="shared" ref="H52:H55" si="2">F52*30</f>
        <v>2373008.4</v>
      </c>
      <c r="I52" s="1042"/>
      <c r="J52" s="1672"/>
    </row>
    <row r="53" spans="2:10" ht="15" thickBot="1" x14ac:dyDescent="0.4">
      <c r="B53" s="1628"/>
      <c r="C53" s="1069" t="s">
        <v>1130</v>
      </c>
      <c r="D53" s="1077"/>
      <c r="E53" s="1078"/>
      <c r="F53" s="1677">
        <v>25857</v>
      </c>
      <c r="G53" s="1865" t="s">
        <v>1122</v>
      </c>
      <c r="H53" s="1865">
        <f t="shared" si="2"/>
        <v>775710</v>
      </c>
      <c r="I53" s="1042"/>
      <c r="J53" s="1672"/>
    </row>
    <row r="54" spans="2:10" ht="15" thickBot="1" x14ac:dyDescent="0.4">
      <c r="B54" s="1628"/>
      <c r="C54" s="1069" t="s">
        <v>1131</v>
      </c>
      <c r="D54" s="1077"/>
      <c r="E54" s="1078"/>
      <c r="F54" s="1677">
        <v>24000</v>
      </c>
      <c r="G54" s="1865" t="s">
        <v>1122</v>
      </c>
      <c r="H54" s="1865">
        <f t="shared" si="2"/>
        <v>720000</v>
      </c>
      <c r="I54" s="1042"/>
      <c r="J54" s="1672"/>
    </row>
    <row r="55" spans="2:10" ht="15" thickBot="1" x14ac:dyDescent="0.4">
      <c r="B55" s="1628"/>
      <c r="C55" s="1069" t="s">
        <v>1132</v>
      </c>
      <c r="D55" s="1077"/>
      <c r="E55" s="1078"/>
      <c r="F55" s="1677">
        <v>15556.42</v>
      </c>
      <c r="G55" s="1865" t="s">
        <v>1122</v>
      </c>
      <c r="H55" s="1865">
        <f t="shared" si="2"/>
        <v>466692.6</v>
      </c>
      <c r="I55" s="1042"/>
      <c r="J55" s="1672"/>
    </row>
    <row r="56" spans="2:10" ht="15" thickBot="1" x14ac:dyDescent="0.4">
      <c r="B56" s="1628"/>
      <c r="C56" s="1971" t="s">
        <v>948</v>
      </c>
      <c r="D56" s="1972"/>
      <c r="E56" s="1972"/>
      <c r="F56" s="1624">
        <f>SUM(F47:F55)</f>
        <v>455475.75999999995</v>
      </c>
      <c r="G56" s="549"/>
      <c r="H56" s="1048"/>
      <c r="I56" s="1048"/>
      <c r="J56" s="1672"/>
    </row>
    <row r="57" spans="2:10" x14ac:dyDescent="0.35">
      <c r="B57" s="1628"/>
      <c r="C57" s="1049"/>
      <c r="D57" s="851"/>
      <c r="E57" s="549"/>
      <c r="F57" s="549"/>
      <c r="G57" s="549"/>
      <c r="H57" s="549"/>
      <c r="I57" s="549"/>
      <c r="J57" s="1672"/>
    </row>
    <row r="58" spans="2:10" ht="15" thickBot="1" x14ac:dyDescent="0.4">
      <c r="B58" s="1630"/>
      <c r="C58" s="1631"/>
      <c r="D58" s="1632"/>
      <c r="E58" s="1215"/>
      <c r="F58" s="1215"/>
      <c r="G58" s="1215"/>
      <c r="H58" s="1215"/>
      <c r="I58" s="1215"/>
      <c r="J58" s="1676"/>
    </row>
    <row r="59" spans="2:10" x14ac:dyDescent="0.35">
      <c r="B59" s="549"/>
      <c r="C59" s="1049"/>
      <c r="D59" s="851"/>
      <c r="E59" s="549"/>
      <c r="F59" s="549"/>
      <c r="G59" s="549"/>
      <c r="H59" s="549"/>
      <c r="I59" s="549"/>
      <c r="J59" s="1870"/>
    </row>
    <row r="60" spans="2:10" ht="18.5" x14ac:dyDescent="0.45">
      <c r="B60" s="1628"/>
      <c r="C60" s="846" t="s">
        <v>1378</v>
      </c>
      <c r="D60" s="851"/>
      <c r="E60" s="549"/>
      <c r="F60" s="549"/>
      <c r="G60" s="549"/>
      <c r="H60" s="549"/>
      <c r="I60" s="549"/>
      <c r="J60" s="1672"/>
    </row>
    <row r="61" spans="2:10" ht="15" thickBot="1" x14ac:dyDescent="0.4">
      <c r="B61" s="1628"/>
      <c r="C61" s="549"/>
      <c r="D61" s="851"/>
      <c r="E61" s="549"/>
      <c r="F61" s="549"/>
      <c r="G61" s="549"/>
      <c r="H61" s="549"/>
      <c r="I61" s="549"/>
      <c r="J61" s="1672"/>
    </row>
    <row r="62" spans="2:10" ht="15" thickBot="1" x14ac:dyDescent="0.4">
      <c r="B62" s="1628"/>
      <c r="C62" s="1520" t="s">
        <v>1097</v>
      </c>
      <c r="D62" s="1623"/>
      <c r="E62" s="1621" t="s">
        <v>1098</v>
      </c>
      <c r="F62" s="1621" t="s">
        <v>868</v>
      </c>
      <c r="G62" s="1635" t="s">
        <v>867</v>
      </c>
      <c r="H62" s="1085" t="s">
        <v>1133</v>
      </c>
      <c r="I62" s="549"/>
      <c r="J62" s="1672"/>
    </row>
    <row r="63" spans="2:10" ht="15" thickBot="1" x14ac:dyDescent="0.4">
      <c r="B63" s="1628"/>
      <c r="C63" s="1069" t="s">
        <v>1134</v>
      </c>
      <c r="D63" s="1077"/>
      <c r="E63" s="1185" t="s">
        <v>1135</v>
      </c>
      <c r="F63" s="1622">
        <v>3198.23</v>
      </c>
      <c r="G63" s="1185">
        <v>14</v>
      </c>
      <c r="H63" s="1072">
        <f>F63*G63</f>
        <v>44775.22</v>
      </c>
      <c r="I63" s="549"/>
      <c r="J63" s="1672"/>
    </row>
    <row r="64" spans="2:10" ht="15" thickBot="1" x14ac:dyDescent="0.4">
      <c r="B64" s="1628"/>
      <c r="C64" s="1069" t="s">
        <v>1136</v>
      </c>
      <c r="D64" s="1637"/>
      <c r="E64" s="1185" t="s">
        <v>1135</v>
      </c>
      <c r="F64" s="1622">
        <v>3198.23</v>
      </c>
      <c r="G64" s="1185">
        <v>4</v>
      </c>
      <c r="H64" s="1072">
        <f>F64*G64</f>
        <v>12792.92</v>
      </c>
      <c r="I64" s="549"/>
      <c r="J64" s="1672"/>
    </row>
    <row r="65" spans="2:10" ht="15" thickBot="1" x14ac:dyDescent="0.4">
      <c r="B65" s="1628"/>
      <c r="C65" s="1971" t="s">
        <v>1100</v>
      </c>
      <c r="D65" s="1972"/>
      <c r="E65" s="1972"/>
      <c r="F65" s="2058"/>
      <c r="G65" s="2059"/>
      <c r="H65" s="1624">
        <f>H63+H64</f>
        <v>57568.14</v>
      </c>
      <c r="I65" s="549"/>
      <c r="J65" s="1672"/>
    </row>
    <row r="66" spans="2:10" ht="15" thickBot="1" x14ac:dyDescent="0.4">
      <c r="B66" s="1628"/>
      <c r="C66" s="1971" t="s">
        <v>1101</v>
      </c>
      <c r="D66" s="1972"/>
      <c r="E66" s="1972"/>
      <c r="F66" s="2058"/>
      <c r="G66" s="2059"/>
      <c r="H66" s="1624">
        <f>H65*12</f>
        <v>690817.67999999993</v>
      </c>
      <c r="I66" s="549"/>
      <c r="J66" s="1672"/>
    </row>
    <row r="67" spans="2:10" x14ac:dyDescent="0.35">
      <c r="B67" s="1628"/>
      <c r="C67" s="549"/>
      <c r="D67" s="851"/>
      <c r="E67" s="549"/>
      <c r="F67" s="549"/>
      <c r="G67" s="549"/>
      <c r="H67" s="549"/>
      <c r="I67" s="549"/>
      <c r="J67" s="1672"/>
    </row>
    <row r="68" spans="2:10" ht="15" thickBot="1" x14ac:dyDescent="0.4">
      <c r="B68" s="1630"/>
      <c r="C68" s="1215"/>
      <c r="D68" s="1632"/>
      <c r="E68" s="1215"/>
      <c r="F68" s="1215"/>
      <c r="G68" s="1215"/>
      <c r="H68" s="1215"/>
      <c r="I68" s="1215"/>
      <c r="J68" s="1871"/>
    </row>
    <row r="69" spans="2:10" x14ac:dyDescent="0.35">
      <c r="B69" s="549"/>
      <c r="C69" s="1049"/>
      <c r="D69" s="851"/>
      <c r="E69" s="549"/>
      <c r="F69" s="549"/>
      <c r="G69" s="549"/>
      <c r="H69" s="549"/>
      <c r="I69" s="549"/>
      <c r="J69" s="1672"/>
    </row>
    <row r="70" spans="2:10" ht="18.5" x14ac:dyDescent="0.45">
      <c r="B70" s="549"/>
      <c r="C70" s="846" t="s">
        <v>1137</v>
      </c>
      <c r="D70" s="851"/>
      <c r="E70" s="549"/>
      <c r="F70" s="549"/>
      <c r="G70" s="549"/>
      <c r="H70" s="549"/>
      <c r="I70" s="549"/>
      <c r="J70" s="1672"/>
    </row>
    <row r="71" spans="2:10" ht="15" thickBot="1" x14ac:dyDescent="0.4">
      <c r="B71" s="549"/>
      <c r="C71" s="1049"/>
      <c r="D71" s="851"/>
      <c r="E71" s="549"/>
      <c r="F71" s="549"/>
      <c r="G71" s="549"/>
      <c r="H71" s="549"/>
      <c r="I71" s="549"/>
      <c r="J71" s="1672"/>
    </row>
    <row r="72" spans="2:10" ht="15" thickBot="1" x14ac:dyDescent="0.4">
      <c r="B72" s="549"/>
      <c r="C72" s="1620" t="s">
        <v>1117</v>
      </c>
      <c r="D72" s="1521"/>
      <c r="E72" s="1623"/>
      <c r="F72" s="1522" t="s">
        <v>1138</v>
      </c>
      <c r="G72" s="2060" t="s">
        <v>1139</v>
      </c>
      <c r="H72" s="2061"/>
      <c r="I72" s="549"/>
      <c r="J72" s="1672"/>
    </row>
    <row r="73" spans="2:10" ht="15" thickBot="1" x14ac:dyDescent="0.4">
      <c r="B73" s="549"/>
      <c r="C73" s="1069" t="s">
        <v>1140</v>
      </c>
      <c r="D73" s="1077"/>
      <c r="E73" s="1078"/>
      <c r="F73" s="1622">
        <v>31274.1</v>
      </c>
      <c r="G73" s="2062" t="s">
        <v>1141</v>
      </c>
      <c r="H73" s="2063"/>
      <c r="I73" s="549"/>
      <c r="J73" s="1672"/>
    </row>
    <row r="74" spans="2:10" ht="15" thickBot="1" x14ac:dyDescent="0.4">
      <c r="B74" s="549"/>
      <c r="C74" s="1069" t="s">
        <v>1142</v>
      </c>
      <c r="D74" s="1077"/>
      <c r="E74" s="1078"/>
      <c r="F74" s="1677">
        <v>144667.03</v>
      </c>
      <c r="G74" s="2064" t="s">
        <v>1143</v>
      </c>
      <c r="H74" s="2065"/>
      <c r="I74" s="549"/>
      <c r="J74" s="1672"/>
    </row>
    <row r="75" spans="2:10" ht="15" thickBot="1" x14ac:dyDescent="0.4">
      <c r="B75" s="549"/>
      <c r="C75" s="1069" t="s">
        <v>1144</v>
      </c>
      <c r="D75" s="1077"/>
      <c r="E75" s="1078"/>
      <c r="F75" s="1677">
        <v>71465.08</v>
      </c>
      <c r="G75" s="2064" t="s">
        <v>1145</v>
      </c>
      <c r="H75" s="2065"/>
      <c r="I75" s="549"/>
      <c r="J75" s="1672"/>
    </row>
    <row r="76" spans="2:10" x14ac:dyDescent="0.35">
      <c r="B76" s="549"/>
      <c r="C76" s="1069" t="s">
        <v>1146</v>
      </c>
      <c r="D76" s="1077"/>
      <c r="E76" s="1078"/>
      <c r="F76" s="1677">
        <v>116185.67</v>
      </c>
      <c r="G76" s="2064" t="s">
        <v>1145</v>
      </c>
      <c r="H76" s="2065"/>
      <c r="I76" s="549"/>
      <c r="J76" s="1672"/>
    </row>
    <row r="77" spans="2:10" ht="15" thickBot="1" x14ac:dyDescent="0.4">
      <c r="B77" s="549"/>
      <c r="C77" s="1043"/>
      <c r="D77" s="1044"/>
      <c r="E77" s="1045"/>
      <c r="F77" s="1046"/>
      <c r="G77" s="549"/>
      <c r="H77" s="549"/>
      <c r="I77" s="549"/>
      <c r="J77" s="1672"/>
    </row>
    <row r="78" spans="2:10" ht="15" thickBot="1" x14ac:dyDescent="0.4">
      <c r="B78" s="549"/>
      <c r="C78" s="1971" t="s">
        <v>948</v>
      </c>
      <c r="D78" s="1972"/>
      <c r="E78" s="1972"/>
      <c r="F78" s="1624">
        <f>F75+F76</f>
        <v>187650.75</v>
      </c>
      <c r="G78" s="549"/>
      <c r="H78" s="549"/>
      <c r="I78" s="549"/>
      <c r="J78" s="1672"/>
    </row>
    <row r="79" spans="2:10" x14ac:dyDescent="0.35">
      <c r="B79" s="549"/>
      <c r="C79" s="549"/>
      <c r="D79" s="549"/>
      <c r="E79" s="549"/>
      <c r="F79" s="549"/>
      <c r="G79" s="549"/>
      <c r="H79" s="549"/>
      <c r="I79" s="549"/>
      <c r="J79" s="1672"/>
    </row>
    <row r="80" spans="2:10" ht="15" thickBot="1" x14ac:dyDescent="0.4">
      <c r="B80" s="1630"/>
      <c r="C80" s="1631"/>
      <c r="D80" s="1632"/>
      <c r="E80" s="1215"/>
      <c r="F80" s="1215"/>
      <c r="G80" s="1215"/>
      <c r="H80" s="1215"/>
      <c r="I80" s="1215"/>
      <c r="J80" s="1676"/>
    </row>
    <row r="81" spans="2:41" x14ac:dyDescent="0.35">
      <c r="B81" s="549"/>
      <c r="C81" s="1049"/>
      <c r="D81" s="851"/>
      <c r="E81" s="549"/>
      <c r="F81" s="549"/>
      <c r="G81" s="549"/>
      <c r="H81" s="549"/>
      <c r="I81" s="549"/>
      <c r="J81" s="1870"/>
    </row>
    <row r="82" spans="2:41" ht="19" thickBot="1" x14ac:dyDescent="0.5">
      <c r="B82" s="549"/>
      <c r="C82" s="846" t="s">
        <v>1147</v>
      </c>
      <c r="D82" s="549"/>
      <c r="E82" s="549"/>
      <c r="F82" s="549"/>
      <c r="G82" s="549"/>
      <c r="H82" s="549"/>
      <c r="I82" s="549"/>
      <c r="J82" s="549"/>
    </row>
    <row r="83" spans="2:41" ht="15" thickBot="1" x14ac:dyDescent="0.4">
      <c r="B83" s="549"/>
      <c r="C83" s="882" t="s">
        <v>818</v>
      </c>
      <c r="D83" s="850"/>
      <c r="E83" s="850" t="s">
        <v>826</v>
      </c>
      <c r="F83" s="549"/>
      <c r="G83" s="549"/>
      <c r="H83" s="549"/>
      <c r="I83" s="549"/>
      <c r="J83" s="549"/>
    </row>
    <row r="84" spans="2:41" ht="17.25" customHeight="1" thickBot="1" x14ac:dyDescent="0.4">
      <c r="B84" s="549"/>
      <c r="C84" s="883" t="s">
        <v>1148</v>
      </c>
      <c r="D84" s="881"/>
      <c r="E84" s="1357">
        <v>125498.8</v>
      </c>
      <c r="F84" s="549"/>
      <c r="G84" s="549"/>
      <c r="H84" s="549"/>
      <c r="I84" s="549"/>
      <c r="J84" s="549"/>
    </row>
    <row r="85" spans="2:41" ht="17.25" customHeight="1" thickBot="1" x14ac:dyDescent="0.4">
      <c r="B85" s="549"/>
      <c r="C85" s="883" t="s">
        <v>1149</v>
      </c>
      <c r="D85" s="881"/>
      <c r="E85" s="1357">
        <v>5899.91</v>
      </c>
      <c r="F85" s="549"/>
      <c r="G85" s="549"/>
      <c r="H85" s="549"/>
      <c r="I85" s="549"/>
      <c r="J85" s="549"/>
    </row>
    <row r="86" spans="2:41" ht="17.25" customHeight="1" thickBot="1" x14ac:dyDescent="0.4">
      <c r="B86" s="549"/>
      <c r="C86" s="883" t="s">
        <v>1150</v>
      </c>
      <c r="D86" s="881"/>
      <c r="E86" s="1810">
        <v>53099.19</v>
      </c>
      <c r="F86" s="549"/>
      <c r="G86" s="549"/>
      <c r="H86" s="549"/>
      <c r="I86" s="549"/>
      <c r="J86" s="549"/>
    </row>
    <row r="87" spans="2:41" ht="15" thickBot="1" x14ac:dyDescent="0.4">
      <c r="B87" s="549"/>
      <c r="C87" s="882" t="s">
        <v>200</v>
      </c>
      <c r="D87" s="1116"/>
      <c r="E87" s="844">
        <f>SUM(E84:E86)</f>
        <v>184497.9</v>
      </c>
      <c r="F87" s="549"/>
      <c r="G87" s="549"/>
      <c r="H87" s="549"/>
      <c r="I87" s="549"/>
      <c r="J87" s="549"/>
    </row>
    <row r="88" spans="2:41" ht="5.25" customHeight="1" x14ac:dyDescent="0.35">
      <c r="B88" s="549"/>
      <c r="C88" s="549"/>
      <c r="D88" s="549"/>
      <c r="E88" s="549"/>
      <c r="F88" s="549"/>
      <c r="G88" s="549"/>
      <c r="H88" s="549"/>
      <c r="I88" s="549"/>
      <c r="J88" s="549"/>
    </row>
    <row r="89" spans="2:41" x14ac:dyDescent="0.35">
      <c r="B89" s="549"/>
      <c r="C89" s="549"/>
      <c r="D89" s="549"/>
      <c r="E89" s="549"/>
      <c r="F89" s="549"/>
      <c r="G89" s="549"/>
      <c r="H89" s="549"/>
      <c r="I89" s="549"/>
      <c r="J89" s="549"/>
    </row>
    <row r="90" spans="2:41" x14ac:dyDescent="0.35">
      <c r="B90" s="549"/>
      <c r="C90" s="549"/>
      <c r="D90" s="549"/>
      <c r="E90" s="549"/>
      <c r="F90" s="549"/>
      <c r="G90" s="549"/>
      <c r="H90" s="549"/>
      <c r="I90" s="549"/>
      <c r="J90" s="549"/>
    </row>
    <row r="91" spans="2:41" ht="15" thickBot="1" x14ac:dyDescent="0.4"/>
    <row r="92" spans="2:41" x14ac:dyDescent="0.35">
      <c r="B92" s="5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8"/>
    </row>
    <row r="93" spans="2:41" x14ac:dyDescent="0.35">
      <c r="B93" s="9"/>
      <c r="C93" s="77" t="s">
        <v>1151</v>
      </c>
      <c r="AO93" s="16"/>
    </row>
    <row r="94" spans="2:41" x14ac:dyDescent="0.35">
      <c r="B94" s="9"/>
      <c r="C94" s="87"/>
      <c r="D94" s="87"/>
      <c r="E94" s="229" t="s">
        <v>455</v>
      </c>
      <c r="F94" s="89">
        <v>1</v>
      </c>
      <c r="G94" s="89">
        <f>F94+1</f>
        <v>2</v>
      </c>
      <c r="H94" s="89">
        <f t="shared" ref="H94:AN94" si="3">G94+1</f>
        <v>3</v>
      </c>
      <c r="I94" s="89">
        <f t="shared" si="3"/>
        <v>4</v>
      </c>
      <c r="J94" s="89">
        <f t="shared" si="3"/>
        <v>5</v>
      </c>
      <c r="K94" s="89">
        <f t="shared" si="3"/>
        <v>6</v>
      </c>
      <c r="L94" s="89">
        <f t="shared" si="3"/>
        <v>7</v>
      </c>
      <c r="M94" s="89">
        <f t="shared" si="3"/>
        <v>8</v>
      </c>
      <c r="N94" s="89">
        <f t="shared" si="3"/>
        <v>9</v>
      </c>
      <c r="O94" s="89">
        <f t="shared" si="3"/>
        <v>10</v>
      </c>
      <c r="P94" s="89">
        <f t="shared" si="3"/>
        <v>11</v>
      </c>
      <c r="Q94" s="89">
        <f t="shared" si="3"/>
        <v>12</v>
      </c>
      <c r="R94" s="89">
        <f t="shared" si="3"/>
        <v>13</v>
      </c>
      <c r="S94" s="89">
        <f t="shared" si="3"/>
        <v>14</v>
      </c>
      <c r="T94" s="89">
        <f t="shared" si="3"/>
        <v>15</v>
      </c>
      <c r="U94" s="89">
        <f t="shared" si="3"/>
        <v>16</v>
      </c>
      <c r="V94" s="89">
        <f t="shared" si="3"/>
        <v>17</v>
      </c>
      <c r="W94" s="89">
        <f t="shared" si="3"/>
        <v>18</v>
      </c>
      <c r="X94" s="89">
        <f t="shared" si="3"/>
        <v>19</v>
      </c>
      <c r="Y94" s="89">
        <f t="shared" si="3"/>
        <v>20</v>
      </c>
      <c r="Z94" s="89">
        <f t="shared" si="3"/>
        <v>21</v>
      </c>
      <c r="AA94" s="89">
        <f t="shared" si="3"/>
        <v>22</v>
      </c>
      <c r="AB94" s="89">
        <f t="shared" si="3"/>
        <v>23</v>
      </c>
      <c r="AC94" s="89">
        <f t="shared" si="3"/>
        <v>24</v>
      </c>
      <c r="AD94" s="89">
        <f t="shared" si="3"/>
        <v>25</v>
      </c>
      <c r="AE94" s="89">
        <f t="shared" si="3"/>
        <v>26</v>
      </c>
      <c r="AF94" s="89">
        <f t="shared" si="3"/>
        <v>27</v>
      </c>
      <c r="AG94" s="89">
        <f t="shared" si="3"/>
        <v>28</v>
      </c>
      <c r="AH94" s="89">
        <f t="shared" si="3"/>
        <v>29</v>
      </c>
      <c r="AI94" s="89">
        <f t="shared" si="3"/>
        <v>30</v>
      </c>
      <c r="AJ94" s="89">
        <f t="shared" si="3"/>
        <v>31</v>
      </c>
      <c r="AK94" s="89">
        <f t="shared" si="3"/>
        <v>32</v>
      </c>
      <c r="AL94" s="89">
        <f t="shared" si="3"/>
        <v>33</v>
      </c>
      <c r="AM94" s="89">
        <f t="shared" si="3"/>
        <v>34</v>
      </c>
      <c r="AN94" s="89">
        <f t="shared" si="3"/>
        <v>35</v>
      </c>
      <c r="AO94" s="16"/>
    </row>
    <row r="95" spans="2:41" x14ac:dyDescent="0.35">
      <c r="B95" s="9"/>
      <c r="C95" s="2066" t="s">
        <v>1152</v>
      </c>
      <c r="D95" s="2066"/>
      <c r="E95" s="1855">
        <f>SUM(F95:AN95)</f>
        <v>536858.24699999997</v>
      </c>
      <c r="F95" s="1634">
        <f>H31</f>
        <v>536858.24699999997</v>
      </c>
      <c r="G95" s="562">
        <v>0</v>
      </c>
      <c r="H95" s="562">
        <v>0</v>
      </c>
      <c r="I95" s="562">
        <v>0</v>
      </c>
      <c r="J95" s="562">
        <v>0</v>
      </c>
      <c r="K95" s="562">
        <v>0</v>
      </c>
      <c r="L95" s="562">
        <v>0</v>
      </c>
      <c r="M95" s="562">
        <v>0</v>
      </c>
      <c r="N95" s="562">
        <v>0</v>
      </c>
      <c r="O95" s="562">
        <v>0</v>
      </c>
      <c r="P95" s="562">
        <v>0</v>
      </c>
      <c r="Q95" s="562">
        <v>0</v>
      </c>
      <c r="R95" s="562">
        <v>0</v>
      </c>
      <c r="S95" s="562">
        <v>0</v>
      </c>
      <c r="T95" s="562">
        <v>0</v>
      </c>
      <c r="U95" s="562">
        <v>0</v>
      </c>
      <c r="V95" s="562">
        <v>0</v>
      </c>
      <c r="W95" s="562">
        <v>0</v>
      </c>
      <c r="X95" s="562">
        <v>0</v>
      </c>
      <c r="Y95" s="562">
        <v>0</v>
      </c>
      <c r="Z95" s="562">
        <v>0</v>
      </c>
      <c r="AA95" s="562">
        <v>0</v>
      </c>
      <c r="AB95" s="562">
        <v>0</v>
      </c>
      <c r="AC95" s="562">
        <v>0</v>
      </c>
      <c r="AD95" s="562">
        <v>0</v>
      </c>
      <c r="AE95" s="562">
        <v>0</v>
      </c>
      <c r="AF95" s="562">
        <v>0</v>
      </c>
      <c r="AG95" s="562">
        <v>0</v>
      </c>
      <c r="AH95" s="562">
        <v>0</v>
      </c>
      <c r="AI95" s="562">
        <v>0</v>
      </c>
      <c r="AJ95" s="562">
        <v>0</v>
      </c>
      <c r="AK95" s="562">
        <v>0</v>
      </c>
      <c r="AL95" s="562">
        <v>0</v>
      </c>
      <c r="AM95" s="562">
        <v>0</v>
      </c>
      <c r="AN95" s="562">
        <v>0</v>
      </c>
      <c r="AO95" s="16"/>
    </row>
    <row r="96" spans="2:41" x14ac:dyDescent="0.35">
      <c r="B96" s="9"/>
      <c r="C96" s="1861" t="s">
        <v>1382</v>
      </c>
      <c r="D96" s="1861"/>
      <c r="E96" s="1856">
        <f>SUM(F96:AN96)</f>
        <v>4388232.3000000017</v>
      </c>
      <c r="F96" s="1634">
        <f>G41</f>
        <v>146274.41</v>
      </c>
      <c r="G96" s="1634">
        <f>F96</f>
        <v>146274.41</v>
      </c>
      <c r="H96" s="1634">
        <f t="shared" ref="H96:AI96" si="4">G96</f>
        <v>146274.41</v>
      </c>
      <c r="I96" s="1634">
        <f t="shared" si="4"/>
        <v>146274.41</v>
      </c>
      <c r="J96" s="1634">
        <f t="shared" si="4"/>
        <v>146274.41</v>
      </c>
      <c r="K96" s="1634">
        <f t="shared" si="4"/>
        <v>146274.41</v>
      </c>
      <c r="L96" s="1634">
        <f t="shared" si="4"/>
        <v>146274.41</v>
      </c>
      <c r="M96" s="1634">
        <f t="shared" si="4"/>
        <v>146274.41</v>
      </c>
      <c r="N96" s="1634">
        <f t="shared" si="4"/>
        <v>146274.41</v>
      </c>
      <c r="O96" s="1634">
        <f t="shared" si="4"/>
        <v>146274.41</v>
      </c>
      <c r="P96" s="1634">
        <f t="shared" si="4"/>
        <v>146274.41</v>
      </c>
      <c r="Q96" s="1634">
        <f t="shared" si="4"/>
        <v>146274.41</v>
      </c>
      <c r="R96" s="1634">
        <f t="shared" si="4"/>
        <v>146274.41</v>
      </c>
      <c r="S96" s="1634">
        <f t="shared" si="4"/>
        <v>146274.41</v>
      </c>
      <c r="T96" s="1634">
        <f t="shared" si="4"/>
        <v>146274.41</v>
      </c>
      <c r="U96" s="1634">
        <f t="shared" si="4"/>
        <v>146274.41</v>
      </c>
      <c r="V96" s="1634">
        <f t="shared" si="4"/>
        <v>146274.41</v>
      </c>
      <c r="W96" s="1634">
        <f t="shared" si="4"/>
        <v>146274.41</v>
      </c>
      <c r="X96" s="1634">
        <f t="shared" si="4"/>
        <v>146274.41</v>
      </c>
      <c r="Y96" s="1634">
        <f t="shared" si="4"/>
        <v>146274.41</v>
      </c>
      <c r="Z96" s="1634">
        <f t="shared" si="4"/>
        <v>146274.41</v>
      </c>
      <c r="AA96" s="1634">
        <f t="shared" si="4"/>
        <v>146274.41</v>
      </c>
      <c r="AB96" s="1634">
        <f t="shared" si="4"/>
        <v>146274.41</v>
      </c>
      <c r="AC96" s="1634">
        <f t="shared" si="4"/>
        <v>146274.41</v>
      </c>
      <c r="AD96" s="1634">
        <f t="shared" si="4"/>
        <v>146274.41</v>
      </c>
      <c r="AE96" s="1634">
        <f t="shared" si="4"/>
        <v>146274.41</v>
      </c>
      <c r="AF96" s="1634">
        <f t="shared" si="4"/>
        <v>146274.41</v>
      </c>
      <c r="AG96" s="1634">
        <f t="shared" si="4"/>
        <v>146274.41</v>
      </c>
      <c r="AH96" s="1634">
        <f t="shared" si="4"/>
        <v>146274.41</v>
      </c>
      <c r="AI96" s="1634">
        <f t="shared" si="4"/>
        <v>146274.41</v>
      </c>
      <c r="AJ96" s="562">
        <v>0</v>
      </c>
      <c r="AK96" s="562"/>
      <c r="AL96" s="562"/>
      <c r="AM96" s="562"/>
      <c r="AN96" s="562"/>
      <c r="AO96" s="16"/>
    </row>
    <row r="97" spans="2:41" x14ac:dyDescent="0.35">
      <c r="B97" s="9"/>
      <c r="C97" s="1986" t="s">
        <v>1381</v>
      </c>
      <c r="D97" s="2011"/>
      <c r="E97" s="1856">
        <f>SUM(F97:AN97)</f>
        <v>11063424.799999997</v>
      </c>
      <c r="F97" s="1634">
        <f>F56</f>
        <v>455475.75999999995</v>
      </c>
      <c r="G97" s="1634">
        <f>$F$56</f>
        <v>455475.75999999995</v>
      </c>
      <c r="H97" s="1634">
        <f t="shared" ref="H97:J97" si="5">$F$56</f>
        <v>455475.75999999995</v>
      </c>
      <c r="I97" s="1634">
        <f t="shared" si="5"/>
        <v>455475.75999999995</v>
      </c>
      <c r="J97" s="1634">
        <f t="shared" si="5"/>
        <v>455475.75999999995</v>
      </c>
      <c r="K97" s="1634">
        <f>$F$56-F47</f>
        <v>351441.83999999997</v>
      </c>
      <c r="L97" s="1634">
        <f>K97</f>
        <v>351441.83999999997</v>
      </c>
      <c r="M97" s="1634">
        <f t="shared" ref="M97:AI97" si="6">L97</f>
        <v>351441.83999999997</v>
      </c>
      <c r="N97" s="1634">
        <f t="shared" si="6"/>
        <v>351441.83999999997</v>
      </c>
      <c r="O97" s="1634">
        <f t="shared" si="6"/>
        <v>351441.83999999997</v>
      </c>
      <c r="P97" s="1634">
        <f t="shared" si="6"/>
        <v>351441.83999999997</v>
      </c>
      <c r="Q97" s="1634">
        <f t="shared" si="6"/>
        <v>351441.83999999997</v>
      </c>
      <c r="R97" s="1634">
        <f t="shared" si="6"/>
        <v>351441.83999999997</v>
      </c>
      <c r="S97" s="1634">
        <f t="shared" si="6"/>
        <v>351441.83999999997</v>
      </c>
      <c r="T97" s="1634">
        <f t="shared" si="6"/>
        <v>351441.83999999997</v>
      </c>
      <c r="U97" s="1634">
        <f t="shared" si="6"/>
        <v>351441.83999999997</v>
      </c>
      <c r="V97" s="1634">
        <f t="shared" si="6"/>
        <v>351441.83999999997</v>
      </c>
      <c r="W97" s="1634">
        <f t="shared" si="6"/>
        <v>351441.83999999997</v>
      </c>
      <c r="X97" s="1634">
        <f t="shared" si="6"/>
        <v>351441.83999999997</v>
      </c>
      <c r="Y97" s="1634">
        <f t="shared" si="6"/>
        <v>351441.83999999997</v>
      </c>
      <c r="Z97" s="1634">
        <f t="shared" si="6"/>
        <v>351441.83999999997</v>
      </c>
      <c r="AA97" s="1634">
        <f t="shared" si="6"/>
        <v>351441.83999999997</v>
      </c>
      <c r="AB97" s="1634">
        <f t="shared" si="6"/>
        <v>351441.83999999997</v>
      </c>
      <c r="AC97" s="1634">
        <f t="shared" si="6"/>
        <v>351441.83999999997</v>
      </c>
      <c r="AD97" s="1634">
        <f t="shared" si="6"/>
        <v>351441.83999999997</v>
      </c>
      <c r="AE97" s="1634">
        <f t="shared" si="6"/>
        <v>351441.83999999997</v>
      </c>
      <c r="AF97" s="1634">
        <f t="shared" si="6"/>
        <v>351441.83999999997</v>
      </c>
      <c r="AG97" s="1634">
        <f t="shared" si="6"/>
        <v>351441.83999999997</v>
      </c>
      <c r="AH97" s="1634">
        <f t="shared" si="6"/>
        <v>351441.83999999997</v>
      </c>
      <c r="AI97" s="1634">
        <f t="shared" si="6"/>
        <v>351441.83999999997</v>
      </c>
      <c r="AJ97" s="562">
        <v>0</v>
      </c>
      <c r="AK97" s="562">
        <v>0</v>
      </c>
      <c r="AL97" s="562">
        <v>0</v>
      </c>
      <c r="AM97" s="562">
        <v>0</v>
      </c>
      <c r="AN97" s="562">
        <v>0</v>
      </c>
      <c r="AO97" s="16"/>
    </row>
    <row r="98" spans="2:41" ht="31.5" customHeight="1" x14ac:dyDescent="0.35">
      <c r="B98" s="9"/>
      <c r="C98" s="1986" t="s">
        <v>1380</v>
      </c>
      <c r="D98" s="2011"/>
      <c r="E98" s="1856">
        <f t="shared" ref="E98" si="7">SUM(F98:AN98)</f>
        <v>20724530.399999995</v>
      </c>
      <c r="F98" s="1634">
        <f>H66</f>
        <v>690817.67999999993</v>
      </c>
      <c r="G98" s="1634">
        <f>F98</f>
        <v>690817.67999999993</v>
      </c>
      <c r="H98" s="1634">
        <f t="shared" ref="H98:AI98" si="8">G98</f>
        <v>690817.67999999993</v>
      </c>
      <c r="I98" s="1634">
        <f t="shared" si="8"/>
        <v>690817.67999999993</v>
      </c>
      <c r="J98" s="1634">
        <f t="shared" si="8"/>
        <v>690817.67999999993</v>
      </c>
      <c r="K98" s="1634">
        <f t="shared" si="8"/>
        <v>690817.67999999993</v>
      </c>
      <c r="L98" s="1634">
        <f t="shared" si="8"/>
        <v>690817.67999999993</v>
      </c>
      <c r="M98" s="1634">
        <f t="shared" si="8"/>
        <v>690817.67999999993</v>
      </c>
      <c r="N98" s="1634">
        <f t="shared" si="8"/>
        <v>690817.67999999993</v>
      </c>
      <c r="O98" s="1634">
        <f t="shared" si="8"/>
        <v>690817.67999999993</v>
      </c>
      <c r="P98" s="1634">
        <f t="shared" si="8"/>
        <v>690817.67999999993</v>
      </c>
      <c r="Q98" s="1634">
        <f t="shared" si="8"/>
        <v>690817.67999999993</v>
      </c>
      <c r="R98" s="1634">
        <f t="shared" si="8"/>
        <v>690817.67999999993</v>
      </c>
      <c r="S98" s="1634">
        <f t="shared" si="8"/>
        <v>690817.67999999993</v>
      </c>
      <c r="T98" s="1634">
        <f t="shared" si="8"/>
        <v>690817.67999999993</v>
      </c>
      <c r="U98" s="1634">
        <f t="shared" si="8"/>
        <v>690817.67999999993</v>
      </c>
      <c r="V98" s="1634">
        <f t="shared" si="8"/>
        <v>690817.67999999993</v>
      </c>
      <c r="W98" s="1634">
        <f t="shared" si="8"/>
        <v>690817.67999999993</v>
      </c>
      <c r="X98" s="1634">
        <f t="shared" si="8"/>
        <v>690817.67999999993</v>
      </c>
      <c r="Y98" s="1634">
        <f t="shared" si="8"/>
        <v>690817.67999999993</v>
      </c>
      <c r="Z98" s="1634">
        <f t="shared" si="8"/>
        <v>690817.67999999993</v>
      </c>
      <c r="AA98" s="1634">
        <f t="shared" si="8"/>
        <v>690817.67999999993</v>
      </c>
      <c r="AB98" s="1634">
        <f t="shared" si="8"/>
        <v>690817.67999999993</v>
      </c>
      <c r="AC98" s="1634">
        <f t="shared" si="8"/>
        <v>690817.67999999993</v>
      </c>
      <c r="AD98" s="1634">
        <f t="shared" si="8"/>
        <v>690817.67999999993</v>
      </c>
      <c r="AE98" s="1634">
        <f t="shared" si="8"/>
        <v>690817.67999999993</v>
      </c>
      <c r="AF98" s="1634">
        <f t="shared" si="8"/>
        <v>690817.67999999993</v>
      </c>
      <c r="AG98" s="1634">
        <f t="shared" si="8"/>
        <v>690817.67999999993</v>
      </c>
      <c r="AH98" s="1634">
        <f t="shared" si="8"/>
        <v>690817.67999999993</v>
      </c>
      <c r="AI98" s="1634">
        <f t="shared" si="8"/>
        <v>690817.67999999993</v>
      </c>
      <c r="AJ98" s="562">
        <v>0</v>
      </c>
      <c r="AK98" s="562">
        <v>0</v>
      </c>
      <c r="AL98" s="562">
        <v>0</v>
      </c>
      <c r="AM98" s="562">
        <v>0</v>
      </c>
      <c r="AN98" s="562">
        <v>0</v>
      </c>
      <c r="AO98" s="16"/>
    </row>
    <row r="99" spans="2:41" x14ac:dyDescent="0.35">
      <c r="B99" s="9"/>
      <c r="C99" s="2024" t="s">
        <v>1137</v>
      </c>
      <c r="D99" s="2025"/>
      <c r="E99" s="1855">
        <f t="shared" ref="E99:E100" si="9">SUM(F99:AN99)</f>
        <v>6528798.7800000012</v>
      </c>
      <c r="F99" s="1634">
        <f>F73+F75+F76</f>
        <v>218924.84999999998</v>
      </c>
      <c r="G99" s="1634">
        <f>$F$78</f>
        <v>187650.75</v>
      </c>
      <c r="H99" s="1634">
        <f>$F$78</f>
        <v>187650.75</v>
      </c>
      <c r="I99" s="1634">
        <f>$F$78</f>
        <v>187650.75</v>
      </c>
      <c r="J99" s="1634">
        <f>$F$75+$F$76+$F$74</f>
        <v>332317.78000000003</v>
      </c>
      <c r="K99" s="1634">
        <f>$F$78</f>
        <v>187650.75</v>
      </c>
      <c r="L99" s="1634">
        <f>$F$78</f>
        <v>187650.75</v>
      </c>
      <c r="M99" s="1634">
        <f>$F$78</f>
        <v>187650.75</v>
      </c>
      <c r="N99" s="1634">
        <f>$F$78</f>
        <v>187650.75</v>
      </c>
      <c r="O99" s="1634">
        <f>$F$75+$F$76+$F$74</f>
        <v>332317.78000000003</v>
      </c>
      <c r="P99" s="1634">
        <f>$F$78</f>
        <v>187650.75</v>
      </c>
      <c r="Q99" s="1634">
        <f>$F$78</f>
        <v>187650.75</v>
      </c>
      <c r="R99" s="1634">
        <f>$F$78</f>
        <v>187650.75</v>
      </c>
      <c r="S99" s="1634">
        <f>$F$78</f>
        <v>187650.75</v>
      </c>
      <c r="T99" s="1634">
        <f>$F$75+$F$76+$F$74</f>
        <v>332317.78000000003</v>
      </c>
      <c r="U99" s="1634">
        <f>$F$78</f>
        <v>187650.75</v>
      </c>
      <c r="V99" s="1634">
        <f>$F$78</f>
        <v>187650.75</v>
      </c>
      <c r="W99" s="1634">
        <f>$F$78</f>
        <v>187650.75</v>
      </c>
      <c r="X99" s="1634">
        <f>$F$78</f>
        <v>187650.75</v>
      </c>
      <c r="Y99" s="1634">
        <f>$F$75+$F$76+$F$74</f>
        <v>332317.78000000003</v>
      </c>
      <c r="Z99" s="1634">
        <f>$F$78</f>
        <v>187650.75</v>
      </c>
      <c r="AA99" s="1634">
        <f>$F$78</f>
        <v>187650.75</v>
      </c>
      <c r="AB99" s="1634">
        <f>$F$78</f>
        <v>187650.75</v>
      </c>
      <c r="AC99" s="1634">
        <f>$F$78</f>
        <v>187650.75</v>
      </c>
      <c r="AD99" s="1634">
        <f>$F$75+$F$76+$F$74</f>
        <v>332317.78000000003</v>
      </c>
      <c r="AE99" s="1634">
        <f>$F$78</f>
        <v>187650.75</v>
      </c>
      <c r="AF99" s="1634">
        <f>$F$78</f>
        <v>187650.75</v>
      </c>
      <c r="AG99" s="1634">
        <f>$F$78</f>
        <v>187650.75</v>
      </c>
      <c r="AH99" s="1634">
        <f>$F$78</f>
        <v>187650.75</v>
      </c>
      <c r="AI99" s="1634">
        <f>$F$75+$F$76+$F$74</f>
        <v>332317.78000000003</v>
      </c>
      <c r="AJ99" s="562">
        <v>0</v>
      </c>
      <c r="AK99" s="562">
        <v>0</v>
      </c>
      <c r="AL99" s="562">
        <v>0</v>
      </c>
      <c r="AM99" s="562">
        <v>0</v>
      </c>
      <c r="AN99" s="562">
        <v>0</v>
      </c>
      <c r="AO99" s="16"/>
    </row>
    <row r="100" spans="2:41" x14ac:dyDescent="0.35">
      <c r="B100" s="9"/>
      <c r="C100" s="1873" t="s">
        <v>1147</v>
      </c>
      <c r="D100" s="1873"/>
      <c r="E100" s="1855">
        <f t="shared" si="9"/>
        <v>184497.90000000002</v>
      </c>
      <c r="F100" s="1875">
        <v>0</v>
      </c>
      <c r="G100" s="1875">
        <f>'OPEX_Inclusão Catador'!E87-'OPEX_Inclusão Catador'!E86</f>
        <v>131398.71</v>
      </c>
      <c r="H100" s="1875">
        <v>0</v>
      </c>
      <c r="I100" s="1875">
        <v>0</v>
      </c>
      <c r="J100" s="1875">
        <f>'OPEX_Inclusão Catador'!E85</f>
        <v>5899.91</v>
      </c>
      <c r="K100" s="1875"/>
      <c r="L100" s="1875"/>
      <c r="M100" s="1875">
        <f>'OPEX_Inclusão Catador'!$E$85</f>
        <v>5899.91</v>
      </c>
      <c r="N100" s="1875"/>
      <c r="O100" s="1875"/>
      <c r="P100" s="1849">
        <f>'OPEX_Inclusão Catador'!$E$85</f>
        <v>5899.91</v>
      </c>
      <c r="Q100" s="562"/>
      <c r="R100" s="562"/>
      <c r="S100" s="1849">
        <f>'OPEX_Inclusão Catador'!$E$85</f>
        <v>5899.91</v>
      </c>
      <c r="T100" s="562"/>
      <c r="U100" s="562"/>
      <c r="V100" s="1849">
        <f>'OPEX_Inclusão Catador'!$E$85</f>
        <v>5899.91</v>
      </c>
      <c r="W100" s="562"/>
      <c r="X100" s="562"/>
      <c r="Y100" s="1849">
        <f>'OPEX_Inclusão Catador'!$E$85</f>
        <v>5899.91</v>
      </c>
      <c r="Z100" s="562"/>
      <c r="AA100" s="562"/>
      <c r="AB100" s="1849">
        <f>'OPEX_Inclusão Catador'!$E$85</f>
        <v>5899.91</v>
      </c>
      <c r="AC100" s="562"/>
      <c r="AD100" s="562"/>
      <c r="AE100" s="1849">
        <f>'OPEX_Inclusão Catador'!$E$85</f>
        <v>5899.91</v>
      </c>
      <c r="AF100" s="562"/>
      <c r="AG100" s="562"/>
      <c r="AH100" s="1849">
        <f>'OPEX_Inclusão Catador'!$E$85</f>
        <v>5899.91</v>
      </c>
      <c r="AI100" s="562"/>
      <c r="AJ100" s="562"/>
      <c r="AK100" s="562"/>
      <c r="AL100" s="562"/>
      <c r="AM100" s="562"/>
      <c r="AN100" s="562"/>
      <c r="AO100" s="16"/>
    </row>
    <row r="101" spans="2:41" x14ac:dyDescent="0.35">
      <c r="B101" s="9"/>
      <c r="C101" s="233" t="s">
        <v>200</v>
      </c>
      <c r="D101" s="232"/>
      <c r="E101" s="1857">
        <f t="shared" ref="E101:AN101" si="10">SUM(E95:E100)</f>
        <v>43426342.426999994</v>
      </c>
      <c r="F101" s="1680">
        <f t="shared" si="10"/>
        <v>2048350.9469999997</v>
      </c>
      <c r="G101" s="1680">
        <f t="shared" si="10"/>
        <v>1611617.3099999998</v>
      </c>
      <c r="H101" s="1680">
        <f t="shared" si="10"/>
        <v>1480218.5999999999</v>
      </c>
      <c r="I101" s="1680">
        <f t="shared" si="10"/>
        <v>1480218.5999999999</v>
      </c>
      <c r="J101" s="1680">
        <f t="shared" si="10"/>
        <v>1630785.5399999998</v>
      </c>
      <c r="K101" s="1680">
        <f t="shared" si="10"/>
        <v>1376184.68</v>
      </c>
      <c r="L101" s="1680">
        <f t="shared" si="10"/>
        <v>1376184.68</v>
      </c>
      <c r="M101" s="1680">
        <f t="shared" si="10"/>
        <v>1382084.5899999999</v>
      </c>
      <c r="N101" s="1680">
        <f t="shared" si="10"/>
        <v>1376184.68</v>
      </c>
      <c r="O101" s="1680">
        <f t="shared" si="10"/>
        <v>1520851.71</v>
      </c>
      <c r="P101" s="1680">
        <f t="shared" si="10"/>
        <v>1382084.5899999999</v>
      </c>
      <c r="Q101" s="1680">
        <f t="shared" si="10"/>
        <v>1376184.68</v>
      </c>
      <c r="R101" s="1680">
        <f t="shared" si="10"/>
        <v>1376184.68</v>
      </c>
      <c r="S101" s="1680">
        <f t="shared" si="10"/>
        <v>1382084.5899999999</v>
      </c>
      <c r="T101" s="1680">
        <f t="shared" si="10"/>
        <v>1520851.71</v>
      </c>
      <c r="U101" s="1680">
        <f t="shared" si="10"/>
        <v>1376184.68</v>
      </c>
      <c r="V101" s="1680">
        <f t="shared" si="10"/>
        <v>1382084.5899999999</v>
      </c>
      <c r="W101" s="1680">
        <f t="shared" si="10"/>
        <v>1376184.68</v>
      </c>
      <c r="X101" s="1680">
        <f t="shared" si="10"/>
        <v>1376184.68</v>
      </c>
      <c r="Y101" s="1680">
        <f t="shared" si="10"/>
        <v>1526751.6199999999</v>
      </c>
      <c r="Z101" s="1680">
        <f t="shared" si="10"/>
        <v>1376184.68</v>
      </c>
      <c r="AA101" s="1680">
        <f t="shared" si="10"/>
        <v>1376184.68</v>
      </c>
      <c r="AB101" s="1680">
        <f t="shared" si="10"/>
        <v>1382084.5899999999</v>
      </c>
      <c r="AC101" s="1680">
        <f t="shared" si="10"/>
        <v>1376184.68</v>
      </c>
      <c r="AD101" s="1680">
        <f t="shared" si="10"/>
        <v>1520851.71</v>
      </c>
      <c r="AE101" s="1680">
        <f t="shared" si="10"/>
        <v>1382084.5899999999</v>
      </c>
      <c r="AF101" s="1680">
        <f t="shared" si="10"/>
        <v>1376184.68</v>
      </c>
      <c r="AG101" s="1680">
        <f t="shared" si="10"/>
        <v>1376184.68</v>
      </c>
      <c r="AH101" s="1680">
        <f t="shared" si="10"/>
        <v>1382084.5899999999</v>
      </c>
      <c r="AI101" s="1680">
        <f t="shared" si="10"/>
        <v>1520851.71</v>
      </c>
      <c r="AJ101" s="1680">
        <f t="shared" si="10"/>
        <v>0</v>
      </c>
      <c r="AK101" s="1680">
        <f t="shared" si="10"/>
        <v>0</v>
      </c>
      <c r="AL101" s="1680">
        <f t="shared" si="10"/>
        <v>0</v>
      </c>
      <c r="AM101" s="1680">
        <f t="shared" si="10"/>
        <v>0</v>
      </c>
      <c r="AN101" s="1680">
        <f t="shared" si="10"/>
        <v>0</v>
      </c>
      <c r="AO101" s="16"/>
    </row>
    <row r="102" spans="2:41" ht="15" thickBot="1" x14ac:dyDescent="0.4">
      <c r="B102" s="38"/>
      <c r="C102" s="59"/>
      <c r="D102" s="59"/>
      <c r="E102" s="1544"/>
      <c r="F102" s="59"/>
      <c r="G102" s="59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69"/>
    </row>
    <row r="103" spans="2:41" x14ac:dyDescent="0.35">
      <c r="F103" s="1876">
        <f>SUM(F96:F98)</f>
        <v>1292567.8499999999</v>
      </c>
      <c r="G103" s="1876">
        <f t="shared" ref="G103:AI103" si="11">SUM(G96:G98)</f>
        <v>1292567.8499999999</v>
      </c>
      <c r="H103" s="1876">
        <f t="shared" si="11"/>
        <v>1292567.8499999999</v>
      </c>
      <c r="I103" s="1876">
        <f t="shared" si="11"/>
        <v>1292567.8499999999</v>
      </c>
      <c r="J103" s="1876">
        <f t="shared" si="11"/>
        <v>1292567.8499999999</v>
      </c>
      <c r="K103" s="1876">
        <f t="shared" si="11"/>
        <v>1188533.93</v>
      </c>
      <c r="L103" s="1876">
        <f t="shared" si="11"/>
        <v>1188533.93</v>
      </c>
      <c r="M103" s="1876">
        <f t="shared" si="11"/>
        <v>1188533.93</v>
      </c>
      <c r="N103" s="1876">
        <f t="shared" si="11"/>
        <v>1188533.93</v>
      </c>
      <c r="O103" s="1876">
        <f t="shared" si="11"/>
        <v>1188533.93</v>
      </c>
      <c r="P103" s="1876">
        <f t="shared" si="11"/>
        <v>1188533.93</v>
      </c>
      <c r="Q103" s="1876">
        <f t="shared" si="11"/>
        <v>1188533.93</v>
      </c>
      <c r="R103" s="1876">
        <f t="shared" si="11"/>
        <v>1188533.93</v>
      </c>
      <c r="S103" s="1876">
        <f t="shared" si="11"/>
        <v>1188533.93</v>
      </c>
      <c r="T103" s="1876">
        <f t="shared" si="11"/>
        <v>1188533.93</v>
      </c>
      <c r="U103" s="1876">
        <f t="shared" si="11"/>
        <v>1188533.93</v>
      </c>
      <c r="V103" s="1876">
        <f t="shared" si="11"/>
        <v>1188533.93</v>
      </c>
      <c r="W103" s="1876">
        <f t="shared" si="11"/>
        <v>1188533.93</v>
      </c>
      <c r="X103" s="1876">
        <f t="shared" si="11"/>
        <v>1188533.93</v>
      </c>
      <c r="Y103" s="1876">
        <f t="shared" si="11"/>
        <v>1188533.93</v>
      </c>
      <c r="Z103" s="1876">
        <f t="shared" si="11"/>
        <v>1188533.93</v>
      </c>
      <c r="AA103" s="1876">
        <f t="shared" si="11"/>
        <v>1188533.93</v>
      </c>
      <c r="AB103" s="1876">
        <f t="shared" si="11"/>
        <v>1188533.93</v>
      </c>
      <c r="AC103" s="1876">
        <f t="shared" si="11"/>
        <v>1188533.93</v>
      </c>
      <c r="AD103" s="1876">
        <f t="shared" si="11"/>
        <v>1188533.93</v>
      </c>
      <c r="AE103" s="1876">
        <f t="shared" si="11"/>
        <v>1188533.93</v>
      </c>
      <c r="AF103" s="1876">
        <f t="shared" si="11"/>
        <v>1188533.93</v>
      </c>
      <c r="AG103" s="1876">
        <f t="shared" si="11"/>
        <v>1188533.93</v>
      </c>
      <c r="AH103" s="1876">
        <f t="shared" si="11"/>
        <v>1188533.93</v>
      </c>
      <c r="AI103" s="1876">
        <f t="shared" si="11"/>
        <v>1188533.93</v>
      </c>
    </row>
    <row r="104" spans="2:41" x14ac:dyDescent="0.35">
      <c r="C104" s="77" t="s">
        <v>1153</v>
      </c>
    </row>
    <row r="105" spans="2:41" x14ac:dyDescent="0.35">
      <c r="C105" s="560" t="s">
        <v>179</v>
      </c>
      <c r="D105" s="860"/>
      <c r="E105" s="229" t="s">
        <v>455</v>
      </c>
      <c r="F105" s="802">
        <v>1</v>
      </c>
      <c r="G105" s="802">
        <f>F105+1</f>
        <v>2</v>
      </c>
      <c r="H105" s="802">
        <f t="shared" ref="H105:AN105" si="12">G105+1</f>
        <v>3</v>
      </c>
      <c r="I105" s="802">
        <f t="shared" si="12"/>
        <v>4</v>
      </c>
      <c r="J105" s="802">
        <f t="shared" si="12"/>
        <v>5</v>
      </c>
      <c r="K105" s="802">
        <f t="shared" si="12"/>
        <v>6</v>
      </c>
      <c r="L105" s="802">
        <f t="shared" si="12"/>
        <v>7</v>
      </c>
      <c r="M105" s="802">
        <f t="shared" si="12"/>
        <v>8</v>
      </c>
      <c r="N105" s="802">
        <f t="shared" si="12"/>
        <v>9</v>
      </c>
      <c r="O105" s="802">
        <f t="shared" si="12"/>
        <v>10</v>
      </c>
      <c r="P105" s="802">
        <f t="shared" si="12"/>
        <v>11</v>
      </c>
      <c r="Q105" s="802">
        <f t="shared" si="12"/>
        <v>12</v>
      </c>
      <c r="R105" s="802">
        <f t="shared" si="12"/>
        <v>13</v>
      </c>
      <c r="S105" s="802">
        <f t="shared" si="12"/>
        <v>14</v>
      </c>
      <c r="T105" s="802">
        <f t="shared" si="12"/>
        <v>15</v>
      </c>
      <c r="U105" s="802">
        <f t="shared" si="12"/>
        <v>16</v>
      </c>
      <c r="V105" s="802">
        <f t="shared" si="12"/>
        <v>17</v>
      </c>
      <c r="W105" s="802">
        <f t="shared" si="12"/>
        <v>18</v>
      </c>
      <c r="X105" s="802">
        <f t="shared" si="12"/>
        <v>19</v>
      </c>
      <c r="Y105" s="802">
        <f t="shared" si="12"/>
        <v>20</v>
      </c>
      <c r="Z105" s="802">
        <f t="shared" si="12"/>
        <v>21</v>
      </c>
      <c r="AA105" s="802">
        <f t="shared" si="12"/>
        <v>22</v>
      </c>
      <c r="AB105" s="802">
        <f t="shared" si="12"/>
        <v>23</v>
      </c>
      <c r="AC105" s="802">
        <f t="shared" si="12"/>
        <v>24</v>
      </c>
      <c r="AD105" s="802">
        <f t="shared" si="12"/>
        <v>25</v>
      </c>
      <c r="AE105" s="802">
        <f t="shared" si="12"/>
        <v>26</v>
      </c>
      <c r="AF105" s="802">
        <f t="shared" si="12"/>
        <v>27</v>
      </c>
      <c r="AG105" s="802">
        <f t="shared" si="12"/>
        <v>28</v>
      </c>
      <c r="AH105" s="802">
        <f t="shared" si="12"/>
        <v>29</v>
      </c>
      <c r="AI105" s="802">
        <f t="shared" si="12"/>
        <v>30</v>
      </c>
      <c r="AJ105" s="802">
        <f t="shared" si="12"/>
        <v>31</v>
      </c>
      <c r="AK105" s="802">
        <f t="shared" si="12"/>
        <v>32</v>
      </c>
      <c r="AL105" s="802">
        <f t="shared" si="12"/>
        <v>33</v>
      </c>
      <c r="AM105" s="802">
        <f t="shared" si="12"/>
        <v>34</v>
      </c>
      <c r="AN105" s="802">
        <f t="shared" si="12"/>
        <v>35</v>
      </c>
    </row>
    <row r="106" spans="2:41" x14ac:dyDescent="0.35">
      <c r="C106" s="2019" t="s">
        <v>1</v>
      </c>
      <c r="D106" s="2020"/>
      <c r="E106" s="808">
        <f>SUM(F106:AN106)</f>
        <v>296479.16955639981</v>
      </c>
      <c r="F106" s="916">
        <f t="shared" ref="F106:AN106" si="13">F101*$E$119</f>
        <v>13984.447084105454</v>
      </c>
      <c r="G106" s="916">
        <f t="shared" si="13"/>
        <v>11002.79081791709</v>
      </c>
      <c r="H106" s="916">
        <f t="shared" si="13"/>
        <v>10105.709041180558</v>
      </c>
      <c r="I106" s="916">
        <f t="shared" si="13"/>
        <v>10105.709041180558</v>
      </c>
      <c r="J106" s="916">
        <f t="shared" si="13"/>
        <v>11133.655647756701</v>
      </c>
      <c r="K106" s="916">
        <f t="shared" si="13"/>
        <v>9395.4514306266483</v>
      </c>
      <c r="L106" s="916">
        <f t="shared" si="13"/>
        <v>9395.4514306266483</v>
      </c>
      <c r="M106" s="916">
        <f t="shared" si="13"/>
        <v>9435.7311391974963</v>
      </c>
      <c r="N106" s="916">
        <f t="shared" si="13"/>
        <v>9395.4514306266483</v>
      </c>
      <c r="O106" s="916">
        <f t="shared" si="13"/>
        <v>10383.118328631941</v>
      </c>
      <c r="P106" s="916">
        <f t="shared" si="13"/>
        <v>9435.7311391974963</v>
      </c>
      <c r="Q106" s="916">
        <f t="shared" si="13"/>
        <v>9395.4514306266483</v>
      </c>
      <c r="R106" s="916">
        <f t="shared" si="13"/>
        <v>9395.4514306266483</v>
      </c>
      <c r="S106" s="916">
        <f t="shared" si="13"/>
        <v>9435.7311391974963</v>
      </c>
      <c r="T106" s="916">
        <f t="shared" si="13"/>
        <v>10383.118328631941</v>
      </c>
      <c r="U106" s="916">
        <f t="shared" si="13"/>
        <v>9395.4514306266483</v>
      </c>
      <c r="V106" s="916">
        <f t="shared" si="13"/>
        <v>9435.7311391974963</v>
      </c>
      <c r="W106" s="916">
        <f t="shared" si="13"/>
        <v>9395.4514306266483</v>
      </c>
      <c r="X106" s="916">
        <f t="shared" si="13"/>
        <v>9395.4514306266483</v>
      </c>
      <c r="Y106" s="916">
        <f t="shared" si="13"/>
        <v>10423.398037202791</v>
      </c>
      <c r="Z106" s="916">
        <f t="shared" si="13"/>
        <v>9395.4514306266483</v>
      </c>
      <c r="AA106" s="916">
        <f t="shared" si="13"/>
        <v>9395.4514306266483</v>
      </c>
      <c r="AB106" s="916">
        <f t="shared" si="13"/>
        <v>9435.7311391974963</v>
      </c>
      <c r="AC106" s="916">
        <f t="shared" si="13"/>
        <v>9395.4514306266483</v>
      </c>
      <c r="AD106" s="916">
        <f t="shared" si="13"/>
        <v>10383.118328631941</v>
      </c>
      <c r="AE106" s="916">
        <f t="shared" si="13"/>
        <v>9435.7311391974963</v>
      </c>
      <c r="AF106" s="916">
        <f t="shared" si="13"/>
        <v>9395.4514306266483</v>
      </c>
      <c r="AG106" s="916">
        <f t="shared" si="13"/>
        <v>9395.4514306266483</v>
      </c>
      <c r="AH106" s="916">
        <f t="shared" si="13"/>
        <v>9435.7311391974963</v>
      </c>
      <c r="AI106" s="916">
        <f t="shared" si="13"/>
        <v>10383.118328631941</v>
      </c>
      <c r="AJ106" s="916">
        <f t="shared" si="13"/>
        <v>0</v>
      </c>
      <c r="AK106" s="916">
        <f t="shared" si="13"/>
        <v>0</v>
      </c>
      <c r="AL106" s="916">
        <f t="shared" si="13"/>
        <v>0</v>
      </c>
      <c r="AM106" s="916">
        <f t="shared" si="13"/>
        <v>0</v>
      </c>
      <c r="AN106" s="916">
        <f t="shared" si="13"/>
        <v>0</v>
      </c>
    </row>
    <row r="107" spans="2:41" x14ac:dyDescent="0.35">
      <c r="C107" s="2015" t="s">
        <v>2</v>
      </c>
      <c r="D107" s="2016"/>
      <c r="E107" s="811">
        <f t="shared" ref="E107:E114" si="14">SUM(F107:AN107)</f>
        <v>3754802.5234654825</v>
      </c>
      <c r="F107" s="917">
        <f t="shared" ref="F107:AN107" si="15">F101*$E$120</f>
        <v>177108.01497195842</v>
      </c>
      <c r="G107" s="917">
        <f t="shared" si="15"/>
        <v>139346.40598896716</v>
      </c>
      <c r="H107" s="917">
        <f t="shared" si="15"/>
        <v>127985.18650064673</v>
      </c>
      <c r="I107" s="917">
        <f t="shared" si="15"/>
        <v>127985.18650064673</v>
      </c>
      <c r="J107" s="917">
        <f t="shared" si="15"/>
        <v>141003.76220070323</v>
      </c>
      <c r="K107" s="917">
        <f t="shared" si="15"/>
        <v>118990.02818173805</v>
      </c>
      <c r="L107" s="917">
        <f t="shared" si="15"/>
        <v>118990.02818173805</v>
      </c>
      <c r="M107" s="917">
        <f t="shared" si="15"/>
        <v>119500.15626801329</v>
      </c>
      <c r="N107" s="917">
        <f t="shared" si="15"/>
        <v>118990.02818173805</v>
      </c>
      <c r="O107" s="917">
        <f t="shared" si="15"/>
        <v>131498.47579551933</v>
      </c>
      <c r="P107" s="917">
        <f t="shared" si="15"/>
        <v>119500.15626801329</v>
      </c>
      <c r="Q107" s="917">
        <f t="shared" si="15"/>
        <v>118990.02818173805</v>
      </c>
      <c r="R107" s="917">
        <f t="shared" si="15"/>
        <v>118990.02818173805</v>
      </c>
      <c r="S107" s="917">
        <f t="shared" si="15"/>
        <v>119500.15626801329</v>
      </c>
      <c r="T107" s="917">
        <f t="shared" si="15"/>
        <v>131498.47579551933</v>
      </c>
      <c r="U107" s="917">
        <f t="shared" si="15"/>
        <v>118990.02818173805</v>
      </c>
      <c r="V107" s="917">
        <f t="shared" si="15"/>
        <v>119500.15626801329</v>
      </c>
      <c r="W107" s="917">
        <f t="shared" si="15"/>
        <v>118990.02818173805</v>
      </c>
      <c r="X107" s="917">
        <f t="shared" si="15"/>
        <v>118990.02818173805</v>
      </c>
      <c r="Y107" s="917">
        <f t="shared" si="15"/>
        <v>132008.60388179455</v>
      </c>
      <c r="Z107" s="917">
        <f t="shared" si="15"/>
        <v>118990.02818173805</v>
      </c>
      <c r="AA107" s="917">
        <f t="shared" si="15"/>
        <v>118990.02818173805</v>
      </c>
      <c r="AB107" s="917">
        <f t="shared" si="15"/>
        <v>119500.15626801329</v>
      </c>
      <c r="AC107" s="917">
        <f t="shared" si="15"/>
        <v>118990.02818173805</v>
      </c>
      <c r="AD107" s="917">
        <f t="shared" si="15"/>
        <v>131498.47579551933</v>
      </c>
      <c r="AE107" s="917">
        <f t="shared" si="15"/>
        <v>119500.15626801329</v>
      </c>
      <c r="AF107" s="917">
        <f t="shared" si="15"/>
        <v>118990.02818173805</v>
      </c>
      <c r="AG107" s="917">
        <f t="shared" si="15"/>
        <v>118990.02818173805</v>
      </c>
      <c r="AH107" s="917">
        <f t="shared" si="15"/>
        <v>119500.15626801329</v>
      </c>
      <c r="AI107" s="917">
        <f t="shared" si="15"/>
        <v>131498.47579551933</v>
      </c>
      <c r="AJ107" s="917">
        <f t="shared" si="15"/>
        <v>0</v>
      </c>
      <c r="AK107" s="917">
        <f t="shared" si="15"/>
        <v>0</v>
      </c>
      <c r="AL107" s="917">
        <f t="shared" si="15"/>
        <v>0</v>
      </c>
      <c r="AM107" s="917">
        <f t="shared" si="15"/>
        <v>0</v>
      </c>
      <c r="AN107" s="917">
        <f t="shared" si="15"/>
        <v>0</v>
      </c>
    </row>
    <row r="108" spans="2:41" x14ac:dyDescent="0.35">
      <c r="C108" s="2015" t="s">
        <v>3</v>
      </c>
      <c r="D108" s="2016"/>
      <c r="E108" s="811">
        <f t="shared" si="14"/>
        <v>449801.72289187025</v>
      </c>
      <c r="F108" s="917">
        <f t="shared" ref="F108:AN108" si="16">F101*$E$121</f>
        <v>21216.426103501413</v>
      </c>
      <c r="G108" s="917">
        <f t="shared" si="16"/>
        <v>16692.822885071135</v>
      </c>
      <c r="H108" s="917">
        <f t="shared" si="16"/>
        <v>15331.820257619322</v>
      </c>
      <c r="I108" s="917">
        <f t="shared" si="16"/>
        <v>15331.820257619322</v>
      </c>
      <c r="J108" s="917">
        <f t="shared" si="16"/>
        <v>16891.363733711132</v>
      </c>
      <c r="K108" s="917">
        <f t="shared" si="16"/>
        <v>14254.256874659841</v>
      </c>
      <c r="L108" s="917">
        <f t="shared" si="16"/>
        <v>14254.256874659841</v>
      </c>
      <c r="M108" s="917">
        <f t="shared" si="16"/>
        <v>14315.367010457438</v>
      </c>
      <c r="N108" s="917">
        <f t="shared" si="16"/>
        <v>14254.256874659841</v>
      </c>
      <c r="O108" s="917">
        <f t="shared" si="16"/>
        <v>15752.690214954053</v>
      </c>
      <c r="P108" s="917">
        <f t="shared" si="16"/>
        <v>14315.367010457438</v>
      </c>
      <c r="Q108" s="917">
        <f t="shared" si="16"/>
        <v>14254.256874659841</v>
      </c>
      <c r="R108" s="917">
        <f t="shared" si="16"/>
        <v>14254.256874659841</v>
      </c>
      <c r="S108" s="917">
        <f t="shared" si="16"/>
        <v>14315.367010457438</v>
      </c>
      <c r="T108" s="917">
        <f t="shared" si="16"/>
        <v>15752.690214954053</v>
      </c>
      <c r="U108" s="917">
        <f t="shared" si="16"/>
        <v>14254.256874659841</v>
      </c>
      <c r="V108" s="917">
        <f t="shared" si="16"/>
        <v>14315.367010457438</v>
      </c>
      <c r="W108" s="917">
        <f t="shared" si="16"/>
        <v>14254.256874659841</v>
      </c>
      <c r="X108" s="917">
        <f t="shared" si="16"/>
        <v>14254.256874659841</v>
      </c>
      <c r="Y108" s="917">
        <f t="shared" si="16"/>
        <v>15813.80035075165</v>
      </c>
      <c r="Z108" s="917">
        <f t="shared" si="16"/>
        <v>14254.256874659841</v>
      </c>
      <c r="AA108" s="917">
        <f t="shared" si="16"/>
        <v>14254.256874659841</v>
      </c>
      <c r="AB108" s="917">
        <f t="shared" si="16"/>
        <v>14315.367010457438</v>
      </c>
      <c r="AC108" s="917">
        <f t="shared" si="16"/>
        <v>14254.256874659841</v>
      </c>
      <c r="AD108" s="917">
        <f t="shared" si="16"/>
        <v>15752.690214954053</v>
      </c>
      <c r="AE108" s="917">
        <f t="shared" si="16"/>
        <v>14315.367010457438</v>
      </c>
      <c r="AF108" s="917">
        <f t="shared" si="16"/>
        <v>14254.256874659841</v>
      </c>
      <c r="AG108" s="917">
        <f t="shared" si="16"/>
        <v>14254.256874659841</v>
      </c>
      <c r="AH108" s="917">
        <f t="shared" si="16"/>
        <v>14315.367010457438</v>
      </c>
      <c r="AI108" s="917">
        <f t="shared" si="16"/>
        <v>15752.690214954053</v>
      </c>
      <c r="AJ108" s="917">
        <f t="shared" si="16"/>
        <v>0</v>
      </c>
      <c r="AK108" s="917">
        <f t="shared" si="16"/>
        <v>0</v>
      </c>
      <c r="AL108" s="917">
        <f t="shared" si="16"/>
        <v>0</v>
      </c>
      <c r="AM108" s="917">
        <f t="shared" si="16"/>
        <v>0</v>
      </c>
      <c r="AN108" s="917">
        <f t="shared" si="16"/>
        <v>0</v>
      </c>
    </row>
    <row r="109" spans="2:41" x14ac:dyDescent="0.35">
      <c r="C109" s="2015" t="s">
        <v>4</v>
      </c>
      <c r="D109" s="2016"/>
      <c r="E109" s="811">
        <f t="shared" si="14"/>
        <v>1200188.195209265</v>
      </c>
      <c r="F109" s="917">
        <f t="shared" ref="F109:AN109" si="17">F101*$E$122</f>
        <v>56610.952911075059</v>
      </c>
      <c r="G109" s="917">
        <f t="shared" si="17"/>
        <v>44540.800872382664</v>
      </c>
      <c r="H109" s="917">
        <f t="shared" si="17"/>
        <v>40909.29124495259</v>
      </c>
      <c r="I109" s="917">
        <f t="shared" si="17"/>
        <v>40909.29124495259</v>
      </c>
      <c r="J109" s="917">
        <f t="shared" si="17"/>
        <v>45070.559587561787</v>
      </c>
      <c r="K109" s="917">
        <f t="shared" si="17"/>
        <v>38034.071373621366</v>
      </c>
      <c r="L109" s="917">
        <f t="shared" si="17"/>
        <v>38034.071373621366</v>
      </c>
      <c r="M109" s="917">
        <f t="shared" si="17"/>
        <v>38197.129138541357</v>
      </c>
      <c r="N109" s="917">
        <f t="shared" si="17"/>
        <v>38034.071373621366</v>
      </c>
      <c r="O109" s="917">
        <f t="shared" si="17"/>
        <v>42032.281951310557</v>
      </c>
      <c r="P109" s="917">
        <f t="shared" si="17"/>
        <v>38197.129138541357</v>
      </c>
      <c r="Q109" s="917">
        <f t="shared" si="17"/>
        <v>38034.071373621366</v>
      </c>
      <c r="R109" s="917">
        <f t="shared" si="17"/>
        <v>38034.071373621366</v>
      </c>
      <c r="S109" s="917">
        <f t="shared" si="17"/>
        <v>38197.129138541357</v>
      </c>
      <c r="T109" s="917">
        <f t="shared" si="17"/>
        <v>42032.281951310557</v>
      </c>
      <c r="U109" s="917">
        <f t="shared" si="17"/>
        <v>38034.071373621366</v>
      </c>
      <c r="V109" s="917">
        <f t="shared" si="17"/>
        <v>38197.129138541357</v>
      </c>
      <c r="W109" s="917">
        <f t="shared" si="17"/>
        <v>38034.071373621366</v>
      </c>
      <c r="X109" s="917">
        <f t="shared" si="17"/>
        <v>38034.071373621366</v>
      </c>
      <c r="Y109" s="917">
        <f t="shared" si="17"/>
        <v>42195.339716230555</v>
      </c>
      <c r="Z109" s="917">
        <f t="shared" si="17"/>
        <v>38034.071373621366</v>
      </c>
      <c r="AA109" s="917">
        <f t="shared" si="17"/>
        <v>38034.071373621366</v>
      </c>
      <c r="AB109" s="917">
        <f t="shared" si="17"/>
        <v>38197.129138541357</v>
      </c>
      <c r="AC109" s="917">
        <f t="shared" si="17"/>
        <v>38034.071373621366</v>
      </c>
      <c r="AD109" s="917">
        <f t="shared" si="17"/>
        <v>42032.281951310557</v>
      </c>
      <c r="AE109" s="917">
        <f t="shared" si="17"/>
        <v>38197.129138541357</v>
      </c>
      <c r="AF109" s="917">
        <f t="shared" si="17"/>
        <v>38034.071373621366</v>
      </c>
      <c r="AG109" s="917">
        <f t="shared" si="17"/>
        <v>38034.071373621366</v>
      </c>
      <c r="AH109" s="917">
        <f t="shared" si="17"/>
        <v>38197.129138541357</v>
      </c>
      <c r="AI109" s="917">
        <f t="shared" si="17"/>
        <v>42032.281951310557</v>
      </c>
      <c r="AJ109" s="917">
        <f t="shared" si="17"/>
        <v>0</v>
      </c>
      <c r="AK109" s="917">
        <f t="shared" si="17"/>
        <v>0</v>
      </c>
      <c r="AL109" s="917">
        <f t="shared" si="17"/>
        <v>0</v>
      </c>
      <c r="AM109" s="917">
        <f t="shared" si="17"/>
        <v>0</v>
      </c>
      <c r="AN109" s="917">
        <f t="shared" si="17"/>
        <v>0</v>
      </c>
    </row>
    <row r="110" spans="2:41" x14ac:dyDescent="0.35">
      <c r="C110" s="2015" t="s">
        <v>5</v>
      </c>
      <c r="D110" s="2016"/>
      <c r="E110" s="811">
        <f t="shared" si="14"/>
        <v>2606588.4192834669</v>
      </c>
      <c r="F110" s="917">
        <f t="shared" ref="F110:AN110" si="18">F101*$E$123</f>
        <v>122948.59660478587</v>
      </c>
      <c r="G110" s="917">
        <f t="shared" si="18"/>
        <v>96734.442317457098</v>
      </c>
      <c r="H110" s="917">
        <f t="shared" si="18"/>
        <v>88847.470109964954</v>
      </c>
      <c r="I110" s="917">
        <f t="shared" si="18"/>
        <v>88847.470109964954</v>
      </c>
      <c r="J110" s="917">
        <f t="shared" si="18"/>
        <v>97884.980989235672</v>
      </c>
      <c r="K110" s="917">
        <f t="shared" si="18"/>
        <v>82603.020406642419</v>
      </c>
      <c r="L110" s="917">
        <f t="shared" si="18"/>
        <v>82603.020406642419</v>
      </c>
      <c r="M110" s="917">
        <f t="shared" si="18"/>
        <v>82957.151936523529</v>
      </c>
      <c r="N110" s="917">
        <f t="shared" si="18"/>
        <v>82603.020406642419</v>
      </c>
      <c r="O110" s="917">
        <f t="shared" si="18"/>
        <v>91286.399756032042</v>
      </c>
      <c r="P110" s="917">
        <f t="shared" si="18"/>
        <v>82957.151936523529</v>
      </c>
      <c r="Q110" s="917">
        <f t="shared" si="18"/>
        <v>82603.020406642419</v>
      </c>
      <c r="R110" s="917">
        <f t="shared" si="18"/>
        <v>82603.020406642419</v>
      </c>
      <c r="S110" s="917">
        <f t="shared" si="18"/>
        <v>82957.151936523529</v>
      </c>
      <c r="T110" s="917">
        <f t="shared" si="18"/>
        <v>91286.399756032042</v>
      </c>
      <c r="U110" s="917">
        <f t="shared" si="18"/>
        <v>82603.020406642419</v>
      </c>
      <c r="V110" s="917">
        <f t="shared" si="18"/>
        <v>82957.151936523529</v>
      </c>
      <c r="W110" s="917">
        <f t="shared" si="18"/>
        <v>82603.020406642419</v>
      </c>
      <c r="X110" s="917">
        <f t="shared" si="18"/>
        <v>82603.020406642419</v>
      </c>
      <c r="Y110" s="917">
        <f t="shared" si="18"/>
        <v>91640.531285913152</v>
      </c>
      <c r="Z110" s="917">
        <f t="shared" si="18"/>
        <v>82603.020406642419</v>
      </c>
      <c r="AA110" s="917">
        <f t="shared" si="18"/>
        <v>82603.020406642419</v>
      </c>
      <c r="AB110" s="917">
        <f t="shared" si="18"/>
        <v>82957.151936523529</v>
      </c>
      <c r="AC110" s="917">
        <f t="shared" si="18"/>
        <v>82603.020406642419</v>
      </c>
      <c r="AD110" s="917">
        <f t="shared" si="18"/>
        <v>91286.399756032042</v>
      </c>
      <c r="AE110" s="917">
        <f t="shared" si="18"/>
        <v>82957.151936523529</v>
      </c>
      <c r="AF110" s="917">
        <f t="shared" si="18"/>
        <v>82603.020406642419</v>
      </c>
      <c r="AG110" s="917">
        <f t="shared" si="18"/>
        <v>82603.020406642419</v>
      </c>
      <c r="AH110" s="917">
        <f t="shared" si="18"/>
        <v>82957.151936523529</v>
      </c>
      <c r="AI110" s="917">
        <f t="shared" si="18"/>
        <v>91286.399756032042</v>
      </c>
      <c r="AJ110" s="917">
        <f t="shared" si="18"/>
        <v>0</v>
      </c>
      <c r="AK110" s="917">
        <f t="shared" si="18"/>
        <v>0</v>
      </c>
      <c r="AL110" s="917">
        <f t="shared" si="18"/>
        <v>0</v>
      </c>
      <c r="AM110" s="917">
        <f t="shared" si="18"/>
        <v>0</v>
      </c>
      <c r="AN110" s="917">
        <f t="shared" si="18"/>
        <v>0</v>
      </c>
    </row>
    <row r="111" spans="2:41" x14ac:dyDescent="0.35">
      <c r="C111" s="2015" t="s">
        <v>6</v>
      </c>
      <c r="D111" s="2016"/>
      <c r="E111" s="811">
        <f t="shared" si="14"/>
        <v>28854477.927592464</v>
      </c>
      <c r="F111" s="917">
        <f t="shared" ref="F111:AN111" si="19">F101*$E$124</f>
        <v>1361019.4615751724</v>
      </c>
      <c r="G111" s="917">
        <f t="shared" si="19"/>
        <v>1070833.3582845889</v>
      </c>
      <c r="H111" s="917">
        <f t="shared" si="19"/>
        <v>983525.95532329718</v>
      </c>
      <c r="I111" s="917">
        <f t="shared" si="19"/>
        <v>983525.95532329718</v>
      </c>
      <c r="J111" s="917">
        <f t="shared" si="19"/>
        <v>1083569.6201601028</v>
      </c>
      <c r="K111" s="917">
        <f t="shared" si="19"/>
        <v>914400.98921759671</v>
      </c>
      <c r="L111" s="917">
        <f t="shared" si="19"/>
        <v>914400.98921759671</v>
      </c>
      <c r="M111" s="917">
        <f t="shared" si="19"/>
        <v>918321.16331828118</v>
      </c>
      <c r="N111" s="917">
        <f t="shared" si="19"/>
        <v>914400.98921759671</v>
      </c>
      <c r="O111" s="917">
        <f t="shared" si="19"/>
        <v>1010524.4799537178</v>
      </c>
      <c r="P111" s="917">
        <f t="shared" si="19"/>
        <v>918321.16331828118</v>
      </c>
      <c r="Q111" s="917">
        <f t="shared" si="19"/>
        <v>914400.98921759671</v>
      </c>
      <c r="R111" s="917">
        <f t="shared" si="19"/>
        <v>914400.98921759671</v>
      </c>
      <c r="S111" s="917">
        <f t="shared" si="19"/>
        <v>918321.16331828118</v>
      </c>
      <c r="T111" s="917">
        <f t="shared" si="19"/>
        <v>1010524.4799537178</v>
      </c>
      <c r="U111" s="917">
        <f t="shared" si="19"/>
        <v>914400.98921759671</v>
      </c>
      <c r="V111" s="917">
        <f t="shared" si="19"/>
        <v>918321.16331828118</v>
      </c>
      <c r="W111" s="917">
        <f t="shared" si="19"/>
        <v>914400.98921759671</v>
      </c>
      <c r="X111" s="917">
        <f t="shared" si="19"/>
        <v>914400.98921759671</v>
      </c>
      <c r="Y111" s="917">
        <f t="shared" si="19"/>
        <v>1014444.6540544023</v>
      </c>
      <c r="Z111" s="917">
        <f t="shared" si="19"/>
        <v>914400.98921759671</v>
      </c>
      <c r="AA111" s="917">
        <f t="shared" si="19"/>
        <v>914400.98921759671</v>
      </c>
      <c r="AB111" s="917">
        <f t="shared" si="19"/>
        <v>918321.16331828118</v>
      </c>
      <c r="AC111" s="917">
        <f t="shared" si="19"/>
        <v>914400.98921759671</v>
      </c>
      <c r="AD111" s="917">
        <f t="shared" si="19"/>
        <v>1010524.4799537178</v>
      </c>
      <c r="AE111" s="917">
        <f t="shared" si="19"/>
        <v>918321.16331828118</v>
      </c>
      <c r="AF111" s="917">
        <f t="shared" si="19"/>
        <v>914400.98921759671</v>
      </c>
      <c r="AG111" s="917">
        <f t="shared" si="19"/>
        <v>914400.98921759671</v>
      </c>
      <c r="AH111" s="917">
        <f t="shared" si="19"/>
        <v>918321.16331828118</v>
      </c>
      <c r="AI111" s="917">
        <f t="shared" si="19"/>
        <v>1010524.4799537178</v>
      </c>
      <c r="AJ111" s="917">
        <f t="shared" si="19"/>
        <v>0</v>
      </c>
      <c r="AK111" s="917">
        <f t="shared" si="19"/>
        <v>0</v>
      </c>
      <c r="AL111" s="917">
        <f t="shared" si="19"/>
        <v>0</v>
      </c>
      <c r="AM111" s="917">
        <f t="shared" si="19"/>
        <v>0</v>
      </c>
      <c r="AN111" s="917">
        <f t="shared" si="19"/>
        <v>0</v>
      </c>
    </row>
    <row r="112" spans="2:41" x14ac:dyDescent="0.35">
      <c r="C112" s="2015" t="s">
        <v>7</v>
      </c>
      <c r="D112" s="2016"/>
      <c r="E112" s="811">
        <f t="shared" si="14"/>
        <v>2356127.49627674</v>
      </c>
      <c r="F112" s="917">
        <f t="shared" ref="F112:AN112" si="20">F101*$E$125</f>
        <v>111134.75642955737</v>
      </c>
      <c r="G112" s="917">
        <f t="shared" si="20"/>
        <v>87439.458295379911</v>
      </c>
      <c r="H112" s="917">
        <f t="shared" si="20"/>
        <v>80310.326613919067</v>
      </c>
      <c r="I112" s="917">
        <f t="shared" si="20"/>
        <v>80310.326613919067</v>
      </c>
      <c r="J112" s="917">
        <f t="shared" si="20"/>
        <v>88479.444424395391</v>
      </c>
      <c r="K112" s="917">
        <f t="shared" si="20"/>
        <v>74665.891329747974</v>
      </c>
      <c r="L112" s="917">
        <f t="shared" si="20"/>
        <v>74665.891329747974</v>
      </c>
      <c r="M112" s="917">
        <f t="shared" si="20"/>
        <v>74985.995197577169</v>
      </c>
      <c r="N112" s="917">
        <f t="shared" si="20"/>
        <v>74665.891329747974</v>
      </c>
      <c r="O112" s="917">
        <f t="shared" si="20"/>
        <v>82514.905272395117</v>
      </c>
      <c r="P112" s="917">
        <f t="shared" si="20"/>
        <v>74985.995197577169</v>
      </c>
      <c r="Q112" s="917">
        <f t="shared" si="20"/>
        <v>74665.891329747974</v>
      </c>
      <c r="R112" s="917">
        <f t="shared" si="20"/>
        <v>74665.891329747974</v>
      </c>
      <c r="S112" s="917">
        <f t="shared" si="20"/>
        <v>74985.995197577169</v>
      </c>
      <c r="T112" s="917">
        <f t="shared" si="20"/>
        <v>82514.905272395117</v>
      </c>
      <c r="U112" s="917">
        <f t="shared" si="20"/>
        <v>74665.891329747974</v>
      </c>
      <c r="V112" s="917">
        <f t="shared" si="20"/>
        <v>74985.995197577169</v>
      </c>
      <c r="W112" s="917">
        <f t="shared" si="20"/>
        <v>74665.891329747974</v>
      </c>
      <c r="X112" s="917">
        <f t="shared" si="20"/>
        <v>74665.891329747974</v>
      </c>
      <c r="Y112" s="917">
        <f t="shared" si="20"/>
        <v>82835.009140224312</v>
      </c>
      <c r="Z112" s="917">
        <f t="shared" si="20"/>
        <v>74665.891329747974</v>
      </c>
      <c r="AA112" s="917">
        <f t="shared" si="20"/>
        <v>74665.891329747974</v>
      </c>
      <c r="AB112" s="917">
        <f t="shared" si="20"/>
        <v>74985.995197577169</v>
      </c>
      <c r="AC112" s="917">
        <f t="shared" si="20"/>
        <v>74665.891329747974</v>
      </c>
      <c r="AD112" s="917">
        <f t="shared" si="20"/>
        <v>82514.905272395117</v>
      </c>
      <c r="AE112" s="917">
        <f t="shared" si="20"/>
        <v>74985.995197577169</v>
      </c>
      <c r="AF112" s="917">
        <f t="shared" si="20"/>
        <v>74665.891329747974</v>
      </c>
      <c r="AG112" s="917">
        <f t="shared" si="20"/>
        <v>74665.891329747974</v>
      </c>
      <c r="AH112" s="917">
        <f t="shared" si="20"/>
        <v>74985.995197577169</v>
      </c>
      <c r="AI112" s="917">
        <f t="shared" si="20"/>
        <v>82514.905272395117</v>
      </c>
      <c r="AJ112" s="917">
        <f t="shared" si="20"/>
        <v>0</v>
      </c>
      <c r="AK112" s="917">
        <f t="shared" si="20"/>
        <v>0</v>
      </c>
      <c r="AL112" s="917">
        <f t="shared" si="20"/>
        <v>0</v>
      </c>
      <c r="AM112" s="917">
        <f t="shared" si="20"/>
        <v>0</v>
      </c>
      <c r="AN112" s="917">
        <f t="shared" si="20"/>
        <v>0</v>
      </c>
    </row>
    <row r="113" spans="3:40" x14ac:dyDescent="0.35">
      <c r="C113" s="2015" t="s">
        <v>8</v>
      </c>
      <c r="D113" s="2016"/>
      <c r="E113" s="811">
        <f t="shared" si="14"/>
        <v>2146555.1165278908</v>
      </c>
      <c r="F113" s="917">
        <f t="shared" ref="F113:AN113" si="21">F101*$E$126</f>
        <v>101249.56328336465</v>
      </c>
      <c r="G113" s="917">
        <f t="shared" si="21"/>
        <v>79661.910014197827</v>
      </c>
      <c r="H113" s="917">
        <f t="shared" si="21"/>
        <v>73166.898979598263</v>
      </c>
      <c r="I113" s="917">
        <f t="shared" si="21"/>
        <v>73166.898979598263</v>
      </c>
      <c r="J113" s="917">
        <f t="shared" si="21"/>
        <v>80609.391655103915</v>
      </c>
      <c r="K113" s="917">
        <f t="shared" si="21"/>
        <v>68024.523849944031</v>
      </c>
      <c r="L113" s="917">
        <f t="shared" si="21"/>
        <v>68024.523849944031</v>
      </c>
      <c r="M113" s="917">
        <f t="shared" si="21"/>
        <v>68316.155179910231</v>
      </c>
      <c r="N113" s="917">
        <f t="shared" si="21"/>
        <v>68024.523849944031</v>
      </c>
      <c r="O113" s="917">
        <f t="shared" si="21"/>
        <v>75175.385195483483</v>
      </c>
      <c r="P113" s="917">
        <f t="shared" si="21"/>
        <v>68316.155179910231</v>
      </c>
      <c r="Q113" s="917">
        <f t="shared" si="21"/>
        <v>68024.523849944031</v>
      </c>
      <c r="R113" s="917">
        <f t="shared" si="21"/>
        <v>68024.523849944031</v>
      </c>
      <c r="S113" s="917">
        <f t="shared" si="21"/>
        <v>68316.155179910231</v>
      </c>
      <c r="T113" s="917">
        <f t="shared" si="21"/>
        <v>75175.385195483483</v>
      </c>
      <c r="U113" s="917">
        <f t="shared" si="21"/>
        <v>68024.523849944031</v>
      </c>
      <c r="V113" s="917">
        <f t="shared" si="21"/>
        <v>68316.155179910231</v>
      </c>
      <c r="W113" s="917">
        <f t="shared" si="21"/>
        <v>68024.523849944031</v>
      </c>
      <c r="X113" s="917">
        <f t="shared" si="21"/>
        <v>68024.523849944031</v>
      </c>
      <c r="Y113" s="917">
        <f t="shared" si="21"/>
        <v>75467.016525449682</v>
      </c>
      <c r="Z113" s="917">
        <f t="shared" si="21"/>
        <v>68024.523849944031</v>
      </c>
      <c r="AA113" s="917">
        <f t="shared" si="21"/>
        <v>68024.523849944031</v>
      </c>
      <c r="AB113" s="917">
        <f t="shared" si="21"/>
        <v>68316.155179910231</v>
      </c>
      <c r="AC113" s="917">
        <f t="shared" si="21"/>
        <v>68024.523849944031</v>
      </c>
      <c r="AD113" s="917">
        <f t="shared" si="21"/>
        <v>75175.385195483483</v>
      </c>
      <c r="AE113" s="917">
        <f t="shared" si="21"/>
        <v>68316.155179910231</v>
      </c>
      <c r="AF113" s="917">
        <f t="shared" si="21"/>
        <v>68024.523849944031</v>
      </c>
      <c r="AG113" s="917">
        <f t="shared" si="21"/>
        <v>68024.523849944031</v>
      </c>
      <c r="AH113" s="917">
        <f t="shared" si="21"/>
        <v>68316.155179910231</v>
      </c>
      <c r="AI113" s="917">
        <f t="shared" si="21"/>
        <v>75175.385195483483</v>
      </c>
      <c r="AJ113" s="917">
        <f t="shared" si="21"/>
        <v>0</v>
      </c>
      <c r="AK113" s="917">
        <f t="shared" si="21"/>
        <v>0</v>
      </c>
      <c r="AL113" s="917">
        <f t="shared" si="21"/>
        <v>0</v>
      </c>
      <c r="AM113" s="917">
        <f t="shared" si="21"/>
        <v>0</v>
      </c>
      <c r="AN113" s="917">
        <f t="shared" si="21"/>
        <v>0</v>
      </c>
    </row>
    <row r="114" spans="3:40" x14ac:dyDescent="0.35">
      <c r="C114" s="2015" t="s">
        <v>9</v>
      </c>
      <c r="D114" s="2016"/>
      <c r="E114" s="811">
        <f t="shared" si="14"/>
        <v>1761321.8561964289</v>
      </c>
      <c r="F114" s="917">
        <f t="shared" ref="F114:AN114" si="22">F101*$E$127</f>
        <v>83078.728036479239</v>
      </c>
      <c r="G114" s="917">
        <f t="shared" si="22"/>
        <v>65365.320524038238</v>
      </c>
      <c r="H114" s="917">
        <f t="shared" si="22"/>
        <v>60035.941928821274</v>
      </c>
      <c r="I114" s="917">
        <f t="shared" si="22"/>
        <v>60035.941928821274</v>
      </c>
      <c r="J114" s="917">
        <f t="shared" si="22"/>
        <v>66142.761601429302</v>
      </c>
      <c r="K114" s="917">
        <f t="shared" si="22"/>
        <v>55816.447335422949</v>
      </c>
      <c r="L114" s="917">
        <f t="shared" si="22"/>
        <v>55816.447335422949</v>
      </c>
      <c r="M114" s="917">
        <f t="shared" si="22"/>
        <v>56055.740811498217</v>
      </c>
      <c r="N114" s="917">
        <f t="shared" si="22"/>
        <v>55816.447335422949</v>
      </c>
      <c r="O114" s="917">
        <f t="shared" si="22"/>
        <v>61683.973531955708</v>
      </c>
      <c r="P114" s="917">
        <f t="shared" si="22"/>
        <v>56055.740811498217</v>
      </c>
      <c r="Q114" s="917">
        <f t="shared" si="22"/>
        <v>55816.447335422949</v>
      </c>
      <c r="R114" s="917">
        <f t="shared" si="22"/>
        <v>55816.447335422949</v>
      </c>
      <c r="S114" s="917">
        <f t="shared" si="22"/>
        <v>56055.740811498217</v>
      </c>
      <c r="T114" s="917">
        <f t="shared" si="22"/>
        <v>61683.973531955708</v>
      </c>
      <c r="U114" s="917">
        <f t="shared" si="22"/>
        <v>55816.447335422949</v>
      </c>
      <c r="V114" s="917">
        <f t="shared" si="22"/>
        <v>56055.740811498217</v>
      </c>
      <c r="W114" s="917">
        <f t="shared" si="22"/>
        <v>55816.447335422949</v>
      </c>
      <c r="X114" s="917">
        <f t="shared" si="22"/>
        <v>55816.447335422949</v>
      </c>
      <c r="Y114" s="917">
        <f t="shared" si="22"/>
        <v>61923.267008030976</v>
      </c>
      <c r="Z114" s="917">
        <f t="shared" si="22"/>
        <v>55816.447335422949</v>
      </c>
      <c r="AA114" s="917">
        <f t="shared" si="22"/>
        <v>55816.447335422949</v>
      </c>
      <c r="AB114" s="917">
        <f t="shared" si="22"/>
        <v>56055.740811498217</v>
      </c>
      <c r="AC114" s="917">
        <f t="shared" si="22"/>
        <v>55816.447335422949</v>
      </c>
      <c r="AD114" s="917">
        <f t="shared" si="22"/>
        <v>61683.973531955708</v>
      </c>
      <c r="AE114" s="917">
        <f t="shared" si="22"/>
        <v>56055.740811498217</v>
      </c>
      <c r="AF114" s="917">
        <f t="shared" si="22"/>
        <v>55816.447335422949</v>
      </c>
      <c r="AG114" s="917">
        <f t="shared" si="22"/>
        <v>55816.447335422949</v>
      </c>
      <c r="AH114" s="917">
        <f t="shared" si="22"/>
        <v>56055.740811498217</v>
      </c>
      <c r="AI114" s="917">
        <f t="shared" si="22"/>
        <v>61683.973531955708</v>
      </c>
      <c r="AJ114" s="917">
        <f t="shared" si="22"/>
        <v>0</v>
      </c>
      <c r="AK114" s="917">
        <f t="shared" si="22"/>
        <v>0</v>
      </c>
      <c r="AL114" s="917">
        <f t="shared" si="22"/>
        <v>0</v>
      </c>
      <c r="AM114" s="917">
        <f t="shared" si="22"/>
        <v>0</v>
      </c>
      <c r="AN114" s="917">
        <f t="shared" si="22"/>
        <v>0</v>
      </c>
    </row>
    <row r="115" spans="3:40" x14ac:dyDescent="0.35">
      <c r="C115" s="800" t="s">
        <v>455</v>
      </c>
      <c r="D115" s="861"/>
      <c r="E115" s="801">
        <f t="shared" ref="E115:AN115" si="23">SUM(E106:E114)</f>
        <v>43426342.427000001</v>
      </c>
      <c r="F115" s="801">
        <f t="shared" si="23"/>
        <v>2048350.9470000002</v>
      </c>
      <c r="G115" s="801">
        <f t="shared" si="23"/>
        <v>1611617.3100000003</v>
      </c>
      <c r="H115" s="801">
        <f t="shared" si="23"/>
        <v>1480218.6</v>
      </c>
      <c r="I115" s="801">
        <f t="shared" si="23"/>
        <v>1480218.6</v>
      </c>
      <c r="J115" s="801">
        <f t="shared" si="23"/>
        <v>1630785.54</v>
      </c>
      <c r="K115" s="801">
        <f t="shared" si="23"/>
        <v>1376184.6800000002</v>
      </c>
      <c r="L115" s="801">
        <f t="shared" si="23"/>
        <v>1376184.6800000002</v>
      </c>
      <c r="M115" s="801">
        <f t="shared" si="23"/>
        <v>1382084.5899999996</v>
      </c>
      <c r="N115" s="801">
        <f t="shared" si="23"/>
        <v>1376184.6800000002</v>
      </c>
      <c r="O115" s="801">
        <f t="shared" si="23"/>
        <v>1520851.71</v>
      </c>
      <c r="P115" s="801">
        <f t="shared" si="23"/>
        <v>1382084.5899999996</v>
      </c>
      <c r="Q115" s="801">
        <f t="shared" si="23"/>
        <v>1376184.6800000002</v>
      </c>
      <c r="R115" s="801">
        <f t="shared" si="23"/>
        <v>1376184.6800000002</v>
      </c>
      <c r="S115" s="801">
        <f t="shared" si="23"/>
        <v>1382084.5899999996</v>
      </c>
      <c r="T115" s="801">
        <f t="shared" si="23"/>
        <v>1520851.71</v>
      </c>
      <c r="U115" s="801">
        <f t="shared" si="23"/>
        <v>1376184.6800000002</v>
      </c>
      <c r="V115" s="801">
        <f t="shared" si="23"/>
        <v>1382084.5899999996</v>
      </c>
      <c r="W115" s="801">
        <f t="shared" si="23"/>
        <v>1376184.6800000002</v>
      </c>
      <c r="X115" s="801">
        <f t="shared" si="23"/>
        <v>1376184.6800000002</v>
      </c>
      <c r="Y115" s="801">
        <f t="shared" si="23"/>
        <v>1526751.6199999999</v>
      </c>
      <c r="Z115" s="801">
        <f t="shared" si="23"/>
        <v>1376184.6800000002</v>
      </c>
      <c r="AA115" s="801">
        <f t="shared" si="23"/>
        <v>1376184.6800000002</v>
      </c>
      <c r="AB115" s="801">
        <f t="shared" si="23"/>
        <v>1382084.5899999996</v>
      </c>
      <c r="AC115" s="801">
        <f t="shared" si="23"/>
        <v>1376184.6800000002</v>
      </c>
      <c r="AD115" s="801">
        <f t="shared" si="23"/>
        <v>1520851.71</v>
      </c>
      <c r="AE115" s="801">
        <f t="shared" si="23"/>
        <v>1382084.5899999996</v>
      </c>
      <c r="AF115" s="801">
        <f t="shared" si="23"/>
        <v>1376184.6800000002</v>
      </c>
      <c r="AG115" s="801">
        <f t="shared" si="23"/>
        <v>1376184.6800000002</v>
      </c>
      <c r="AH115" s="801">
        <f t="shared" si="23"/>
        <v>1382084.5899999996</v>
      </c>
      <c r="AI115" s="801">
        <f t="shared" si="23"/>
        <v>1520851.71</v>
      </c>
      <c r="AJ115" s="801">
        <f t="shared" si="23"/>
        <v>0</v>
      </c>
      <c r="AK115" s="801">
        <f t="shared" si="23"/>
        <v>0</v>
      </c>
      <c r="AL115" s="801">
        <f t="shared" si="23"/>
        <v>0</v>
      </c>
      <c r="AM115" s="801">
        <f t="shared" si="23"/>
        <v>0</v>
      </c>
      <c r="AN115" s="801">
        <f t="shared" si="23"/>
        <v>0</v>
      </c>
    </row>
    <row r="116" spans="3:40" x14ac:dyDescent="0.35">
      <c r="C116" s="280"/>
      <c r="D116" s="280"/>
      <c r="E116" s="527"/>
      <c r="F116" s="527"/>
      <c r="G116" s="527"/>
      <c r="H116" s="527"/>
      <c r="I116" s="527"/>
      <c r="J116" s="527"/>
      <c r="K116" s="527"/>
      <c r="L116" s="527"/>
      <c r="M116" s="527"/>
      <c r="N116" s="527"/>
      <c r="O116" s="527"/>
      <c r="P116" s="527"/>
      <c r="Q116" s="527"/>
      <c r="R116" s="527"/>
      <c r="S116" s="527"/>
      <c r="T116" s="527"/>
      <c r="U116" s="527"/>
      <c r="V116" s="527"/>
      <c r="W116" s="527"/>
      <c r="X116" s="527"/>
      <c r="Y116" s="527"/>
      <c r="Z116" s="527"/>
      <c r="AA116" s="527"/>
      <c r="AB116" s="527"/>
      <c r="AC116" s="527"/>
      <c r="AD116" s="527"/>
      <c r="AE116" s="527"/>
      <c r="AF116" s="527"/>
      <c r="AG116" s="527"/>
      <c r="AH116" s="527"/>
      <c r="AI116" s="527"/>
      <c r="AJ116" s="527"/>
      <c r="AK116" s="527"/>
      <c r="AL116" s="527"/>
      <c r="AM116" s="527"/>
      <c r="AN116" s="527"/>
    </row>
    <row r="117" spans="3:40" x14ac:dyDescent="0.35">
      <c r="C117" s="77" t="s">
        <v>839</v>
      </c>
    </row>
    <row r="118" spans="3:40" x14ac:dyDescent="0.35">
      <c r="C118" s="862" t="s">
        <v>68</v>
      </c>
      <c r="D118" s="892"/>
      <c r="E118" s="802" t="s">
        <v>176</v>
      </c>
      <c r="F118" s="246"/>
      <c r="G118" s="1014"/>
      <c r="H118" s="1014"/>
      <c r="I118" s="1014"/>
      <c r="J118" s="1014"/>
      <c r="K118" s="1014"/>
      <c r="L118" s="1014"/>
      <c r="M118" s="1014"/>
      <c r="N118" s="1014"/>
      <c r="O118" s="1014"/>
      <c r="P118" s="1014"/>
      <c r="Q118" s="1014"/>
      <c r="R118" s="1014"/>
      <c r="S118" s="1014"/>
      <c r="T118" s="1014"/>
      <c r="U118" s="1014"/>
      <c r="V118" s="1014"/>
      <c r="W118" s="1014"/>
      <c r="X118" s="1014"/>
      <c r="Y118" s="1014"/>
      <c r="Z118" s="1014"/>
      <c r="AA118" s="1014"/>
      <c r="AB118" s="1014"/>
      <c r="AC118" s="1014"/>
      <c r="AD118" s="1014"/>
      <c r="AE118" s="1014"/>
      <c r="AF118" s="1014"/>
      <c r="AG118" s="1014"/>
      <c r="AH118" s="1014"/>
      <c r="AI118" s="1014"/>
      <c r="AJ118" s="1014"/>
      <c r="AK118" s="1014"/>
      <c r="AL118" s="1014"/>
      <c r="AM118" s="1014"/>
      <c r="AN118" s="1014"/>
    </row>
    <row r="119" spans="3:40" x14ac:dyDescent="0.35">
      <c r="C119" s="2055" t="s">
        <v>1</v>
      </c>
      <c r="D119" s="2056"/>
      <c r="E119" s="1067">
        <f>'Premissas Gerais'!G165</f>
        <v>6.8271733926195486E-3</v>
      </c>
      <c r="F119" s="246"/>
      <c r="G119" s="1034"/>
      <c r="H119" s="1034"/>
      <c r="I119" s="1034"/>
      <c r="J119" s="1034"/>
      <c r="K119" s="1034"/>
      <c r="L119" s="1034"/>
      <c r="M119" s="1034"/>
      <c r="N119" s="1034"/>
      <c r="O119" s="1034"/>
      <c r="P119" s="1034"/>
      <c r="Q119" s="1034"/>
      <c r="R119" s="1034"/>
      <c r="S119" s="1034"/>
      <c r="T119" s="1034"/>
      <c r="U119" s="1034"/>
      <c r="V119" s="1034"/>
      <c r="W119" s="1034"/>
      <c r="X119" s="1034"/>
      <c r="Y119" s="1034"/>
      <c r="Z119" s="1034"/>
      <c r="AA119" s="1034"/>
      <c r="AB119" s="1034"/>
      <c r="AC119" s="1034"/>
      <c r="AD119" s="1034"/>
      <c r="AE119" s="1034"/>
      <c r="AF119" s="1034"/>
      <c r="AG119" s="1034"/>
      <c r="AH119" s="1034"/>
      <c r="AI119" s="1034"/>
      <c r="AJ119" s="1034"/>
      <c r="AK119" s="1034"/>
      <c r="AL119" s="1034"/>
      <c r="AM119" s="1034"/>
      <c r="AN119" s="1034"/>
    </row>
    <row r="120" spans="3:40" x14ac:dyDescent="0.35">
      <c r="C120" s="2053" t="s">
        <v>2</v>
      </c>
      <c r="D120" s="2054"/>
      <c r="E120" s="1068">
        <f>'Premissas Gerais'!G166</f>
        <v>8.6463706442174645E-2</v>
      </c>
      <c r="F120" s="246"/>
      <c r="G120" s="1034"/>
      <c r="H120" s="1034"/>
      <c r="I120" s="1034"/>
      <c r="J120" s="1034"/>
      <c r="K120" s="1034"/>
      <c r="L120" s="1034"/>
      <c r="M120" s="1034"/>
      <c r="N120" s="1034"/>
      <c r="O120" s="1034"/>
      <c r="P120" s="1034"/>
      <c r="Q120" s="1034"/>
      <c r="R120" s="1034"/>
      <c r="S120" s="1034"/>
      <c r="T120" s="1034"/>
      <c r="U120" s="1034"/>
      <c r="V120" s="1034"/>
      <c r="W120" s="1034"/>
      <c r="X120" s="1034"/>
      <c r="Y120" s="1034"/>
      <c r="Z120" s="1034"/>
      <c r="AA120" s="1034"/>
      <c r="AB120" s="1034"/>
      <c r="AC120" s="1034"/>
      <c r="AD120" s="1034"/>
      <c r="AE120" s="1034"/>
      <c r="AF120" s="1034"/>
      <c r="AG120" s="1034"/>
      <c r="AH120" s="1034"/>
      <c r="AI120" s="1034"/>
      <c r="AJ120" s="1034"/>
      <c r="AK120" s="1034"/>
      <c r="AL120" s="1034"/>
      <c r="AM120" s="1034"/>
      <c r="AN120" s="1034"/>
    </row>
    <row r="121" spans="3:40" x14ac:dyDescent="0.35">
      <c r="C121" s="2053" t="s">
        <v>3</v>
      </c>
      <c r="D121" s="2054"/>
      <c r="E121" s="1068">
        <f>'Premissas Gerais'!G167</f>
        <v>1.0357808135649236E-2</v>
      </c>
      <c r="F121" s="246"/>
      <c r="G121" s="1034"/>
      <c r="H121" s="1034"/>
      <c r="I121" s="1034"/>
      <c r="J121" s="1034"/>
      <c r="K121" s="1034"/>
      <c r="L121" s="1034"/>
      <c r="M121" s="1034"/>
      <c r="N121" s="1034"/>
      <c r="O121" s="1034"/>
      <c r="P121" s="1034"/>
      <c r="Q121" s="1034"/>
      <c r="R121" s="1034"/>
      <c r="S121" s="1034"/>
      <c r="T121" s="1034"/>
      <c r="U121" s="1034"/>
      <c r="V121" s="1034"/>
      <c r="W121" s="1034"/>
      <c r="X121" s="1034"/>
      <c r="Y121" s="1034"/>
      <c r="Z121" s="1034"/>
      <c r="AA121" s="1034"/>
      <c r="AB121" s="1034"/>
      <c r="AC121" s="1034"/>
      <c r="AD121" s="1034"/>
      <c r="AE121" s="1034"/>
      <c r="AF121" s="1034"/>
      <c r="AG121" s="1034"/>
      <c r="AH121" s="1034"/>
      <c r="AI121" s="1034"/>
      <c r="AJ121" s="1034"/>
      <c r="AK121" s="1034"/>
      <c r="AL121" s="1034"/>
      <c r="AM121" s="1034"/>
      <c r="AN121" s="1034"/>
    </row>
    <row r="122" spans="3:40" x14ac:dyDescent="0.35">
      <c r="C122" s="2053" t="s">
        <v>4</v>
      </c>
      <c r="D122" s="2054"/>
      <c r="E122" s="1068">
        <f>'Premissas Gerais'!G168</f>
        <v>2.7637330894877687E-2</v>
      </c>
      <c r="F122" s="246"/>
      <c r="G122" s="1034"/>
      <c r="H122" s="1034"/>
      <c r="I122" s="1034"/>
      <c r="J122" s="1034"/>
      <c r="K122" s="1034"/>
      <c r="L122" s="1034"/>
      <c r="M122" s="1034"/>
      <c r="N122" s="1034"/>
      <c r="O122" s="1034"/>
      <c r="P122" s="1034"/>
      <c r="Q122" s="1034"/>
      <c r="R122" s="1034"/>
      <c r="S122" s="1034"/>
      <c r="T122" s="1034"/>
      <c r="U122" s="1034"/>
      <c r="V122" s="1034"/>
      <c r="W122" s="1034"/>
      <c r="X122" s="1034"/>
      <c r="Y122" s="1034"/>
      <c r="Z122" s="1034"/>
      <c r="AA122" s="1034"/>
      <c r="AB122" s="1034"/>
      <c r="AC122" s="1034"/>
      <c r="AD122" s="1034"/>
      <c r="AE122" s="1034"/>
      <c r="AF122" s="1034"/>
      <c r="AG122" s="1034"/>
      <c r="AH122" s="1034"/>
      <c r="AI122" s="1034"/>
      <c r="AJ122" s="1034"/>
      <c r="AK122" s="1034"/>
      <c r="AL122" s="1034"/>
      <c r="AM122" s="1034"/>
      <c r="AN122" s="1034"/>
    </row>
    <row r="123" spans="3:40" x14ac:dyDescent="0.35">
      <c r="C123" s="2053" t="s">
        <v>5</v>
      </c>
      <c r="D123" s="2054"/>
      <c r="E123" s="1068">
        <f>'Premissas Gerais'!G169</f>
        <v>6.0023208808459072E-2</v>
      </c>
      <c r="F123" s="246"/>
      <c r="G123" s="1034"/>
      <c r="H123" s="1034"/>
      <c r="I123" s="1034"/>
      <c r="J123" s="1034"/>
      <c r="K123" s="1034"/>
      <c r="L123" s="1034"/>
      <c r="M123" s="1034"/>
      <c r="N123" s="1034"/>
      <c r="O123" s="1034"/>
      <c r="P123" s="1034"/>
      <c r="Q123" s="1034"/>
      <c r="R123" s="1034"/>
      <c r="S123" s="1034"/>
      <c r="T123" s="1034"/>
      <c r="U123" s="1034"/>
      <c r="V123" s="1034"/>
      <c r="W123" s="1034"/>
      <c r="X123" s="1034"/>
      <c r="Y123" s="1034"/>
      <c r="Z123" s="1034"/>
      <c r="AA123" s="1034"/>
      <c r="AB123" s="1034"/>
      <c r="AC123" s="1034"/>
      <c r="AD123" s="1034"/>
      <c r="AE123" s="1034"/>
      <c r="AF123" s="1034"/>
      <c r="AG123" s="1034"/>
      <c r="AH123" s="1034"/>
      <c r="AI123" s="1034"/>
      <c r="AJ123" s="1034"/>
      <c r="AK123" s="1034"/>
      <c r="AL123" s="1034"/>
      <c r="AM123" s="1034"/>
      <c r="AN123" s="1034"/>
    </row>
    <row r="124" spans="3:40" x14ac:dyDescent="0.35">
      <c r="C124" s="2053" t="s">
        <v>6</v>
      </c>
      <c r="D124" s="2054"/>
      <c r="E124" s="1068">
        <f>'Premissas Gerais'!G170</f>
        <v>0.66444642387502584</v>
      </c>
      <c r="F124" s="246"/>
      <c r="G124" s="1034"/>
      <c r="H124" s="1034"/>
      <c r="I124" s="1034"/>
      <c r="J124" s="1034"/>
      <c r="K124" s="1034"/>
      <c r="L124" s="1034"/>
      <c r="M124" s="1034"/>
      <c r="N124" s="1034"/>
      <c r="O124" s="1034"/>
      <c r="P124" s="1034"/>
      <c r="Q124" s="1034"/>
      <c r="R124" s="1034"/>
      <c r="S124" s="1034"/>
      <c r="T124" s="1034"/>
      <c r="U124" s="1034"/>
      <c r="V124" s="1034"/>
      <c r="W124" s="1034"/>
      <c r="X124" s="1034"/>
      <c r="Y124" s="1034"/>
      <c r="Z124" s="1034"/>
      <c r="AA124" s="1034"/>
      <c r="AB124" s="1034"/>
      <c r="AC124" s="1034"/>
      <c r="AD124" s="1034"/>
      <c r="AE124" s="1034"/>
      <c r="AF124" s="1034"/>
      <c r="AG124" s="1034"/>
      <c r="AH124" s="1034"/>
      <c r="AI124" s="1034"/>
      <c r="AJ124" s="1034"/>
      <c r="AK124" s="1034"/>
      <c r="AL124" s="1034"/>
      <c r="AM124" s="1034"/>
      <c r="AN124" s="1034"/>
    </row>
    <row r="125" spans="3:40" x14ac:dyDescent="0.35">
      <c r="C125" s="2053" t="s">
        <v>7</v>
      </c>
      <c r="D125" s="2054"/>
      <c r="E125" s="1068">
        <f>'Premissas Gerais'!G171</f>
        <v>5.4255720482041685E-2</v>
      </c>
      <c r="F125" s="246"/>
      <c r="G125" s="1034"/>
      <c r="H125" s="1034"/>
      <c r="I125" s="1034"/>
      <c r="J125" s="1034"/>
      <c r="K125" s="1034"/>
      <c r="L125" s="1034"/>
      <c r="M125" s="1034"/>
      <c r="N125" s="1034"/>
      <c r="O125" s="1034"/>
      <c r="P125" s="1034"/>
      <c r="Q125" s="1034"/>
      <c r="R125" s="1034"/>
      <c r="S125" s="1034"/>
      <c r="T125" s="1034"/>
      <c r="U125" s="1034"/>
      <c r="V125" s="1034"/>
      <c r="W125" s="1034"/>
      <c r="X125" s="1034"/>
      <c r="Y125" s="1034"/>
      <c r="Z125" s="1034"/>
      <c r="AA125" s="1034"/>
      <c r="AB125" s="1034"/>
      <c r="AC125" s="1034"/>
      <c r="AD125" s="1034"/>
      <c r="AE125" s="1034"/>
      <c r="AF125" s="1034"/>
      <c r="AG125" s="1034"/>
      <c r="AH125" s="1034"/>
      <c r="AI125" s="1034"/>
      <c r="AJ125" s="1034"/>
      <c r="AK125" s="1034"/>
      <c r="AL125" s="1034"/>
      <c r="AM125" s="1034"/>
      <c r="AN125" s="1034"/>
    </row>
    <row r="126" spans="3:40" x14ac:dyDescent="0.35">
      <c r="C126" s="2053" t="s">
        <v>8</v>
      </c>
      <c r="D126" s="2054"/>
      <c r="E126" s="1068">
        <f>'Premissas Gerais'!G172</f>
        <v>4.9429792991115142E-2</v>
      </c>
      <c r="F126" s="246"/>
      <c r="G126" s="1034"/>
      <c r="H126" s="1034"/>
      <c r="I126" s="1034"/>
      <c r="J126" s="1034"/>
      <c r="K126" s="1034"/>
      <c r="L126" s="1034"/>
      <c r="M126" s="1034"/>
      <c r="N126" s="1034"/>
      <c r="O126" s="1034"/>
      <c r="P126" s="1034"/>
      <c r="Q126" s="1034"/>
      <c r="R126" s="1034"/>
      <c r="S126" s="1034"/>
      <c r="T126" s="1034"/>
      <c r="U126" s="1034"/>
      <c r="V126" s="1034"/>
      <c r="W126" s="1034"/>
      <c r="X126" s="1034"/>
      <c r="Y126" s="1034"/>
      <c r="Z126" s="1034"/>
      <c r="AA126" s="1034"/>
      <c r="AB126" s="1034"/>
      <c r="AC126" s="1034"/>
      <c r="AD126" s="1034"/>
      <c r="AE126" s="1034"/>
      <c r="AF126" s="1034"/>
      <c r="AG126" s="1034"/>
      <c r="AH126" s="1034"/>
      <c r="AI126" s="1034"/>
      <c r="AJ126" s="1034"/>
      <c r="AK126" s="1034"/>
      <c r="AL126" s="1034"/>
      <c r="AM126" s="1034"/>
      <c r="AN126" s="1034"/>
    </row>
    <row r="127" spans="3:40" x14ac:dyDescent="0.35">
      <c r="C127" s="2053" t="s">
        <v>9</v>
      </c>
      <c r="D127" s="2054"/>
      <c r="E127" s="1068">
        <f>'Premissas Gerais'!G173</f>
        <v>4.0558834978037216E-2</v>
      </c>
      <c r="F127" s="246"/>
      <c r="G127" s="1034"/>
      <c r="H127" s="1034"/>
      <c r="I127" s="1034"/>
      <c r="J127" s="1034"/>
      <c r="K127" s="1034"/>
      <c r="L127" s="1034"/>
      <c r="M127" s="1034"/>
      <c r="N127" s="1034"/>
      <c r="O127" s="1034"/>
      <c r="P127" s="1034"/>
      <c r="Q127" s="1034"/>
      <c r="R127" s="1034"/>
      <c r="S127" s="1034"/>
      <c r="T127" s="1034"/>
      <c r="U127" s="1034"/>
      <c r="V127" s="1034"/>
      <c r="W127" s="1034"/>
      <c r="X127" s="1034"/>
      <c r="Y127" s="1034"/>
      <c r="Z127" s="1034"/>
      <c r="AA127" s="1034"/>
      <c r="AB127" s="1034"/>
      <c r="AC127" s="1034"/>
      <c r="AD127" s="1034"/>
      <c r="AE127" s="1034"/>
      <c r="AF127" s="1034"/>
      <c r="AG127" s="1034"/>
      <c r="AH127" s="1034"/>
      <c r="AI127" s="1034"/>
      <c r="AJ127" s="1034"/>
      <c r="AK127" s="1034"/>
      <c r="AL127" s="1034"/>
      <c r="AM127" s="1034"/>
      <c r="AN127" s="1034"/>
    </row>
    <row r="128" spans="3:40" x14ac:dyDescent="0.35">
      <c r="C128" s="800" t="s">
        <v>455</v>
      </c>
      <c r="D128" s="893"/>
      <c r="E128" s="891">
        <f>SUM(E119:E127)</f>
        <v>1</v>
      </c>
      <c r="F128" s="246"/>
      <c r="G128" s="1035"/>
      <c r="H128" s="1035"/>
      <c r="I128" s="1035"/>
      <c r="J128" s="1035"/>
      <c r="K128" s="1035"/>
      <c r="L128" s="1035"/>
      <c r="M128" s="1035"/>
      <c r="N128" s="1035"/>
      <c r="O128" s="1035"/>
      <c r="P128" s="1035"/>
      <c r="Q128" s="1035"/>
      <c r="R128" s="1035"/>
      <c r="S128" s="1035"/>
      <c r="T128" s="1035"/>
      <c r="U128" s="1035"/>
      <c r="V128" s="1035"/>
      <c r="W128" s="1035"/>
      <c r="X128" s="1035"/>
      <c r="Y128" s="1035"/>
      <c r="Z128" s="1035"/>
      <c r="AA128" s="1035"/>
      <c r="AB128" s="1035"/>
      <c r="AC128" s="1035"/>
      <c r="AD128" s="1035"/>
      <c r="AE128" s="1035"/>
      <c r="AF128" s="1035"/>
      <c r="AG128" s="1035"/>
      <c r="AH128" s="1035"/>
      <c r="AI128" s="1035"/>
      <c r="AJ128" s="1035"/>
      <c r="AK128" s="1035"/>
      <c r="AL128" s="1035"/>
      <c r="AM128" s="1035"/>
      <c r="AN128" s="1035"/>
    </row>
  </sheetData>
  <sheetProtection algorithmName="SHA-512" hashValue="V1LKQcZ6vSMDAdB4EXp2bwbrb5WUi/2VNM0P822M6KkKl7XsLBo+72fiQqfqGKJS7B4lQ7/ZzoD8xNZjWx2PEA==" saltValue="iEB1u+Ab+TZzrv64X6SXVw==" spinCount="100000" sheet="1" objects="1" scenarios="1"/>
  <mergeCells count="38">
    <mergeCell ref="C126:D126"/>
    <mergeCell ref="C127:D127"/>
    <mergeCell ref="C112:D112"/>
    <mergeCell ref="C95:D95"/>
    <mergeCell ref="C106:D106"/>
    <mergeCell ref="C107:D107"/>
    <mergeCell ref="C108:D108"/>
    <mergeCell ref="C109:D109"/>
    <mergeCell ref="C110:D110"/>
    <mergeCell ref="C111:D111"/>
    <mergeCell ref="C99:D99"/>
    <mergeCell ref="C97:D97"/>
    <mergeCell ref="C122:D122"/>
    <mergeCell ref="C123:D123"/>
    <mergeCell ref="C124:D124"/>
    <mergeCell ref="C125:D125"/>
    <mergeCell ref="C113:D113"/>
    <mergeCell ref="C114:D114"/>
    <mergeCell ref="C119:D119"/>
    <mergeCell ref="C120:D120"/>
    <mergeCell ref="C121:D121"/>
    <mergeCell ref="C9:G9"/>
    <mergeCell ref="C10:G10"/>
    <mergeCell ref="C31:G31"/>
    <mergeCell ref="C56:E56"/>
    <mergeCell ref="C28:G28"/>
    <mergeCell ref="C29:G29"/>
    <mergeCell ref="C98:D98"/>
    <mergeCell ref="C14:H14"/>
    <mergeCell ref="C65:G65"/>
    <mergeCell ref="C66:G66"/>
    <mergeCell ref="C78:E78"/>
    <mergeCell ref="G72:H72"/>
    <mergeCell ref="G73:H73"/>
    <mergeCell ref="G74:H74"/>
    <mergeCell ref="G75:H75"/>
    <mergeCell ref="G76:H76"/>
    <mergeCell ref="C41:E41"/>
  </mergeCells>
  <phoneticPr fontId="96" type="noConversion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52982-9D21-44EE-BB99-C5CE8DD2D8E6}">
  <sheetPr codeName="Planilha33"/>
  <dimension ref="B3:G61"/>
  <sheetViews>
    <sheetView showGridLines="0" topLeftCell="A15" workbookViewId="0">
      <selection activeCell="E35" sqref="E35"/>
    </sheetView>
  </sheetViews>
  <sheetFormatPr defaultColWidth="8.81640625" defaultRowHeight="14.5" x14ac:dyDescent="0.35"/>
  <cols>
    <col min="2" max="2" width="51.6328125" customWidth="1"/>
    <col min="3" max="3" width="15.08984375" bestFit="1" customWidth="1"/>
    <col min="4" max="4" width="15.453125" customWidth="1"/>
    <col min="5" max="5" width="13.453125" customWidth="1"/>
    <col min="6" max="6" width="16.36328125" customWidth="1"/>
    <col min="9" max="9" width="11.81640625" customWidth="1"/>
  </cols>
  <sheetData>
    <row r="3" spans="2:7" ht="21" x14ac:dyDescent="0.5">
      <c r="B3" s="1548" t="s">
        <v>1154</v>
      </c>
    </row>
    <row r="5" spans="2:7" ht="16.5" x14ac:dyDescent="0.35">
      <c r="B5" s="1567" t="s">
        <v>1155</v>
      </c>
      <c r="C5" s="1568" t="s">
        <v>1156</v>
      </c>
      <c r="D5" s="1568" t="s">
        <v>1157</v>
      </c>
      <c r="E5" s="1568" t="s">
        <v>1158</v>
      </c>
      <c r="F5" s="1568" t="s">
        <v>1159</v>
      </c>
      <c r="G5" s="1569" t="s">
        <v>327</v>
      </c>
    </row>
    <row r="6" spans="2:7" x14ac:dyDescent="0.35">
      <c r="B6" s="1545" t="s">
        <v>1160</v>
      </c>
      <c r="C6" s="1838">
        <f>C7*(1+C9)</f>
        <v>1.9119027599999998</v>
      </c>
      <c r="D6" s="1838">
        <f t="shared" ref="D6:F6" si="0">D7*(1+D9)</f>
        <v>1.2794452799999998</v>
      </c>
      <c r="E6" s="1838">
        <f t="shared" si="0"/>
        <v>2.34940288</v>
      </c>
      <c r="F6" s="1838">
        <f t="shared" si="0"/>
        <v>3.1388221349999998</v>
      </c>
      <c r="G6" s="1571">
        <f>AVERAGE(C6:F6)</f>
        <v>2.1698932637499997</v>
      </c>
    </row>
    <row r="7" spans="2:7" x14ac:dyDescent="0.35">
      <c r="B7" s="1545" t="s">
        <v>1161</v>
      </c>
      <c r="C7" s="1570">
        <v>1.8</v>
      </c>
      <c r="D7" s="1570">
        <v>1.2</v>
      </c>
      <c r="E7" s="1570">
        <v>2.2000000000000002</v>
      </c>
      <c r="F7" s="1570">
        <f>0.1+2.75</f>
        <v>2.85</v>
      </c>
      <c r="G7" s="1571">
        <f>AVERAGE(C7:F7)</f>
        <v>2.0125000000000002</v>
      </c>
    </row>
    <row r="8" spans="2:7" x14ac:dyDescent="0.35">
      <c r="B8" s="335" t="s">
        <v>1162</v>
      </c>
      <c r="C8" s="1836">
        <v>45435</v>
      </c>
      <c r="D8" s="1836">
        <v>45383</v>
      </c>
      <c r="E8" s="1836">
        <v>45357</v>
      </c>
      <c r="F8" s="1836">
        <v>45050</v>
      </c>
      <c r="G8" s="1835"/>
    </row>
    <row r="9" spans="2:7" x14ac:dyDescent="0.35">
      <c r="B9" s="1545" t="s">
        <v>1163</v>
      </c>
      <c r="C9" s="1837">
        <v>6.21682E-2</v>
      </c>
      <c r="D9" s="1837">
        <v>6.6204399999999997E-2</v>
      </c>
      <c r="E9" s="1837">
        <v>6.7910399999999996E-2</v>
      </c>
      <c r="F9" s="1837">
        <v>0.1013411</v>
      </c>
      <c r="G9" s="1545"/>
    </row>
    <row r="10" spans="2:7" x14ac:dyDescent="0.35">
      <c r="B10" s="48" t="s">
        <v>1164</v>
      </c>
    </row>
    <row r="11" spans="2:7" x14ac:dyDescent="0.35">
      <c r="B11" t="s">
        <v>1165</v>
      </c>
    </row>
    <row r="12" spans="2:7" x14ac:dyDescent="0.35">
      <c r="B12" t="s">
        <v>1166</v>
      </c>
    </row>
    <row r="13" spans="2:7" x14ac:dyDescent="0.35">
      <c r="B13" t="s">
        <v>1167</v>
      </c>
    </row>
    <row r="14" spans="2:7" ht="16.5" x14ac:dyDescent="0.35">
      <c r="B14" t="s">
        <v>1168</v>
      </c>
    </row>
    <row r="16" spans="2:7" ht="43.5" x14ac:dyDescent="0.35">
      <c r="B16" s="1567" t="s">
        <v>1169</v>
      </c>
      <c r="C16" s="1572" t="s">
        <v>1170</v>
      </c>
      <c r="D16" s="1572" t="s">
        <v>1171</v>
      </c>
      <c r="E16" s="1572" t="s">
        <v>1172</v>
      </c>
      <c r="F16" s="1572" t="s">
        <v>1173</v>
      </c>
      <c r="G16" s="1569" t="s">
        <v>327</v>
      </c>
    </row>
    <row r="17" spans="2:7" x14ac:dyDescent="0.35">
      <c r="B17" s="1545" t="s">
        <v>1174</v>
      </c>
      <c r="C17" s="1838">
        <f>C18*(1+C20)</f>
        <v>0.23921737399999998</v>
      </c>
      <c r="D17" s="1838">
        <f t="shared" ref="D17:F17" si="1">D18*(1+D20)</f>
        <v>0.10550889000000002</v>
      </c>
      <c r="E17" s="1838">
        <f t="shared" si="1"/>
        <v>0.21625930000000004</v>
      </c>
      <c r="F17" s="1838">
        <f t="shared" si="1"/>
        <v>0.43070959999999997</v>
      </c>
      <c r="G17" s="1571">
        <f>AVERAGE(C17:F17)</f>
        <v>0.247923791</v>
      </c>
    </row>
    <row r="18" spans="2:7" x14ac:dyDescent="0.35">
      <c r="B18" s="1545" t="s">
        <v>1175</v>
      </c>
      <c r="C18" s="1570">
        <v>0.22</v>
      </c>
      <c r="D18" s="1570">
        <v>0.1</v>
      </c>
      <c r="E18" s="1570">
        <v>0.2</v>
      </c>
      <c r="F18" s="1570">
        <v>0.4</v>
      </c>
      <c r="G18" s="1571">
        <f>AVERAGE(C18:F18)</f>
        <v>0.23</v>
      </c>
    </row>
    <row r="19" spans="2:7" x14ac:dyDescent="0.35">
      <c r="B19" s="335" t="s">
        <v>1162</v>
      </c>
      <c r="C19" s="1836">
        <v>45273</v>
      </c>
      <c r="D19" s="1836">
        <v>45490</v>
      </c>
      <c r="E19" s="1836">
        <v>45309</v>
      </c>
      <c r="F19" s="1836">
        <v>45327</v>
      </c>
      <c r="G19" s="1835"/>
    </row>
    <row r="20" spans="2:7" x14ac:dyDescent="0.35">
      <c r="B20" s="1545" t="s">
        <v>1164</v>
      </c>
      <c r="C20" s="1837">
        <v>8.7351700000000004E-2</v>
      </c>
      <c r="D20" s="1837">
        <v>5.5088900000000003E-2</v>
      </c>
      <c r="E20" s="1837">
        <v>8.1296499999999994E-2</v>
      </c>
      <c r="F20" s="1837">
        <v>7.6773999999999995E-2</v>
      </c>
      <c r="G20" s="1545"/>
    </row>
    <row r="21" spans="2:7" x14ac:dyDescent="0.35">
      <c r="B21" t="s">
        <v>1176</v>
      </c>
    </row>
    <row r="22" spans="2:7" x14ac:dyDescent="0.35">
      <c r="B22" t="s">
        <v>1177</v>
      </c>
    </row>
    <row r="23" spans="2:7" x14ac:dyDescent="0.35">
      <c r="B23" t="s">
        <v>1178</v>
      </c>
    </row>
    <row r="24" spans="2:7" ht="16.5" x14ac:dyDescent="0.35">
      <c r="B24" t="s">
        <v>1179</v>
      </c>
    </row>
    <row r="26" spans="2:7" x14ac:dyDescent="0.35">
      <c r="B26" s="1567" t="s">
        <v>1180</v>
      </c>
      <c r="C26" s="1572" t="s">
        <v>1181</v>
      </c>
    </row>
    <row r="27" spans="2:7" x14ac:dyDescent="0.35">
      <c r="B27" s="1545" t="s">
        <v>1182</v>
      </c>
      <c r="C27" s="1570">
        <v>3.7</v>
      </c>
    </row>
    <row r="28" spans="2:7" x14ac:dyDescent="0.35">
      <c r="B28" t="s">
        <v>1183</v>
      </c>
    </row>
    <row r="30" spans="2:7" x14ac:dyDescent="0.35">
      <c r="B30" s="77" t="s">
        <v>1184</v>
      </c>
    </row>
    <row r="31" spans="2:7" ht="15" thickBot="1" x14ac:dyDescent="0.4"/>
    <row r="32" spans="2:7" ht="15" thickBot="1" x14ac:dyDescent="0.4">
      <c r="B32" s="1573" t="s">
        <v>1185</v>
      </c>
      <c r="C32" s="1574"/>
      <c r="D32" s="1575" t="s">
        <v>1186</v>
      </c>
      <c r="E32" s="1575" t="s">
        <v>1187</v>
      </c>
    </row>
    <row r="33" spans="2:6" ht="15" thickBot="1" x14ac:dyDescent="0.4">
      <c r="B33" s="1578" t="s">
        <v>819</v>
      </c>
      <c r="C33" s="1579" t="s">
        <v>1188</v>
      </c>
      <c r="D33" s="1586">
        <v>14000</v>
      </c>
      <c r="E33" s="1580">
        <f>D33*(1+$D$38)</f>
        <v>14771.244600000002</v>
      </c>
    </row>
    <row r="34" spans="2:6" ht="15" thickBot="1" x14ac:dyDescent="0.4">
      <c r="B34" s="1581" t="s">
        <v>1189</v>
      </c>
      <c r="C34" s="25" t="s">
        <v>1188</v>
      </c>
      <c r="D34" s="1588">
        <v>3000</v>
      </c>
      <c r="E34" s="1580">
        <f t="shared" ref="E34:E37" si="2">D34*(1+$D$38)</f>
        <v>3165.2667000000001</v>
      </c>
    </row>
    <row r="35" spans="2:6" ht="15" thickBot="1" x14ac:dyDescent="0.4">
      <c r="B35" s="1581" t="s">
        <v>116</v>
      </c>
      <c r="C35" s="25" t="s">
        <v>1135</v>
      </c>
      <c r="D35" s="1588">
        <v>3500</v>
      </c>
      <c r="E35" s="1580">
        <f t="shared" si="2"/>
        <v>3692.8111500000005</v>
      </c>
    </row>
    <row r="36" spans="2:6" ht="15" thickBot="1" x14ac:dyDescent="0.4">
      <c r="B36" s="1581" t="s">
        <v>118</v>
      </c>
      <c r="C36" s="25" t="s">
        <v>1135</v>
      </c>
      <c r="D36" s="1588">
        <v>0.02</v>
      </c>
      <c r="E36" s="1580">
        <f t="shared" si="2"/>
        <v>2.1101778000000002E-2</v>
      </c>
    </row>
    <row r="37" spans="2:6" ht="15" thickBot="1" x14ac:dyDescent="0.4">
      <c r="B37" s="1582" t="s">
        <v>119</v>
      </c>
      <c r="C37" s="1583" t="s">
        <v>1135</v>
      </c>
      <c r="D37" s="1590">
        <v>0.27</v>
      </c>
      <c r="E37" s="1580">
        <f t="shared" si="2"/>
        <v>0.28487400300000004</v>
      </c>
    </row>
    <row r="38" spans="2:6" ht="15" thickBot="1" x14ac:dyDescent="0.4">
      <c r="B38" s="1839" t="s">
        <v>1190</v>
      </c>
      <c r="C38" s="1840"/>
      <c r="D38" s="1841">
        <v>5.5088900000000003E-2</v>
      </c>
      <c r="E38" s="1842"/>
    </row>
    <row r="39" spans="2:6" x14ac:dyDescent="0.35">
      <c r="B39" s="79" t="s">
        <v>1191</v>
      </c>
    </row>
    <row r="40" spans="2:6" ht="15" thickBot="1" x14ac:dyDescent="0.4"/>
    <row r="41" spans="2:6" ht="29.5" thickBot="1" x14ac:dyDescent="0.4">
      <c r="B41" s="1573" t="s">
        <v>1192</v>
      </c>
      <c r="C41" s="1574" t="s">
        <v>751</v>
      </c>
      <c r="D41" s="1584" t="s">
        <v>1193</v>
      </c>
      <c r="E41" s="1584" t="s">
        <v>1194</v>
      </c>
    </row>
    <row r="42" spans="2:6" x14ac:dyDescent="0.35">
      <c r="B42" s="1578" t="s">
        <v>1195</v>
      </c>
      <c r="C42" s="1585">
        <v>1</v>
      </c>
      <c r="D42" s="1586">
        <v>15200</v>
      </c>
      <c r="E42" s="1586">
        <f>D42*C42</f>
        <v>15200</v>
      </c>
      <c r="F42" s="96"/>
    </row>
    <row r="43" spans="2:6" x14ac:dyDescent="0.35">
      <c r="B43" s="1581" t="s">
        <v>1196</v>
      </c>
      <c r="C43" s="1587">
        <v>1</v>
      </c>
      <c r="D43" s="1588">
        <v>16900</v>
      </c>
      <c r="E43" s="1588">
        <f>D43*C43</f>
        <v>16900</v>
      </c>
      <c r="F43" s="96"/>
    </row>
    <row r="44" spans="2:6" x14ac:dyDescent="0.35">
      <c r="B44" s="1581" t="s">
        <v>1197</v>
      </c>
      <c r="C44" s="1587">
        <v>3</v>
      </c>
      <c r="D44" s="1588">
        <v>3560</v>
      </c>
      <c r="E44" s="1588">
        <f t="shared" ref="E44:E45" si="3">D44*C44</f>
        <v>10680</v>
      </c>
    </row>
    <row r="45" spans="2:6" ht="15" thickBot="1" x14ac:dyDescent="0.4">
      <c r="B45" s="1582" t="s">
        <v>1198</v>
      </c>
      <c r="C45" s="1589">
        <v>3</v>
      </c>
      <c r="D45" s="1590">
        <v>3560</v>
      </c>
      <c r="E45" s="1588">
        <f t="shared" si="3"/>
        <v>10680</v>
      </c>
    </row>
    <row r="46" spans="2:6" ht="15" thickBot="1" x14ac:dyDescent="0.4">
      <c r="B46" s="1591" t="s">
        <v>200</v>
      </c>
      <c r="C46" s="1592"/>
      <c r="D46" s="1593">
        <f>SUM(D42:D45)</f>
        <v>39220</v>
      </c>
      <c r="E46" s="1580">
        <f>SUM(E42:E45)</f>
        <v>53460</v>
      </c>
    </row>
    <row r="47" spans="2:6" x14ac:dyDescent="0.35">
      <c r="B47" t="s">
        <v>1199</v>
      </c>
    </row>
    <row r="49" spans="2:6" ht="58" x14ac:dyDescent="0.35">
      <c r="B49" s="1567" t="s">
        <v>1200</v>
      </c>
      <c r="C49" s="1572" t="s">
        <v>1201</v>
      </c>
      <c r="D49" s="1572" t="s">
        <v>1202</v>
      </c>
      <c r="E49" s="1572" t="s">
        <v>1203</v>
      </c>
      <c r="F49" s="1569" t="s">
        <v>327</v>
      </c>
    </row>
    <row r="50" spans="2:6" x14ac:dyDescent="0.35">
      <c r="B50" s="1545" t="s">
        <v>1204</v>
      </c>
      <c r="C50" s="1570">
        <v>5.63</v>
      </c>
      <c r="D50" s="1570">
        <v>3.99</v>
      </c>
      <c r="E50" s="1570">
        <v>2.79</v>
      </c>
      <c r="F50" s="1571">
        <f>AVERAGE(C50:E50)</f>
        <v>4.1366666666666667</v>
      </c>
    </row>
    <row r="51" spans="2:6" x14ac:dyDescent="0.35">
      <c r="B51" s="1545" t="s">
        <v>1205</v>
      </c>
      <c r="C51" s="1570">
        <v>5.63</v>
      </c>
      <c r="D51" s="1570">
        <v>3.99</v>
      </c>
      <c r="E51" s="1570">
        <v>2.79</v>
      </c>
      <c r="F51" s="1571">
        <f>AVERAGE(C51:E51)</f>
        <v>4.1366666666666667</v>
      </c>
    </row>
    <row r="52" spans="2:6" x14ac:dyDescent="0.35">
      <c r="B52" s="335" t="s">
        <v>1162</v>
      </c>
      <c r="C52" s="1836">
        <v>45548</v>
      </c>
      <c r="D52" s="1836">
        <v>45497</v>
      </c>
      <c r="E52" s="1836">
        <v>45338</v>
      </c>
      <c r="F52" s="1836"/>
    </row>
    <row r="53" spans="2:6" x14ac:dyDescent="0.35">
      <c r="B53" s="1545" t="s">
        <v>1164</v>
      </c>
      <c r="C53" s="1545"/>
      <c r="D53" s="1545"/>
      <c r="E53" s="1545"/>
      <c r="F53" s="1545"/>
    </row>
    <row r="55" spans="2:6" x14ac:dyDescent="0.35">
      <c r="B55" t="s">
        <v>1206</v>
      </c>
    </row>
    <row r="56" spans="2:6" x14ac:dyDescent="0.35">
      <c r="B56" t="s">
        <v>1207</v>
      </c>
    </row>
    <row r="57" spans="2:6" x14ac:dyDescent="0.35">
      <c r="B57" t="s">
        <v>1208</v>
      </c>
    </row>
    <row r="59" spans="2:6" ht="15" thickBot="1" x14ac:dyDescent="0.4"/>
    <row r="60" spans="2:6" ht="15" thickBot="1" x14ac:dyDescent="0.4">
      <c r="B60" s="1573" t="s">
        <v>1209</v>
      </c>
      <c r="C60" s="1574"/>
      <c r="D60" s="1575" t="s">
        <v>158</v>
      </c>
    </row>
    <row r="61" spans="2:6" ht="15" thickBot="1" x14ac:dyDescent="0.4">
      <c r="B61" s="1594" t="s">
        <v>1210</v>
      </c>
      <c r="C61" s="1576" t="s">
        <v>1211</v>
      </c>
      <c r="D61" s="1577">
        <f>F50</f>
        <v>4.1366666666666667</v>
      </c>
    </row>
  </sheetData>
  <sheetProtection algorithmName="SHA-512" hashValue="piXxa3fwnqtHtPHkjZfpHpNgrpwLFCMQt1TFf82t/AlGtvpwmy0I2NlXfJy72Q6r4ZJXfthnq+tsMCUs7liQmg==" saltValue="waogwzjBTRqoElH/NJw9+g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4B23D-84E3-46C4-B522-0748BCA77139}">
  <sheetPr codeName="Planilha39"/>
  <dimension ref="B2:L38"/>
  <sheetViews>
    <sheetView showGridLines="0" workbookViewId="0">
      <selection activeCell="A28" sqref="A28"/>
    </sheetView>
  </sheetViews>
  <sheetFormatPr defaultColWidth="9.08984375" defaultRowHeight="14.5" x14ac:dyDescent="0.35"/>
  <cols>
    <col min="1" max="1" width="9.08984375" style="1690"/>
    <col min="2" max="2" width="5.6328125" style="1690" bestFit="1" customWidth="1"/>
    <col min="3" max="3" width="29.08984375" style="1690" customWidth="1"/>
    <col min="4" max="11" width="9.08984375" style="1690"/>
    <col min="12" max="12" width="12" style="1690" bestFit="1" customWidth="1"/>
    <col min="13" max="16384" width="9.08984375" style="1690"/>
  </cols>
  <sheetData>
    <row r="2" spans="2:12" x14ac:dyDescent="0.35">
      <c r="D2" s="1690" t="s">
        <v>1212</v>
      </c>
      <c r="E2" s="1690" t="s">
        <v>1213</v>
      </c>
      <c r="F2" s="1690" t="s">
        <v>1214</v>
      </c>
      <c r="G2" s="1690" t="s">
        <v>1215</v>
      </c>
      <c r="H2" s="1690" t="s">
        <v>1216</v>
      </c>
      <c r="I2" s="1690" t="s">
        <v>1217</v>
      </c>
      <c r="J2" s="1690" t="s">
        <v>1218</v>
      </c>
    </row>
    <row r="3" spans="2:12" x14ac:dyDescent="0.35">
      <c r="B3" s="2067">
        <v>2024</v>
      </c>
      <c r="C3" s="1690" t="s">
        <v>1219</v>
      </c>
      <c r="D3" s="1691">
        <v>0.79275032357117736</v>
      </c>
      <c r="E3" s="1691"/>
      <c r="F3" s="1691"/>
      <c r="G3" s="1691"/>
      <c r="H3" s="1691"/>
      <c r="I3" s="1691"/>
      <c r="J3" s="1691"/>
      <c r="K3" s="1691"/>
      <c r="L3" s="1692"/>
    </row>
    <row r="4" spans="2:12" x14ac:dyDescent="0.35">
      <c r="B4" s="2067"/>
      <c r="C4" s="1690" t="s">
        <v>1220</v>
      </c>
      <c r="D4" s="1691">
        <f>0.00994323800026176%+1.91430481985426%</f>
        <v>1.9242480578545218E-2</v>
      </c>
      <c r="E4" s="1691"/>
      <c r="F4" s="1691"/>
      <c r="G4" s="1691"/>
      <c r="H4" s="1691"/>
      <c r="I4" s="1691"/>
      <c r="J4" s="1691"/>
      <c r="K4" s="1691"/>
      <c r="L4" s="1692"/>
    </row>
    <row r="5" spans="2:12" s="1696" customFormat="1" ht="15" thickBot="1" x14ac:dyDescent="0.4">
      <c r="B5" s="2067"/>
      <c r="C5" s="1693" t="s">
        <v>200</v>
      </c>
      <c r="D5" s="1694">
        <f>D3+D4</f>
        <v>0.81199280414972264</v>
      </c>
      <c r="E5" s="1694">
        <f t="shared" ref="E5:J5" si="0">E3+E4</f>
        <v>0</v>
      </c>
      <c r="F5" s="1694">
        <f t="shared" si="0"/>
        <v>0</v>
      </c>
      <c r="G5" s="1694">
        <f t="shared" si="0"/>
        <v>0</v>
      </c>
      <c r="H5" s="1694">
        <f t="shared" si="0"/>
        <v>0</v>
      </c>
      <c r="I5" s="1694">
        <f t="shared" si="0"/>
        <v>0</v>
      </c>
      <c r="J5" s="1694">
        <f t="shared" si="0"/>
        <v>0</v>
      </c>
      <c r="K5" s="1695"/>
    </row>
    <row r="6" spans="2:12" x14ac:dyDescent="0.35">
      <c r="B6" s="2067">
        <v>2023</v>
      </c>
      <c r="C6" s="1690" t="s">
        <v>1219</v>
      </c>
      <c r="D6" s="1691">
        <v>0.76649952891276307</v>
      </c>
      <c r="E6" s="1691">
        <v>8.9174357076811733E-2</v>
      </c>
      <c r="F6" s="1691"/>
      <c r="G6" s="1691"/>
      <c r="H6" s="1691"/>
      <c r="I6" s="1691"/>
      <c r="J6" s="1691"/>
      <c r="K6" s="1691"/>
      <c r="L6" s="1692"/>
    </row>
    <row r="7" spans="2:12" x14ac:dyDescent="0.35">
      <c r="B7" s="2067"/>
      <c r="C7" s="1690" t="s">
        <v>1220</v>
      </c>
      <c r="D7" s="1691">
        <f>2.62483162265456%+2.57379957354897%</f>
        <v>5.1986311962035292E-2</v>
      </c>
      <c r="E7" s="1691"/>
      <c r="F7" s="1691"/>
      <c r="G7" s="1691"/>
      <c r="H7" s="1691"/>
      <c r="I7" s="1691"/>
      <c r="J7" s="1691"/>
      <c r="K7" s="1691"/>
      <c r="L7" s="1692"/>
    </row>
    <row r="8" spans="2:12" s="1696" customFormat="1" ht="15" thickBot="1" x14ac:dyDescent="0.4">
      <c r="B8" s="2067"/>
      <c r="C8" s="1693" t="s">
        <v>200</v>
      </c>
      <c r="D8" s="1694">
        <f>D6+D7</f>
        <v>0.81848584087479836</v>
      </c>
      <c r="E8" s="1694">
        <f t="shared" ref="E8:J8" si="1">E6+E7</f>
        <v>8.9174357076811733E-2</v>
      </c>
      <c r="F8" s="1694">
        <f t="shared" si="1"/>
        <v>0</v>
      </c>
      <c r="G8" s="1694">
        <f t="shared" si="1"/>
        <v>0</v>
      </c>
      <c r="H8" s="1694">
        <f t="shared" si="1"/>
        <v>0</v>
      </c>
      <c r="I8" s="1694">
        <f t="shared" si="1"/>
        <v>0</v>
      </c>
      <c r="J8" s="1694">
        <f t="shared" si="1"/>
        <v>0</v>
      </c>
      <c r="K8" s="1695"/>
    </row>
    <row r="9" spans="2:12" x14ac:dyDescent="0.35">
      <c r="B9" s="2067">
        <v>2022</v>
      </c>
      <c r="C9" s="1690" t="s">
        <v>1219</v>
      </c>
      <c r="D9" s="1691">
        <v>0.78269481181153278</v>
      </c>
      <c r="E9" s="1691">
        <v>8.3251210211314972E-2</v>
      </c>
      <c r="F9" s="1691">
        <v>1.5968040616425812E-2</v>
      </c>
      <c r="G9" s="1691"/>
      <c r="H9" s="1691"/>
      <c r="I9" s="1691"/>
      <c r="J9" s="1691"/>
      <c r="K9" s="1691"/>
      <c r="L9" s="1692"/>
    </row>
    <row r="10" spans="2:12" x14ac:dyDescent="0.35">
      <c r="B10" s="2067"/>
      <c r="C10" s="1690" t="s">
        <v>1220</v>
      </c>
      <c r="D10" s="1691">
        <f>4.06760531309913%+0.0654292016251756%</f>
        <v>4.1330345147243056E-2</v>
      </c>
      <c r="E10" s="1691"/>
      <c r="F10" s="1691"/>
      <c r="G10" s="1691"/>
      <c r="H10" s="1691"/>
      <c r="I10" s="1691"/>
      <c r="J10" s="1691"/>
      <c r="K10" s="1691"/>
      <c r="L10" s="1692"/>
    </row>
    <row r="11" spans="2:12" s="1696" customFormat="1" ht="15" thickBot="1" x14ac:dyDescent="0.4">
      <c r="B11" s="2067"/>
      <c r="C11" s="1693" t="s">
        <v>200</v>
      </c>
      <c r="D11" s="1694">
        <f>D9+D10</f>
        <v>0.82402515695877587</v>
      </c>
      <c r="E11" s="1694">
        <f t="shared" ref="E11:J11" si="2">E9+E10</f>
        <v>8.3251210211314972E-2</v>
      </c>
      <c r="F11" s="1694">
        <f t="shared" si="2"/>
        <v>1.5968040616425812E-2</v>
      </c>
      <c r="G11" s="1694">
        <f t="shared" si="2"/>
        <v>0</v>
      </c>
      <c r="H11" s="1694">
        <f t="shared" si="2"/>
        <v>0</v>
      </c>
      <c r="I11" s="1694">
        <f t="shared" si="2"/>
        <v>0</v>
      </c>
      <c r="J11" s="1694">
        <f t="shared" si="2"/>
        <v>0</v>
      </c>
      <c r="K11" s="1695"/>
    </row>
    <row r="12" spans="2:12" x14ac:dyDescent="0.35">
      <c r="B12" s="2067">
        <v>2021</v>
      </c>
      <c r="C12" s="1690" t="s">
        <v>1219</v>
      </c>
      <c r="D12" s="1691">
        <v>0.78083924522758508</v>
      </c>
      <c r="E12" s="1691">
        <v>6.3563477517946526E-2</v>
      </c>
      <c r="F12" s="1691">
        <v>1.7124910713733718E-2</v>
      </c>
      <c r="G12" s="1691">
        <v>9.061750940014485E-3</v>
      </c>
      <c r="H12" s="1691"/>
      <c r="I12" s="1691"/>
      <c r="J12" s="1691"/>
      <c r="K12" s="1691"/>
      <c r="L12" s="1692"/>
    </row>
    <row r="13" spans="2:12" x14ac:dyDescent="0.35">
      <c r="B13" s="2067"/>
      <c r="C13" s="1690" t="s">
        <v>1220</v>
      </c>
      <c r="D13" s="1691">
        <f>8.31798743749961%-1.93916482957569%</f>
        <v>6.3788226079239202E-2</v>
      </c>
      <c r="E13" s="1691"/>
      <c r="F13" s="1691"/>
      <c r="G13" s="1691"/>
      <c r="H13" s="1691"/>
      <c r="I13" s="1691"/>
      <c r="J13" s="1691"/>
      <c r="K13" s="1691"/>
      <c r="L13" s="1692"/>
    </row>
    <row r="14" spans="2:12" s="1696" customFormat="1" ht="15" thickBot="1" x14ac:dyDescent="0.4">
      <c r="B14" s="2067"/>
      <c r="C14" s="1693" t="s">
        <v>200</v>
      </c>
      <c r="D14" s="1694">
        <f>D12+D13</f>
        <v>0.84462747130682425</v>
      </c>
      <c r="E14" s="1694">
        <f t="shared" ref="E14:J14" si="3">E12+E13</f>
        <v>6.3563477517946526E-2</v>
      </c>
      <c r="F14" s="1694">
        <f t="shared" si="3"/>
        <v>1.7124910713733718E-2</v>
      </c>
      <c r="G14" s="1694">
        <f t="shared" si="3"/>
        <v>9.061750940014485E-3</v>
      </c>
      <c r="H14" s="1694">
        <f t="shared" si="3"/>
        <v>0</v>
      </c>
      <c r="I14" s="1694">
        <f t="shared" si="3"/>
        <v>0</v>
      </c>
      <c r="J14" s="1694">
        <f t="shared" si="3"/>
        <v>0</v>
      </c>
      <c r="K14" s="1695"/>
    </row>
    <row r="15" spans="2:12" x14ac:dyDescent="0.35">
      <c r="B15" s="2067">
        <v>2020</v>
      </c>
      <c r="C15" s="1690" t="s">
        <v>1219</v>
      </c>
      <c r="D15" s="1691">
        <v>0.7869224624784702</v>
      </c>
      <c r="E15" s="1691">
        <v>7.1092164073926989E-2</v>
      </c>
      <c r="F15" s="1691">
        <v>1.3817673212735337E-2</v>
      </c>
      <c r="G15" s="1691">
        <v>8.4003789613338112E-3</v>
      </c>
      <c r="H15" s="1691">
        <v>6.3467765484666152E-3</v>
      </c>
      <c r="I15" s="1691"/>
      <c r="J15" s="1691"/>
      <c r="K15" s="1691"/>
      <c r="L15" s="1692"/>
    </row>
    <row r="16" spans="2:12" x14ac:dyDescent="0.35">
      <c r="B16" s="2067"/>
      <c r="C16" s="1690" t="s">
        <v>1220</v>
      </c>
      <c r="D16" s="1691">
        <f>7.70736656763619%-1.78668339486002%</f>
        <v>5.92068317277617E-2</v>
      </c>
      <c r="E16" s="1691"/>
      <c r="F16" s="1691"/>
      <c r="G16" s="1691"/>
      <c r="H16" s="1691"/>
      <c r="I16" s="1691"/>
      <c r="J16" s="1691"/>
      <c r="K16" s="1691"/>
      <c r="L16" s="1692"/>
    </row>
    <row r="17" spans="2:12" s="1696" customFormat="1" ht="15" thickBot="1" x14ac:dyDescent="0.4">
      <c r="B17" s="2067"/>
      <c r="C17" s="1693" t="s">
        <v>200</v>
      </c>
      <c r="D17" s="1694">
        <f>D15+D16</f>
        <v>0.84612929420623195</v>
      </c>
      <c r="E17" s="1694">
        <f t="shared" ref="E17:J17" si="4">E15+E16</f>
        <v>7.1092164073926989E-2</v>
      </c>
      <c r="F17" s="1694">
        <f t="shared" si="4"/>
        <v>1.3817673212735337E-2</v>
      </c>
      <c r="G17" s="1694">
        <f t="shared" si="4"/>
        <v>8.4003789613338112E-3</v>
      </c>
      <c r="H17" s="1694">
        <f t="shared" si="4"/>
        <v>6.3467765484666152E-3</v>
      </c>
      <c r="I17" s="1694">
        <f t="shared" si="4"/>
        <v>0</v>
      </c>
      <c r="J17" s="1694">
        <f t="shared" si="4"/>
        <v>0</v>
      </c>
      <c r="K17" s="1695"/>
    </row>
    <row r="18" spans="2:12" x14ac:dyDescent="0.35">
      <c r="B18" s="2067">
        <v>2019</v>
      </c>
      <c r="C18" s="1690" t="s">
        <v>1219</v>
      </c>
      <c r="D18" s="1691">
        <v>0.77958567345441143</v>
      </c>
      <c r="E18" s="1691">
        <v>6.1209434786927835E-2</v>
      </c>
      <c r="F18" s="1691">
        <v>2.8157837144985681E-2</v>
      </c>
      <c r="G18" s="1691">
        <v>6.0576723004117294E-3</v>
      </c>
      <c r="H18" s="1691">
        <v>5.8474115368151837E-3</v>
      </c>
      <c r="I18" s="1691">
        <v>4.6529548192578646E-3</v>
      </c>
      <c r="J18" s="1691"/>
      <c r="K18" s="1691"/>
      <c r="L18" s="1692"/>
    </row>
    <row r="19" spans="2:12" x14ac:dyDescent="0.35">
      <c r="B19" s="2067"/>
      <c r="C19" s="1690" t="s">
        <v>1220</v>
      </c>
      <c r="D19" s="1691">
        <f>9.2001715966999%-2.78667378374982%</f>
        <v>6.4134978129500794E-2</v>
      </c>
      <c r="E19" s="1691"/>
      <c r="F19" s="1691"/>
      <c r="G19" s="1691"/>
      <c r="H19" s="1691"/>
      <c r="I19" s="1691"/>
      <c r="J19" s="1691"/>
      <c r="K19" s="1691"/>
      <c r="L19" s="1692"/>
    </row>
    <row r="20" spans="2:12" s="1696" customFormat="1" ht="15" thickBot="1" x14ac:dyDescent="0.4">
      <c r="B20" s="2067"/>
      <c r="C20" s="1693" t="s">
        <v>200</v>
      </c>
      <c r="D20" s="1694">
        <f>D18+D19</f>
        <v>0.84372065158391218</v>
      </c>
      <c r="E20" s="1694">
        <f t="shared" ref="E20:J20" si="5">E18+E19</f>
        <v>6.1209434786927835E-2</v>
      </c>
      <c r="F20" s="1694">
        <f t="shared" si="5"/>
        <v>2.8157837144985681E-2</v>
      </c>
      <c r="G20" s="1694">
        <f t="shared" si="5"/>
        <v>6.0576723004117294E-3</v>
      </c>
      <c r="H20" s="1694">
        <f t="shared" si="5"/>
        <v>5.8474115368151837E-3</v>
      </c>
      <c r="I20" s="1694">
        <f t="shared" si="5"/>
        <v>4.6529548192578646E-3</v>
      </c>
      <c r="J20" s="1694">
        <f t="shared" si="5"/>
        <v>0</v>
      </c>
      <c r="K20" s="1695"/>
    </row>
    <row r="21" spans="2:12" x14ac:dyDescent="0.35">
      <c r="B21" s="2067">
        <v>2018</v>
      </c>
      <c r="C21" s="1690" t="s">
        <v>1219</v>
      </c>
      <c r="D21" s="1691">
        <v>0.77878022782475842</v>
      </c>
      <c r="E21" s="1691">
        <v>5.8278483549421438E-2</v>
      </c>
      <c r="F21" s="1691">
        <v>2.4037093495934959E-2</v>
      </c>
      <c r="G21" s="1691">
        <v>1.7034747511841492E-2</v>
      </c>
      <c r="H21" s="1691">
        <v>3.2449574482674979E-3</v>
      </c>
      <c r="I21" s="1691">
        <v>3.3708494563511088E-3</v>
      </c>
      <c r="J21" s="1691">
        <v>2.6985426378730534E-3</v>
      </c>
      <c r="K21" s="1691"/>
      <c r="L21" s="1692"/>
    </row>
    <row r="22" spans="2:12" x14ac:dyDescent="0.35">
      <c r="B22" s="2067"/>
      <c r="C22" s="1690" t="s">
        <v>1220</v>
      </c>
      <c r="D22" s="1691">
        <f>9.77002704076602%-2.88275803345654%</f>
        <v>6.8872690073094794E-2</v>
      </c>
      <c r="E22" s="1691"/>
      <c r="F22" s="1691"/>
      <c r="G22" s="1691"/>
      <c r="H22" s="1691"/>
      <c r="I22" s="1691"/>
      <c r="J22" s="1691"/>
      <c r="K22" s="1691"/>
      <c r="L22" s="1692"/>
    </row>
    <row r="23" spans="2:12" s="1696" customFormat="1" ht="15" thickBot="1" x14ac:dyDescent="0.4">
      <c r="B23" s="2067"/>
      <c r="C23" s="1693" t="s">
        <v>200</v>
      </c>
      <c r="D23" s="1694">
        <f>D21+D22</f>
        <v>0.84765291789785324</v>
      </c>
      <c r="E23" s="1694">
        <f t="shared" ref="E23:J23" si="6">E21+E22</f>
        <v>5.8278483549421438E-2</v>
      </c>
      <c r="F23" s="1694">
        <f t="shared" si="6"/>
        <v>2.4037093495934959E-2</v>
      </c>
      <c r="G23" s="1694">
        <f t="shared" si="6"/>
        <v>1.7034747511841492E-2</v>
      </c>
      <c r="H23" s="1694">
        <f t="shared" si="6"/>
        <v>3.2449574482674979E-3</v>
      </c>
      <c r="I23" s="1694">
        <f t="shared" si="6"/>
        <v>3.3708494563511088E-3</v>
      </c>
      <c r="J23" s="1694">
        <f t="shared" si="6"/>
        <v>2.6985426378730534E-3</v>
      </c>
      <c r="K23" s="1695"/>
    </row>
    <row r="25" spans="2:12" s="1696" customFormat="1" ht="15" thickBot="1" x14ac:dyDescent="0.4">
      <c r="B25" s="1690"/>
      <c r="C25" s="1693" t="s">
        <v>327</v>
      </c>
      <c r="D25" s="1694">
        <f>AVERAGE(D5,D8,D11,D14,D17,D20,D23)</f>
        <v>0.83380487671115977</v>
      </c>
      <c r="E25" s="1694">
        <f>AVERAGE(E8,E11,E14,E17,E20,E23)</f>
        <v>7.1094854536058252E-2</v>
      </c>
      <c r="F25" s="1694">
        <f>AVERAGE(F11,F14,F17,F20,F23)</f>
        <v>1.9821111036763102E-2</v>
      </c>
      <c r="G25" s="1694">
        <f>AVERAGE(G14,G17,G20,G23)</f>
        <v>1.013863742840038E-2</v>
      </c>
      <c r="H25" s="1694">
        <f>AVERAGE(H17,H20,H23)</f>
        <v>5.1463818445164318E-3</v>
      </c>
      <c r="I25" s="1694">
        <f>AVERAGE(I20,I23)</f>
        <v>4.0119021378044869E-3</v>
      </c>
      <c r="J25" s="1694">
        <f>AVERAGE(J23)</f>
        <v>2.6985426378730534E-3</v>
      </c>
      <c r="K25" s="1695"/>
    </row>
    <row r="27" spans="2:12" x14ac:dyDescent="0.35">
      <c r="C27" s="1697" t="s">
        <v>1221</v>
      </c>
    </row>
    <row r="30" spans="2:12" x14ac:dyDescent="0.35">
      <c r="C30" s="1690" t="s">
        <v>1222</v>
      </c>
    </row>
    <row r="32" spans="2:12" x14ac:dyDescent="0.35">
      <c r="C32" s="1690" t="s">
        <v>1223</v>
      </c>
      <c r="D32" s="1692">
        <f>1-D25</f>
        <v>0.16619512328884023</v>
      </c>
    </row>
    <row r="33" spans="3:4" x14ac:dyDescent="0.35">
      <c r="C33" s="1690" t="s">
        <v>1224</v>
      </c>
      <c r="D33" s="1692">
        <f>1-D25-E25</f>
        <v>9.5100268752781977E-2</v>
      </c>
    </row>
    <row r="34" spans="3:4" x14ac:dyDescent="0.35">
      <c r="C34" s="1690" t="s">
        <v>1225</v>
      </c>
      <c r="D34" s="1692">
        <f>1-D25-E25-F25</f>
        <v>7.5279157716018869E-2</v>
      </c>
    </row>
    <row r="35" spans="3:4" x14ac:dyDescent="0.35">
      <c r="C35" s="1690" t="s">
        <v>1226</v>
      </c>
      <c r="D35" s="1692">
        <f>1-D25-E25-F25-G25</f>
        <v>6.5140520287618492E-2</v>
      </c>
    </row>
    <row r="36" spans="3:4" x14ac:dyDescent="0.35">
      <c r="C36" s="1690" t="s">
        <v>1227</v>
      </c>
      <c r="D36" s="1692">
        <f>1-D25-E25-F25-G25-H25</f>
        <v>5.9994138443102057E-2</v>
      </c>
    </row>
    <row r="37" spans="3:4" x14ac:dyDescent="0.35">
      <c r="C37" s="1690" t="s">
        <v>1228</v>
      </c>
      <c r="D37" s="1692">
        <f>1-D25-E25-F25-G25-H25-I25</f>
        <v>5.598223630529757E-2</v>
      </c>
    </row>
    <row r="38" spans="3:4" x14ac:dyDescent="0.35">
      <c r="C38" s="1690" t="s">
        <v>1229</v>
      </c>
      <c r="D38" s="1692">
        <f>1-D25-E25-F25-G25-H25-I25-J25</f>
        <v>5.3283693667424518E-2</v>
      </c>
    </row>
  </sheetData>
  <sheetProtection algorithmName="SHA-512" hashValue="MZtsmXHpPW40WOZRkZJ2eF1kW9lisUc6qGDVGwIEaSm9F3mMmla6oC/+zMXT3PaPE1CoOARl6YAyQj87WAU8Ew==" saltValue="qdWrj/MlUqqHZpr5VaatCg==" spinCount="100000" sheet="1" objects="1" scenarios="1"/>
  <mergeCells count="7">
    <mergeCell ref="B21:B23"/>
    <mergeCell ref="B3:B5"/>
    <mergeCell ref="B6:B8"/>
    <mergeCell ref="B9:B11"/>
    <mergeCell ref="B12:B14"/>
    <mergeCell ref="B15:B17"/>
    <mergeCell ref="B18:B20"/>
  </mergeCells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430D1-59B0-4C60-A8AD-E335A9E2079D}">
  <sheetPr codeName="Plan28">
    <tabColor theme="4" tint="0.79998168889431442"/>
    <pageSetUpPr fitToPage="1"/>
  </sheetPr>
  <dimension ref="A1:AW17"/>
  <sheetViews>
    <sheetView showGridLines="0" zoomScaleNormal="100" workbookViewId="0">
      <selection activeCell="G16" sqref="G16"/>
    </sheetView>
  </sheetViews>
  <sheetFormatPr defaultColWidth="8.81640625" defaultRowHeight="12" x14ac:dyDescent="0.3"/>
  <cols>
    <col min="1" max="1" width="2.81640625" style="79" customWidth="1"/>
    <col min="2" max="3" width="1.6328125" style="261" customWidth="1"/>
    <col min="4" max="4" width="40" style="1002" customWidth="1"/>
    <col min="5" max="5" width="8" style="1002" bestFit="1" customWidth="1"/>
    <col min="6" max="35" width="12" style="1002" customWidth="1"/>
    <col min="36" max="36" width="9.6328125" style="1002" customWidth="1"/>
    <col min="37" max="37" width="14.08984375" style="1002" bestFit="1" customWidth="1"/>
    <col min="38" max="16384" width="8.81640625" style="1002"/>
  </cols>
  <sheetData>
    <row r="1" spans="1:49" x14ac:dyDescent="0.35">
      <c r="A1" s="173"/>
      <c r="F1" s="1147"/>
    </row>
    <row r="2" spans="1:49" customFormat="1" ht="21" x14ac:dyDescent="0.5">
      <c r="B2" s="639"/>
      <c r="C2" s="639" t="s">
        <v>1230</v>
      </c>
      <c r="D2" s="639"/>
      <c r="E2" s="639"/>
      <c r="F2" s="639"/>
      <c r="G2" s="639"/>
      <c r="H2" s="639"/>
      <c r="I2" s="639"/>
      <c r="J2" s="639"/>
      <c r="K2" s="639"/>
      <c r="L2" s="639"/>
      <c r="M2" s="639"/>
      <c r="N2" s="639"/>
      <c r="O2" s="639"/>
      <c r="P2" s="639"/>
      <c r="Q2" s="639"/>
      <c r="R2" s="639"/>
      <c r="S2" s="639"/>
      <c r="T2" s="639"/>
      <c r="U2" s="639"/>
      <c r="V2" s="639"/>
      <c r="W2" s="639"/>
      <c r="X2" s="639"/>
      <c r="Y2" s="639"/>
      <c r="Z2" s="639"/>
      <c r="AA2" s="639"/>
      <c r="AB2" s="639"/>
      <c r="AC2" s="639"/>
      <c r="AD2" s="639"/>
      <c r="AE2" s="639"/>
      <c r="AF2" s="639"/>
      <c r="AG2" s="639"/>
      <c r="AH2" s="639"/>
      <c r="AI2" s="639"/>
      <c r="AJ2" s="639"/>
    </row>
    <row r="3" spans="1:49" ht="13.5" customHeight="1" thickBot="1" x14ac:dyDescent="0.4">
      <c r="A3" s="173"/>
      <c r="F3" s="1147"/>
      <c r="G3" s="1147"/>
      <c r="H3" s="1147"/>
    </row>
    <row r="4" spans="1:49" s="252" customFormat="1" ht="26.5" customHeight="1" thickTop="1" x14ac:dyDescent="0.35">
      <c r="B4" s="276" t="s">
        <v>1231</v>
      </c>
      <c r="C4" s="277"/>
      <c r="D4" s="278"/>
      <c r="E4" s="279"/>
      <c r="F4" s="279">
        <v>1</v>
      </c>
      <c r="G4" s="279">
        <v>2</v>
      </c>
      <c r="H4" s="279">
        <v>3</v>
      </c>
      <c r="I4" s="279">
        <v>4</v>
      </c>
      <c r="J4" s="279">
        <v>5</v>
      </c>
      <c r="K4" s="279">
        <v>6</v>
      </c>
      <c r="L4" s="279">
        <v>7</v>
      </c>
      <c r="M4" s="279">
        <v>8</v>
      </c>
      <c r="N4" s="279">
        <v>9</v>
      </c>
      <c r="O4" s="279">
        <v>10</v>
      </c>
      <c r="P4" s="279">
        <v>11</v>
      </c>
      <c r="Q4" s="279">
        <v>12</v>
      </c>
      <c r="R4" s="279">
        <v>13</v>
      </c>
      <c r="S4" s="279">
        <v>14</v>
      </c>
      <c r="T4" s="279">
        <v>15</v>
      </c>
      <c r="U4" s="279">
        <v>16</v>
      </c>
      <c r="V4" s="279">
        <v>17</v>
      </c>
      <c r="W4" s="279">
        <v>18</v>
      </c>
      <c r="X4" s="279">
        <v>19</v>
      </c>
      <c r="Y4" s="279">
        <v>20</v>
      </c>
      <c r="Z4" s="279">
        <v>21</v>
      </c>
      <c r="AA4" s="279">
        <v>22</v>
      </c>
      <c r="AB4" s="279">
        <v>23</v>
      </c>
      <c r="AC4" s="279">
        <v>24</v>
      </c>
      <c r="AD4" s="279">
        <v>25</v>
      </c>
      <c r="AE4" s="279">
        <v>26</v>
      </c>
      <c r="AF4" s="279">
        <v>27</v>
      </c>
      <c r="AG4" s="279">
        <v>28</v>
      </c>
      <c r="AH4" s="279">
        <v>29</v>
      </c>
      <c r="AI4" s="279">
        <v>30</v>
      </c>
    </row>
    <row r="5" spans="1:49" s="173" customFormat="1" ht="6" customHeight="1" x14ac:dyDescent="0.35">
      <c r="C5" s="193"/>
    </row>
    <row r="6" spans="1:49" x14ac:dyDescent="0.3">
      <c r="B6" s="1148"/>
      <c r="C6" s="1149" t="s">
        <v>1232</v>
      </c>
      <c r="D6" s="1149"/>
      <c r="E6" s="1149"/>
      <c r="F6" s="1202">
        <f>'Fluxo de Caixa'!E32</f>
        <v>-13327145.657997223</v>
      </c>
      <c r="G6" s="1202">
        <f>'Fluxo de Caixa'!F32</f>
        <v>-68925.936205335893</v>
      </c>
      <c r="H6" s="1202">
        <f>'Fluxo de Caixa'!G32</f>
        <v>4222414.6840902492</v>
      </c>
      <c r="I6" s="1202">
        <f>'Fluxo de Caixa'!H32</f>
        <v>4974953.9761135532</v>
      </c>
      <c r="J6" s="1202">
        <f>'Fluxo de Caixa'!I32</f>
        <v>13994697.85014851</v>
      </c>
      <c r="K6" s="1202">
        <f>'Fluxo de Caixa'!J32</f>
        <v>15040388.007858565</v>
      </c>
      <c r="L6" s="1202">
        <f>'Fluxo de Caixa'!K32</f>
        <v>15365474.961597718</v>
      </c>
      <c r="M6" s="1202">
        <f>'Fluxo de Caixa'!L32</f>
        <v>12421535.971295407</v>
      </c>
      <c r="N6" s="1202">
        <f>'Fluxo de Caixa'!M32</f>
        <v>19508912.054166056</v>
      </c>
      <c r="O6" s="1202">
        <f>'Fluxo de Caixa'!N32</f>
        <v>18578282.373332091</v>
      </c>
      <c r="P6" s="1202">
        <f>'Fluxo de Caixa'!O32</f>
        <v>11607446.414196923</v>
      </c>
      <c r="Q6" s="1202">
        <f>'Fluxo de Caixa'!P32</f>
        <v>11780838.916131642</v>
      </c>
      <c r="R6" s="1202">
        <f>'Fluxo de Caixa'!Q32</f>
        <v>11887945.649086682</v>
      </c>
      <c r="S6" s="1202">
        <f>'Fluxo de Caixa'!R32</f>
        <v>11985409.326048307</v>
      </c>
      <c r="T6" s="1202">
        <f>'Fluxo de Caixa'!S32</f>
        <v>11946665.924540607</v>
      </c>
      <c r="U6" s="1202">
        <f>'Fluxo de Caixa'!T32</f>
        <v>12190364.277419236</v>
      </c>
      <c r="V6" s="1202">
        <f>'Fluxo de Caixa'!U32</f>
        <v>18500118.38397355</v>
      </c>
      <c r="W6" s="1202">
        <f>'Fluxo de Caixa'!V32</f>
        <v>12206213.749052171</v>
      </c>
      <c r="X6" s="1202">
        <f>'Fluxo de Caixa'!W32</f>
        <v>12351442.273783043</v>
      </c>
      <c r="Y6" s="1202">
        <f>'Fluxo de Caixa'!X32</f>
        <v>13484970.916496169</v>
      </c>
      <c r="Z6" s="1202">
        <f>'Fluxo de Caixa'!Y32</f>
        <v>12400779.156065037</v>
      </c>
      <c r="AA6" s="1202">
        <f>'Fluxo de Caixa'!Z32</f>
        <v>12495882.420800427</v>
      </c>
      <c r="AB6" s="1202">
        <f>'Fluxo de Caixa'!AA32</f>
        <v>12529270.878225494</v>
      </c>
      <c r="AC6" s="1202">
        <f>'Fluxo de Caixa'!AB32</f>
        <v>12584835.244100347</v>
      </c>
      <c r="AD6" s="1202">
        <f>'Fluxo de Caixa'!AC32</f>
        <v>18755556.309307009</v>
      </c>
      <c r="AE6" s="1202">
        <f>'Fluxo de Caixa'!AD32</f>
        <v>12752620.528110815</v>
      </c>
      <c r="AF6" s="1202">
        <f>'Fluxo de Caixa'!AE32</f>
        <v>12834327.967504026</v>
      </c>
      <c r="AG6" s="1202">
        <f>'Fluxo de Caixa'!AF32</f>
        <v>12795865.684852457</v>
      </c>
      <c r="AH6" s="1202">
        <f>'Fluxo de Caixa'!AG32</f>
        <v>12831004.317776615</v>
      </c>
      <c r="AI6" s="1202">
        <f>'Fluxo de Caixa'!AH32</f>
        <v>17341220.31441972</v>
      </c>
      <c r="AJ6" s="763"/>
      <c r="AK6" s="763"/>
      <c r="AL6" s="763"/>
      <c r="AM6" s="763"/>
      <c r="AN6" s="763"/>
      <c r="AO6" s="763"/>
      <c r="AP6" s="763"/>
      <c r="AQ6" s="763"/>
      <c r="AR6" s="763"/>
      <c r="AS6" s="763"/>
      <c r="AT6" s="763"/>
      <c r="AU6" s="763"/>
      <c r="AV6" s="763"/>
      <c r="AW6" s="763"/>
    </row>
    <row r="7" spans="1:49" ht="14" customHeight="1" x14ac:dyDescent="0.3">
      <c r="B7" s="1150"/>
      <c r="C7" s="182" t="s">
        <v>425</v>
      </c>
      <c r="D7" s="182"/>
      <c r="E7" s="182"/>
      <c r="F7" s="1203">
        <f>-'Fluxo de Caixa'!E43</f>
        <v>0</v>
      </c>
      <c r="G7" s="1203">
        <f>-'Fluxo de Caixa'!F43</f>
        <v>25519923.427800044</v>
      </c>
      <c r="H7" s="1203">
        <f>-'Fluxo de Caixa'!G43</f>
        <v>0</v>
      </c>
      <c r="I7" s="1203">
        <f>-'Fluxo de Caixa'!H43</f>
        <v>0</v>
      </c>
      <c r="J7" s="1203">
        <f>-'Fluxo de Caixa'!I43</f>
        <v>0</v>
      </c>
      <c r="K7" s="1203">
        <f>-'Fluxo de Caixa'!J43</f>
        <v>550611.53781540075</v>
      </c>
      <c r="L7" s="1203">
        <f>-'Fluxo de Caixa'!K43</f>
        <v>1101223.0756308017</v>
      </c>
      <c r="M7" s="1203">
        <f>-'Fluxo de Caixa'!L43</f>
        <v>3400322.9062917717</v>
      </c>
      <c r="N7" s="1203">
        <f>-'Fluxo de Caixa'!M43</f>
        <v>4790840.1784917824</v>
      </c>
      <c r="O7" s="1203">
        <f>-'Fluxo de Caixa'!N43</f>
        <v>4797474.6027738387</v>
      </c>
      <c r="P7" s="1203">
        <f>-'Fluxo de Caixa'!O43</f>
        <v>4797474.6027738396</v>
      </c>
      <c r="Q7" s="1203">
        <f>-'Fluxo de Caixa'!P43</f>
        <v>4797474.6027738396</v>
      </c>
      <c r="R7" s="1203">
        <f>-'Fluxo de Caixa'!Q43</f>
        <v>4797474.6027738387</v>
      </c>
      <c r="S7" s="1203">
        <f>-'Fluxo de Caixa'!R43</f>
        <v>4797474.6027738396</v>
      </c>
      <c r="T7" s="1203">
        <f>-'Fluxo de Caixa'!S43</f>
        <v>5712576.3057810087</v>
      </c>
      <c r="U7" s="1203">
        <f>-'Fluxo de Caixa'!T43</f>
        <v>6261637.3275853097</v>
      </c>
      <c r="V7" s="1203">
        <f>-'Fluxo de Caixa'!U43</f>
        <v>6261637.3275853116</v>
      </c>
      <c r="W7" s="1203">
        <f>-'Fluxo de Caixa'!V43</f>
        <v>6261637.3275853097</v>
      </c>
      <c r="X7" s="1203">
        <f>-'Fluxo de Caixa'!W43</f>
        <v>6261637.3275853097</v>
      </c>
      <c r="Y7" s="1203">
        <f>-'Fluxo de Caixa'!X43</f>
        <v>6261637.3275853107</v>
      </c>
      <c r="Z7" s="1203">
        <f>-'Fluxo de Caixa'!Y43</f>
        <v>5711025.7897699093</v>
      </c>
      <c r="AA7" s="1203">
        <f>-'Fluxo de Caixa'!Z43</f>
        <v>5160414.251954508</v>
      </c>
      <c r="AB7" s="1203">
        <f>-'Fluxo de Caixa'!AA43</f>
        <v>2861314.421293539</v>
      </c>
      <c r="AC7" s="1203">
        <f>-'Fluxo de Caixa'!AB43</f>
        <v>1470797.1490935278</v>
      </c>
      <c r="AD7" s="1203">
        <f>-'Fluxo de Caixa'!AC43</f>
        <v>1464162.7248114708</v>
      </c>
      <c r="AE7" s="1203">
        <f>-'Fluxo de Caixa'!AD43</f>
        <v>1464162.7248114711</v>
      </c>
      <c r="AF7" s="1203">
        <f>-'Fluxo de Caixa'!AE43</f>
        <v>1464162.7248114713</v>
      </c>
      <c r="AG7" s="1203">
        <f>-'Fluxo de Caixa'!AF43</f>
        <v>1464162.7248114711</v>
      </c>
      <c r="AH7" s="1203">
        <f>-'Fluxo de Caixa'!AG43</f>
        <v>1464162.7248114708</v>
      </c>
      <c r="AI7" s="1203">
        <f>-'Fluxo de Caixa'!AH43</f>
        <v>549061.02180430153</v>
      </c>
      <c r="AJ7" s="763"/>
      <c r="AK7" s="763"/>
      <c r="AL7" s="763"/>
      <c r="AM7" s="763"/>
      <c r="AN7" s="763"/>
      <c r="AO7" s="763"/>
      <c r="AP7" s="763"/>
      <c r="AQ7" s="763"/>
      <c r="AR7" s="763"/>
      <c r="AS7" s="763"/>
      <c r="AT7" s="763"/>
      <c r="AU7" s="763"/>
      <c r="AV7" s="763"/>
    </row>
    <row r="8" spans="1:49" s="173" customFormat="1" ht="6" customHeight="1" x14ac:dyDescent="0.3">
      <c r="A8" s="79"/>
      <c r="B8" s="1151"/>
      <c r="C8" s="1115"/>
      <c r="D8" s="1151"/>
      <c r="E8" s="1151"/>
      <c r="F8" s="1204"/>
      <c r="G8" s="1204"/>
      <c r="H8" s="1204"/>
      <c r="I8" s="1204"/>
      <c r="J8" s="1204"/>
      <c r="K8" s="1204"/>
      <c r="L8" s="1204"/>
      <c r="M8" s="1204"/>
      <c r="N8" s="1204"/>
      <c r="O8" s="1204"/>
      <c r="P8" s="1204"/>
      <c r="Q8" s="1204"/>
      <c r="R8" s="1204"/>
      <c r="S8" s="1204"/>
      <c r="T8" s="1204"/>
      <c r="U8" s="1204"/>
      <c r="V8" s="1204"/>
      <c r="W8" s="1204"/>
      <c r="X8" s="1204"/>
      <c r="Y8" s="1204"/>
      <c r="Z8" s="1204"/>
      <c r="AA8" s="1204"/>
      <c r="AB8" s="1204"/>
      <c r="AC8" s="1204"/>
      <c r="AD8" s="1204"/>
      <c r="AE8" s="1204"/>
      <c r="AF8" s="1204"/>
      <c r="AG8" s="1204"/>
      <c r="AH8" s="1204"/>
      <c r="AI8" s="1204"/>
    </row>
    <row r="9" spans="1:49" x14ac:dyDescent="0.3">
      <c r="A9" s="199"/>
      <c r="B9" s="1152" t="s">
        <v>1233</v>
      </c>
      <c r="C9" s="1153"/>
      <c r="D9" s="1153"/>
      <c r="E9" s="1154"/>
      <c r="F9" s="1205">
        <f>IFERROR(F6/F7,0)</f>
        <v>0</v>
      </c>
      <c r="G9" s="1205">
        <f t="shared" ref="G9:AI9" si="0">IFERROR(G6/G7,0)</f>
        <v>-2.7008676730687856E-3</v>
      </c>
      <c r="H9" s="1205">
        <f t="shared" si="0"/>
        <v>0</v>
      </c>
      <c r="I9" s="1205">
        <f t="shared" si="0"/>
        <v>0</v>
      </c>
      <c r="J9" s="1205">
        <f t="shared" si="0"/>
        <v>0</v>
      </c>
      <c r="K9" s="1205">
        <f t="shared" si="0"/>
        <v>27.315787946494211</v>
      </c>
      <c r="L9" s="1205">
        <f t="shared" si="0"/>
        <v>13.953099332572631</v>
      </c>
      <c r="M9" s="1205">
        <f t="shared" si="0"/>
        <v>3.6530459940469995</v>
      </c>
      <c r="N9" s="1205">
        <f t="shared" si="0"/>
        <v>4.0721275031778896</v>
      </c>
      <c r="O9" s="1205">
        <f t="shared" si="0"/>
        <v>3.8725129180653433</v>
      </c>
      <c r="P9" s="1205">
        <f t="shared" si="0"/>
        <v>2.4194909562388602</v>
      </c>
      <c r="Q9" s="1205">
        <f t="shared" si="0"/>
        <v>2.4556334095692991</v>
      </c>
      <c r="R9" s="1205">
        <f t="shared" si="0"/>
        <v>2.4779590583373228</v>
      </c>
      <c r="S9" s="1205">
        <f t="shared" si="0"/>
        <v>2.4982746795821482</v>
      </c>
      <c r="T9" s="1205">
        <f t="shared" si="0"/>
        <v>2.0912921394941946</v>
      </c>
      <c r="U9" s="1205">
        <f t="shared" si="0"/>
        <v>1.946833334424406</v>
      </c>
      <c r="V9" s="1205">
        <f t="shared" si="0"/>
        <v>2.9545177109623162</v>
      </c>
      <c r="W9" s="1205">
        <f t="shared" si="0"/>
        <v>1.9493645368565735</v>
      </c>
      <c r="X9" s="1205">
        <f t="shared" si="0"/>
        <v>1.9725579153825186</v>
      </c>
      <c r="Y9" s="1205">
        <f t="shared" si="0"/>
        <v>2.1535854299783295</v>
      </c>
      <c r="Z9" s="1205">
        <f t="shared" si="0"/>
        <v>2.1713750931187179</v>
      </c>
      <c r="AA9" s="1205">
        <f t="shared" si="0"/>
        <v>2.4214882392566852</v>
      </c>
      <c r="AB9" s="1205">
        <f t="shared" si="0"/>
        <v>4.3788514764348339</v>
      </c>
      <c r="AC9" s="1205">
        <f t="shared" si="0"/>
        <v>8.5564724216772863</v>
      </c>
      <c r="AD9" s="1205">
        <f t="shared" si="0"/>
        <v>12.80974852827374</v>
      </c>
      <c r="AE9" s="1205">
        <f t="shared" si="0"/>
        <v>8.7098382659296778</v>
      </c>
      <c r="AF9" s="1205">
        <f t="shared" si="0"/>
        <v>8.7656431556517056</v>
      </c>
      <c r="AG9" s="1205">
        <f t="shared" si="0"/>
        <v>8.7393740244958646</v>
      </c>
      <c r="AH9" s="1205">
        <f t="shared" si="0"/>
        <v>8.7633731554180674</v>
      </c>
      <c r="AI9" s="1205">
        <f t="shared" si="0"/>
        <v>31.583411726138785</v>
      </c>
      <c r="AJ9" s="763"/>
      <c r="AK9" s="763"/>
      <c r="AL9" s="763"/>
      <c r="AM9" s="763"/>
      <c r="AN9" s="763"/>
      <c r="AO9" s="763"/>
      <c r="AP9" s="763"/>
      <c r="AQ9" s="763"/>
      <c r="AR9" s="763"/>
      <c r="AS9" s="763"/>
      <c r="AT9" s="763"/>
      <c r="AU9" s="763"/>
      <c r="AV9" s="763"/>
      <c r="AW9" s="763"/>
    </row>
    <row r="10" spans="1:49" s="173" customFormat="1" ht="6" customHeight="1" x14ac:dyDescent="0.3">
      <c r="A10" s="79"/>
      <c r="B10" s="1151"/>
      <c r="C10" s="1115"/>
      <c r="D10" s="1151"/>
      <c r="E10" s="1151"/>
      <c r="F10" s="1206"/>
      <c r="G10" s="1206"/>
      <c r="H10" s="1206"/>
      <c r="I10" s="1206"/>
      <c r="J10" s="1206"/>
      <c r="K10" s="1206"/>
      <c r="L10" s="1206"/>
      <c r="M10" s="1206"/>
      <c r="N10" s="1206"/>
      <c r="O10" s="1206"/>
      <c r="P10" s="1206"/>
      <c r="Q10" s="1206"/>
      <c r="R10" s="1206"/>
      <c r="S10" s="1206"/>
      <c r="T10" s="1206"/>
      <c r="U10" s="1206"/>
      <c r="V10" s="1206"/>
      <c r="W10" s="1206"/>
      <c r="X10" s="1206"/>
      <c r="Y10" s="1206"/>
      <c r="Z10" s="1206"/>
      <c r="AA10" s="1206"/>
      <c r="AB10" s="1206"/>
      <c r="AC10" s="1206"/>
      <c r="AD10" s="1206"/>
      <c r="AE10" s="1206"/>
      <c r="AF10" s="1206"/>
      <c r="AG10" s="1206"/>
      <c r="AH10" s="1206"/>
      <c r="AI10" s="1206"/>
    </row>
    <row r="11" spans="1:49" x14ac:dyDescent="0.3">
      <c r="A11" s="199"/>
      <c r="B11" s="1152" t="s">
        <v>1234</v>
      </c>
      <c r="C11" s="1153"/>
      <c r="D11" s="1153"/>
      <c r="E11" s="1154"/>
      <c r="F11" s="1205">
        <v>1.3</v>
      </c>
      <c r="G11" s="1205">
        <f>F11</f>
        <v>1.3</v>
      </c>
      <c r="H11" s="1205">
        <f t="shared" ref="H11:AI11" si="1">G11</f>
        <v>1.3</v>
      </c>
      <c r="I11" s="1205">
        <f t="shared" si="1"/>
        <v>1.3</v>
      </c>
      <c r="J11" s="1205">
        <f t="shared" si="1"/>
        <v>1.3</v>
      </c>
      <c r="K11" s="1205">
        <f t="shared" si="1"/>
        <v>1.3</v>
      </c>
      <c r="L11" s="1205">
        <f t="shared" si="1"/>
        <v>1.3</v>
      </c>
      <c r="M11" s="1205">
        <f t="shared" si="1"/>
        <v>1.3</v>
      </c>
      <c r="N11" s="1205">
        <f t="shared" si="1"/>
        <v>1.3</v>
      </c>
      <c r="O11" s="1205">
        <f t="shared" si="1"/>
        <v>1.3</v>
      </c>
      <c r="P11" s="1205">
        <f t="shared" si="1"/>
        <v>1.3</v>
      </c>
      <c r="Q11" s="1205">
        <f t="shared" si="1"/>
        <v>1.3</v>
      </c>
      <c r="R11" s="1205">
        <f t="shared" si="1"/>
        <v>1.3</v>
      </c>
      <c r="S11" s="1205">
        <f t="shared" si="1"/>
        <v>1.3</v>
      </c>
      <c r="T11" s="1205">
        <f t="shared" si="1"/>
        <v>1.3</v>
      </c>
      <c r="U11" s="1205">
        <f t="shared" si="1"/>
        <v>1.3</v>
      </c>
      <c r="V11" s="1205">
        <f t="shared" si="1"/>
        <v>1.3</v>
      </c>
      <c r="W11" s="1205">
        <f t="shared" si="1"/>
        <v>1.3</v>
      </c>
      <c r="X11" s="1205">
        <f t="shared" si="1"/>
        <v>1.3</v>
      </c>
      <c r="Y11" s="1205">
        <f t="shared" si="1"/>
        <v>1.3</v>
      </c>
      <c r="Z11" s="1205">
        <f t="shared" si="1"/>
        <v>1.3</v>
      </c>
      <c r="AA11" s="1205">
        <f t="shared" si="1"/>
        <v>1.3</v>
      </c>
      <c r="AB11" s="1205">
        <f t="shared" si="1"/>
        <v>1.3</v>
      </c>
      <c r="AC11" s="1205">
        <f t="shared" si="1"/>
        <v>1.3</v>
      </c>
      <c r="AD11" s="1205">
        <f t="shared" si="1"/>
        <v>1.3</v>
      </c>
      <c r="AE11" s="1205">
        <f t="shared" si="1"/>
        <v>1.3</v>
      </c>
      <c r="AF11" s="1205">
        <f t="shared" si="1"/>
        <v>1.3</v>
      </c>
      <c r="AG11" s="1205">
        <f t="shared" si="1"/>
        <v>1.3</v>
      </c>
      <c r="AH11" s="1205">
        <f t="shared" si="1"/>
        <v>1.3</v>
      </c>
      <c r="AI11" s="1205">
        <f t="shared" si="1"/>
        <v>1.3</v>
      </c>
      <c r="AJ11" s="763"/>
      <c r="AK11" s="763"/>
      <c r="AL11" s="763"/>
      <c r="AM11" s="763"/>
      <c r="AN11" s="763"/>
      <c r="AO11" s="763"/>
      <c r="AP11" s="763"/>
      <c r="AQ11" s="763"/>
      <c r="AR11" s="763"/>
      <c r="AS11" s="763"/>
      <c r="AT11" s="763"/>
      <c r="AU11" s="763"/>
      <c r="AV11" s="763"/>
      <c r="AW11" s="763"/>
    </row>
    <row r="12" spans="1:49" x14ac:dyDescent="0.3">
      <c r="F12" s="1207"/>
      <c r="G12" s="1207"/>
      <c r="H12" s="1207"/>
      <c r="I12" s="1207"/>
      <c r="J12" s="1207"/>
      <c r="K12" s="1207"/>
      <c r="L12" s="1207"/>
      <c r="M12" s="1207"/>
      <c r="N12" s="1207"/>
      <c r="O12" s="1207"/>
      <c r="P12" s="1207"/>
      <c r="Q12" s="1207"/>
      <c r="R12" s="1207"/>
      <c r="S12" s="1207"/>
      <c r="T12" s="1207"/>
      <c r="U12" s="1207"/>
      <c r="V12" s="1207"/>
      <c r="W12" s="1207"/>
      <c r="X12" s="1207"/>
      <c r="Y12" s="1207"/>
      <c r="Z12" s="1207"/>
      <c r="AA12" s="1207"/>
      <c r="AB12" s="1207"/>
      <c r="AC12" s="1207"/>
      <c r="AD12" s="1207"/>
      <c r="AE12" s="1207"/>
      <c r="AF12" s="1207"/>
      <c r="AG12" s="1207"/>
      <c r="AH12" s="1207"/>
      <c r="AI12" s="1207"/>
    </row>
    <row r="13" spans="1:49" x14ac:dyDescent="0.3">
      <c r="B13" s="1152" t="s">
        <v>1235</v>
      </c>
      <c r="C13" s="1153"/>
      <c r="D13" s="1153"/>
      <c r="E13" s="1154"/>
      <c r="F13" s="1205">
        <f>AVERAGE(F9:AI9)</f>
        <v>5.756098602796845</v>
      </c>
      <c r="G13" s="1205">
        <f>F13</f>
        <v>5.756098602796845</v>
      </c>
      <c r="H13" s="1205">
        <f t="shared" ref="H13:AI13" si="2">G13</f>
        <v>5.756098602796845</v>
      </c>
      <c r="I13" s="1205">
        <f t="shared" si="2"/>
        <v>5.756098602796845</v>
      </c>
      <c r="J13" s="1205">
        <f t="shared" si="2"/>
        <v>5.756098602796845</v>
      </c>
      <c r="K13" s="1205">
        <f t="shared" si="2"/>
        <v>5.756098602796845</v>
      </c>
      <c r="L13" s="1205">
        <f t="shared" si="2"/>
        <v>5.756098602796845</v>
      </c>
      <c r="M13" s="1205">
        <f t="shared" si="2"/>
        <v>5.756098602796845</v>
      </c>
      <c r="N13" s="1205">
        <f t="shared" si="2"/>
        <v>5.756098602796845</v>
      </c>
      <c r="O13" s="1205">
        <f t="shared" si="2"/>
        <v>5.756098602796845</v>
      </c>
      <c r="P13" s="1205">
        <f t="shared" si="2"/>
        <v>5.756098602796845</v>
      </c>
      <c r="Q13" s="1205">
        <f t="shared" si="2"/>
        <v>5.756098602796845</v>
      </c>
      <c r="R13" s="1205">
        <f t="shared" si="2"/>
        <v>5.756098602796845</v>
      </c>
      <c r="S13" s="1205">
        <f t="shared" si="2"/>
        <v>5.756098602796845</v>
      </c>
      <c r="T13" s="1205">
        <f t="shared" si="2"/>
        <v>5.756098602796845</v>
      </c>
      <c r="U13" s="1205">
        <f t="shared" si="2"/>
        <v>5.756098602796845</v>
      </c>
      <c r="V13" s="1205">
        <f t="shared" si="2"/>
        <v>5.756098602796845</v>
      </c>
      <c r="W13" s="1205">
        <f t="shared" si="2"/>
        <v>5.756098602796845</v>
      </c>
      <c r="X13" s="1205">
        <f t="shared" si="2"/>
        <v>5.756098602796845</v>
      </c>
      <c r="Y13" s="1205">
        <f t="shared" si="2"/>
        <v>5.756098602796845</v>
      </c>
      <c r="Z13" s="1205">
        <f t="shared" si="2"/>
        <v>5.756098602796845</v>
      </c>
      <c r="AA13" s="1205">
        <f t="shared" si="2"/>
        <v>5.756098602796845</v>
      </c>
      <c r="AB13" s="1205">
        <f t="shared" si="2"/>
        <v>5.756098602796845</v>
      </c>
      <c r="AC13" s="1205">
        <f t="shared" si="2"/>
        <v>5.756098602796845</v>
      </c>
      <c r="AD13" s="1205">
        <f t="shared" si="2"/>
        <v>5.756098602796845</v>
      </c>
      <c r="AE13" s="1205">
        <f t="shared" si="2"/>
        <v>5.756098602796845</v>
      </c>
      <c r="AF13" s="1205">
        <f t="shared" si="2"/>
        <v>5.756098602796845</v>
      </c>
      <c r="AG13" s="1205">
        <f t="shared" si="2"/>
        <v>5.756098602796845</v>
      </c>
      <c r="AH13" s="1205">
        <f t="shared" si="2"/>
        <v>5.756098602796845</v>
      </c>
      <c r="AI13" s="1205">
        <f t="shared" si="2"/>
        <v>5.756098602796845</v>
      </c>
    </row>
    <row r="17" spans="4:4" x14ac:dyDescent="0.3">
      <c r="D17" s="1155" t="s">
        <v>1236</v>
      </c>
    </row>
  </sheetData>
  <sheetProtection algorithmName="SHA-512" hashValue="PxSkEwx0R+b8sNE/FJL7ybJ33vt6ZJMgQwIDFu+ELGUMYy6FWxPmZEFU/3zprWF7Y4lfzerSyljdH4ZaZTEOXA==" saltValue="d9AI9GcjZz7PJKCBYE67mA==" spinCount="100000" sheet="1" objects="1" scenarios="1"/>
  <printOptions verticalCentered="1"/>
  <pageMargins left="0.51181102362204722" right="0" top="0.78740157480314965" bottom="0.78740157480314965" header="0.31496062992125984" footer="0.31496062992125984"/>
  <pageSetup paperSize="8" scale="47" orientation="landscape" r:id="rId1"/>
  <headerFooter>
    <oddFooter>&amp;C_x000D_&amp;1#&amp;"Aptos"&amp;10&amp;K000000 INFORMAÇÃO CONTROLADA</oddFooter>
  </headerFooter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BB968-16BE-472F-9B2D-5C8EB2E6187D}">
  <sheetPr codeName="Planilha29"/>
  <dimension ref="A2:CU453"/>
  <sheetViews>
    <sheetView showGridLines="0" topLeftCell="B1" workbookViewId="0">
      <selection activeCell="B9" sqref="B9"/>
    </sheetView>
  </sheetViews>
  <sheetFormatPr defaultColWidth="8.81640625" defaultRowHeight="14.5" x14ac:dyDescent="0.35"/>
  <cols>
    <col min="2" max="2" width="2.36328125" customWidth="1"/>
    <col min="3" max="3" width="8.36328125" customWidth="1"/>
    <col min="4" max="4" width="22.81640625" customWidth="1"/>
    <col min="5" max="5" width="13.08984375" customWidth="1"/>
    <col min="6" max="6" width="15.453125" customWidth="1"/>
    <col min="7" max="7" width="14.36328125" customWidth="1"/>
    <col min="8" max="8" width="16.81640625" bestFit="1" customWidth="1"/>
    <col min="9" max="9" width="17.453125" customWidth="1"/>
    <col min="10" max="64" width="14" customWidth="1"/>
    <col min="65" max="65" width="9.453125" bestFit="1" customWidth="1"/>
    <col min="66" max="66" width="12.453125" bestFit="1" customWidth="1"/>
    <col min="67" max="67" width="11.6328125" bestFit="1" customWidth="1"/>
    <col min="68" max="68" width="14" bestFit="1" customWidth="1"/>
    <col min="69" max="96" width="14" customWidth="1"/>
    <col min="97" max="98" width="12" bestFit="1" customWidth="1"/>
    <col min="99" max="100" width="14" bestFit="1" customWidth="1"/>
  </cols>
  <sheetData>
    <row r="2" spans="2:64" ht="21" x14ac:dyDescent="0.5">
      <c r="B2" s="639"/>
      <c r="C2" s="639" t="s">
        <v>18</v>
      </c>
      <c r="D2" s="639"/>
      <c r="E2" s="639"/>
      <c r="F2" s="639"/>
      <c r="G2" s="639"/>
      <c r="H2" s="639"/>
      <c r="I2" s="639"/>
      <c r="J2" s="639"/>
      <c r="K2" s="639"/>
      <c r="L2" s="639"/>
      <c r="M2" s="639"/>
      <c r="N2" s="639"/>
      <c r="O2" s="639"/>
      <c r="P2" s="639"/>
      <c r="Q2" s="639"/>
      <c r="R2" s="639"/>
      <c r="S2" s="639"/>
      <c r="T2" s="639"/>
      <c r="U2" s="639"/>
      <c r="V2" s="639"/>
      <c r="W2" s="639"/>
      <c r="X2" s="639"/>
      <c r="Y2" s="639"/>
      <c r="Z2" s="639"/>
      <c r="AA2" s="639"/>
      <c r="AB2" s="639"/>
      <c r="AC2" s="639"/>
      <c r="AD2" s="639"/>
      <c r="AE2" s="639"/>
      <c r="AF2" s="639"/>
      <c r="AG2" s="639"/>
      <c r="AH2" s="639"/>
      <c r="AI2" s="639"/>
      <c r="AJ2" s="639"/>
    </row>
    <row r="3" spans="2:64" ht="7.5" customHeight="1" x14ac:dyDescent="0.5">
      <c r="B3" s="1210"/>
      <c r="C3" s="1210"/>
      <c r="D3" s="1210"/>
      <c r="E3" s="1210"/>
      <c r="F3" s="1210"/>
      <c r="G3" s="1210"/>
      <c r="H3" s="1210"/>
      <c r="I3" s="1210"/>
      <c r="J3" s="1210"/>
      <c r="K3" s="1210"/>
      <c r="L3" s="1210"/>
      <c r="M3" s="1210"/>
      <c r="N3" s="1210"/>
      <c r="O3" s="1210"/>
      <c r="P3" s="1210"/>
      <c r="Q3" s="1210"/>
      <c r="R3" s="1210"/>
      <c r="S3" s="1210"/>
      <c r="T3" s="1210"/>
      <c r="U3" s="1210"/>
      <c r="V3" s="1210"/>
      <c r="W3" s="1210"/>
      <c r="X3" s="1210"/>
      <c r="Y3" s="1210"/>
      <c r="Z3" s="1210"/>
      <c r="AA3" s="1210"/>
      <c r="AB3" s="1210"/>
      <c r="AC3" s="1210"/>
      <c r="AD3" s="1210"/>
      <c r="AE3" s="1210"/>
      <c r="AF3" s="1210"/>
      <c r="AG3" s="1210"/>
      <c r="AH3" s="1210"/>
      <c r="AI3" s="1210"/>
      <c r="AJ3" s="1210"/>
    </row>
    <row r="4" spans="2:64" ht="21.5" thickBot="1" x14ac:dyDescent="0.55000000000000004">
      <c r="B4" s="549"/>
      <c r="C4" s="549"/>
      <c r="D4" s="549"/>
      <c r="E4" s="549"/>
      <c r="F4" s="549"/>
      <c r="G4" s="549"/>
      <c r="H4" s="549"/>
      <c r="I4" s="549"/>
      <c r="J4" s="549"/>
      <c r="K4" s="549"/>
      <c r="L4" s="549"/>
      <c r="M4" s="549"/>
      <c r="N4" s="1210"/>
      <c r="O4" s="1210"/>
      <c r="P4" s="1210"/>
      <c r="Q4" s="1210"/>
      <c r="R4" s="1210"/>
      <c r="S4" s="1210"/>
      <c r="T4" s="1210"/>
      <c r="U4" s="1210"/>
      <c r="V4" s="1210"/>
      <c r="W4" s="1210"/>
      <c r="X4" s="1210"/>
      <c r="Y4" s="1210"/>
      <c r="Z4" s="1210"/>
      <c r="AA4" s="1210"/>
      <c r="AB4" s="1210"/>
      <c r="AC4" s="1210"/>
      <c r="AD4" s="1210"/>
      <c r="AE4" s="1210"/>
      <c r="AF4" s="1210"/>
      <c r="AG4" s="1210"/>
      <c r="AH4" s="1210"/>
      <c r="AI4" s="1210"/>
      <c r="AJ4" s="1210"/>
    </row>
    <row r="5" spans="2:64" ht="29.5" thickBot="1" x14ac:dyDescent="0.4">
      <c r="B5" s="843"/>
      <c r="C5" s="1116"/>
      <c r="D5" s="1116"/>
      <c r="E5" s="1116"/>
      <c r="F5" s="843" t="s">
        <v>176</v>
      </c>
      <c r="G5" s="843" t="s">
        <v>1237</v>
      </c>
      <c r="H5" s="840" t="s">
        <v>1238</v>
      </c>
      <c r="I5" s="549"/>
      <c r="J5" s="840" t="s">
        <v>1239</v>
      </c>
      <c r="K5" s="549"/>
      <c r="L5" s="549"/>
      <c r="M5" s="549"/>
    </row>
    <row r="6" spans="2:64" ht="15" thickBot="1" x14ac:dyDescent="0.4">
      <c r="B6" s="549"/>
      <c r="C6" s="549" t="s">
        <v>1240</v>
      </c>
      <c r="D6" s="549"/>
      <c r="E6" s="549"/>
      <c r="F6" s="1211"/>
      <c r="G6" s="1212">
        <f>'CAPEX E OPEX'!F88*0.5</f>
        <v>22397082.247499999</v>
      </c>
      <c r="H6" s="626">
        <v>12</v>
      </c>
      <c r="I6" s="549"/>
      <c r="J6" s="1213">
        <f>SMALL(ICSD!K9:AI9,1)</f>
        <v>1.946833334424406</v>
      </c>
      <c r="K6" s="549"/>
      <c r="L6" s="549"/>
      <c r="M6" s="549"/>
    </row>
    <row r="7" spans="2:64" ht="15" thickBot="1" x14ac:dyDescent="0.4">
      <c r="B7" s="1214"/>
      <c r="C7" s="1214" t="s">
        <v>1241</v>
      </c>
      <c r="D7" s="1214"/>
      <c r="E7" s="1214"/>
      <c r="F7" s="1141">
        <v>0.7</v>
      </c>
      <c r="G7" s="844">
        <f>SUM('CAPEX E OPEX'!F88:I88)*F7</f>
        <v>40621826.750399992</v>
      </c>
      <c r="H7" s="626">
        <v>48</v>
      </c>
      <c r="I7" s="549"/>
      <c r="J7" s="549"/>
      <c r="K7" s="549"/>
      <c r="L7" s="549"/>
      <c r="M7" s="549"/>
      <c r="N7" s="96"/>
      <c r="O7" s="96"/>
      <c r="P7" s="96"/>
      <c r="Q7" s="96"/>
      <c r="R7" s="96"/>
      <c r="S7" s="96"/>
      <c r="T7" s="96"/>
      <c r="U7" s="96"/>
      <c r="V7" s="96"/>
      <c r="W7" s="96"/>
      <c r="X7" s="96"/>
      <c r="Y7" s="96"/>
      <c r="Z7" s="96"/>
      <c r="AA7" s="96"/>
      <c r="AB7" s="96"/>
      <c r="AC7" s="96"/>
      <c r="AD7" s="96"/>
      <c r="AE7" s="96"/>
      <c r="AF7" s="96"/>
      <c r="AG7" s="96"/>
      <c r="AH7" s="96"/>
      <c r="AI7" s="96"/>
      <c r="AJ7" s="96"/>
      <c r="AK7" s="96"/>
      <c r="AL7" s="96"/>
      <c r="AM7" s="96"/>
      <c r="AN7" s="96"/>
      <c r="AO7" s="96"/>
      <c r="AP7" s="96"/>
      <c r="AQ7" s="96"/>
      <c r="AR7" s="96"/>
      <c r="AS7" s="96"/>
      <c r="AT7" s="96"/>
      <c r="AU7" s="96"/>
      <c r="AV7" s="96"/>
      <c r="AW7" s="96"/>
      <c r="AX7" s="96"/>
      <c r="AY7" s="96"/>
      <c r="AZ7" s="96"/>
      <c r="BA7" s="96"/>
      <c r="BB7" s="96"/>
      <c r="BC7" s="96"/>
      <c r="BD7" s="96"/>
      <c r="BE7" s="96"/>
      <c r="BF7" s="96"/>
      <c r="BG7" s="96"/>
      <c r="BH7" s="96"/>
      <c r="BI7" s="96"/>
      <c r="BJ7" s="96"/>
      <c r="BK7" s="96"/>
      <c r="BL7" s="96"/>
    </row>
    <row r="8" spans="2:64" ht="15" thickBot="1" x14ac:dyDescent="0.4">
      <c r="B8" s="549"/>
      <c r="C8" s="549" t="s">
        <v>1242</v>
      </c>
      <c r="D8" s="549"/>
      <c r="E8" s="549"/>
      <c r="F8" s="1141">
        <v>0.7</v>
      </c>
      <c r="G8" s="844">
        <f>SUM('CAPEX E OPEX'!J88:K88)*F8</f>
        <v>149691.024</v>
      </c>
      <c r="H8" s="626">
        <v>48</v>
      </c>
      <c r="I8" s="549"/>
      <c r="J8" s="549"/>
      <c r="K8" s="549"/>
      <c r="L8" s="549"/>
      <c r="M8" s="549"/>
    </row>
    <row r="9" spans="2:64" ht="15" thickBot="1" x14ac:dyDescent="0.4">
      <c r="B9" s="1215"/>
      <c r="C9" s="1215" t="s">
        <v>1243</v>
      </c>
      <c r="D9" s="1215"/>
      <c r="E9" s="1215"/>
      <c r="F9" s="1141">
        <v>0.7</v>
      </c>
      <c r="G9" s="844">
        <f>SUM('CAPEX E OPEX'!P88)*F9</f>
        <v>12388340.434399998</v>
      </c>
      <c r="H9" s="626">
        <v>48</v>
      </c>
      <c r="I9" s="549"/>
      <c r="J9" s="549"/>
      <c r="K9" s="549"/>
      <c r="L9" s="549"/>
      <c r="M9" s="549"/>
    </row>
    <row r="10" spans="2:64" ht="15" thickBot="1" x14ac:dyDescent="0.4">
      <c r="B10" s="549"/>
      <c r="C10" s="549"/>
      <c r="D10" s="549"/>
      <c r="E10" s="549"/>
      <c r="F10" s="549"/>
      <c r="G10" s="1216">
        <f>G7+G8+G9+G6</f>
        <v>75556940.45629999</v>
      </c>
      <c r="H10" s="549"/>
      <c r="I10" s="873">
        <f>SUM(G7:G9)</f>
        <v>53159858.208799988</v>
      </c>
      <c r="J10" s="549"/>
      <c r="K10" s="549"/>
      <c r="L10" s="549"/>
      <c r="M10" s="549"/>
    </row>
    <row r="11" spans="2:64" ht="15" thickBot="1" x14ac:dyDescent="0.4">
      <c r="B11" s="549"/>
      <c r="C11" s="549" t="s">
        <v>1244</v>
      </c>
      <c r="D11" s="549"/>
      <c r="E11" s="549"/>
      <c r="F11" s="626">
        <v>180</v>
      </c>
      <c r="G11" s="549" t="s">
        <v>1245</v>
      </c>
      <c r="H11" s="549"/>
      <c r="I11" s="549"/>
      <c r="J11" s="549"/>
      <c r="K11" s="549"/>
      <c r="L11" s="549"/>
      <c r="M11" s="549"/>
    </row>
    <row r="12" spans="2:64" ht="15" thickBot="1" x14ac:dyDescent="0.4">
      <c r="B12" s="549"/>
      <c r="C12" s="549" t="s">
        <v>1246</v>
      </c>
      <c r="D12" s="549"/>
      <c r="E12" s="549"/>
      <c r="F12" s="626">
        <v>180</v>
      </c>
      <c r="G12" s="549" t="s">
        <v>1245</v>
      </c>
      <c r="H12" s="549"/>
      <c r="I12" s="549"/>
      <c r="J12" s="549"/>
      <c r="K12" s="549"/>
      <c r="L12" s="549"/>
      <c r="M12" s="549"/>
    </row>
    <row r="13" spans="2:64" ht="15" thickBot="1" x14ac:dyDescent="0.4">
      <c r="B13" s="549"/>
      <c r="C13" s="549" t="s">
        <v>1247</v>
      </c>
      <c r="D13" s="549"/>
      <c r="E13" s="549"/>
      <c r="F13" s="626">
        <v>180</v>
      </c>
      <c r="G13" s="549" t="s">
        <v>1245</v>
      </c>
      <c r="H13" s="549"/>
      <c r="I13" s="549"/>
      <c r="J13" s="549"/>
      <c r="K13" s="549"/>
      <c r="L13" s="549"/>
      <c r="M13" s="549"/>
    </row>
    <row r="14" spans="2:64" x14ac:dyDescent="0.35">
      <c r="B14" s="549"/>
      <c r="C14" s="549"/>
      <c r="D14" s="549"/>
      <c r="E14" s="549"/>
      <c r="F14" s="549"/>
      <c r="G14" s="549"/>
      <c r="H14" s="549"/>
      <c r="I14" s="549"/>
      <c r="J14" s="549"/>
      <c r="K14" s="549"/>
      <c r="L14" s="549"/>
      <c r="M14" s="549"/>
    </row>
    <row r="15" spans="2:64" ht="15" thickBot="1" x14ac:dyDescent="0.4">
      <c r="F15" s="1217"/>
    </row>
    <row r="16" spans="2:64" s="252" customFormat="1" ht="15" customHeight="1" thickTop="1" x14ac:dyDescent="0.3">
      <c r="B16" s="199"/>
      <c r="C16" s="255" t="s">
        <v>1248</v>
      </c>
      <c r="D16" s="256"/>
      <c r="E16" s="257"/>
      <c r="F16" s="257" t="s">
        <v>455</v>
      </c>
      <c r="G16" s="258">
        <v>1</v>
      </c>
      <c r="H16" s="258">
        <v>2</v>
      </c>
      <c r="I16" s="258">
        <v>3</v>
      </c>
      <c r="J16" s="258">
        <v>4</v>
      </c>
      <c r="K16" s="258">
        <v>5</v>
      </c>
      <c r="L16" s="258">
        <v>6</v>
      </c>
      <c r="M16" s="258">
        <v>7</v>
      </c>
      <c r="N16" s="258">
        <v>8</v>
      </c>
      <c r="O16" s="258">
        <v>9</v>
      </c>
      <c r="P16" s="258">
        <v>10</v>
      </c>
      <c r="Q16" s="258">
        <v>11</v>
      </c>
      <c r="R16" s="258">
        <v>12</v>
      </c>
      <c r="S16" s="258">
        <v>13</v>
      </c>
      <c r="T16" s="258">
        <v>14</v>
      </c>
      <c r="U16" s="258">
        <v>15</v>
      </c>
      <c r="V16" s="258">
        <v>16</v>
      </c>
      <c r="W16" s="258">
        <v>17</v>
      </c>
      <c r="X16" s="258">
        <v>18</v>
      </c>
      <c r="Y16" s="258">
        <v>19</v>
      </c>
      <c r="Z16" s="258">
        <v>20</v>
      </c>
      <c r="AA16" s="258">
        <v>21</v>
      </c>
      <c r="AB16" s="258">
        <v>22</v>
      </c>
      <c r="AC16" s="258">
        <v>23</v>
      </c>
      <c r="AD16" s="258">
        <v>24</v>
      </c>
      <c r="AE16" s="258">
        <v>25</v>
      </c>
      <c r="AF16" s="258">
        <v>26</v>
      </c>
      <c r="AG16" s="258">
        <v>27</v>
      </c>
      <c r="AH16" s="258">
        <v>28</v>
      </c>
      <c r="AI16" s="258">
        <v>29</v>
      </c>
      <c r="AJ16" s="258">
        <v>30</v>
      </c>
    </row>
    <row r="17" spans="1:36" s="173" customFormat="1" ht="6" customHeight="1" x14ac:dyDescent="0.3">
      <c r="B17" s="79"/>
      <c r="E17" s="193"/>
      <c r="F17" s="193"/>
    </row>
    <row r="18" spans="1:36" s="199" customFormat="1" ht="12" x14ac:dyDescent="0.3">
      <c r="C18" s="196" t="s">
        <v>1240</v>
      </c>
      <c r="D18" s="196"/>
      <c r="E18" s="1218"/>
      <c r="F18" s="1219">
        <f>SUM(G18:AJ18)</f>
        <v>22397082.247499999</v>
      </c>
      <c r="G18" s="1220">
        <f>'Instrumentos Financeiros'!H55</f>
        <v>22397082.247499999</v>
      </c>
      <c r="H18" s="1220">
        <v>0</v>
      </c>
      <c r="I18" s="1220">
        <v>0</v>
      </c>
      <c r="J18" s="1220">
        <v>0</v>
      </c>
      <c r="K18" s="1220">
        <v>0</v>
      </c>
      <c r="L18" s="1220">
        <v>0</v>
      </c>
      <c r="M18" s="1220">
        <v>0</v>
      </c>
      <c r="N18" s="1220">
        <v>0</v>
      </c>
      <c r="O18" s="1220">
        <v>0</v>
      </c>
      <c r="P18" s="1220">
        <v>0</v>
      </c>
      <c r="Q18" s="1220">
        <v>0</v>
      </c>
      <c r="R18" s="1220">
        <v>0</v>
      </c>
      <c r="S18" s="1220">
        <v>0</v>
      </c>
      <c r="T18" s="1220">
        <v>0</v>
      </c>
      <c r="U18" s="1220">
        <v>0</v>
      </c>
      <c r="V18" s="1220">
        <v>0</v>
      </c>
      <c r="W18" s="1220">
        <v>0</v>
      </c>
      <c r="X18" s="1220">
        <v>0</v>
      </c>
      <c r="Y18" s="1220">
        <v>0</v>
      </c>
      <c r="Z18" s="1220">
        <v>0</v>
      </c>
      <c r="AA18" s="1220">
        <v>0</v>
      </c>
      <c r="AB18" s="1220">
        <v>0</v>
      </c>
      <c r="AC18" s="1220">
        <v>0</v>
      </c>
      <c r="AD18" s="1220">
        <v>0</v>
      </c>
      <c r="AE18" s="1220">
        <v>0</v>
      </c>
      <c r="AF18" s="1220">
        <v>0</v>
      </c>
      <c r="AG18" s="1220">
        <v>0</v>
      </c>
      <c r="AH18" s="1220">
        <v>0</v>
      </c>
      <c r="AI18" s="1220">
        <v>0</v>
      </c>
      <c r="AJ18" s="1220">
        <v>0</v>
      </c>
    </row>
    <row r="19" spans="1:36" s="79" customFormat="1" ht="15" customHeight="1" x14ac:dyDescent="0.3">
      <c r="C19" s="196" t="s">
        <v>1249</v>
      </c>
      <c r="D19" s="196"/>
      <c r="E19" s="1221"/>
      <c r="F19" s="1219">
        <f>SUM(G19:AJ19)</f>
        <v>53159858.208799988</v>
      </c>
      <c r="G19" s="1220">
        <v>0</v>
      </c>
      <c r="H19" s="1222">
        <f>'Instrumentos Financeiros'!H59+'Instrumentos Financeiros'!H60+'Instrumentos Financeiros'!H61</f>
        <v>9497383.094243519</v>
      </c>
      <c r="I19" s="1222">
        <f>'Instrumentos Financeiros'!H62+'Instrumentos Financeiros'!H63+'Instrumentos Financeiros'!H64+'Instrumentos Financeiros'!H65</f>
        <v>7781110.9140391182</v>
      </c>
      <c r="J19" s="1222">
        <f>'Instrumentos Financeiros'!H66+'Instrumentos Financeiros'!H67+'Instrumentos Financeiros'!H68+'Instrumentos Financeiros'!H69+'Instrumentos Financeiros'!H77</f>
        <v>23380755.498117354</v>
      </c>
      <c r="K19" s="1222">
        <f>'Instrumentos Financeiros'!H78+'Instrumentos Financeiros'!H79+'Instrumentos Financeiros'!H80</f>
        <v>112268.26800000001</v>
      </c>
      <c r="L19" s="1222">
        <v>0</v>
      </c>
      <c r="M19" s="1222">
        <v>0</v>
      </c>
      <c r="N19" s="1222">
        <v>0</v>
      </c>
      <c r="O19" s="1222">
        <v>0</v>
      </c>
      <c r="P19" s="1222">
        <f>'Instrumentos Financeiros'!H83</f>
        <v>3097085.1085999995</v>
      </c>
      <c r="Q19" s="1222">
        <f>'Instrumentos Financeiros'!H84+'Instrumentos Financeiros'!H85+'Instrumentos Financeiros'!H86</f>
        <v>9291255.3257999979</v>
      </c>
      <c r="R19" s="1222">
        <v>0</v>
      </c>
      <c r="S19" s="1222">
        <v>0</v>
      </c>
      <c r="T19" s="1222">
        <v>0</v>
      </c>
      <c r="U19" s="1222">
        <v>0</v>
      </c>
      <c r="V19" s="1222">
        <v>0</v>
      </c>
      <c r="W19" s="1222">
        <v>0</v>
      </c>
      <c r="X19" s="1222">
        <v>0</v>
      </c>
      <c r="Y19" s="1222">
        <v>0</v>
      </c>
      <c r="Z19" s="1222">
        <v>0</v>
      </c>
      <c r="AA19" s="1222">
        <v>0</v>
      </c>
      <c r="AB19" s="1222">
        <v>0</v>
      </c>
      <c r="AC19" s="1222">
        <v>0</v>
      </c>
      <c r="AD19" s="1222">
        <v>0</v>
      </c>
      <c r="AE19" s="1222">
        <v>0</v>
      </c>
      <c r="AF19" s="1222">
        <v>0</v>
      </c>
      <c r="AG19" s="1222">
        <v>0</v>
      </c>
      <c r="AH19" s="1222">
        <v>0</v>
      </c>
      <c r="AI19" s="1222">
        <v>0</v>
      </c>
      <c r="AJ19" s="1222">
        <v>0</v>
      </c>
    </row>
    <row r="20" spans="1:36" s="261" customFormat="1" ht="18" customHeight="1" thickBot="1" x14ac:dyDescent="0.35">
      <c r="B20" s="79"/>
      <c r="C20" s="177" t="s">
        <v>1250</v>
      </c>
      <c r="D20" s="177"/>
      <c r="E20" s="1223"/>
      <c r="F20" s="1224">
        <f>SUM(F18:F19)</f>
        <v>75556940.45629999</v>
      </c>
      <c r="G20" s="1225">
        <f>SUM(G18:G19)</f>
        <v>22397082.247499999</v>
      </c>
      <c r="H20" s="1225">
        <f t="shared" ref="H20:AJ20" si="0">SUM(H19:H19)</f>
        <v>9497383.094243519</v>
      </c>
      <c r="I20" s="1225">
        <f t="shared" si="0"/>
        <v>7781110.9140391182</v>
      </c>
      <c r="J20" s="1225">
        <f t="shared" si="0"/>
        <v>23380755.498117354</v>
      </c>
      <c r="K20" s="1225">
        <f t="shared" si="0"/>
        <v>112268.26800000001</v>
      </c>
      <c r="L20" s="1225">
        <f t="shared" si="0"/>
        <v>0</v>
      </c>
      <c r="M20" s="1225">
        <f t="shared" si="0"/>
        <v>0</v>
      </c>
      <c r="N20" s="1225">
        <f t="shared" si="0"/>
        <v>0</v>
      </c>
      <c r="O20" s="1225">
        <f t="shared" si="0"/>
        <v>0</v>
      </c>
      <c r="P20" s="1225">
        <f t="shared" si="0"/>
        <v>3097085.1085999995</v>
      </c>
      <c r="Q20" s="1225">
        <f t="shared" si="0"/>
        <v>9291255.3257999979</v>
      </c>
      <c r="R20" s="1225">
        <f t="shared" si="0"/>
        <v>0</v>
      </c>
      <c r="S20" s="1225">
        <f t="shared" si="0"/>
        <v>0</v>
      </c>
      <c r="T20" s="1225">
        <f t="shared" si="0"/>
        <v>0</v>
      </c>
      <c r="U20" s="1225">
        <f t="shared" si="0"/>
        <v>0</v>
      </c>
      <c r="V20" s="1225">
        <f t="shared" si="0"/>
        <v>0</v>
      </c>
      <c r="W20" s="1225">
        <f t="shared" si="0"/>
        <v>0</v>
      </c>
      <c r="X20" s="1225">
        <f t="shared" si="0"/>
        <v>0</v>
      </c>
      <c r="Y20" s="1225">
        <f t="shared" si="0"/>
        <v>0</v>
      </c>
      <c r="Z20" s="1225">
        <f t="shared" si="0"/>
        <v>0</v>
      </c>
      <c r="AA20" s="1225">
        <f t="shared" si="0"/>
        <v>0</v>
      </c>
      <c r="AB20" s="1225">
        <f t="shared" si="0"/>
        <v>0</v>
      </c>
      <c r="AC20" s="1225">
        <f t="shared" si="0"/>
        <v>0</v>
      </c>
      <c r="AD20" s="1225">
        <f t="shared" si="0"/>
        <v>0</v>
      </c>
      <c r="AE20" s="1225">
        <f t="shared" si="0"/>
        <v>0</v>
      </c>
      <c r="AF20" s="1225">
        <f t="shared" si="0"/>
        <v>0</v>
      </c>
      <c r="AG20" s="1225">
        <f t="shared" si="0"/>
        <v>0</v>
      </c>
      <c r="AH20" s="1225">
        <f t="shared" si="0"/>
        <v>0</v>
      </c>
      <c r="AI20" s="1225">
        <f t="shared" si="0"/>
        <v>0</v>
      </c>
      <c r="AJ20" s="1225">
        <f t="shared" si="0"/>
        <v>0</v>
      </c>
    </row>
    <row r="21" spans="1:36" s="79" customFormat="1" ht="12.5" thickTop="1" x14ac:dyDescent="0.3">
      <c r="C21" s="199"/>
      <c r="D21" s="199"/>
      <c r="E21" s="1226"/>
      <c r="F21" s="1226"/>
      <c r="G21" s="201"/>
      <c r="H21" s="201"/>
      <c r="I21" s="201"/>
      <c r="J21" s="201"/>
      <c r="K21" s="201"/>
      <c r="L21" s="201"/>
      <c r="M21" s="201"/>
      <c r="N21" s="201"/>
      <c r="O21" s="201"/>
      <c r="P21" s="201"/>
      <c r="Q21" s="201"/>
      <c r="R21" s="201"/>
      <c r="S21" s="201"/>
      <c r="T21" s="201"/>
      <c r="U21" s="201"/>
      <c r="V21" s="201"/>
      <c r="W21" s="201"/>
      <c r="X21" s="201"/>
      <c r="Y21" s="201"/>
      <c r="Z21" s="201"/>
      <c r="AA21" s="201"/>
      <c r="AB21" s="201"/>
      <c r="AC21" s="201"/>
      <c r="AD21" s="201"/>
      <c r="AE21" s="201"/>
      <c r="AF21" s="201"/>
      <c r="AG21" s="201"/>
      <c r="AH21" s="201"/>
      <c r="AI21" s="201"/>
      <c r="AJ21" s="201"/>
    </row>
    <row r="22" spans="1:36" s="79" customFormat="1" ht="12.5" thickBot="1" x14ac:dyDescent="0.35">
      <c r="C22" s="263"/>
      <c r="E22" s="201"/>
      <c r="F22" s="201"/>
      <c r="G22" s="201"/>
      <c r="H22" s="201"/>
      <c r="I22" s="201"/>
      <c r="J22" s="201"/>
      <c r="K22" s="1227"/>
      <c r="L22" s="1227"/>
      <c r="M22" s="201"/>
      <c r="N22" s="201"/>
      <c r="O22" s="201"/>
      <c r="P22" s="201"/>
      <c r="Q22" s="201"/>
      <c r="R22" s="201"/>
      <c r="S22" s="201"/>
      <c r="T22" s="201"/>
      <c r="U22" s="201"/>
      <c r="V22" s="201"/>
      <c r="W22" s="201"/>
      <c r="X22" s="201"/>
      <c r="Y22" s="201"/>
      <c r="Z22" s="201"/>
      <c r="AA22" s="201"/>
      <c r="AB22" s="201"/>
      <c r="AC22" s="201"/>
      <c r="AD22" s="201"/>
      <c r="AE22" s="201"/>
      <c r="AF22" s="201"/>
      <c r="AG22" s="201"/>
      <c r="AH22" s="201"/>
      <c r="AI22" s="201"/>
      <c r="AJ22" s="201"/>
    </row>
    <row r="23" spans="1:36" s="252" customFormat="1" ht="12.5" thickTop="1" x14ac:dyDescent="0.3">
      <c r="B23" s="79"/>
      <c r="C23" s="256" t="s">
        <v>1251</v>
      </c>
      <c r="D23" s="256"/>
      <c r="E23" s="257"/>
      <c r="F23" s="257" t="s">
        <v>455</v>
      </c>
      <c r="G23" s="258">
        <f t="shared" ref="G23:AJ23" si="1">G16</f>
        <v>1</v>
      </c>
      <c r="H23" s="258">
        <f t="shared" si="1"/>
        <v>2</v>
      </c>
      <c r="I23" s="258">
        <f t="shared" si="1"/>
        <v>3</v>
      </c>
      <c r="J23" s="258">
        <f t="shared" si="1"/>
        <v>4</v>
      </c>
      <c r="K23" s="258">
        <f t="shared" si="1"/>
        <v>5</v>
      </c>
      <c r="L23" s="258">
        <f t="shared" si="1"/>
        <v>6</v>
      </c>
      <c r="M23" s="258">
        <f t="shared" si="1"/>
        <v>7</v>
      </c>
      <c r="N23" s="258">
        <f t="shared" si="1"/>
        <v>8</v>
      </c>
      <c r="O23" s="258">
        <f t="shared" si="1"/>
        <v>9</v>
      </c>
      <c r="P23" s="258">
        <f t="shared" si="1"/>
        <v>10</v>
      </c>
      <c r="Q23" s="258">
        <f t="shared" si="1"/>
        <v>11</v>
      </c>
      <c r="R23" s="258">
        <f t="shared" si="1"/>
        <v>12</v>
      </c>
      <c r="S23" s="258">
        <f t="shared" si="1"/>
        <v>13</v>
      </c>
      <c r="T23" s="258">
        <f t="shared" si="1"/>
        <v>14</v>
      </c>
      <c r="U23" s="258">
        <f t="shared" si="1"/>
        <v>15</v>
      </c>
      <c r="V23" s="258">
        <f t="shared" si="1"/>
        <v>16</v>
      </c>
      <c r="W23" s="258">
        <f t="shared" si="1"/>
        <v>17</v>
      </c>
      <c r="X23" s="258">
        <f t="shared" si="1"/>
        <v>18</v>
      </c>
      <c r="Y23" s="258">
        <f t="shared" si="1"/>
        <v>19</v>
      </c>
      <c r="Z23" s="258">
        <f t="shared" si="1"/>
        <v>20</v>
      </c>
      <c r="AA23" s="258">
        <f t="shared" si="1"/>
        <v>21</v>
      </c>
      <c r="AB23" s="258">
        <f t="shared" si="1"/>
        <v>22</v>
      </c>
      <c r="AC23" s="258">
        <f t="shared" si="1"/>
        <v>23</v>
      </c>
      <c r="AD23" s="258">
        <f t="shared" si="1"/>
        <v>24</v>
      </c>
      <c r="AE23" s="258">
        <f t="shared" si="1"/>
        <v>25</v>
      </c>
      <c r="AF23" s="258">
        <f t="shared" si="1"/>
        <v>26</v>
      </c>
      <c r="AG23" s="258">
        <f t="shared" si="1"/>
        <v>27</v>
      </c>
      <c r="AH23" s="258">
        <f t="shared" si="1"/>
        <v>28</v>
      </c>
      <c r="AI23" s="258">
        <f t="shared" si="1"/>
        <v>29</v>
      </c>
      <c r="AJ23" s="258">
        <f t="shared" si="1"/>
        <v>30</v>
      </c>
    </row>
    <row r="24" spans="1:36" s="1175" customFormat="1" ht="6" customHeight="1" x14ac:dyDescent="0.3">
      <c r="A24" s="173"/>
      <c r="B24" s="79"/>
      <c r="C24" s="173"/>
      <c r="D24" s="173"/>
      <c r="E24" s="193"/>
      <c r="F24" s="1228"/>
    </row>
    <row r="25" spans="1:36" s="457" customFormat="1" ht="12" x14ac:dyDescent="0.3">
      <c r="A25" s="199"/>
      <c r="B25" s="199"/>
      <c r="C25" s="196" t="s">
        <v>604</v>
      </c>
      <c r="D25" s="196"/>
      <c r="E25" s="1218"/>
      <c r="F25" s="1219">
        <f>SUM(G25:AJ25)</f>
        <v>87789652.328343168</v>
      </c>
      <c r="G25" s="1220">
        <f>SUM('Instrumentos Financeiros'!$CS$94:$CS$105)</f>
        <v>0</v>
      </c>
      <c r="H25" s="1220">
        <f>SUM('Instrumentos Financeiros'!$CS$106:$CS$117)+'Instrumentos Financeiros'!H55</f>
        <v>22397082.247499999</v>
      </c>
      <c r="I25" s="1220">
        <f>SUM('Instrumentos Financeiros'!$CS$118:$CS$129)</f>
        <v>0</v>
      </c>
      <c r="J25" s="1220">
        <f>SUM('Instrumentos Financeiros'!$CS$130:$CS$141)</f>
        <v>0</v>
      </c>
      <c r="K25" s="1220">
        <f>SUM('Instrumentos Financeiros'!$CS$142:$CS$153)</f>
        <v>0</v>
      </c>
      <c r="L25" s="1220">
        <f>SUM('Instrumentos Financeiros'!$CS$154:$CS$165)</f>
        <v>267203.0363215988</v>
      </c>
      <c r="M25" s="1220">
        <f>SUM('Instrumentos Financeiros'!$CS$166:$CS$177)</f>
        <v>554403.12658393302</v>
      </c>
      <c r="N25" s="1220">
        <f>SUM('Instrumentos Financeiros'!$CS$178:$CS$189)</f>
        <v>1658146.6910060332</v>
      </c>
      <c r="O25" s="1220">
        <f>SUM('Instrumentos Financeiros'!$CS$190:$CS$201)</f>
        <v>2406459.5565890037</v>
      </c>
      <c r="P25" s="1220">
        <f>SUM('Instrumentos Financeiros'!$CS$202:$CS$213)</f>
        <v>2535637.0926546128</v>
      </c>
      <c r="Q25" s="1220">
        <f>SUM('Instrumentos Financeiros'!$CS$214:$CS$225)</f>
        <v>2668427.0990728913</v>
      </c>
      <c r="R25" s="1220">
        <f>SUM('Instrumentos Financeiros'!$CS$226:$CS$237)</f>
        <v>2808175.691332445</v>
      </c>
      <c r="S25" s="1220">
        <f>SUM('Instrumentos Financeiros'!$CS$238:$CS$249)</f>
        <v>2955247.7455302849</v>
      </c>
      <c r="T25" s="1220">
        <f>SUM('Instrumentos Financeiros'!$CS$250:$CS$261)</f>
        <v>3110027.2816506932</v>
      </c>
      <c r="U25" s="1220">
        <f>SUM('Instrumentos Financeiros'!$CS$262:$CS$273)</f>
        <v>3701182.5934480149</v>
      </c>
      <c r="V25" s="1220">
        <f>SUM('Instrumentos Financeiros'!$CS$274:$CS$285)</f>
        <v>4156790.7381392168</v>
      </c>
      <c r="W25" s="1220">
        <f>SUM('Instrumentos Financeiros'!$CS$286:$CS$297)</f>
        <v>4375063.019321017</v>
      </c>
      <c r="X25" s="1220">
        <f>SUM('Instrumentos Financeiros'!$CS$298:$CS$309)</f>
        <v>4604803.0591940871</v>
      </c>
      <c r="Y25" s="1220">
        <f>SUM('Instrumentos Financeiros'!$CS$310:$CS$321)</f>
        <v>4846613.6803476447</v>
      </c>
      <c r="Z25" s="1220">
        <f>SUM('Instrumentos Financeiros'!$CS$322:$CS$333)</f>
        <v>5101129.4100273037</v>
      </c>
      <c r="AA25" s="1229">
        <f>SUM('Instrumentos Financeiros'!$CS$334:$CS$345)</f>
        <v>4812757.2213081978</v>
      </c>
      <c r="AB25" s="1229">
        <f>SUM('Instrumentos Financeiros'!$CS$346:$CS$357)</f>
        <v>4496831.3798185093</v>
      </c>
      <c r="AC25" s="1229">
        <f>SUM('Instrumentos Financeiros'!$CS$358:$CS$369)</f>
        <v>2396458.6214541807</v>
      </c>
      <c r="AD25" s="1229">
        <f>SUM('Instrumentos Financeiros'!$CS$370:$CS$381)</f>
        <v>1084573.8518603025</v>
      </c>
      <c r="AE25" s="1229">
        <f>SUM('Instrumentos Financeiros'!$CS$382:$CS$393)</f>
        <v>1135340.4232393762</v>
      </c>
      <c r="AF25" s="1229">
        <f>SUM('Instrumentos Financeiros'!$CS$394:$CS$405)</f>
        <v>1195672.523025044</v>
      </c>
      <c r="AG25" s="1229">
        <f>SUM('Instrumentos Financeiros'!$CS$406:$CS$417)</f>
        <v>1259210.6764225108</v>
      </c>
      <c r="AH25" s="1229">
        <f>SUM('Instrumentos Financeiros'!$CS$418:$CS$429)</f>
        <v>1326125.2534304706</v>
      </c>
      <c r="AI25" s="1229">
        <f>SUM('Instrumentos Financeiros'!$CS$430:$CS$441)</f>
        <v>1396595.6775258097</v>
      </c>
      <c r="AJ25" s="1229">
        <f>SUM('Instrumentos Financeiros'!$CS$442:$CS$453)</f>
        <v>539694.6315399633</v>
      </c>
    </row>
    <row r="26" spans="1:36" s="457" customFormat="1" ht="12" x14ac:dyDescent="0.3">
      <c r="A26" s="79"/>
      <c r="B26" s="79"/>
      <c r="C26" s="1230" t="s">
        <v>1252</v>
      </c>
      <c r="D26" s="1231"/>
      <c r="E26" s="1232"/>
      <c r="F26" s="1219">
        <f>SUM(G26:AJ26)</f>
        <v>31654831.01323656</v>
      </c>
      <c r="G26" s="1220">
        <f>SUM('Instrumentos Financeiros'!$CT$94:$CT$105)</f>
        <v>0</v>
      </c>
      <c r="H26" s="1220">
        <f>SUM('Instrumentos Financeiros'!$CT$106:$CT$117)+'Instrumentos Financeiros'!J55</f>
        <v>3122841.1803000458</v>
      </c>
      <c r="I26" s="1220">
        <f>SUM('Instrumentos Financeiros'!$CT$118:$CT$129)</f>
        <v>0</v>
      </c>
      <c r="J26" s="1220">
        <f>SUM('Instrumentos Financeiros'!$CT$130:$CT$141)</f>
        <v>0</v>
      </c>
      <c r="K26" s="1220">
        <f>SUM('Instrumentos Financeiros'!$CT$142:$CT$153)</f>
        <v>0</v>
      </c>
      <c r="L26" s="1220">
        <f>SUM('Instrumentos Financeiros'!$CT$154:$CT$165)</f>
        <v>283408.50149380194</v>
      </c>
      <c r="M26" s="1220">
        <f>SUM('Instrumentos Financeiros'!$CT$166:$CT$177)</f>
        <v>546819.9490468686</v>
      </c>
      <c r="N26" s="1220">
        <f>SUM('Instrumentos Financeiros'!$CT$178:$CT$189)</f>
        <v>1742176.2152857387</v>
      </c>
      <c r="O26" s="1220">
        <f>SUM('Instrumentos Financeiros'!$CT$190:$CT$201)</f>
        <v>2384380.6219027787</v>
      </c>
      <c r="P26" s="1220">
        <f>SUM('Instrumentos Financeiros'!$CT$202:$CT$213)</f>
        <v>2261837.5101192258</v>
      </c>
      <c r="Q26" s="1220">
        <f>SUM('Instrumentos Financeiros'!$CT$214:$CT$225)</f>
        <v>2129047.5037009483</v>
      </c>
      <c r="R26" s="1220">
        <f>SUM('Instrumentos Financeiros'!$CT$226:$CT$237)</f>
        <v>1989298.9114413941</v>
      </c>
      <c r="S26" s="1220">
        <f>SUM('Instrumentos Financeiros'!$CT$238:$CT$249)</f>
        <v>1842226.8572435535</v>
      </c>
      <c r="T26" s="1220">
        <f>SUM('Instrumentos Financeiros'!$CT$250:$CT$261)</f>
        <v>1687447.3211231465</v>
      </c>
      <c r="U26" s="1220">
        <f>SUM('Instrumentos Financeiros'!$CT$262:$CT$273)</f>
        <v>2011393.7123329933</v>
      </c>
      <c r="V26" s="1220">
        <f>SUM('Instrumentos Financeiros'!$CT$274:$CT$285)</f>
        <v>2104846.589446093</v>
      </c>
      <c r="W26" s="1220">
        <f>SUM('Instrumentos Financeiros'!$CT$286:$CT$297)</f>
        <v>1886574.3082642942</v>
      </c>
      <c r="X26" s="1220">
        <f>SUM('Instrumentos Financeiros'!$CT$298:$CT$309)</f>
        <v>1656834.2683912227</v>
      </c>
      <c r="Y26" s="1220">
        <f>SUM('Instrumentos Financeiros'!$CT$310:$CT$321)</f>
        <v>1415023.6472376655</v>
      </c>
      <c r="Z26" s="1220">
        <f>SUM('Instrumentos Financeiros'!$CT$322:$CT$333)</f>
        <v>1160507.9175580072</v>
      </c>
      <c r="AA26" s="1229">
        <f>SUM('Instrumentos Financeiros'!$CT$334:$CT$345)</f>
        <v>898268.56846171152</v>
      </c>
      <c r="AB26" s="1229">
        <f>SUM('Instrumentos Financeiros'!$CT$346:$CT$357)</f>
        <v>663582.87213599891</v>
      </c>
      <c r="AC26" s="1229">
        <f>SUM('Instrumentos Financeiros'!$CT$358:$CT$369)</f>
        <v>464855.79983935819</v>
      </c>
      <c r="AD26" s="1229">
        <f>SUM('Instrumentos Financeiros'!$CT$370:$CT$381)</f>
        <v>386223.29723322543</v>
      </c>
      <c r="AE26" s="1229">
        <f>SUM('Instrumentos Financeiros'!$CT$382:$CT$393)</f>
        <v>328822.30157209473</v>
      </c>
      <c r="AF26" s="1229">
        <f>SUM('Instrumentos Financeiros'!$CT$394:$CT$405)</f>
        <v>268490.20178642694</v>
      </c>
      <c r="AG26" s="1229">
        <f>SUM('Instrumentos Financeiros'!$CT$406:$CT$417)</f>
        <v>204952.04838896045</v>
      </c>
      <c r="AH26" s="1229">
        <f>SUM('Instrumentos Financeiros'!$CT$418:$CT$429)</f>
        <v>138037.47138100053</v>
      </c>
      <c r="AI26" s="1229">
        <f>SUM('Instrumentos Financeiros'!$CT$430:$CT$441)</f>
        <v>67567.047285661087</v>
      </c>
      <c r="AJ26" s="1229">
        <f>SUM('Instrumentos Financeiros'!$CT$442:$CT$453)</f>
        <v>9366.3902643381734</v>
      </c>
    </row>
    <row r="27" spans="1:36" s="457" customFormat="1" ht="6" customHeight="1" x14ac:dyDescent="0.3">
      <c r="A27" s="79"/>
      <c r="B27" s="79"/>
      <c r="C27" s="199"/>
      <c r="D27" s="199"/>
      <c r="E27" s="1226"/>
      <c r="F27" s="1233"/>
      <c r="G27" s="1233"/>
      <c r="H27" s="1233"/>
      <c r="I27" s="1233"/>
      <c r="J27" s="1233"/>
      <c r="K27" s="1233"/>
      <c r="L27" s="1233"/>
      <c r="M27" s="1233"/>
      <c r="N27" s="1233"/>
      <c r="O27" s="1233"/>
      <c r="P27" s="1233"/>
      <c r="Q27" s="1233"/>
      <c r="R27" s="1233"/>
      <c r="S27" s="1233"/>
      <c r="T27" s="1233"/>
      <c r="U27" s="1233"/>
      <c r="V27" s="1233"/>
      <c r="W27" s="1233"/>
      <c r="X27" s="1233"/>
      <c r="Y27" s="1233"/>
      <c r="Z27" s="1233"/>
      <c r="AA27" s="1233"/>
      <c r="AB27" s="1233"/>
      <c r="AC27" s="1233"/>
      <c r="AD27" s="1233"/>
      <c r="AE27" s="1233"/>
      <c r="AF27" s="1233"/>
      <c r="AG27" s="1233"/>
      <c r="AH27" s="1233"/>
      <c r="AI27" s="1233"/>
      <c r="AJ27" s="1233"/>
    </row>
    <row r="28" spans="1:36" s="1235" customFormat="1" ht="18" customHeight="1" thickBot="1" x14ac:dyDescent="0.35">
      <c r="A28" s="261"/>
      <c r="B28" s="79"/>
      <c r="C28" s="177" t="s">
        <v>1253</v>
      </c>
      <c r="D28" s="177"/>
      <c r="E28" s="1223"/>
      <c r="F28" s="1234"/>
      <c r="G28" s="1225">
        <f>SUM(G25:G26)</f>
        <v>0</v>
      </c>
      <c r="H28" s="1225">
        <f t="shared" ref="H28:AJ28" si="2">SUM(H25:H26)</f>
        <v>25519923.427800044</v>
      </c>
      <c r="I28" s="1225">
        <f t="shared" si="2"/>
        <v>0</v>
      </c>
      <c r="J28" s="1225">
        <f t="shared" si="2"/>
        <v>0</v>
      </c>
      <c r="K28" s="1225">
        <f t="shared" si="2"/>
        <v>0</v>
      </c>
      <c r="L28" s="1225">
        <f t="shared" si="2"/>
        <v>550611.53781540075</v>
      </c>
      <c r="M28" s="1225">
        <f t="shared" si="2"/>
        <v>1101223.0756308017</v>
      </c>
      <c r="N28" s="1225">
        <f t="shared" si="2"/>
        <v>3400322.9062917717</v>
      </c>
      <c r="O28" s="1225">
        <f t="shared" si="2"/>
        <v>4790840.1784917824</v>
      </c>
      <c r="P28" s="1225">
        <f t="shared" si="2"/>
        <v>4797474.6027738387</v>
      </c>
      <c r="Q28" s="1225">
        <f t="shared" si="2"/>
        <v>4797474.6027738396</v>
      </c>
      <c r="R28" s="1225">
        <f t="shared" si="2"/>
        <v>4797474.6027738396</v>
      </c>
      <c r="S28" s="1225">
        <f t="shared" si="2"/>
        <v>4797474.6027738387</v>
      </c>
      <c r="T28" s="1225">
        <f t="shared" si="2"/>
        <v>4797474.6027738396</v>
      </c>
      <c r="U28" s="1225">
        <f t="shared" si="2"/>
        <v>5712576.3057810087</v>
      </c>
      <c r="V28" s="1225">
        <f t="shared" si="2"/>
        <v>6261637.3275853097</v>
      </c>
      <c r="W28" s="1225">
        <f t="shared" si="2"/>
        <v>6261637.3275853116</v>
      </c>
      <c r="X28" s="1225">
        <f t="shared" si="2"/>
        <v>6261637.3275853097</v>
      </c>
      <c r="Y28" s="1225">
        <f t="shared" si="2"/>
        <v>6261637.3275853097</v>
      </c>
      <c r="Z28" s="1225">
        <f t="shared" si="2"/>
        <v>6261637.3275853107</v>
      </c>
      <c r="AA28" s="1225">
        <f t="shared" si="2"/>
        <v>5711025.7897699093</v>
      </c>
      <c r="AB28" s="1225">
        <f t="shared" si="2"/>
        <v>5160414.251954508</v>
      </c>
      <c r="AC28" s="1225">
        <f t="shared" si="2"/>
        <v>2861314.421293539</v>
      </c>
      <c r="AD28" s="1225">
        <f t="shared" si="2"/>
        <v>1470797.1490935278</v>
      </c>
      <c r="AE28" s="1225">
        <f t="shared" si="2"/>
        <v>1464162.7248114708</v>
      </c>
      <c r="AF28" s="1225">
        <f t="shared" si="2"/>
        <v>1464162.7248114711</v>
      </c>
      <c r="AG28" s="1225">
        <f t="shared" si="2"/>
        <v>1464162.7248114713</v>
      </c>
      <c r="AH28" s="1225">
        <f t="shared" si="2"/>
        <v>1464162.7248114711</v>
      </c>
      <c r="AI28" s="1225">
        <f t="shared" si="2"/>
        <v>1464162.7248114708</v>
      </c>
      <c r="AJ28" s="1225">
        <f t="shared" si="2"/>
        <v>549061.02180430153</v>
      </c>
    </row>
    <row r="29" spans="1:36" s="79" customFormat="1" ht="12.5" thickTop="1" x14ac:dyDescent="0.3">
      <c r="C29" s="199"/>
      <c r="D29" s="199"/>
      <c r="E29" s="1226"/>
      <c r="F29" s="1226"/>
      <c r="G29" s="201"/>
      <c r="H29" s="201"/>
      <c r="I29" s="201"/>
      <c r="J29" s="201"/>
      <c r="K29" s="201"/>
      <c r="L29" s="201"/>
      <c r="M29" s="201"/>
      <c r="N29" s="201"/>
      <c r="O29" s="201"/>
      <c r="P29" s="201"/>
      <c r="Q29" s="201"/>
      <c r="R29" s="201"/>
      <c r="S29" s="201"/>
      <c r="T29" s="201"/>
      <c r="U29" s="201"/>
      <c r="V29" s="201"/>
      <c r="W29" s="201"/>
      <c r="X29" s="201"/>
      <c r="Y29" s="201"/>
      <c r="Z29" s="201"/>
      <c r="AA29" s="201"/>
      <c r="AB29" s="201"/>
      <c r="AC29" s="201"/>
      <c r="AD29" s="201"/>
      <c r="AE29" s="201"/>
      <c r="AF29" s="201"/>
      <c r="AG29" s="201"/>
      <c r="AH29" s="201"/>
      <c r="AI29" s="201"/>
      <c r="AJ29" s="201"/>
    </row>
    <row r="30" spans="1:36" s="79" customFormat="1" ht="12.5" thickBot="1" x14ac:dyDescent="0.35">
      <c r="C30" s="275" t="s">
        <v>1254</v>
      </c>
      <c r="E30" s="201"/>
      <c r="F30" s="201"/>
      <c r="G30" s="201"/>
      <c r="H30" s="201"/>
      <c r="I30" s="201"/>
      <c r="J30" s="201"/>
      <c r="K30" s="1227"/>
      <c r="L30" s="1227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  <c r="AF30" s="201"/>
      <c r="AG30" s="201"/>
      <c r="AH30" s="201"/>
      <c r="AI30" s="201"/>
      <c r="AJ30" s="201"/>
    </row>
    <row r="31" spans="1:36" s="252" customFormat="1" ht="12.5" thickTop="1" x14ac:dyDescent="0.3">
      <c r="B31" s="79"/>
      <c r="C31" s="256"/>
      <c r="D31" s="256"/>
      <c r="E31" s="257"/>
      <c r="F31" s="257" t="str">
        <f>F23</f>
        <v>TOTAL</v>
      </c>
      <c r="G31" s="257">
        <f t="shared" ref="G31:AJ31" si="3">G23</f>
        <v>1</v>
      </c>
      <c r="H31" s="257">
        <f t="shared" si="3"/>
        <v>2</v>
      </c>
      <c r="I31" s="257">
        <f t="shared" si="3"/>
        <v>3</v>
      </c>
      <c r="J31" s="257">
        <f t="shared" si="3"/>
        <v>4</v>
      </c>
      <c r="K31" s="257">
        <f t="shared" si="3"/>
        <v>5</v>
      </c>
      <c r="L31" s="257">
        <f t="shared" si="3"/>
        <v>6</v>
      </c>
      <c r="M31" s="257">
        <f t="shared" si="3"/>
        <v>7</v>
      </c>
      <c r="N31" s="257">
        <f t="shared" si="3"/>
        <v>8</v>
      </c>
      <c r="O31" s="257">
        <f t="shared" si="3"/>
        <v>9</v>
      </c>
      <c r="P31" s="257">
        <f t="shared" si="3"/>
        <v>10</v>
      </c>
      <c r="Q31" s="257">
        <f t="shared" si="3"/>
        <v>11</v>
      </c>
      <c r="R31" s="257">
        <f t="shared" si="3"/>
        <v>12</v>
      </c>
      <c r="S31" s="257">
        <f t="shared" si="3"/>
        <v>13</v>
      </c>
      <c r="T31" s="257">
        <f t="shared" si="3"/>
        <v>14</v>
      </c>
      <c r="U31" s="257">
        <f t="shared" si="3"/>
        <v>15</v>
      </c>
      <c r="V31" s="257">
        <f t="shared" si="3"/>
        <v>16</v>
      </c>
      <c r="W31" s="257">
        <f t="shared" si="3"/>
        <v>17</v>
      </c>
      <c r="X31" s="257">
        <f t="shared" si="3"/>
        <v>18</v>
      </c>
      <c r="Y31" s="257">
        <f t="shared" si="3"/>
        <v>19</v>
      </c>
      <c r="Z31" s="257">
        <f t="shared" si="3"/>
        <v>20</v>
      </c>
      <c r="AA31" s="257">
        <f t="shared" si="3"/>
        <v>21</v>
      </c>
      <c r="AB31" s="257">
        <f t="shared" si="3"/>
        <v>22</v>
      </c>
      <c r="AC31" s="257">
        <f t="shared" si="3"/>
        <v>23</v>
      </c>
      <c r="AD31" s="257">
        <f t="shared" si="3"/>
        <v>24</v>
      </c>
      <c r="AE31" s="257">
        <f t="shared" si="3"/>
        <v>25</v>
      </c>
      <c r="AF31" s="257">
        <f t="shared" si="3"/>
        <v>26</v>
      </c>
      <c r="AG31" s="257">
        <f t="shared" si="3"/>
        <v>27</v>
      </c>
      <c r="AH31" s="257">
        <f t="shared" si="3"/>
        <v>28</v>
      </c>
      <c r="AI31" s="257">
        <f t="shared" si="3"/>
        <v>29</v>
      </c>
      <c r="AJ31" s="257">
        <f t="shared" si="3"/>
        <v>30</v>
      </c>
    </row>
    <row r="32" spans="1:36" s="173" customFormat="1" ht="6" customHeight="1" x14ac:dyDescent="0.3">
      <c r="B32" s="79"/>
      <c r="E32" s="193"/>
      <c r="F32" s="193"/>
    </row>
    <row r="33" spans="2:36" s="79" customFormat="1" ht="12" x14ac:dyDescent="0.3">
      <c r="C33" s="1236" t="s">
        <v>1255</v>
      </c>
      <c r="D33" s="1236"/>
      <c r="E33" s="1236"/>
      <c r="F33" s="1237">
        <f>SUM(G33:AJ33)</f>
        <v>1420470.48057844</v>
      </c>
      <c r="G33" s="1238">
        <f>$F$47*'Instrumentos Financeiros'!G6</f>
        <v>421065.14625300001</v>
      </c>
      <c r="H33" s="1238">
        <f>$F$47*'Instrumentos Financeiros'!G7</f>
        <v>763690.34290751989</v>
      </c>
      <c r="I33" s="1238">
        <v>0</v>
      </c>
      <c r="J33" s="1238">
        <f>$F$47*'Instrumentos Financeiros'!G8</f>
        <v>2814.1912512000004</v>
      </c>
      <c r="K33" s="1238">
        <v>0</v>
      </c>
      <c r="L33" s="1238">
        <v>0</v>
      </c>
      <c r="M33" s="1238">
        <v>0</v>
      </c>
      <c r="N33" s="1238">
        <v>0</v>
      </c>
      <c r="O33" s="1238">
        <v>0</v>
      </c>
      <c r="P33" s="1238">
        <f>$F$47*'Instrumentos Financeiros'!G9</f>
        <v>232900.80016671997</v>
      </c>
      <c r="Q33" s="1238">
        <v>0</v>
      </c>
      <c r="R33" s="1238">
        <v>0</v>
      </c>
      <c r="S33" s="1238">
        <v>0</v>
      </c>
      <c r="T33" s="1238">
        <v>0</v>
      </c>
      <c r="U33" s="1238">
        <v>0</v>
      </c>
      <c r="V33" s="1238">
        <v>0</v>
      </c>
      <c r="W33" s="1238">
        <v>0</v>
      </c>
      <c r="X33" s="1238">
        <v>0</v>
      </c>
      <c r="Y33" s="1238">
        <v>0</v>
      </c>
      <c r="Z33" s="1238">
        <v>0</v>
      </c>
      <c r="AA33" s="1238">
        <v>0</v>
      </c>
      <c r="AB33" s="1238">
        <v>0</v>
      </c>
      <c r="AC33" s="1238">
        <v>0</v>
      </c>
      <c r="AD33" s="1238">
        <v>0</v>
      </c>
      <c r="AE33" s="1238">
        <v>0</v>
      </c>
      <c r="AF33" s="1238">
        <v>0</v>
      </c>
      <c r="AG33" s="1238">
        <v>0</v>
      </c>
      <c r="AH33" s="1238">
        <v>0</v>
      </c>
      <c r="AI33" s="1238">
        <v>0</v>
      </c>
      <c r="AJ33" s="1238">
        <v>0</v>
      </c>
    </row>
    <row r="34" spans="2:36" s="79" customFormat="1" ht="12" x14ac:dyDescent="0.3">
      <c r="C34" s="1239" t="s">
        <v>1256</v>
      </c>
      <c r="D34" s="1239"/>
      <c r="E34" s="1239"/>
      <c r="F34" s="1240">
        <f>SUM(G34:AJ34)</f>
        <v>900000</v>
      </c>
      <c r="G34" s="1241">
        <v>0</v>
      </c>
      <c r="H34" s="1241">
        <f>F48</f>
        <v>300000</v>
      </c>
      <c r="I34" s="1241">
        <v>0</v>
      </c>
      <c r="J34" s="1241">
        <f>F48</f>
        <v>300000</v>
      </c>
      <c r="K34" s="1241">
        <v>0</v>
      </c>
      <c r="L34" s="1241">
        <v>0</v>
      </c>
      <c r="M34" s="1241">
        <v>0</v>
      </c>
      <c r="N34" s="1241">
        <v>0</v>
      </c>
      <c r="O34" s="1241">
        <v>0</v>
      </c>
      <c r="P34" s="1241">
        <f>F48</f>
        <v>300000</v>
      </c>
      <c r="Q34" s="1241">
        <v>0</v>
      </c>
      <c r="R34" s="1241">
        <v>0</v>
      </c>
      <c r="S34" s="1241">
        <v>0</v>
      </c>
      <c r="T34" s="1241">
        <v>0</v>
      </c>
      <c r="U34" s="1241">
        <v>0</v>
      </c>
      <c r="V34" s="1241">
        <v>0</v>
      </c>
      <c r="W34" s="1241">
        <v>0</v>
      </c>
      <c r="X34" s="1241">
        <v>0</v>
      </c>
      <c r="Y34" s="1241">
        <v>0</v>
      </c>
      <c r="Z34" s="1241">
        <v>0</v>
      </c>
      <c r="AA34" s="1241">
        <v>0</v>
      </c>
      <c r="AB34" s="1241">
        <v>0</v>
      </c>
      <c r="AC34" s="1241">
        <v>0</v>
      </c>
      <c r="AD34" s="1241">
        <v>0</v>
      </c>
      <c r="AE34" s="1241">
        <v>0</v>
      </c>
      <c r="AF34" s="1241">
        <v>0</v>
      </c>
      <c r="AG34" s="1241">
        <v>0</v>
      </c>
      <c r="AH34" s="1241">
        <v>0</v>
      </c>
      <c r="AI34" s="1241">
        <v>0</v>
      </c>
      <c r="AJ34" s="1241">
        <v>0</v>
      </c>
    </row>
    <row r="35" spans="2:36" s="79" customFormat="1" ht="12" x14ac:dyDescent="0.3">
      <c r="C35" s="1239" t="s">
        <v>1257</v>
      </c>
      <c r="D35" s="1239"/>
      <c r="E35" s="1239"/>
      <c r="F35" s="1240">
        <f>SUM(G35:AJ35)</f>
        <v>0</v>
      </c>
      <c r="G35" s="1241">
        <f>('Instrumentos Financeiros'!$CR$105*3)</f>
        <v>0</v>
      </c>
      <c r="H35" s="1241">
        <f>('Instrumentos Financeiros'!$CR$117*3)-G37</f>
        <v>0</v>
      </c>
      <c r="I35" s="1241">
        <f>('Instrumentos Financeiros'!CR129*3)-H37</f>
        <v>0</v>
      </c>
      <c r="J35" s="1241">
        <f>('Instrumentos Financeiros'!CR141*3)-I37</f>
        <v>0</v>
      </c>
      <c r="K35" s="1241">
        <f>('Instrumentos Financeiros'!$CR$153*3)-J37</f>
        <v>0</v>
      </c>
      <c r="L35" s="1241">
        <f>('Instrumentos Financeiros'!CR165*3)-K37</f>
        <v>275305.76890770043</v>
      </c>
      <c r="M35" s="1241">
        <f>('Instrumentos Financeiros'!$CR$177*3)-L37</f>
        <v>0</v>
      </c>
      <c r="N35" s="1241">
        <f>('Instrumentos Financeiros'!$CR$189*3)-M37</f>
        <v>919639.93226438784</v>
      </c>
      <c r="O35" s="1241">
        <f>('Instrumentos Financeiros'!$CR$201*3)-N37</f>
        <v>4422.9495213716291</v>
      </c>
      <c r="P35" s="1241">
        <f>('Instrumentos Financeiros'!$CR$213*3)-O37</f>
        <v>0</v>
      </c>
      <c r="Q35" s="1241">
        <f>('Instrumentos Financeiros'!$CR$225*3)-P37</f>
        <v>0</v>
      </c>
      <c r="R35" s="1241">
        <f>('Instrumentos Financeiros'!$CR$237*3)-Q37</f>
        <v>0</v>
      </c>
      <c r="S35" s="1241">
        <f>('Instrumentos Financeiros'!$CR$249*3)-R37</f>
        <v>0</v>
      </c>
      <c r="T35" s="1241">
        <f>('Instrumentos Financeiros'!$CR$261*3)-S37</f>
        <v>0</v>
      </c>
      <c r="U35" s="1241">
        <f>('Instrumentos Financeiros'!$CR$273*3)-T37</f>
        <v>366040.68120286753</v>
      </c>
      <c r="V35" s="1241">
        <f>('Instrumentos Financeiros'!$CR$285*3)-U37</f>
        <v>0</v>
      </c>
      <c r="W35" s="1241">
        <f>('Instrumentos Financeiros'!$CR$297*3)-V37</f>
        <v>0</v>
      </c>
      <c r="X35" s="1241">
        <f>('Instrumentos Financeiros'!$CR$309*3)-W37</f>
        <v>0</v>
      </c>
      <c r="Y35" s="1241">
        <f>('Instrumentos Financeiros'!$CR$321*3)-X37</f>
        <v>0</v>
      </c>
      <c r="Z35" s="1241">
        <f>('Instrumentos Financeiros'!$CR$333*3)-Y37</f>
        <v>0</v>
      </c>
      <c r="AA35" s="1241">
        <f>('Instrumentos Financeiros'!$CR$345*3)-Z37</f>
        <v>-275305.7689077002</v>
      </c>
      <c r="AB35" s="1241">
        <f>('Instrumentos Financeiros'!$CR$357*3)-AA37</f>
        <v>0</v>
      </c>
      <c r="AC35" s="1241">
        <f>('Instrumentos Financeiros'!$CR$369*3)-AB37</f>
        <v>-919639.93226438819</v>
      </c>
      <c r="AD35" s="1241">
        <f>('Instrumentos Financeiros'!$CR$381*3)-AC37</f>
        <v>-4422.9495213712798</v>
      </c>
      <c r="AE35" s="1241">
        <f>('Instrumentos Financeiros'!$CR$393*3)-AD37</f>
        <v>0</v>
      </c>
      <c r="AF35" s="1241">
        <f>('Instrumentos Financeiros'!$CR$405*3)-AE37</f>
        <v>0</v>
      </c>
      <c r="AG35" s="1241">
        <f>('Instrumentos Financeiros'!$CR$417*3)-AF37</f>
        <v>0</v>
      </c>
      <c r="AH35" s="1241">
        <f>('Instrumentos Financeiros'!$CR$429*3)-AG37</f>
        <v>0</v>
      </c>
      <c r="AI35" s="1241">
        <f>('Instrumentos Financeiros'!$CR$441*3)-AH37</f>
        <v>0</v>
      </c>
      <c r="AJ35" s="1241">
        <f>('Instrumentos Financeiros'!$CR$453*3)-AI37</f>
        <v>-366040.68120286777</v>
      </c>
    </row>
    <row r="36" spans="2:36" s="261" customFormat="1" ht="18" customHeight="1" thickBot="1" x14ac:dyDescent="0.35">
      <c r="B36" s="79"/>
      <c r="C36" s="177" t="s">
        <v>1258</v>
      </c>
      <c r="D36" s="177"/>
      <c r="E36" s="1223"/>
      <c r="F36" s="1223"/>
      <c r="G36" s="1242">
        <f t="shared" ref="G36:AJ36" si="4">SUM(G33:G35)</f>
        <v>421065.14625300001</v>
      </c>
      <c r="H36" s="1242">
        <f t="shared" si="4"/>
        <v>1063690.34290752</v>
      </c>
      <c r="I36" s="1242">
        <f t="shared" si="4"/>
        <v>0</v>
      </c>
      <c r="J36" s="1242">
        <f t="shared" si="4"/>
        <v>302814.19125119998</v>
      </c>
      <c r="K36" s="1242">
        <f t="shared" si="4"/>
        <v>0</v>
      </c>
      <c r="L36" s="1242">
        <f t="shared" si="4"/>
        <v>275305.76890770043</v>
      </c>
      <c r="M36" s="1242">
        <f t="shared" si="4"/>
        <v>0</v>
      </c>
      <c r="N36" s="1242">
        <f t="shared" si="4"/>
        <v>919639.93226438784</v>
      </c>
      <c r="O36" s="1242">
        <f t="shared" si="4"/>
        <v>4422.9495213716291</v>
      </c>
      <c r="P36" s="1242">
        <f t="shared" si="4"/>
        <v>532900.80016671994</v>
      </c>
      <c r="Q36" s="1242">
        <f t="shared" si="4"/>
        <v>0</v>
      </c>
      <c r="R36" s="1242">
        <f t="shared" si="4"/>
        <v>0</v>
      </c>
      <c r="S36" s="1242">
        <f t="shared" si="4"/>
        <v>0</v>
      </c>
      <c r="T36" s="1242">
        <f t="shared" si="4"/>
        <v>0</v>
      </c>
      <c r="U36" s="1242">
        <f t="shared" si="4"/>
        <v>366040.68120286753</v>
      </c>
      <c r="V36" s="1242">
        <f t="shared" si="4"/>
        <v>0</v>
      </c>
      <c r="W36" s="1242">
        <f t="shared" si="4"/>
        <v>0</v>
      </c>
      <c r="X36" s="1242">
        <f t="shared" si="4"/>
        <v>0</v>
      </c>
      <c r="Y36" s="1242">
        <f t="shared" si="4"/>
        <v>0</v>
      </c>
      <c r="Z36" s="1242">
        <f t="shared" si="4"/>
        <v>0</v>
      </c>
      <c r="AA36" s="1242">
        <f t="shared" si="4"/>
        <v>-275305.7689077002</v>
      </c>
      <c r="AB36" s="1242">
        <f t="shared" si="4"/>
        <v>0</v>
      </c>
      <c r="AC36" s="1242">
        <f t="shared" si="4"/>
        <v>-919639.93226438819</v>
      </c>
      <c r="AD36" s="1242">
        <f t="shared" si="4"/>
        <v>-4422.9495213712798</v>
      </c>
      <c r="AE36" s="1242">
        <f t="shared" si="4"/>
        <v>0</v>
      </c>
      <c r="AF36" s="1242">
        <f t="shared" si="4"/>
        <v>0</v>
      </c>
      <c r="AG36" s="1242">
        <f t="shared" si="4"/>
        <v>0</v>
      </c>
      <c r="AH36" s="1242">
        <f t="shared" si="4"/>
        <v>0</v>
      </c>
      <c r="AI36" s="1242">
        <f t="shared" si="4"/>
        <v>0</v>
      </c>
      <c r="AJ36" s="1242">
        <f t="shared" si="4"/>
        <v>-366040.68120286777</v>
      </c>
    </row>
    <row r="37" spans="2:36" s="79" customFormat="1" ht="12.5" thickTop="1" x14ac:dyDescent="0.3">
      <c r="C37" s="1239" t="s">
        <v>1259</v>
      </c>
      <c r="D37" s="1239"/>
      <c r="E37" s="1239"/>
      <c r="F37" s="1239"/>
      <c r="G37" s="1241">
        <v>0</v>
      </c>
      <c r="H37" s="1241">
        <f t="shared" ref="H37:AJ37" si="5">G37+H35</f>
        <v>0</v>
      </c>
      <c r="I37" s="1241">
        <f t="shared" si="5"/>
        <v>0</v>
      </c>
      <c r="J37" s="1241">
        <f t="shared" si="5"/>
        <v>0</v>
      </c>
      <c r="K37" s="1241">
        <f t="shared" si="5"/>
        <v>0</v>
      </c>
      <c r="L37" s="1241">
        <f t="shared" si="5"/>
        <v>275305.76890770043</v>
      </c>
      <c r="M37" s="1241">
        <f t="shared" si="5"/>
        <v>275305.76890770043</v>
      </c>
      <c r="N37" s="1241">
        <f t="shared" si="5"/>
        <v>1194945.7011720883</v>
      </c>
      <c r="O37" s="1241">
        <f t="shared" si="5"/>
        <v>1199368.6506934599</v>
      </c>
      <c r="P37" s="1241">
        <f t="shared" si="5"/>
        <v>1199368.6506934599</v>
      </c>
      <c r="Q37" s="1241">
        <f t="shared" si="5"/>
        <v>1199368.6506934599</v>
      </c>
      <c r="R37" s="1241">
        <f t="shared" si="5"/>
        <v>1199368.6506934599</v>
      </c>
      <c r="S37" s="1241">
        <f t="shared" si="5"/>
        <v>1199368.6506934599</v>
      </c>
      <c r="T37" s="1241">
        <f t="shared" si="5"/>
        <v>1199368.6506934599</v>
      </c>
      <c r="U37" s="1241">
        <f t="shared" si="5"/>
        <v>1565409.3318963274</v>
      </c>
      <c r="V37" s="1241">
        <f t="shared" si="5"/>
        <v>1565409.3318963274</v>
      </c>
      <c r="W37" s="1241">
        <f t="shared" si="5"/>
        <v>1565409.3318963274</v>
      </c>
      <c r="X37" s="1241">
        <f t="shared" si="5"/>
        <v>1565409.3318963274</v>
      </c>
      <c r="Y37" s="1241">
        <f t="shared" si="5"/>
        <v>1565409.3318963274</v>
      </c>
      <c r="Z37" s="1241">
        <f t="shared" si="5"/>
        <v>1565409.3318963274</v>
      </c>
      <c r="AA37" s="1241">
        <f t="shared" si="5"/>
        <v>1290103.5629886272</v>
      </c>
      <c r="AB37" s="1241">
        <f t="shared" si="5"/>
        <v>1290103.5629886272</v>
      </c>
      <c r="AC37" s="1241">
        <f t="shared" si="5"/>
        <v>370463.63072423905</v>
      </c>
      <c r="AD37" s="1241">
        <f t="shared" si="5"/>
        <v>366040.68120286777</v>
      </c>
      <c r="AE37" s="1241">
        <f t="shared" si="5"/>
        <v>366040.68120286777</v>
      </c>
      <c r="AF37" s="1241">
        <f t="shared" si="5"/>
        <v>366040.68120286777</v>
      </c>
      <c r="AG37" s="1241">
        <f t="shared" si="5"/>
        <v>366040.68120286777</v>
      </c>
      <c r="AH37" s="1241">
        <f t="shared" si="5"/>
        <v>366040.68120286777</v>
      </c>
      <c r="AI37" s="1241">
        <f t="shared" si="5"/>
        <v>366040.68120286777</v>
      </c>
      <c r="AJ37" s="1241">
        <f t="shared" si="5"/>
        <v>0</v>
      </c>
    </row>
    <row r="38" spans="2:36" s="79" customFormat="1" ht="12" x14ac:dyDescent="0.3">
      <c r="C38" s="199"/>
      <c r="D38" s="199"/>
      <c r="E38" s="1226"/>
      <c r="F38" s="1226"/>
      <c r="G38" s="201"/>
      <c r="H38" s="201"/>
      <c r="I38" s="201"/>
      <c r="J38" s="201"/>
      <c r="K38" s="201"/>
      <c r="L38" s="201"/>
      <c r="M38" s="201"/>
      <c r="N38" s="201"/>
      <c r="O38" s="201"/>
      <c r="P38" s="201"/>
      <c r="Q38" s="201"/>
      <c r="R38" s="201"/>
      <c r="S38" s="201"/>
      <c r="T38" s="201"/>
      <c r="U38" s="201"/>
      <c r="V38" s="201"/>
      <c r="W38" s="201"/>
      <c r="X38" s="201"/>
      <c r="Y38" s="201"/>
      <c r="Z38" s="201"/>
      <c r="AA38" s="201"/>
      <c r="AB38" s="201"/>
      <c r="AC38" s="201"/>
      <c r="AD38" s="201"/>
      <c r="AE38" s="201"/>
      <c r="AF38" s="201"/>
      <c r="AG38" s="201"/>
      <c r="AH38" s="201"/>
      <c r="AI38" s="201"/>
      <c r="AJ38" s="201"/>
    </row>
    <row r="39" spans="2:36" s="79" customFormat="1" ht="12.5" thickBot="1" x14ac:dyDescent="0.35">
      <c r="C39" s="263" t="s">
        <v>1260</v>
      </c>
      <c r="E39" s="201"/>
      <c r="F39" s="201"/>
      <c r="G39" s="201"/>
      <c r="H39" s="1226"/>
      <c r="I39" s="1226"/>
      <c r="J39" s="1226"/>
      <c r="K39" s="1226"/>
      <c r="L39" s="1226"/>
      <c r="M39" s="1226"/>
      <c r="N39" s="1226"/>
      <c r="O39" s="1226"/>
      <c r="P39" s="1226"/>
      <c r="Q39" s="1226"/>
      <c r="R39" s="1226"/>
      <c r="S39" s="1226"/>
      <c r="T39" s="1226"/>
      <c r="U39" s="1226"/>
      <c r="V39" s="1226"/>
      <c r="W39" s="1226"/>
      <c r="X39" s="1226"/>
      <c r="Y39" s="1226"/>
      <c r="Z39" s="1226"/>
      <c r="AA39" s="1226"/>
      <c r="AB39" s="1226"/>
      <c r="AC39" s="1226"/>
      <c r="AD39" s="1226"/>
      <c r="AE39" s="1226"/>
      <c r="AF39" s="1226"/>
      <c r="AG39" s="1226"/>
      <c r="AH39" s="1226"/>
      <c r="AI39" s="1226"/>
      <c r="AJ39" s="1226"/>
    </row>
    <row r="40" spans="2:36" s="252" customFormat="1" ht="12.5" thickTop="1" x14ac:dyDescent="0.3">
      <c r="B40" s="79"/>
      <c r="C40" s="257"/>
      <c r="D40" s="256"/>
      <c r="E40" s="257"/>
      <c r="F40" s="257"/>
      <c r="G40" s="258">
        <v>1</v>
      </c>
      <c r="H40" s="258">
        <v>2</v>
      </c>
      <c r="I40" s="258">
        <v>3</v>
      </c>
      <c r="J40" s="258">
        <v>4</v>
      </c>
      <c r="K40" s="258">
        <v>5</v>
      </c>
      <c r="L40" s="258">
        <v>6</v>
      </c>
      <c r="M40" s="258">
        <v>7</v>
      </c>
      <c r="N40" s="258">
        <v>8</v>
      </c>
      <c r="O40" s="258">
        <v>9</v>
      </c>
      <c r="P40" s="258">
        <v>10</v>
      </c>
      <c r="Q40" s="258">
        <v>11</v>
      </c>
      <c r="R40" s="258">
        <v>12</v>
      </c>
      <c r="S40" s="258">
        <v>13</v>
      </c>
      <c r="T40" s="258">
        <v>14</v>
      </c>
      <c r="U40" s="258">
        <v>15</v>
      </c>
      <c r="V40" s="258">
        <v>16</v>
      </c>
      <c r="W40" s="258">
        <v>17</v>
      </c>
      <c r="X40" s="258">
        <v>18</v>
      </c>
      <c r="Y40" s="258">
        <v>19</v>
      </c>
      <c r="Z40" s="258">
        <v>20</v>
      </c>
      <c r="AA40" s="258">
        <v>21</v>
      </c>
      <c r="AB40" s="258">
        <v>22</v>
      </c>
      <c r="AC40" s="258">
        <v>23</v>
      </c>
      <c r="AD40" s="258">
        <v>24</v>
      </c>
      <c r="AE40" s="258">
        <v>25</v>
      </c>
      <c r="AF40" s="258">
        <v>26</v>
      </c>
      <c r="AG40" s="258">
        <v>27</v>
      </c>
      <c r="AH40" s="258">
        <v>28</v>
      </c>
      <c r="AI40" s="258">
        <v>29</v>
      </c>
      <c r="AJ40" s="258">
        <v>30</v>
      </c>
    </row>
    <row r="41" spans="2:36" s="173" customFormat="1" ht="6" customHeight="1" x14ac:dyDescent="0.3">
      <c r="B41" s="79"/>
      <c r="E41" s="193"/>
      <c r="F41" s="193"/>
    </row>
    <row r="42" spans="2:36" s="199" customFormat="1" ht="15.75" customHeight="1" x14ac:dyDescent="0.3">
      <c r="C42" s="196"/>
      <c r="D42" s="613" t="s">
        <v>1261</v>
      </c>
      <c r="E42" s="196"/>
      <c r="F42" s="196"/>
      <c r="G42" s="1243">
        <f t="shared" ref="G42:AJ42" si="6">G20</f>
        <v>22397082.247499999</v>
      </c>
      <c r="H42" s="1243">
        <f t="shared" si="6"/>
        <v>9497383.094243519</v>
      </c>
      <c r="I42" s="1243">
        <f t="shared" si="6"/>
        <v>7781110.9140391182</v>
      </c>
      <c r="J42" s="1243">
        <f t="shared" si="6"/>
        <v>23380755.498117354</v>
      </c>
      <c r="K42" s="1243">
        <f t="shared" si="6"/>
        <v>112268.26800000001</v>
      </c>
      <c r="L42" s="1243">
        <f t="shared" si="6"/>
        <v>0</v>
      </c>
      <c r="M42" s="1243">
        <f t="shared" si="6"/>
        <v>0</v>
      </c>
      <c r="N42" s="1243">
        <f t="shared" si="6"/>
        <v>0</v>
      </c>
      <c r="O42" s="1243">
        <f t="shared" si="6"/>
        <v>0</v>
      </c>
      <c r="P42" s="1243">
        <f t="shared" si="6"/>
        <v>3097085.1085999995</v>
      </c>
      <c r="Q42" s="1243">
        <f t="shared" si="6"/>
        <v>9291255.3257999979</v>
      </c>
      <c r="R42" s="1243">
        <f t="shared" si="6"/>
        <v>0</v>
      </c>
      <c r="S42" s="1243">
        <f t="shared" si="6"/>
        <v>0</v>
      </c>
      <c r="T42" s="1243">
        <f t="shared" si="6"/>
        <v>0</v>
      </c>
      <c r="U42" s="1243">
        <f t="shared" si="6"/>
        <v>0</v>
      </c>
      <c r="V42" s="1243">
        <f t="shared" si="6"/>
        <v>0</v>
      </c>
      <c r="W42" s="1243">
        <f t="shared" si="6"/>
        <v>0</v>
      </c>
      <c r="X42" s="1243">
        <f t="shared" si="6"/>
        <v>0</v>
      </c>
      <c r="Y42" s="1243">
        <f t="shared" si="6"/>
        <v>0</v>
      </c>
      <c r="Z42" s="1243">
        <f t="shared" si="6"/>
        <v>0</v>
      </c>
      <c r="AA42" s="1243">
        <f t="shared" si="6"/>
        <v>0</v>
      </c>
      <c r="AB42" s="1243">
        <f t="shared" si="6"/>
        <v>0</v>
      </c>
      <c r="AC42" s="1243">
        <f t="shared" si="6"/>
        <v>0</v>
      </c>
      <c r="AD42" s="1243">
        <f t="shared" si="6"/>
        <v>0</v>
      </c>
      <c r="AE42" s="1243">
        <f t="shared" si="6"/>
        <v>0</v>
      </c>
      <c r="AF42" s="1243">
        <f t="shared" si="6"/>
        <v>0</v>
      </c>
      <c r="AG42" s="1243">
        <f t="shared" si="6"/>
        <v>0</v>
      </c>
      <c r="AH42" s="1243">
        <f t="shared" si="6"/>
        <v>0</v>
      </c>
      <c r="AI42" s="1243">
        <f t="shared" si="6"/>
        <v>0</v>
      </c>
      <c r="AJ42" s="1243">
        <f t="shared" si="6"/>
        <v>0</v>
      </c>
    </row>
    <row r="43" spans="2:36" s="199" customFormat="1" ht="15.75" customHeight="1" x14ac:dyDescent="0.3">
      <c r="C43" s="1230"/>
      <c r="D43" s="1244" t="s">
        <v>1262</v>
      </c>
      <c r="E43" s="1245"/>
      <c r="F43" s="1245"/>
      <c r="G43" s="1246">
        <f t="shared" ref="G43:AJ43" si="7">((1+G44)*(1+G45))/(1+G46)-1</f>
        <v>5.0096339113680166E-2</v>
      </c>
      <c r="H43" s="1246">
        <f t="shared" si="7"/>
        <v>5.3140096618357724E-2</v>
      </c>
      <c r="I43" s="1246">
        <f t="shared" si="7"/>
        <v>5.3140096618357724E-2</v>
      </c>
      <c r="J43" s="1246">
        <f t="shared" si="7"/>
        <v>5.3140096618357724E-2</v>
      </c>
      <c r="K43" s="1246">
        <f t="shared" si="7"/>
        <v>5.3140096618357724E-2</v>
      </c>
      <c r="L43" s="1246">
        <f t="shared" si="7"/>
        <v>5.3140096618357724E-2</v>
      </c>
      <c r="M43" s="1246">
        <f t="shared" si="7"/>
        <v>5.3140096618357724E-2</v>
      </c>
      <c r="N43" s="1246">
        <f t="shared" si="7"/>
        <v>5.3140096618357724E-2</v>
      </c>
      <c r="O43" s="1246">
        <f t="shared" si="7"/>
        <v>5.3140096618357724E-2</v>
      </c>
      <c r="P43" s="1246">
        <f t="shared" si="7"/>
        <v>5.3140096618357724E-2</v>
      </c>
      <c r="Q43" s="1246">
        <f t="shared" si="7"/>
        <v>5.3140096618357724E-2</v>
      </c>
      <c r="R43" s="1246">
        <f t="shared" si="7"/>
        <v>5.3140096618357724E-2</v>
      </c>
      <c r="S43" s="1246">
        <f t="shared" si="7"/>
        <v>5.3140096618357724E-2</v>
      </c>
      <c r="T43" s="1246">
        <f t="shared" si="7"/>
        <v>5.3140096618357724E-2</v>
      </c>
      <c r="U43" s="1246">
        <f t="shared" si="7"/>
        <v>5.3140096618357724E-2</v>
      </c>
      <c r="V43" s="1246">
        <f t="shared" si="7"/>
        <v>5.3140096618357724E-2</v>
      </c>
      <c r="W43" s="1246">
        <f t="shared" si="7"/>
        <v>5.3140096618357724E-2</v>
      </c>
      <c r="X43" s="1246">
        <f t="shared" si="7"/>
        <v>5.3140096618357724E-2</v>
      </c>
      <c r="Y43" s="1246">
        <f t="shared" si="7"/>
        <v>5.3140096618357724E-2</v>
      </c>
      <c r="Z43" s="1246">
        <f t="shared" si="7"/>
        <v>5.3140096618357724E-2</v>
      </c>
      <c r="AA43" s="1246">
        <f t="shared" si="7"/>
        <v>5.3140096618357724E-2</v>
      </c>
      <c r="AB43" s="1246">
        <f t="shared" si="7"/>
        <v>5.3140096618357724E-2</v>
      </c>
      <c r="AC43" s="1246">
        <f t="shared" si="7"/>
        <v>5.3140096618357724E-2</v>
      </c>
      <c r="AD43" s="1246">
        <f t="shared" si="7"/>
        <v>5.3140096618357724E-2</v>
      </c>
      <c r="AE43" s="1246">
        <f t="shared" si="7"/>
        <v>5.3140096618357724E-2</v>
      </c>
      <c r="AF43" s="1246">
        <f t="shared" si="7"/>
        <v>5.3140096618357724E-2</v>
      </c>
      <c r="AG43" s="1246">
        <f t="shared" si="7"/>
        <v>5.3140096618357724E-2</v>
      </c>
      <c r="AH43" s="1246">
        <f t="shared" si="7"/>
        <v>5.3140096618357724E-2</v>
      </c>
      <c r="AI43" s="1246">
        <f t="shared" si="7"/>
        <v>5.3140096618357724E-2</v>
      </c>
      <c r="AJ43" s="1246">
        <f t="shared" si="7"/>
        <v>5.3140096618357724E-2</v>
      </c>
    </row>
    <row r="44" spans="2:36" s="199" customFormat="1" ht="15.75" customHeight="1" x14ac:dyDescent="0.3">
      <c r="C44" s="1230"/>
      <c r="D44" s="1244" t="s">
        <v>1263</v>
      </c>
      <c r="E44" s="1245"/>
      <c r="F44" s="1245"/>
      <c r="G44" s="1246">
        <v>0.09</v>
      </c>
      <c r="H44" s="1246">
        <v>0.09</v>
      </c>
      <c r="I44" s="1246">
        <v>0.09</v>
      </c>
      <c r="J44" s="1246">
        <v>0.09</v>
      </c>
      <c r="K44" s="1246">
        <v>0.09</v>
      </c>
      <c r="L44" s="1246">
        <v>0.09</v>
      </c>
      <c r="M44" s="1246">
        <v>0.09</v>
      </c>
      <c r="N44" s="1246">
        <v>0.09</v>
      </c>
      <c r="O44" s="1246">
        <v>0.09</v>
      </c>
      <c r="P44" s="1246">
        <v>0.09</v>
      </c>
      <c r="Q44" s="1246">
        <v>0.09</v>
      </c>
      <c r="R44" s="1246">
        <v>0.09</v>
      </c>
      <c r="S44" s="1246">
        <v>0.09</v>
      </c>
      <c r="T44" s="1246">
        <v>0.09</v>
      </c>
      <c r="U44" s="1246">
        <v>0.09</v>
      </c>
      <c r="V44" s="1246">
        <v>0.09</v>
      </c>
      <c r="W44" s="1246">
        <v>0.09</v>
      </c>
      <c r="X44" s="1246">
        <v>0.09</v>
      </c>
      <c r="Y44" s="1246">
        <v>0.09</v>
      </c>
      <c r="Z44" s="1246">
        <v>0.09</v>
      </c>
      <c r="AA44" s="1246">
        <v>0.09</v>
      </c>
      <c r="AB44" s="1246">
        <v>0.09</v>
      </c>
      <c r="AC44" s="1246">
        <v>0.09</v>
      </c>
      <c r="AD44" s="1246">
        <v>0.09</v>
      </c>
      <c r="AE44" s="1246">
        <v>0.09</v>
      </c>
      <c r="AF44" s="1246">
        <v>0.09</v>
      </c>
      <c r="AG44" s="1246">
        <v>0.09</v>
      </c>
      <c r="AH44" s="1246">
        <v>0.09</v>
      </c>
      <c r="AI44" s="1246">
        <v>0.09</v>
      </c>
      <c r="AJ44" s="1246">
        <v>0.09</v>
      </c>
    </row>
    <row r="45" spans="2:36" s="199" customFormat="1" ht="15.75" customHeight="1" x14ac:dyDescent="0.3">
      <c r="C45" s="1230"/>
      <c r="D45" s="605" t="s">
        <v>1264</v>
      </c>
      <c r="E45" s="1230"/>
      <c r="F45" s="1230"/>
      <c r="G45" s="1247">
        <v>0</v>
      </c>
      <c r="H45" s="1247">
        <v>0</v>
      </c>
      <c r="I45" s="1247">
        <v>0</v>
      </c>
      <c r="J45" s="1247">
        <v>0</v>
      </c>
      <c r="K45" s="1247">
        <v>0</v>
      </c>
      <c r="L45" s="1247">
        <v>0</v>
      </c>
      <c r="M45" s="1247">
        <v>0</v>
      </c>
      <c r="N45" s="1247">
        <v>0</v>
      </c>
      <c r="O45" s="1247">
        <v>0</v>
      </c>
      <c r="P45" s="1247">
        <v>0</v>
      </c>
      <c r="Q45" s="1247">
        <v>0</v>
      </c>
      <c r="R45" s="1247">
        <v>0</v>
      </c>
      <c r="S45" s="1247">
        <v>0</v>
      </c>
      <c r="T45" s="1247">
        <v>0</v>
      </c>
      <c r="U45" s="1247">
        <v>0</v>
      </c>
      <c r="V45" s="1247">
        <v>0</v>
      </c>
      <c r="W45" s="1247">
        <v>0</v>
      </c>
      <c r="X45" s="1247">
        <v>0</v>
      </c>
      <c r="Y45" s="1247">
        <v>0</v>
      </c>
      <c r="Z45" s="1247">
        <v>0</v>
      </c>
      <c r="AA45" s="1247">
        <v>0</v>
      </c>
      <c r="AB45" s="1247">
        <v>0</v>
      </c>
      <c r="AC45" s="1247">
        <v>0</v>
      </c>
      <c r="AD45" s="1247">
        <v>0</v>
      </c>
      <c r="AE45" s="1247">
        <v>0</v>
      </c>
      <c r="AF45" s="1247">
        <v>0</v>
      </c>
      <c r="AG45" s="1247">
        <v>0</v>
      </c>
      <c r="AH45" s="1247">
        <v>0</v>
      </c>
      <c r="AI45" s="1247">
        <v>0</v>
      </c>
      <c r="AJ45" s="1247">
        <v>0</v>
      </c>
    </row>
    <row r="46" spans="2:36" s="199" customFormat="1" ht="15.75" customHeight="1" x14ac:dyDescent="0.3">
      <c r="C46" s="1230"/>
      <c r="D46" s="605" t="s">
        <v>1265</v>
      </c>
      <c r="E46" s="1230"/>
      <c r="F46" s="1230"/>
      <c r="G46" s="1247">
        <f>'Premissas Gerais'!E142</f>
        <v>3.7999999999999999E-2</v>
      </c>
      <c r="H46" s="1247">
        <f>'Premissas Gerais'!F142</f>
        <v>3.5000000000000003E-2</v>
      </c>
      <c r="I46" s="1247">
        <f>'Premissas Gerais'!G142</f>
        <v>3.5000000000000003E-2</v>
      </c>
      <c r="J46" s="1247">
        <f>I46</f>
        <v>3.5000000000000003E-2</v>
      </c>
      <c r="K46" s="1247">
        <f t="shared" ref="K46:AJ46" si="8">J46</f>
        <v>3.5000000000000003E-2</v>
      </c>
      <c r="L46" s="1247">
        <f t="shared" si="8"/>
        <v>3.5000000000000003E-2</v>
      </c>
      <c r="M46" s="1247">
        <f t="shared" si="8"/>
        <v>3.5000000000000003E-2</v>
      </c>
      <c r="N46" s="1247">
        <f t="shared" si="8"/>
        <v>3.5000000000000003E-2</v>
      </c>
      <c r="O46" s="1247">
        <f t="shared" si="8"/>
        <v>3.5000000000000003E-2</v>
      </c>
      <c r="P46" s="1247">
        <f t="shared" si="8"/>
        <v>3.5000000000000003E-2</v>
      </c>
      <c r="Q46" s="1247">
        <f t="shared" si="8"/>
        <v>3.5000000000000003E-2</v>
      </c>
      <c r="R46" s="1247">
        <f t="shared" si="8"/>
        <v>3.5000000000000003E-2</v>
      </c>
      <c r="S46" s="1247">
        <f t="shared" si="8"/>
        <v>3.5000000000000003E-2</v>
      </c>
      <c r="T46" s="1247">
        <f t="shared" si="8"/>
        <v>3.5000000000000003E-2</v>
      </c>
      <c r="U46" s="1247">
        <f t="shared" si="8"/>
        <v>3.5000000000000003E-2</v>
      </c>
      <c r="V46" s="1247">
        <f t="shared" si="8"/>
        <v>3.5000000000000003E-2</v>
      </c>
      <c r="W46" s="1247">
        <f t="shared" si="8"/>
        <v>3.5000000000000003E-2</v>
      </c>
      <c r="X46" s="1247">
        <f t="shared" si="8"/>
        <v>3.5000000000000003E-2</v>
      </c>
      <c r="Y46" s="1247">
        <f t="shared" si="8"/>
        <v>3.5000000000000003E-2</v>
      </c>
      <c r="Z46" s="1247">
        <f t="shared" si="8"/>
        <v>3.5000000000000003E-2</v>
      </c>
      <c r="AA46" s="1247">
        <f t="shared" si="8"/>
        <v>3.5000000000000003E-2</v>
      </c>
      <c r="AB46" s="1247">
        <f t="shared" si="8"/>
        <v>3.5000000000000003E-2</v>
      </c>
      <c r="AC46" s="1247">
        <f t="shared" si="8"/>
        <v>3.5000000000000003E-2</v>
      </c>
      <c r="AD46" s="1247">
        <f t="shared" si="8"/>
        <v>3.5000000000000003E-2</v>
      </c>
      <c r="AE46" s="1247">
        <f t="shared" si="8"/>
        <v>3.5000000000000003E-2</v>
      </c>
      <c r="AF46" s="1247">
        <f t="shared" si="8"/>
        <v>3.5000000000000003E-2</v>
      </c>
      <c r="AG46" s="1247">
        <f t="shared" si="8"/>
        <v>3.5000000000000003E-2</v>
      </c>
      <c r="AH46" s="1247">
        <f t="shared" si="8"/>
        <v>3.5000000000000003E-2</v>
      </c>
      <c r="AI46" s="1247">
        <f t="shared" si="8"/>
        <v>3.5000000000000003E-2</v>
      </c>
      <c r="AJ46" s="1247">
        <f t="shared" si="8"/>
        <v>3.5000000000000003E-2</v>
      </c>
    </row>
    <row r="47" spans="2:36" s="199" customFormat="1" ht="15.75" customHeight="1" x14ac:dyDescent="0.3">
      <c r="C47" s="1230"/>
      <c r="D47" s="605" t="s">
        <v>1255</v>
      </c>
      <c r="E47" s="1230"/>
      <c r="F47" s="1248">
        <v>1.8800000000000001E-2</v>
      </c>
      <c r="G47" s="1249"/>
      <c r="H47" s="189"/>
      <c r="I47" s="189"/>
      <c r="J47" s="189"/>
      <c r="K47" s="189"/>
      <c r="L47" s="1250"/>
      <c r="M47" s="1250"/>
      <c r="N47" s="1250"/>
      <c r="O47" s="1250"/>
      <c r="P47" s="1250"/>
      <c r="Q47" s="1250"/>
      <c r="R47" s="1250"/>
      <c r="S47" s="1250"/>
      <c r="T47" s="1250"/>
      <c r="U47" s="1250"/>
      <c r="V47" s="1250"/>
      <c r="W47" s="1250"/>
      <c r="X47" s="1250"/>
      <c r="Y47" s="1250"/>
      <c r="Z47" s="1250"/>
      <c r="AA47" s="1250"/>
      <c r="AB47" s="1250"/>
      <c r="AC47" s="1250"/>
      <c r="AD47" s="1250"/>
      <c r="AE47" s="1250"/>
      <c r="AF47" s="1250"/>
      <c r="AG47" s="1250"/>
      <c r="AH47" s="1250"/>
      <c r="AI47" s="1250"/>
      <c r="AJ47" s="1250"/>
    </row>
    <row r="48" spans="2:36" s="199" customFormat="1" ht="15.75" customHeight="1" x14ac:dyDescent="0.3">
      <c r="C48" s="1230"/>
      <c r="D48" s="605" t="s">
        <v>1256</v>
      </c>
      <c r="E48" s="1230"/>
      <c r="F48" s="1251">
        <v>300000</v>
      </c>
      <c r="G48" s="1249"/>
      <c r="H48" s="189"/>
      <c r="I48" s="189"/>
      <c r="J48" s="189"/>
      <c r="K48" s="189"/>
      <c r="L48" s="189"/>
      <c r="M48" s="189"/>
      <c r="N48" s="189"/>
      <c r="O48" s="189"/>
      <c r="P48" s="189"/>
      <c r="Q48" s="189"/>
      <c r="R48" s="189"/>
      <c r="S48" s="189"/>
      <c r="T48" s="189"/>
      <c r="U48" s="189"/>
      <c r="V48" s="189"/>
      <c r="W48" s="189"/>
      <c r="X48" s="189"/>
      <c r="Y48" s="189"/>
      <c r="Z48" s="189"/>
      <c r="AA48" s="189"/>
      <c r="AB48" s="189"/>
      <c r="AC48" s="189"/>
      <c r="AD48" s="189"/>
      <c r="AE48" s="189"/>
      <c r="AF48" s="189"/>
      <c r="AG48" s="189"/>
      <c r="AH48" s="189"/>
      <c r="AI48" s="189"/>
      <c r="AJ48" s="189"/>
    </row>
    <row r="49" spans="3:36" s="199" customFormat="1" ht="15.75" customHeight="1" x14ac:dyDescent="0.3">
      <c r="C49" s="1230"/>
      <c r="D49" s="605" t="s">
        <v>1266</v>
      </c>
      <c r="E49" s="1230"/>
      <c r="F49" s="1230"/>
      <c r="G49" s="1249"/>
      <c r="H49" s="189"/>
      <c r="I49" s="189"/>
      <c r="J49" s="189"/>
      <c r="K49" s="189"/>
      <c r="L49" s="189"/>
      <c r="M49" s="189"/>
      <c r="N49" s="189"/>
      <c r="O49" s="189"/>
      <c r="P49" s="189"/>
      <c r="Q49" s="189"/>
      <c r="R49" s="189"/>
      <c r="S49" s="189"/>
      <c r="T49" s="189"/>
      <c r="U49" s="189"/>
      <c r="V49" s="189"/>
      <c r="W49" s="189"/>
      <c r="X49" s="189"/>
      <c r="Y49" s="189"/>
      <c r="Z49" s="189"/>
      <c r="AA49" s="189"/>
      <c r="AB49" s="189"/>
      <c r="AC49" s="189"/>
      <c r="AD49" s="189"/>
      <c r="AE49" s="189"/>
      <c r="AF49" s="189"/>
      <c r="AG49" s="189"/>
      <c r="AH49" s="189"/>
      <c r="AI49" s="189"/>
      <c r="AJ49" s="189"/>
    </row>
    <row r="50" spans="3:36" s="199" customFormat="1" ht="15.75" customHeight="1" x14ac:dyDescent="0.3">
      <c r="C50" s="1230"/>
      <c r="D50" s="605" t="s">
        <v>1267</v>
      </c>
      <c r="E50" s="1230"/>
      <c r="F50" s="1230"/>
      <c r="G50" s="1252" t="s">
        <v>1268</v>
      </c>
      <c r="H50" s="189"/>
      <c r="I50" s="189"/>
      <c r="J50" s="189"/>
      <c r="K50" s="189"/>
      <c r="L50" s="189"/>
      <c r="M50" s="189"/>
      <c r="N50" s="189"/>
      <c r="O50" s="189"/>
      <c r="P50" s="189"/>
      <c r="Q50" s="189"/>
      <c r="R50" s="189"/>
      <c r="S50" s="189"/>
      <c r="T50" s="189"/>
      <c r="U50" s="189"/>
      <c r="V50" s="189"/>
      <c r="W50" s="189"/>
      <c r="X50" s="189"/>
      <c r="Y50" s="189"/>
      <c r="Z50" s="189"/>
      <c r="AA50" s="189"/>
      <c r="AB50" s="189"/>
      <c r="AC50" s="189"/>
      <c r="AD50" s="189"/>
      <c r="AE50" s="189"/>
      <c r="AF50" s="189"/>
      <c r="AG50" s="189"/>
      <c r="AH50" s="189"/>
      <c r="AI50" s="189"/>
      <c r="AJ50" s="189"/>
    </row>
    <row r="51" spans="3:36" x14ac:dyDescent="0.35">
      <c r="F51" s="1217"/>
    </row>
    <row r="52" spans="3:36" x14ac:dyDescent="0.35">
      <c r="F52" s="1217"/>
    </row>
    <row r="53" spans="3:36" x14ac:dyDescent="0.35">
      <c r="F53" s="1217"/>
    </row>
    <row r="54" spans="3:36" ht="43.5" x14ac:dyDescent="0.35">
      <c r="C54" s="1253" t="s">
        <v>1240</v>
      </c>
      <c r="D54" s="1254"/>
      <c r="E54" s="1255" t="s">
        <v>1269</v>
      </c>
      <c r="F54" s="1256" t="s">
        <v>1270</v>
      </c>
      <c r="G54" s="1257"/>
      <c r="H54" s="1258" t="s">
        <v>544</v>
      </c>
      <c r="I54" s="1259" t="s">
        <v>1271</v>
      </c>
      <c r="J54" s="1259" t="s">
        <v>1272</v>
      </c>
      <c r="K54" s="1260"/>
    </row>
    <row r="55" spans="3:36" x14ac:dyDescent="0.35">
      <c r="C55" s="246"/>
      <c r="D55" t="s">
        <v>1188</v>
      </c>
      <c r="E55" s="1208">
        <v>6</v>
      </c>
      <c r="F55" s="1261">
        <f>E55+12</f>
        <v>18</v>
      </c>
      <c r="G55" s="1262"/>
      <c r="H55" s="1263">
        <f>G6</f>
        <v>22397082.247499999</v>
      </c>
      <c r="I55" s="1264">
        <f>H55*(1+G56)</f>
        <v>25519923.427800044</v>
      </c>
      <c r="J55" s="475">
        <f>I55-H55</f>
        <v>3122841.1803000458</v>
      </c>
      <c r="K55" s="336"/>
    </row>
    <row r="56" spans="3:36" x14ac:dyDescent="0.35">
      <c r="C56" s="1265" t="s">
        <v>1273</v>
      </c>
      <c r="D56" s="30"/>
      <c r="E56" s="1266"/>
      <c r="F56" s="1267" t="s">
        <v>1274</v>
      </c>
      <c r="G56" s="1268">
        <f>((1+'Premissas Gerais'!D143)/(1+'Premissas Gerais'!D142))-1+6%</f>
        <v>0.13943071449177807</v>
      </c>
      <c r="H56" s="1269" t="s">
        <v>52</v>
      </c>
      <c r="I56" s="1270"/>
      <c r="J56" s="30"/>
      <c r="K56" s="246"/>
    </row>
    <row r="57" spans="3:36" x14ac:dyDescent="0.35">
      <c r="F57" s="1217"/>
    </row>
    <row r="58" spans="3:36" x14ac:dyDescent="0.35">
      <c r="C58" s="1271" t="s">
        <v>1275</v>
      </c>
      <c r="D58" s="1272"/>
      <c r="E58" s="1273" t="s">
        <v>61</v>
      </c>
      <c r="F58" s="1273" t="s">
        <v>61</v>
      </c>
      <c r="G58" s="1273" t="s">
        <v>176</v>
      </c>
      <c r="H58" s="1274" t="s">
        <v>544</v>
      </c>
      <c r="I58" s="1275" t="s">
        <v>1276</v>
      </c>
    </row>
    <row r="59" spans="3:36" x14ac:dyDescent="0.35">
      <c r="C59" s="246"/>
      <c r="D59" t="s">
        <v>1277</v>
      </c>
      <c r="E59" s="1309">
        <f>F55</f>
        <v>18</v>
      </c>
      <c r="F59" s="1310">
        <f>E59+H7</f>
        <v>66</v>
      </c>
      <c r="G59" s="1306">
        <f>(22.45%+0.93%)</f>
        <v>0.23380000000000001</v>
      </c>
      <c r="H59" s="1263">
        <f>G59*$G$7</f>
        <v>9497383.094243519</v>
      </c>
      <c r="I59" s="1276">
        <f>H59*(1+'Instrumentos Financeiros'!$H$43)^($H$7/12)</f>
        <v>11682843.229858823</v>
      </c>
      <c r="K59" s="96"/>
      <c r="L59" s="96"/>
    </row>
    <row r="60" spans="3:36" x14ac:dyDescent="0.35">
      <c r="C60" s="246"/>
      <c r="D60" t="s">
        <v>1278</v>
      </c>
      <c r="E60" s="1309">
        <f>E59+3</f>
        <v>21</v>
      </c>
      <c r="F60" s="1309">
        <f>F59+3</f>
        <v>69</v>
      </c>
      <c r="G60" s="1306">
        <v>0</v>
      </c>
      <c r="H60" s="1263">
        <f t="shared" ref="H60:H73" si="9">G60*$G$7</f>
        <v>0</v>
      </c>
      <c r="I60" s="1276">
        <f>H60*(1+'Instrumentos Financeiros'!$H$43)^($H$7/12)</f>
        <v>0</v>
      </c>
      <c r="K60" s="96"/>
    </row>
    <row r="61" spans="3:36" x14ac:dyDescent="0.35">
      <c r="C61" s="246"/>
      <c r="D61" t="s">
        <v>1279</v>
      </c>
      <c r="E61" s="1309">
        <f t="shared" ref="E61:F73" si="10">E60+3</f>
        <v>24</v>
      </c>
      <c r="F61" s="1309">
        <f>F60+3</f>
        <v>72</v>
      </c>
      <c r="G61" s="1306">
        <v>0</v>
      </c>
      <c r="H61" s="1263">
        <f t="shared" si="9"/>
        <v>0</v>
      </c>
      <c r="I61" s="1276">
        <f>H61*(1+'Instrumentos Financeiros'!$H$43)^($H$7/12)</f>
        <v>0</v>
      </c>
      <c r="K61" s="96"/>
    </row>
    <row r="62" spans="3:36" x14ac:dyDescent="0.35">
      <c r="C62" s="246"/>
      <c r="D62" t="s">
        <v>1280</v>
      </c>
      <c r="E62" s="1309">
        <f t="shared" si="10"/>
        <v>27</v>
      </c>
      <c r="F62" s="1309">
        <f>F61+3</f>
        <v>75</v>
      </c>
      <c r="G62" s="1306">
        <v>0</v>
      </c>
      <c r="H62" s="1263">
        <f t="shared" si="9"/>
        <v>0</v>
      </c>
      <c r="I62" s="1276">
        <f>H62*(1+'Instrumentos Financeiros'!$H$43)^($H$7/12)</f>
        <v>0</v>
      </c>
    </row>
    <row r="63" spans="3:36" x14ac:dyDescent="0.35">
      <c r="C63" s="246"/>
      <c r="D63" t="s">
        <v>1281</v>
      </c>
      <c r="E63" s="1309">
        <f t="shared" si="10"/>
        <v>30</v>
      </c>
      <c r="F63" s="1309">
        <f>F62+3</f>
        <v>78</v>
      </c>
      <c r="G63" s="1307">
        <v>0</v>
      </c>
      <c r="H63" s="1263">
        <f t="shared" si="9"/>
        <v>0</v>
      </c>
      <c r="I63" s="1276">
        <f>H63*(1+'Instrumentos Financeiros'!$H$43)^($H$7/12)</f>
        <v>0</v>
      </c>
      <c r="L63" s="77"/>
    </row>
    <row r="64" spans="3:36" x14ac:dyDescent="0.35">
      <c r="C64" s="246"/>
      <c r="D64" t="s">
        <v>1282</v>
      </c>
      <c r="E64" s="1309">
        <f t="shared" si="10"/>
        <v>33</v>
      </c>
      <c r="F64" s="1309">
        <f>F63+3</f>
        <v>81</v>
      </c>
      <c r="G64" s="1307">
        <v>0</v>
      </c>
      <c r="H64" s="1263">
        <f t="shared" si="9"/>
        <v>0</v>
      </c>
      <c r="I64" s="1276">
        <f>H64*(1+'Instrumentos Financeiros'!$H$43)^($H$7/12)</f>
        <v>0</v>
      </c>
    </row>
    <row r="65" spans="3:9" x14ac:dyDescent="0.35">
      <c r="C65" s="246"/>
      <c r="D65" t="s">
        <v>1283</v>
      </c>
      <c r="E65" s="1309">
        <f t="shared" si="10"/>
        <v>36</v>
      </c>
      <c r="F65" s="1309">
        <f t="shared" si="10"/>
        <v>84</v>
      </c>
      <c r="G65" s="1307">
        <f>76.62%/4</f>
        <v>0.19155</v>
      </c>
      <c r="H65" s="1263">
        <f t="shared" si="9"/>
        <v>7781110.9140391182</v>
      </c>
      <c r="I65" s="1276">
        <f>H65*(1+'Instrumentos Financeiros'!$H$43)^($H$7/12)</f>
        <v>9571636.5298522562</v>
      </c>
    </row>
    <row r="66" spans="3:9" x14ac:dyDescent="0.35">
      <c r="C66" s="246"/>
      <c r="D66" t="s">
        <v>1284</v>
      </c>
      <c r="E66" s="1309">
        <f t="shared" si="10"/>
        <v>39</v>
      </c>
      <c r="F66" s="1309">
        <f t="shared" si="10"/>
        <v>87</v>
      </c>
      <c r="G66" s="1307">
        <f>G65</f>
        <v>0.19155</v>
      </c>
      <c r="H66" s="1263">
        <f t="shared" si="9"/>
        <v>7781110.9140391182</v>
      </c>
      <c r="I66" s="1276">
        <f>H66*(1+'Instrumentos Financeiros'!$H$43)^($H$7/12)</f>
        <v>9571636.5298522562</v>
      </c>
    </row>
    <row r="67" spans="3:9" x14ac:dyDescent="0.35">
      <c r="C67" s="246"/>
      <c r="D67" t="s">
        <v>1285</v>
      </c>
      <c r="E67" s="1309">
        <f t="shared" si="10"/>
        <v>42</v>
      </c>
      <c r="F67" s="1309">
        <f t="shared" si="10"/>
        <v>90</v>
      </c>
      <c r="G67" s="1307">
        <f>G66</f>
        <v>0.19155</v>
      </c>
      <c r="H67" s="1263">
        <f t="shared" si="9"/>
        <v>7781110.9140391182</v>
      </c>
      <c r="I67" s="1276">
        <f>H67*(1+'Instrumentos Financeiros'!$H$43)^($H$7/12)</f>
        <v>9571636.5298522562</v>
      </c>
    </row>
    <row r="68" spans="3:9" x14ac:dyDescent="0.35">
      <c r="C68" s="246"/>
      <c r="D68" t="s">
        <v>1286</v>
      </c>
      <c r="E68" s="1309">
        <f t="shared" si="10"/>
        <v>45</v>
      </c>
      <c r="F68" s="1309">
        <f t="shared" si="10"/>
        <v>93</v>
      </c>
      <c r="G68" s="1307">
        <f>G67</f>
        <v>0.19155</v>
      </c>
      <c r="H68" s="1263">
        <f t="shared" si="9"/>
        <v>7781110.9140391182</v>
      </c>
      <c r="I68" s="1276">
        <f>H68*(1+'Instrumentos Financeiros'!$H$43)^($H$7/12)</f>
        <v>9571636.5298522562</v>
      </c>
    </row>
    <row r="69" spans="3:9" x14ac:dyDescent="0.35">
      <c r="C69" s="246"/>
      <c r="D69" t="s">
        <v>1287</v>
      </c>
      <c r="E69" s="1309">
        <f t="shared" si="10"/>
        <v>48</v>
      </c>
      <c r="F69" s="1309">
        <f t="shared" si="10"/>
        <v>96</v>
      </c>
      <c r="G69" s="1307">
        <v>0</v>
      </c>
      <c r="H69" s="1263">
        <f t="shared" si="9"/>
        <v>0</v>
      </c>
      <c r="I69" s="1276">
        <f>H69*(1+'Instrumentos Financeiros'!$H$43)^($H$7/12)</f>
        <v>0</v>
      </c>
    </row>
    <row r="70" spans="3:9" x14ac:dyDescent="0.35">
      <c r="C70" s="246"/>
      <c r="D70" t="s">
        <v>1288</v>
      </c>
      <c r="E70" s="1309">
        <f t="shared" si="10"/>
        <v>51</v>
      </c>
      <c r="F70" s="1309">
        <f t="shared" si="10"/>
        <v>99</v>
      </c>
      <c r="G70" s="1308">
        <v>0</v>
      </c>
      <c r="H70" s="1263">
        <f t="shared" si="9"/>
        <v>0</v>
      </c>
      <c r="I70" s="1276">
        <f>H70*(1+'Instrumentos Financeiros'!$H$43)^($H$7/12)</f>
        <v>0</v>
      </c>
    </row>
    <row r="71" spans="3:9" x14ac:dyDescent="0.35">
      <c r="C71" s="246"/>
      <c r="D71" t="s">
        <v>1289</v>
      </c>
      <c r="E71" s="1309">
        <f t="shared" si="10"/>
        <v>54</v>
      </c>
      <c r="F71" s="1309">
        <f t="shared" si="10"/>
        <v>102</v>
      </c>
      <c r="G71" s="1308">
        <v>0</v>
      </c>
      <c r="H71" s="1263">
        <f t="shared" si="9"/>
        <v>0</v>
      </c>
      <c r="I71" s="1276">
        <f>H71*(1+'Instrumentos Financeiros'!$H$43)^($H$7/12)</f>
        <v>0</v>
      </c>
    </row>
    <row r="72" spans="3:9" x14ac:dyDescent="0.35">
      <c r="C72" s="246"/>
      <c r="D72" t="s">
        <v>1290</v>
      </c>
      <c r="E72" s="1309">
        <f t="shared" si="10"/>
        <v>57</v>
      </c>
      <c r="F72" s="1309">
        <f t="shared" si="10"/>
        <v>105</v>
      </c>
      <c r="G72" s="1308">
        <v>0</v>
      </c>
      <c r="H72" s="1263">
        <f t="shared" si="9"/>
        <v>0</v>
      </c>
      <c r="I72" s="1276">
        <f>H72*(1+'Instrumentos Financeiros'!$H$43)^($H$7/12)</f>
        <v>0</v>
      </c>
    </row>
    <row r="73" spans="3:9" x14ac:dyDescent="0.35">
      <c r="C73" s="246"/>
      <c r="D73" t="s">
        <v>1291</v>
      </c>
      <c r="E73" s="1309">
        <f t="shared" si="10"/>
        <v>60</v>
      </c>
      <c r="F73" s="1309">
        <f t="shared" si="10"/>
        <v>108</v>
      </c>
      <c r="G73" s="1308">
        <v>0</v>
      </c>
      <c r="H73" s="1263">
        <f t="shared" si="9"/>
        <v>0</v>
      </c>
      <c r="I73" s="1276">
        <f>H73*(1+'Instrumentos Financeiros'!$H$43)^($H$7/12)</f>
        <v>0</v>
      </c>
    </row>
    <row r="74" spans="3:9" ht="7.5" customHeight="1" x14ac:dyDescent="0.35">
      <c r="C74" s="246"/>
      <c r="F74" s="65"/>
      <c r="G74" s="1277"/>
      <c r="H74" s="1263"/>
      <c r="I74" s="1278"/>
    </row>
    <row r="75" spans="3:9" x14ac:dyDescent="0.35">
      <c r="C75" s="335"/>
      <c r="D75" s="104"/>
      <c r="E75" s="104"/>
      <c r="F75" s="1279"/>
      <c r="G75" s="1280">
        <f>SUM(G59:G74)</f>
        <v>1</v>
      </c>
      <c r="H75" s="1281">
        <f>SUM(H59:H74)</f>
        <v>40621826.750399999</v>
      </c>
      <c r="I75" s="1281">
        <f>SUM(I59:I74)</f>
        <v>49969389.349267848</v>
      </c>
    </row>
    <row r="76" spans="3:9" x14ac:dyDescent="0.35">
      <c r="C76" s="1282" t="s">
        <v>1292</v>
      </c>
      <c r="D76" s="1283"/>
      <c r="E76" s="1283"/>
      <c r="F76" s="1284" t="s">
        <v>61</v>
      </c>
      <c r="G76" s="1285" t="s">
        <v>176</v>
      </c>
      <c r="H76" s="1286" t="s">
        <v>544</v>
      </c>
      <c r="I76" s="1287"/>
    </row>
    <row r="77" spans="3:9" x14ac:dyDescent="0.35">
      <c r="C77" s="1288"/>
      <c r="D77" t="s">
        <v>1277</v>
      </c>
      <c r="E77" s="1209">
        <v>48</v>
      </c>
      <c r="F77" s="1310">
        <f>E77+H8</f>
        <v>96</v>
      </c>
      <c r="G77" s="1306">
        <v>0.25</v>
      </c>
      <c r="H77" s="1263">
        <f>G77*$G$8</f>
        <v>37422.756000000001</v>
      </c>
      <c r="I77" s="1276">
        <f>H77*(1+'Instrumentos Financeiros'!$H$43)^($H$8/12)</f>
        <v>46034.174597237587</v>
      </c>
    </row>
    <row r="78" spans="3:9" x14ac:dyDescent="0.35">
      <c r="C78" s="246"/>
      <c r="D78" t="s">
        <v>1278</v>
      </c>
      <c r="E78" s="1309">
        <f>E77+3</f>
        <v>51</v>
      </c>
      <c r="F78" s="1310">
        <f>F77+3</f>
        <v>99</v>
      </c>
      <c r="G78" s="1306">
        <v>0.25</v>
      </c>
      <c r="H78" s="1263">
        <f>G78*$G$8</f>
        <v>37422.756000000001</v>
      </c>
      <c r="I78" s="1276">
        <f>H78*(1+'Instrumentos Financeiros'!$H$43)^($H$8/12)</f>
        <v>46034.174597237587</v>
      </c>
    </row>
    <row r="79" spans="3:9" x14ac:dyDescent="0.35">
      <c r="C79" s="246"/>
      <c r="D79" t="s">
        <v>1279</v>
      </c>
      <c r="E79" s="1309">
        <f t="shared" ref="E79:E80" si="11">E78+3</f>
        <v>54</v>
      </c>
      <c r="F79" s="1310">
        <f>F78+3</f>
        <v>102</v>
      </c>
      <c r="G79" s="1306">
        <v>0.25</v>
      </c>
      <c r="H79" s="1263">
        <f>G79*$G$8</f>
        <v>37422.756000000001</v>
      </c>
      <c r="I79" s="1276">
        <f>H79*(1+'Instrumentos Financeiros'!$H$43)^($H$8/12)</f>
        <v>46034.174597237587</v>
      </c>
    </row>
    <row r="80" spans="3:9" x14ac:dyDescent="0.35">
      <c r="C80" s="246"/>
      <c r="D80" t="s">
        <v>1280</v>
      </c>
      <c r="E80" s="1309">
        <f t="shared" si="11"/>
        <v>57</v>
      </c>
      <c r="F80" s="1309">
        <f>F79+3</f>
        <v>105</v>
      </c>
      <c r="G80" s="1306">
        <v>0.25</v>
      </c>
      <c r="H80" s="1263">
        <f>G80*$G$8</f>
        <v>37422.756000000001</v>
      </c>
      <c r="I80" s="1276">
        <f>H80*(1+'Instrumentos Financeiros'!$H$43)^($H$8/12)</f>
        <v>46034.174597237587</v>
      </c>
    </row>
    <row r="81" spans="3:99" x14ac:dyDescent="0.35">
      <c r="C81" s="335"/>
      <c r="D81" s="104"/>
      <c r="E81" s="104"/>
      <c r="F81" s="1279"/>
      <c r="G81" s="1280">
        <f>SUM(G77:G80)</f>
        <v>1</v>
      </c>
      <c r="H81" s="1281">
        <f>SUM(H77:H80)</f>
        <v>149691.024</v>
      </c>
      <c r="I81" s="1289">
        <f>SUM(I77:I80)</f>
        <v>184136.69838895035</v>
      </c>
    </row>
    <row r="82" spans="3:99" x14ac:dyDescent="0.35">
      <c r="C82" s="1290" t="s">
        <v>1293</v>
      </c>
      <c r="D82" s="1291"/>
      <c r="E82" s="1291"/>
      <c r="F82" s="1292" t="s">
        <v>61</v>
      </c>
      <c r="G82" s="1293" t="s">
        <v>176</v>
      </c>
      <c r="H82" s="1294" t="s">
        <v>544</v>
      </c>
      <c r="I82" s="1295"/>
    </row>
    <row r="83" spans="3:99" x14ac:dyDescent="0.35">
      <c r="C83" s="1288"/>
      <c r="D83" t="s">
        <v>1277</v>
      </c>
      <c r="E83" s="1209">
        <v>120</v>
      </c>
      <c r="F83" s="1310">
        <f>E83+H9</f>
        <v>168</v>
      </c>
      <c r="G83" s="1306">
        <v>0.25</v>
      </c>
      <c r="H83" s="1263">
        <f>G83*$G$9</f>
        <v>3097085.1085999995</v>
      </c>
      <c r="I83" s="1276">
        <f>H83*(1+'Instrumentos Financeiros'!$H$43)^($H$9/12)</f>
        <v>3809761.0082965801</v>
      </c>
    </row>
    <row r="84" spans="3:99" x14ac:dyDescent="0.35">
      <c r="C84" s="246"/>
      <c r="D84" t="s">
        <v>1278</v>
      </c>
      <c r="E84" s="1309">
        <f>E83+3</f>
        <v>123</v>
      </c>
      <c r="F84" s="1309">
        <f>F83+3</f>
        <v>171</v>
      </c>
      <c r="G84" s="1306">
        <v>0.25</v>
      </c>
      <c r="H84" s="1263">
        <f t="shared" ref="H84:H86" si="12">G84*$G$9</f>
        <v>3097085.1085999995</v>
      </c>
      <c r="I84" s="1276">
        <f>H84*(1+'Instrumentos Financeiros'!$H$43)^($H$9/12)</f>
        <v>3809761.0082965801</v>
      </c>
    </row>
    <row r="85" spans="3:99" x14ac:dyDescent="0.35">
      <c r="C85" s="246"/>
      <c r="D85" t="s">
        <v>1279</v>
      </c>
      <c r="E85" s="1309">
        <f t="shared" ref="E85:E86" si="13">E84+3</f>
        <v>126</v>
      </c>
      <c r="F85" s="1309">
        <f>F84+3</f>
        <v>174</v>
      </c>
      <c r="G85" s="1306">
        <v>0.25</v>
      </c>
      <c r="H85" s="1263">
        <f t="shared" si="12"/>
        <v>3097085.1085999995</v>
      </c>
      <c r="I85" s="1276">
        <f>H85*(1+'Instrumentos Financeiros'!$H$43)^($H$9/12)</f>
        <v>3809761.0082965801</v>
      </c>
    </row>
    <row r="86" spans="3:99" x14ac:dyDescent="0.35">
      <c r="C86" s="246"/>
      <c r="D86" t="s">
        <v>1280</v>
      </c>
      <c r="E86" s="1309">
        <f t="shared" si="13"/>
        <v>129</v>
      </c>
      <c r="F86" s="1309">
        <f>F85+3</f>
        <v>177</v>
      </c>
      <c r="G86" s="1306">
        <v>0.25</v>
      </c>
      <c r="H86" s="1296">
        <f t="shared" si="12"/>
        <v>3097085.1085999995</v>
      </c>
      <c r="I86" s="1276">
        <f>H86*(1+'Instrumentos Financeiros'!$H$43)^($H$9/12)</f>
        <v>3809761.0082965801</v>
      </c>
    </row>
    <row r="87" spans="3:99" x14ac:dyDescent="0.35">
      <c r="C87" s="335"/>
      <c r="D87" s="104"/>
      <c r="E87" s="104"/>
      <c r="F87" s="1279"/>
      <c r="G87" s="1280">
        <f>SUM(G83:G86)</f>
        <v>1</v>
      </c>
      <c r="H87" s="1281">
        <f>SUM(H83:H86)</f>
        <v>12388340.434399998</v>
      </c>
      <c r="I87" s="1289">
        <f>SUM(I83:I86)</f>
        <v>15239044.03318632</v>
      </c>
      <c r="K87" s="96"/>
    </row>
    <row r="88" spans="3:99" x14ac:dyDescent="0.35">
      <c r="F88" s="65"/>
      <c r="G88" s="1297"/>
      <c r="H88" s="1298">
        <f>H87+H81+H75</f>
        <v>53159858.208799995</v>
      </c>
      <c r="I88" s="1298">
        <f>I87+I81+I75</f>
        <v>65392570.080843121</v>
      </c>
      <c r="J88" s="96"/>
    </row>
    <row r="89" spans="3:99" x14ac:dyDescent="0.35">
      <c r="C89" s="77" t="s">
        <v>1294</v>
      </c>
      <c r="F89" s="65"/>
      <c r="G89" s="1297"/>
    </row>
    <row r="90" spans="3:99" x14ac:dyDescent="0.35">
      <c r="C90" s="2071" t="s">
        <v>61</v>
      </c>
      <c r="D90" s="1299" t="s">
        <v>1295</v>
      </c>
      <c r="E90" s="1300"/>
      <c r="F90" s="1300"/>
      <c r="G90" s="1300"/>
      <c r="H90" s="1300"/>
      <c r="I90" s="1300"/>
      <c r="J90" s="1300"/>
      <c r="K90" s="1300"/>
      <c r="L90" s="1300"/>
      <c r="M90" s="1300"/>
      <c r="N90" s="1300"/>
      <c r="O90" s="1300"/>
      <c r="P90" s="1300"/>
      <c r="Q90" s="1300"/>
      <c r="R90" s="1300"/>
      <c r="S90" s="1300"/>
      <c r="T90" s="1300"/>
      <c r="U90" s="1300"/>
      <c r="V90" s="1300"/>
      <c r="W90" s="1300"/>
      <c r="X90" s="1300"/>
      <c r="Y90" s="1300"/>
      <c r="Z90" s="1300"/>
      <c r="AA90" s="1300"/>
      <c r="AB90" s="1300"/>
      <c r="AC90" s="1300"/>
      <c r="AD90" s="1300"/>
      <c r="AE90" s="1300"/>
      <c r="AF90" s="1300"/>
      <c r="AG90" s="1300"/>
      <c r="AH90" s="1300"/>
      <c r="AI90" s="1300"/>
      <c r="AJ90" s="1300"/>
      <c r="AK90" s="1300"/>
      <c r="AL90" s="1300"/>
      <c r="AM90" s="1300"/>
      <c r="AN90" s="1300"/>
      <c r="AO90" s="1300"/>
      <c r="AP90" s="1300"/>
      <c r="AQ90" s="1300"/>
      <c r="AR90" s="1300"/>
      <c r="AS90" s="1300"/>
      <c r="AT90" s="1300"/>
      <c r="AU90" s="1300"/>
      <c r="AV90" s="1300"/>
      <c r="AW90" s="1300"/>
      <c r="AX90" s="1300"/>
      <c r="AY90" s="1300"/>
      <c r="AZ90" s="1300"/>
      <c r="BA90" s="1300"/>
      <c r="BB90" s="1300"/>
      <c r="BC90" s="1300"/>
      <c r="BD90" s="1300"/>
      <c r="BE90" s="1300"/>
      <c r="BF90" s="1300"/>
      <c r="BG90" s="1300"/>
      <c r="BH90" s="1300"/>
      <c r="BI90" s="1300"/>
      <c r="BJ90" s="1300"/>
      <c r="BK90" s="1300"/>
      <c r="BL90" s="2074" t="s">
        <v>1296</v>
      </c>
      <c r="BM90" s="2075"/>
      <c r="BN90" s="2075"/>
      <c r="BO90" s="2075"/>
      <c r="BP90" s="2075"/>
      <c r="BQ90" s="2075"/>
      <c r="BR90" s="2075"/>
      <c r="BS90" s="2075"/>
      <c r="BT90" s="2075"/>
      <c r="BU90" s="2075"/>
      <c r="BV90" s="2075"/>
      <c r="BW90" s="2075"/>
      <c r="BX90" s="2075"/>
      <c r="BY90" s="2075"/>
      <c r="BZ90" s="2075"/>
      <c r="CA90" s="2076"/>
      <c r="CB90" s="2077" t="s">
        <v>1297</v>
      </c>
      <c r="CC90" s="2078"/>
      <c r="CD90" s="2078"/>
      <c r="CE90" s="2078"/>
      <c r="CF90" s="2078"/>
      <c r="CG90" s="2078"/>
      <c r="CH90" s="2078"/>
      <c r="CI90" s="2078"/>
      <c r="CJ90" s="2078"/>
      <c r="CK90" s="2078"/>
      <c r="CL90" s="2078"/>
      <c r="CM90" s="2078"/>
      <c r="CN90" s="2078"/>
      <c r="CO90" s="2078"/>
      <c r="CP90" s="2078"/>
      <c r="CQ90" s="2079"/>
      <c r="CR90" s="2080" t="s">
        <v>455</v>
      </c>
      <c r="CS90" s="2081"/>
      <c r="CT90" s="2081"/>
      <c r="CU90" s="2082"/>
    </row>
    <row r="91" spans="3:99" x14ac:dyDescent="0.35">
      <c r="C91" s="2072"/>
      <c r="D91" s="1299" t="s">
        <v>1298</v>
      </c>
      <c r="E91" s="1300"/>
      <c r="F91" s="1300"/>
      <c r="G91" s="1301"/>
      <c r="H91" s="2068" t="s">
        <v>1299</v>
      </c>
      <c r="I91" s="2069"/>
      <c r="J91" s="2069"/>
      <c r="K91" s="2070"/>
      <c r="L91" s="2068" t="s">
        <v>1300</v>
      </c>
      <c r="M91" s="2069"/>
      <c r="N91" s="2069"/>
      <c r="O91" s="2070"/>
      <c r="P91" s="2068" t="s">
        <v>1301</v>
      </c>
      <c r="Q91" s="2069"/>
      <c r="R91" s="2069"/>
      <c r="S91" s="2070"/>
      <c r="T91" s="2068" t="s">
        <v>1302</v>
      </c>
      <c r="U91" s="2069"/>
      <c r="V91" s="2069"/>
      <c r="W91" s="2070"/>
      <c r="X91" s="2068" t="s">
        <v>1303</v>
      </c>
      <c r="Y91" s="2069"/>
      <c r="Z91" s="2069"/>
      <c r="AA91" s="2070"/>
      <c r="AB91" s="2068" t="s">
        <v>1304</v>
      </c>
      <c r="AC91" s="2069"/>
      <c r="AD91" s="2069"/>
      <c r="AE91" s="2070"/>
      <c r="AF91" s="2068" t="s">
        <v>1305</v>
      </c>
      <c r="AG91" s="2069"/>
      <c r="AH91" s="2069"/>
      <c r="AI91" s="2070"/>
      <c r="AJ91" s="2068" t="s">
        <v>1306</v>
      </c>
      <c r="AK91" s="2069"/>
      <c r="AL91" s="2069"/>
      <c r="AM91" s="2070"/>
      <c r="AN91" s="2068" t="s">
        <v>1307</v>
      </c>
      <c r="AO91" s="2069"/>
      <c r="AP91" s="2069"/>
      <c r="AQ91" s="2070"/>
      <c r="AR91" s="2068" t="s">
        <v>1308</v>
      </c>
      <c r="AS91" s="2069"/>
      <c r="AT91" s="2069"/>
      <c r="AU91" s="2070"/>
      <c r="AV91" s="2068" t="s">
        <v>1309</v>
      </c>
      <c r="AW91" s="2069"/>
      <c r="AX91" s="2069"/>
      <c r="AY91" s="2070"/>
      <c r="AZ91" s="2068" t="s">
        <v>1310</v>
      </c>
      <c r="BA91" s="2069"/>
      <c r="BB91" s="2069"/>
      <c r="BC91" s="2070"/>
      <c r="BD91" s="2068" t="s">
        <v>1311</v>
      </c>
      <c r="BE91" s="2069"/>
      <c r="BF91" s="2069"/>
      <c r="BG91" s="2070"/>
      <c r="BH91" s="2068" t="s">
        <v>1312</v>
      </c>
      <c r="BI91" s="2069"/>
      <c r="BJ91" s="2069"/>
      <c r="BK91" s="2070"/>
      <c r="BL91" s="2088" t="s">
        <v>1298</v>
      </c>
      <c r="BM91" s="2088"/>
      <c r="BN91" s="2088"/>
      <c r="BO91" s="2088"/>
      <c r="BP91" s="2088" t="s">
        <v>1299</v>
      </c>
      <c r="BQ91" s="2088"/>
      <c r="BR91" s="2088"/>
      <c r="BS91" s="2088"/>
      <c r="BT91" s="2088" t="s">
        <v>1300</v>
      </c>
      <c r="BU91" s="2088"/>
      <c r="BV91" s="2088"/>
      <c r="BW91" s="2088"/>
      <c r="BX91" s="2088" t="s">
        <v>1301</v>
      </c>
      <c r="BY91" s="2088"/>
      <c r="BZ91" s="2088"/>
      <c r="CA91" s="2088"/>
      <c r="CB91" s="2086" t="s">
        <v>1298</v>
      </c>
      <c r="CC91" s="2086"/>
      <c r="CD91" s="2086"/>
      <c r="CE91" s="2086"/>
      <c r="CF91" s="2086" t="s">
        <v>1299</v>
      </c>
      <c r="CG91" s="2086"/>
      <c r="CH91" s="2086"/>
      <c r="CI91" s="2086"/>
      <c r="CJ91" s="2086" t="s">
        <v>1300</v>
      </c>
      <c r="CK91" s="2086"/>
      <c r="CL91" s="2086"/>
      <c r="CM91" s="2086"/>
      <c r="CN91" s="2086" t="s">
        <v>1301</v>
      </c>
      <c r="CO91" s="2086"/>
      <c r="CP91" s="2086"/>
      <c r="CQ91" s="2087"/>
      <c r="CR91" s="2083"/>
      <c r="CS91" s="2084"/>
      <c r="CT91" s="2084"/>
      <c r="CU91" s="2085"/>
    </row>
    <row r="92" spans="3:99" x14ac:dyDescent="0.35">
      <c r="C92" s="2073"/>
      <c r="D92" s="1304" t="s">
        <v>1313</v>
      </c>
      <c r="E92" s="1304" t="s">
        <v>604</v>
      </c>
      <c r="F92" s="1304" t="s">
        <v>1272</v>
      </c>
      <c r="G92" s="1304" t="s">
        <v>1314</v>
      </c>
      <c r="H92" s="1304" t="s">
        <v>1313</v>
      </c>
      <c r="I92" s="1304" t="s">
        <v>604</v>
      </c>
      <c r="J92" s="1304" t="s">
        <v>1272</v>
      </c>
      <c r="K92" s="1304" t="s">
        <v>1314</v>
      </c>
      <c r="L92" s="1304" t="s">
        <v>1313</v>
      </c>
      <c r="M92" s="1304" t="s">
        <v>604</v>
      </c>
      <c r="N92" s="1304" t="s">
        <v>1272</v>
      </c>
      <c r="O92" s="1304" t="s">
        <v>1314</v>
      </c>
      <c r="P92" s="1304" t="s">
        <v>1313</v>
      </c>
      <c r="Q92" s="1304" t="s">
        <v>604</v>
      </c>
      <c r="R92" s="1304" t="s">
        <v>1272</v>
      </c>
      <c r="S92" s="1304" t="s">
        <v>1314</v>
      </c>
      <c r="T92" s="1304" t="s">
        <v>1313</v>
      </c>
      <c r="U92" s="1304" t="s">
        <v>604</v>
      </c>
      <c r="V92" s="1304" t="s">
        <v>1272</v>
      </c>
      <c r="W92" s="1304" t="s">
        <v>1314</v>
      </c>
      <c r="X92" s="1304" t="s">
        <v>1313</v>
      </c>
      <c r="Y92" s="1304" t="s">
        <v>604</v>
      </c>
      <c r="Z92" s="1304" t="s">
        <v>1272</v>
      </c>
      <c r="AA92" s="1304" t="s">
        <v>1314</v>
      </c>
      <c r="AB92" s="1304" t="s">
        <v>1313</v>
      </c>
      <c r="AC92" s="1304" t="s">
        <v>604</v>
      </c>
      <c r="AD92" s="1304" t="s">
        <v>1272</v>
      </c>
      <c r="AE92" s="1304" t="s">
        <v>1314</v>
      </c>
      <c r="AF92" s="1304" t="s">
        <v>1313</v>
      </c>
      <c r="AG92" s="1304" t="s">
        <v>604</v>
      </c>
      <c r="AH92" s="1304" t="s">
        <v>1272</v>
      </c>
      <c r="AI92" s="1304" t="s">
        <v>1314</v>
      </c>
      <c r="AJ92" s="1304" t="s">
        <v>1313</v>
      </c>
      <c r="AK92" s="1304" t="s">
        <v>604</v>
      </c>
      <c r="AL92" s="1304" t="s">
        <v>1272</v>
      </c>
      <c r="AM92" s="1304" t="s">
        <v>1314</v>
      </c>
      <c r="AN92" s="1304" t="s">
        <v>1313</v>
      </c>
      <c r="AO92" s="1304" t="s">
        <v>604</v>
      </c>
      <c r="AP92" s="1304" t="s">
        <v>1272</v>
      </c>
      <c r="AQ92" s="1304" t="s">
        <v>1314</v>
      </c>
      <c r="AR92" s="1304" t="s">
        <v>1313</v>
      </c>
      <c r="AS92" s="1304" t="s">
        <v>604</v>
      </c>
      <c r="AT92" s="1304" t="s">
        <v>1272</v>
      </c>
      <c r="AU92" s="1304" t="s">
        <v>1314</v>
      </c>
      <c r="AV92" s="1304" t="s">
        <v>1313</v>
      </c>
      <c r="AW92" s="1304" t="s">
        <v>604</v>
      </c>
      <c r="AX92" s="1304" t="s">
        <v>1272</v>
      </c>
      <c r="AY92" s="1304" t="s">
        <v>1314</v>
      </c>
      <c r="AZ92" s="1304" t="s">
        <v>1313</v>
      </c>
      <c r="BA92" s="1304" t="s">
        <v>604</v>
      </c>
      <c r="BB92" s="1304" t="s">
        <v>1272</v>
      </c>
      <c r="BC92" s="1304" t="s">
        <v>1314</v>
      </c>
      <c r="BD92" s="1304" t="s">
        <v>1313</v>
      </c>
      <c r="BE92" s="1304" t="s">
        <v>604</v>
      </c>
      <c r="BF92" s="1304" t="s">
        <v>1272</v>
      </c>
      <c r="BG92" s="1304" t="s">
        <v>1314</v>
      </c>
      <c r="BH92" s="1304" t="s">
        <v>1313</v>
      </c>
      <c r="BI92" s="1304" t="s">
        <v>604</v>
      </c>
      <c r="BJ92" s="1304" t="s">
        <v>1272</v>
      </c>
      <c r="BK92" s="1304" t="s">
        <v>1314</v>
      </c>
      <c r="BL92" s="1302" t="s">
        <v>1313</v>
      </c>
      <c r="BM92" s="1302" t="s">
        <v>604</v>
      </c>
      <c r="BN92" s="1302" t="s">
        <v>1272</v>
      </c>
      <c r="BO92" s="1302" t="s">
        <v>1314</v>
      </c>
      <c r="BP92" s="1302" t="s">
        <v>1313</v>
      </c>
      <c r="BQ92" s="1302" t="s">
        <v>604</v>
      </c>
      <c r="BR92" s="1302" t="s">
        <v>1272</v>
      </c>
      <c r="BS92" s="1302" t="s">
        <v>1314</v>
      </c>
      <c r="BT92" s="1302" t="s">
        <v>1313</v>
      </c>
      <c r="BU92" s="1302" t="s">
        <v>604</v>
      </c>
      <c r="BV92" s="1302" t="s">
        <v>1272</v>
      </c>
      <c r="BW92" s="1302" t="s">
        <v>1314</v>
      </c>
      <c r="BX92" s="1302" t="s">
        <v>1313</v>
      </c>
      <c r="BY92" s="1302" t="s">
        <v>604</v>
      </c>
      <c r="BZ92" s="1302" t="s">
        <v>1272</v>
      </c>
      <c r="CA92" s="1302" t="s">
        <v>1314</v>
      </c>
      <c r="CB92" s="1303" t="s">
        <v>1313</v>
      </c>
      <c r="CC92" s="1303" t="s">
        <v>604</v>
      </c>
      <c r="CD92" s="1303" t="s">
        <v>1272</v>
      </c>
      <c r="CE92" s="1303" t="s">
        <v>1314</v>
      </c>
      <c r="CF92" s="1303" t="s">
        <v>1313</v>
      </c>
      <c r="CG92" s="1303" t="s">
        <v>604</v>
      </c>
      <c r="CH92" s="1303" t="s">
        <v>1272</v>
      </c>
      <c r="CI92" s="1303" t="s">
        <v>1314</v>
      </c>
      <c r="CJ92" s="1303" t="s">
        <v>1313</v>
      </c>
      <c r="CK92" s="1303" t="s">
        <v>604</v>
      </c>
      <c r="CL92" s="1303" t="s">
        <v>1272</v>
      </c>
      <c r="CM92" s="1303" t="s">
        <v>1314</v>
      </c>
      <c r="CN92" s="1303" t="s">
        <v>1313</v>
      </c>
      <c r="CO92" s="1303" t="s">
        <v>604</v>
      </c>
      <c r="CP92" s="1303" t="s">
        <v>1272</v>
      </c>
      <c r="CQ92" s="1303" t="s">
        <v>1314</v>
      </c>
      <c r="CR92" s="1305" t="s">
        <v>1313</v>
      </c>
      <c r="CS92" s="1305" t="s">
        <v>604</v>
      </c>
      <c r="CT92" s="1305" t="s">
        <v>1272</v>
      </c>
      <c r="CU92" s="1305" t="s">
        <v>1314</v>
      </c>
    </row>
    <row r="93" spans="3:99" x14ac:dyDescent="0.35">
      <c r="C93" s="342">
        <v>0</v>
      </c>
      <c r="D93" s="1311">
        <f>IF(AND(C93&gt;$F$59,'Instrumentos Financeiros'!C93&lt;'Instrumentos Financeiros'!$F$59+'Instrumentos Financeiros'!$F$11+1),PMT(((1+'Instrumentos Financeiros'!$G$43)^(1/12)-1),$F$11,-$I$59),0)</f>
        <v>0</v>
      </c>
      <c r="E93" s="1311">
        <f t="shared" ref="E93:E156" si="14">D93-F93</f>
        <v>0</v>
      </c>
      <c r="F93" s="1311">
        <v>0</v>
      </c>
      <c r="G93" s="1311">
        <v>0</v>
      </c>
      <c r="H93" s="1311">
        <f>IF(AND(C93&gt;$F$60,'Instrumentos Financeiros'!C93&lt;'Instrumentos Financeiros'!$F$60+'Instrumentos Financeiros'!$F$11+1),PMT(((1+'Instrumentos Financeiros'!$G$43)^(1/12)-1),$F$11,-$I$60),0)</f>
        <v>0</v>
      </c>
      <c r="I93" s="1311">
        <f>H93-J93</f>
        <v>0</v>
      </c>
      <c r="J93" s="1311">
        <v>0</v>
      </c>
      <c r="K93" s="1311">
        <v>0</v>
      </c>
      <c r="L93" s="1311">
        <f>IF(AND(C93&gt;$F$61,'Instrumentos Financeiros'!C93&lt;'Instrumentos Financeiros'!$F$61+'Instrumentos Financeiros'!$F$11+1),PMT(((1+'Instrumentos Financeiros'!$G$43)^(1/12)-1),$F$11,-$I$61),0)</f>
        <v>0</v>
      </c>
      <c r="M93" s="1311">
        <f>L93-N93</f>
        <v>0</v>
      </c>
      <c r="N93" s="1311">
        <v>0</v>
      </c>
      <c r="O93" s="1311">
        <v>0</v>
      </c>
      <c r="P93" s="1311">
        <f>IF(AND(C93&gt;$F$62,'Instrumentos Financeiros'!C93&lt;'Instrumentos Financeiros'!$F$62+'Instrumentos Financeiros'!$F$11+1),PMT(((1+'Instrumentos Financeiros'!$H$43)^(1/12)-1),$F$11,-$I$62),0)</f>
        <v>0</v>
      </c>
      <c r="Q93" s="1311">
        <f>P93-R93</f>
        <v>0</v>
      </c>
      <c r="R93" s="1311">
        <v>0</v>
      </c>
      <c r="S93" s="1311">
        <v>0</v>
      </c>
      <c r="T93" s="1311">
        <f>IF(AND(C93&gt;$F$63,'Instrumentos Financeiros'!C93&lt;'Instrumentos Financeiros'!$F$63+'Instrumentos Financeiros'!$F$11+1),PMT(((1+'Instrumentos Financeiros'!$H$43)^(1/12)-1),$F$11,-$I$63),0)</f>
        <v>0</v>
      </c>
      <c r="U93" s="1311">
        <f>T93-V93</f>
        <v>0</v>
      </c>
      <c r="V93" s="1311">
        <v>0</v>
      </c>
      <c r="W93" s="1311">
        <v>0</v>
      </c>
      <c r="X93" s="1311">
        <f>IF(AND(C93&gt;$F$64,'Instrumentos Financeiros'!C93&lt;'Instrumentos Financeiros'!$F$64+'Instrumentos Financeiros'!$F$11+1),PMT(((1+'Instrumentos Financeiros'!$H$43)^(1/12)-1),$F$11,-$I$64),0)</f>
        <v>0</v>
      </c>
      <c r="Y93" s="1311">
        <f>X93-Z93</f>
        <v>0</v>
      </c>
      <c r="Z93" s="1311">
        <v>0</v>
      </c>
      <c r="AA93" s="1311">
        <v>0</v>
      </c>
      <c r="AB93" s="1311">
        <f>IF(AND(C93&gt;$F$65,'Instrumentos Financeiros'!C93&lt;'Instrumentos Financeiros'!$F$65+'Instrumentos Financeiros'!$F$11+1),PMT(((1+'Instrumentos Financeiros'!$H$43)^(1/12)-1),$F$11,-$I$64),0)</f>
        <v>0</v>
      </c>
      <c r="AC93" s="1311">
        <f>AB93-AD93</f>
        <v>0</v>
      </c>
      <c r="AD93" s="1311">
        <v>0</v>
      </c>
      <c r="AE93" s="1311">
        <v>0</v>
      </c>
      <c r="AF93" s="1311">
        <f>IF(AND(C93&gt;$F$66,'Instrumentos Financeiros'!C93&lt;'Instrumentos Financeiros'!$F$66+'Instrumentos Financeiros'!$F$11+1),PMT(((1+'Instrumentos Financeiros'!$I$43)^(1/12)-1),$F$11,-$I$66),0)</f>
        <v>0</v>
      </c>
      <c r="AG93" s="1311">
        <f>AF93-AH93</f>
        <v>0</v>
      </c>
      <c r="AH93" s="1311">
        <v>0</v>
      </c>
      <c r="AI93" s="1311">
        <v>0</v>
      </c>
      <c r="AJ93" s="1311">
        <f>IF(AND(C93&gt;$F$67,'Instrumentos Financeiros'!C93&lt;'Instrumentos Financeiros'!$F$67+'Instrumentos Financeiros'!$F$11+1),PMT(((1+'Instrumentos Financeiros'!$I$43)^(1/12)-1),$F$11,-$I$67),0)</f>
        <v>0</v>
      </c>
      <c r="AK93" s="1311">
        <f>AJ93-AL93</f>
        <v>0</v>
      </c>
      <c r="AL93" s="1311">
        <v>0</v>
      </c>
      <c r="AM93" s="1311">
        <v>0</v>
      </c>
      <c r="AN93" s="1311">
        <f>IF(AND(C93&gt;$F$68,'Instrumentos Financeiros'!C93&lt;'Instrumentos Financeiros'!$F$68+'Instrumentos Financeiros'!$F$11+1),PMT(((1+'Instrumentos Financeiros'!$I$43)^(1/12)-1),$F$11,-$I$68),0)</f>
        <v>0</v>
      </c>
      <c r="AO93" s="1311">
        <f>AN93-AP93</f>
        <v>0</v>
      </c>
      <c r="AP93" s="1311">
        <v>0</v>
      </c>
      <c r="AQ93" s="1311">
        <v>0</v>
      </c>
      <c r="AR93" s="1311">
        <f>IF(AND(C93&gt;$F$69,'Instrumentos Financeiros'!C93&lt;'Instrumentos Financeiros'!$F$69+'Instrumentos Financeiros'!$F$11+1),PMT(((1+'Instrumentos Financeiros'!$I$43)^(1/12)-1),$F$11,-$I$69),0)</f>
        <v>0</v>
      </c>
      <c r="AS93" s="1311">
        <f>AR93-AT93</f>
        <v>0</v>
      </c>
      <c r="AT93" s="1311">
        <v>0</v>
      </c>
      <c r="AU93" s="1311">
        <v>0</v>
      </c>
      <c r="AV93" s="1311">
        <f>IF(AND(C93&gt;$F$70,'Instrumentos Financeiros'!C93&lt;'Instrumentos Financeiros'!$F$70+'Instrumentos Financeiros'!$F$11+1),PMT(((1+'Instrumentos Financeiros'!$J$43)^(1/12)-1),$F$11,-$I$70),0)</f>
        <v>0</v>
      </c>
      <c r="AW93" s="1311">
        <f>AV93-AX93</f>
        <v>0</v>
      </c>
      <c r="AX93" s="1311">
        <v>0</v>
      </c>
      <c r="AY93" s="1311">
        <v>0</v>
      </c>
      <c r="AZ93" s="1311">
        <f>IF(AND(C93&gt;$F$71,'Instrumentos Financeiros'!C93&lt;'Instrumentos Financeiros'!$F$71+'Instrumentos Financeiros'!$F$11+1),PMT(((1+'Instrumentos Financeiros'!$J$43)^(1/12)-1),$F$11,-$I$71),0)</f>
        <v>0</v>
      </c>
      <c r="BA93" s="1311">
        <f>AZ93-BB93</f>
        <v>0</v>
      </c>
      <c r="BB93" s="1311">
        <v>0</v>
      </c>
      <c r="BC93" s="1311">
        <v>0</v>
      </c>
      <c r="BD93" s="1311">
        <f>IF(AND(C93&gt;$F$72,'Instrumentos Financeiros'!C93&lt;'Instrumentos Financeiros'!$F$72+'Instrumentos Financeiros'!$F$11+1),PMT(((1+'Instrumentos Financeiros'!$J$43)^(1/12)-1),$F$11,-$I$72),0)</f>
        <v>0</v>
      </c>
      <c r="BE93" s="1311">
        <f>BD93-BF93</f>
        <v>0</v>
      </c>
      <c r="BF93" s="1311">
        <v>0</v>
      </c>
      <c r="BG93" s="1311">
        <v>0</v>
      </c>
      <c r="BH93" s="1311">
        <f>IF(AND(C93&gt;$F$73,'Instrumentos Financeiros'!C93&lt;'Instrumentos Financeiros'!$F$73+'Instrumentos Financeiros'!$F$11+1),PMT(((1+'Instrumentos Financeiros'!$J$43)^(1/12)-1),$F$11,-$I$73),0)</f>
        <v>0</v>
      </c>
      <c r="BI93" s="1311">
        <f>BH93-BJ93</f>
        <v>0</v>
      </c>
      <c r="BJ93" s="1311">
        <v>0</v>
      </c>
      <c r="BK93" s="1311">
        <v>0</v>
      </c>
      <c r="BL93" s="1311">
        <f>IF(AND(C93&gt;$F$77,'Instrumentos Financeiros'!C93&lt;'Instrumentos Financeiros'!$F$77+'Instrumentos Financeiros'!$F$12+1),PMT(((1+'Instrumentos Financeiros'!$K$43)^(1/12)-1),$F$12,-$I$77),0)</f>
        <v>0</v>
      </c>
      <c r="BM93" s="1311">
        <f>BL93-BN93</f>
        <v>0</v>
      </c>
      <c r="BN93" s="1311">
        <v>0</v>
      </c>
      <c r="BO93" s="1311">
        <v>0</v>
      </c>
      <c r="BP93" s="1311">
        <f>IF(AND(C93&gt;$F$78,'Instrumentos Financeiros'!C93&lt;'Instrumentos Financeiros'!$F$78+'Instrumentos Financeiros'!$F$12+1),PMT(((1+'Instrumentos Financeiros'!$L$43)^(1/12)-1),$F$12,-$I$78),0)</f>
        <v>0</v>
      </c>
      <c r="BQ93" s="1311">
        <f>BP93-BR93</f>
        <v>0</v>
      </c>
      <c r="BR93" s="1311">
        <v>0</v>
      </c>
      <c r="BS93" s="1311">
        <v>0</v>
      </c>
      <c r="BT93" s="1311">
        <f>IF(AND(C93&gt;$F$79,'Instrumentos Financeiros'!C93&lt;'Instrumentos Financeiros'!$F$79+'Instrumentos Financeiros'!$F$12+1),PMT(((1+'Instrumentos Financeiros'!$L$43)^(1/12)-1),$F$12,-$I$79),0)</f>
        <v>0</v>
      </c>
      <c r="BU93" s="1311">
        <f>BT93-BV93</f>
        <v>0</v>
      </c>
      <c r="BV93" s="1311">
        <v>0</v>
      </c>
      <c r="BW93" s="1311">
        <v>0</v>
      </c>
      <c r="BX93" s="1311">
        <f>IF(AND(C93&gt;$F$80,'Instrumentos Financeiros'!C93&lt;'Instrumentos Financeiros'!$F$80+'Instrumentos Financeiros'!$F$12+1),PMT(((1+'Instrumentos Financeiros'!$L$43)^(1/12)-1),$F$12,-$I$80),0)</f>
        <v>0</v>
      </c>
      <c r="BY93" s="1311">
        <f>BX93-BZ93</f>
        <v>0</v>
      </c>
      <c r="BZ93" s="1311">
        <v>0</v>
      </c>
      <c r="CA93" s="1311">
        <v>0</v>
      </c>
      <c r="CB93" s="1311">
        <f>IF(AND(C93&gt;$F$83,'Instrumentos Financeiros'!C93&lt;'Instrumentos Financeiros'!$F$83+'Instrumentos Financeiros'!$F$13+1),PMT(((1+'Instrumentos Financeiros'!$P$43)^(1/12)-1),$F$13,-$I$83),0)</f>
        <v>0</v>
      </c>
      <c r="CC93" s="1311">
        <f>CB93-CD93</f>
        <v>0</v>
      </c>
      <c r="CD93" s="1311">
        <v>0</v>
      </c>
      <c r="CE93" s="1311">
        <v>0</v>
      </c>
      <c r="CF93" s="1311">
        <f>IF(AND(C93&gt;$F$84,'Instrumentos Financeiros'!C93&lt;'Instrumentos Financeiros'!$F$84+'Instrumentos Financeiros'!$F$13+1),PMT(((1+'Instrumentos Financeiros'!$Q$43)^(1/12)-1),$F$13,-$I$84),0)</f>
        <v>0</v>
      </c>
      <c r="CG93" s="1311">
        <f>CF93-CH93</f>
        <v>0</v>
      </c>
      <c r="CH93" s="1311">
        <v>0</v>
      </c>
      <c r="CI93" s="1311">
        <v>0</v>
      </c>
      <c r="CJ93" s="1311">
        <f>IF(AND(C93&gt;$F$85,'Instrumentos Financeiros'!C93&lt;'Instrumentos Financeiros'!$F$85+'Instrumentos Financeiros'!$F$13+1),PMT(((1+'Instrumentos Financeiros'!$Q$43)^(1/12)-1),$F$13,-$I$85),0)</f>
        <v>0</v>
      </c>
      <c r="CK93" s="1311">
        <f>CJ93-CL93</f>
        <v>0</v>
      </c>
      <c r="CL93" s="1311">
        <v>0</v>
      </c>
      <c r="CM93" s="1311">
        <v>0</v>
      </c>
      <c r="CN93" s="1311">
        <f>IF(AND(C93&gt;$F$86,'Instrumentos Financeiros'!C93&lt;'Instrumentos Financeiros'!$F$86+'Instrumentos Financeiros'!$F$13+1),PMT(((1+'Instrumentos Financeiros'!$Q$43)^(1/12)-1),$F$13,-$I$86),0)</f>
        <v>0</v>
      </c>
      <c r="CO93" s="1311">
        <f>CN93-CP93</f>
        <v>0</v>
      </c>
      <c r="CP93" s="1311">
        <v>0</v>
      </c>
      <c r="CQ93" s="1311">
        <v>0</v>
      </c>
      <c r="CR93" s="1311">
        <f>D93+H93+L93+P93+T93+X93+AB93+AF93+AJ93+AN93+AR93+AV93+AZ93+BD93+BH93+BL93+BP93+BT93+BX93+CB93+CF93+CJ93+CN93</f>
        <v>0</v>
      </c>
      <c r="CS93" s="1311">
        <f>E93+I93+M93+Q93+U93+Y93+AC93+AG93+AK93+AO93+AS93+AW93+BA93+BE93+BI93+BM93+BQ93+BU93+BY93+CC93+CG93+CK93+CO93</f>
        <v>0</v>
      </c>
      <c r="CT93" s="1311">
        <f>F93+J93+N93+R93+V93+Z93+AD93+AH93+AL93+AP93+AT93+AX93+BB93+BF93+BJ93+BN93+BR93+BV93+BZ93+CD93+CH93+CL93+CP93</f>
        <v>0</v>
      </c>
      <c r="CU93" s="1311">
        <f>G93+K93+O93+S93+W93+AA93+AE93+AI93+AM93+AQ93+AU93+AY93+BC93+BG93+BK93+BO93+BS93+BW93+CA93+CE93+CI93+CM93+CQ93</f>
        <v>0</v>
      </c>
    </row>
    <row r="94" spans="3:99" x14ac:dyDescent="0.35">
      <c r="C94" s="1315">
        <f>C93+1</f>
        <v>1</v>
      </c>
      <c r="D94" s="1312">
        <f>IF(AND(C94&gt;$F$59,'Instrumentos Financeiros'!C94&lt;'Instrumentos Financeiros'!$F$59+'Instrumentos Financeiros'!$F$11+1),PMT(((1+'Instrumentos Financeiros'!$G$43)^(1/12)-1),$F$11,-$I$59),0)</f>
        <v>0</v>
      </c>
      <c r="E94" s="1312">
        <f t="shared" si="14"/>
        <v>0</v>
      </c>
      <c r="F94" s="1312">
        <f>G93*((1+'Instrumentos Financeiros'!$G$43)^(1/12)-1)</f>
        <v>0</v>
      </c>
      <c r="G94" s="1312">
        <f>IF(C94=$F$59,$I$59,G93-E94)</f>
        <v>0</v>
      </c>
      <c r="H94" s="1312">
        <f>IF(AND(C94&gt;$F$60,'Instrumentos Financeiros'!C94&lt;'Instrumentos Financeiros'!$F$60+'Instrumentos Financeiros'!$F$11+1),PMT(((1+'Instrumentos Financeiros'!$G$43)^(1/12)-1),$F$11,-$I$60),0)</f>
        <v>0</v>
      </c>
      <c r="I94" s="1312">
        <f t="shared" ref="I94:I99" si="15">H94-J94</f>
        <v>0</v>
      </c>
      <c r="J94" s="1312">
        <f>K93*((1+'Instrumentos Financeiros'!$G$43)^(1/12)-1)</f>
        <v>0</v>
      </c>
      <c r="K94" s="1312">
        <f>IF(C94=$F$60,$I$60,K93-I94)</f>
        <v>0</v>
      </c>
      <c r="L94" s="1312">
        <f>IF(AND(C94&gt;$F$61,'Instrumentos Financeiros'!C94&lt;'Instrumentos Financeiros'!$F$61+'Instrumentos Financeiros'!$F$11+1),PMT(((1+'Instrumentos Financeiros'!$G$43)^(1/12)-1),$F$11,-$I$61),0)</f>
        <v>0</v>
      </c>
      <c r="M94" s="1312">
        <f t="shared" ref="M94:M99" si="16">L94-N94</f>
        <v>0</v>
      </c>
      <c r="N94" s="1312">
        <f>O93*((1+'Instrumentos Financeiros'!$G$43)^(1/12)-1)</f>
        <v>0</v>
      </c>
      <c r="O94" s="1312">
        <f>IF(C94=$F$61,$I$61,O93-M94)</f>
        <v>0</v>
      </c>
      <c r="P94" s="1312">
        <f>IF(AND(C94&gt;$F$62,'Instrumentos Financeiros'!C94&lt;'Instrumentos Financeiros'!$F$62+'Instrumentos Financeiros'!$F$11+1),PMT(((1+'Instrumentos Financeiros'!$H$43)^(1/12)-1),$F$11,-$I$62),0)</f>
        <v>0</v>
      </c>
      <c r="Q94" s="1312">
        <f t="shared" ref="Q94:Q99" si="17">P94-R94</f>
        <v>0</v>
      </c>
      <c r="R94" s="1312">
        <f>S93*((1+'Instrumentos Financeiros'!$H$43)^(1/12)-1)</f>
        <v>0</v>
      </c>
      <c r="S94" s="1312">
        <f>IF(C94=$F$62,$I$62,S93-Q94)</f>
        <v>0</v>
      </c>
      <c r="T94" s="1312">
        <f>IF(AND(C94&gt;$F$63,'Instrumentos Financeiros'!C94&lt;'Instrumentos Financeiros'!$F$63+'Instrumentos Financeiros'!$F$11+1),PMT(((1+'Instrumentos Financeiros'!$H$43)^(1/12)-1),$F$11,-$I$63),0)</f>
        <v>0</v>
      </c>
      <c r="U94" s="1312">
        <f t="shared" ref="U94:U99" si="18">T94-V94</f>
        <v>0</v>
      </c>
      <c r="V94" s="1312">
        <f>W93*((1+'Instrumentos Financeiros'!$H$43)^(1/12)-1)</f>
        <v>0</v>
      </c>
      <c r="W94" s="1312">
        <f>IF(C94=$F$63,$I$63,W93-U94)</f>
        <v>0</v>
      </c>
      <c r="X94" s="1312">
        <f>IF(AND(C94&gt;$F$64,'Instrumentos Financeiros'!C94&lt;'Instrumentos Financeiros'!$F$64+'Instrumentos Financeiros'!$F$11+1),PMT(((1+'Instrumentos Financeiros'!$H$43)^(1/12)-1),$F$11,-$I$64),0)</f>
        <v>0</v>
      </c>
      <c r="Y94" s="1312">
        <f t="shared" ref="Y94:Y99" si="19">X94-Z94</f>
        <v>0</v>
      </c>
      <c r="Z94" s="1312">
        <f>AA93*((1+'Instrumentos Financeiros'!$H$43)^(1/12)-1)</f>
        <v>0</v>
      </c>
      <c r="AA94" s="1312">
        <f>IF(C94=$F$64,$I$64,AA93-Y94)</f>
        <v>0</v>
      </c>
      <c r="AB94" s="1312">
        <f>IF(AND(C94&gt;$F$65,'Instrumentos Financeiros'!C94&lt;'Instrumentos Financeiros'!$F$65+'Instrumentos Financeiros'!$F$11+1),PMT(((1+'Instrumentos Financeiros'!$H$43)^(1/12)-1),$F$11,-$I$65),0)</f>
        <v>0</v>
      </c>
      <c r="AC94" s="1312">
        <f t="shared" ref="AC94:AC99" si="20">AB94-AD94</f>
        <v>0</v>
      </c>
      <c r="AD94" s="1312">
        <f>AE93*((1+'Instrumentos Financeiros'!$H$43)^(1/12)-1)</f>
        <v>0</v>
      </c>
      <c r="AE94" s="1312">
        <f>IF(C94=$F$65,$I$65,AE93-AC94)</f>
        <v>0</v>
      </c>
      <c r="AF94" s="1312">
        <f>IF(AND(C94&gt;$F$66,'Instrumentos Financeiros'!C94&lt;'Instrumentos Financeiros'!$F$66+'Instrumentos Financeiros'!$F$11+1),PMT(((1+'Instrumentos Financeiros'!$I$43)^(1/12)-1),$F$11,-$I$66),0)</f>
        <v>0</v>
      </c>
      <c r="AG94" s="1312">
        <f t="shared" ref="AG94:AG99" si="21">AF94-AH94</f>
        <v>0</v>
      </c>
      <c r="AH94" s="1312">
        <f>AI93*((1+'Instrumentos Financeiros'!$I$43)^(1/12)-1)</f>
        <v>0</v>
      </c>
      <c r="AI94" s="1312">
        <f>IF(C94=$F$66,$I$66,AI93-AG94)</f>
        <v>0</v>
      </c>
      <c r="AJ94" s="1312">
        <f>IF(AND(C94&gt;$F$67,'Instrumentos Financeiros'!C94&lt;'Instrumentos Financeiros'!$F$67+'Instrumentos Financeiros'!$F$11+1),PMT(((1+'Instrumentos Financeiros'!$I$43)^(1/12)-1),$F$11,-$I$67),0)</f>
        <v>0</v>
      </c>
      <c r="AK94" s="1312">
        <f t="shared" ref="AK94:AK99" si="22">AJ94-AL94</f>
        <v>0</v>
      </c>
      <c r="AL94" s="1312">
        <f>AM93*((1+'Instrumentos Financeiros'!$I$43)^(1/12)-1)</f>
        <v>0</v>
      </c>
      <c r="AM94" s="1312">
        <f>IF(C94=$F$67,$I$67,AM93-AK94)</f>
        <v>0</v>
      </c>
      <c r="AN94" s="1312">
        <f>IF(AND(C94&gt;$F$68,'Instrumentos Financeiros'!C94&lt;'Instrumentos Financeiros'!$F$68+'Instrumentos Financeiros'!$F$11+1),PMT(((1+'Instrumentos Financeiros'!$I$43)^(1/12)-1),$F$11,-$I$68),0)</f>
        <v>0</v>
      </c>
      <c r="AO94" s="1312">
        <f t="shared" ref="AO94:AO99" si="23">AN94-AP94</f>
        <v>0</v>
      </c>
      <c r="AP94" s="1312">
        <f>AQ93*((1+'Instrumentos Financeiros'!$I$43)^(1/12)-1)</f>
        <v>0</v>
      </c>
      <c r="AQ94" s="1312">
        <f>IF(C94=$F$68,$I$68,AQ93-AO94)</f>
        <v>0</v>
      </c>
      <c r="AR94" s="1312">
        <f>IF(AND(C94&gt;$F$69,'Instrumentos Financeiros'!C94&lt;'Instrumentos Financeiros'!$F$69+'Instrumentos Financeiros'!$F$11+1),PMT(((1+'Instrumentos Financeiros'!$I$43)^(1/12)-1),$F$11,-$I$69),0)</f>
        <v>0</v>
      </c>
      <c r="AS94" s="1312">
        <f t="shared" ref="AS94:AS99" si="24">AR94-AT94</f>
        <v>0</v>
      </c>
      <c r="AT94" s="1312">
        <f>AU93*((1+'Instrumentos Financeiros'!$I$43)^(1/12)-1)</f>
        <v>0</v>
      </c>
      <c r="AU94" s="1312">
        <f>IF(C94=$F$69,$I$69,AU93-AS94)</f>
        <v>0</v>
      </c>
      <c r="AV94" s="1312">
        <f>IF(AND(C94&gt;$F$70,'Instrumentos Financeiros'!C94&lt;'Instrumentos Financeiros'!$F$70+'Instrumentos Financeiros'!$F$11+1),PMT(((1+'Instrumentos Financeiros'!$J$43)^(1/12)-1),$F$11,-$I$70),0)</f>
        <v>0</v>
      </c>
      <c r="AW94" s="1312">
        <f t="shared" ref="AW94:AW99" si="25">AV94-AX94</f>
        <v>0</v>
      </c>
      <c r="AX94" s="1312">
        <f>AY93*((1+'Instrumentos Financeiros'!$J$43)^(1/12)-1)</f>
        <v>0</v>
      </c>
      <c r="AY94" s="1312">
        <f>IF(C94=$F$70,$I$70,AY93-AW94)</f>
        <v>0</v>
      </c>
      <c r="AZ94" s="1312">
        <f>IF(AND(C94&gt;$F$71,'Instrumentos Financeiros'!C94&lt;'Instrumentos Financeiros'!$F$71+'Instrumentos Financeiros'!$F$11+1),PMT(((1+'Instrumentos Financeiros'!$J$43)^(1/12)-1),$F$11,-$I$71),0)</f>
        <v>0</v>
      </c>
      <c r="BA94" s="1312">
        <f t="shared" ref="BA94:BA99" si="26">AZ94-BB94</f>
        <v>0</v>
      </c>
      <c r="BB94" s="1312">
        <f>BC93*((1+'Instrumentos Financeiros'!$J$43)^(1/12)-1)</f>
        <v>0</v>
      </c>
      <c r="BC94" s="1312">
        <f>IF(C94=$F$71,$I$71,BC93-BA94)</f>
        <v>0</v>
      </c>
      <c r="BD94" s="1312">
        <f>IF(AND(C94&gt;$F$72,'Instrumentos Financeiros'!C94&lt;'Instrumentos Financeiros'!$F$72+'Instrumentos Financeiros'!$F$11+1),PMT(((1+'Instrumentos Financeiros'!$J$43)^(1/12)-1),$F$11,-'Instrumentos Financeiros'!$G$7*$G$72),0)</f>
        <v>0</v>
      </c>
      <c r="BE94" s="1312">
        <f t="shared" ref="BE94:BE99" si="27">BD94-BF94</f>
        <v>0</v>
      </c>
      <c r="BF94" s="1312">
        <f>BG93*((1+'Instrumentos Financeiros'!$J$43)^(1/12)-1)</f>
        <v>0</v>
      </c>
      <c r="BG94" s="1312">
        <f>IF(C94=$F$72,$I$72,BG93-BE94)</f>
        <v>0</v>
      </c>
      <c r="BH94" s="1312">
        <f>IF(AND(C94&gt;$F$73,'Instrumentos Financeiros'!C94&lt;'Instrumentos Financeiros'!$F$73+'Instrumentos Financeiros'!$F$11+1),PMT(((1+'Instrumentos Financeiros'!$J$43)^(1/12)-1),$F$11,-$I$73),0)</f>
        <v>0</v>
      </c>
      <c r="BI94" s="1312">
        <f t="shared" ref="BI94:BI99" si="28">BH94-BJ94</f>
        <v>0</v>
      </c>
      <c r="BJ94" s="1312">
        <f>BK93*((1+'Instrumentos Financeiros'!$J$43)^(1/12)-1)</f>
        <v>0</v>
      </c>
      <c r="BK94" s="1312">
        <f>IF(C94=$F$73,$I$73,BK93-BI94)</f>
        <v>0</v>
      </c>
      <c r="BL94" s="1312">
        <f>IF(AND(C94&gt;$F$77,'Instrumentos Financeiros'!C94&lt;'Instrumentos Financeiros'!$F$77+'Instrumentos Financeiros'!$F$12+1),PMT(((1+'Instrumentos Financeiros'!$K$43)^(1/12)-1),$F$12,-$I$77),0)</f>
        <v>0</v>
      </c>
      <c r="BM94" s="1312">
        <f>BL94-BN94</f>
        <v>0</v>
      </c>
      <c r="BN94" s="1312">
        <f>BO93*((1+'Instrumentos Financeiros'!$K$43)^(1/12)-1)</f>
        <v>0</v>
      </c>
      <c r="BO94" s="1312">
        <f>IF(C94=$F$77,$I$77,BO93-BM94)</f>
        <v>0</v>
      </c>
      <c r="BP94" s="1312">
        <f>IF(AND(C94&gt;$F$78,'Instrumentos Financeiros'!C94&lt;'Instrumentos Financeiros'!$F$78+'Instrumentos Financeiros'!$F$12+1),PMT(((1+'Instrumentos Financeiros'!$L$43)^(1/12)-1),$F$12,-$I$78),0)</f>
        <v>0</v>
      </c>
      <c r="BQ94" s="1312">
        <f>BP94-BR94</f>
        <v>0</v>
      </c>
      <c r="BR94" s="1312">
        <f>BS93*((1+'Instrumentos Financeiros'!$L$43)^(1/12)-1)</f>
        <v>0</v>
      </c>
      <c r="BS94" s="1312">
        <f>IF(C94=$F$78,$I$78,BS93-BQ94)</f>
        <v>0</v>
      </c>
      <c r="BT94" s="1312">
        <f>IF(AND(C94&gt;$F$79,'Instrumentos Financeiros'!C94&lt;'Instrumentos Financeiros'!$F$79+'Instrumentos Financeiros'!$F$12+1),PMT(((1+'Instrumentos Financeiros'!$L$43)^(1/12)-1),$F$12,-$I$79),0)</f>
        <v>0</v>
      </c>
      <c r="BU94" s="1312">
        <f>BT94-BV94</f>
        <v>0</v>
      </c>
      <c r="BV94" s="1312">
        <f>BW93*((1+'Instrumentos Financeiros'!$L$43)^(1/12)-1)</f>
        <v>0</v>
      </c>
      <c r="BW94" s="1312">
        <f>IF(C94=$F$79,$I$79,BW93-BU94)</f>
        <v>0</v>
      </c>
      <c r="BX94" s="1312">
        <f>IF(AND(C94&gt;$F$80,'Instrumentos Financeiros'!C94&lt;'Instrumentos Financeiros'!$F$80+'Instrumentos Financeiros'!$F$12+1),PMT(((1+'Instrumentos Financeiros'!$L$43)^(1/12)-1),$F$12,-$I$80),0)</f>
        <v>0</v>
      </c>
      <c r="BY94" s="1312">
        <f>BX94-BZ94</f>
        <v>0</v>
      </c>
      <c r="BZ94" s="1312">
        <f>CA93*((1+'Instrumentos Financeiros'!$L$43)^(1/12)-1)</f>
        <v>0</v>
      </c>
      <c r="CA94" s="1312">
        <f>IF(C94=$F$80,$I$80,CA93-BY94)</f>
        <v>0</v>
      </c>
      <c r="CB94" s="1312">
        <f>IF(AND(C94&gt;$F$83,'Instrumentos Financeiros'!C94&lt;'Instrumentos Financeiros'!$F$83+'Instrumentos Financeiros'!$F$13+1),PMT(((1+'Instrumentos Financeiros'!$P$43)^(1/12)-1),$F$13,-$I$83),0)</f>
        <v>0</v>
      </c>
      <c r="CC94" s="1312">
        <f>CB94-CD94</f>
        <v>0</v>
      </c>
      <c r="CD94" s="1312">
        <f>CE93*((1+'Instrumentos Financeiros'!$P$43)^(1/12)-1)</f>
        <v>0</v>
      </c>
      <c r="CE94" s="1312">
        <f>IF(C94=$F$83,$I$83,CE93-CC94)</f>
        <v>0</v>
      </c>
      <c r="CF94" s="1312">
        <f>IF(AND(C94&gt;$F$84,'Instrumentos Financeiros'!C94&lt;'Instrumentos Financeiros'!$F$84+'Instrumentos Financeiros'!$F$13+1),PMT(((1+'Instrumentos Financeiros'!$Q$43)^(1/12)-1),$F$13,-$I$84),0)</f>
        <v>0</v>
      </c>
      <c r="CG94" s="1312">
        <f>CF94-CH94</f>
        <v>0</v>
      </c>
      <c r="CH94" s="1312">
        <f>CI93*((1+'Instrumentos Financeiros'!$Q$43)^(1/12)-1)</f>
        <v>0</v>
      </c>
      <c r="CI94" s="1312">
        <f>IF(C94=$F$84,$I$84,CI93-CG94)</f>
        <v>0</v>
      </c>
      <c r="CJ94" s="1312">
        <f>IF(AND(C94&gt;$F$85,'Instrumentos Financeiros'!C94&lt;'Instrumentos Financeiros'!$F$85+'Instrumentos Financeiros'!$F$13+1),PMT(((1+'Instrumentos Financeiros'!$Q$43)^(1/12)-1),$F$13,-$I$85),0)</f>
        <v>0</v>
      </c>
      <c r="CK94" s="1312">
        <f>CJ94-CL94</f>
        <v>0</v>
      </c>
      <c r="CL94" s="1312">
        <f>CM93*((1+'Instrumentos Financeiros'!$Q$43)^(1/12)-1)</f>
        <v>0</v>
      </c>
      <c r="CM94" s="1312">
        <f>IF(C94=$F$85,$I$85,CM93-CK94)</f>
        <v>0</v>
      </c>
      <c r="CN94" s="1312">
        <f>IF(AND(C94&gt;$F$86,'Instrumentos Financeiros'!C94&lt;'Instrumentos Financeiros'!$F$86+'Instrumentos Financeiros'!$F$13+1),PMT(((1+'Instrumentos Financeiros'!$Q$43)^(1/12)-1),$F$13,-$I$86),0)</f>
        <v>0</v>
      </c>
      <c r="CO94" s="1312">
        <f>CN94-CP94</f>
        <v>0</v>
      </c>
      <c r="CP94" s="1312">
        <f>CQ93*((1+'Instrumentos Financeiros'!$Q$43)^(1/12)-1)</f>
        <v>0</v>
      </c>
      <c r="CQ94" s="1312">
        <f>IF(C94=$F$86,$I$86,CQ93-CO94)</f>
        <v>0</v>
      </c>
      <c r="CR94" s="1312">
        <f t="shared" ref="CR94:CU157" si="29">D94+H94+L94+P94+T94+X94+AB94+AF94+AJ94+AN94+AR94+AV94+AZ94+BD94+BH94+BL94+BP94+BT94+BX94+CB94+CF94+CJ94+CN94</f>
        <v>0</v>
      </c>
      <c r="CS94" s="1312">
        <f t="shared" si="29"/>
        <v>0</v>
      </c>
      <c r="CT94" s="1312">
        <f t="shared" si="29"/>
        <v>0</v>
      </c>
      <c r="CU94" s="1312">
        <f t="shared" si="29"/>
        <v>0</v>
      </c>
    </row>
    <row r="95" spans="3:99" x14ac:dyDescent="0.35">
      <c r="C95" s="1315">
        <f t="shared" ref="C95:C158" si="30">C94+1</f>
        <v>2</v>
      </c>
      <c r="D95" s="1312">
        <f>IF(AND(C95&gt;$F$59,'Instrumentos Financeiros'!C95&lt;'Instrumentos Financeiros'!$F$59+'Instrumentos Financeiros'!$F$11+1),PMT(((1+'Instrumentos Financeiros'!$G$43)^(1/12)-1),$F$11,-$I$59),0)</f>
        <v>0</v>
      </c>
      <c r="E95" s="1312">
        <f t="shared" si="14"/>
        <v>0</v>
      </c>
      <c r="F95" s="1312">
        <f>G94*((1+'Instrumentos Financeiros'!$G$43)^(1/12)-1)</f>
        <v>0</v>
      </c>
      <c r="G95" s="1312">
        <f t="shared" ref="G95:G158" si="31">IF(C95=$F$59,$I$59,G94-E95)</f>
        <v>0</v>
      </c>
      <c r="H95" s="1312">
        <f>IF(AND(C95&gt;$F$60,'Instrumentos Financeiros'!C95&lt;'Instrumentos Financeiros'!$F$60+'Instrumentos Financeiros'!$F$11+1),PMT(((1+'Instrumentos Financeiros'!$G$43)^(1/12)-1),$F$11,-$I$60),0)</f>
        <v>0</v>
      </c>
      <c r="I95" s="1312">
        <f t="shared" si="15"/>
        <v>0</v>
      </c>
      <c r="J95" s="1312">
        <f>K94*((1+'Instrumentos Financeiros'!$G$43)^(1/12)-1)</f>
        <v>0</v>
      </c>
      <c r="K95" s="1312">
        <f t="shared" ref="K95:K158" si="32">IF(C95=$F$60,$I$60,K94-I95)</f>
        <v>0</v>
      </c>
      <c r="L95" s="1312">
        <f>IF(AND(C95&gt;$F$61,'Instrumentos Financeiros'!C95&lt;'Instrumentos Financeiros'!$F$61+'Instrumentos Financeiros'!$F$11+1),PMT(((1+'Instrumentos Financeiros'!$G$43)^(1/12)-1),$F$11,-$I$61),0)</f>
        <v>0</v>
      </c>
      <c r="M95" s="1312">
        <f t="shared" si="16"/>
        <v>0</v>
      </c>
      <c r="N95" s="1312">
        <f>O94*((1+'Instrumentos Financeiros'!$G$43)^(1/12)-1)</f>
        <v>0</v>
      </c>
      <c r="O95" s="1312">
        <f t="shared" ref="O95:O158" si="33">IF(C95=$F$61,$I$61,O94-M95)</f>
        <v>0</v>
      </c>
      <c r="P95" s="1312">
        <f>IF(AND(C95&gt;$F$62,'Instrumentos Financeiros'!C95&lt;'Instrumentos Financeiros'!$F$62+'Instrumentos Financeiros'!$F$11+1),PMT(((1+'Instrumentos Financeiros'!$H$43)^(1/12)-1),$F$11,-$I$62),0)</f>
        <v>0</v>
      </c>
      <c r="Q95" s="1312">
        <f t="shared" si="17"/>
        <v>0</v>
      </c>
      <c r="R95" s="1312">
        <f>S94*((1+'Instrumentos Financeiros'!$H$43)^(1/12)-1)</f>
        <v>0</v>
      </c>
      <c r="S95" s="1312">
        <f t="shared" ref="S95:S158" si="34">IF(C95=$F$62,$I$62,S94-Q95)</f>
        <v>0</v>
      </c>
      <c r="T95" s="1312">
        <f>IF(AND(C95&gt;$F$63,'Instrumentos Financeiros'!C95&lt;'Instrumentos Financeiros'!$F$63+'Instrumentos Financeiros'!$F$11+1),PMT(((1+'Instrumentos Financeiros'!$H$43)^(1/12)-1),$F$11,-$I$63),0)</f>
        <v>0</v>
      </c>
      <c r="U95" s="1312">
        <f t="shared" si="18"/>
        <v>0</v>
      </c>
      <c r="V95" s="1312">
        <f>W94*((1+'Instrumentos Financeiros'!$H$43)^(1/12)-1)</f>
        <v>0</v>
      </c>
      <c r="W95" s="1312">
        <f t="shared" ref="W95:W158" si="35">IF(C95=$F$63,$I$63,W94-U95)</f>
        <v>0</v>
      </c>
      <c r="X95" s="1312">
        <f>IF(AND(C95&gt;$F$64,'Instrumentos Financeiros'!C95&lt;'Instrumentos Financeiros'!$F$64+'Instrumentos Financeiros'!$F$11+1),PMT(((1+'Instrumentos Financeiros'!$H$43)^(1/12)-1),$F$11,-$I$64),0)</f>
        <v>0</v>
      </c>
      <c r="Y95" s="1312">
        <f t="shared" si="19"/>
        <v>0</v>
      </c>
      <c r="Z95" s="1312">
        <f>AA94*((1+'Instrumentos Financeiros'!$H$43)^(1/12)-1)</f>
        <v>0</v>
      </c>
      <c r="AA95" s="1312">
        <f t="shared" ref="AA95:AA158" si="36">IF(C95=$F$64,$I$64,AA94-Y95)</f>
        <v>0</v>
      </c>
      <c r="AB95" s="1312">
        <f>IF(AND(C95&gt;$F$65,'Instrumentos Financeiros'!C95&lt;'Instrumentos Financeiros'!$F$65+'Instrumentos Financeiros'!$F$11+1),PMT(((1+'Instrumentos Financeiros'!$H$43)^(1/12)-1),$F$11,-$I$65),0)</f>
        <v>0</v>
      </c>
      <c r="AC95" s="1312">
        <f t="shared" si="20"/>
        <v>0</v>
      </c>
      <c r="AD95" s="1312">
        <f>AE94*((1+'Instrumentos Financeiros'!$H$43)^(1/12)-1)</f>
        <v>0</v>
      </c>
      <c r="AE95" s="1312">
        <f t="shared" ref="AE95:AE158" si="37">IF(C95=$F$65,$I$65,AE94-AC95)</f>
        <v>0</v>
      </c>
      <c r="AF95" s="1312">
        <f>IF(AND(C95&gt;$F$66,'Instrumentos Financeiros'!C95&lt;'Instrumentos Financeiros'!$F$66+'Instrumentos Financeiros'!$F$11+1),PMT(((1+'Instrumentos Financeiros'!$I$43)^(1/12)-1),$F$11,-$I$66),0)</f>
        <v>0</v>
      </c>
      <c r="AG95" s="1312">
        <f t="shared" si="21"/>
        <v>0</v>
      </c>
      <c r="AH95" s="1312">
        <f>AI94*((1+'Instrumentos Financeiros'!$I$43)^(1/12)-1)</f>
        <v>0</v>
      </c>
      <c r="AI95" s="1312">
        <f t="shared" ref="AI95:AI158" si="38">IF(C95=$F$66,$I$66,AI94-AG95)</f>
        <v>0</v>
      </c>
      <c r="AJ95" s="1312">
        <f>IF(AND(C95&gt;$F$67,'Instrumentos Financeiros'!C95&lt;'Instrumentos Financeiros'!$F$67+'Instrumentos Financeiros'!$F$11+1),PMT(((1+'Instrumentos Financeiros'!$I$43)^(1/12)-1),$F$11,-$I$67),0)</f>
        <v>0</v>
      </c>
      <c r="AK95" s="1312">
        <f t="shared" si="22"/>
        <v>0</v>
      </c>
      <c r="AL95" s="1312">
        <f>AM94*((1+'Instrumentos Financeiros'!$I$43)^(1/12)-1)</f>
        <v>0</v>
      </c>
      <c r="AM95" s="1312">
        <f t="shared" ref="AM95:AM158" si="39">IF(C95=$F$67,$I$67,AM94-AK95)</f>
        <v>0</v>
      </c>
      <c r="AN95" s="1312">
        <f>IF(AND(C95&gt;$F$68,'Instrumentos Financeiros'!C95&lt;'Instrumentos Financeiros'!$F$68+'Instrumentos Financeiros'!$F$11+1),PMT(((1+'Instrumentos Financeiros'!$I$43)^(1/12)-1),$F$11,-$I$68),0)</f>
        <v>0</v>
      </c>
      <c r="AO95" s="1312">
        <f t="shared" si="23"/>
        <v>0</v>
      </c>
      <c r="AP95" s="1312">
        <f>AQ94*((1+'Instrumentos Financeiros'!$I$43)^(1/12)-1)</f>
        <v>0</v>
      </c>
      <c r="AQ95" s="1312">
        <f t="shared" ref="AQ95:AQ158" si="40">IF(C95=$F$68,$I$68,AQ94-AO95)</f>
        <v>0</v>
      </c>
      <c r="AR95" s="1312">
        <f>IF(AND(C95&gt;$F$69,'Instrumentos Financeiros'!C95&lt;'Instrumentos Financeiros'!$F$69+'Instrumentos Financeiros'!$F$11+1),PMT(((1+'Instrumentos Financeiros'!$I$43)^(1/12)-1),$F$11,-$I$69),0)</f>
        <v>0</v>
      </c>
      <c r="AS95" s="1312">
        <f t="shared" si="24"/>
        <v>0</v>
      </c>
      <c r="AT95" s="1312">
        <f>AU94*((1+'Instrumentos Financeiros'!$I$43)^(1/12)-1)</f>
        <v>0</v>
      </c>
      <c r="AU95" s="1312">
        <f t="shared" ref="AU95:AU158" si="41">IF(C95=$F$69,$I$69,AU94-AS95)</f>
        <v>0</v>
      </c>
      <c r="AV95" s="1312">
        <f>IF(AND(C95&gt;$F$70,'Instrumentos Financeiros'!C95&lt;'Instrumentos Financeiros'!$F$70+'Instrumentos Financeiros'!$F$11+1),PMT(((1+'Instrumentos Financeiros'!$J$43)^(1/12)-1),$F$11,-$I$70),0)</f>
        <v>0</v>
      </c>
      <c r="AW95" s="1312">
        <f t="shared" si="25"/>
        <v>0</v>
      </c>
      <c r="AX95" s="1312">
        <f>AY94*((1+'Instrumentos Financeiros'!$J$43)^(1/12)-1)</f>
        <v>0</v>
      </c>
      <c r="AY95" s="1312">
        <f t="shared" ref="AY95:AY158" si="42">IF(C95=$F$70,$I$70,AY94-AW95)</f>
        <v>0</v>
      </c>
      <c r="AZ95" s="1312">
        <f>IF(AND(C95&gt;$F$71,'Instrumentos Financeiros'!C95&lt;'Instrumentos Financeiros'!$F$71+'Instrumentos Financeiros'!$F$11+1),PMT(((1+'Instrumentos Financeiros'!$J$43)^(1/12)-1),$F$11,-$I$71),0)</f>
        <v>0</v>
      </c>
      <c r="BA95" s="1312">
        <f t="shared" si="26"/>
        <v>0</v>
      </c>
      <c r="BB95" s="1312">
        <f>BC94*((1+'Instrumentos Financeiros'!$J$43)^(1/12)-1)</f>
        <v>0</v>
      </c>
      <c r="BC95" s="1312">
        <f t="shared" ref="BC95:BC158" si="43">IF(C95=$F$71,$I$71,BC94-BA95)</f>
        <v>0</v>
      </c>
      <c r="BD95" s="1312">
        <f>IF(AND(C95&gt;$F$72,'Instrumentos Financeiros'!C95&lt;'Instrumentos Financeiros'!$F$72+'Instrumentos Financeiros'!$F$11+1),PMT(((1+'Instrumentos Financeiros'!$J$43)^(1/12)-1),$F$11,-'Instrumentos Financeiros'!$G$7*$G$72),0)</f>
        <v>0</v>
      </c>
      <c r="BE95" s="1312">
        <f t="shared" si="27"/>
        <v>0</v>
      </c>
      <c r="BF95" s="1312">
        <f>BG94*((1+'Instrumentos Financeiros'!$J$43)^(1/12)-1)</f>
        <v>0</v>
      </c>
      <c r="BG95" s="1312">
        <f t="shared" ref="BG95:BG158" si="44">IF(C95=$F$72,$I$72,BG94-BE95)</f>
        <v>0</v>
      </c>
      <c r="BH95" s="1312">
        <f>IF(AND(C95&gt;$F$73,'Instrumentos Financeiros'!C95&lt;'Instrumentos Financeiros'!$F$73+'Instrumentos Financeiros'!$F$11+1),PMT(((1+'Instrumentos Financeiros'!$J$43)^(1/12)-1),$F$11,-$I$73),0)</f>
        <v>0</v>
      </c>
      <c r="BI95" s="1312">
        <f t="shared" si="28"/>
        <v>0</v>
      </c>
      <c r="BJ95" s="1312">
        <f>BK94*((1+'Instrumentos Financeiros'!$J$43)^(1/12)-1)</f>
        <v>0</v>
      </c>
      <c r="BK95" s="1312">
        <f t="shared" ref="BK95:BK158" si="45">IF(C95=$F$73,$I$73,BK94-BI95)</f>
        <v>0</v>
      </c>
      <c r="BL95" s="1312">
        <f>IF(AND(C95&gt;$F$77,'Instrumentos Financeiros'!C95&lt;'Instrumentos Financeiros'!$F$77+'Instrumentos Financeiros'!$F$12+1),PMT(((1+'Instrumentos Financeiros'!$K$43)^(1/12)-1),$F$12,-$I$77),0)</f>
        <v>0</v>
      </c>
      <c r="BM95" s="1312">
        <f t="shared" ref="BM95:BM158" si="46">BL95-BN95</f>
        <v>0</v>
      </c>
      <c r="BN95" s="1312">
        <f>BO94*((1+'Instrumentos Financeiros'!$K$43)^(1/12)-1)</f>
        <v>0</v>
      </c>
      <c r="BO95" s="1312">
        <f t="shared" ref="BO95:BO158" si="47">IF(C95=$F$77,$I$77,BO94-BM95)</f>
        <v>0</v>
      </c>
      <c r="BP95" s="1312">
        <f>IF(AND(C95&gt;$F$78,'Instrumentos Financeiros'!C95&lt;'Instrumentos Financeiros'!$F$78+'Instrumentos Financeiros'!$F$12+1),PMT(((1+'Instrumentos Financeiros'!$L$43)^(1/12)-1),$F$12,-$I$78),0)</f>
        <v>0</v>
      </c>
      <c r="BQ95" s="1312">
        <f t="shared" ref="BQ95:BQ158" si="48">BP95-BR95</f>
        <v>0</v>
      </c>
      <c r="BR95" s="1312">
        <f>BS94*((1+'Instrumentos Financeiros'!$L$43)^(1/12)-1)</f>
        <v>0</v>
      </c>
      <c r="BS95" s="1312">
        <f t="shared" ref="BS95:BS158" si="49">IF(C95=$F$78,$I$78,BS94-BQ95)</f>
        <v>0</v>
      </c>
      <c r="BT95" s="1312">
        <f>IF(AND(C95&gt;$F$79,'Instrumentos Financeiros'!C95&lt;'Instrumentos Financeiros'!$F$79+'Instrumentos Financeiros'!$F$12+1),PMT(((1+'Instrumentos Financeiros'!$L$43)^(1/12)-1),$F$12,-$I$79),0)</f>
        <v>0</v>
      </c>
      <c r="BU95" s="1312">
        <f t="shared" ref="BU95:BU158" si="50">BT95-BV95</f>
        <v>0</v>
      </c>
      <c r="BV95" s="1312">
        <f>BW94*((1+'Instrumentos Financeiros'!$L$43)^(1/12)-1)</f>
        <v>0</v>
      </c>
      <c r="BW95" s="1312">
        <f t="shared" ref="BW95:BW158" si="51">IF(C95=$F$79,$I$79,BW94-BU95)</f>
        <v>0</v>
      </c>
      <c r="BX95" s="1312">
        <f>IF(AND(C95&gt;$F$80,'Instrumentos Financeiros'!C95&lt;'Instrumentos Financeiros'!$F$80+'Instrumentos Financeiros'!$F$12+1),PMT(((1+'Instrumentos Financeiros'!$L$43)^(1/12)-1),$F$12,-$I$80),0)</f>
        <v>0</v>
      </c>
      <c r="BY95" s="1312">
        <f t="shared" ref="BY95:BY158" si="52">BX95-BZ95</f>
        <v>0</v>
      </c>
      <c r="BZ95" s="1312">
        <f>CA94*((1+'Instrumentos Financeiros'!$L$43)^(1/12)-1)</f>
        <v>0</v>
      </c>
      <c r="CA95" s="1312">
        <f t="shared" ref="CA95:CA158" si="53">IF(C95=$F$80,$I$80,CA94-BY95)</f>
        <v>0</v>
      </c>
      <c r="CB95" s="1312">
        <f>IF(AND(C95&gt;$F$83,'Instrumentos Financeiros'!C95&lt;'Instrumentos Financeiros'!$F$83+'Instrumentos Financeiros'!$F$13+1),PMT(((1+'Instrumentos Financeiros'!$P$43)^(1/12)-1),$F$13,-$I$83),0)</f>
        <v>0</v>
      </c>
      <c r="CC95" s="1312">
        <f t="shared" ref="CC95:CC158" si="54">CB95-CD95</f>
        <v>0</v>
      </c>
      <c r="CD95" s="1312">
        <f>CE94*((1+'Instrumentos Financeiros'!$P$43)^(1/12)-1)</f>
        <v>0</v>
      </c>
      <c r="CE95" s="1312">
        <f t="shared" ref="CE95:CE158" si="55">IF(C95=$F$83,$I$83,CE94-CC95)</f>
        <v>0</v>
      </c>
      <c r="CF95" s="1312">
        <f>IF(AND(C95&gt;$F$84,'Instrumentos Financeiros'!C95&lt;'Instrumentos Financeiros'!$F$84+'Instrumentos Financeiros'!$F$13+1),PMT(((1+'Instrumentos Financeiros'!$Q$43)^(1/12)-1),$F$13,-$I$84),0)</f>
        <v>0</v>
      </c>
      <c r="CG95" s="1312">
        <f t="shared" ref="CG95:CG158" si="56">CF95-CH95</f>
        <v>0</v>
      </c>
      <c r="CH95" s="1312">
        <f>CI94*((1+'Instrumentos Financeiros'!$Q$43)^(1/12)-1)</f>
        <v>0</v>
      </c>
      <c r="CI95" s="1312">
        <f t="shared" ref="CI95:CI158" si="57">IF(C95=$F$84,$I$84,CI94-CG95)</f>
        <v>0</v>
      </c>
      <c r="CJ95" s="1312">
        <f>IF(AND(C95&gt;$F$85,'Instrumentos Financeiros'!C95&lt;'Instrumentos Financeiros'!$F$85+'Instrumentos Financeiros'!$F$13+1),PMT(((1+'Instrumentos Financeiros'!$Q$43)^(1/12)-1),$F$13,-$I$85),0)</f>
        <v>0</v>
      </c>
      <c r="CK95" s="1312">
        <f t="shared" ref="CK95:CK158" si="58">CJ95-CL95</f>
        <v>0</v>
      </c>
      <c r="CL95" s="1312">
        <f>CM94*((1+'Instrumentos Financeiros'!$Q$43)^(1/12)-1)</f>
        <v>0</v>
      </c>
      <c r="CM95" s="1312">
        <f t="shared" ref="CM95:CM158" si="59">IF(C95=$F$85,$I$85,CM94-CK95)</f>
        <v>0</v>
      </c>
      <c r="CN95" s="1312">
        <f>IF(AND(C95&gt;$F$86,'Instrumentos Financeiros'!C95&lt;'Instrumentos Financeiros'!$F$86+'Instrumentos Financeiros'!$F$13+1),PMT(((1+'Instrumentos Financeiros'!$Q$43)^(1/12)-1),$F$13,-$I$86),0)</f>
        <v>0</v>
      </c>
      <c r="CO95" s="1312">
        <f t="shared" ref="CO95:CO158" si="60">CN95-CP95</f>
        <v>0</v>
      </c>
      <c r="CP95" s="1312">
        <f>CQ94*((1+'Instrumentos Financeiros'!$Q$43)^(1/12)-1)</f>
        <v>0</v>
      </c>
      <c r="CQ95" s="1312">
        <f t="shared" ref="CQ95:CQ158" si="61">IF(C95=$F$86,$I$86,CQ94-CO95)</f>
        <v>0</v>
      </c>
      <c r="CR95" s="1312">
        <f t="shared" si="29"/>
        <v>0</v>
      </c>
      <c r="CS95" s="1312">
        <f t="shared" si="29"/>
        <v>0</v>
      </c>
      <c r="CT95" s="1312">
        <f t="shared" si="29"/>
        <v>0</v>
      </c>
      <c r="CU95" s="1312">
        <f t="shared" si="29"/>
        <v>0</v>
      </c>
    </row>
    <row r="96" spans="3:99" x14ac:dyDescent="0.35">
      <c r="C96" s="1315">
        <f t="shared" si="30"/>
        <v>3</v>
      </c>
      <c r="D96" s="1312">
        <f>IF(AND(C96&gt;$F$59,'Instrumentos Financeiros'!C96&lt;'Instrumentos Financeiros'!$F$59+'Instrumentos Financeiros'!$F$11+1),PMT(((1+'Instrumentos Financeiros'!$G$43)^(1/12)-1),$F$11,-$I$59),0)</f>
        <v>0</v>
      </c>
      <c r="E96" s="1312">
        <f t="shared" si="14"/>
        <v>0</v>
      </c>
      <c r="F96" s="1312">
        <f>G95*((1+'Instrumentos Financeiros'!$G$43)^(1/12)-1)</f>
        <v>0</v>
      </c>
      <c r="G96" s="1312">
        <f t="shared" si="31"/>
        <v>0</v>
      </c>
      <c r="H96" s="1312">
        <f>IF(AND(C96&gt;$F$60,'Instrumentos Financeiros'!C96&lt;'Instrumentos Financeiros'!$F$60+'Instrumentos Financeiros'!$F$11+1),PMT(((1+'Instrumentos Financeiros'!$G$43)^(1/12)-1),$F$11,-$I$60),0)</f>
        <v>0</v>
      </c>
      <c r="I96" s="1312">
        <f t="shared" si="15"/>
        <v>0</v>
      </c>
      <c r="J96" s="1312">
        <f>K95*((1+'Instrumentos Financeiros'!$G$43)^(1/12)-1)</f>
        <v>0</v>
      </c>
      <c r="K96" s="1312">
        <f t="shared" si="32"/>
        <v>0</v>
      </c>
      <c r="L96" s="1312">
        <f>IF(AND(C96&gt;$F$61,'Instrumentos Financeiros'!C96&lt;'Instrumentos Financeiros'!$F$61+'Instrumentos Financeiros'!$F$11+1),PMT(((1+'Instrumentos Financeiros'!$G$43)^(1/12)-1),$F$11,-$I$61),0)</f>
        <v>0</v>
      </c>
      <c r="M96" s="1312">
        <f t="shared" si="16"/>
        <v>0</v>
      </c>
      <c r="N96" s="1312">
        <f>O95*((1+'Instrumentos Financeiros'!$G$43)^(1/12)-1)</f>
        <v>0</v>
      </c>
      <c r="O96" s="1312">
        <f t="shared" si="33"/>
        <v>0</v>
      </c>
      <c r="P96" s="1312">
        <f>IF(AND(C96&gt;$F$62,'Instrumentos Financeiros'!C96&lt;'Instrumentos Financeiros'!$F$62+'Instrumentos Financeiros'!$F$11+1),PMT(((1+'Instrumentos Financeiros'!$H$43)^(1/12)-1),$F$11,-$I$62),0)</f>
        <v>0</v>
      </c>
      <c r="Q96" s="1312">
        <f t="shared" si="17"/>
        <v>0</v>
      </c>
      <c r="R96" s="1312">
        <f>S95*((1+'Instrumentos Financeiros'!$H$43)^(1/12)-1)</f>
        <v>0</v>
      </c>
      <c r="S96" s="1312">
        <f t="shared" si="34"/>
        <v>0</v>
      </c>
      <c r="T96" s="1312">
        <f>IF(AND(C96&gt;$F$63,'Instrumentos Financeiros'!C96&lt;'Instrumentos Financeiros'!$F$63+'Instrumentos Financeiros'!$F$11+1),PMT(((1+'Instrumentos Financeiros'!$H$43)^(1/12)-1),$F$11,-$I$63),0)</f>
        <v>0</v>
      </c>
      <c r="U96" s="1312">
        <f t="shared" si="18"/>
        <v>0</v>
      </c>
      <c r="V96" s="1312">
        <f>W95*((1+'Instrumentos Financeiros'!$H$43)^(1/12)-1)</f>
        <v>0</v>
      </c>
      <c r="W96" s="1312">
        <f t="shared" si="35"/>
        <v>0</v>
      </c>
      <c r="X96" s="1312">
        <f>IF(AND(C96&gt;$F$64,'Instrumentos Financeiros'!C96&lt;'Instrumentos Financeiros'!$F$64+'Instrumentos Financeiros'!$F$11+1),PMT(((1+'Instrumentos Financeiros'!$H$43)^(1/12)-1),$F$11,-$I$64),0)</f>
        <v>0</v>
      </c>
      <c r="Y96" s="1312">
        <f t="shared" si="19"/>
        <v>0</v>
      </c>
      <c r="Z96" s="1312">
        <f>AA95*((1+'Instrumentos Financeiros'!$H$43)^(1/12)-1)</f>
        <v>0</v>
      </c>
      <c r="AA96" s="1312">
        <f t="shared" si="36"/>
        <v>0</v>
      </c>
      <c r="AB96" s="1312">
        <f>IF(AND(C96&gt;$F$65,'Instrumentos Financeiros'!C96&lt;'Instrumentos Financeiros'!$F$65+'Instrumentos Financeiros'!$F$11+1),PMT(((1+'Instrumentos Financeiros'!$H$43)^(1/12)-1),$F$11,-$I$65),0)</f>
        <v>0</v>
      </c>
      <c r="AC96" s="1312">
        <f t="shared" si="20"/>
        <v>0</v>
      </c>
      <c r="AD96" s="1312">
        <f>AE95*((1+'Instrumentos Financeiros'!$H$43)^(1/12)-1)</f>
        <v>0</v>
      </c>
      <c r="AE96" s="1312">
        <f t="shared" si="37"/>
        <v>0</v>
      </c>
      <c r="AF96" s="1312">
        <f>IF(AND(C96&gt;$F$66,'Instrumentos Financeiros'!C96&lt;'Instrumentos Financeiros'!$F$66+'Instrumentos Financeiros'!$F$11+1),PMT(((1+'Instrumentos Financeiros'!$I$43)^(1/12)-1),$F$11,-$I$66),0)</f>
        <v>0</v>
      </c>
      <c r="AG96" s="1312">
        <f t="shared" si="21"/>
        <v>0</v>
      </c>
      <c r="AH96" s="1312">
        <f>AI95*((1+'Instrumentos Financeiros'!$I$43)^(1/12)-1)</f>
        <v>0</v>
      </c>
      <c r="AI96" s="1312">
        <f t="shared" si="38"/>
        <v>0</v>
      </c>
      <c r="AJ96" s="1312">
        <f>IF(AND(C96&gt;$F$67,'Instrumentos Financeiros'!C96&lt;'Instrumentos Financeiros'!$F$67+'Instrumentos Financeiros'!$F$11+1),PMT(((1+'Instrumentos Financeiros'!$I$43)^(1/12)-1),$F$11,-$I$67),0)</f>
        <v>0</v>
      </c>
      <c r="AK96" s="1312">
        <f t="shared" si="22"/>
        <v>0</v>
      </c>
      <c r="AL96" s="1312">
        <f>AM95*((1+'Instrumentos Financeiros'!$I$43)^(1/12)-1)</f>
        <v>0</v>
      </c>
      <c r="AM96" s="1312">
        <f t="shared" si="39"/>
        <v>0</v>
      </c>
      <c r="AN96" s="1312">
        <f>IF(AND(C96&gt;$F$68,'Instrumentos Financeiros'!C96&lt;'Instrumentos Financeiros'!$F$68+'Instrumentos Financeiros'!$F$11+1),PMT(((1+'Instrumentos Financeiros'!$I$43)^(1/12)-1),$F$11,-$I$68),0)</f>
        <v>0</v>
      </c>
      <c r="AO96" s="1312">
        <f t="shared" si="23"/>
        <v>0</v>
      </c>
      <c r="AP96" s="1312">
        <f>AQ95*((1+'Instrumentos Financeiros'!$I$43)^(1/12)-1)</f>
        <v>0</v>
      </c>
      <c r="AQ96" s="1312">
        <f t="shared" si="40"/>
        <v>0</v>
      </c>
      <c r="AR96" s="1312">
        <f>IF(AND(C96&gt;$F$69,'Instrumentos Financeiros'!C96&lt;'Instrumentos Financeiros'!$F$69+'Instrumentos Financeiros'!$F$11+1),PMT(((1+'Instrumentos Financeiros'!$I$43)^(1/12)-1),$F$11,-$I$69),0)</f>
        <v>0</v>
      </c>
      <c r="AS96" s="1312">
        <f t="shared" si="24"/>
        <v>0</v>
      </c>
      <c r="AT96" s="1312">
        <f>AU95*((1+'Instrumentos Financeiros'!$I$43)^(1/12)-1)</f>
        <v>0</v>
      </c>
      <c r="AU96" s="1312">
        <f t="shared" si="41"/>
        <v>0</v>
      </c>
      <c r="AV96" s="1312">
        <f>IF(AND(C96&gt;$F$70,'Instrumentos Financeiros'!C96&lt;'Instrumentos Financeiros'!$F$70+'Instrumentos Financeiros'!$F$11+1),PMT(((1+'Instrumentos Financeiros'!$J$43)^(1/12)-1),$F$11,-$I$70),0)</f>
        <v>0</v>
      </c>
      <c r="AW96" s="1312">
        <f t="shared" si="25"/>
        <v>0</v>
      </c>
      <c r="AX96" s="1312">
        <f>AY95*((1+'Instrumentos Financeiros'!$J$43)^(1/12)-1)</f>
        <v>0</v>
      </c>
      <c r="AY96" s="1312">
        <f t="shared" si="42"/>
        <v>0</v>
      </c>
      <c r="AZ96" s="1312">
        <f>IF(AND(C96&gt;$F$71,'Instrumentos Financeiros'!C96&lt;'Instrumentos Financeiros'!$F$71+'Instrumentos Financeiros'!$F$11+1),PMT(((1+'Instrumentos Financeiros'!$J$43)^(1/12)-1),$F$11,-$I$71),0)</f>
        <v>0</v>
      </c>
      <c r="BA96" s="1312">
        <f t="shared" si="26"/>
        <v>0</v>
      </c>
      <c r="BB96" s="1312">
        <f>BC95*((1+'Instrumentos Financeiros'!$J$43)^(1/12)-1)</f>
        <v>0</v>
      </c>
      <c r="BC96" s="1312">
        <f t="shared" si="43"/>
        <v>0</v>
      </c>
      <c r="BD96" s="1312">
        <f>IF(AND(C96&gt;$F$72,'Instrumentos Financeiros'!C96&lt;'Instrumentos Financeiros'!$F$72+'Instrumentos Financeiros'!$F$11+1),PMT(((1+'Instrumentos Financeiros'!$J$43)^(1/12)-1),$F$11,-'Instrumentos Financeiros'!$G$7*$G$72),0)</f>
        <v>0</v>
      </c>
      <c r="BE96" s="1312">
        <f t="shared" si="27"/>
        <v>0</v>
      </c>
      <c r="BF96" s="1312">
        <f>BG95*((1+'Instrumentos Financeiros'!$J$43)^(1/12)-1)</f>
        <v>0</v>
      </c>
      <c r="BG96" s="1312">
        <f t="shared" si="44"/>
        <v>0</v>
      </c>
      <c r="BH96" s="1312">
        <f>IF(AND(C96&gt;$F$73,'Instrumentos Financeiros'!C96&lt;'Instrumentos Financeiros'!$F$73+'Instrumentos Financeiros'!$F$11+1),PMT(((1+'Instrumentos Financeiros'!$J$43)^(1/12)-1),$F$11,-$I$73),0)</f>
        <v>0</v>
      </c>
      <c r="BI96" s="1312">
        <f t="shared" si="28"/>
        <v>0</v>
      </c>
      <c r="BJ96" s="1312">
        <f>BK95*((1+'Instrumentos Financeiros'!$J$43)^(1/12)-1)</f>
        <v>0</v>
      </c>
      <c r="BK96" s="1312">
        <f t="shared" si="45"/>
        <v>0</v>
      </c>
      <c r="BL96" s="1312">
        <f>IF(AND(C96&gt;$F$77,'Instrumentos Financeiros'!C96&lt;'Instrumentos Financeiros'!$F$77+'Instrumentos Financeiros'!$F$12+1),PMT(((1+'Instrumentos Financeiros'!$K$43)^(1/12)-1),$F$12,-$I$77),0)</f>
        <v>0</v>
      </c>
      <c r="BM96" s="1312">
        <f t="shared" si="46"/>
        <v>0</v>
      </c>
      <c r="BN96" s="1312">
        <f>BO95*((1+'Instrumentos Financeiros'!$K$43)^(1/12)-1)</f>
        <v>0</v>
      </c>
      <c r="BO96" s="1312">
        <f t="shared" si="47"/>
        <v>0</v>
      </c>
      <c r="BP96" s="1312">
        <f>IF(AND(C96&gt;$F$78,'Instrumentos Financeiros'!C96&lt;'Instrumentos Financeiros'!$F$78+'Instrumentos Financeiros'!$F$12+1),PMT(((1+'Instrumentos Financeiros'!$L$43)^(1/12)-1),$F$12,-$I$78),0)</f>
        <v>0</v>
      </c>
      <c r="BQ96" s="1312">
        <f t="shared" si="48"/>
        <v>0</v>
      </c>
      <c r="BR96" s="1312">
        <f>BS95*((1+'Instrumentos Financeiros'!$L$43)^(1/12)-1)</f>
        <v>0</v>
      </c>
      <c r="BS96" s="1312">
        <f t="shared" si="49"/>
        <v>0</v>
      </c>
      <c r="BT96" s="1312">
        <f>IF(AND(C96&gt;$F$79,'Instrumentos Financeiros'!C96&lt;'Instrumentos Financeiros'!$F$79+'Instrumentos Financeiros'!$F$12+1),PMT(((1+'Instrumentos Financeiros'!$L$43)^(1/12)-1),$F$12,-$I$79),0)</f>
        <v>0</v>
      </c>
      <c r="BU96" s="1312">
        <f t="shared" si="50"/>
        <v>0</v>
      </c>
      <c r="BV96" s="1312">
        <f>BW95*((1+'Instrumentos Financeiros'!$L$43)^(1/12)-1)</f>
        <v>0</v>
      </c>
      <c r="BW96" s="1312">
        <f t="shared" si="51"/>
        <v>0</v>
      </c>
      <c r="BX96" s="1312">
        <f>IF(AND(C96&gt;$F$80,'Instrumentos Financeiros'!C96&lt;'Instrumentos Financeiros'!$F$80+'Instrumentos Financeiros'!$F$12+1),PMT(((1+'Instrumentos Financeiros'!$L$43)^(1/12)-1),$F$12,-$I$80),0)</f>
        <v>0</v>
      </c>
      <c r="BY96" s="1312">
        <f t="shared" si="52"/>
        <v>0</v>
      </c>
      <c r="BZ96" s="1312">
        <f>CA95*((1+'Instrumentos Financeiros'!$L$43)^(1/12)-1)</f>
        <v>0</v>
      </c>
      <c r="CA96" s="1312">
        <f t="shared" si="53"/>
        <v>0</v>
      </c>
      <c r="CB96" s="1312">
        <f>IF(AND(C96&gt;$F$83,'Instrumentos Financeiros'!C96&lt;'Instrumentos Financeiros'!$F$83+'Instrumentos Financeiros'!$F$13+1),PMT(((1+'Instrumentos Financeiros'!$P$43)^(1/12)-1),$F$13,-$I$83),0)</f>
        <v>0</v>
      </c>
      <c r="CC96" s="1312">
        <f t="shared" si="54"/>
        <v>0</v>
      </c>
      <c r="CD96" s="1312">
        <f>CE95*((1+'Instrumentos Financeiros'!$P$43)^(1/12)-1)</f>
        <v>0</v>
      </c>
      <c r="CE96" s="1312">
        <f t="shared" si="55"/>
        <v>0</v>
      </c>
      <c r="CF96" s="1312">
        <f>IF(AND(C96&gt;$F$84,'Instrumentos Financeiros'!C96&lt;'Instrumentos Financeiros'!$F$84+'Instrumentos Financeiros'!$F$13+1),PMT(((1+'Instrumentos Financeiros'!$Q$43)^(1/12)-1),$F$13,-$I$84),0)</f>
        <v>0</v>
      </c>
      <c r="CG96" s="1312">
        <f t="shared" si="56"/>
        <v>0</v>
      </c>
      <c r="CH96" s="1312">
        <f>CI95*((1+'Instrumentos Financeiros'!$Q$43)^(1/12)-1)</f>
        <v>0</v>
      </c>
      <c r="CI96" s="1312">
        <f t="shared" si="57"/>
        <v>0</v>
      </c>
      <c r="CJ96" s="1312">
        <f>IF(AND(C96&gt;$F$85,'Instrumentos Financeiros'!C96&lt;'Instrumentos Financeiros'!$F$85+'Instrumentos Financeiros'!$F$13+1),PMT(((1+'Instrumentos Financeiros'!$Q$43)^(1/12)-1),$F$13,-$I$85),0)</f>
        <v>0</v>
      </c>
      <c r="CK96" s="1312">
        <f t="shared" si="58"/>
        <v>0</v>
      </c>
      <c r="CL96" s="1312">
        <f>CM95*((1+'Instrumentos Financeiros'!$Q$43)^(1/12)-1)</f>
        <v>0</v>
      </c>
      <c r="CM96" s="1312">
        <f t="shared" si="59"/>
        <v>0</v>
      </c>
      <c r="CN96" s="1312">
        <f>IF(AND(C96&gt;$F$86,'Instrumentos Financeiros'!C96&lt;'Instrumentos Financeiros'!$F$86+'Instrumentos Financeiros'!$F$13+1),PMT(((1+'Instrumentos Financeiros'!$Q$43)^(1/12)-1),$F$13,-$I$86),0)</f>
        <v>0</v>
      </c>
      <c r="CO96" s="1312">
        <f t="shared" si="60"/>
        <v>0</v>
      </c>
      <c r="CP96" s="1312">
        <f>CQ95*((1+'Instrumentos Financeiros'!$Q$43)^(1/12)-1)</f>
        <v>0</v>
      </c>
      <c r="CQ96" s="1312">
        <f t="shared" si="61"/>
        <v>0</v>
      </c>
      <c r="CR96" s="1312">
        <f t="shared" si="29"/>
        <v>0</v>
      </c>
      <c r="CS96" s="1312">
        <f t="shared" si="29"/>
        <v>0</v>
      </c>
      <c r="CT96" s="1312">
        <f t="shared" si="29"/>
        <v>0</v>
      </c>
      <c r="CU96" s="1312">
        <f t="shared" si="29"/>
        <v>0</v>
      </c>
    </row>
    <row r="97" spans="3:99" x14ac:dyDescent="0.35">
      <c r="C97" s="1315">
        <f t="shared" si="30"/>
        <v>4</v>
      </c>
      <c r="D97" s="1312">
        <f>IF(AND(C97&gt;$F$59,'Instrumentos Financeiros'!C97&lt;'Instrumentos Financeiros'!$F$59+'Instrumentos Financeiros'!$F$11+1),PMT(((1+'Instrumentos Financeiros'!$G$43)^(1/12)-1),$F$11,-$I$59),0)</f>
        <v>0</v>
      </c>
      <c r="E97" s="1312">
        <f t="shared" si="14"/>
        <v>0</v>
      </c>
      <c r="F97" s="1312">
        <f>G96*((1+'Instrumentos Financeiros'!$G$43)^(1/12)-1)</f>
        <v>0</v>
      </c>
      <c r="G97" s="1312">
        <f t="shared" si="31"/>
        <v>0</v>
      </c>
      <c r="H97" s="1312">
        <f>IF(AND(C97&gt;$F$60,'Instrumentos Financeiros'!C97&lt;'Instrumentos Financeiros'!$F$60+'Instrumentos Financeiros'!$F$11+1),PMT(((1+'Instrumentos Financeiros'!$G$43)^(1/12)-1),$F$11,-$I$60),0)</f>
        <v>0</v>
      </c>
      <c r="I97" s="1312">
        <f t="shared" si="15"/>
        <v>0</v>
      </c>
      <c r="J97" s="1312">
        <f>K96*((1+'Instrumentos Financeiros'!$G$43)^(1/12)-1)</f>
        <v>0</v>
      </c>
      <c r="K97" s="1312">
        <f t="shared" si="32"/>
        <v>0</v>
      </c>
      <c r="L97" s="1312">
        <f>IF(AND(C97&gt;$F$61,'Instrumentos Financeiros'!C97&lt;'Instrumentos Financeiros'!$F$61+'Instrumentos Financeiros'!$F$11+1),PMT(((1+'Instrumentos Financeiros'!$G$43)^(1/12)-1),$F$11,-$I$61),0)</f>
        <v>0</v>
      </c>
      <c r="M97" s="1312">
        <f t="shared" si="16"/>
        <v>0</v>
      </c>
      <c r="N97" s="1312">
        <f>O96*((1+'Instrumentos Financeiros'!$G$43)^(1/12)-1)</f>
        <v>0</v>
      </c>
      <c r="O97" s="1312">
        <f t="shared" si="33"/>
        <v>0</v>
      </c>
      <c r="P97" s="1312">
        <f>IF(AND(C97&gt;$F$62,'Instrumentos Financeiros'!C97&lt;'Instrumentos Financeiros'!$F$62+'Instrumentos Financeiros'!$F$11+1),PMT(((1+'Instrumentos Financeiros'!$H$43)^(1/12)-1),$F$11,-$I$62),0)</f>
        <v>0</v>
      </c>
      <c r="Q97" s="1312">
        <f t="shared" si="17"/>
        <v>0</v>
      </c>
      <c r="R97" s="1312">
        <f>S96*((1+'Instrumentos Financeiros'!$H$43)^(1/12)-1)</f>
        <v>0</v>
      </c>
      <c r="S97" s="1312">
        <f t="shared" si="34"/>
        <v>0</v>
      </c>
      <c r="T97" s="1312">
        <f>IF(AND(C97&gt;$F$63,'Instrumentos Financeiros'!C97&lt;'Instrumentos Financeiros'!$F$63+'Instrumentos Financeiros'!$F$11+1),PMT(((1+'Instrumentos Financeiros'!$H$43)^(1/12)-1),$F$11,-$I$63),0)</f>
        <v>0</v>
      </c>
      <c r="U97" s="1312">
        <f t="shared" si="18"/>
        <v>0</v>
      </c>
      <c r="V97" s="1312">
        <f>W96*((1+'Instrumentos Financeiros'!$H$43)^(1/12)-1)</f>
        <v>0</v>
      </c>
      <c r="W97" s="1312">
        <f t="shared" si="35"/>
        <v>0</v>
      </c>
      <c r="X97" s="1312">
        <f>IF(AND(C97&gt;$F$64,'Instrumentos Financeiros'!C97&lt;'Instrumentos Financeiros'!$F$64+'Instrumentos Financeiros'!$F$11+1),PMT(((1+'Instrumentos Financeiros'!$H$43)^(1/12)-1),$F$11,-$I$64),0)</f>
        <v>0</v>
      </c>
      <c r="Y97" s="1312">
        <f t="shared" si="19"/>
        <v>0</v>
      </c>
      <c r="Z97" s="1312">
        <f>AA96*((1+'Instrumentos Financeiros'!$H$43)^(1/12)-1)</f>
        <v>0</v>
      </c>
      <c r="AA97" s="1312">
        <f t="shared" si="36"/>
        <v>0</v>
      </c>
      <c r="AB97" s="1312">
        <f>IF(AND(C97&gt;$F$65,'Instrumentos Financeiros'!C97&lt;'Instrumentos Financeiros'!$F$65+'Instrumentos Financeiros'!$F$11+1),PMT(((1+'Instrumentos Financeiros'!$H$43)^(1/12)-1),$F$11,-$I$65),0)</f>
        <v>0</v>
      </c>
      <c r="AC97" s="1312">
        <f t="shared" si="20"/>
        <v>0</v>
      </c>
      <c r="AD97" s="1312">
        <f>AE96*((1+'Instrumentos Financeiros'!$H$43)^(1/12)-1)</f>
        <v>0</v>
      </c>
      <c r="AE97" s="1312">
        <f t="shared" si="37"/>
        <v>0</v>
      </c>
      <c r="AF97" s="1312">
        <f>IF(AND(C97&gt;$F$66,'Instrumentos Financeiros'!C97&lt;'Instrumentos Financeiros'!$F$66+'Instrumentos Financeiros'!$F$11+1),PMT(((1+'Instrumentos Financeiros'!$I$43)^(1/12)-1),$F$11,-$I$66),0)</f>
        <v>0</v>
      </c>
      <c r="AG97" s="1312">
        <f t="shared" si="21"/>
        <v>0</v>
      </c>
      <c r="AH97" s="1312">
        <f>AI96*((1+'Instrumentos Financeiros'!$I$43)^(1/12)-1)</f>
        <v>0</v>
      </c>
      <c r="AI97" s="1312">
        <f t="shared" si="38"/>
        <v>0</v>
      </c>
      <c r="AJ97" s="1312">
        <f>IF(AND(C97&gt;$F$67,'Instrumentos Financeiros'!C97&lt;'Instrumentos Financeiros'!$F$67+'Instrumentos Financeiros'!$F$11+1),PMT(((1+'Instrumentos Financeiros'!$I$43)^(1/12)-1),$F$11,-$I$67),0)</f>
        <v>0</v>
      </c>
      <c r="AK97" s="1312">
        <f t="shared" si="22"/>
        <v>0</v>
      </c>
      <c r="AL97" s="1312">
        <f>AM96*((1+'Instrumentos Financeiros'!$I$43)^(1/12)-1)</f>
        <v>0</v>
      </c>
      <c r="AM97" s="1312">
        <f t="shared" si="39"/>
        <v>0</v>
      </c>
      <c r="AN97" s="1312">
        <f>IF(AND(C97&gt;$F$68,'Instrumentos Financeiros'!C97&lt;'Instrumentos Financeiros'!$F$68+'Instrumentos Financeiros'!$F$11+1),PMT(((1+'Instrumentos Financeiros'!$I$43)^(1/12)-1),$F$11,-$I$68),0)</f>
        <v>0</v>
      </c>
      <c r="AO97" s="1312">
        <f t="shared" si="23"/>
        <v>0</v>
      </c>
      <c r="AP97" s="1312">
        <f>AQ96*((1+'Instrumentos Financeiros'!$I$43)^(1/12)-1)</f>
        <v>0</v>
      </c>
      <c r="AQ97" s="1312">
        <f t="shared" si="40"/>
        <v>0</v>
      </c>
      <c r="AR97" s="1312">
        <f>IF(AND(C97&gt;$F$69,'Instrumentos Financeiros'!C97&lt;'Instrumentos Financeiros'!$F$69+'Instrumentos Financeiros'!$F$11+1),PMT(((1+'Instrumentos Financeiros'!$I$43)^(1/12)-1),$F$11,-$I$69),0)</f>
        <v>0</v>
      </c>
      <c r="AS97" s="1312">
        <f t="shared" si="24"/>
        <v>0</v>
      </c>
      <c r="AT97" s="1312">
        <f>AU96*((1+'Instrumentos Financeiros'!$I$43)^(1/12)-1)</f>
        <v>0</v>
      </c>
      <c r="AU97" s="1312">
        <f t="shared" si="41"/>
        <v>0</v>
      </c>
      <c r="AV97" s="1312">
        <f>IF(AND(C97&gt;$F$70,'Instrumentos Financeiros'!C97&lt;'Instrumentos Financeiros'!$F$70+'Instrumentos Financeiros'!$F$11+1),PMT(((1+'Instrumentos Financeiros'!$J$43)^(1/12)-1),$F$11,-$I$70),0)</f>
        <v>0</v>
      </c>
      <c r="AW97" s="1312">
        <f t="shared" si="25"/>
        <v>0</v>
      </c>
      <c r="AX97" s="1312">
        <f>AY96*((1+'Instrumentos Financeiros'!$J$43)^(1/12)-1)</f>
        <v>0</v>
      </c>
      <c r="AY97" s="1312">
        <f t="shared" si="42"/>
        <v>0</v>
      </c>
      <c r="AZ97" s="1312">
        <f>IF(AND(C97&gt;$F$71,'Instrumentos Financeiros'!C97&lt;'Instrumentos Financeiros'!$F$71+'Instrumentos Financeiros'!$F$11+1),PMT(((1+'Instrumentos Financeiros'!$J$43)^(1/12)-1),$F$11,-$I$71),0)</f>
        <v>0</v>
      </c>
      <c r="BA97" s="1312">
        <f t="shared" si="26"/>
        <v>0</v>
      </c>
      <c r="BB97" s="1312">
        <f>BC96*((1+'Instrumentos Financeiros'!$J$43)^(1/12)-1)</f>
        <v>0</v>
      </c>
      <c r="BC97" s="1312">
        <f t="shared" si="43"/>
        <v>0</v>
      </c>
      <c r="BD97" s="1312">
        <f>IF(AND(C97&gt;$F$72,'Instrumentos Financeiros'!C97&lt;'Instrumentos Financeiros'!$F$72+'Instrumentos Financeiros'!$F$11+1),PMT(((1+'Instrumentos Financeiros'!$J$43)^(1/12)-1),$F$11,-'Instrumentos Financeiros'!$G$7*$G$72),0)</f>
        <v>0</v>
      </c>
      <c r="BE97" s="1312">
        <f t="shared" si="27"/>
        <v>0</v>
      </c>
      <c r="BF97" s="1312">
        <f>BG96*((1+'Instrumentos Financeiros'!$J$43)^(1/12)-1)</f>
        <v>0</v>
      </c>
      <c r="BG97" s="1312">
        <f t="shared" si="44"/>
        <v>0</v>
      </c>
      <c r="BH97" s="1312">
        <f>IF(AND(C97&gt;$F$73,'Instrumentos Financeiros'!C97&lt;'Instrumentos Financeiros'!$F$73+'Instrumentos Financeiros'!$F$11+1),PMT(((1+'Instrumentos Financeiros'!$J$43)^(1/12)-1),$F$11,-$I$73),0)</f>
        <v>0</v>
      </c>
      <c r="BI97" s="1312">
        <f t="shared" si="28"/>
        <v>0</v>
      </c>
      <c r="BJ97" s="1312">
        <f>BK96*((1+'Instrumentos Financeiros'!$J$43)^(1/12)-1)</f>
        <v>0</v>
      </c>
      <c r="BK97" s="1312">
        <f t="shared" si="45"/>
        <v>0</v>
      </c>
      <c r="BL97" s="1312">
        <f>IF(AND(C97&gt;$F$77,'Instrumentos Financeiros'!C97&lt;'Instrumentos Financeiros'!$F$77+'Instrumentos Financeiros'!$F$12+1),PMT(((1+'Instrumentos Financeiros'!$K$43)^(1/12)-1),$F$12,-$I$77),0)</f>
        <v>0</v>
      </c>
      <c r="BM97" s="1312">
        <f t="shared" si="46"/>
        <v>0</v>
      </c>
      <c r="BN97" s="1312">
        <f>BO96*((1+'Instrumentos Financeiros'!$K$43)^(1/12)-1)</f>
        <v>0</v>
      </c>
      <c r="BO97" s="1312">
        <f t="shared" si="47"/>
        <v>0</v>
      </c>
      <c r="BP97" s="1312">
        <f>IF(AND(C97&gt;$F$78,'Instrumentos Financeiros'!C97&lt;'Instrumentos Financeiros'!$F$78+'Instrumentos Financeiros'!$F$12+1),PMT(((1+'Instrumentos Financeiros'!$L$43)^(1/12)-1),$F$12,-$I$78),0)</f>
        <v>0</v>
      </c>
      <c r="BQ97" s="1312">
        <f t="shared" si="48"/>
        <v>0</v>
      </c>
      <c r="BR97" s="1312">
        <f>BS96*((1+'Instrumentos Financeiros'!$L$43)^(1/12)-1)</f>
        <v>0</v>
      </c>
      <c r="BS97" s="1312">
        <f t="shared" si="49"/>
        <v>0</v>
      </c>
      <c r="BT97" s="1312">
        <f>IF(AND(C97&gt;$F$79,'Instrumentos Financeiros'!C97&lt;'Instrumentos Financeiros'!$F$79+'Instrumentos Financeiros'!$F$12+1),PMT(((1+'Instrumentos Financeiros'!$L$43)^(1/12)-1),$F$12,-$I$79),0)</f>
        <v>0</v>
      </c>
      <c r="BU97" s="1312">
        <f t="shared" si="50"/>
        <v>0</v>
      </c>
      <c r="BV97" s="1312">
        <f>BW96*((1+'Instrumentos Financeiros'!$L$43)^(1/12)-1)</f>
        <v>0</v>
      </c>
      <c r="BW97" s="1312">
        <f t="shared" si="51"/>
        <v>0</v>
      </c>
      <c r="BX97" s="1312">
        <f>IF(AND(C97&gt;$F$80,'Instrumentos Financeiros'!C97&lt;'Instrumentos Financeiros'!$F$80+'Instrumentos Financeiros'!$F$12+1),PMT(((1+'Instrumentos Financeiros'!$L$43)^(1/12)-1),$F$12,-$I$80),0)</f>
        <v>0</v>
      </c>
      <c r="BY97" s="1312">
        <f t="shared" si="52"/>
        <v>0</v>
      </c>
      <c r="BZ97" s="1312">
        <f>CA96*((1+'Instrumentos Financeiros'!$L$43)^(1/12)-1)</f>
        <v>0</v>
      </c>
      <c r="CA97" s="1312">
        <f t="shared" si="53"/>
        <v>0</v>
      </c>
      <c r="CB97" s="1312">
        <f>IF(AND(C97&gt;$F$83,'Instrumentos Financeiros'!C97&lt;'Instrumentos Financeiros'!$F$83+'Instrumentos Financeiros'!$F$13+1),PMT(((1+'Instrumentos Financeiros'!$P$43)^(1/12)-1),$F$13,-$I$83),0)</f>
        <v>0</v>
      </c>
      <c r="CC97" s="1312">
        <f t="shared" si="54"/>
        <v>0</v>
      </c>
      <c r="CD97" s="1312">
        <f>CE96*((1+'Instrumentos Financeiros'!$P$43)^(1/12)-1)</f>
        <v>0</v>
      </c>
      <c r="CE97" s="1312">
        <f t="shared" si="55"/>
        <v>0</v>
      </c>
      <c r="CF97" s="1312">
        <f>IF(AND(C97&gt;$F$84,'Instrumentos Financeiros'!C97&lt;'Instrumentos Financeiros'!$F$84+'Instrumentos Financeiros'!$F$13+1),PMT(((1+'Instrumentos Financeiros'!$Q$43)^(1/12)-1),$F$13,-$I$84),0)</f>
        <v>0</v>
      </c>
      <c r="CG97" s="1312">
        <f t="shared" si="56"/>
        <v>0</v>
      </c>
      <c r="CH97" s="1312">
        <f>CI96*((1+'Instrumentos Financeiros'!$Q$43)^(1/12)-1)</f>
        <v>0</v>
      </c>
      <c r="CI97" s="1312">
        <f t="shared" si="57"/>
        <v>0</v>
      </c>
      <c r="CJ97" s="1312">
        <f>IF(AND(C97&gt;$F$85,'Instrumentos Financeiros'!C97&lt;'Instrumentos Financeiros'!$F$85+'Instrumentos Financeiros'!$F$13+1),PMT(((1+'Instrumentos Financeiros'!$Q$43)^(1/12)-1),$F$13,-$I$85),0)</f>
        <v>0</v>
      </c>
      <c r="CK97" s="1312">
        <f t="shared" si="58"/>
        <v>0</v>
      </c>
      <c r="CL97" s="1312">
        <f>CM96*((1+'Instrumentos Financeiros'!$Q$43)^(1/12)-1)</f>
        <v>0</v>
      </c>
      <c r="CM97" s="1312">
        <f t="shared" si="59"/>
        <v>0</v>
      </c>
      <c r="CN97" s="1312">
        <f>IF(AND(C97&gt;$F$86,'Instrumentos Financeiros'!C97&lt;'Instrumentos Financeiros'!$F$86+'Instrumentos Financeiros'!$F$13+1),PMT(((1+'Instrumentos Financeiros'!$Q$43)^(1/12)-1),$F$13,-$I$86),0)</f>
        <v>0</v>
      </c>
      <c r="CO97" s="1312">
        <f t="shared" si="60"/>
        <v>0</v>
      </c>
      <c r="CP97" s="1312">
        <f>CQ96*((1+'Instrumentos Financeiros'!$Q$43)^(1/12)-1)</f>
        <v>0</v>
      </c>
      <c r="CQ97" s="1312">
        <f t="shared" si="61"/>
        <v>0</v>
      </c>
      <c r="CR97" s="1312">
        <f t="shared" si="29"/>
        <v>0</v>
      </c>
      <c r="CS97" s="1312">
        <f t="shared" si="29"/>
        <v>0</v>
      </c>
      <c r="CT97" s="1312">
        <f t="shared" si="29"/>
        <v>0</v>
      </c>
      <c r="CU97" s="1312">
        <f t="shared" si="29"/>
        <v>0</v>
      </c>
    </row>
    <row r="98" spans="3:99" x14ac:dyDescent="0.35">
      <c r="C98" s="1315">
        <f t="shared" si="30"/>
        <v>5</v>
      </c>
      <c r="D98" s="1312">
        <f>IF(AND(C98&gt;$F$59,'Instrumentos Financeiros'!C98&lt;'Instrumentos Financeiros'!$F$59+'Instrumentos Financeiros'!$F$11+1),PMT(((1+'Instrumentos Financeiros'!$G$43)^(1/12)-1),$F$11,-$I$59),0)</f>
        <v>0</v>
      </c>
      <c r="E98" s="1312">
        <f t="shared" si="14"/>
        <v>0</v>
      </c>
      <c r="F98" s="1312">
        <f>G97*((1+'Instrumentos Financeiros'!$G$43)^(1/12)-1)</f>
        <v>0</v>
      </c>
      <c r="G98" s="1312">
        <f t="shared" si="31"/>
        <v>0</v>
      </c>
      <c r="H98" s="1312">
        <f>IF(AND(C98&gt;$F$60,'Instrumentos Financeiros'!C98&lt;'Instrumentos Financeiros'!$F$60+'Instrumentos Financeiros'!$F$11+1),PMT(((1+'Instrumentos Financeiros'!$G$43)^(1/12)-1),$F$11,-$I$60),0)</f>
        <v>0</v>
      </c>
      <c r="I98" s="1312">
        <f t="shared" si="15"/>
        <v>0</v>
      </c>
      <c r="J98" s="1312">
        <f>K97*((1+'Instrumentos Financeiros'!$G$43)^(1/12)-1)</f>
        <v>0</v>
      </c>
      <c r="K98" s="1312">
        <f t="shared" si="32"/>
        <v>0</v>
      </c>
      <c r="L98" s="1312">
        <f>IF(AND(C98&gt;$F$61,'Instrumentos Financeiros'!C98&lt;'Instrumentos Financeiros'!$F$61+'Instrumentos Financeiros'!$F$11+1),PMT(((1+'Instrumentos Financeiros'!$G$43)^(1/12)-1),$F$11,-$I$61),0)</f>
        <v>0</v>
      </c>
      <c r="M98" s="1312">
        <f t="shared" si="16"/>
        <v>0</v>
      </c>
      <c r="N98" s="1312">
        <f>O97*((1+'Instrumentos Financeiros'!$G$43)^(1/12)-1)</f>
        <v>0</v>
      </c>
      <c r="O98" s="1312">
        <f t="shared" si="33"/>
        <v>0</v>
      </c>
      <c r="P98" s="1312">
        <f>IF(AND(C98&gt;$F$62,'Instrumentos Financeiros'!C98&lt;'Instrumentos Financeiros'!$F$62+'Instrumentos Financeiros'!$F$11+1),PMT(((1+'Instrumentos Financeiros'!$H$43)^(1/12)-1),$F$11,-$I$62),0)</f>
        <v>0</v>
      </c>
      <c r="Q98" s="1312">
        <f t="shared" si="17"/>
        <v>0</v>
      </c>
      <c r="R98" s="1312">
        <f>S97*((1+'Instrumentos Financeiros'!$H$43)^(1/12)-1)</f>
        <v>0</v>
      </c>
      <c r="S98" s="1312">
        <f t="shared" si="34"/>
        <v>0</v>
      </c>
      <c r="T98" s="1312">
        <f>IF(AND(C98&gt;$F$63,'Instrumentos Financeiros'!C98&lt;'Instrumentos Financeiros'!$F$63+'Instrumentos Financeiros'!$F$11+1),PMT(((1+'Instrumentos Financeiros'!$H$43)^(1/12)-1),$F$11,-$I$63),0)</f>
        <v>0</v>
      </c>
      <c r="U98" s="1312">
        <f t="shared" si="18"/>
        <v>0</v>
      </c>
      <c r="V98" s="1312">
        <f>W97*((1+'Instrumentos Financeiros'!$H$43)^(1/12)-1)</f>
        <v>0</v>
      </c>
      <c r="W98" s="1312">
        <f t="shared" si="35"/>
        <v>0</v>
      </c>
      <c r="X98" s="1312">
        <f>IF(AND(C98&gt;$F$64,'Instrumentos Financeiros'!C98&lt;'Instrumentos Financeiros'!$F$64+'Instrumentos Financeiros'!$F$11+1),PMT(((1+'Instrumentos Financeiros'!$H$43)^(1/12)-1),$F$11,-$I$64),0)</f>
        <v>0</v>
      </c>
      <c r="Y98" s="1312">
        <f t="shared" si="19"/>
        <v>0</v>
      </c>
      <c r="Z98" s="1312">
        <f>AA97*((1+'Instrumentos Financeiros'!$H$43)^(1/12)-1)</f>
        <v>0</v>
      </c>
      <c r="AA98" s="1312">
        <f t="shared" si="36"/>
        <v>0</v>
      </c>
      <c r="AB98" s="1312">
        <f>IF(AND(C98&gt;$F$65,'Instrumentos Financeiros'!C98&lt;'Instrumentos Financeiros'!$F$65+'Instrumentos Financeiros'!$F$11+1),PMT(((1+'Instrumentos Financeiros'!$H$43)^(1/12)-1),$F$11,-$I$65),0)</f>
        <v>0</v>
      </c>
      <c r="AC98" s="1312">
        <f t="shared" si="20"/>
        <v>0</v>
      </c>
      <c r="AD98" s="1312">
        <f>AE97*((1+'Instrumentos Financeiros'!$H$43)^(1/12)-1)</f>
        <v>0</v>
      </c>
      <c r="AE98" s="1312">
        <f t="shared" si="37"/>
        <v>0</v>
      </c>
      <c r="AF98" s="1312">
        <f>IF(AND(C98&gt;$F$66,'Instrumentos Financeiros'!C98&lt;'Instrumentos Financeiros'!$F$66+'Instrumentos Financeiros'!$F$11+1),PMT(((1+'Instrumentos Financeiros'!$I$43)^(1/12)-1),$F$11,-$I$66),0)</f>
        <v>0</v>
      </c>
      <c r="AG98" s="1312">
        <f t="shared" si="21"/>
        <v>0</v>
      </c>
      <c r="AH98" s="1312">
        <f>AI97*((1+'Instrumentos Financeiros'!$I$43)^(1/12)-1)</f>
        <v>0</v>
      </c>
      <c r="AI98" s="1312">
        <f t="shared" si="38"/>
        <v>0</v>
      </c>
      <c r="AJ98" s="1312">
        <f>IF(AND(C98&gt;$F$67,'Instrumentos Financeiros'!C98&lt;'Instrumentos Financeiros'!$F$67+'Instrumentos Financeiros'!$F$11+1),PMT(((1+'Instrumentos Financeiros'!$I$43)^(1/12)-1),$F$11,-$I$67),0)</f>
        <v>0</v>
      </c>
      <c r="AK98" s="1312">
        <f t="shared" si="22"/>
        <v>0</v>
      </c>
      <c r="AL98" s="1312">
        <f>AM97*((1+'Instrumentos Financeiros'!$I$43)^(1/12)-1)</f>
        <v>0</v>
      </c>
      <c r="AM98" s="1312">
        <f t="shared" si="39"/>
        <v>0</v>
      </c>
      <c r="AN98" s="1312">
        <f>IF(AND(C98&gt;$F$68,'Instrumentos Financeiros'!C98&lt;'Instrumentos Financeiros'!$F$68+'Instrumentos Financeiros'!$F$11+1),PMT(((1+'Instrumentos Financeiros'!$I$43)^(1/12)-1),$F$11,-$I$68),0)</f>
        <v>0</v>
      </c>
      <c r="AO98" s="1312">
        <f t="shared" si="23"/>
        <v>0</v>
      </c>
      <c r="AP98" s="1312">
        <f>AQ97*((1+'Instrumentos Financeiros'!$I$43)^(1/12)-1)</f>
        <v>0</v>
      </c>
      <c r="AQ98" s="1312">
        <f t="shared" si="40"/>
        <v>0</v>
      </c>
      <c r="AR98" s="1312">
        <f>IF(AND(C98&gt;$F$69,'Instrumentos Financeiros'!C98&lt;'Instrumentos Financeiros'!$F$69+'Instrumentos Financeiros'!$F$11+1),PMT(((1+'Instrumentos Financeiros'!$I$43)^(1/12)-1),$F$11,-$I$69),0)</f>
        <v>0</v>
      </c>
      <c r="AS98" s="1312">
        <f t="shared" si="24"/>
        <v>0</v>
      </c>
      <c r="AT98" s="1312">
        <f>AU97*((1+'Instrumentos Financeiros'!$I$43)^(1/12)-1)</f>
        <v>0</v>
      </c>
      <c r="AU98" s="1312">
        <f t="shared" si="41"/>
        <v>0</v>
      </c>
      <c r="AV98" s="1312">
        <f>IF(AND(C98&gt;$F$70,'Instrumentos Financeiros'!C98&lt;'Instrumentos Financeiros'!$F$70+'Instrumentos Financeiros'!$F$11+1),PMT(((1+'Instrumentos Financeiros'!$J$43)^(1/12)-1),$F$11,-$I$70),0)</f>
        <v>0</v>
      </c>
      <c r="AW98" s="1312">
        <f t="shared" si="25"/>
        <v>0</v>
      </c>
      <c r="AX98" s="1312">
        <f>AY97*((1+'Instrumentos Financeiros'!$J$43)^(1/12)-1)</f>
        <v>0</v>
      </c>
      <c r="AY98" s="1312">
        <f t="shared" si="42"/>
        <v>0</v>
      </c>
      <c r="AZ98" s="1312">
        <f>IF(AND(C98&gt;$F$71,'Instrumentos Financeiros'!C98&lt;'Instrumentos Financeiros'!$F$71+'Instrumentos Financeiros'!$F$11+1),PMT(((1+'Instrumentos Financeiros'!$J$43)^(1/12)-1),$F$11,-$I$71),0)</f>
        <v>0</v>
      </c>
      <c r="BA98" s="1312">
        <f t="shared" si="26"/>
        <v>0</v>
      </c>
      <c r="BB98" s="1312">
        <f>BC97*((1+'Instrumentos Financeiros'!$J$43)^(1/12)-1)</f>
        <v>0</v>
      </c>
      <c r="BC98" s="1312">
        <f t="shared" si="43"/>
        <v>0</v>
      </c>
      <c r="BD98" s="1312">
        <f>IF(AND(C98&gt;$F$72,'Instrumentos Financeiros'!C98&lt;'Instrumentos Financeiros'!$F$72+'Instrumentos Financeiros'!$F$11+1),PMT(((1+'Instrumentos Financeiros'!$J$43)^(1/12)-1),$F$11,-'Instrumentos Financeiros'!$G$7*$G$72),0)</f>
        <v>0</v>
      </c>
      <c r="BE98" s="1312">
        <f t="shared" si="27"/>
        <v>0</v>
      </c>
      <c r="BF98" s="1312">
        <f>BG97*((1+'Instrumentos Financeiros'!$J$43)^(1/12)-1)</f>
        <v>0</v>
      </c>
      <c r="BG98" s="1312">
        <f t="shared" si="44"/>
        <v>0</v>
      </c>
      <c r="BH98" s="1312">
        <f>IF(AND(C98&gt;$F$73,'Instrumentos Financeiros'!C98&lt;'Instrumentos Financeiros'!$F$73+'Instrumentos Financeiros'!$F$11+1),PMT(((1+'Instrumentos Financeiros'!$J$43)^(1/12)-1),$F$11,-$I$73),0)</f>
        <v>0</v>
      </c>
      <c r="BI98" s="1312">
        <f t="shared" si="28"/>
        <v>0</v>
      </c>
      <c r="BJ98" s="1312">
        <f>BK97*((1+'Instrumentos Financeiros'!$J$43)^(1/12)-1)</f>
        <v>0</v>
      </c>
      <c r="BK98" s="1312">
        <f t="shared" si="45"/>
        <v>0</v>
      </c>
      <c r="BL98" s="1312">
        <f>IF(AND(C98&gt;$F$77,'Instrumentos Financeiros'!C98&lt;'Instrumentos Financeiros'!$F$77+'Instrumentos Financeiros'!$F$12+1),PMT(((1+'Instrumentos Financeiros'!$K$43)^(1/12)-1),$F$12,-$I$77),0)</f>
        <v>0</v>
      </c>
      <c r="BM98" s="1312">
        <f t="shared" si="46"/>
        <v>0</v>
      </c>
      <c r="BN98" s="1312">
        <f>BO97*((1+'Instrumentos Financeiros'!$K$43)^(1/12)-1)</f>
        <v>0</v>
      </c>
      <c r="BO98" s="1312">
        <f t="shared" si="47"/>
        <v>0</v>
      </c>
      <c r="BP98" s="1312">
        <f>IF(AND(C98&gt;$F$78,'Instrumentos Financeiros'!C98&lt;'Instrumentos Financeiros'!$F$78+'Instrumentos Financeiros'!$F$12+1),PMT(((1+'Instrumentos Financeiros'!$L$43)^(1/12)-1),$F$12,-$I$78),0)</f>
        <v>0</v>
      </c>
      <c r="BQ98" s="1312">
        <f t="shared" si="48"/>
        <v>0</v>
      </c>
      <c r="BR98" s="1312">
        <f>BS97*((1+'Instrumentos Financeiros'!$L$43)^(1/12)-1)</f>
        <v>0</v>
      </c>
      <c r="BS98" s="1312">
        <f t="shared" si="49"/>
        <v>0</v>
      </c>
      <c r="BT98" s="1312">
        <f>IF(AND(C98&gt;$F$79,'Instrumentos Financeiros'!C98&lt;'Instrumentos Financeiros'!$F$79+'Instrumentos Financeiros'!$F$12+1),PMT(((1+'Instrumentos Financeiros'!$L$43)^(1/12)-1),$F$12,-$I$79),0)</f>
        <v>0</v>
      </c>
      <c r="BU98" s="1312">
        <f t="shared" si="50"/>
        <v>0</v>
      </c>
      <c r="BV98" s="1312">
        <f>BW97*((1+'Instrumentos Financeiros'!$L$43)^(1/12)-1)</f>
        <v>0</v>
      </c>
      <c r="BW98" s="1312">
        <f t="shared" si="51"/>
        <v>0</v>
      </c>
      <c r="BX98" s="1312">
        <f>IF(AND(C98&gt;$F$80,'Instrumentos Financeiros'!C98&lt;'Instrumentos Financeiros'!$F$80+'Instrumentos Financeiros'!$F$12+1),PMT(((1+'Instrumentos Financeiros'!$L$43)^(1/12)-1),$F$12,-$I$80),0)</f>
        <v>0</v>
      </c>
      <c r="BY98" s="1312">
        <f t="shared" si="52"/>
        <v>0</v>
      </c>
      <c r="BZ98" s="1312">
        <f>CA97*((1+'Instrumentos Financeiros'!$L$43)^(1/12)-1)</f>
        <v>0</v>
      </c>
      <c r="CA98" s="1312">
        <f t="shared" si="53"/>
        <v>0</v>
      </c>
      <c r="CB98" s="1312">
        <f>IF(AND(C98&gt;$F$83,'Instrumentos Financeiros'!C98&lt;'Instrumentos Financeiros'!$F$83+'Instrumentos Financeiros'!$F$13+1),PMT(((1+'Instrumentos Financeiros'!$P$43)^(1/12)-1),$F$13,-$I$83),0)</f>
        <v>0</v>
      </c>
      <c r="CC98" s="1312">
        <f t="shared" si="54"/>
        <v>0</v>
      </c>
      <c r="CD98" s="1312">
        <f>CE97*((1+'Instrumentos Financeiros'!$P$43)^(1/12)-1)</f>
        <v>0</v>
      </c>
      <c r="CE98" s="1312">
        <f t="shared" si="55"/>
        <v>0</v>
      </c>
      <c r="CF98" s="1312">
        <f>IF(AND(C98&gt;$F$84,'Instrumentos Financeiros'!C98&lt;'Instrumentos Financeiros'!$F$84+'Instrumentos Financeiros'!$F$13+1),PMT(((1+'Instrumentos Financeiros'!$Q$43)^(1/12)-1),$F$13,-$I$84),0)</f>
        <v>0</v>
      </c>
      <c r="CG98" s="1312">
        <f t="shared" si="56"/>
        <v>0</v>
      </c>
      <c r="CH98" s="1312">
        <f>CI97*((1+'Instrumentos Financeiros'!$Q$43)^(1/12)-1)</f>
        <v>0</v>
      </c>
      <c r="CI98" s="1312">
        <f t="shared" si="57"/>
        <v>0</v>
      </c>
      <c r="CJ98" s="1312">
        <f>IF(AND(C98&gt;$F$85,'Instrumentos Financeiros'!C98&lt;'Instrumentos Financeiros'!$F$85+'Instrumentos Financeiros'!$F$13+1),PMT(((1+'Instrumentos Financeiros'!$Q$43)^(1/12)-1),$F$13,-$I$85),0)</f>
        <v>0</v>
      </c>
      <c r="CK98" s="1312">
        <f t="shared" si="58"/>
        <v>0</v>
      </c>
      <c r="CL98" s="1312">
        <f>CM97*((1+'Instrumentos Financeiros'!$Q$43)^(1/12)-1)</f>
        <v>0</v>
      </c>
      <c r="CM98" s="1312">
        <f t="shared" si="59"/>
        <v>0</v>
      </c>
      <c r="CN98" s="1312">
        <f>IF(AND(C98&gt;$F$86,'Instrumentos Financeiros'!C98&lt;'Instrumentos Financeiros'!$F$86+'Instrumentos Financeiros'!$F$13+1),PMT(((1+'Instrumentos Financeiros'!$Q$43)^(1/12)-1),$F$13,-$I$86),0)</f>
        <v>0</v>
      </c>
      <c r="CO98" s="1312">
        <f t="shared" si="60"/>
        <v>0</v>
      </c>
      <c r="CP98" s="1312">
        <f>CQ97*((1+'Instrumentos Financeiros'!$Q$43)^(1/12)-1)</f>
        <v>0</v>
      </c>
      <c r="CQ98" s="1312">
        <f t="shared" si="61"/>
        <v>0</v>
      </c>
      <c r="CR98" s="1312">
        <f t="shared" si="29"/>
        <v>0</v>
      </c>
      <c r="CS98" s="1312">
        <f t="shared" si="29"/>
        <v>0</v>
      </c>
      <c r="CT98" s="1312">
        <f t="shared" si="29"/>
        <v>0</v>
      </c>
      <c r="CU98" s="1312">
        <f t="shared" si="29"/>
        <v>0</v>
      </c>
    </row>
    <row r="99" spans="3:99" x14ac:dyDescent="0.35">
      <c r="C99" s="1315">
        <f t="shared" si="30"/>
        <v>6</v>
      </c>
      <c r="D99" s="1312">
        <f>IF(AND(C99&gt;$F$59,'Instrumentos Financeiros'!C99&lt;'Instrumentos Financeiros'!$F$59+'Instrumentos Financeiros'!$F$11+1),PMT(((1+'Instrumentos Financeiros'!$G$43)^(1/12)-1),$F$11,-$I$59),0)</f>
        <v>0</v>
      </c>
      <c r="E99" s="1312">
        <f t="shared" si="14"/>
        <v>0</v>
      </c>
      <c r="F99" s="1312">
        <f>G98*((1+'Instrumentos Financeiros'!$G$43)^(1/12)-1)</f>
        <v>0</v>
      </c>
      <c r="G99" s="1312">
        <f t="shared" si="31"/>
        <v>0</v>
      </c>
      <c r="H99" s="1312">
        <f>IF(AND(C99&gt;$F$60,'Instrumentos Financeiros'!C99&lt;'Instrumentos Financeiros'!$F$60+'Instrumentos Financeiros'!$F$11+1),PMT(((1+'Instrumentos Financeiros'!$G$43)^(1/12)-1),$F$11,-$I$60),0)</f>
        <v>0</v>
      </c>
      <c r="I99" s="1312">
        <f t="shared" si="15"/>
        <v>0</v>
      </c>
      <c r="J99" s="1312">
        <f>K98*((1+'Instrumentos Financeiros'!$G$43)^(1/12)-1)</f>
        <v>0</v>
      </c>
      <c r="K99" s="1312">
        <f t="shared" si="32"/>
        <v>0</v>
      </c>
      <c r="L99" s="1312">
        <f>IF(AND(C99&gt;$F$61,'Instrumentos Financeiros'!C99&lt;'Instrumentos Financeiros'!$F$61+'Instrumentos Financeiros'!$F$11+1),PMT(((1+'Instrumentos Financeiros'!$G$43)^(1/12)-1),$F$11,-$I$61),0)</f>
        <v>0</v>
      </c>
      <c r="M99" s="1312">
        <f t="shared" si="16"/>
        <v>0</v>
      </c>
      <c r="N99" s="1312">
        <f>O98*((1+'Instrumentos Financeiros'!$G$43)^(1/12)-1)</f>
        <v>0</v>
      </c>
      <c r="O99" s="1312">
        <f t="shared" si="33"/>
        <v>0</v>
      </c>
      <c r="P99" s="1312">
        <f>IF(AND(C99&gt;$F$62,'Instrumentos Financeiros'!C99&lt;'Instrumentos Financeiros'!$F$62+'Instrumentos Financeiros'!$F$11+1),PMT(((1+'Instrumentos Financeiros'!$H$43)^(1/12)-1),$F$11,-$I$62),0)</f>
        <v>0</v>
      </c>
      <c r="Q99" s="1312">
        <f t="shared" si="17"/>
        <v>0</v>
      </c>
      <c r="R99" s="1312">
        <f>S98*((1+'Instrumentos Financeiros'!$H$43)^(1/12)-1)</f>
        <v>0</v>
      </c>
      <c r="S99" s="1312">
        <f t="shared" si="34"/>
        <v>0</v>
      </c>
      <c r="T99" s="1312">
        <f>IF(AND(C99&gt;$F$63,'Instrumentos Financeiros'!C99&lt;'Instrumentos Financeiros'!$F$63+'Instrumentos Financeiros'!$F$11+1),PMT(((1+'Instrumentos Financeiros'!$H$43)^(1/12)-1),$F$11,-$I$63),0)</f>
        <v>0</v>
      </c>
      <c r="U99" s="1312">
        <f t="shared" si="18"/>
        <v>0</v>
      </c>
      <c r="V99" s="1312">
        <f>W98*((1+'Instrumentos Financeiros'!$H$43)^(1/12)-1)</f>
        <v>0</v>
      </c>
      <c r="W99" s="1312">
        <f t="shared" si="35"/>
        <v>0</v>
      </c>
      <c r="X99" s="1312">
        <f>IF(AND(C99&gt;$F$64,'Instrumentos Financeiros'!C99&lt;'Instrumentos Financeiros'!$F$64+'Instrumentos Financeiros'!$F$11+1),PMT(((1+'Instrumentos Financeiros'!$H$43)^(1/12)-1),$F$11,-$I$64),0)</f>
        <v>0</v>
      </c>
      <c r="Y99" s="1312">
        <f t="shared" si="19"/>
        <v>0</v>
      </c>
      <c r="Z99" s="1312">
        <f>AA98*((1+'Instrumentos Financeiros'!$H$43)^(1/12)-1)</f>
        <v>0</v>
      </c>
      <c r="AA99" s="1312">
        <f t="shared" si="36"/>
        <v>0</v>
      </c>
      <c r="AB99" s="1312">
        <f>IF(AND(C99&gt;$F$65,'Instrumentos Financeiros'!C99&lt;'Instrumentos Financeiros'!$F$65+'Instrumentos Financeiros'!$F$11+1),PMT(((1+'Instrumentos Financeiros'!$H$43)^(1/12)-1),$F$11,-$I$65),0)</f>
        <v>0</v>
      </c>
      <c r="AC99" s="1312">
        <f t="shared" si="20"/>
        <v>0</v>
      </c>
      <c r="AD99" s="1312">
        <f>AE98*((1+'Instrumentos Financeiros'!$H$43)^(1/12)-1)</f>
        <v>0</v>
      </c>
      <c r="AE99" s="1312">
        <f t="shared" si="37"/>
        <v>0</v>
      </c>
      <c r="AF99" s="1312">
        <f>IF(AND(C99&gt;$F$66,'Instrumentos Financeiros'!C99&lt;'Instrumentos Financeiros'!$F$66+'Instrumentos Financeiros'!$F$11+1),PMT(((1+'Instrumentos Financeiros'!$I$43)^(1/12)-1),$F$11,-$I$66),0)</f>
        <v>0</v>
      </c>
      <c r="AG99" s="1312">
        <f t="shared" si="21"/>
        <v>0</v>
      </c>
      <c r="AH99" s="1312">
        <f>AI98*((1+'Instrumentos Financeiros'!$I$43)^(1/12)-1)</f>
        <v>0</v>
      </c>
      <c r="AI99" s="1312">
        <f t="shared" si="38"/>
        <v>0</v>
      </c>
      <c r="AJ99" s="1312">
        <f>IF(AND(C99&gt;$F$67,'Instrumentos Financeiros'!C99&lt;'Instrumentos Financeiros'!$F$67+'Instrumentos Financeiros'!$F$11+1),PMT(((1+'Instrumentos Financeiros'!$I$43)^(1/12)-1),$F$11,-$I$67),0)</f>
        <v>0</v>
      </c>
      <c r="AK99" s="1312">
        <f t="shared" si="22"/>
        <v>0</v>
      </c>
      <c r="AL99" s="1312">
        <f>AM98*((1+'Instrumentos Financeiros'!$I$43)^(1/12)-1)</f>
        <v>0</v>
      </c>
      <c r="AM99" s="1312">
        <f t="shared" si="39"/>
        <v>0</v>
      </c>
      <c r="AN99" s="1312">
        <f>IF(AND(C99&gt;$F$68,'Instrumentos Financeiros'!C99&lt;'Instrumentos Financeiros'!$F$68+'Instrumentos Financeiros'!$F$11+1),PMT(((1+'Instrumentos Financeiros'!$I$43)^(1/12)-1),$F$11,-$I$68),0)</f>
        <v>0</v>
      </c>
      <c r="AO99" s="1312">
        <f t="shared" si="23"/>
        <v>0</v>
      </c>
      <c r="AP99" s="1312">
        <f>AQ98*((1+'Instrumentos Financeiros'!$I$43)^(1/12)-1)</f>
        <v>0</v>
      </c>
      <c r="AQ99" s="1312">
        <f t="shared" si="40"/>
        <v>0</v>
      </c>
      <c r="AR99" s="1312">
        <f>IF(AND(C99&gt;$F$69,'Instrumentos Financeiros'!C99&lt;'Instrumentos Financeiros'!$F$69+'Instrumentos Financeiros'!$F$11+1),PMT(((1+'Instrumentos Financeiros'!$I$43)^(1/12)-1),$F$11,-$I$69),0)</f>
        <v>0</v>
      </c>
      <c r="AS99" s="1312">
        <f t="shared" si="24"/>
        <v>0</v>
      </c>
      <c r="AT99" s="1312">
        <f>AU98*((1+'Instrumentos Financeiros'!$I$43)^(1/12)-1)</f>
        <v>0</v>
      </c>
      <c r="AU99" s="1312">
        <f t="shared" si="41"/>
        <v>0</v>
      </c>
      <c r="AV99" s="1312">
        <f>IF(AND(C99&gt;$F$70,'Instrumentos Financeiros'!C99&lt;'Instrumentos Financeiros'!$F$70+'Instrumentos Financeiros'!$F$11+1),PMT(((1+'Instrumentos Financeiros'!$J$43)^(1/12)-1),$F$11,-$I$70),0)</f>
        <v>0</v>
      </c>
      <c r="AW99" s="1312">
        <f t="shared" si="25"/>
        <v>0</v>
      </c>
      <c r="AX99" s="1312">
        <f>AY98*((1+'Instrumentos Financeiros'!$J$43)^(1/12)-1)</f>
        <v>0</v>
      </c>
      <c r="AY99" s="1312">
        <f t="shared" si="42"/>
        <v>0</v>
      </c>
      <c r="AZ99" s="1312">
        <f>IF(AND(C99&gt;$F$71,'Instrumentos Financeiros'!C99&lt;'Instrumentos Financeiros'!$F$71+'Instrumentos Financeiros'!$F$11+1),PMT(((1+'Instrumentos Financeiros'!$J$43)^(1/12)-1),$F$11,-$I$71),0)</f>
        <v>0</v>
      </c>
      <c r="BA99" s="1312">
        <f t="shared" si="26"/>
        <v>0</v>
      </c>
      <c r="BB99" s="1312">
        <f>BC98*((1+'Instrumentos Financeiros'!$J$43)^(1/12)-1)</f>
        <v>0</v>
      </c>
      <c r="BC99" s="1312">
        <f t="shared" si="43"/>
        <v>0</v>
      </c>
      <c r="BD99" s="1312">
        <f>IF(AND(C99&gt;$F$72,'Instrumentos Financeiros'!C99&lt;'Instrumentos Financeiros'!$F$72+'Instrumentos Financeiros'!$F$11+1),PMT(((1+'Instrumentos Financeiros'!$J$43)^(1/12)-1),$F$11,-'Instrumentos Financeiros'!$G$7*$G$72),0)</f>
        <v>0</v>
      </c>
      <c r="BE99" s="1312">
        <f t="shared" si="27"/>
        <v>0</v>
      </c>
      <c r="BF99" s="1312">
        <f>BG98*((1+'Instrumentos Financeiros'!$J$43)^(1/12)-1)</f>
        <v>0</v>
      </c>
      <c r="BG99" s="1312">
        <f t="shared" si="44"/>
        <v>0</v>
      </c>
      <c r="BH99" s="1312">
        <f>IF(AND(C99&gt;$F$73,'Instrumentos Financeiros'!C99&lt;'Instrumentos Financeiros'!$F$73+'Instrumentos Financeiros'!$F$11+1),PMT(((1+'Instrumentos Financeiros'!$J$43)^(1/12)-1),$F$11,-$I$73),0)</f>
        <v>0</v>
      </c>
      <c r="BI99" s="1312">
        <f t="shared" si="28"/>
        <v>0</v>
      </c>
      <c r="BJ99" s="1312">
        <f>BK98*((1+'Instrumentos Financeiros'!$J$43)^(1/12)-1)</f>
        <v>0</v>
      </c>
      <c r="BK99" s="1312">
        <f t="shared" si="45"/>
        <v>0</v>
      </c>
      <c r="BL99" s="1312">
        <f>IF(AND(C99&gt;$F$77,'Instrumentos Financeiros'!C99&lt;'Instrumentos Financeiros'!$F$77+'Instrumentos Financeiros'!$F$12+1),PMT(((1+'Instrumentos Financeiros'!$K$43)^(1/12)-1),$F$12,-$I$77),0)</f>
        <v>0</v>
      </c>
      <c r="BM99" s="1312">
        <f t="shared" si="46"/>
        <v>0</v>
      </c>
      <c r="BN99" s="1312">
        <f>BO98*((1+'Instrumentos Financeiros'!$K$43)^(1/12)-1)</f>
        <v>0</v>
      </c>
      <c r="BO99" s="1312">
        <f t="shared" si="47"/>
        <v>0</v>
      </c>
      <c r="BP99" s="1312">
        <f>IF(AND(C99&gt;$F$78,'Instrumentos Financeiros'!C99&lt;'Instrumentos Financeiros'!$F$78+'Instrumentos Financeiros'!$F$12+1),PMT(((1+'Instrumentos Financeiros'!$L$43)^(1/12)-1),$F$12,-$I$78),0)</f>
        <v>0</v>
      </c>
      <c r="BQ99" s="1312">
        <f t="shared" si="48"/>
        <v>0</v>
      </c>
      <c r="BR99" s="1312">
        <f>BS98*((1+'Instrumentos Financeiros'!$L$43)^(1/12)-1)</f>
        <v>0</v>
      </c>
      <c r="BS99" s="1312">
        <f t="shared" si="49"/>
        <v>0</v>
      </c>
      <c r="BT99" s="1312">
        <f>IF(AND(C99&gt;$F$79,'Instrumentos Financeiros'!C99&lt;'Instrumentos Financeiros'!$F$79+'Instrumentos Financeiros'!$F$12+1),PMT(((1+'Instrumentos Financeiros'!$L$43)^(1/12)-1),$F$12,-$I$79),0)</f>
        <v>0</v>
      </c>
      <c r="BU99" s="1312">
        <f t="shared" si="50"/>
        <v>0</v>
      </c>
      <c r="BV99" s="1312">
        <f>BW98*((1+'Instrumentos Financeiros'!$L$43)^(1/12)-1)</f>
        <v>0</v>
      </c>
      <c r="BW99" s="1312">
        <f t="shared" si="51"/>
        <v>0</v>
      </c>
      <c r="BX99" s="1312">
        <f>IF(AND(C99&gt;$F$80,'Instrumentos Financeiros'!C99&lt;'Instrumentos Financeiros'!$F$80+'Instrumentos Financeiros'!$F$12+1),PMT(((1+'Instrumentos Financeiros'!$L$43)^(1/12)-1),$F$12,-$I$80),0)</f>
        <v>0</v>
      </c>
      <c r="BY99" s="1312">
        <f t="shared" si="52"/>
        <v>0</v>
      </c>
      <c r="BZ99" s="1312">
        <f>CA98*((1+'Instrumentos Financeiros'!$L$43)^(1/12)-1)</f>
        <v>0</v>
      </c>
      <c r="CA99" s="1312">
        <f t="shared" si="53"/>
        <v>0</v>
      </c>
      <c r="CB99" s="1312">
        <f>IF(AND(C99&gt;$F$83,'Instrumentos Financeiros'!C99&lt;'Instrumentos Financeiros'!$F$83+'Instrumentos Financeiros'!$F$13+1),PMT(((1+'Instrumentos Financeiros'!$P$43)^(1/12)-1),$F$13,-$I$83),0)</f>
        <v>0</v>
      </c>
      <c r="CC99" s="1312">
        <f t="shared" si="54"/>
        <v>0</v>
      </c>
      <c r="CD99" s="1312">
        <f>CE98*((1+'Instrumentos Financeiros'!$P$43)^(1/12)-1)</f>
        <v>0</v>
      </c>
      <c r="CE99" s="1312">
        <f t="shared" si="55"/>
        <v>0</v>
      </c>
      <c r="CF99" s="1312">
        <f>IF(AND(C99&gt;$F$84,'Instrumentos Financeiros'!C99&lt;'Instrumentos Financeiros'!$F$84+'Instrumentos Financeiros'!$F$13+1),PMT(((1+'Instrumentos Financeiros'!$Q$43)^(1/12)-1),$F$13,-$I$84),0)</f>
        <v>0</v>
      </c>
      <c r="CG99" s="1312">
        <f t="shared" si="56"/>
        <v>0</v>
      </c>
      <c r="CH99" s="1312">
        <f>CI98*((1+'Instrumentos Financeiros'!$Q$43)^(1/12)-1)</f>
        <v>0</v>
      </c>
      <c r="CI99" s="1312">
        <f t="shared" si="57"/>
        <v>0</v>
      </c>
      <c r="CJ99" s="1312">
        <f>IF(AND(C99&gt;$F$85,'Instrumentos Financeiros'!C99&lt;'Instrumentos Financeiros'!$F$85+'Instrumentos Financeiros'!$F$13+1),PMT(((1+'Instrumentos Financeiros'!$Q$43)^(1/12)-1),$F$13,-$I$85),0)</f>
        <v>0</v>
      </c>
      <c r="CK99" s="1312">
        <f t="shared" si="58"/>
        <v>0</v>
      </c>
      <c r="CL99" s="1312">
        <f>CM98*((1+'Instrumentos Financeiros'!$Q$43)^(1/12)-1)</f>
        <v>0</v>
      </c>
      <c r="CM99" s="1312">
        <f t="shared" si="59"/>
        <v>0</v>
      </c>
      <c r="CN99" s="1312">
        <f>IF(AND(C99&gt;$F$86,'Instrumentos Financeiros'!C99&lt;'Instrumentos Financeiros'!$F$86+'Instrumentos Financeiros'!$F$13+1),PMT(((1+'Instrumentos Financeiros'!$Q$43)^(1/12)-1),$F$13,-$I$86),0)</f>
        <v>0</v>
      </c>
      <c r="CO99" s="1312">
        <f t="shared" si="60"/>
        <v>0</v>
      </c>
      <c r="CP99" s="1312">
        <f>CQ98*((1+'Instrumentos Financeiros'!$Q$43)^(1/12)-1)</f>
        <v>0</v>
      </c>
      <c r="CQ99" s="1312">
        <f t="shared" si="61"/>
        <v>0</v>
      </c>
      <c r="CR99" s="1312">
        <f t="shared" si="29"/>
        <v>0</v>
      </c>
      <c r="CS99" s="1312">
        <f t="shared" si="29"/>
        <v>0</v>
      </c>
      <c r="CT99" s="1312">
        <f t="shared" si="29"/>
        <v>0</v>
      </c>
      <c r="CU99" s="1312">
        <f t="shared" si="29"/>
        <v>0</v>
      </c>
    </row>
    <row r="100" spans="3:99" x14ac:dyDescent="0.35">
      <c r="C100" s="1315">
        <f t="shared" si="30"/>
        <v>7</v>
      </c>
      <c r="D100" s="1312">
        <f>IF(AND(C100&gt;$F$59,'Instrumentos Financeiros'!C100&lt;'Instrumentos Financeiros'!$F$59+'Instrumentos Financeiros'!$F$11+1),PMT(((1+'Instrumentos Financeiros'!$G$43)^(1/12)-1),$F$11,-$I$59),0)</f>
        <v>0</v>
      </c>
      <c r="E100" s="1312">
        <f t="shared" si="14"/>
        <v>0</v>
      </c>
      <c r="F100" s="1312">
        <f>G99*((1+'Instrumentos Financeiros'!$G$43)^(1/12)-1)</f>
        <v>0</v>
      </c>
      <c r="G100" s="1312">
        <f t="shared" si="31"/>
        <v>0</v>
      </c>
      <c r="H100" s="1312">
        <f>IF(AND(C100&gt;$F$60,'Instrumentos Financeiros'!C100&lt;'Instrumentos Financeiros'!$F$60+'Instrumentos Financeiros'!$F$11+1),PMT(((1+'Instrumentos Financeiros'!$G$43)^(1/12)-1),$F$11,-$I$60),0)</f>
        <v>0</v>
      </c>
      <c r="I100" s="1312">
        <f>H100-J100</f>
        <v>0</v>
      </c>
      <c r="J100" s="1312">
        <f>K99*((1+'Instrumentos Financeiros'!$G$43)^(1/12)-1)</f>
        <v>0</v>
      </c>
      <c r="K100" s="1312">
        <f t="shared" si="32"/>
        <v>0</v>
      </c>
      <c r="L100" s="1312">
        <f>IF(AND(C100&gt;$F$61,'Instrumentos Financeiros'!C100&lt;'Instrumentos Financeiros'!$F$61+'Instrumentos Financeiros'!$F$11+1),PMT(((1+'Instrumentos Financeiros'!$G$43)^(1/12)-1),$F$11,-$I$61),0)</f>
        <v>0</v>
      </c>
      <c r="M100" s="1312">
        <f>L100-N100</f>
        <v>0</v>
      </c>
      <c r="N100" s="1312">
        <f>O99*((1+'Instrumentos Financeiros'!$G$43)^(1/12)-1)</f>
        <v>0</v>
      </c>
      <c r="O100" s="1312">
        <f t="shared" si="33"/>
        <v>0</v>
      </c>
      <c r="P100" s="1312">
        <f>IF(AND(C100&gt;$F$62,'Instrumentos Financeiros'!C100&lt;'Instrumentos Financeiros'!$F$62+'Instrumentos Financeiros'!$F$11+1),PMT(((1+'Instrumentos Financeiros'!$H$43)^(1/12)-1),$F$11,-$I$62),0)</f>
        <v>0</v>
      </c>
      <c r="Q100" s="1312">
        <f>P100-R100</f>
        <v>0</v>
      </c>
      <c r="R100" s="1312">
        <f>S99*((1+'Instrumentos Financeiros'!$H$43)^(1/12)-1)</f>
        <v>0</v>
      </c>
      <c r="S100" s="1312">
        <f t="shared" si="34"/>
        <v>0</v>
      </c>
      <c r="T100" s="1312">
        <f>IF(AND(C100&gt;$F$63,'Instrumentos Financeiros'!C100&lt;'Instrumentos Financeiros'!$F$63+'Instrumentos Financeiros'!$F$11+1),PMT(((1+'Instrumentos Financeiros'!$H$43)^(1/12)-1),$F$11,-$I$63),0)</f>
        <v>0</v>
      </c>
      <c r="U100" s="1312">
        <f>T100-V100</f>
        <v>0</v>
      </c>
      <c r="V100" s="1312">
        <f>W99*((1+'Instrumentos Financeiros'!$H$43)^(1/12)-1)</f>
        <v>0</v>
      </c>
      <c r="W100" s="1312">
        <f t="shared" si="35"/>
        <v>0</v>
      </c>
      <c r="X100" s="1312">
        <f>IF(AND(C100&gt;$F$64,'Instrumentos Financeiros'!C100&lt;'Instrumentos Financeiros'!$F$64+'Instrumentos Financeiros'!$F$11+1),PMT(((1+'Instrumentos Financeiros'!$H$43)^(1/12)-1),$F$11,-$I$64),0)</f>
        <v>0</v>
      </c>
      <c r="Y100" s="1312">
        <f>X100-Z100</f>
        <v>0</v>
      </c>
      <c r="Z100" s="1312">
        <f>AA99*((1+'Instrumentos Financeiros'!$H$43)^(1/12)-1)</f>
        <v>0</v>
      </c>
      <c r="AA100" s="1312">
        <f t="shared" si="36"/>
        <v>0</v>
      </c>
      <c r="AB100" s="1312">
        <f>IF(AND(C100&gt;$F$65,'Instrumentos Financeiros'!C100&lt;'Instrumentos Financeiros'!$F$65+'Instrumentos Financeiros'!$F$11+1),PMT(((1+'Instrumentos Financeiros'!$H$43)^(1/12)-1),$F$11,-$I$65),0)</f>
        <v>0</v>
      </c>
      <c r="AC100" s="1312">
        <f>AB100-AD100</f>
        <v>0</v>
      </c>
      <c r="AD100" s="1312">
        <f>AE99*((1+'Instrumentos Financeiros'!$H$43)^(1/12)-1)</f>
        <v>0</v>
      </c>
      <c r="AE100" s="1312">
        <f t="shared" si="37"/>
        <v>0</v>
      </c>
      <c r="AF100" s="1312">
        <f>IF(AND(C100&gt;$F$66,'Instrumentos Financeiros'!C100&lt;'Instrumentos Financeiros'!$F$66+'Instrumentos Financeiros'!$F$11+1),PMT(((1+'Instrumentos Financeiros'!$I$43)^(1/12)-1),$F$11,-$I$66),0)</f>
        <v>0</v>
      </c>
      <c r="AG100" s="1312">
        <f>AF100-AH100</f>
        <v>0</v>
      </c>
      <c r="AH100" s="1312">
        <f>AI99*((1+'Instrumentos Financeiros'!$I$43)^(1/12)-1)</f>
        <v>0</v>
      </c>
      <c r="AI100" s="1312">
        <f t="shared" si="38"/>
        <v>0</v>
      </c>
      <c r="AJ100" s="1312">
        <f>IF(AND(C100&gt;$F$67,'Instrumentos Financeiros'!C100&lt;'Instrumentos Financeiros'!$F$67+'Instrumentos Financeiros'!$F$11+1),PMT(((1+'Instrumentos Financeiros'!$I$43)^(1/12)-1),$F$11,-$I$67),0)</f>
        <v>0</v>
      </c>
      <c r="AK100" s="1312">
        <f>AJ100-AL100</f>
        <v>0</v>
      </c>
      <c r="AL100" s="1312">
        <f>AM99*((1+'Instrumentos Financeiros'!$I$43)^(1/12)-1)</f>
        <v>0</v>
      </c>
      <c r="AM100" s="1312">
        <f t="shared" si="39"/>
        <v>0</v>
      </c>
      <c r="AN100" s="1312">
        <f>IF(AND(C100&gt;$F$68,'Instrumentos Financeiros'!C100&lt;'Instrumentos Financeiros'!$F$68+'Instrumentos Financeiros'!$F$11+1),PMT(((1+'Instrumentos Financeiros'!$I$43)^(1/12)-1),$F$11,-$I$68),0)</f>
        <v>0</v>
      </c>
      <c r="AO100" s="1312">
        <f>AN100-AP100</f>
        <v>0</v>
      </c>
      <c r="AP100" s="1312">
        <f>AQ99*((1+'Instrumentos Financeiros'!$I$43)^(1/12)-1)</f>
        <v>0</v>
      </c>
      <c r="AQ100" s="1312">
        <f t="shared" si="40"/>
        <v>0</v>
      </c>
      <c r="AR100" s="1312">
        <f>IF(AND(C100&gt;$F$69,'Instrumentos Financeiros'!C100&lt;'Instrumentos Financeiros'!$F$69+'Instrumentos Financeiros'!$F$11+1),PMT(((1+'Instrumentos Financeiros'!$I$43)^(1/12)-1),$F$11,-$I$69),0)</f>
        <v>0</v>
      </c>
      <c r="AS100" s="1312">
        <f>AR100-AT100</f>
        <v>0</v>
      </c>
      <c r="AT100" s="1312">
        <f>AU99*((1+'Instrumentos Financeiros'!$I$43)^(1/12)-1)</f>
        <v>0</v>
      </c>
      <c r="AU100" s="1312">
        <f t="shared" si="41"/>
        <v>0</v>
      </c>
      <c r="AV100" s="1312">
        <f>IF(AND(C100&gt;$F$70,'Instrumentos Financeiros'!C100&lt;'Instrumentos Financeiros'!$F$70+'Instrumentos Financeiros'!$F$11+1),PMT(((1+'Instrumentos Financeiros'!$J$43)^(1/12)-1),$F$11,-$I$70),0)</f>
        <v>0</v>
      </c>
      <c r="AW100" s="1312">
        <f>AV100-AX100</f>
        <v>0</v>
      </c>
      <c r="AX100" s="1312">
        <f>AY99*((1+'Instrumentos Financeiros'!$J$43)^(1/12)-1)</f>
        <v>0</v>
      </c>
      <c r="AY100" s="1312">
        <f t="shared" si="42"/>
        <v>0</v>
      </c>
      <c r="AZ100" s="1312">
        <f>IF(AND(C100&gt;$F$71,'Instrumentos Financeiros'!C100&lt;'Instrumentos Financeiros'!$F$71+'Instrumentos Financeiros'!$F$11+1),PMT(((1+'Instrumentos Financeiros'!$J$43)^(1/12)-1),$F$11,-$I$71),0)</f>
        <v>0</v>
      </c>
      <c r="BA100" s="1312">
        <f>AZ100-BB100</f>
        <v>0</v>
      </c>
      <c r="BB100" s="1312">
        <f>BC99*((1+'Instrumentos Financeiros'!$J$43)^(1/12)-1)</f>
        <v>0</v>
      </c>
      <c r="BC100" s="1312">
        <f t="shared" si="43"/>
        <v>0</v>
      </c>
      <c r="BD100" s="1312">
        <f>IF(AND(C100&gt;$F$72,'Instrumentos Financeiros'!C100&lt;'Instrumentos Financeiros'!$F$72+'Instrumentos Financeiros'!$F$11+1),PMT(((1+'Instrumentos Financeiros'!$J$43)^(1/12)-1),$F$11,-'Instrumentos Financeiros'!$G$7*$G$72),0)</f>
        <v>0</v>
      </c>
      <c r="BE100" s="1312">
        <f>BD100-BF100</f>
        <v>0</v>
      </c>
      <c r="BF100" s="1312">
        <f>BG99*((1+'Instrumentos Financeiros'!$J$43)^(1/12)-1)</f>
        <v>0</v>
      </c>
      <c r="BG100" s="1312">
        <f t="shared" si="44"/>
        <v>0</v>
      </c>
      <c r="BH100" s="1312">
        <f>IF(AND(C100&gt;$F$73,'Instrumentos Financeiros'!C100&lt;'Instrumentos Financeiros'!$F$73+'Instrumentos Financeiros'!$F$11+1),PMT(((1+'Instrumentos Financeiros'!$J$43)^(1/12)-1),$F$11,-$I$73),0)</f>
        <v>0</v>
      </c>
      <c r="BI100" s="1312">
        <f>BH100-BJ100</f>
        <v>0</v>
      </c>
      <c r="BJ100" s="1312">
        <f>BK99*((1+'Instrumentos Financeiros'!$J$43)^(1/12)-1)</f>
        <v>0</v>
      </c>
      <c r="BK100" s="1312">
        <f t="shared" si="45"/>
        <v>0</v>
      </c>
      <c r="BL100" s="1312">
        <f>IF(AND(C100&gt;$F$77,'Instrumentos Financeiros'!C100&lt;'Instrumentos Financeiros'!$F$77+'Instrumentos Financeiros'!$F$12+1),PMT(((1+'Instrumentos Financeiros'!$K$43)^(1/12)-1),$F$12,-$I$77),0)</f>
        <v>0</v>
      </c>
      <c r="BM100" s="1312">
        <f t="shared" si="46"/>
        <v>0</v>
      </c>
      <c r="BN100" s="1312">
        <f>BO99*((1+'Instrumentos Financeiros'!$K$43)^(1/12)-1)</f>
        <v>0</v>
      </c>
      <c r="BO100" s="1312">
        <f t="shared" si="47"/>
        <v>0</v>
      </c>
      <c r="BP100" s="1312">
        <f>IF(AND(C100&gt;$F$78,'Instrumentos Financeiros'!C100&lt;'Instrumentos Financeiros'!$F$78+'Instrumentos Financeiros'!$F$12+1),PMT(((1+'Instrumentos Financeiros'!$L$43)^(1/12)-1),$F$12,-$I$78),0)</f>
        <v>0</v>
      </c>
      <c r="BQ100" s="1312">
        <f t="shared" si="48"/>
        <v>0</v>
      </c>
      <c r="BR100" s="1312">
        <f>BS99*((1+'Instrumentos Financeiros'!$L$43)^(1/12)-1)</f>
        <v>0</v>
      </c>
      <c r="BS100" s="1312">
        <f t="shared" si="49"/>
        <v>0</v>
      </c>
      <c r="BT100" s="1312">
        <f>IF(AND(C100&gt;$F$79,'Instrumentos Financeiros'!C100&lt;'Instrumentos Financeiros'!$F$79+'Instrumentos Financeiros'!$F$12+1),PMT(((1+'Instrumentos Financeiros'!$L$43)^(1/12)-1),$F$12,-$I$79),0)</f>
        <v>0</v>
      </c>
      <c r="BU100" s="1312">
        <f t="shared" si="50"/>
        <v>0</v>
      </c>
      <c r="BV100" s="1312">
        <f>BW99*((1+'Instrumentos Financeiros'!$L$43)^(1/12)-1)</f>
        <v>0</v>
      </c>
      <c r="BW100" s="1312">
        <f t="shared" si="51"/>
        <v>0</v>
      </c>
      <c r="BX100" s="1312">
        <f>IF(AND(C100&gt;$F$80,'Instrumentos Financeiros'!C100&lt;'Instrumentos Financeiros'!$F$80+'Instrumentos Financeiros'!$F$12+1),PMT(((1+'Instrumentos Financeiros'!$L$43)^(1/12)-1),$F$12,-$I$80),0)</f>
        <v>0</v>
      </c>
      <c r="BY100" s="1312">
        <f t="shared" si="52"/>
        <v>0</v>
      </c>
      <c r="BZ100" s="1312">
        <f>CA99*((1+'Instrumentos Financeiros'!$L$43)^(1/12)-1)</f>
        <v>0</v>
      </c>
      <c r="CA100" s="1312">
        <f t="shared" si="53"/>
        <v>0</v>
      </c>
      <c r="CB100" s="1312">
        <f>IF(AND(C100&gt;$F$83,'Instrumentos Financeiros'!C100&lt;'Instrumentos Financeiros'!$F$83+'Instrumentos Financeiros'!$F$13+1),PMT(((1+'Instrumentos Financeiros'!$P$43)^(1/12)-1),$F$13,-$I$83),0)</f>
        <v>0</v>
      </c>
      <c r="CC100" s="1312">
        <f t="shared" si="54"/>
        <v>0</v>
      </c>
      <c r="CD100" s="1312">
        <f>CE99*((1+'Instrumentos Financeiros'!$P$43)^(1/12)-1)</f>
        <v>0</v>
      </c>
      <c r="CE100" s="1312">
        <f t="shared" si="55"/>
        <v>0</v>
      </c>
      <c r="CF100" s="1312">
        <f>IF(AND(C100&gt;$F$84,'Instrumentos Financeiros'!C100&lt;'Instrumentos Financeiros'!$F$84+'Instrumentos Financeiros'!$F$13+1),PMT(((1+'Instrumentos Financeiros'!$Q$43)^(1/12)-1),$F$13,-$I$84),0)</f>
        <v>0</v>
      </c>
      <c r="CG100" s="1312">
        <f t="shared" si="56"/>
        <v>0</v>
      </c>
      <c r="CH100" s="1312">
        <f>CI99*((1+'Instrumentos Financeiros'!$Q$43)^(1/12)-1)</f>
        <v>0</v>
      </c>
      <c r="CI100" s="1312">
        <f t="shared" si="57"/>
        <v>0</v>
      </c>
      <c r="CJ100" s="1312">
        <f>IF(AND(C100&gt;$F$85,'Instrumentos Financeiros'!C100&lt;'Instrumentos Financeiros'!$F$85+'Instrumentos Financeiros'!$F$13+1),PMT(((1+'Instrumentos Financeiros'!$Q$43)^(1/12)-1),$F$13,-$I$85),0)</f>
        <v>0</v>
      </c>
      <c r="CK100" s="1312">
        <f t="shared" si="58"/>
        <v>0</v>
      </c>
      <c r="CL100" s="1312">
        <f>CM99*((1+'Instrumentos Financeiros'!$Q$43)^(1/12)-1)</f>
        <v>0</v>
      </c>
      <c r="CM100" s="1312">
        <f t="shared" si="59"/>
        <v>0</v>
      </c>
      <c r="CN100" s="1312">
        <f>IF(AND(C100&gt;$F$86,'Instrumentos Financeiros'!C100&lt;'Instrumentos Financeiros'!$F$86+'Instrumentos Financeiros'!$F$13+1),PMT(((1+'Instrumentos Financeiros'!$Q$43)^(1/12)-1),$F$13,-$I$86),0)</f>
        <v>0</v>
      </c>
      <c r="CO100" s="1312">
        <f t="shared" si="60"/>
        <v>0</v>
      </c>
      <c r="CP100" s="1312">
        <f>CQ99*((1+'Instrumentos Financeiros'!$Q$43)^(1/12)-1)</f>
        <v>0</v>
      </c>
      <c r="CQ100" s="1312">
        <f t="shared" si="61"/>
        <v>0</v>
      </c>
      <c r="CR100" s="1312">
        <f t="shared" si="29"/>
        <v>0</v>
      </c>
      <c r="CS100" s="1312">
        <f t="shared" si="29"/>
        <v>0</v>
      </c>
      <c r="CT100" s="1312">
        <f t="shared" si="29"/>
        <v>0</v>
      </c>
      <c r="CU100" s="1312">
        <f t="shared" si="29"/>
        <v>0</v>
      </c>
    </row>
    <row r="101" spans="3:99" x14ac:dyDescent="0.35">
      <c r="C101" s="1315">
        <f t="shared" si="30"/>
        <v>8</v>
      </c>
      <c r="D101" s="1312">
        <f>IF(AND(C101&gt;$F$59,'Instrumentos Financeiros'!C101&lt;'Instrumentos Financeiros'!$F$59+'Instrumentos Financeiros'!$F$11+1),PMT(((1+'Instrumentos Financeiros'!$G$43)^(1/12)-1),$F$11,-$I$59),0)</f>
        <v>0</v>
      </c>
      <c r="E101" s="1312">
        <f t="shared" si="14"/>
        <v>0</v>
      </c>
      <c r="F101" s="1312">
        <f>G100*((1+'Instrumentos Financeiros'!$G$43)^(1/12)-1)</f>
        <v>0</v>
      </c>
      <c r="G101" s="1312">
        <f t="shared" si="31"/>
        <v>0</v>
      </c>
      <c r="H101" s="1312">
        <f>IF(AND(C101&gt;$F$60,'Instrumentos Financeiros'!C101&lt;'Instrumentos Financeiros'!$F$60+'Instrumentos Financeiros'!$F$11+1),PMT(((1+'Instrumentos Financeiros'!$G$43)^(1/12)-1),$F$11,-$I$60),0)</f>
        <v>0</v>
      </c>
      <c r="I101" s="1312">
        <f>H101-J101</f>
        <v>0</v>
      </c>
      <c r="J101" s="1312">
        <f>K100*((1+'Instrumentos Financeiros'!$G$43)^(1/12)-1)</f>
        <v>0</v>
      </c>
      <c r="K101" s="1312">
        <f t="shared" si="32"/>
        <v>0</v>
      </c>
      <c r="L101" s="1312">
        <f>IF(AND(C101&gt;$F$61,'Instrumentos Financeiros'!C101&lt;'Instrumentos Financeiros'!$F$61+'Instrumentos Financeiros'!$F$11+1),PMT(((1+'Instrumentos Financeiros'!$G$43)^(1/12)-1),$F$11,-$I$61),0)</f>
        <v>0</v>
      </c>
      <c r="M101" s="1312">
        <f>L101-N101</f>
        <v>0</v>
      </c>
      <c r="N101" s="1312">
        <f>O100*((1+'Instrumentos Financeiros'!$G$43)^(1/12)-1)</f>
        <v>0</v>
      </c>
      <c r="O101" s="1312">
        <f t="shared" si="33"/>
        <v>0</v>
      </c>
      <c r="P101" s="1312">
        <f>IF(AND(C101&gt;$F$62,'Instrumentos Financeiros'!C101&lt;'Instrumentos Financeiros'!$F$62+'Instrumentos Financeiros'!$F$11+1),PMT(((1+'Instrumentos Financeiros'!$H$43)^(1/12)-1),$F$11,-$I$62),0)</f>
        <v>0</v>
      </c>
      <c r="Q101" s="1312">
        <f>P101-R101</f>
        <v>0</v>
      </c>
      <c r="R101" s="1312">
        <f>S100*((1+'Instrumentos Financeiros'!$H$43)^(1/12)-1)</f>
        <v>0</v>
      </c>
      <c r="S101" s="1312">
        <f t="shared" si="34"/>
        <v>0</v>
      </c>
      <c r="T101" s="1312">
        <f>IF(AND(C101&gt;$F$63,'Instrumentos Financeiros'!C101&lt;'Instrumentos Financeiros'!$F$63+'Instrumentos Financeiros'!$F$11+1),PMT(((1+'Instrumentos Financeiros'!$H$43)^(1/12)-1),$F$11,-$I$63),0)</f>
        <v>0</v>
      </c>
      <c r="U101" s="1312">
        <f>T101-V101</f>
        <v>0</v>
      </c>
      <c r="V101" s="1312">
        <f>W100*((1+'Instrumentos Financeiros'!$H$43)^(1/12)-1)</f>
        <v>0</v>
      </c>
      <c r="W101" s="1312">
        <f t="shared" si="35"/>
        <v>0</v>
      </c>
      <c r="X101" s="1312">
        <f>IF(AND(C101&gt;$F$64,'Instrumentos Financeiros'!C101&lt;'Instrumentos Financeiros'!$F$64+'Instrumentos Financeiros'!$F$11+1),PMT(((1+'Instrumentos Financeiros'!$H$43)^(1/12)-1),$F$11,-$I$64),0)</f>
        <v>0</v>
      </c>
      <c r="Y101" s="1312">
        <f>X101-Z101</f>
        <v>0</v>
      </c>
      <c r="Z101" s="1312">
        <f>AA100*((1+'Instrumentos Financeiros'!$H$43)^(1/12)-1)</f>
        <v>0</v>
      </c>
      <c r="AA101" s="1312">
        <f t="shared" si="36"/>
        <v>0</v>
      </c>
      <c r="AB101" s="1312">
        <f>IF(AND(C101&gt;$F$65,'Instrumentos Financeiros'!C101&lt;'Instrumentos Financeiros'!$F$65+'Instrumentos Financeiros'!$F$11+1),PMT(((1+'Instrumentos Financeiros'!$H$43)^(1/12)-1),$F$11,-$I$65),0)</f>
        <v>0</v>
      </c>
      <c r="AC101" s="1312">
        <f>AB101-AD101</f>
        <v>0</v>
      </c>
      <c r="AD101" s="1312">
        <f>AE100*((1+'Instrumentos Financeiros'!$H$43)^(1/12)-1)</f>
        <v>0</v>
      </c>
      <c r="AE101" s="1312">
        <f t="shared" si="37"/>
        <v>0</v>
      </c>
      <c r="AF101" s="1312">
        <f>IF(AND(C101&gt;$F$66,'Instrumentos Financeiros'!C101&lt;'Instrumentos Financeiros'!$F$66+'Instrumentos Financeiros'!$F$11+1),PMT(((1+'Instrumentos Financeiros'!$I$43)^(1/12)-1),$F$11,-$I$66),0)</f>
        <v>0</v>
      </c>
      <c r="AG101" s="1312">
        <f>AF101-AH101</f>
        <v>0</v>
      </c>
      <c r="AH101" s="1312">
        <f>AI100*((1+'Instrumentos Financeiros'!$I$43)^(1/12)-1)</f>
        <v>0</v>
      </c>
      <c r="AI101" s="1312">
        <f t="shared" si="38"/>
        <v>0</v>
      </c>
      <c r="AJ101" s="1312">
        <f>IF(AND(C101&gt;$F$67,'Instrumentos Financeiros'!C101&lt;'Instrumentos Financeiros'!$F$67+'Instrumentos Financeiros'!$F$11+1),PMT(((1+'Instrumentos Financeiros'!$I$43)^(1/12)-1),$F$11,-$I$67),0)</f>
        <v>0</v>
      </c>
      <c r="AK101" s="1312">
        <f>AJ101-AL101</f>
        <v>0</v>
      </c>
      <c r="AL101" s="1312">
        <f>AM100*((1+'Instrumentos Financeiros'!$I$43)^(1/12)-1)</f>
        <v>0</v>
      </c>
      <c r="AM101" s="1312">
        <f t="shared" si="39"/>
        <v>0</v>
      </c>
      <c r="AN101" s="1312">
        <f>IF(AND(C101&gt;$F$68,'Instrumentos Financeiros'!C101&lt;'Instrumentos Financeiros'!$F$68+'Instrumentos Financeiros'!$F$11+1),PMT(((1+'Instrumentos Financeiros'!$I$43)^(1/12)-1),$F$11,-$I$68),0)</f>
        <v>0</v>
      </c>
      <c r="AO101" s="1312">
        <f>AN101-AP101</f>
        <v>0</v>
      </c>
      <c r="AP101" s="1312">
        <f>AQ100*((1+'Instrumentos Financeiros'!$I$43)^(1/12)-1)</f>
        <v>0</v>
      </c>
      <c r="AQ101" s="1312">
        <f t="shared" si="40"/>
        <v>0</v>
      </c>
      <c r="AR101" s="1312">
        <f>IF(AND(C101&gt;$F$69,'Instrumentos Financeiros'!C101&lt;'Instrumentos Financeiros'!$F$69+'Instrumentos Financeiros'!$F$11+1),PMT(((1+'Instrumentos Financeiros'!$I$43)^(1/12)-1),$F$11,-$I$69),0)</f>
        <v>0</v>
      </c>
      <c r="AS101" s="1312">
        <f>AR101-AT101</f>
        <v>0</v>
      </c>
      <c r="AT101" s="1312">
        <f>AU100*((1+'Instrumentos Financeiros'!$I$43)^(1/12)-1)</f>
        <v>0</v>
      </c>
      <c r="AU101" s="1312">
        <f t="shared" si="41"/>
        <v>0</v>
      </c>
      <c r="AV101" s="1312">
        <f>IF(AND(C101&gt;$F$70,'Instrumentos Financeiros'!C101&lt;'Instrumentos Financeiros'!$F$70+'Instrumentos Financeiros'!$F$11+1),PMT(((1+'Instrumentos Financeiros'!$J$43)^(1/12)-1),$F$11,-$I$70),0)</f>
        <v>0</v>
      </c>
      <c r="AW101" s="1312">
        <f>AV101-AX101</f>
        <v>0</v>
      </c>
      <c r="AX101" s="1312">
        <f>AY100*((1+'Instrumentos Financeiros'!$J$43)^(1/12)-1)</f>
        <v>0</v>
      </c>
      <c r="AY101" s="1312">
        <f t="shared" si="42"/>
        <v>0</v>
      </c>
      <c r="AZ101" s="1312">
        <f>IF(AND(C101&gt;$F$71,'Instrumentos Financeiros'!C101&lt;'Instrumentos Financeiros'!$F$71+'Instrumentos Financeiros'!$F$11+1),PMT(((1+'Instrumentos Financeiros'!$J$43)^(1/12)-1),$F$11,-$I$71),0)</f>
        <v>0</v>
      </c>
      <c r="BA101" s="1312">
        <f>AZ101-BB101</f>
        <v>0</v>
      </c>
      <c r="BB101" s="1312">
        <f>BC100*((1+'Instrumentos Financeiros'!$J$43)^(1/12)-1)</f>
        <v>0</v>
      </c>
      <c r="BC101" s="1312">
        <f t="shared" si="43"/>
        <v>0</v>
      </c>
      <c r="BD101" s="1312">
        <f>IF(AND(C101&gt;$F$72,'Instrumentos Financeiros'!C101&lt;'Instrumentos Financeiros'!$F$72+'Instrumentos Financeiros'!$F$11+1),PMT(((1+'Instrumentos Financeiros'!$J$43)^(1/12)-1),$F$11,-'Instrumentos Financeiros'!$G$7*$G$72),0)</f>
        <v>0</v>
      </c>
      <c r="BE101" s="1312">
        <f>BD101-BF101</f>
        <v>0</v>
      </c>
      <c r="BF101" s="1312">
        <f>BG100*((1+'Instrumentos Financeiros'!$J$43)^(1/12)-1)</f>
        <v>0</v>
      </c>
      <c r="BG101" s="1312">
        <f t="shared" si="44"/>
        <v>0</v>
      </c>
      <c r="BH101" s="1312">
        <f>IF(AND(C101&gt;$F$73,'Instrumentos Financeiros'!C101&lt;'Instrumentos Financeiros'!$F$73+'Instrumentos Financeiros'!$F$11+1),PMT(((1+'Instrumentos Financeiros'!$J$43)^(1/12)-1),$F$11,-$I$73),0)</f>
        <v>0</v>
      </c>
      <c r="BI101" s="1312">
        <f>BH101-BJ101</f>
        <v>0</v>
      </c>
      <c r="BJ101" s="1312">
        <f>BK100*((1+'Instrumentos Financeiros'!$J$43)^(1/12)-1)</f>
        <v>0</v>
      </c>
      <c r="BK101" s="1312">
        <f t="shared" si="45"/>
        <v>0</v>
      </c>
      <c r="BL101" s="1312">
        <f>IF(AND(C101&gt;$F$77,'Instrumentos Financeiros'!C101&lt;'Instrumentos Financeiros'!$F$77+'Instrumentos Financeiros'!$F$12+1),PMT(((1+'Instrumentos Financeiros'!$K$43)^(1/12)-1),$F$12,-$I$77),0)</f>
        <v>0</v>
      </c>
      <c r="BM101" s="1312">
        <f t="shared" si="46"/>
        <v>0</v>
      </c>
      <c r="BN101" s="1312">
        <f>BO100*((1+'Instrumentos Financeiros'!$K$43)^(1/12)-1)</f>
        <v>0</v>
      </c>
      <c r="BO101" s="1312">
        <f t="shared" si="47"/>
        <v>0</v>
      </c>
      <c r="BP101" s="1312">
        <f>IF(AND(C101&gt;$F$78,'Instrumentos Financeiros'!C101&lt;'Instrumentos Financeiros'!$F$78+'Instrumentos Financeiros'!$F$12+1),PMT(((1+'Instrumentos Financeiros'!$L$43)^(1/12)-1),$F$12,-$I$78),0)</f>
        <v>0</v>
      </c>
      <c r="BQ101" s="1312">
        <f t="shared" si="48"/>
        <v>0</v>
      </c>
      <c r="BR101" s="1312">
        <f>BS100*((1+'Instrumentos Financeiros'!$L$43)^(1/12)-1)</f>
        <v>0</v>
      </c>
      <c r="BS101" s="1312">
        <f t="shared" si="49"/>
        <v>0</v>
      </c>
      <c r="BT101" s="1312">
        <f>IF(AND(C101&gt;$F$79,'Instrumentos Financeiros'!C101&lt;'Instrumentos Financeiros'!$F$79+'Instrumentos Financeiros'!$F$12+1),PMT(((1+'Instrumentos Financeiros'!$L$43)^(1/12)-1),$F$12,-$I$79),0)</f>
        <v>0</v>
      </c>
      <c r="BU101" s="1312">
        <f t="shared" si="50"/>
        <v>0</v>
      </c>
      <c r="BV101" s="1312">
        <f>BW100*((1+'Instrumentos Financeiros'!$L$43)^(1/12)-1)</f>
        <v>0</v>
      </c>
      <c r="BW101" s="1312">
        <f t="shared" si="51"/>
        <v>0</v>
      </c>
      <c r="BX101" s="1312">
        <f>IF(AND(C101&gt;$F$80,'Instrumentos Financeiros'!C101&lt;'Instrumentos Financeiros'!$F$80+'Instrumentos Financeiros'!$F$12+1),PMT(((1+'Instrumentos Financeiros'!$L$43)^(1/12)-1),$F$12,-$I$80),0)</f>
        <v>0</v>
      </c>
      <c r="BY101" s="1312">
        <f t="shared" si="52"/>
        <v>0</v>
      </c>
      <c r="BZ101" s="1312">
        <f>CA100*((1+'Instrumentos Financeiros'!$L$43)^(1/12)-1)</f>
        <v>0</v>
      </c>
      <c r="CA101" s="1312">
        <f t="shared" si="53"/>
        <v>0</v>
      </c>
      <c r="CB101" s="1312">
        <f>IF(AND(C101&gt;$F$83,'Instrumentos Financeiros'!C101&lt;'Instrumentos Financeiros'!$F$83+'Instrumentos Financeiros'!$F$13+1),PMT(((1+'Instrumentos Financeiros'!$P$43)^(1/12)-1),$F$13,-$I$83),0)</f>
        <v>0</v>
      </c>
      <c r="CC101" s="1312">
        <f t="shared" si="54"/>
        <v>0</v>
      </c>
      <c r="CD101" s="1312">
        <f>CE100*((1+'Instrumentos Financeiros'!$P$43)^(1/12)-1)</f>
        <v>0</v>
      </c>
      <c r="CE101" s="1312">
        <f t="shared" si="55"/>
        <v>0</v>
      </c>
      <c r="CF101" s="1312">
        <f>IF(AND(C101&gt;$F$84,'Instrumentos Financeiros'!C101&lt;'Instrumentos Financeiros'!$F$84+'Instrumentos Financeiros'!$F$13+1),PMT(((1+'Instrumentos Financeiros'!$Q$43)^(1/12)-1),$F$13,-$I$84),0)</f>
        <v>0</v>
      </c>
      <c r="CG101" s="1312">
        <f t="shared" si="56"/>
        <v>0</v>
      </c>
      <c r="CH101" s="1312">
        <f>CI100*((1+'Instrumentos Financeiros'!$Q$43)^(1/12)-1)</f>
        <v>0</v>
      </c>
      <c r="CI101" s="1312">
        <f t="shared" si="57"/>
        <v>0</v>
      </c>
      <c r="CJ101" s="1312">
        <f>IF(AND(C101&gt;$F$85,'Instrumentos Financeiros'!C101&lt;'Instrumentos Financeiros'!$F$85+'Instrumentos Financeiros'!$F$13+1),PMT(((1+'Instrumentos Financeiros'!$Q$43)^(1/12)-1),$F$13,-$I$85),0)</f>
        <v>0</v>
      </c>
      <c r="CK101" s="1312">
        <f t="shared" si="58"/>
        <v>0</v>
      </c>
      <c r="CL101" s="1312">
        <f>CM100*((1+'Instrumentos Financeiros'!$Q$43)^(1/12)-1)</f>
        <v>0</v>
      </c>
      <c r="CM101" s="1312">
        <f t="shared" si="59"/>
        <v>0</v>
      </c>
      <c r="CN101" s="1312">
        <f>IF(AND(C101&gt;$F$86,'Instrumentos Financeiros'!C101&lt;'Instrumentos Financeiros'!$F$86+'Instrumentos Financeiros'!$F$13+1),PMT(((1+'Instrumentos Financeiros'!$Q$43)^(1/12)-1),$F$13,-$I$86),0)</f>
        <v>0</v>
      </c>
      <c r="CO101" s="1312">
        <f t="shared" si="60"/>
        <v>0</v>
      </c>
      <c r="CP101" s="1312">
        <f>CQ100*((1+'Instrumentos Financeiros'!$Q$43)^(1/12)-1)</f>
        <v>0</v>
      </c>
      <c r="CQ101" s="1312">
        <f t="shared" si="61"/>
        <v>0</v>
      </c>
      <c r="CR101" s="1312">
        <f t="shared" si="29"/>
        <v>0</v>
      </c>
      <c r="CS101" s="1312">
        <f t="shared" si="29"/>
        <v>0</v>
      </c>
      <c r="CT101" s="1312">
        <f t="shared" si="29"/>
        <v>0</v>
      </c>
      <c r="CU101" s="1312">
        <f t="shared" si="29"/>
        <v>0</v>
      </c>
    </row>
    <row r="102" spans="3:99" x14ac:dyDescent="0.35">
      <c r="C102" s="1315">
        <f t="shared" si="30"/>
        <v>9</v>
      </c>
      <c r="D102" s="1312">
        <f>IF(AND(C102&gt;$F$59,'Instrumentos Financeiros'!C102&lt;'Instrumentos Financeiros'!$F$59+'Instrumentos Financeiros'!$F$11+1),PMT(((1+'Instrumentos Financeiros'!$G$43)^(1/12)-1),$F$11,-$I$59),0)</f>
        <v>0</v>
      </c>
      <c r="E102" s="1312">
        <f t="shared" si="14"/>
        <v>0</v>
      </c>
      <c r="F102" s="1312">
        <f>G101*((1+'Instrumentos Financeiros'!$G$43)^(1/12)-1)</f>
        <v>0</v>
      </c>
      <c r="G102" s="1312">
        <f t="shared" si="31"/>
        <v>0</v>
      </c>
      <c r="H102" s="1312">
        <f>IF(AND(C102&gt;$F$60,'Instrumentos Financeiros'!C102&lt;'Instrumentos Financeiros'!$F$60+'Instrumentos Financeiros'!$F$11+1),PMT(((1+'Instrumentos Financeiros'!$G$43)^(1/12)-1),$F$11,-$I$60),0)</f>
        <v>0</v>
      </c>
      <c r="I102" s="1312">
        <f t="shared" ref="I102:I165" si="62">H102-J102</f>
        <v>0</v>
      </c>
      <c r="J102" s="1312">
        <f>K101*((1+'Instrumentos Financeiros'!$G$43)^(1/12)-1)</f>
        <v>0</v>
      </c>
      <c r="K102" s="1312">
        <f t="shared" si="32"/>
        <v>0</v>
      </c>
      <c r="L102" s="1312">
        <f>IF(AND(C102&gt;$F$61,'Instrumentos Financeiros'!C102&lt;'Instrumentos Financeiros'!$F$61+'Instrumentos Financeiros'!$F$11+1),PMT(((1+'Instrumentos Financeiros'!$G$43)^(1/12)-1),$F$11,-$I$61),0)</f>
        <v>0</v>
      </c>
      <c r="M102" s="1312">
        <f t="shared" ref="M102:M165" si="63">L102-N102</f>
        <v>0</v>
      </c>
      <c r="N102" s="1312">
        <f>O101*((1+'Instrumentos Financeiros'!$G$43)^(1/12)-1)</f>
        <v>0</v>
      </c>
      <c r="O102" s="1312">
        <f t="shared" si="33"/>
        <v>0</v>
      </c>
      <c r="P102" s="1312">
        <f>IF(AND(C102&gt;$F$62,'Instrumentos Financeiros'!C102&lt;'Instrumentos Financeiros'!$F$62+'Instrumentos Financeiros'!$F$11+1),PMT(((1+'Instrumentos Financeiros'!$H$43)^(1/12)-1),$F$11,-$I$62),0)</f>
        <v>0</v>
      </c>
      <c r="Q102" s="1312">
        <f t="shared" ref="Q102:Q165" si="64">P102-R102</f>
        <v>0</v>
      </c>
      <c r="R102" s="1312">
        <f>S101*((1+'Instrumentos Financeiros'!$H$43)^(1/12)-1)</f>
        <v>0</v>
      </c>
      <c r="S102" s="1312">
        <f t="shared" si="34"/>
        <v>0</v>
      </c>
      <c r="T102" s="1312">
        <f>IF(AND(C102&gt;$F$63,'Instrumentos Financeiros'!C102&lt;'Instrumentos Financeiros'!$F$63+'Instrumentos Financeiros'!$F$11+1),PMT(((1+'Instrumentos Financeiros'!$H$43)^(1/12)-1),$F$11,-$I$63),0)</f>
        <v>0</v>
      </c>
      <c r="U102" s="1312">
        <f t="shared" ref="U102:U165" si="65">T102-V102</f>
        <v>0</v>
      </c>
      <c r="V102" s="1312">
        <f>W101*((1+'Instrumentos Financeiros'!$H$43)^(1/12)-1)</f>
        <v>0</v>
      </c>
      <c r="W102" s="1312">
        <f t="shared" si="35"/>
        <v>0</v>
      </c>
      <c r="X102" s="1312">
        <f>IF(AND(C102&gt;$F$64,'Instrumentos Financeiros'!C102&lt;'Instrumentos Financeiros'!$F$64+'Instrumentos Financeiros'!$F$11+1),PMT(((1+'Instrumentos Financeiros'!$H$43)^(1/12)-1),$F$11,-$I$64),0)</f>
        <v>0</v>
      </c>
      <c r="Y102" s="1312">
        <f t="shared" ref="Y102:Y165" si="66">X102-Z102</f>
        <v>0</v>
      </c>
      <c r="Z102" s="1312">
        <f>AA101*((1+'Instrumentos Financeiros'!$H$43)^(1/12)-1)</f>
        <v>0</v>
      </c>
      <c r="AA102" s="1312">
        <f t="shared" si="36"/>
        <v>0</v>
      </c>
      <c r="AB102" s="1312">
        <f>IF(AND(C102&gt;$F$65,'Instrumentos Financeiros'!C102&lt;'Instrumentos Financeiros'!$F$65+'Instrumentos Financeiros'!$F$11+1),PMT(((1+'Instrumentos Financeiros'!$H$43)^(1/12)-1),$F$11,-$I$65),0)</f>
        <v>0</v>
      </c>
      <c r="AC102" s="1312">
        <f t="shared" ref="AC102:AC165" si="67">AB102-AD102</f>
        <v>0</v>
      </c>
      <c r="AD102" s="1312">
        <f>AE101*((1+'Instrumentos Financeiros'!$H$43)^(1/12)-1)</f>
        <v>0</v>
      </c>
      <c r="AE102" s="1312">
        <f t="shared" si="37"/>
        <v>0</v>
      </c>
      <c r="AF102" s="1312">
        <f>IF(AND(C102&gt;$F$66,'Instrumentos Financeiros'!C102&lt;'Instrumentos Financeiros'!$F$66+'Instrumentos Financeiros'!$F$11+1),PMT(((1+'Instrumentos Financeiros'!$I$43)^(1/12)-1),$F$11,-$I$66),0)</f>
        <v>0</v>
      </c>
      <c r="AG102" s="1312">
        <f t="shared" ref="AG102:AG165" si="68">AF102-AH102</f>
        <v>0</v>
      </c>
      <c r="AH102" s="1312">
        <f>AI101*((1+'Instrumentos Financeiros'!$I$43)^(1/12)-1)</f>
        <v>0</v>
      </c>
      <c r="AI102" s="1312">
        <f t="shared" si="38"/>
        <v>0</v>
      </c>
      <c r="AJ102" s="1312">
        <f>IF(AND(C102&gt;$F$67,'Instrumentos Financeiros'!C102&lt;'Instrumentos Financeiros'!$F$67+'Instrumentos Financeiros'!$F$11+1),PMT(((1+'Instrumentos Financeiros'!$I$43)^(1/12)-1),$F$11,-$I$67),0)</f>
        <v>0</v>
      </c>
      <c r="AK102" s="1312">
        <f t="shared" ref="AK102:AK165" si="69">AJ102-AL102</f>
        <v>0</v>
      </c>
      <c r="AL102" s="1312">
        <f>AM101*((1+'Instrumentos Financeiros'!$I$43)^(1/12)-1)</f>
        <v>0</v>
      </c>
      <c r="AM102" s="1312">
        <f t="shared" si="39"/>
        <v>0</v>
      </c>
      <c r="AN102" s="1312">
        <f>IF(AND(C102&gt;$F$68,'Instrumentos Financeiros'!C102&lt;'Instrumentos Financeiros'!$F$68+'Instrumentos Financeiros'!$F$11+1),PMT(((1+'Instrumentos Financeiros'!$I$43)^(1/12)-1),$F$11,-$I$68),0)</f>
        <v>0</v>
      </c>
      <c r="AO102" s="1312">
        <f t="shared" ref="AO102:AO165" si="70">AN102-AP102</f>
        <v>0</v>
      </c>
      <c r="AP102" s="1312">
        <f>AQ101*((1+'Instrumentos Financeiros'!$I$43)^(1/12)-1)</f>
        <v>0</v>
      </c>
      <c r="AQ102" s="1312">
        <f t="shared" si="40"/>
        <v>0</v>
      </c>
      <c r="AR102" s="1312">
        <f>IF(AND(C102&gt;$F$69,'Instrumentos Financeiros'!C102&lt;'Instrumentos Financeiros'!$F$69+'Instrumentos Financeiros'!$F$11+1),PMT(((1+'Instrumentos Financeiros'!$I$43)^(1/12)-1),$F$11,-$I$69),0)</f>
        <v>0</v>
      </c>
      <c r="AS102" s="1312">
        <f t="shared" ref="AS102:AS165" si="71">AR102-AT102</f>
        <v>0</v>
      </c>
      <c r="AT102" s="1312">
        <f>AU101*((1+'Instrumentos Financeiros'!$I$43)^(1/12)-1)</f>
        <v>0</v>
      </c>
      <c r="AU102" s="1312">
        <f t="shared" si="41"/>
        <v>0</v>
      </c>
      <c r="AV102" s="1312">
        <f>IF(AND(C102&gt;$F$70,'Instrumentos Financeiros'!C102&lt;'Instrumentos Financeiros'!$F$70+'Instrumentos Financeiros'!$F$11+1),PMT(((1+'Instrumentos Financeiros'!$J$43)^(1/12)-1),$F$11,-$I$70),0)</f>
        <v>0</v>
      </c>
      <c r="AW102" s="1312">
        <f t="shared" ref="AW102:AW165" si="72">AV102-AX102</f>
        <v>0</v>
      </c>
      <c r="AX102" s="1312">
        <f>AY101*((1+'Instrumentos Financeiros'!$J$43)^(1/12)-1)</f>
        <v>0</v>
      </c>
      <c r="AY102" s="1312">
        <f t="shared" si="42"/>
        <v>0</v>
      </c>
      <c r="AZ102" s="1312">
        <f>IF(AND(C102&gt;$F$71,'Instrumentos Financeiros'!C102&lt;'Instrumentos Financeiros'!$F$71+'Instrumentos Financeiros'!$F$11+1),PMT(((1+'Instrumentos Financeiros'!$J$43)^(1/12)-1),$F$11,-$I$71),0)</f>
        <v>0</v>
      </c>
      <c r="BA102" s="1312">
        <f t="shared" ref="BA102:BA165" si="73">AZ102-BB102</f>
        <v>0</v>
      </c>
      <c r="BB102" s="1312">
        <f>BC101*((1+'Instrumentos Financeiros'!$J$43)^(1/12)-1)</f>
        <v>0</v>
      </c>
      <c r="BC102" s="1312">
        <f t="shared" si="43"/>
        <v>0</v>
      </c>
      <c r="BD102" s="1312">
        <f>IF(AND(C102&gt;$F$72,'Instrumentos Financeiros'!C102&lt;'Instrumentos Financeiros'!$F$72+'Instrumentos Financeiros'!$F$11+1),PMT(((1+'Instrumentos Financeiros'!$J$43)^(1/12)-1),$F$11,-'Instrumentos Financeiros'!$G$7*$G$72),0)</f>
        <v>0</v>
      </c>
      <c r="BE102" s="1312">
        <f t="shared" ref="BE102:BE165" si="74">BD102-BF102</f>
        <v>0</v>
      </c>
      <c r="BF102" s="1312">
        <f>BG101*((1+'Instrumentos Financeiros'!$J$43)^(1/12)-1)</f>
        <v>0</v>
      </c>
      <c r="BG102" s="1312">
        <f t="shared" si="44"/>
        <v>0</v>
      </c>
      <c r="BH102" s="1312">
        <f>IF(AND(C102&gt;$F$73,'Instrumentos Financeiros'!C102&lt;'Instrumentos Financeiros'!$F$73+'Instrumentos Financeiros'!$F$11+1),PMT(((1+'Instrumentos Financeiros'!$J$43)^(1/12)-1),$F$11,-$I$73),0)</f>
        <v>0</v>
      </c>
      <c r="BI102" s="1312">
        <f t="shared" ref="BI102:BI165" si="75">BH102-BJ102</f>
        <v>0</v>
      </c>
      <c r="BJ102" s="1312">
        <f>BK101*((1+'Instrumentos Financeiros'!$J$43)^(1/12)-1)</f>
        <v>0</v>
      </c>
      <c r="BK102" s="1312">
        <f t="shared" si="45"/>
        <v>0</v>
      </c>
      <c r="BL102" s="1312">
        <f>IF(AND(C102&gt;$F$77,'Instrumentos Financeiros'!C102&lt;'Instrumentos Financeiros'!$F$77+'Instrumentos Financeiros'!$F$12+1),PMT(((1+'Instrumentos Financeiros'!$K$43)^(1/12)-1),$F$12,-$I$77),0)</f>
        <v>0</v>
      </c>
      <c r="BM102" s="1312">
        <f t="shared" si="46"/>
        <v>0</v>
      </c>
      <c r="BN102" s="1312">
        <f>BO101*((1+'Instrumentos Financeiros'!$K$43)^(1/12)-1)</f>
        <v>0</v>
      </c>
      <c r="BO102" s="1312">
        <f t="shared" si="47"/>
        <v>0</v>
      </c>
      <c r="BP102" s="1312">
        <f>IF(AND(C102&gt;$F$78,'Instrumentos Financeiros'!C102&lt;'Instrumentos Financeiros'!$F$78+'Instrumentos Financeiros'!$F$12+1),PMT(((1+'Instrumentos Financeiros'!$L$43)^(1/12)-1),$F$12,-$I$78),0)</f>
        <v>0</v>
      </c>
      <c r="BQ102" s="1312">
        <f t="shared" si="48"/>
        <v>0</v>
      </c>
      <c r="BR102" s="1312">
        <f>BS101*((1+'Instrumentos Financeiros'!$L$43)^(1/12)-1)</f>
        <v>0</v>
      </c>
      <c r="BS102" s="1312">
        <f t="shared" si="49"/>
        <v>0</v>
      </c>
      <c r="BT102" s="1312">
        <f>IF(AND(C102&gt;$F$79,'Instrumentos Financeiros'!C102&lt;'Instrumentos Financeiros'!$F$79+'Instrumentos Financeiros'!$F$12+1),PMT(((1+'Instrumentos Financeiros'!$L$43)^(1/12)-1),$F$12,-$I$79),0)</f>
        <v>0</v>
      </c>
      <c r="BU102" s="1312">
        <f t="shared" si="50"/>
        <v>0</v>
      </c>
      <c r="BV102" s="1312">
        <f>BW101*((1+'Instrumentos Financeiros'!$L$43)^(1/12)-1)</f>
        <v>0</v>
      </c>
      <c r="BW102" s="1312">
        <f t="shared" si="51"/>
        <v>0</v>
      </c>
      <c r="BX102" s="1312">
        <f>IF(AND(C102&gt;$F$80,'Instrumentos Financeiros'!C102&lt;'Instrumentos Financeiros'!$F$80+'Instrumentos Financeiros'!$F$12+1),PMT(((1+'Instrumentos Financeiros'!$L$43)^(1/12)-1),$F$12,-$I$80),0)</f>
        <v>0</v>
      </c>
      <c r="BY102" s="1312">
        <f t="shared" si="52"/>
        <v>0</v>
      </c>
      <c r="BZ102" s="1312">
        <f>CA101*((1+'Instrumentos Financeiros'!$L$43)^(1/12)-1)</f>
        <v>0</v>
      </c>
      <c r="CA102" s="1312">
        <f t="shared" si="53"/>
        <v>0</v>
      </c>
      <c r="CB102" s="1312">
        <f>IF(AND(C102&gt;$F$83,'Instrumentos Financeiros'!C102&lt;'Instrumentos Financeiros'!$F$83+'Instrumentos Financeiros'!$F$13+1),PMT(((1+'Instrumentos Financeiros'!$P$43)^(1/12)-1),$F$13,-$I$83),0)</f>
        <v>0</v>
      </c>
      <c r="CC102" s="1312">
        <f t="shared" si="54"/>
        <v>0</v>
      </c>
      <c r="CD102" s="1312">
        <f>CE101*((1+'Instrumentos Financeiros'!$P$43)^(1/12)-1)</f>
        <v>0</v>
      </c>
      <c r="CE102" s="1312">
        <f t="shared" si="55"/>
        <v>0</v>
      </c>
      <c r="CF102" s="1312">
        <f>IF(AND(C102&gt;$F$84,'Instrumentos Financeiros'!C102&lt;'Instrumentos Financeiros'!$F$84+'Instrumentos Financeiros'!$F$13+1),PMT(((1+'Instrumentos Financeiros'!$Q$43)^(1/12)-1),$F$13,-$I$84),0)</f>
        <v>0</v>
      </c>
      <c r="CG102" s="1312">
        <f t="shared" si="56"/>
        <v>0</v>
      </c>
      <c r="CH102" s="1312">
        <f>CI101*((1+'Instrumentos Financeiros'!$Q$43)^(1/12)-1)</f>
        <v>0</v>
      </c>
      <c r="CI102" s="1312">
        <f t="shared" si="57"/>
        <v>0</v>
      </c>
      <c r="CJ102" s="1312">
        <f>IF(AND(C102&gt;$F$85,'Instrumentos Financeiros'!C102&lt;'Instrumentos Financeiros'!$F$85+'Instrumentos Financeiros'!$F$13+1),PMT(((1+'Instrumentos Financeiros'!$Q$43)^(1/12)-1),$F$13,-$I$85),0)</f>
        <v>0</v>
      </c>
      <c r="CK102" s="1312">
        <f t="shared" si="58"/>
        <v>0</v>
      </c>
      <c r="CL102" s="1312">
        <f>CM101*((1+'Instrumentos Financeiros'!$Q$43)^(1/12)-1)</f>
        <v>0</v>
      </c>
      <c r="CM102" s="1312">
        <f t="shared" si="59"/>
        <v>0</v>
      </c>
      <c r="CN102" s="1312">
        <f>IF(AND(C102&gt;$F$86,'Instrumentos Financeiros'!C102&lt;'Instrumentos Financeiros'!$F$86+'Instrumentos Financeiros'!$F$13+1),PMT(((1+'Instrumentos Financeiros'!$Q$43)^(1/12)-1),$F$13,-$I$86),0)</f>
        <v>0</v>
      </c>
      <c r="CO102" s="1312">
        <f t="shared" si="60"/>
        <v>0</v>
      </c>
      <c r="CP102" s="1312">
        <f>CQ101*((1+'Instrumentos Financeiros'!$Q$43)^(1/12)-1)</f>
        <v>0</v>
      </c>
      <c r="CQ102" s="1312">
        <f t="shared" si="61"/>
        <v>0</v>
      </c>
      <c r="CR102" s="1312">
        <f t="shared" si="29"/>
        <v>0</v>
      </c>
      <c r="CS102" s="1312">
        <f t="shared" si="29"/>
        <v>0</v>
      </c>
      <c r="CT102" s="1312">
        <f t="shared" si="29"/>
        <v>0</v>
      </c>
      <c r="CU102" s="1312">
        <f t="shared" si="29"/>
        <v>0</v>
      </c>
    </row>
    <row r="103" spans="3:99" x14ac:dyDescent="0.35">
      <c r="C103" s="1315">
        <f t="shared" si="30"/>
        <v>10</v>
      </c>
      <c r="D103" s="1312">
        <f>IF(AND(C103&gt;$F$59,'Instrumentos Financeiros'!C103&lt;'Instrumentos Financeiros'!$F$59+'Instrumentos Financeiros'!$F$11+1),PMT(((1+'Instrumentos Financeiros'!$G$43)^(1/12)-1),$F$11,-$I$59),0)</f>
        <v>0</v>
      </c>
      <c r="E103" s="1312">
        <f t="shared" si="14"/>
        <v>0</v>
      </c>
      <c r="F103" s="1312">
        <f>G102*((1+'Instrumentos Financeiros'!$G$43)^(1/12)-1)</f>
        <v>0</v>
      </c>
      <c r="G103" s="1312">
        <f t="shared" si="31"/>
        <v>0</v>
      </c>
      <c r="H103" s="1312">
        <f>IF(AND(C103&gt;$F$60,'Instrumentos Financeiros'!C103&lt;'Instrumentos Financeiros'!$F$60+'Instrumentos Financeiros'!$F$11+1),PMT(((1+'Instrumentos Financeiros'!$G$43)^(1/12)-1),$F$11,-$I$60),0)</f>
        <v>0</v>
      </c>
      <c r="I103" s="1312">
        <f t="shared" si="62"/>
        <v>0</v>
      </c>
      <c r="J103" s="1312">
        <f>K102*((1+'Instrumentos Financeiros'!$G$43)^(1/12)-1)</f>
        <v>0</v>
      </c>
      <c r="K103" s="1312">
        <f t="shared" si="32"/>
        <v>0</v>
      </c>
      <c r="L103" s="1312">
        <f>IF(AND(C103&gt;$F$61,'Instrumentos Financeiros'!C103&lt;'Instrumentos Financeiros'!$F$61+'Instrumentos Financeiros'!$F$11+1),PMT(((1+'Instrumentos Financeiros'!$G$43)^(1/12)-1),$F$11,-$I$61),0)</f>
        <v>0</v>
      </c>
      <c r="M103" s="1312">
        <f t="shared" si="63"/>
        <v>0</v>
      </c>
      <c r="N103" s="1312">
        <f>O102*((1+'Instrumentos Financeiros'!$G$43)^(1/12)-1)</f>
        <v>0</v>
      </c>
      <c r="O103" s="1312">
        <f t="shared" si="33"/>
        <v>0</v>
      </c>
      <c r="P103" s="1312">
        <f>IF(AND(C103&gt;$F$62,'Instrumentos Financeiros'!C103&lt;'Instrumentos Financeiros'!$F$62+'Instrumentos Financeiros'!$F$11+1),PMT(((1+'Instrumentos Financeiros'!$H$43)^(1/12)-1),$F$11,-$I$62),0)</f>
        <v>0</v>
      </c>
      <c r="Q103" s="1312">
        <f t="shared" si="64"/>
        <v>0</v>
      </c>
      <c r="R103" s="1312">
        <f>S102*((1+'Instrumentos Financeiros'!$H$43)^(1/12)-1)</f>
        <v>0</v>
      </c>
      <c r="S103" s="1312">
        <f t="shared" si="34"/>
        <v>0</v>
      </c>
      <c r="T103" s="1312">
        <f>IF(AND(C103&gt;$F$63,'Instrumentos Financeiros'!C103&lt;'Instrumentos Financeiros'!$F$63+'Instrumentos Financeiros'!$F$11+1),PMT(((1+'Instrumentos Financeiros'!$H$43)^(1/12)-1),$F$11,-$I$63),0)</f>
        <v>0</v>
      </c>
      <c r="U103" s="1312">
        <f t="shared" si="65"/>
        <v>0</v>
      </c>
      <c r="V103" s="1312">
        <f>W102*((1+'Instrumentos Financeiros'!$H$43)^(1/12)-1)</f>
        <v>0</v>
      </c>
      <c r="W103" s="1312">
        <f t="shared" si="35"/>
        <v>0</v>
      </c>
      <c r="X103" s="1312">
        <f>IF(AND(C103&gt;$F$64,'Instrumentos Financeiros'!C103&lt;'Instrumentos Financeiros'!$F$64+'Instrumentos Financeiros'!$F$11+1),PMT(((1+'Instrumentos Financeiros'!$H$43)^(1/12)-1),$F$11,-$I$64),0)</f>
        <v>0</v>
      </c>
      <c r="Y103" s="1312">
        <f t="shared" si="66"/>
        <v>0</v>
      </c>
      <c r="Z103" s="1312">
        <f>AA102*((1+'Instrumentos Financeiros'!$H$43)^(1/12)-1)</f>
        <v>0</v>
      </c>
      <c r="AA103" s="1312">
        <f t="shared" si="36"/>
        <v>0</v>
      </c>
      <c r="AB103" s="1312">
        <f>IF(AND(C103&gt;$F$65,'Instrumentos Financeiros'!C103&lt;'Instrumentos Financeiros'!$F$65+'Instrumentos Financeiros'!$F$11+1),PMT(((1+'Instrumentos Financeiros'!$H$43)^(1/12)-1),$F$11,-$I$65),0)</f>
        <v>0</v>
      </c>
      <c r="AC103" s="1312">
        <f t="shared" si="67"/>
        <v>0</v>
      </c>
      <c r="AD103" s="1312">
        <f>AE102*((1+'Instrumentos Financeiros'!$H$43)^(1/12)-1)</f>
        <v>0</v>
      </c>
      <c r="AE103" s="1312">
        <f t="shared" si="37"/>
        <v>0</v>
      </c>
      <c r="AF103" s="1312">
        <f>IF(AND(C103&gt;$F$66,'Instrumentos Financeiros'!C103&lt;'Instrumentos Financeiros'!$F$66+'Instrumentos Financeiros'!$F$11+1),PMT(((1+'Instrumentos Financeiros'!$I$43)^(1/12)-1),$F$11,-$I$66),0)</f>
        <v>0</v>
      </c>
      <c r="AG103" s="1312">
        <f t="shared" si="68"/>
        <v>0</v>
      </c>
      <c r="AH103" s="1312">
        <f>AI102*((1+'Instrumentos Financeiros'!$I$43)^(1/12)-1)</f>
        <v>0</v>
      </c>
      <c r="AI103" s="1312">
        <f t="shared" si="38"/>
        <v>0</v>
      </c>
      <c r="AJ103" s="1312">
        <f>IF(AND(C103&gt;$F$67,'Instrumentos Financeiros'!C103&lt;'Instrumentos Financeiros'!$F$67+'Instrumentos Financeiros'!$F$11+1),PMT(((1+'Instrumentos Financeiros'!$I$43)^(1/12)-1),$F$11,-$I$67),0)</f>
        <v>0</v>
      </c>
      <c r="AK103" s="1312">
        <f t="shared" si="69"/>
        <v>0</v>
      </c>
      <c r="AL103" s="1312">
        <f>AM102*((1+'Instrumentos Financeiros'!$I$43)^(1/12)-1)</f>
        <v>0</v>
      </c>
      <c r="AM103" s="1312">
        <f t="shared" si="39"/>
        <v>0</v>
      </c>
      <c r="AN103" s="1312">
        <f>IF(AND(C103&gt;$F$68,'Instrumentos Financeiros'!C103&lt;'Instrumentos Financeiros'!$F$68+'Instrumentos Financeiros'!$F$11+1),PMT(((1+'Instrumentos Financeiros'!$I$43)^(1/12)-1),$F$11,-$I$68),0)</f>
        <v>0</v>
      </c>
      <c r="AO103" s="1312">
        <f t="shared" si="70"/>
        <v>0</v>
      </c>
      <c r="AP103" s="1312">
        <f>AQ102*((1+'Instrumentos Financeiros'!$I$43)^(1/12)-1)</f>
        <v>0</v>
      </c>
      <c r="AQ103" s="1312">
        <f t="shared" si="40"/>
        <v>0</v>
      </c>
      <c r="AR103" s="1312">
        <f>IF(AND(C103&gt;$F$69,'Instrumentos Financeiros'!C103&lt;'Instrumentos Financeiros'!$F$69+'Instrumentos Financeiros'!$F$11+1),PMT(((1+'Instrumentos Financeiros'!$I$43)^(1/12)-1),$F$11,-$I$69),0)</f>
        <v>0</v>
      </c>
      <c r="AS103" s="1312">
        <f t="shared" si="71"/>
        <v>0</v>
      </c>
      <c r="AT103" s="1312">
        <f>AU102*((1+'Instrumentos Financeiros'!$I$43)^(1/12)-1)</f>
        <v>0</v>
      </c>
      <c r="AU103" s="1312">
        <f t="shared" si="41"/>
        <v>0</v>
      </c>
      <c r="AV103" s="1312">
        <f>IF(AND(C103&gt;$F$70,'Instrumentos Financeiros'!C103&lt;'Instrumentos Financeiros'!$F$70+'Instrumentos Financeiros'!$F$11+1),PMT(((1+'Instrumentos Financeiros'!$J$43)^(1/12)-1),$F$11,-$I$70),0)</f>
        <v>0</v>
      </c>
      <c r="AW103" s="1312">
        <f t="shared" si="72"/>
        <v>0</v>
      </c>
      <c r="AX103" s="1312">
        <f>AY102*((1+'Instrumentos Financeiros'!$J$43)^(1/12)-1)</f>
        <v>0</v>
      </c>
      <c r="AY103" s="1312">
        <f t="shared" si="42"/>
        <v>0</v>
      </c>
      <c r="AZ103" s="1312">
        <f>IF(AND(C103&gt;$F$71,'Instrumentos Financeiros'!C103&lt;'Instrumentos Financeiros'!$F$71+'Instrumentos Financeiros'!$F$11+1),PMT(((1+'Instrumentos Financeiros'!$J$43)^(1/12)-1),$F$11,-$I$71),0)</f>
        <v>0</v>
      </c>
      <c r="BA103" s="1312">
        <f t="shared" si="73"/>
        <v>0</v>
      </c>
      <c r="BB103" s="1312">
        <f>BC102*((1+'Instrumentos Financeiros'!$J$43)^(1/12)-1)</f>
        <v>0</v>
      </c>
      <c r="BC103" s="1312">
        <f t="shared" si="43"/>
        <v>0</v>
      </c>
      <c r="BD103" s="1312">
        <f>IF(AND(C103&gt;$F$72,'Instrumentos Financeiros'!C103&lt;'Instrumentos Financeiros'!$F$72+'Instrumentos Financeiros'!$F$11+1),PMT(((1+'Instrumentos Financeiros'!$J$43)^(1/12)-1),$F$11,-'Instrumentos Financeiros'!$G$7*$G$72),0)</f>
        <v>0</v>
      </c>
      <c r="BE103" s="1312">
        <f t="shared" si="74"/>
        <v>0</v>
      </c>
      <c r="BF103" s="1312">
        <f>BG102*((1+'Instrumentos Financeiros'!$J$43)^(1/12)-1)</f>
        <v>0</v>
      </c>
      <c r="BG103" s="1312">
        <f t="shared" si="44"/>
        <v>0</v>
      </c>
      <c r="BH103" s="1312">
        <f>IF(AND(C103&gt;$F$73,'Instrumentos Financeiros'!C103&lt;'Instrumentos Financeiros'!$F$73+'Instrumentos Financeiros'!$F$11+1),PMT(((1+'Instrumentos Financeiros'!$J$43)^(1/12)-1),$F$11,-$I$73),0)</f>
        <v>0</v>
      </c>
      <c r="BI103" s="1312">
        <f t="shared" si="75"/>
        <v>0</v>
      </c>
      <c r="BJ103" s="1312">
        <f>BK102*((1+'Instrumentos Financeiros'!$J$43)^(1/12)-1)</f>
        <v>0</v>
      </c>
      <c r="BK103" s="1312">
        <f t="shared" si="45"/>
        <v>0</v>
      </c>
      <c r="BL103" s="1312">
        <f>IF(AND(C103&gt;$F$77,'Instrumentos Financeiros'!C103&lt;'Instrumentos Financeiros'!$F$77+'Instrumentos Financeiros'!$F$12+1),PMT(((1+'Instrumentos Financeiros'!$K$43)^(1/12)-1),$F$12,-$I$77),0)</f>
        <v>0</v>
      </c>
      <c r="BM103" s="1312">
        <f t="shared" si="46"/>
        <v>0</v>
      </c>
      <c r="BN103" s="1312">
        <f>BO102*((1+'Instrumentos Financeiros'!$K$43)^(1/12)-1)</f>
        <v>0</v>
      </c>
      <c r="BO103" s="1312">
        <f t="shared" si="47"/>
        <v>0</v>
      </c>
      <c r="BP103" s="1312">
        <f>IF(AND(C103&gt;$F$78,'Instrumentos Financeiros'!C103&lt;'Instrumentos Financeiros'!$F$78+'Instrumentos Financeiros'!$F$12+1),PMT(((1+'Instrumentos Financeiros'!$L$43)^(1/12)-1),$F$12,-$I$78),0)</f>
        <v>0</v>
      </c>
      <c r="BQ103" s="1312">
        <f t="shared" si="48"/>
        <v>0</v>
      </c>
      <c r="BR103" s="1312">
        <f>BS102*((1+'Instrumentos Financeiros'!$L$43)^(1/12)-1)</f>
        <v>0</v>
      </c>
      <c r="BS103" s="1312">
        <f t="shared" si="49"/>
        <v>0</v>
      </c>
      <c r="BT103" s="1312">
        <f>IF(AND(C103&gt;$F$79,'Instrumentos Financeiros'!C103&lt;'Instrumentos Financeiros'!$F$79+'Instrumentos Financeiros'!$F$12+1),PMT(((1+'Instrumentos Financeiros'!$L$43)^(1/12)-1),$F$12,-$I$79),0)</f>
        <v>0</v>
      </c>
      <c r="BU103" s="1312">
        <f t="shared" si="50"/>
        <v>0</v>
      </c>
      <c r="BV103" s="1312">
        <f>BW102*((1+'Instrumentos Financeiros'!$L$43)^(1/12)-1)</f>
        <v>0</v>
      </c>
      <c r="BW103" s="1312">
        <f t="shared" si="51"/>
        <v>0</v>
      </c>
      <c r="BX103" s="1312">
        <f>IF(AND(C103&gt;$F$80,'Instrumentos Financeiros'!C103&lt;'Instrumentos Financeiros'!$F$80+'Instrumentos Financeiros'!$F$12+1),PMT(((1+'Instrumentos Financeiros'!$L$43)^(1/12)-1),$F$12,-$I$80),0)</f>
        <v>0</v>
      </c>
      <c r="BY103" s="1312">
        <f t="shared" si="52"/>
        <v>0</v>
      </c>
      <c r="BZ103" s="1312">
        <f>CA102*((1+'Instrumentos Financeiros'!$L$43)^(1/12)-1)</f>
        <v>0</v>
      </c>
      <c r="CA103" s="1312">
        <f t="shared" si="53"/>
        <v>0</v>
      </c>
      <c r="CB103" s="1312">
        <f>IF(AND(C103&gt;$F$83,'Instrumentos Financeiros'!C103&lt;'Instrumentos Financeiros'!$F$83+'Instrumentos Financeiros'!$F$13+1),PMT(((1+'Instrumentos Financeiros'!$P$43)^(1/12)-1),$F$13,-$I$83),0)</f>
        <v>0</v>
      </c>
      <c r="CC103" s="1312">
        <f t="shared" si="54"/>
        <v>0</v>
      </c>
      <c r="CD103" s="1312">
        <f>CE102*((1+'Instrumentos Financeiros'!$P$43)^(1/12)-1)</f>
        <v>0</v>
      </c>
      <c r="CE103" s="1312">
        <f t="shared" si="55"/>
        <v>0</v>
      </c>
      <c r="CF103" s="1312">
        <f>IF(AND(C103&gt;$F$84,'Instrumentos Financeiros'!C103&lt;'Instrumentos Financeiros'!$F$84+'Instrumentos Financeiros'!$F$13+1),PMT(((1+'Instrumentos Financeiros'!$Q$43)^(1/12)-1),$F$13,-$I$84),0)</f>
        <v>0</v>
      </c>
      <c r="CG103" s="1312">
        <f t="shared" si="56"/>
        <v>0</v>
      </c>
      <c r="CH103" s="1312">
        <f>CI102*((1+'Instrumentos Financeiros'!$Q$43)^(1/12)-1)</f>
        <v>0</v>
      </c>
      <c r="CI103" s="1312">
        <f t="shared" si="57"/>
        <v>0</v>
      </c>
      <c r="CJ103" s="1312">
        <f>IF(AND(C103&gt;$F$85,'Instrumentos Financeiros'!C103&lt;'Instrumentos Financeiros'!$F$85+'Instrumentos Financeiros'!$F$13+1),PMT(((1+'Instrumentos Financeiros'!$Q$43)^(1/12)-1),$F$13,-$I$85),0)</f>
        <v>0</v>
      </c>
      <c r="CK103" s="1312">
        <f t="shared" si="58"/>
        <v>0</v>
      </c>
      <c r="CL103" s="1312">
        <f>CM102*((1+'Instrumentos Financeiros'!$Q$43)^(1/12)-1)</f>
        <v>0</v>
      </c>
      <c r="CM103" s="1312">
        <f t="shared" si="59"/>
        <v>0</v>
      </c>
      <c r="CN103" s="1312">
        <f>IF(AND(C103&gt;$F$86,'Instrumentos Financeiros'!C103&lt;'Instrumentos Financeiros'!$F$86+'Instrumentos Financeiros'!$F$13+1),PMT(((1+'Instrumentos Financeiros'!$Q$43)^(1/12)-1),$F$13,-$I$86),0)</f>
        <v>0</v>
      </c>
      <c r="CO103" s="1312">
        <f t="shared" si="60"/>
        <v>0</v>
      </c>
      <c r="CP103" s="1312">
        <f>CQ102*((1+'Instrumentos Financeiros'!$Q$43)^(1/12)-1)</f>
        <v>0</v>
      </c>
      <c r="CQ103" s="1312">
        <f t="shared" si="61"/>
        <v>0</v>
      </c>
      <c r="CR103" s="1312">
        <f t="shared" si="29"/>
        <v>0</v>
      </c>
      <c r="CS103" s="1312">
        <f t="shared" si="29"/>
        <v>0</v>
      </c>
      <c r="CT103" s="1312">
        <f t="shared" si="29"/>
        <v>0</v>
      </c>
      <c r="CU103" s="1312">
        <f t="shared" si="29"/>
        <v>0</v>
      </c>
    </row>
    <row r="104" spans="3:99" x14ac:dyDescent="0.35">
      <c r="C104" s="1315">
        <f t="shared" si="30"/>
        <v>11</v>
      </c>
      <c r="D104" s="1312">
        <f>IF(AND(C104&gt;$F$59,'Instrumentos Financeiros'!C104&lt;'Instrumentos Financeiros'!$F$59+'Instrumentos Financeiros'!$F$11+1),PMT(((1+'Instrumentos Financeiros'!$G$43)^(1/12)-1),$F$11,-$I$59),0)</f>
        <v>0</v>
      </c>
      <c r="E104" s="1312">
        <f t="shared" si="14"/>
        <v>0</v>
      </c>
      <c r="F104" s="1312">
        <f>G103*((1+'Instrumentos Financeiros'!$G$43)^(1/12)-1)</f>
        <v>0</v>
      </c>
      <c r="G104" s="1312">
        <f t="shared" si="31"/>
        <v>0</v>
      </c>
      <c r="H104" s="1312">
        <f>IF(AND(C104&gt;$F$60,'Instrumentos Financeiros'!C104&lt;'Instrumentos Financeiros'!$F$60+'Instrumentos Financeiros'!$F$11+1),PMT(((1+'Instrumentos Financeiros'!$G$43)^(1/12)-1),$F$11,-$I$60),0)</f>
        <v>0</v>
      </c>
      <c r="I104" s="1312">
        <f t="shared" si="62"/>
        <v>0</v>
      </c>
      <c r="J104" s="1312">
        <f>K103*((1+'Instrumentos Financeiros'!$G$43)^(1/12)-1)</f>
        <v>0</v>
      </c>
      <c r="K104" s="1312">
        <f t="shared" si="32"/>
        <v>0</v>
      </c>
      <c r="L104" s="1312">
        <f>IF(AND(C104&gt;$F$61,'Instrumentos Financeiros'!C104&lt;'Instrumentos Financeiros'!$F$61+'Instrumentos Financeiros'!$F$11+1),PMT(((1+'Instrumentos Financeiros'!$G$43)^(1/12)-1),$F$11,-$I$61),0)</f>
        <v>0</v>
      </c>
      <c r="M104" s="1312">
        <f t="shared" si="63"/>
        <v>0</v>
      </c>
      <c r="N104" s="1312">
        <f>O103*((1+'Instrumentos Financeiros'!$G$43)^(1/12)-1)</f>
        <v>0</v>
      </c>
      <c r="O104" s="1312">
        <f t="shared" si="33"/>
        <v>0</v>
      </c>
      <c r="P104" s="1312">
        <f>IF(AND(C104&gt;$F$62,'Instrumentos Financeiros'!C104&lt;'Instrumentos Financeiros'!$F$62+'Instrumentos Financeiros'!$F$11+1),PMT(((1+'Instrumentos Financeiros'!$H$43)^(1/12)-1),$F$11,-$I$62),0)</f>
        <v>0</v>
      </c>
      <c r="Q104" s="1312">
        <f t="shared" si="64"/>
        <v>0</v>
      </c>
      <c r="R104" s="1312">
        <f>S103*((1+'Instrumentos Financeiros'!$H$43)^(1/12)-1)</f>
        <v>0</v>
      </c>
      <c r="S104" s="1312">
        <f t="shared" si="34"/>
        <v>0</v>
      </c>
      <c r="T104" s="1312">
        <f>IF(AND(C104&gt;$F$63,'Instrumentos Financeiros'!C104&lt;'Instrumentos Financeiros'!$F$63+'Instrumentos Financeiros'!$F$11+1),PMT(((1+'Instrumentos Financeiros'!$H$43)^(1/12)-1),$F$11,-$I$63),0)</f>
        <v>0</v>
      </c>
      <c r="U104" s="1312">
        <f t="shared" si="65"/>
        <v>0</v>
      </c>
      <c r="V104" s="1312">
        <f>W103*((1+'Instrumentos Financeiros'!$H$43)^(1/12)-1)</f>
        <v>0</v>
      </c>
      <c r="W104" s="1312">
        <f t="shared" si="35"/>
        <v>0</v>
      </c>
      <c r="X104" s="1312">
        <f>IF(AND(C104&gt;$F$64,'Instrumentos Financeiros'!C104&lt;'Instrumentos Financeiros'!$F$64+'Instrumentos Financeiros'!$F$11+1),PMT(((1+'Instrumentos Financeiros'!$H$43)^(1/12)-1),$F$11,-$I$64),0)</f>
        <v>0</v>
      </c>
      <c r="Y104" s="1312">
        <f t="shared" si="66"/>
        <v>0</v>
      </c>
      <c r="Z104" s="1312">
        <f>AA103*((1+'Instrumentos Financeiros'!$H$43)^(1/12)-1)</f>
        <v>0</v>
      </c>
      <c r="AA104" s="1312">
        <f t="shared" si="36"/>
        <v>0</v>
      </c>
      <c r="AB104" s="1312">
        <f>IF(AND(C104&gt;$F$65,'Instrumentos Financeiros'!C104&lt;'Instrumentos Financeiros'!$F$65+'Instrumentos Financeiros'!$F$11+1),PMT(((1+'Instrumentos Financeiros'!$H$43)^(1/12)-1),$F$11,-$I$65),0)</f>
        <v>0</v>
      </c>
      <c r="AC104" s="1312">
        <f t="shared" si="67"/>
        <v>0</v>
      </c>
      <c r="AD104" s="1312">
        <f>AE103*((1+'Instrumentos Financeiros'!$H$43)^(1/12)-1)</f>
        <v>0</v>
      </c>
      <c r="AE104" s="1312">
        <f t="shared" si="37"/>
        <v>0</v>
      </c>
      <c r="AF104" s="1312">
        <f>IF(AND(C104&gt;$F$66,'Instrumentos Financeiros'!C104&lt;'Instrumentos Financeiros'!$F$66+'Instrumentos Financeiros'!$F$11+1),PMT(((1+'Instrumentos Financeiros'!$I$43)^(1/12)-1),$F$11,-$I$66),0)</f>
        <v>0</v>
      </c>
      <c r="AG104" s="1312">
        <f t="shared" si="68"/>
        <v>0</v>
      </c>
      <c r="AH104" s="1312">
        <f>AI103*((1+'Instrumentos Financeiros'!$I$43)^(1/12)-1)</f>
        <v>0</v>
      </c>
      <c r="AI104" s="1312">
        <f t="shared" si="38"/>
        <v>0</v>
      </c>
      <c r="AJ104" s="1312">
        <f>IF(AND(C104&gt;$F$67,'Instrumentos Financeiros'!C104&lt;'Instrumentos Financeiros'!$F$67+'Instrumentos Financeiros'!$F$11+1),PMT(((1+'Instrumentos Financeiros'!$I$43)^(1/12)-1),$F$11,-$I$67),0)</f>
        <v>0</v>
      </c>
      <c r="AK104" s="1312">
        <f t="shared" si="69"/>
        <v>0</v>
      </c>
      <c r="AL104" s="1312">
        <f>AM103*((1+'Instrumentos Financeiros'!$I$43)^(1/12)-1)</f>
        <v>0</v>
      </c>
      <c r="AM104" s="1312">
        <f t="shared" si="39"/>
        <v>0</v>
      </c>
      <c r="AN104" s="1312">
        <f>IF(AND(C104&gt;$F$68,'Instrumentos Financeiros'!C104&lt;'Instrumentos Financeiros'!$F$68+'Instrumentos Financeiros'!$F$11+1),PMT(((1+'Instrumentos Financeiros'!$I$43)^(1/12)-1),$F$11,-$I$68),0)</f>
        <v>0</v>
      </c>
      <c r="AO104" s="1312">
        <f t="shared" si="70"/>
        <v>0</v>
      </c>
      <c r="AP104" s="1312">
        <f>AQ103*((1+'Instrumentos Financeiros'!$I$43)^(1/12)-1)</f>
        <v>0</v>
      </c>
      <c r="AQ104" s="1312">
        <f t="shared" si="40"/>
        <v>0</v>
      </c>
      <c r="AR104" s="1312">
        <f>IF(AND(C104&gt;$F$69,'Instrumentos Financeiros'!C104&lt;'Instrumentos Financeiros'!$F$69+'Instrumentos Financeiros'!$F$11+1),PMT(((1+'Instrumentos Financeiros'!$I$43)^(1/12)-1),$F$11,-$I$69),0)</f>
        <v>0</v>
      </c>
      <c r="AS104" s="1312">
        <f t="shared" si="71"/>
        <v>0</v>
      </c>
      <c r="AT104" s="1312">
        <f>AU103*((1+'Instrumentos Financeiros'!$I$43)^(1/12)-1)</f>
        <v>0</v>
      </c>
      <c r="AU104" s="1312">
        <f t="shared" si="41"/>
        <v>0</v>
      </c>
      <c r="AV104" s="1312">
        <f>IF(AND(C104&gt;$F$70,'Instrumentos Financeiros'!C104&lt;'Instrumentos Financeiros'!$F$70+'Instrumentos Financeiros'!$F$11+1),PMT(((1+'Instrumentos Financeiros'!$J$43)^(1/12)-1),$F$11,-$I$70),0)</f>
        <v>0</v>
      </c>
      <c r="AW104" s="1312">
        <f t="shared" si="72"/>
        <v>0</v>
      </c>
      <c r="AX104" s="1312">
        <f>AY103*((1+'Instrumentos Financeiros'!$J$43)^(1/12)-1)</f>
        <v>0</v>
      </c>
      <c r="AY104" s="1312">
        <f t="shared" si="42"/>
        <v>0</v>
      </c>
      <c r="AZ104" s="1312">
        <f>IF(AND(C104&gt;$F$71,'Instrumentos Financeiros'!C104&lt;'Instrumentos Financeiros'!$F$71+'Instrumentos Financeiros'!$F$11+1),PMT(((1+'Instrumentos Financeiros'!$J$43)^(1/12)-1),$F$11,-$I$71),0)</f>
        <v>0</v>
      </c>
      <c r="BA104" s="1312">
        <f t="shared" si="73"/>
        <v>0</v>
      </c>
      <c r="BB104" s="1312">
        <f>BC103*((1+'Instrumentos Financeiros'!$J$43)^(1/12)-1)</f>
        <v>0</v>
      </c>
      <c r="BC104" s="1312">
        <f t="shared" si="43"/>
        <v>0</v>
      </c>
      <c r="BD104" s="1312">
        <f>IF(AND(C104&gt;$F$72,'Instrumentos Financeiros'!C104&lt;'Instrumentos Financeiros'!$F$72+'Instrumentos Financeiros'!$F$11+1),PMT(((1+'Instrumentos Financeiros'!$J$43)^(1/12)-1),$F$11,-'Instrumentos Financeiros'!$G$7*$G$72),0)</f>
        <v>0</v>
      </c>
      <c r="BE104" s="1312">
        <f t="shared" si="74"/>
        <v>0</v>
      </c>
      <c r="BF104" s="1312">
        <f>BG103*((1+'Instrumentos Financeiros'!$J$43)^(1/12)-1)</f>
        <v>0</v>
      </c>
      <c r="BG104" s="1312">
        <f t="shared" si="44"/>
        <v>0</v>
      </c>
      <c r="BH104" s="1312">
        <f>IF(AND(C104&gt;$F$73,'Instrumentos Financeiros'!C104&lt;'Instrumentos Financeiros'!$F$73+'Instrumentos Financeiros'!$F$11+1),PMT(((1+'Instrumentos Financeiros'!$J$43)^(1/12)-1),$F$11,-$I$73),0)</f>
        <v>0</v>
      </c>
      <c r="BI104" s="1312">
        <f t="shared" si="75"/>
        <v>0</v>
      </c>
      <c r="BJ104" s="1312">
        <f>BK103*((1+'Instrumentos Financeiros'!$J$43)^(1/12)-1)</f>
        <v>0</v>
      </c>
      <c r="BK104" s="1312">
        <f t="shared" si="45"/>
        <v>0</v>
      </c>
      <c r="BL104" s="1312">
        <f>IF(AND(C104&gt;$F$77,'Instrumentos Financeiros'!C104&lt;'Instrumentos Financeiros'!$F$77+'Instrumentos Financeiros'!$F$12+1),PMT(((1+'Instrumentos Financeiros'!$K$43)^(1/12)-1),$F$12,-$I$77),0)</f>
        <v>0</v>
      </c>
      <c r="BM104" s="1312">
        <f t="shared" si="46"/>
        <v>0</v>
      </c>
      <c r="BN104" s="1312">
        <f>BO103*((1+'Instrumentos Financeiros'!$K$43)^(1/12)-1)</f>
        <v>0</v>
      </c>
      <c r="BO104" s="1312">
        <f t="shared" si="47"/>
        <v>0</v>
      </c>
      <c r="BP104" s="1312">
        <f>IF(AND(C104&gt;$F$78,'Instrumentos Financeiros'!C104&lt;'Instrumentos Financeiros'!$F$78+'Instrumentos Financeiros'!$F$12+1),PMT(((1+'Instrumentos Financeiros'!$L$43)^(1/12)-1),$F$12,-$I$78),0)</f>
        <v>0</v>
      </c>
      <c r="BQ104" s="1312">
        <f t="shared" si="48"/>
        <v>0</v>
      </c>
      <c r="BR104" s="1312">
        <f>BS103*((1+'Instrumentos Financeiros'!$L$43)^(1/12)-1)</f>
        <v>0</v>
      </c>
      <c r="BS104" s="1312">
        <f t="shared" si="49"/>
        <v>0</v>
      </c>
      <c r="BT104" s="1312">
        <f>IF(AND(C104&gt;$F$79,'Instrumentos Financeiros'!C104&lt;'Instrumentos Financeiros'!$F$79+'Instrumentos Financeiros'!$F$12+1),PMT(((1+'Instrumentos Financeiros'!$L$43)^(1/12)-1),$F$12,-$I$79),0)</f>
        <v>0</v>
      </c>
      <c r="BU104" s="1312">
        <f t="shared" si="50"/>
        <v>0</v>
      </c>
      <c r="BV104" s="1312">
        <f>BW103*((1+'Instrumentos Financeiros'!$L$43)^(1/12)-1)</f>
        <v>0</v>
      </c>
      <c r="BW104" s="1312">
        <f t="shared" si="51"/>
        <v>0</v>
      </c>
      <c r="BX104" s="1312">
        <f>IF(AND(C104&gt;$F$80,'Instrumentos Financeiros'!C104&lt;'Instrumentos Financeiros'!$F$80+'Instrumentos Financeiros'!$F$12+1),PMT(((1+'Instrumentos Financeiros'!$L$43)^(1/12)-1),$F$12,-$I$80),0)</f>
        <v>0</v>
      </c>
      <c r="BY104" s="1312">
        <f t="shared" si="52"/>
        <v>0</v>
      </c>
      <c r="BZ104" s="1312">
        <f>CA103*((1+'Instrumentos Financeiros'!$L$43)^(1/12)-1)</f>
        <v>0</v>
      </c>
      <c r="CA104" s="1312">
        <f t="shared" si="53"/>
        <v>0</v>
      </c>
      <c r="CB104" s="1312">
        <f>IF(AND(C104&gt;$F$83,'Instrumentos Financeiros'!C104&lt;'Instrumentos Financeiros'!$F$83+'Instrumentos Financeiros'!$F$13+1),PMT(((1+'Instrumentos Financeiros'!$P$43)^(1/12)-1),$F$13,-$I$83),0)</f>
        <v>0</v>
      </c>
      <c r="CC104" s="1312">
        <f t="shared" si="54"/>
        <v>0</v>
      </c>
      <c r="CD104" s="1312">
        <f>CE103*((1+'Instrumentos Financeiros'!$P$43)^(1/12)-1)</f>
        <v>0</v>
      </c>
      <c r="CE104" s="1312">
        <f t="shared" si="55"/>
        <v>0</v>
      </c>
      <c r="CF104" s="1312">
        <f>IF(AND(C104&gt;$F$84,'Instrumentos Financeiros'!C104&lt;'Instrumentos Financeiros'!$F$84+'Instrumentos Financeiros'!$F$13+1),PMT(((1+'Instrumentos Financeiros'!$Q$43)^(1/12)-1),$F$13,-$I$84),0)</f>
        <v>0</v>
      </c>
      <c r="CG104" s="1312">
        <f t="shared" si="56"/>
        <v>0</v>
      </c>
      <c r="CH104" s="1312">
        <f>CI103*((1+'Instrumentos Financeiros'!$Q$43)^(1/12)-1)</f>
        <v>0</v>
      </c>
      <c r="CI104" s="1312">
        <f t="shared" si="57"/>
        <v>0</v>
      </c>
      <c r="CJ104" s="1312">
        <f>IF(AND(C104&gt;$F$85,'Instrumentos Financeiros'!C104&lt;'Instrumentos Financeiros'!$F$85+'Instrumentos Financeiros'!$F$13+1),PMT(((1+'Instrumentos Financeiros'!$Q$43)^(1/12)-1),$F$13,-$I$85),0)</f>
        <v>0</v>
      </c>
      <c r="CK104" s="1312">
        <f t="shared" si="58"/>
        <v>0</v>
      </c>
      <c r="CL104" s="1312">
        <f>CM103*((1+'Instrumentos Financeiros'!$Q$43)^(1/12)-1)</f>
        <v>0</v>
      </c>
      <c r="CM104" s="1312">
        <f t="shared" si="59"/>
        <v>0</v>
      </c>
      <c r="CN104" s="1312">
        <f>IF(AND(C104&gt;$F$86,'Instrumentos Financeiros'!C104&lt;'Instrumentos Financeiros'!$F$86+'Instrumentos Financeiros'!$F$13+1),PMT(((1+'Instrumentos Financeiros'!$Q$43)^(1/12)-1),$F$13,-$I$86),0)</f>
        <v>0</v>
      </c>
      <c r="CO104" s="1312">
        <f t="shared" si="60"/>
        <v>0</v>
      </c>
      <c r="CP104" s="1312">
        <f>CQ103*((1+'Instrumentos Financeiros'!$Q$43)^(1/12)-1)</f>
        <v>0</v>
      </c>
      <c r="CQ104" s="1312">
        <f t="shared" si="61"/>
        <v>0</v>
      </c>
      <c r="CR104" s="1312">
        <f t="shared" si="29"/>
        <v>0</v>
      </c>
      <c r="CS104" s="1312">
        <f t="shared" si="29"/>
        <v>0</v>
      </c>
      <c r="CT104" s="1312">
        <f t="shared" si="29"/>
        <v>0</v>
      </c>
      <c r="CU104" s="1312">
        <f t="shared" si="29"/>
        <v>0</v>
      </c>
    </row>
    <row r="105" spans="3:99" x14ac:dyDescent="0.35">
      <c r="C105" s="1316">
        <f t="shared" si="30"/>
        <v>12</v>
      </c>
      <c r="D105" s="1313">
        <f>IF(AND(C105&gt;$F$59,'Instrumentos Financeiros'!C105&lt;'Instrumentos Financeiros'!$F$59+'Instrumentos Financeiros'!$F$11+1),PMT(((1+'Instrumentos Financeiros'!$G$43)^(1/12)-1),$F$11,-$I$59),0)</f>
        <v>0</v>
      </c>
      <c r="E105" s="1313">
        <f t="shared" si="14"/>
        <v>0</v>
      </c>
      <c r="F105" s="1313">
        <f>G104*((1+'Instrumentos Financeiros'!$G$43)^(1/12)-1)</f>
        <v>0</v>
      </c>
      <c r="G105" s="1313">
        <f t="shared" si="31"/>
        <v>0</v>
      </c>
      <c r="H105" s="1313">
        <f>IF(AND(C105&gt;$F$60,'Instrumentos Financeiros'!C105&lt;'Instrumentos Financeiros'!$F$60+'Instrumentos Financeiros'!$F$11+1),PMT(((1+'Instrumentos Financeiros'!$G$43)^(1/12)-1),$F$11,-$I$60),0)</f>
        <v>0</v>
      </c>
      <c r="I105" s="1313">
        <f t="shared" si="62"/>
        <v>0</v>
      </c>
      <c r="J105" s="1313">
        <f>K104*((1+'Instrumentos Financeiros'!$G$43)^(1/12)-1)</f>
        <v>0</v>
      </c>
      <c r="K105" s="1313">
        <f t="shared" si="32"/>
        <v>0</v>
      </c>
      <c r="L105" s="1313">
        <f>IF(AND(C105&gt;$F$61,'Instrumentos Financeiros'!C105&lt;'Instrumentos Financeiros'!$F$61+'Instrumentos Financeiros'!$F$11+1),PMT(((1+'Instrumentos Financeiros'!$G$43)^(1/12)-1),$F$11,-$I$61),0)</f>
        <v>0</v>
      </c>
      <c r="M105" s="1313">
        <f t="shared" si="63"/>
        <v>0</v>
      </c>
      <c r="N105" s="1313">
        <f>O104*((1+'Instrumentos Financeiros'!$G$43)^(1/12)-1)</f>
        <v>0</v>
      </c>
      <c r="O105" s="1313">
        <f t="shared" si="33"/>
        <v>0</v>
      </c>
      <c r="P105" s="1313">
        <f>IF(AND(C105&gt;$F$62,'Instrumentos Financeiros'!C105&lt;'Instrumentos Financeiros'!$F$62+'Instrumentos Financeiros'!$F$11+1),PMT(((1+'Instrumentos Financeiros'!$H$43)^(1/12)-1),$F$11,-$I$62),0)</f>
        <v>0</v>
      </c>
      <c r="Q105" s="1313">
        <f t="shared" si="64"/>
        <v>0</v>
      </c>
      <c r="R105" s="1313">
        <f>S104*((1+'Instrumentos Financeiros'!$H$43)^(1/12)-1)</f>
        <v>0</v>
      </c>
      <c r="S105" s="1313">
        <f t="shared" si="34"/>
        <v>0</v>
      </c>
      <c r="T105" s="1313">
        <f>IF(AND(C105&gt;$F$63,'Instrumentos Financeiros'!C105&lt;'Instrumentos Financeiros'!$F$63+'Instrumentos Financeiros'!$F$11+1),PMT(((1+'Instrumentos Financeiros'!$H$43)^(1/12)-1),$F$11,-$I$63),0)</f>
        <v>0</v>
      </c>
      <c r="U105" s="1313">
        <f t="shared" si="65"/>
        <v>0</v>
      </c>
      <c r="V105" s="1313">
        <f>W104*((1+'Instrumentos Financeiros'!$H$43)^(1/12)-1)</f>
        <v>0</v>
      </c>
      <c r="W105" s="1313">
        <f t="shared" si="35"/>
        <v>0</v>
      </c>
      <c r="X105" s="1313">
        <f>IF(AND(C105&gt;$F$64,'Instrumentos Financeiros'!C105&lt;'Instrumentos Financeiros'!$F$64+'Instrumentos Financeiros'!$F$11+1),PMT(((1+'Instrumentos Financeiros'!$H$43)^(1/12)-1),$F$11,-$I$64),0)</f>
        <v>0</v>
      </c>
      <c r="Y105" s="1313">
        <f t="shared" si="66"/>
        <v>0</v>
      </c>
      <c r="Z105" s="1313">
        <f>AA104*((1+'Instrumentos Financeiros'!$H$43)^(1/12)-1)</f>
        <v>0</v>
      </c>
      <c r="AA105" s="1313">
        <f t="shared" si="36"/>
        <v>0</v>
      </c>
      <c r="AB105" s="1313">
        <f>IF(AND(C105&gt;$F$65,'Instrumentos Financeiros'!C105&lt;'Instrumentos Financeiros'!$F$65+'Instrumentos Financeiros'!$F$11+1),PMT(((1+'Instrumentos Financeiros'!$H$43)^(1/12)-1),$F$11,-$I$65),0)</f>
        <v>0</v>
      </c>
      <c r="AC105" s="1313">
        <f t="shared" si="67"/>
        <v>0</v>
      </c>
      <c r="AD105" s="1313">
        <f>AE104*((1+'Instrumentos Financeiros'!$H$43)^(1/12)-1)</f>
        <v>0</v>
      </c>
      <c r="AE105" s="1313">
        <f t="shared" si="37"/>
        <v>0</v>
      </c>
      <c r="AF105" s="1313">
        <f>IF(AND(C105&gt;$F$66,'Instrumentos Financeiros'!C105&lt;'Instrumentos Financeiros'!$F$66+'Instrumentos Financeiros'!$F$11+1),PMT(((1+'Instrumentos Financeiros'!$I$43)^(1/12)-1),$F$11,-$I$66),0)</f>
        <v>0</v>
      </c>
      <c r="AG105" s="1313">
        <f t="shared" si="68"/>
        <v>0</v>
      </c>
      <c r="AH105" s="1313">
        <f>AI104*((1+'Instrumentos Financeiros'!$I$43)^(1/12)-1)</f>
        <v>0</v>
      </c>
      <c r="AI105" s="1313">
        <f t="shared" si="38"/>
        <v>0</v>
      </c>
      <c r="AJ105" s="1313">
        <f>IF(AND(C105&gt;$F$67,'Instrumentos Financeiros'!C105&lt;'Instrumentos Financeiros'!$F$67+'Instrumentos Financeiros'!$F$11+1),PMT(((1+'Instrumentos Financeiros'!$I$43)^(1/12)-1),$F$11,-$I$67),0)</f>
        <v>0</v>
      </c>
      <c r="AK105" s="1313">
        <f t="shared" si="69"/>
        <v>0</v>
      </c>
      <c r="AL105" s="1313">
        <f>AM104*((1+'Instrumentos Financeiros'!$I$43)^(1/12)-1)</f>
        <v>0</v>
      </c>
      <c r="AM105" s="1313">
        <f t="shared" si="39"/>
        <v>0</v>
      </c>
      <c r="AN105" s="1313">
        <f>IF(AND(C105&gt;$F$68,'Instrumentos Financeiros'!C105&lt;'Instrumentos Financeiros'!$F$68+'Instrumentos Financeiros'!$F$11+1),PMT(((1+'Instrumentos Financeiros'!$I$43)^(1/12)-1),$F$11,-$I$68),0)</f>
        <v>0</v>
      </c>
      <c r="AO105" s="1313">
        <f t="shared" si="70"/>
        <v>0</v>
      </c>
      <c r="AP105" s="1313">
        <f>AQ104*((1+'Instrumentos Financeiros'!$I$43)^(1/12)-1)</f>
        <v>0</v>
      </c>
      <c r="AQ105" s="1313">
        <f t="shared" si="40"/>
        <v>0</v>
      </c>
      <c r="AR105" s="1313">
        <f>IF(AND(C105&gt;$F$69,'Instrumentos Financeiros'!C105&lt;'Instrumentos Financeiros'!$F$69+'Instrumentos Financeiros'!$F$11+1),PMT(((1+'Instrumentos Financeiros'!$I$43)^(1/12)-1),$F$11,-$I$69),0)</f>
        <v>0</v>
      </c>
      <c r="AS105" s="1313">
        <f t="shared" si="71"/>
        <v>0</v>
      </c>
      <c r="AT105" s="1313">
        <f>AU104*((1+'Instrumentos Financeiros'!$I$43)^(1/12)-1)</f>
        <v>0</v>
      </c>
      <c r="AU105" s="1313">
        <f t="shared" si="41"/>
        <v>0</v>
      </c>
      <c r="AV105" s="1313">
        <f>IF(AND(C105&gt;$F$70,'Instrumentos Financeiros'!C105&lt;'Instrumentos Financeiros'!$F$70+'Instrumentos Financeiros'!$F$11+1),PMT(((1+'Instrumentos Financeiros'!$J$43)^(1/12)-1),$F$11,-$I$70),0)</f>
        <v>0</v>
      </c>
      <c r="AW105" s="1313">
        <f t="shared" si="72"/>
        <v>0</v>
      </c>
      <c r="AX105" s="1313">
        <f>AY104*((1+'Instrumentos Financeiros'!$J$43)^(1/12)-1)</f>
        <v>0</v>
      </c>
      <c r="AY105" s="1313">
        <f t="shared" si="42"/>
        <v>0</v>
      </c>
      <c r="AZ105" s="1313">
        <f>IF(AND(C105&gt;$F$71,'Instrumentos Financeiros'!C105&lt;'Instrumentos Financeiros'!$F$71+'Instrumentos Financeiros'!$F$11+1),PMT(((1+'Instrumentos Financeiros'!$J$43)^(1/12)-1),$F$11,-$I$71),0)</f>
        <v>0</v>
      </c>
      <c r="BA105" s="1313">
        <f t="shared" si="73"/>
        <v>0</v>
      </c>
      <c r="BB105" s="1313">
        <f>BC104*((1+'Instrumentos Financeiros'!$J$43)^(1/12)-1)</f>
        <v>0</v>
      </c>
      <c r="BC105" s="1313">
        <f t="shared" si="43"/>
        <v>0</v>
      </c>
      <c r="BD105" s="1313">
        <f>IF(AND(C105&gt;$F$72,'Instrumentos Financeiros'!C105&lt;'Instrumentos Financeiros'!$F$72+'Instrumentos Financeiros'!$F$11+1),PMT(((1+'Instrumentos Financeiros'!$J$43)^(1/12)-1),$F$11,-'Instrumentos Financeiros'!$G$7*$G$72),0)</f>
        <v>0</v>
      </c>
      <c r="BE105" s="1313">
        <f t="shared" si="74"/>
        <v>0</v>
      </c>
      <c r="BF105" s="1313">
        <f>BG104*((1+'Instrumentos Financeiros'!$J$43)^(1/12)-1)</f>
        <v>0</v>
      </c>
      <c r="BG105" s="1313">
        <f t="shared" si="44"/>
        <v>0</v>
      </c>
      <c r="BH105" s="1313">
        <f>IF(AND(C105&gt;$F$73,'Instrumentos Financeiros'!C105&lt;'Instrumentos Financeiros'!$F$73+'Instrumentos Financeiros'!$F$11+1),PMT(((1+'Instrumentos Financeiros'!$J$43)^(1/12)-1),$F$11,-$I$73),0)</f>
        <v>0</v>
      </c>
      <c r="BI105" s="1313">
        <f t="shared" si="75"/>
        <v>0</v>
      </c>
      <c r="BJ105" s="1313">
        <f>BK104*((1+'Instrumentos Financeiros'!$J$43)^(1/12)-1)</f>
        <v>0</v>
      </c>
      <c r="BK105" s="1313">
        <f t="shared" si="45"/>
        <v>0</v>
      </c>
      <c r="BL105" s="1313">
        <f>IF(AND(C105&gt;$F$77,'Instrumentos Financeiros'!C105&lt;'Instrumentos Financeiros'!$F$77+'Instrumentos Financeiros'!$F$12+1),PMT(((1+'Instrumentos Financeiros'!$K$43)^(1/12)-1),$F$12,-$I$77),0)</f>
        <v>0</v>
      </c>
      <c r="BM105" s="1313">
        <f t="shared" si="46"/>
        <v>0</v>
      </c>
      <c r="BN105" s="1313">
        <f>BO104*((1+'Instrumentos Financeiros'!$K$43)^(1/12)-1)</f>
        <v>0</v>
      </c>
      <c r="BO105" s="1313">
        <f t="shared" si="47"/>
        <v>0</v>
      </c>
      <c r="BP105" s="1313">
        <f>IF(AND(C105&gt;$F$78,'Instrumentos Financeiros'!C105&lt;'Instrumentos Financeiros'!$F$78+'Instrumentos Financeiros'!$F$12+1),PMT(((1+'Instrumentos Financeiros'!$L$43)^(1/12)-1),$F$12,-$I$78),0)</f>
        <v>0</v>
      </c>
      <c r="BQ105" s="1313">
        <f t="shared" si="48"/>
        <v>0</v>
      </c>
      <c r="BR105" s="1313">
        <f>BS104*((1+'Instrumentos Financeiros'!$L$43)^(1/12)-1)</f>
        <v>0</v>
      </c>
      <c r="BS105" s="1313">
        <f t="shared" si="49"/>
        <v>0</v>
      </c>
      <c r="BT105" s="1313">
        <f>IF(AND(C105&gt;$F$79,'Instrumentos Financeiros'!C105&lt;'Instrumentos Financeiros'!$F$79+'Instrumentos Financeiros'!$F$12+1),PMT(((1+'Instrumentos Financeiros'!$L$43)^(1/12)-1),$F$12,-$I$79),0)</f>
        <v>0</v>
      </c>
      <c r="BU105" s="1313">
        <f t="shared" si="50"/>
        <v>0</v>
      </c>
      <c r="BV105" s="1313">
        <f>BW104*((1+'Instrumentos Financeiros'!$L$43)^(1/12)-1)</f>
        <v>0</v>
      </c>
      <c r="BW105" s="1313">
        <f t="shared" si="51"/>
        <v>0</v>
      </c>
      <c r="BX105" s="1313">
        <f>IF(AND(C105&gt;$F$80,'Instrumentos Financeiros'!C105&lt;'Instrumentos Financeiros'!$F$80+'Instrumentos Financeiros'!$F$12+1),PMT(((1+'Instrumentos Financeiros'!$L$43)^(1/12)-1),$F$12,-$I$80),0)</f>
        <v>0</v>
      </c>
      <c r="BY105" s="1313">
        <f t="shared" si="52"/>
        <v>0</v>
      </c>
      <c r="BZ105" s="1313">
        <f>CA104*((1+'Instrumentos Financeiros'!$L$43)^(1/12)-1)</f>
        <v>0</v>
      </c>
      <c r="CA105" s="1313">
        <f t="shared" si="53"/>
        <v>0</v>
      </c>
      <c r="CB105" s="1313">
        <f>IF(AND(C105&gt;$F$83,'Instrumentos Financeiros'!C105&lt;'Instrumentos Financeiros'!$F$83+'Instrumentos Financeiros'!$F$13+1),PMT(((1+'Instrumentos Financeiros'!$P$43)^(1/12)-1),$F$13,-$I$83),0)</f>
        <v>0</v>
      </c>
      <c r="CC105" s="1313">
        <f t="shared" si="54"/>
        <v>0</v>
      </c>
      <c r="CD105" s="1313">
        <f>CE104*((1+'Instrumentos Financeiros'!$P$43)^(1/12)-1)</f>
        <v>0</v>
      </c>
      <c r="CE105" s="1313">
        <f t="shared" si="55"/>
        <v>0</v>
      </c>
      <c r="CF105" s="1313">
        <f>IF(AND(C105&gt;$F$84,'Instrumentos Financeiros'!C105&lt;'Instrumentos Financeiros'!$F$84+'Instrumentos Financeiros'!$F$13+1),PMT(((1+'Instrumentos Financeiros'!$Q$43)^(1/12)-1),$F$13,-$I$84),0)</f>
        <v>0</v>
      </c>
      <c r="CG105" s="1313">
        <f t="shared" si="56"/>
        <v>0</v>
      </c>
      <c r="CH105" s="1313">
        <f>CI104*((1+'Instrumentos Financeiros'!$Q$43)^(1/12)-1)</f>
        <v>0</v>
      </c>
      <c r="CI105" s="1313">
        <f t="shared" si="57"/>
        <v>0</v>
      </c>
      <c r="CJ105" s="1313">
        <f>IF(AND(C105&gt;$F$85,'Instrumentos Financeiros'!C105&lt;'Instrumentos Financeiros'!$F$85+'Instrumentos Financeiros'!$F$13+1),PMT(((1+'Instrumentos Financeiros'!$Q$43)^(1/12)-1),$F$13,-$I$85),0)</f>
        <v>0</v>
      </c>
      <c r="CK105" s="1313">
        <f t="shared" si="58"/>
        <v>0</v>
      </c>
      <c r="CL105" s="1313">
        <f>CM104*((1+'Instrumentos Financeiros'!$Q$43)^(1/12)-1)</f>
        <v>0</v>
      </c>
      <c r="CM105" s="1313">
        <f t="shared" si="59"/>
        <v>0</v>
      </c>
      <c r="CN105" s="1313">
        <f>IF(AND(C105&gt;$F$86,'Instrumentos Financeiros'!C105&lt;'Instrumentos Financeiros'!$F$86+'Instrumentos Financeiros'!$F$13+1),PMT(((1+'Instrumentos Financeiros'!$Q$43)^(1/12)-1),$F$13,-$I$86),0)</f>
        <v>0</v>
      </c>
      <c r="CO105" s="1313">
        <f t="shared" si="60"/>
        <v>0</v>
      </c>
      <c r="CP105" s="1313">
        <f>CQ104*((1+'Instrumentos Financeiros'!$Q$43)^(1/12)-1)</f>
        <v>0</v>
      </c>
      <c r="CQ105" s="1313">
        <f t="shared" si="61"/>
        <v>0</v>
      </c>
      <c r="CR105" s="1313">
        <f t="shared" si="29"/>
        <v>0</v>
      </c>
      <c r="CS105" s="1313">
        <f t="shared" si="29"/>
        <v>0</v>
      </c>
      <c r="CT105" s="1313">
        <f t="shared" si="29"/>
        <v>0</v>
      </c>
      <c r="CU105" s="1313">
        <f t="shared" si="29"/>
        <v>0</v>
      </c>
    </row>
    <row r="106" spans="3:99" x14ac:dyDescent="0.35">
      <c r="C106" s="1315">
        <f t="shared" si="30"/>
        <v>13</v>
      </c>
      <c r="D106" s="1312">
        <f>IF(AND(C106&gt;$F$59,'Instrumentos Financeiros'!C106&lt;'Instrumentos Financeiros'!$F$59+'Instrumentos Financeiros'!$F$11+1),PMT(((1+'Instrumentos Financeiros'!$G$43)^(1/12)-1),$F$11,-$I$59),0)</f>
        <v>0</v>
      </c>
      <c r="E106" s="1312">
        <f t="shared" si="14"/>
        <v>0</v>
      </c>
      <c r="F106" s="1312">
        <f>G105*((1+'Instrumentos Financeiros'!$G$43)^(1/12)-1)</f>
        <v>0</v>
      </c>
      <c r="G106" s="1312">
        <f t="shared" si="31"/>
        <v>0</v>
      </c>
      <c r="H106" s="1312">
        <f>IF(AND(C106&gt;$F$60,'Instrumentos Financeiros'!C106&lt;'Instrumentos Financeiros'!$F$60+'Instrumentos Financeiros'!$F$11+1),PMT(((1+'Instrumentos Financeiros'!$G$43)^(1/12)-1),$F$11,-$I$60),0)</f>
        <v>0</v>
      </c>
      <c r="I106" s="1312">
        <f t="shared" si="62"/>
        <v>0</v>
      </c>
      <c r="J106" s="1312">
        <f>K105*((1+'Instrumentos Financeiros'!$G$43)^(1/12)-1)</f>
        <v>0</v>
      </c>
      <c r="K106" s="1312">
        <f t="shared" si="32"/>
        <v>0</v>
      </c>
      <c r="L106" s="1312">
        <f>IF(AND(C106&gt;$F$61,'Instrumentos Financeiros'!C106&lt;'Instrumentos Financeiros'!$F$61+'Instrumentos Financeiros'!$F$11+1),PMT(((1+'Instrumentos Financeiros'!$G$43)^(1/12)-1),$F$11,-$I$61),0)</f>
        <v>0</v>
      </c>
      <c r="M106" s="1312">
        <f t="shared" si="63"/>
        <v>0</v>
      </c>
      <c r="N106" s="1312">
        <f>O105*((1+'Instrumentos Financeiros'!$G$43)^(1/12)-1)</f>
        <v>0</v>
      </c>
      <c r="O106" s="1312">
        <f t="shared" si="33"/>
        <v>0</v>
      </c>
      <c r="P106" s="1312">
        <f>IF(AND(C106&gt;$F$62,'Instrumentos Financeiros'!C106&lt;'Instrumentos Financeiros'!$F$62+'Instrumentos Financeiros'!$F$11+1),PMT(((1+'Instrumentos Financeiros'!$H$43)^(1/12)-1),$F$11,-$I$62),0)</f>
        <v>0</v>
      </c>
      <c r="Q106" s="1312">
        <f t="shared" si="64"/>
        <v>0</v>
      </c>
      <c r="R106" s="1312">
        <f>S105*((1+'Instrumentos Financeiros'!$H$43)^(1/12)-1)</f>
        <v>0</v>
      </c>
      <c r="S106" s="1312">
        <f t="shared" si="34"/>
        <v>0</v>
      </c>
      <c r="T106" s="1312">
        <f>IF(AND(C106&gt;$F$63,'Instrumentos Financeiros'!C106&lt;'Instrumentos Financeiros'!$F$63+'Instrumentos Financeiros'!$F$11+1),PMT(((1+'Instrumentos Financeiros'!$H$43)^(1/12)-1),$F$11,-$I$63),0)</f>
        <v>0</v>
      </c>
      <c r="U106" s="1312">
        <f t="shared" si="65"/>
        <v>0</v>
      </c>
      <c r="V106" s="1312">
        <f>W105*((1+'Instrumentos Financeiros'!$H$43)^(1/12)-1)</f>
        <v>0</v>
      </c>
      <c r="W106" s="1312">
        <f t="shared" si="35"/>
        <v>0</v>
      </c>
      <c r="X106" s="1312">
        <f>IF(AND(C106&gt;$F$64,'Instrumentos Financeiros'!C106&lt;'Instrumentos Financeiros'!$F$64+'Instrumentos Financeiros'!$F$11+1),PMT(((1+'Instrumentos Financeiros'!$H$43)^(1/12)-1),$F$11,-$I$64),0)</f>
        <v>0</v>
      </c>
      <c r="Y106" s="1312">
        <f t="shared" si="66"/>
        <v>0</v>
      </c>
      <c r="Z106" s="1312">
        <f>AA105*((1+'Instrumentos Financeiros'!$H$43)^(1/12)-1)</f>
        <v>0</v>
      </c>
      <c r="AA106" s="1312">
        <f t="shared" si="36"/>
        <v>0</v>
      </c>
      <c r="AB106" s="1312">
        <f>IF(AND(C106&gt;$F$65,'Instrumentos Financeiros'!C106&lt;'Instrumentos Financeiros'!$F$65+'Instrumentos Financeiros'!$F$11+1),PMT(((1+'Instrumentos Financeiros'!$H$43)^(1/12)-1),$F$11,-$I$65),0)</f>
        <v>0</v>
      </c>
      <c r="AC106" s="1312">
        <f t="shared" si="67"/>
        <v>0</v>
      </c>
      <c r="AD106" s="1312">
        <f>AE105*((1+'Instrumentos Financeiros'!$H$43)^(1/12)-1)</f>
        <v>0</v>
      </c>
      <c r="AE106" s="1312">
        <f t="shared" si="37"/>
        <v>0</v>
      </c>
      <c r="AF106" s="1312">
        <f>IF(AND(C106&gt;$F$66,'Instrumentos Financeiros'!C106&lt;'Instrumentos Financeiros'!$F$66+'Instrumentos Financeiros'!$F$11+1),PMT(((1+'Instrumentos Financeiros'!$I$43)^(1/12)-1),$F$11,-$I$66),0)</f>
        <v>0</v>
      </c>
      <c r="AG106" s="1312">
        <f t="shared" si="68"/>
        <v>0</v>
      </c>
      <c r="AH106" s="1312">
        <f>AI105*((1+'Instrumentos Financeiros'!$I$43)^(1/12)-1)</f>
        <v>0</v>
      </c>
      <c r="AI106" s="1312">
        <f t="shared" si="38"/>
        <v>0</v>
      </c>
      <c r="AJ106" s="1312">
        <f>IF(AND(C106&gt;$F$67,'Instrumentos Financeiros'!C106&lt;'Instrumentos Financeiros'!$F$67+'Instrumentos Financeiros'!$F$11+1),PMT(((1+'Instrumentos Financeiros'!$I$43)^(1/12)-1),$F$11,-$I$67),0)</f>
        <v>0</v>
      </c>
      <c r="AK106" s="1312">
        <f t="shared" si="69"/>
        <v>0</v>
      </c>
      <c r="AL106" s="1312">
        <f>AM105*((1+'Instrumentos Financeiros'!$I$43)^(1/12)-1)</f>
        <v>0</v>
      </c>
      <c r="AM106" s="1312">
        <f t="shared" si="39"/>
        <v>0</v>
      </c>
      <c r="AN106" s="1312">
        <f>IF(AND(C106&gt;$F$68,'Instrumentos Financeiros'!C106&lt;'Instrumentos Financeiros'!$F$68+'Instrumentos Financeiros'!$F$11+1),PMT(((1+'Instrumentos Financeiros'!$I$43)^(1/12)-1),$F$11,-$I$68),0)</f>
        <v>0</v>
      </c>
      <c r="AO106" s="1312">
        <f t="shared" si="70"/>
        <v>0</v>
      </c>
      <c r="AP106" s="1312">
        <f>AQ105*((1+'Instrumentos Financeiros'!$I$43)^(1/12)-1)</f>
        <v>0</v>
      </c>
      <c r="AQ106" s="1312">
        <f t="shared" si="40"/>
        <v>0</v>
      </c>
      <c r="AR106" s="1312">
        <f>IF(AND(C106&gt;$F$69,'Instrumentos Financeiros'!C106&lt;'Instrumentos Financeiros'!$F$69+'Instrumentos Financeiros'!$F$11+1),PMT(((1+'Instrumentos Financeiros'!$I$43)^(1/12)-1),$F$11,-$I$69),0)</f>
        <v>0</v>
      </c>
      <c r="AS106" s="1312">
        <f t="shared" si="71"/>
        <v>0</v>
      </c>
      <c r="AT106" s="1312">
        <f>AU105*((1+'Instrumentos Financeiros'!$I$43)^(1/12)-1)</f>
        <v>0</v>
      </c>
      <c r="AU106" s="1312">
        <f t="shared" si="41"/>
        <v>0</v>
      </c>
      <c r="AV106" s="1312">
        <f>IF(AND(C106&gt;$F$70,'Instrumentos Financeiros'!C106&lt;'Instrumentos Financeiros'!$F$70+'Instrumentos Financeiros'!$F$11+1),PMT(((1+'Instrumentos Financeiros'!$J$43)^(1/12)-1),$F$11,-$I$70),0)</f>
        <v>0</v>
      </c>
      <c r="AW106" s="1312">
        <f t="shared" si="72"/>
        <v>0</v>
      </c>
      <c r="AX106" s="1312">
        <f>AY105*((1+'Instrumentos Financeiros'!$J$43)^(1/12)-1)</f>
        <v>0</v>
      </c>
      <c r="AY106" s="1312">
        <f t="shared" si="42"/>
        <v>0</v>
      </c>
      <c r="AZ106" s="1312">
        <f>IF(AND(C106&gt;$F$71,'Instrumentos Financeiros'!C106&lt;'Instrumentos Financeiros'!$F$71+'Instrumentos Financeiros'!$F$11+1),PMT(((1+'Instrumentos Financeiros'!$J$43)^(1/12)-1),$F$11,-$I$71),0)</f>
        <v>0</v>
      </c>
      <c r="BA106" s="1312">
        <f t="shared" si="73"/>
        <v>0</v>
      </c>
      <c r="BB106" s="1312">
        <f>BC105*((1+'Instrumentos Financeiros'!$J$43)^(1/12)-1)</f>
        <v>0</v>
      </c>
      <c r="BC106" s="1312">
        <f t="shared" si="43"/>
        <v>0</v>
      </c>
      <c r="BD106" s="1312">
        <f>IF(AND(C106&gt;$F$72,'Instrumentos Financeiros'!C106&lt;'Instrumentos Financeiros'!$F$72+'Instrumentos Financeiros'!$F$11+1),PMT(((1+'Instrumentos Financeiros'!$J$43)^(1/12)-1),$F$11,-'Instrumentos Financeiros'!$G$7*$G$72),0)</f>
        <v>0</v>
      </c>
      <c r="BE106" s="1312">
        <f t="shared" si="74"/>
        <v>0</v>
      </c>
      <c r="BF106" s="1312">
        <f>BG105*((1+'Instrumentos Financeiros'!$J$43)^(1/12)-1)</f>
        <v>0</v>
      </c>
      <c r="BG106" s="1312">
        <f t="shared" si="44"/>
        <v>0</v>
      </c>
      <c r="BH106" s="1312">
        <f>IF(AND(C106&gt;$F$73,'Instrumentos Financeiros'!C106&lt;'Instrumentos Financeiros'!$F$73+'Instrumentos Financeiros'!$F$11+1),PMT(((1+'Instrumentos Financeiros'!$J$43)^(1/12)-1),$F$11,-$I$73),0)</f>
        <v>0</v>
      </c>
      <c r="BI106" s="1312">
        <f t="shared" si="75"/>
        <v>0</v>
      </c>
      <c r="BJ106" s="1312">
        <f>BK105*((1+'Instrumentos Financeiros'!$J$43)^(1/12)-1)</f>
        <v>0</v>
      </c>
      <c r="BK106" s="1312">
        <f t="shared" si="45"/>
        <v>0</v>
      </c>
      <c r="BL106" s="1312">
        <f>IF(AND(C106&gt;$F$77,'Instrumentos Financeiros'!C106&lt;'Instrumentos Financeiros'!$F$77+'Instrumentos Financeiros'!$F$12+1),PMT(((1+'Instrumentos Financeiros'!$K$43)^(1/12)-1),$F$12,-$I$77),0)</f>
        <v>0</v>
      </c>
      <c r="BM106" s="1312">
        <f t="shared" si="46"/>
        <v>0</v>
      </c>
      <c r="BN106" s="1312">
        <f>BO105*((1+'Instrumentos Financeiros'!$K$43)^(1/12)-1)</f>
        <v>0</v>
      </c>
      <c r="BO106" s="1312">
        <f t="shared" si="47"/>
        <v>0</v>
      </c>
      <c r="BP106" s="1312">
        <f>IF(AND(C106&gt;$F$78,'Instrumentos Financeiros'!C106&lt;'Instrumentos Financeiros'!$F$78+'Instrumentos Financeiros'!$F$12+1),PMT(((1+'Instrumentos Financeiros'!$L$43)^(1/12)-1),$F$12,-$I$78),0)</f>
        <v>0</v>
      </c>
      <c r="BQ106" s="1312">
        <f t="shared" si="48"/>
        <v>0</v>
      </c>
      <c r="BR106" s="1312">
        <f>BS105*((1+'Instrumentos Financeiros'!$L$43)^(1/12)-1)</f>
        <v>0</v>
      </c>
      <c r="BS106" s="1312">
        <f t="shared" si="49"/>
        <v>0</v>
      </c>
      <c r="BT106" s="1312">
        <f>IF(AND(C106&gt;$F$79,'Instrumentos Financeiros'!C106&lt;'Instrumentos Financeiros'!$F$79+'Instrumentos Financeiros'!$F$12+1),PMT(((1+'Instrumentos Financeiros'!$L$43)^(1/12)-1),$F$12,-$I$79),0)</f>
        <v>0</v>
      </c>
      <c r="BU106" s="1312">
        <f t="shared" si="50"/>
        <v>0</v>
      </c>
      <c r="BV106" s="1312">
        <f>BW105*((1+'Instrumentos Financeiros'!$L$43)^(1/12)-1)</f>
        <v>0</v>
      </c>
      <c r="BW106" s="1312">
        <f t="shared" si="51"/>
        <v>0</v>
      </c>
      <c r="BX106" s="1312">
        <f>IF(AND(C106&gt;$F$80,'Instrumentos Financeiros'!C106&lt;'Instrumentos Financeiros'!$F$80+'Instrumentos Financeiros'!$F$12+1),PMT(((1+'Instrumentos Financeiros'!$L$43)^(1/12)-1),$F$12,-$I$80),0)</f>
        <v>0</v>
      </c>
      <c r="BY106" s="1312">
        <f t="shared" si="52"/>
        <v>0</v>
      </c>
      <c r="BZ106" s="1312">
        <f>CA105*((1+'Instrumentos Financeiros'!$L$43)^(1/12)-1)</f>
        <v>0</v>
      </c>
      <c r="CA106" s="1312">
        <f t="shared" si="53"/>
        <v>0</v>
      </c>
      <c r="CB106" s="1312">
        <f>IF(AND(C106&gt;$F$83,'Instrumentos Financeiros'!C106&lt;'Instrumentos Financeiros'!$F$83+'Instrumentos Financeiros'!$F$13+1),PMT(((1+'Instrumentos Financeiros'!$P$43)^(1/12)-1),$F$13,-$I$83),0)</f>
        <v>0</v>
      </c>
      <c r="CC106" s="1312">
        <f t="shared" si="54"/>
        <v>0</v>
      </c>
      <c r="CD106" s="1312">
        <f>CE105*((1+'Instrumentos Financeiros'!$P$43)^(1/12)-1)</f>
        <v>0</v>
      </c>
      <c r="CE106" s="1312">
        <f t="shared" si="55"/>
        <v>0</v>
      </c>
      <c r="CF106" s="1312">
        <f>IF(AND(C106&gt;$F$84,'Instrumentos Financeiros'!C106&lt;'Instrumentos Financeiros'!$F$84+'Instrumentos Financeiros'!$F$13+1),PMT(((1+'Instrumentos Financeiros'!$Q$43)^(1/12)-1),$F$13,-$I$84),0)</f>
        <v>0</v>
      </c>
      <c r="CG106" s="1312">
        <f t="shared" si="56"/>
        <v>0</v>
      </c>
      <c r="CH106" s="1312">
        <f>CI105*((1+'Instrumentos Financeiros'!$Q$43)^(1/12)-1)</f>
        <v>0</v>
      </c>
      <c r="CI106" s="1312">
        <f t="shared" si="57"/>
        <v>0</v>
      </c>
      <c r="CJ106" s="1312">
        <f>IF(AND(C106&gt;$F$85,'Instrumentos Financeiros'!C106&lt;'Instrumentos Financeiros'!$F$85+'Instrumentos Financeiros'!$F$13+1),PMT(((1+'Instrumentos Financeiros'!$Q$43)^(1/12)-1),$F$13,-$I$85),0)</f>
        <v>0</v>
      </c>
      <c r="CK106" s="1312">
        <f t="shared" si="58"/>
        <v>0</v>
      </c>
      <c r="CL106" s="1312">
        <f>CM105*((1+'Instrumentos Financeiros'!$Q$43)^(1/12)-1)</f>
        <v>0</v>
      </c>
      <c r="CM106" s="1312">
        <f t="shared" si="59"/>
        <v>0</v>
      </c>
      <c r="CN106" s="1312">
        <f>IF(AND(C106&gt;$F$86,'Instrumentos Financeiros'!C106&lt;'Instrumentos Financeiros'!$F$86+'Instrumentos Financeiros'!$F$13+1),PMT(((1+'Instrumentos Financeiros'!$Q$43)^(1/12)-1),$F$13,-$I$86),0)</f>
        <v>0</v>
      </c>
      <c r="CO106" s="1312">
        <f t="shared" si="60"/>
        <v>0</v>
      </c>
      <c r="CP106" s="1312">
        <f>CQ105*((1+'Instrumentos Financeiros'!$Q$43)^(1/12)-1)</f>
        <v>0</v>
      </c>
      <c r="CQ106" s="1312">
        <f t="shared" si="61"/>
        <v>0</v>
      </c>
      <c r="CR106" s="1312">
        <f t="shared" si="29"/>
        <v>0</v>
      </c>
      <c r="CS106" s="1312">
        <f t="shared" si="29"/>
        <v>0</v>
      </c>
      <c r="CT106" s="1312">
        <f t="shared" si="29"/>
        <v>0</v>
      </c>
      <c r="CU106" s="1312">
        <f t="shared" si="29"/>
        <v>0</v>
      </c>
    </row>
    <row r="107" spans="3:99" x14ac:dyDescent="0.35">
      <c r="C107" s="1315">
        <f t="shared" si="30"/>
        <v>14</v>
      </c>
      <c r="D107" s="1312">
        <f>IF(AND(C107&gt;$F$59,'Instrumentos Financeiros'!C107&lt;'Instrumentos Financeiros'!$F$59+'Instrumentos Financeiros'!$F$11+1),PMT(((1+'Instrumentos Financeiros'!$G$43)^(1/12)-1),$F$11,-$I$59),0)</f>
        <v>0</v>
      </c>
      <c r="E107" s="1312">
        <f t="shared" si="14"/>
        <v>0</v>
      </c>
      <c r="F107" s="1312">
        <f>G106*((1+'Instrumentos Financeiros'!$G$43)^(1/12)-1)</f>
        <v>0</v>
      </c>
      <c r="G107" s="1312">
        <f t="shared" si="31"/>
        <v>0</v>
      </c>
      <c r="H107" s="1312">
        <f>IF(AND(C107&gt;$F$60,'Instrumentos Financeiros'!C107&lt;'Instrumentos Financeiros'!$F$60+'Instrumentos Financeiros'!$F$11+1),PMT(((1+'Instrumentos Financeiros'!$G$43)^(1/12)-1),$F$11,-$I$60),0)</f>
        <v>0</v>
      </c>
      <c r="I107" s="1312">
        <f t="shared" si="62"/>
        <v>0</v>
      </c>
      <c r="J107" s="1312">
        <f>K106*((1+'Instrumentos Financeiros'!$G$43)^(1/12)-1)</f>
        <v>0</v>
      </c>
      <c r="K107" s="1312">
        <f t="shared" si="32"/>
        <v>0</v>
      </c>
      <c r="L107" s="1312">
        <f>IF(AND(C107&gt;$F$61,'Instrumentos Financeiros'!C107&lt;'Instrumentos Financeiros'!$F$61+'Instrumentos Financeiros'!$F$11+1),PMT(((1+'Instrumentos Financeiros'!$G$43)^(1/12)-1),$F$11,-$I$61),0)</f>
        <v>0</v>
      </c>
      <c r="M107" s="1312">
        <f t="shared" si="63"/>
        <v>0</v>
      </c>
      <c r="N107" s="1312">
        <f>O106*((1+'Instrumentos Financeiros'!$G$43)^(1/12)-1)</f>
        <v>0</v>
      </c>
      <c r="O107" s="1312">
        <f t="shared" si="33"/>
        <v>0</v>
      </c>
      <c r="P107" s="1312">
        <f>IF(AND(C107&gt;$F$62,'Instrumentos Financeiros'!C107&lt;'Instrumentos Financeiros'!$F$62+'Instrumentos Financeiros'!$F$11+1),PMT(((1+'Instrumentos Financeiros'!$H$43)^(1/12)-1),$F$11,-$I$62),0)</f>
        <v>0</v>
      </c>
      <c r="Q107" s="1312">
        <f t="shared" si="64"/>
        <v>0</v>
      </c>
      <c r="R107" s="1312">
        <f>S106*((1+'Instrumentos Financeiros'!$H$43)^(1/12)-1)</f>
        <v>0</v>
      </c>
      <c r="S107" s="1312">
        <f t="shared" si="34"/>
        <v>0</v>
      </c>
      <c r="T107" s="1312">
        <f>IF(AND(C107&gt;$F$63,'Instrumentos Financeiros'!C107&lt;'Instrumentos Financeiros'!$F$63+'Instrumentos Financeiros'!$F$11+1),PMT(((1+'Instrumentos Financeiros'!$H$43)^(1/12)-1),$F$11,-$I$63),0)</f>
        <v>0</v>
      </c>
      <c r="U107" s="1312">
        <f t="shared" si="65"/>
        <v>0</v>
      </c>
      <c r="V107" s="1312">
        <f>W106*((1+'Instrumentos Financeiros'!$H$43)^(1/12)-1)</f>
        <v>0</v>
      </c>
      <c r="W107" s="1312">
        <f t="shared" si="35"/>
        <v>0</v>
      </c>
      <c r="X107" s="1312">
        <f>IF(AND(C107&gt;$F$64,'Instrumentos Financeiros'!C107&lt;'Instrumentos Financeiros'!$F$64+'Instrumentos Financeiros'!$F$11+1),PMT(((1+'Instrumentos Financeiros'!$H$43)^(1/12)-1),$F$11,-$I$64),0)</f>
        <v>0</v>
      </c>
      <c r="Y107" s="1312">
        <f t="shared" si="66"/>
        <v>0</v>
      </c>
      <c r="Z107" s="1312">
        <f>AA106*((1+'Instrumentos Financeiros'!$H$43)^(1/12)-1)</f>
        <v>0</v>
      </c>
      <c r="AA107" s="1312">
        <f t="shared" si="36"/>
        <v>0</v>
      </c>
      <c r="AB107" s="1312">
        <f>IF(AND(C107&gt;$F$65,'Instrumentos Financeiros'!C107&lt;'Instrumentos Financeiros'!$F$65+'Instrumentos Financeiros'!$F$11+1),PMT(((1+'Instrumentos Financeiros'!$H$43)^(1/12)-1),$F$11,-$I$65),0)</f>
        <v>0</v>
      </c>
      <c r="AC107" s="1312">
        <f t="shared" si="67"/>
        <v>0</v>
      </c>
      <c r="AD107" s="1312">
        <f>AE106*((1+'Instrumentos Financeiros'!$H$43)^(1/12)-1)</f>
        <v>0</v>
      </c>
      <c r="AE107" s="1312">
        <f t="shared" si="37"/>
        <v>0</v>
      </c>
      <c r="AF107" s="1312">
        <f>IF(AND(C107&gt;$F$66,'Instrumentos Financeiros'!C107&lt;'Instrumentos Financeiros'!$F$66+'Instrumentos Financeiros'!$F$11+1),PMT(((1+'Instrumentos Financeiros'!$I$43)^(1/12)-1),$F$11,-$I$66),0)</f>
        <v>0</v>
      </c>
      <c r="AG107" s="1312">
        <f t="shared" si="68"/>
        <v>0</v>
      </c>
      <c r="AH107" s="1312">
        <f>AI106*((1+'Instrumentos Financeiros'!$I$43)^(1/12)-1)</f>
        <v>0</v>
      </c>
      <c r="AI107" s="1312">
        <f t="shared" si="38"/>
        <v>0</v>
      </c>
      <c r="AJ107" s="1312">
        <f>IF(AND(C107&gt;$F$67,'Instrumentos Financeiros'!C107&lt;'Instrumentos Financeiros'!$F$67+'Instrumentos Financeiros'!$F$11+1),PMT(((1+'Instrumentos Financeiros'!$I$43)^(1/12)-1),$F$11,-$I$67),0)</f>
        <v>0</v>
      </c>
      <c r="AK107" s="1312">
        <f t="shared" si="69"/>
        <v>0</v>
      </c>
      <c r="AL107" s="1312">
        <f>AM106*((1+'Instrumentos Financeiros'!$I$43)^(1/12)-1)</f>
        <v>0</v>
      </c>
      <c r="AM107" s="1312">
        <f t="shared" si="39"/>
        <v>0</v>
      </c>
      <c r="AN107" s="1312">
        <f>IF(AND(C107&gt;$F$68,'Instrumentos Financeiros'!C107&lt;'Instrumentos Financeiros'!$F$68+'Instrumentos Financeiros'!$F$11+1),PMT(((1+'Instrumentos Financeiros'!$I$43)^(1/12)-1),$F$11,-$I$68),0)</f>
        <v>0</v>
      </c>
      <c r="AO107" s="1312">
        <f t="shared" si="70"/>
        <v>0</v>
      </c>
      <c r="AP107" s="1312">
        <f>AQ106*((1+'Instrumentos Financeiros'!$I$43)^(1/12)-1)</f>
        <v>0</v>
      </c>
      <c r="AQ107" s="1312">
        <f t="shared" si="40"/>
        <v>0</v>
      </c>
      <c r="AR107" s="1312">
        <f>IF(AND(C107&gt;$F$69,'Instrumentos Financeiros'!C107&lt;'Instrumentos Financeiros'!$F$69+'Instrumentos Financeiros'!$F$11+1),PMT(((1+'Instrumentos Financeiros'!$I$43)^(1/12)-1),$F$11,-$I$69),0)</f>
        <v>0</v>
      </c>
      <c r="AS107" s="1312">
        <f t="shared" si="71"/>
        <v>0</v>
      </c>
      <c r="AT107" s="1312">
        <f>AU106*((1+'Instrumentos Financeiros'!$I$43)^(1/12)-1)</f>
        <v>0</v>
      </c>
      <c r="AU107" s="1312">
        <f t="shared" si="41"/>
        <v>0</v>
      </c>
      <c r="AV107" s="1312">
        <f>IF(AND(C107&gt;$F$70,'Instrumentos Financeiros'!C107&lt;'Instrumentos Financeiros'!$F$70+'Instrumentos Financeiros'!$F$11+1),PMT(((1+'Instrumentos Financeiros'!$J$43)^(1/12)-1),$F$11,-$I$70),0)</f>
        <v>0</v>
      </c>
      <c r="AW107" s="1312">
        <f t="shared" si="72"/>
        <v>0</v>
      </c>
      <c r="AX107" s="1312">
        <f>AY106*((1+'Instrumentos Financeiros'!$J$43)^(1/12)-1)</f>
        <v>0</v>
      </c>
      <c r="AY107" s="1312">
        <f t="shared" si="42"/>
        <v>0</v>
      </c>
      <c r="AZ107" s="1312">
        <f>IF(AND(C107&gt;$F$71,'Instrumentos Financeiros'!C107&lt;'Instrumentos Financeiros'!$F$71+'Instrumentos Financeiros'!$F$11+1),PMT(((1+'Instrumentos Financeiros'!$J$43)^(1/12)-1),$F$11,-$I$71),0)</f>
        <v>0</v>
      </c>
      <c r="BA107" s="1312">
        <f t="shared" si="73"/>
        <v>0</v>
      </c>
      <c r="BB107" s="1312">
        <f>BC106*((1+'Instrumentos Financeiros'!$J$43)^(1/12)-1)</f>
        <v>0</v>
      </c>
      <c r="BC107" s="1312">
        <f t="shared" si="43"/>
        <v>0</v>
      </c>
      <c r="BD107" s="1312">
        <f>IF(AND(C107&gt;$F$72,'Instrumentos Financeiros'!C107&lt;'Instrumentos Financeiros'!$F$72+'Instrumentos Financeiros'!$F$11+1),PMT(((1+'Instrumentos Financeiros'!$J$43)^(1/12)-1),$F$11,-'Instrumentos Financeiros'!$G$7*$G$72),0)</f>
        <v>0</v>
      </c>
      <c r="BE107" s="1312">
        <f t="shared" si="74"/>
        <v>0</v>
      </c>
      <c r="BF107" s="1312">
        <f>BG106*((1+'Instrumentos Financeiros'!$J$43)^(1/12)-1)</f>
        <v>0</v>
      </c>
      <c r="BG107" s="1312">
        <f t="shared" si="44"/>
        <v>0</v>
      </c>
      <c r="BH107" s="1312">
        <f>IF(AND(C107&gt;$F$73,'Instrumentos Financeiros'!C107&lt;'Instrumentos Financeiros'!$F$73+'Instrumentos Financeiros'!$F$11+1),PMT(((1+'Instrumentos Financeiros'!$J$43)^(1/12)-1),$F$11,-$I$73),0)</f>
        <v>0</v>
      </c>
      <c r="BI107" s="1312">
        <f t="shared" si="75"/>
        <v>0</v>
      </c>
      <c r="BJ107" s="1312">
        <f>BK106*((1+'Instrumentos Financeiros'!$J$43)^(1/12)-1)</f>
        <v>0</v>
      </c>
      <c r="BK107" s="1312">
        <f t="shared" si="45"/>
        <v>0</v>
      </c>
      <c r="BL107" s="1312">
        <f>IF(AND(C107&gt;$F$77,'Instrumentos Financeiros'!C107&lt;'Instrumentos Financeiros'!$F$77+'Instrumentos Financeiros'!$F$12+1),PMT(((1+'Instrumentos Financeiros'!$K$43)^(1/12)-1),$F$12,-$I$77),0)</f>
        <v>0</v>
      </c>
      <c r="BM107" s="1312">
        <f t="shared" si="46"/>
        <v>0</v>
      </c>
      <c r="BN107" s="1312">
        <f>BO106*((1+'Instrumentos Financeiros'!$K$43)^(1/12)-1)</f>
        <v>0</v>
      </c>
      <c r="BO107" s="1312">
        <f t="shared" si="47"/>
        <v>0</v>
      </c>
      <c r="BP107" s="1312">
        <f>IF(AND(C107&gt;$F$78,'Instrumentos Financeiros'!C107&lt;'Instrumentos Financeiros'!$F$78+'Instrumentos Financeiros'!$F$12+1),PMT(((1+'Instrumentos Financeiros'!$L$43)^(1/12)-1),$F$12,-$I$78),0)</f>
        <v>0</v>
      </c>
      <c r="BQ107" s="1312">
        <f t="shared" si="48"/>
        <v>0</v>
      </c>
      <c r="BR107" s="1312">
        <f>BS106*((1+'Instrumentos Financeiros'!$L$43)^(1/12)-1)</f>
        <v>0</v>
      </c>
      <c r="BS107" s="1312">
        <f t="shared" si="49"/>
        <v>0</v>
      </c>
      <c r="BT107" s="1312">
        <f>IF(AND(C107&gt;$F$79,'Instrumentos Financeiros'!C107&lt;'Instrumentos Financeiros'!$F$79+'Instrumentos Financeiros'!$F$12+1),PMT(((1+'Instrumentos Financeiros'!$L$43)^(1/12)-1),$F$12,-$I$79),0)</f>
        <v>0</v>
      </c>
      <c r="BU107" s="1312">
        <f t="shared" si="50"/>
        <v>0</v>
      </c>
      <c r="BV107" s="1312">
        <f>BW106*((1+'Instrumentos Financeiros'!$L$43)^(1/12)-1)</f>
        <v>0</v>
      </c>
      <c r="BW107" s="1312">
        <f t="shared" si="51"/>
        <v>0</v>
      </c>
      <c r="BX107" s="1312">
        <f>IF(AND(C107&gt;$F$80,'Instrumentos Financeiros'!C107&lt;'Instrumentos Financeiros'!$F$80+'Instrumentos Financeiros'!$F$12+1),PMT(((1+'Instrumentos Financeiros'!$L$43)^(1/12)-1),$F$12,-$I$80),0)</f>
        <v>0</v>
      </c>
      <c r="BY107" s="1312">
        <f t="shared" si="52"/>
        <v>0</v>
      </c>
      <c r="BZ107" s="1312">
        <f>CA106*((1+'Instrumentos Financeiros'!$L$43)^(1/12)-1)</f>
        <v>0</v>
      </c>
      <c r="CA107" s="1312">
        <f t="shared" si="53"/>
        <v>0</v>
      </c>
      <c r="CB107" s="1312">
        <f>IF(AND(C107&gt;$F$83,'Instrumentos Financeiros'!C107&lt;'Instrumentos Financeiros'!$F$83+'Instrumentos Financeiros'!$F$13+1),PMT(((1+'Instrumentos Financeiros'!$P$43)^(1/12)-1),$F$13,-$I$83),0)</f>
        <v>0</v>
      </c>
      <c r="CC107" s="1312">
        <f t="shared" si="54"/>
        <v>0</v>
      </c>
      <c r="CD107" s="1312">
        <f>CE106*((1+'Instrumentos Financeiros'!$P$43)^(1/12)-1)</f>
        <v>0</v>
      </c>
      <c r="CE107" s="1312">
        <f t="shared" si="55"/>
        <v>0</v>
      </c>
      <c r="CF107" s="1312">
        <f>IF(AND(C107&gt;$F$84,'Instrumentos Financeiros'!C107&lt;'Instrumentos Financeiros'!$F$84+'Instrumentos Financeiros'!$F$13+1),PMT(((1+'Instrumentos Financeiros'!$Q$43)^(1/12)-1),$F$13,-$I$84),0)</f>
        <v>0</v>
      </c>
      <c r="CG107" s="1312">
        <f t="shared" si="56"/>
        <v>0</v>
      </c>
      <c r="CH107" s="1312">
        <f>CI106*((1+'Instrumentos Financeiros'!$Q$43)^(1/12)-1)</f>
        <v>0</v>
      </c>
      <c r="CI107" s="1312">
        <f t="shared" si="57"/>
        <v>0</v>
      </c>
      <c r="CJ107" s="1312">
        <f>IF(AND(C107&gt;$F$85,'Instrumentos Financeiros'!C107&lt;'Instrumentos Financeiros'!$F$85+'Instrumentos Financeiros'!$F$13+1),PMT(((1+'Instrumentos Financeiros'!$Q$43)^(1/12)-1),$F$13,-$I$85),0)</f>
        <v>0</v>
      </c>
      <c r="CK107" s="1312">
        <f t="shared" si="58"/>
        <v>0</v>
      </c>
      <c r="CL107" s="1312">
        <f>CM106*((1+'Instrumentos Financeiros'!$Q$43)^(1/12)-1)</f>
        <v>0</v>
      </c>
      <c r="CM107" s="1312">
        <f t="shared" si="59"/>
        <v>0</v>
      </c>
      <c r="CN107" s="1312">
        <f>IF(AND(C107&gt;$F$86,'Instrumentos Financeiros'!C107&lt;'Instrumentos Financeiros'!$F$86+'Instrumentos Financeiros'!$F$13+1),PMT(((1+'Instrumentos Financeiros'!$Q$43)^(1/12)-1),$F$13,-$I$86),0)</f>
        <v>0</v>
      </c>
      <c r="CO107" s="1312">
        <f t="shared" si="60"/>
        <v>0</v>
      </c>
      <c r="CP107" s="1312">
        <f>CQ106*((1+'Instrumentos Financeiros'!$Q$43)^(1/12)-1)</f>
        <v>0</v>
      </c>
      <c r="CQ107" s="1312">
        <f t="shared" si="61"/>
        <v>0</v>
      </c>
      <c r="CR107" s="1312">
        <f t="shared" si="29"/>
        <v>0</v>
      </c>
      <c r="CS107" s="1312">
        <f t="shared" si="29"/>
        <v>0</v>
      </c>
      <c r="CT107" s="1312">
        <f t="shared" si="29"/>
        <v>0</v>
      </c>
      <c r="CU107" s="1312">
        <f t="shared" si="29"/>
        <v>0</v>
      </c>
    </row>
    <row r="108" spans="3:99" x14ac:dyDescent="0.35">
      <c r="C108" s="1315">
        <f t="shared" si="30"/>
        <v>15</v>
      </c>
      <c r="D108" s="1312">
        <f>IF(AND(C108&gt;$F$59,'Instrumentos Financeiros'!C108&lt;'Instrumentos Financeiros'!$F$59+'Instrumentos Financeiros'!$F$11+1),PMT(((1+'Instrumentos Financeiros'!$G$43)^(1/12)-1),$F$11,-$I$59),0)</f>
        <v>0</v>
      </c>
      <c r="E108" s="1312">
        <f t="shared" si="14"/>
        <v>0</v>
      </c>
      <c r="F108" s="1312">
        <f>G107*((1+'Instrumentos Financeiros'!$G$43)^(1/12)-1)</f>
        <v>0</v>
      </c>
      <c r="G108" s="1312">
        <f t="shared" si="31"/>
        <v>0</v>
      </c>
      <c r="H108" s="1312">
        <f>IF(AND(C108&gt;$F$60,'Instrumentos Financeiros'!C108&lt;'Instrumentos Financeiros'!$F$60+'Instrumentos Financeiros'!$F$11+1),PMT(((1+'Instrumentos Financeiros'!$G$43)^(1/12)-1),$F$11,-$I$60),0)</f>
        <v>0</v>
      </c>
      <c r="I108" s="1312">
        <f t="shared" si="62"/>
        <v>0</v>
      </c>
      <c r="J108" s="1312">
        <f>K107*((1+'Instrumentos Financeiros'!$G$43)^(1/12)-1)</f>
        <v>0</v>
      </c>
      <c r="K108" s="1312">
        <f t="shared" si="32"/>
        <v>0</v>
      </c>
      <c r="L108" s="1312">
        <f>IF(AND(C108&gt;$F$61,'Instrumentos Financeiros'!C108&lt;'Instrumentos Financeiros'!$F$61+'Instrumentos Financeiros'!$F$11+1),PMT(((1+'Instrumentos Financeiros'!$G$43)^(1/12)-1),$F$11,-$I$61),0)</f>
        <v>0</v>
      </c>
      <c r="M108" s="1312">
        <f t="shared" si="63"/>
        <v>0</v>
      </c>
      <c r="N108" s="1312">
        <f>O107*((1+'Instrumentos Financeiros'!$G$43)^(1/12)-1)</f>
        <v>0</v>
      </c>
      <c r="O108" s="1312">
        <f t="shared" si="33"/>
        <v>0</v>
      </c>
      <c r="P108" s="1312">
        <f>IF(AND(C108&gt;$F$62,'Instrumentos Financeiros'!C108&lt;'Instrumentos Financeiros'!$F$62+'Instrumentos Financeiros'!$F$11+1),PMT(((1+'Instrumentos Financeiros'!$H$43)^(1/12)-1),$F$11,-$I$62),0)</f>
        <v>0</v>
      </c>
      <c r="Q108" s="1312">
        <f t="shared" si="64"/>
        <v>0</v>
      </c>
      <c r="R108" s="1312">
        <f>S107*((1+'Instrumentos Financeiros'!$H$43)^(1/12)-1)</f>
        <v>0</v>
      </c>
      <c r="S108" s="1312">
        <f t="shared" si="34"/>
        <v>0</v>
      </c>
      <c r="T108" s="1312">
        <f>IF(AND(C108&gt;$F$63,'Instrumentos Financeiros'!C108&lt;'Instrumentos Financeiros'!$F$63+'Instrumentos Financeiros'!$F$11+1),PMT(((1+'Instrumentos Financeiros'!$H$43)^(1/12)-1),$F$11,-$I$63),0)</f>
        <v>0</v>
      </c>
      <c r="U108" s="1312">
        <f t="shared" si="65"/>
        <v>0</v>
      </c>
      <c r="V108" s="1312">
        <f>W107*((1+'Instrumentos Financeiros'!$H$43)^(1/12)-1)</f>
        <v>0</v>
      </c>
      <c r="W108" s="1312">
        <f t="shared" si="35"/>
        <v>0</v>
      </c>
      <c r="X108" s="1312">
        <f>IF(AND(C108&gt;$F$64,'Instrumentos Financeiros'!C108&lt;'Instrumentos Financeiros'!$F$64+'Instrumentos Financeiros'!$F$11+1),PMT(((1+'Instrumentos Financeiros'!$H$43)^(1/12)-1),$F$11,-$I$64),0)</f>
        <v>0</v>
      </c>
      <c r="Y108" s="1312">
        <f t="shared" si="66"/>
        <v>0</v>
      </c>
      <c r="Z108" s="1312">
        <f>AA107*((1+'Instrumentos Financeiros'!$H$43)^(1/12)-1)</f>
        <v>0</v>
      </c>
      <c r="AA108" s="1312">
        <f t="shared" si="36"/>
        <v>0</v>
      </c>
      <c r="AB108" s="1312">
        <f>IF(AND(C108&gt;$F$65,'Instrumentos Financeiros'!C108&lt;'Instrumentos Financeiros'!$F$65+'Instrumentos Financeiros'!$F$11+1),PMT(((1+'Instrumentos Financeiros'!$H$43)^(1/12)-1),$F$11,-$I$65),0)</f>
        <v>0</v>
      </c>
      <c r="AC108" s="1312">
        <f t="shared" si="67"/>
        <v>0</v>
      </c>
      <c r="AD108" s="1312">
        <f>AE107*((1+'Instrumentos Financeiros'!$H$43)^(1/12)-1)</f>
        <v>0</v>
      </c>
      <c r="AE108" s="1312">
        <f t="shared" si="37"/>
        <v>0</v>
      </c>
      <c r="AF108" s="1312">
        <f>IF(AND(C108&gt;$F$66,'Instrumentos Financeiros'!C108&lt;'Instrumentos Financeiros'!$F$66+'Instrumentos Financeiros'!$F$11+1),PMT(((1+'Instrumentos Financeiros'!$I$43)^(1/12)-1),$F$11,-$I$66),0)</f>
        <v>0</v>
      </c>
      <c r="AG108" s="1312">
        <f t="shared" si="68"/>
        <v>0</v>
      </c>
      <c r="AH108" s="1312">
        <f>AI107*((1+'Instrumentos Financeiros'!$I$43)^(1/12)-1)</f>
        <v>0</v>
      </c>
      <c r="AI108" s="1312">
        <f t="shared" si="38"/>
        <v>0</v>
      </c>
      <c r="AJ108" s="1312">
        <f>IF(AND(C108&gt;$F$67,'Instrumentos Financeiros'!C108&lt;'Instrumentos Financeiros'!$F$67+'Instrumentos Financeiros'!$F$11+1),PMT(((1+'Instrumentos Financeiros'!$I$43)^(1/12)-1),$F$11,-$I$67),0)</f>
        <v>0</v>
      </c>
      <c r="AK108" s="1312">
        <f t="shared" si="69"/>
        <v>0</v>
      </c>
      <c r="AL108" s="1312">
        <f>AM107*((1+'Instrumentos Financeiros'!$I$43)^(1/12)-1)</f>
        <v>0</v>
      </c>
      <c r="AM108" s="1312">
        <f t="shared" si="39"/>
        <v>0</v>
      </c>
      <c r="AN108" s="1312">
        <f>IF(AND(C108&gt;$F$68,'Instrumentos Financeiros'!C108&lt;'Instrumentos Financeiros'!$F$68+'Instrumentos Financeiros'!$F$11+1),PMT(((1+'Instrumentos Financeiros'!$I$43)^(1/12)-1),$F$11,-$I$68),0)</f>
        <v>0</v>
      </c>
      <c r="AO108" s="1312">
        <f t="shared" si="70"/>
        <v>0</v>
      </c>
      <c r="AP108" s="1312">
        <f>AQ107*((1+'Instrumentos Financeiros'!$I$43)^(1/12)-1)</f>
        <v>0</v>
      </c>
      <c r="AQ108" s="1312">
        <f t="shared" si="40"/>
        <v>0</v>
      </c>
      <c r="AR108" s="1312">
        <f>IF(AND(C108&gt;$F$69,'Instrumentos Financeiros'!C108&lt;'Instrumentos Financeiros'!$F$69+'Instrumentos Financeiros'!$F$11+1),PMT(((1+'Instrumentos Financeiros'!$I$43)^(1/12)-1),$F$11,-$I$69),0)</f>
        <v>0</v>
      </c>
      <c r="AS108" s="1312">
        <f t="shared" si="71"/>
        <v>0</v>
      </c>
      <c r="AT108" s="1312">
        <f>AU107*((1+'Instrumentos Financeiros'!$I$43)^(1/12)-1)</f>
        <v>0</v>
      </c>
      <c r="AU108" s="1312">
        <f t="shared" si="41"/>
        <v>0</v>
      </c>
      <c r="AV108" s="1312">
        <f>IF(AND(C108&gt;$F$70,'Instrumentos Financeiros'!C108&lt;'Instrumentos Financeiros'!$F$70+'Instrumentos Financeiros'!$F$11+1),PMT(((1+'Instrumentos Financeiros'!$J$43)^(1/12)-1),$F$11,-$I$70),0)</f>
        <v>0</v>
      </c>
      <c r="AW108" s="1312">
        <f t="shared" si="72"/>
        <v>0</v>
      </c>
      <c r="AX108" s="1312">
        <f>AY107*((1+'Instrumentos Financeiros'!$J$43)^(1/12)-1)</f>
        <v>0</v>
      </c>
      <c r="AY108" s="1312">
        <f t="shared" si="42"/>
        <v>0</v>
      </c>
      <c r="AZ108" s="1312">
        <f>IF(AND(C108&gt;$F$71,'Instrumentos Financeiros'!C108&lt;'Instrumentos Financeiros'!$F$71+'Instrumentos Financeiros'!$F$11+1),PMT(((1+'Instrumentos Financeiros'!$J$43)^(1/12)-1),$F$11,-$I$71),0)</f>
        <v>0</v>
      </c>
      <c r="BA108" s="1312">
        <f t="shared" si="73"/>
        <v>0</v>
      </c>
      <c r="BB108" s="1312">
        <f>BC107*((1+'Instrumentos Financeiros'!$J$43)^(1/12)-1)</f>
        <v>0</v>
      </c>
      <c r="BC108" s="1312">
        <f t="shared" si="43"/>
        <v>0</v>
      </c>
      <c r="BD108" s="1312">
        <f>IF(AND(C108&gt;$F$72,'Instrumentos Financeiros'!C108&lt;'Instrumentos Financeiros'!$F$72+'Instrumentos Financeiros'!$F$11+1),PMT(((1+'Instrumentos Financeiros'!$J$43)^(1/12)-1),$F$11,-'Instrumentos Financeiros'!$G$7*$G$72),0)</f>
        <v>0</v>
      </c>
      <c r="BE108" s="1312">
        <f t="shared" si="74"/>
        <v>0</v>
      </c>
      <c r="BF108" s="1312">
        <f>BG107*((1+'Instrumentos Financeiros'!$J$43)^(1/12)-1)</f>
        <v>0</v>
      </c>
      <c r="BG108" s="1312">
        <f t="shared" si="44"/>
        <v>0</v>
      </c>
      <c r="BH108" s="1312">
        <f>IF(AND(C108&gt;$F$73,'Instrumentos Financeiros'!C108&lt;'Instrumentos Financeiros'!$F$73+'Instrumentos Financeiros'!$F$11+1),PMT(((1+'Instrumentos Financeiros'!$J$43)^(1/12)-1),$F$11,-$I$73),0)</f>
        <v>0</v>
      </c>
      <c r="BI108" s="1312">
        <f t="shared" si="75"/>
        <v>0</v>
      </c>
      <c r="BJ108" s="1312">
        <f>BK107*((1+'Instrumentos Financeiros'!$J$43)^(1/12)-1)</f>
        <v>0</v>
      </c>
      <c r="BK108" s="1312">
        <f t="shared" si="45"/>
        <v>0</v>
      </c>
      <c r="BL108" s="1312">
        <f>IF(AND(C108&gt;$F$77,'Instrumentos Financeiros'!C108&lt;'Instrumentos Financeiros'!$F$77+'Instrumentos Financeiros'!$F$12+1),PMT(((1+'Instrumentos Financeiros'!$K$43)^(1/12)-1),$F$12,-$I$77),0)</f>
        <v>0</v>
      </c>
      <c r="BM108" s="1312">
        <f t="shared" si="46"/>
        <v>0</v>
      </c>
      <c r="BN108" s="1312">
        <f>BO107*((1+'Instrumentos Financeiros'!$K$43)^(1/12)-1)</f>
        <v>0</v>
      </c>
      <c r="BO108" s="1312">
        <f t="shared" si="47"/>
        <v>0</v>
      </c>
      <c r="BP108" s="1312">
        <f>IF(AND(C108&gt;$F$78,'Instrumentos Financeiros'!C108&lt;'Instrumentos Financeiros'!$F$78+'Instrumentos Financeiros'!$F$12+1),PMT(((1+'Instrumentos Financeiros'!$L$43)^(1/12)-1),$F$12,-$I$78),0)</f>
        <v>0</v>
      </c>
      <c r="BQ108" s="1312">
        <f t="shared" si="48"/>
        <v>0</v>
      </c>
      <c r="BR108" s="1312">
        <f>BS107*((1+'Instrumentos Financeiros'!$L$43)^(1/12)-1)</f>
        <v>0</v>
      </c>
      <c r="BS108" s="1312">
        <f t="shared" si="49"/>
        <v>0</v>
      </c>
      <c r="BT108" s="1312">
        <f>IF(AND(C108&gt;$F$79,'Instrumentos Financeiros'!C108&lt;'Instrumentos Financeiros'!$F$79+'Instrumentos Financeiros'!$F$12+1),PMT(((1+'Instrumentos Financeiros'!$L$43)^(1/12)-1),$F$12,-$I$79),0)</f>
        <v>0</v>
      </c>
      <c r="BU108" s="1312">
        <f t="shared" si="50"/>
        <v>0</v>
      </c>
      <c r="BV108" s="1312">
        <f>BW107*((1+'Instrumentos Financeiros'!$L$43)^(1/12)-1)</f>
        <v>0</v>
      </c>
      <c r="BW108" s="1312">
        <f t="shared" si="51"/>
        <v>0</v>
      </c>
      <c r="BX108" s="1312">
        <f>IF(AND(C108&gt;$F$80,'Instrumentos Financeiros'!C108&lt;'Instrumentos Financeiros'!$F$80+'Instrumentos Financeiros'!$F$12+1),PMT(((1+'Instrumentos Financeiros'!$L$43)^(1/12)-1),$F$12,-$I$80),0)</f>
        <v>0</v>
      </c>
      <c r="BY108" s="1312">
        <f t="shared" si="52"/>
        <v>0</v>
      </c>
      <c r="BZ108" s="1312">
        <f>CA107*((1+'Instrumentos Financeiros'!$L$43)^(1/12)-1)</f>
        <v>0</v>
      </c>
      <c r="CA108" s="1312">
        <f t="shared" si="53"/>
        <v>0</v>
      </c>
      <c r="CB108" s="1312">
        <f>IF(AND(C108&gt;$F$83,'Instrumentos Financeiros'!C108&lt;'Instrumentos Financeiros'!$F$83+'Instrumentos Financeiros'!$F$13+1),PMT(((1+'Instrumentos Financeiros'!$P$43)^(1/12)-1),$F$13,-$I$83),0)</f>
        <v>0</v>
      </c>
      <c r="CC108" s="1312">
        <f t="shared" si="54"/>
        <v>0</v>
      </c>
      <c r="CD108" s="1312">
        <f>CE107*((1+'Instrumentos Financeiros'!$P$43)^(1/12)-1)</f>
        <v>0</v>
      </c>
      <c r="CE108" s="1312">
        <f t="shared" si="55"/>
        <v>0</v>
      </c>
      <c r="CF108" s="1312">
        <f>IF(AND(C108&gt;$F$84,'Instrumentos Financeiros'!C108&lt;'Instrumentos Financeiros'!$F$84+'Instrumentos Financeiros'!$F$13+1),PMT(((1+'Instrumentos Financeiros'!$Q$43)^(1/12)-1),$F$13,-$I$84),0)</f>
        <v>0</v>
      </c>
      <c r="CG108" s="1312">
        <f t="shared" si="56"/>
        <v>0</v>
      </c>
      <c r="CH108" s="1312">
        <f>CI107*((1+'Instrumentos Financeiros'!$Q$43)^(1/12)-1)</f>
        <v>0</v>
      </c>
      <c r="CI108" s="1312">
        <f t="shared" si="57"/>
        <v>0</v>
      </c>
      <c r="CJ108" s="1312">
        <f>IF(AND(C108&gt;$F$85,'Instrumentos Financeiros'!C108&lt;'Instrumentos Financeiros'!$F$85+'Instrumentos Financeiros'!$F$13+1),PMT(((1+'Instrumentos Financeiros'!$Q$43)^(1/12)-1),$F$13,-$I$85),0)</f>
        <v>0</v>
      </c>
      <c r="CK108" s="1312">
        <f t="shared" si="58"/>
        <v>0</v>
      </c>
      <c r="CL108" s="1312">
        <f>CM107*((1+'Instrumentos Financeiros'!$Q$43)^(1/12)-1)</f>
        <v>0</v>
      </c>
      <c r="CM108" s="1312">
        <f t="shared" si="59"/>
        <v>0</v>
      </c>
      <c r="CN108" s="1312">
        <f>IF(AND(C108&gt;$F$86,'Instrumentos Financeiros'!C108&lt;'Instrumentos Financeiros'!$F$86+'Instrumentos Financeiros'!$F$13+1),PMT(((1+'Instrumentos Financeiros'!$Q$43)^(1/12)-1),$F$13,-$I$86),0)</f>
        <v>0</v>
      </c>
      <c r="CO108" s="1312">
        <f t="shared" si="60"/>
        <v>0</v>
      </c>
      <c r="CP108" s="1312">
        <f>CQ107*((1+'Instrumentos Financeiros'!$Q$43)^(1/12)-1)</f>
        <v>0</v>
      </c>
      <c r="CQ108" s="1312">
        <f t="shared" si="61"/>
        <v>0</v>
      </c>
      <c r="CR108" s="1312">
        <f t="shared" si="29"/>
        <v>0</v>
      </c>
      <c r="CS108" s="1312">
        <f t="shared" si="29"/>
        <v>0</v>
      </c>
      <c r="CT108" s="1312">
        <f t="shared" si="29"/>
        <v>0</v>
      </c>
      <c r="CU108" s="1312">
        <f t="shared" si="29"/>
        <v>0</v>
      </c>
    </row>
    <row r="109" spans="3:99" x14ac:dyDescent="0.35">
      <c r="C109" s="1315">
        <f t="shared" si="30"/>
        <v>16</v>
      </c>
      <c r="D109" s="1312">
        <f>IF(AND(C109&gt;$F$59,'Instrumentos Financeiros'!C109&lt;'Instrumentos Financeiros'!$F$59+'Instrumentos Financeiros'!$F$11+1),PMT(((1+'Instrumentos Financeiros'!$G$43)^(1/12)-1),$F$11,-$I$59),0)</f>
        <v>0</v>
      </c>
      <c r="E109" s="1312">
        <f t="shared" si="14"/>
        <v>0</v>
      </c>
      <c r="F109" s="1312">
        <f>G108*((1+'Instrumentos Financeiros'!$G$43)^(1/12)-1)</f>
        <v>0</v>
      </c>
      <c r="G109" s="1312">
        <f t="shared" si="31"/>
        <v>0</v>
      </c>
      <c r="H109" s="1312">
        <f>IF(AND(C109&gt;$F$60,'Instrumentos Financeiros'!C109&lt;'Instrumentos Financeiros'!$F$60+'Instrumentos Financeiros'!$F$11+1),PMT(((1+'Instrumentos Financeiros'!$G$43)^(1/12)-1),$F$11,-$I$60),0)</f>
        <v>0</v>
      </c>
      <c r="I109" s="1312">
        <f t="shared" si="62"/>
        <v>0</v>
      </c>
      <c r="J109" s="1312">
        <f>K108*((1+'Instrumentos Financeiros'!$G$43)^(1/12)-1)</f>
        <v>0</v>
      </c>
      <c r="K109" s="1312">
        <f t="shared" si="32"/>
        <v>0</v>
      </c>
      <c r="L109" s="1312">
        <f>IF(AND(C109&gt;$F$61,'Instrumentos Financeiros'!C109&lt;'Instrumentos Financeiros'!$F$61+'Instrumentos Financeiros'!$F$11+1),PMT(((1+'Instrumentos Financeiros'!$G$43)^(1/12)-1),$F$11,-$I$61),0)</f>
        <v>0</v>
      </c>
      <c r="M109" s="1312">
        <f t="shared" si="63"/>
        <v>0</v>
      </c>
      <c r="N109" s="1312">
        <f>O108*((1+'Instrumentos Financeiros'!$G$43)^(1/12)-1)</f>
        <v>0</v>
      </c>
      <c r="O109" s="1312">
        <f t="shared" si="33"/>
        <v>0</v>
      </c>
      <c r="P109" s="1312">
        <f>IF(AND(C109&gt;$F$62,'Instrumentos Financeiros'!C109&lt;'Instrumentos Financeiros'!$F$62+'Instrumentos Financeiros'!$F$11+1),PMT(((1+'Instrumentos Financeiros'!$H$43)^(1/12)-1),$F$11,-$I$62),0)</f>
        <v>0</v>
      </c>
      <c r="Q109" s="1312">
        <f t="shared" si="64"/>
        <v>0</v>
      </c>
      <c r="R109" s="1312">
        <f>S108*((1+'Instrumentos Financeiros'!$H$43)^(1/12)-1)</f>
        <v>0</v>
      </c>
      <c r="S109" s="1312">
        <f t="shared" si="34"/>
        <v>0</v>
      </c>
      <c r="T109" s="1312">
        <f>IF(AND(C109&gt;$F$63,'Instrumentos Financeiros'!C109&lt;'Instrumentos Financeiros'!$F$63+'Instrumentos Financeiros'!$F$11+1),PMT(((1+'Instrumentos Financeiros'!$H$43)^(1/12)-1),$F$11,-$I$63),0)</f>
        <v>0</v>
      </c>
      <c r="U109" s="1312">
        <f t="shared" si="65"/>
        <v>0</v>
      </c>
      <c r="V109" s="1312">
        <f>W108*((1+'Instrumentos Financeiros'!$H$43)^(1/12)-1)</f>
        <v>0</v>
      </c>
      <c r="W109" s="1312">
        <f t="shared" si="35"/>
        <v>0</v>
      </c>
      <c r="X109" s="1312">
        <f>IF(AND(C109&gt;$F$64,'Instrumentos Financeiros'!C109&lt;'Instrumentos Financeiros'!$F$64+'Instrumentos Financeiros'!$F$11+1),PMT(((1+'Instrumentos Financeiros'!$H$43)^(1/12)-1),$F$11,-$I$64),0)</f>
        <v>0</v>
      </c>
      <c r="Y109" s="1312">
        <f t="shared" si="66"/>
        <v>0</v>
      </c>
      <c r="Z109" s="1312">
        <f>AA108*((1+'Instrumentos Financeiros'!$H$43)^(1/12)-1)</f>
        <v>0</v>
      </c>
      <c r="AA109" s="1312">
        <f t="shared" si="36"/>
        <v>0</v>
      </c>
      <c r="AB109" s="1312">
        <f>IF(AND(C109&gt;$F$65,'Instrumentos Financeiros'!C109&lt;'Instrumentos Financeiros'!$F$65+'Instrumentos Financeiros'!$F$11+1),PMT(((1+'Instrumentos Financeiros'!$H$43)^(1/12)-1),$F$11,-$I$65),0)</f>
        <v>0</v>
      </c>
      <c r="AC109" s="1312">
        <f t="shared" si="67"/>
        <v>0</v>
      </c>
      <c r="AD109" s="1312">
        <f>AE108*((1+'Instrumentos Financeiros'!$H$43)^(1/12)-1)</f>
        <v>0</v>
      </c>
      <c r="AE109" s="1312">
        <f t="shared" si="37"/>
        <v>0</v>
      </c>
      <c r="AF109" s="1312">
        <f>IF(AND(C109&gt;$F$66,'Instrumentos Financeiros'!C109&lt;'Instrumentos Financeiros'!$F$66+'Instrumentos Financeiros'!$F$11+1),PMT(((1+'Instrumentos Financeiros'!$I$43)^(1/12)-1),$F$11,-$I$66),0)</f>
        <v>0</v>
      </c>
      <c r="AG109" s="1312">
        <f t="shared" si="68"/>
        <v>0</v>
      </c>
      <c r="AH109" s="1312">
        <f>AI108*((1+'Instrumentos Financeiros'!$I$43)^(1/12)-1)</f>
        <v>0</v>
      </c>
      <c r="AI109" s="1312">
        <f t="shared" si="38"/>
        <v>0</v>
      </c>
      <c r="AJ109" s="1312">
        <f>IF(AND(C109&gt;$F$67,'Instrumentos Financeiros'!C109&lt;'Instrumentos Financeiros'!$F$67+'Instrumentos Financeiros'!$F$11+1),PMT(((1+'Instrumentos Financeiros'!$I$43)^(1/12)-1),$F$11,-$I$67),0)</f>
        <v>0</v>
      </c>
      <c r="AK109" s="1312">
        <f t="shared" si="69"/>
        <v>0</v>
      </c>
      <c r="AL109" s="1312">
        <f>AM108*((1+'Instrumentos Financeiros'!$I$43)^(1/12)-1)</f>
        <v>0</v>
      </c>
      <c r="AM109" s="1312">
        <f t="shared" si="39"/>
        <v>0</v>
      </c>
      <c r="AN109" s="1312">
        <f>IF(AND(C109&gt;$F$68,'Instrumentos Financeiros'!C109&lt;'Instrumentos Financeiros'!$F$68+'Instrumentos Financeiros'!$F$11+1),PMT(((1+'Instrumentos Financeiros'!$I$43)^(1/12)-1),$F$11,-$I$68),0)</f>
        <v>0</v>
      </c>
      <c r="AO109" s="1312">
        <f t="shared" si="70"/>
        <v>0</v>
      </c>
      <c r="AP109" s="1312">
        <f>AQ108*((1+'Instrumentos Financeiros'!$I$43)^(1/12)-1)</f>
        <v>0</v>
      </c>
      <c r="AQ109" s="1312">
        <f t="shared" si="40"/>
        <v>0</v>
      </c>
      <c r="AR109" s="1312">
        <f>IF(AND(C109&gt;$F$69,'Instrumentos Financeiros'!C109&lt;'Instrumentos Financeiros'!$F$69+'Instrumentos Financeiros'!$F$11+1),PMT(((1+'Instrumentos Financeiros'!$I$43)^(1/12)-1),$F$11,-$I$69),0)</f>
        <v>0</v>
      </c>
      <c r="AS109" s="1312">
        <f t="shared" si="71"/>
        <v>0</v>
      </c>
      <c r="AT109" s="1312">
        <f>AU108*((1+'Instrumentos Financeiros'!$I$43)^(1/12)-1)</f>
        <v>0</v>
      </c>
      <c r="AU109" s="1312">
        <f t="shared" si="41"/>
        <v>0</v>
      </c>
      <c r="AV109" s="1312">
        <f>IF(AND(C109&gt;$F$70,'Instrumentos Financeiros'!C109&lt;'Instrumentos Financeiros'!$F$70+'Instrumentos Financeiros'!$F$11+1),PMT(((1+'Instrumentos Financeiros'!$J$43)^(1/12)-1),$F$11,-$I$70),0)</f>
        <v>0</v>
      </c>
      <c r="AW109" s="1312">
        <f t="shared" si="72"/>
        <v>0</v>
      </c>
      <c r="AX109" s="1312">
        <f>AY108*((1+'Instrumentos Financeiros'!$J$43)^(1/12)-1)</f>
        <v>0</v>
      </c>
      <c r="AY109" s="1312">
        <f t="shared" si="42"/>
        <v>0</v>
      </c>
      <c r="AZ109" s="1312">
        <f>IF(AND(C109&gt;$F$71,'Instrumentos Financeiros'!C109&lt;'Instrumentos Financeiros'!$F$71+'Instrumentos Financeiros'!$F$11+1),PMT(((1+'Instrumentos Financeiros'!$J$43)^(1/12)-1),$F$11,-$I$71),0)</f>
        <v>0</v>
      </c>
      <c r="BA109" s="1312">
        <f t="shared" si="73"/>
        <v>0</v>
      </c>
      <c r="BB109" s="1312">
        <f>BC108*((1+'Instrumentos Financeiros'!$J$43)^(1/12)-1)</f>
        <v>0</v>
      </c>
      <c r="BC109" s="1312">
        <f t="shared" si="43"/>
        <v>0</v>
      </c>
      <c r="BD109" s="1312">
        <f>IF(AND(C109&gt;$F$72,'Instrumentos Financeiros'!C109&lt;'Instrumentos Financeiros'!$F$72+'Instrumentos Financeiros'!$F$11+1),PMT(((1+'Instrumentos Financeiros'!$J$43)^(1/12)-1),$F$11,-'Instrumentos Financeiros'!$G$7*$G$72),0)</f>
        <v>0</v>
      </c>
      <c r="BE109" s="1312">
        <f t="shared" si="74"/>
        <v>0</v>
      </c>
      <c r="BF109" s="1312">
        <f>BG108*((1+'Instrumentos Financeiros'!$J$43)^(1/12)-1)</f>
        <v>0</v>
      </c>
      <c r="BG109" s="1312">
        <f t="shared" si="44"/>
        <v>0</v>
      </c>
      <c r="BH109" s="1312">
        <f>IF(AND(C109&gt;$F$73,'Instrumentos Financeiros'!C109&lt;'Instrumentos Financeiros'!$F$73+'Instrumentos Financeiros'!$F$11+1),PMT(((1+'Instrumentos Financeiros'!$J$43)^(1/12)-1),$F$11,-$I$73),0)</f>
        <v>0</v>
      </c>
      <c r="BI109" s="1312">
        <f t="shared" si="75"/>
        <v>0</v>
      </c>
      <c r="BJ109" s="1312">
        <f>BK108*((1+'Instrumentos Financeiros'!$J$43)^(1/12)-1)</f>
        <v>0</v>
      </c>
      <c r="BK109" s="1312">
        <f t="shared" si="45"/>
        <v>0</v>
      </c>
      <c r="BL109" s="1312">
        <f>IF(AND(C109&gt;$F$77,'Instrumentos Financeiros'!C109&lt;'Instrumentos Financeiros'!$F$77+'Instrumentos Financeiros'!$F$12+1),PMT(((1+'Instrumentos Financeiros'!$K$43)^(1/12)-1),$F$12,-$I$77),0)</f>
        <v>0</v>
      </c>
      <c r="BM109" s="1312">
        <f t="shared" si="46"/>
        <v>0</v>
      </c>
      <c r="BN109" s="1312">
        <f>BO108*((1+'Instrumentos Financeiros'!$K$43)^(1/12)-1)</f>
        <v>0</v>
      </c>
      <c r="BO109" s="1312">
        <f t="shared" si="47"/>
        <v>0</v>
      </c>
      <c r="BP109" s="1312">
        <f>IF(AND(C109&gt;$F$78,'Instrumentos Financeiros'!C109&lt;'Instrumentos Financeiros'!$F$78+'Instrumentos Financeiros'!$F$12+1),PMT(((1+'Instrumentos Financeiros'!$L$43)^(1/12)-1),$F$12,-$I$78),0)</f>
        <v>0</v>
      </c>
      <c r="BQ109" s="1312">
        <f t="shared" si="48"/>
        <v>0</v>
      </c>
      <c r="BR109" s="1312">
        <f>BS108*((1+'Instrumentos Financeiros'!$L$43)^(1/12)-1)</f>
        <v>0</v>
      </c>
      <c r="BS109" s="1312">
        <f t="shared" si="49"/>
        <v>0</v>
      </c>
      <c r="BT109" s="1312">
        <f>IF(AND(C109&gt;$F$79,'Instrumentos Financeiros'!C109&lt;'Instrumentos Financeiros'!$F$79+'Instrumentos Financeiros'!$F$12+1),PMT(((1+'Instrumentos Financeiros'!$L$43)^(1/12)-1),$F$12,-$I$79),0)</f>
        <v>0</v>
      </c>
      <c r="BU109" s="1312">
        <f t="shared" si="50"/>
        <v>0</v>
      </c>
      <c r="BV109" s="1312">
        <f>BW108*((1+'Instrumentos Financeiros'!$L$43)^(1/12)-1)</f>
        <v>0</v>
      </c>
      <c r="BW109" s="1312">
        <f t="shared" si="51"/>
        <v>0</v>
      </c>
      <c r="BX109" s="1312">
        <f>IF(AND(C109&gt;$F$80,'Instrumentos Financeiros'!C109&lt;'Instrumentos Financeiros'!$F$80+'Instrumentos Financeiros'!$F$12+1),PMT(((1+'Instrumentos Financeiros'!$L$43)^(1/12)-1),$F$12,-$I$80),0)</f>
        <v>0</v>
      </c>
      <c r="BY109" s="1312">
        <f t="shared" si="52"/>
        <v>0</v>
      </c>
      <c r="BZ109" s="1312">
        <f>CA108*((1+'Instrumentos Financeiros'!$L$43)^(1/12)-1)</f>
        <v>0</v>
      </c>
      <c r="CA109" s="1312">
        <f t="shared" si="53"/>
        <v>0</v>
      </c>
      <c r="CB109" s="1312">
        <f>IF(AND(C109&gt;$F$83,'Instrumentos Financeiros'!C109&lt;'Instrumentos Financeiros'!$F$83+'Instrumentos Financeiros'!$F$13+1),PMT(((1+'Instrumentos Financeiros'!$P$43)^(1/12)-1),$F$13,-$I$83),0)</f>
        <v>0</v>
      </c>
      <c r="CC109" s="1312">
        <f t="shared" si="54"/>
        <v>0</v>
      </c>
      <c r="CD109" s="1312">
        <f>CE108*((1+'Instrumentos Financeiros'!$P$43)^(1/12)-1)</f>
        <v>0</v>
      </c>
      <c r="CE109" s="1312">
        <f t="shared" si="55"/>
        <v>0</v>
      </c>
      <c r="CF109" s="1312">
        <f>IF(AND(C109&gt;$F$84,'Instrumentos Financeiros'!C109&lt;'Instrumentos Financeiros'!$F$84+'Instrumentos Financeiros'!$F$13+1),PMT(((1+'Instrumentos Financeiros'!$Q$43)^(1/12)-1),$F$13,-$I$84),0)</f>
        <v>0</v>
      </c>
      <c r="CG109" s="1312">
        <f t="shared" si="56"/>
        <v>0</v>
      </c>
      <c r="CH109" s="1312">
        <f>CI108*((1+'Instrumentos Financeiros'!$Q$43)^(1/12)-1)</f>
        <v>0</v>
      </c>
      <c r="CI109" s="1312">
        <f t="shared" si="57"/>
        <v>0</v>
      </c>
      <c r="CJ109" s="1312">
        <f>IF(AND(C109&gt;$F$85,'Instrumentos Financeiros'!C109&lt;'Instrumentos Financeiros'!$F$85+'Instrumentos Financeiros'!$F$13+1),PMT(((1+'Instrumentos Financeiros'!$Q$43)^(1/12)-1),$F$13,-$I$85),0)</f>
        <v>0</v>
      </c>
      <c r="CK109" s="1312">
        <f t="shared" si="58"/>
        <v>0</v>
      </c>
      <c r="CL109" s="1312">
        <f>CM108*((1+'Instrumentos Financeiros'!$Q$43)^(1/12)-1)</f>
        <v>0</v>
      </c>
      <c r="CM109" s="1312">
        <f t="shared" si="59"/>
        <v>0</v>
      </c>
      <c r="CN109" s="1312">
        <f>IF(AND(C109&gt;$F$86,'Instrumentos Financeiros'!C109&lt;'Instrumentos Financeiros'!$F$86+'Instrumentos Financeiros'!$F$13+1),PMT(((1+'Instrumentos Financeiros'!$Q$43)^(1/12)-1),$F$13,-$I$86),0)</f>
        <v>0</v>
      </c>
      <c r="CO109" s="1312">
        <f t="shared" si="60"/>
        <v>0</v>
      </c>
      <c r="CP109" s="1312">
        <f>CQ108*((1+'Instrumentos Financeiros'!$Q$43)^(1/12)-1)</f>
        <v>0</v>
      </c>
      <c r="CQ109" s="1312">
        <f t="shared" si="61"/>
        <v>0</v>
      </c>
      <c r="CR109" s="1312">
        <f t="shared" si="29"/>
        <v>0</v>
      </c>
      <c r="CS109" s="1312">
        <f t="shared" si="29"/>
        <v>0</v>
      </c>
      <c r="CT109" s="1312">
        <f t="shared" si="29"/>
        <v>0</v>
      </c>
      <c r="CU109" s="1312">
        <f t="shared" si="29"/>
        <v>0</v>
      </c>
    </row>
    <row r="110" spans="3:99" x14ac:dyDescent="0.35">
      <c r="C110" s="1315">
        <f t="shared" si="30"/>
        <v>17</v>
      </c>
      <c r="D110" s="1312">
        <f>IF(AND(C110&gt;$F$59,'Instrumentos Financeiros'!C110&lt;'Instrumentos Financeiros'!$F$59+'Instrumentos Financeiros'!$F$11+1),PMT(((1+'Instrumentos Financeiros'!$G$43)^(1/12)-1),$F$11,-$I$59),0)</f>
        <v>0</v>
      </c>
      <c r="E110" s="1312">
        <f t="shared" si="14"/>
        <v>0</v>
      </c>
      <c r="F110" s="1312">
        <f>G109*((1+'Instrumentos Financeiros'!$G$43)^(1/12)-1)</f>
        <v>0</v>
      </c>
      <c r="G110" s="1312">
        <f t="shared" si="31"/>
        <v>0</v>
      </c>
      <c r="H110" s="1312">
        <f>IF(AND(C110&gt;$F$60,'Instrumentos Financeiros'!C110&lt;'Instrumentos Financeiros'!$F$60+'Instrumentos Financeiros'!$F$11+1),PMT(((1+'Instrumentos Financeiros'!$G$43)^(1/12)-1),$F$11,-$I$60),0)</f>
        <v>0</v>
      </c>
      <c r="I110" s="1312">
        <f t="shared" si="62"/>
        <v>0</v>
      </c>
      <c r="J110" s="1312">
        <f>K109*((1+'Instrumentos Financeiros'!$G$43)^(1/12)-1)</f>
        <v>0</v>
      </c>
      <c r="K110" s="1312">
        <f t="shared" si="32"/>
        <v>0</v>
      </c>
      <c r="L110" s="1312">
        <f>IF(AND(C110&gt;$F$61,'Instrumentos Financeiros'!C110&lt;'Instrumentos Financeiros'!$F$61+'Instrumentos Financeiros'!$F$11+1),PMT(((1+'Instrumentos Financeiros'!$G$43)^(1/12)-1),$F$11,-$I$61),0)</f>
        <v>0</v>
      </c>
      <c r="M110" s="1312">
        <f t="shared" si="63"/>
        <v>0</v>
      </c>
      <c r="N110" s="1312">
        <f>O109*((1+'Instrumentos Financeiros'!$G$43)^(1/12)-1)</f>
        <v>0</v>
      </c>
      <c r="O110" s="1312">
        <f t="shared" si="33"/>
        <v>0</v>
      </c>
      <c r="P110" s="1312">
        <f>IF(AND(C110&gt;$F$62,'Instrumentos Financeiros'!C110&lt;'Instrumentos Financeiros'!$F$62+'Instrumentos Financeiros'!$F$11+1),PMT(((1+'Instrumentos Financeiros'!$H$43)^(1/12)-1),$F$11,-$I$62),0)</f>
        <v>0</v>
      </c>
      <c r="Q110" s="1312">
        <f t="shared" si="64"/>
        <v>0</v>
      </c>
      <c r="R110" s="1312">
        <f>S109*((1+'Instrumentos Financeiros'!$H$43)^(1/12)-1)</f>
        <v>0</v>
      </c>
      <c r="S110" s="1312">
        <f t="shared" si="34"/>
        <v>0</v>
      </c>
      <c r="T110" s="1312">
        <f>IF(AND(C110&gt;$F$63,'Instrumentos Financeiros'!C110&lt;'Instrumentos Financeiros'!$F$63+'Instrumentos Financeiros'!$F$11+1),PMT(((1+'Instrumentos Financeiros'!$H$43)^(1/12)-1),$F$11,-$I$63),0)</f>
        <v>0</v>
      </c>
      <c r="U110" s="1312">
        <f t="shared" si="65"/>
        <v>0</v>
      </c>
      <c r="V110" s="1312">
        <f>W109*((1+'Instrumentos Financeiros'!$H$43)^(1/12)-1)</f>
        <v>0</v>
      </c>
      <c r="W110" s="1312">
        <f t="shared" si="35"/>
        <v>0</v>
      </c>
      <c r="X110" s="1312">
        <f>IF(AND(C110&gt;$F$64,'Instrumentos Financeiros'!C110&lt;'Instrumentos Financeiros'!$F$64+'Instrumentos Financeiros'!$F$11+1),PMT(((1+'Instrumentos Financeiros'!$H$43)^(1/12)-1),$F$11,-$I$64),0)</f>
        <v>0</v>
      </c>
      <c r="Y110" s="1312">
        <f t="shared" si="66"/>
        <v>0</v>
      </c>
      <c r="Z110" s="1312">
        <f>AA109*((1+'Instrumentos Financeiros'!$H$43)^(1/12)-1)</f>
        <v>0</v>
      </c>
      <c r="AA110" s="1312">
        <f t="shared" si="36"/>
        <v>0</v>
      </c>
      <c r="AB110" s="1312">
        <f>IF(AND(C110&gt;$F$65,'Instrumentos Financeiros'!C110&lt;'Instrumentos Financeiros'!$F$65+'Instrumentos Financeiros'!$F$11+1),PMT(((1+'Instrumentos Financeiros'!$H$43)^(1/12)-1),$F$11,-$I$65),0)</f>
        <v>0</v>
      </c>
      <c r="AC110" s="1312">
        <f t="shared" si="67"/>
        <v>0</v>
      </c>
      <c r="AD110" s="1312">
        <f>AE109*((1+'Instrumentos Financeiros'!$H$43)^(1/12)-1)</f>
        <v>0</v>
      </c>
      <c r="AE110" s="1312">
        <f t="shared" si="37"/>
        <v>0</v>
      </c>
      <c r="AF110" s="1312">
        <f>IF(AND(C110&gt;$F$66,'Instrumentos Financeiros'!C110&lt;'Instrumentos Financeiros'!$F$66+'Instrumentos Financeiros'!$F$11+1),PMT(((1+'Instrumentos Financeiros'!$I$43)^(1/12)-1),$F$11,-$I$66),0)</f>
        <v>0</v>
      </c>
      <c r="AG110" s="1312">
        <f t="shared" si="68"/>
        <v>0</v>
      </c>
      <c r="AH110" s="1312">
        <f>AI109*((1+'Instrumentos Financeiros'!$I$43)^(1/12)-1)</f>
        <v>0</v>
      </c>
      <c r="AI110" s="1312">
        <f t="shared" si="38"/>
        <v>0</v>
      </c>
      <c r="AJ110" s="1312">
        <f>IF(AND(C110&gt;$F$67,'Instrumentos Financeiros'!C110&lt;'Instrumentos Financeiros'!$F$67+'Instrumentos Financeiros'!$F$11+1),PMT(((1+'Instrumentos Financeiros'!$I$43)^(1/12)-1),$F$11,-$I$67),0)</f>
        <v>0</v>
      </c>
      <c r="AK110" s="1312">
        <f t="shared" si="69"/>
        <v>0</v>
      </c>
      <c r="AL110" s="1312">
        <f>AM109*((1+'Instrumentos Financeiros'!$I$43)^(1/12)-1)</f>
        <v>0</v>
      </c>
      <c r="AM110" s="1312">
        <f t="shared" si="39"/>
        <v>0</v>
      </c>
      <c r="AN110" s="1312">
        <f>IF(AND(C110&gt;$F$68,'Instrumentos Financeiros'!C110&lt;'Instrumentos Financeiros'!$F$68+'Instrumentos Financeiros'!$F$11+1),PMT(((1+'Instrumentos Financeiros'!$I$43)^(1/12)-1),$F$11,-$I$68),0)</f>
        <v>0</v>
      </c>
      <c r="AO110" s="1312">
        <f t="shared" si="70"/>
        <v>0</v>
      </c>
      <c r="AP110" s="1312">
        <f>AQ109*((1+'Instrumentos Financeiros'!$I$43)^(1/12)-1)</f>
        <v>0</v>
      </c>
      <c r="AQ110" s="1312">
        <f t="shared" si="40"/>
        <v>0</v>
      </c>
      <c r="AR110" s="1312">
        <f>IF(AND(C110&gt;$F$69,'Instrumentos Financeiros'!C110&lt;'Instrumentos Financeiros'!$F$69+'Instrumentos Financeiros'!$F$11+1),PMT(((1+'Instrumentos Financeiros'!$I$43)^(1/12)-1),$F$11,-$I$69),0)</f>
        <v>0</v>
      </c>
      <c r="AS110" s="1312">
        <f t="shared" si="71"/>
        <v>0</v>
      </c>
      <c r="AT110" s="1312">
        <f>AU109*((1+'Instrumentos Financeiros'!$I$43)^(1/12)-1)</f>
        <v>0</v>
      </c>
      <c r="AU110" s="1312">
        <f t="shared" si="41"/>
        <v>0</v>
      </c>
      <c r="AV110" s="1312">
        <f>IF(AND(C110&gt;$F$70,'Instrumentos Financeiros'!C110&lt;'Instrumentos Financeiros'!$F$70+'Instrumentos Financeiros'!$F$11+1),PMT(((1+'Instrumentos Financeiros'!$J$43)^(1/12)-1),$F$11,-$I$70),0)</f>
        <v>0</v>
      </c>
      <c r="AW110" s="1312">
        <f t="shared" si="72"/>
        <v>0</v>
      </c>
      <c r="AX110" s="1312">
        <f>AY109*((1+'Instrumentos Financeiros'!$J$43)^(1/12)-1)</f>
        <v>0</v>
      </c>
      <c r="AY110" s="1312">
        <f t="shared" si="42"/>
        <v>0</v>
      </c>
      <c r="AZ110" s="1312">
        <f>IF(AND(C110&gt;$F$71,'Instrumentos Financeiros'!C110&lt;'Instrumentos Financeiros'!$F$71+'Instrumentos Financeiros'!$F$11+1),PMT(((1+'Instrumentos Financeiros'!$J$43)^(1/12)-1),$F$11,-$I$71),0)</f>
        <v>0</v>
      </c>
      <c r="BA110" s="1312">
        <f t="shared" si="73"/>
        <v>0</v>
      </c>
      <c r="BB110" s="1312">
        <f>BC109*((1+'Instrumentos Financeiros'!$J$43)^(1/12)-1)</f>
        <v>0</v>
      </c>
      <c r="BC110" s="1312">
        <f t="shared" si="43"/>
        <v>0</v>
      </c>
      <c r="BD110" s="1312">
        <f>IF(AND(C110&gt;$F$72,'Instrumentos Financeiros'!C110&lt;'Instrumentos Financeiros'!$F$72+'Instrumentos Financeiros'!$F$11+1),PMT(((1+'Instrumentos Financeiros'!$J$43)^(1/12)-1),$F$11,-'Instrumentos Financeiros'!$G$7*$G$72),0)</f>
        <v>0</v>
      </c>
      <c r="BE110" s="1312">
        <f t="shared" si="74"/>
        <v>0</v>
      </c>
      <c r="BF110" s="1312">
        <f>BG109*((1+'Instrumentos Financeiros'!$J$43)^(1/12)-1)</f>
        <v>0</v>
      </c>
      <c r="BG110" s="1312">
        <f t="shared" si="44"/>
        <v>0</v>
      </c>
      <c r="BH110" s="1312">
        <f>IF(AND(C110&gt;$F$73,'Instrumentos Financeiros'!C110&lt;'Instrumentos Financeiros'!$F$73+'Instrumentos Financeiros'!$F$11+1),PMT(((1+'Instrumentos Financeiros'!$J$43)^(1/12)-1),$F$11,-$I$73),0)</f>
        <v>0</v>
      </c>
      <c r="BI110" s="1312">
        <f t="shared" si="75"/>
        <v>0</v>
      </c>
      <c r="BJ110" s="1312">
        <f>BK109*((1+'Instrumentos Financeiros'!$J$43)^(1/12)-1)</f>
        <v>0</v>
      </c>
      <c r="BK110" s="1312">
        <f t="shared" si="45"/>
        <v>0</v>
      </c>
      <c r="BL110" s="1312">
        <f>IF(AND(C110&gt;$F$77,'Instrumentos Financeiros'!C110&lt;'Instrumentos Financeiros'!$F$77+'Instrumentos Financeiros'!$F$12+1),PMT(((1+'Instrumentos Financeiros'!$K$43)^(1/12)-1),$F$12,-$I$77),0)</f>
        <v>0</v>
      </c>
      <c r="BM110" s="1312">
        <f t="shared" si="46"/>
        <v>0</v>
      </c>
      <c r="BN110" s="1312">
        <f>BO109*((1+'Instrumentos Financeiros'!$K$43)^(1/12)-1)</f>
        <v>0</v>
      </c>
      <c r="BO110" s="1312">
        <f t="shared" si="47"/>
        <v>0</v>
      </c>
      <c r="BP110" s="1312">
        <f>IF(AND(C110&gt;$F$78,'Instrumentos Financeiros'!C110&lt;'Instrumentos Financeiros'!$F$78+'Instrumentos Financeiros'!$F$12+1),PMT(((1+'Instrumentos Financeiros'!$L$43)^(1/12)-1),$F$12,-$I$78),0)</f>
        <v>0</v>
      </c>
      <c r="BQ110" s="1312">
        <f t="shared" si="48"/>
        <v>0</v>
      </c>
      <c r="BR110" s="1312">
        <f>BS109*((1+'Instrumentos Financeiros'!$L$43)^(1/12)-1)</f>
        <v>0</v>
      </c>
      <c r="BS110" s="1312">
        <f t="shared" si="49"/>
        <v>0</v>
      </c>
      <c r="BT110" s="1312">
        <f>IF(AND(C110&gt;$F$79,'Instrumentos Financeiros'!C110&lt;'Instrumentos Financeiros'!$F$79+'Instrumentos Financeiros'!$F$12+1),PMT(((1+'Instrumentos Financeiros'!$L$43)^(1/12)-1),$F$12,-$I$79),0)</f>
        <v>0</v>
      </c>
      <c r="BU110" s="1312">
        <f t="shared" si="50"/>
        <v>0</v>
      </c>
      <c r="BV110" s="1312">
        <f>BW109*((1+'Instrumentos Financeiros'!$L$43)^(1/12)-1)</f>
        <v>0</v>
      </c>
      <c r="BW110" s="1312">
        <f t="shared" si="51"/>
        <v>0</v>
      </c>
      <c r="BX110" s="1312">
        <f>IF(AND(C110&gt;$F$80,'Instrumentos Financeiros'!C110&lt;'Instrumentos Financeiros'!$F$80+'Instrumentos Financeiros'!$F$12+1),PMT(((1+'Instrumentos Financeiros'!$L$43)^(1/12)-1),$F$12,-$I$80),0)</f>
        <v>0</v>
      </c>
      <c r="BY110" s="1312">
        <f t="shared" si="52"/>
        <v>0</v>
      </c>
      <c r="BZ110" s="1312">
        <f>CA109*((1+'Instrumentos Financeiros'!$L$43)^(1/12)-1)</f>
        <v>0</v>
      </c>
      <c r="CA110" s="1312">
        <f t="shared" si="53"/>
        <v>0</v>
      </c>
      <c r="CB110" s="1312">
        <f>IF(AND(C110&gt;$F$83,'Instrumentos Financeiros'!C110&lt;'Instrumentos Financeiros'!$F$83+'Instrumentos Financeiros'!$F$13+1),PMT(((1+'Instrumentos Financeiros'!$P$43)^(1/12)-1),$F$13,-$I$83),0)</f>
        <v>0</v>
      </c>
      <c r="CC110" s="1312">
        <f t="shared" si="54"/>
        <v>0</v>
      </c>
      <c r="CD110" s="1312">
        <f>CE109*((1+'Instrumentos Financeiros'!$P$43)^(1/12)-1)</f>
        <v>0</v>
      </c>
      <c r="CE110" s="1312">
        <f t="shared" si="55"/>
        <v>0</v>
      </c>
      <c r="CF110" s="1312">
        <f>IF(AND(C110&gt;$F$84,'Instrumentos Financeiros'!C110&lt;'Instrumentos Financeiros'!$F$84+'Instrumentos Financeiros'!$F$13+1),PMT(((1+'Instrumentos Financeiros'!$Q$43)^(1/12)-1),$F$13,-$I$84),0)</f>
        <v>0</v>
      </c>
      <c r="CG110" s="1312">
        <f t="shared" si="56"/>
        <v>0</v>
      </c>
      <c r="CH110" s="1312">
        <f>CI109*((1+'Instrumentos Financeiros'!$Q$43)^(1/12)-1)</f>
        <v>0</v>
      </c>
      <c r="CI110" s="1312">
        <f t="shared" si="57"/>
        <v>0</v>
      </c>
      <c r="CJ110" s="1312">
        <f>IF(AND(C110&gt;$F$85,'Instrumentos Financeiros'!C110&lt;'Instrumentos Financeiros'!$F$85+'Instrumentos Financeiros'!$F$13+1),PMT(((1+'Instrumentos Financeiros'!$Q$43)^(1/12)-1),$F$13,-$I$85),0)</f>
        <v>0</v>
      </c>
      <c r="CK110" s="1312">
        <f t="shared" si="58"/>
        <v>0</v>
      </c>
      <c r="CL110" s="1312">
        <f>CM109*((1+'Instrumentos Financeiros'!$Q$43)^(1/12)-1)</f>
        <v>0</v>
      </c>
      <c r="CM110" s="1312">
        <f t="shared" si="59"/>
        <v>0</v>
      </c>
      <c r="CN110" s="1312">
        <f>IF(AND(C110&gt;$F$86,'Instrumentos Financeiros'!C110&lt;'Instrumentos Financeiros'!$F$86+'Instrumentos Financeiros'!$F$13+1),PMT(((1+'Instrumentos Financeiros'!$Q$43)^(1/12)-1),$F$13,-$I$86),0)</f>
        <v>0</v>
      </c>
      <c r="CO110" s="1312">
        <f t="shared" si="60"/>
        <v>0</v>
      </c>
      <c r="CP110" s="1312">
        <f>CQ109*((1+'Instrumentos Financeiros'!$Q$43)^(1/12)-1)</f>
        <v>0</v>
      </c>
      <c r="CQ110" s="1312">
        <f t="shared" si="61"/>
        <v>0</v>
      </c>
      <c r="CR110" s="1312">
        <f t="shared" si="29"/>
        <v>0</v>
      </c>
      <c r="CS110" s="1312">
        <f t="shared" si="29"/>
        <v>0</v>
      </c>
      <c r="CT110" s="1312">
        <f t="shared" si="29"/>
        <v>0</v>
      </c>
      <c r="CU110" s="1312">
        <f t="shared" si="29"/>
        <v>0</v>
      </c>
    </row>
    <row r="111" spans="3:99" x14ac:dyDescent="0.35">
      <c r="C111" s="1315">
        <f t="shared" si="30"/>
        <v>18</v>
      </c>
      <c r="D111" s="1312">
        <f>IF(AND(C111&gt;$F$59,'Instrumentos Financeiros'!C111&lt;'Instrumentos Financeiros'!$F$59+'Instrumentos Financeiros'!$F$11+1),PMT(((1+'Instrumentos Financeiros'!$G$43)^(1/12)-1),$F$11,-$I$59),0)</f>
        <v>0</v>
      </c>
      <c r="E111" s="1312">
        <f t="shared" si="14"/>
        <v>0</v>
      </c>
      <c r="F111" s="1312">
        <f>G110*((1+'Instrumentos Financeiros'!$G$43)^(1/12)-1)</f>
        <v>0</v>
      </c>
      <c r="G111" s="1312">
        <f t="shared" si="31"/>
        <v>0</v>
      </c>
      <c r="H111" s="1312">
        <f>IF(AND(C111&gt;$F$60,'Instrumentos Financeiros'!C111&lt;'Instrumentos Financeiros'!$F$60+'Instrumentos Financeiros'!$F$11+1),PMT(((1+'Instrumentos Financeiros'!$G$43)^(1/12)-1),$F$11,-$I$60),0)</f>
        <v>0</v>
      </c>
      <c r="I111" s="1312">
        <f t="shared" si="62"/>
        <v>0</v>
      </c>
      <c r="J111" s="1312">
        <f>K110*((1+'Instrumentos Financeiros'!$G$43)^(1/12)-1)</f>
        <v>0</v>
      </c>
      <c r="K111" s="1312">
        <f t="shared" si="32"/>
        <v>0</v>
      </c>
      <c r="L111" s="1312">
        <f>IF(AND(C111&gt;$F$61,'Instrumentos Financeiros'!C111&lt;'Instrumentos Financeiros'!$F$61+'Instrumentos Financeiros'!$F$11+1),PMT(((1+'Instrumentos Financeiros'!$G$43)^(1/12)-1),$F$11,-$I$61),0)</f>
        <v>0</v>
      </c>
      <c r="M111" s="1312">
        <f t="shared" si="63"/>
        <v>0</v>
      </c>
      <c r="N111" s="1312">
        <f>O110*((1+'Instrumentos Financeiros'!$G$43)^(1/12)-1)</f>
        <v>0</v>
      </c>
      <c r="O111" s="1312">
        <f t="shared" si="33"/>
        <v>0</v>
      </c>
      <c r="P111" s="1312">
        <f>IF(AND(C111&gt;$F$62,'Instrumentos Financeiros'!C111&lt;'Instrumentos Financeiros'!$F$62+'Instrumentos Financeiros'!$F$11+1),PMT(((1+'Instrumentos Financeiros'!$H$43)^(1/12)-1),$F$11,-$I$62),0)</f>
        <v>0</v>
      </c>
      <c r="Q111" s="1312">
        <f t="shared" si="64"/>
        <v>0</v>
      </c>
      <c r="R111" s="1312">
        <f>S110*((1+'Instrumentos Financeiros'!$H$43)^(1/12)-1)</f>
        <v>0</v>
      </c>
      <c r="S111" s="1312">
        <f t="shared" si="34"/>
        <v>0</v>
      </c>
      <c r="T111" s="1312">
        <f>IF(AND(C111&gt;$F$63,'Instrumentos Financeiros'!C111&lt;'Instrumentos Financeiros'!$F$63+'Instrumentos Financeiros'!$F$11+1),PMT(((1+'Instrumentos Financeiros'!$H$43)^(1/12)-1),$F$11,-$I$63),0)</f>
        <v>0</v>
      </c>
      <c r="U111" s="1312">
        <f t="shared" si="65"/>
        <v>0</v>
      </c>
      <c r="V111" s="1312">
        <f>W110*((1+'Instrumentos Financeiros'!$H$43)^(1/12)-1)</f>
        <v>0</v>
      </c>
      <c r="W111" s="1312">
        <f t="shared" si="35"/>
        <v>0</v>
      </c>
      <c r="X111" s="1312">
        <f>IF(AND(C111&gt;$F$64,'Instrumentos Financeiros'!C111&lt;'Instrumentos Financeiros'!$F$64+'Instrumentos Financeiros'!$F$11+1),PMT(((1+'Instrumentos Financeiros'!$H$43)^(1/12)-1),$F$11,-$I$64),0)</f>
        <v>0</v>
      </c>
      <c r="Y111" s="1312">
        <f t="shared" si="66"/>
        <v>0</v>
      </c>
      <c r="Z111" s="1312">
        <f>AA110*((1+'Instrumentos Financeiros'!$H$43)^(1/12)-1)</f>
        <v>0</v>
      </c>
      <c r="AA111" s="1312">
        <f t="shared" si="36"/>
        <v>0</v>
      </c>
      <c r="AB111" s="1312">
        <f>IF(AND(C111&gt;$F$65,'Instrumentos Financeiros'!C111&lt;'Instrumentos Financeiros'!$F$65+'Instrumentos Financeiros'!$F$11+1),PMT(((1+'Instrumentos Financeiros'!$H$43)^(1/12)-1),$F$11,-$I$65),0)</f>
        <v>0</v>
      </c>
      <c r="AC111" s="1312">
        <f t="shared" si="67"/>
        <v>0</v>
      </c>
      <c r="AD111" s="1312">
        <f>AE110*((1+'Instrumentos Financeiros'!$H$43)^(1/12)-1)</f>
        <v>0</v>
      </c>
      <c r="AE111" s="1312">
        <f t="shared" si="37"/>
        <v>0</v>
      </c>
      <c r="AF111" s="1312">
        <f>IF(AND(C111&gt;$F$66,'Instrumentos Financeiros'!C111&lt;'Instrumentos Financeiros'!$F$66+'Instrumentos Financeiros'!$F$11+1),PMT(((1+'Instrumentos Financeiros'!$I$43)^(1/12)-1),$F$11,-$I$66),0)</f>
        <v>0</v>
      </c>
      <c r="AG111" s="1312">
        <f t="shared" si="68"/>
        <v>0</v>
      </c>
      <c r="AH111" s="1312">
        <f>AI110*((1+'Instrumentos Financeiros'!$I$43)^(1/12)-1)</f>
        <v>0</v>
      </c>
      <c r="AI111" s="1312">
        <f t="shared" si="38"/>
        <v>0</v>
      </c>
      <c r="AJ111" s="1312">
        <f>IF(AND(C111&gt;$F$67,'Instrumentos Financeiros'!C111&lt;'Instrumentos Financeiros'!$F$67+'Instrumentos Financeiros'!$F$11+1),PMT(((1+'Instrumentos Financeiros'!$I$43)^(1/12)-1),$F$11,-$I$67),0)</f>
        <v>0</v>
      </c>
      <c r="AK111" s="1312">
        <f t="shared" si="69"/>
        <v>0</v>
      </c>
      <c r="AL111" s="1312">
        <f>AM110*((1+'Instrumentos Financeiros'!$I$43)^(1/12)-1)</f>
        <v>0</v>
      </c>
      <c r="AM111" s="1312">
        <f t="shared" si="39"/>
        <v>0</v>
      </c>
      <c r="AN111" s="1312">
        <f>IF(AND(C111&gt;$F$68,'Instrumentos Financeiros'!C111&lt;'Instrumentos Financeiros'!$F$68+'Instrumentos Financeiros'!$F$11+1),PMT(((1+'Instrumentos Financeiros'!$I$43)^(1/12)-1),$F$11,-$I$68),0)</f>
        <v>0</v>
      </c>
      <c r="AO111" s="1312">
        <f t="shared" si="70"/>
        <v>0</v>
      </c>
      <c r="AP111" s="1312">
        <f>AQ110*((1+'Instrumentos Financeiros'!$I$43)^(1/12)-1)</f>
        <v>0</v>
      </c>
      <c r="AQ111" s="1312">
        <f t="shared" si="40"/>
        <v>0</v>
      </c>
      <c r="AR111" s="1312">
        <f>IF(AND(C111&gt;$F$69,'Instrumentos Financeiros'!C111&lt;'Instrumentos Financeiros'!$F$69+'Instrumentos Financeiros'!$F$11+1),PMT(((1+'Instrumentos Financeiros'!$I$43)^(1/12)-1),$F$11,-$I$69),0)</f>
        <v>0</v>
      </c>
      <c r="AS111" s="1312">
        <f t="shared" si="71"/>
        <v>0</v>
      </c>
      <c r="AT111" s="1312">
        <f>AU110*((1+'Instrumentos Financeiros'!$I$43)^(1/12)-1)</f>
        <v>0</v>
      </c>
      <c r="AU111" s="1312">
        <f t="shared" si="41"/>
        <v>0</v>
      </c>
      <c r="AV111" s="1312">
        <f>IF(AND(C111&gt;$F$70,'Instrumentos Financeiros'!C111&lt;'Instrumentos Financeiros'!$F$70+'Instrumentos Financeiros'!$F$11+1),PMT(((1+'Instrumentos Financeiros'!$J$43)^(1/12)-1),$F$11,-$I$70),0)</f>
        <v>0</v>
      </c>
      <c r="AW111" s="1312">
        <f t="shared" si="72"/>
        <v>0</v>
      </c>
      <c r="AX111" s="1312">
        <f>AY110*((1+'Instrumentos Financeiros'!$J$43)^(1/12)-1)</f>
        <v>0</v>
      </c>
      <c r="AY111" s="1312">
        <f t="shared" si="42"/>
        <v>0</v>
      </c>
      <c r="AZ111" s="1312">
        <f>IF(AND(C111&gt;$F$71,'Instrumentos Financeiros'!C111&lt;'Instrumentos Financeiros'!$F$71+'Instrumentos Financeiros'!$F$11+1),PMT(((1+'Instrumentos Financeiros'!$J$43)^(1/12)-1),$F$11,-$I$71),0)</f>
        <v>0</v>
      </c>
      <c r="BA111" s="1312">
        <f t="shared" si="73"/>
        <v>0</v>
      </c>
      <c r="BB111" s="1312">
        <f>BC110*((1+'Instrumentos Financeiros'!$J$43)^(1/12)-1)</f>
        <v>0</v>
      </c>
      <c r="BC111" s="1312">
        <f t="shared" si="43"/>
        <v>0</v>
      </c>
      <c r="BD111" s="1312">
        <f>IF(AND(C111&gt;$F$72,'Instrumentos Financeiros'!C111&lt;'Instrumentos Financeiros'!$F$72+'Instrumentos Financeiros'!$F$11+1),PMT(((1+'Instrumentos Financeiros'!$J$43)^(1/12)-1),$F$11,-'Instrumentos Financeiros'!$G$7*$G$72),0)</f>
        <v>0</v>
      </c>
      <c r="BE111" s="1312">
        <f t="shared" si="74"/>
        <v>0</v>
      </c>
      <c r="BF111" s="1312">
        <f>BG110*((1+'Instrumentos Financeiros'!$J$43)^(1/12)-1)</f>
        <v>0</v>
      </c>
      <c r="BG111" s="1312">
        <f t="shared" si="44"/>
        <v>0</v>
      </c>
      <c r="BH111" s="1312">
        <f>IF(AND(C111&gt;$F$73,'Instrumentos Financeiros'!C111&lt;'Instrumentos Financeiros'!$F$73+'Instrumentos Financeiros'!$F$11+1),PMT(((1+'Instrumentos Financeiros'!$J$43)^(1/12)-1),$F$11,-$I$73),0)</f>
        <v>0</v>
      </c>
      <c r="BI111" s="1312">
        <f t="shared" si="75"/>
        <v>0</v>
      </c>
      <c r="BJ111" s="1312">
        <f>BK110*((1+'Instrumentos Financeiros'!$J$43)^(1/12)-1)</f>
        <v>0</v>
      </c>
      <c r="BK111" s="1312">
        <f t="shared" si="45"/>
        <v>0</v>
      </c>
      <c r="BL111" s="1312">
        <f>IF(AND(C111&gt;$F$77,'Instrumentos Financeiros'!C111&lt;'Instrumentos Financeiros'!$F$77+'Instrumentos Financeiros'!$F$12+1),PMT(((1+'Instrumentos Financeiros'!$K$43)^(1/12)-1),$F$12,-$I$77),0)</f>
        <v>0</v>
      </c>
      <c r="BM111" s="1312">
        <f t="shared" si="46"/>
        <v>0</v>
      </c>
      <c r="BN111" s="1312">
        <f>BO110*((1+'Instrumentos Financeiros'!$K$43)^(1/12)-1)</f>
        <v>0</v>
      </c>
      <c r="BO111" s="1312">
        <f t="shared" si="47"/>
        <v>0</v>
      </c>
      <c r="BP111" s="1312">
        <f>IF(AND(C111&gt;$F$78,'Instrumentos Financeiros'!C111&lt;'Instrumentos Financeiros'!$F$78+'Instrumentos Financeiros'!$F$12+1),PMT(((1+'Instrumentos Financeiros'!$L$43)^(1/12)-1),$F$12,-$I$78),0)</f>
        <v>0</v>
      </c>
      <c r="BQ111" s="1312">
        <f t="shared" si="48"/>
        <v>0</v>
      </c>
      <c r="BR111" s="1312">
        <f>BS110*((1+'Instrumentos Financeiros'!$L$43)^(1/12)-1)</f>
        <v>0</v>
      </c>
      <c r="BS111" s="1312">
        <f t="shared" si="49"/>
        <v>0</v>
      </c>
      <c r="BT111" s="1312">
        <f>IF(AND(C111&gt;$F$79,'Instrumentos Financeiros'!C111&lt;'Instrumentos Financeiros'!$F$79+'Instrumentos Financeiros'!$F$12+1),PMT(((1+'Instrumentos Financeiros'!$L$43)^(1/12)-1),$F$12,-$I$79),0)</f>
        <v>0</v>
      </c>
      <c r="BU111" s="1312">
        <f t="shared" si="50"/>
        <v>0</v>
      </c>
      <c r="BV111" s="1312">
        <f>BW110*((1+'Instrumentos Financeiros'!$L$43)^(1/12)-1)</f>
        <v>0</v>
      </c>
      <c r="BW111" s="1312">
        <f t="shared" si="51"/>
        <v>0</v>
      </c>
      <c r="BX111" s="1312">
        <f>IF(AND(C111&gt;$F$80,'Instrumentos Financeiros'!C111&lt;'Instrumentos Financeiros'!$F$80+'Instrumentos Financeiros'!$F$12+1),PMT(((1+'Instrumentos Financeiros'!$L$43)^(1/12)-1),$F$12,-$I$80),0)</f>
        <v>0</v>
      </c>
      <c r="BY111" s="1312">
        <f t="shared" si="52"/>
        <v>0</v>
      </c>
      <c r="BZ111" s="1312">
        <f>CA110*((1+'Instrumentos Financeiros'!$L$43)^(1/12)-1)</f>
        <v>0</v>
      </c>
      <c r="CA111" s="1312">
        <f t="shared" si="53"/>
        <v>0</v>
      </c>
      <c r="CB111" s="1312">
        <f>IF(AND(C111&gt;$F$83,'Instrumentos Financeiros'!C111&lt;'Instrumentos Financeiros'!$F$83+'Instrumentos Financeiros'!$F$13+1),PMT(((1+'Instrumentos Financeiros'!$P$43)^(1/12)-1),$F$13,-$I$83),0)</f>
        <v>0</v>
      </c>
      <c r="CC111" s="1312">
        <f t="shared" si="54"/>
        <v>0</v>
      </c>
      <c r="CD111" s="1312">
        <f>CE110*((1+'Instrumentos Financeiros'!$P$43)^(1/12)-1)</f>
        <v>0</v>
      </c>
      <c r="CE111" s="1312">
        <f t="shared" si="55"/>
        <v>0</v>
      </c>
      <c r="CF111" s="1312">
        <f>IF(AND(C111&gt;$F$84,'Instrumentos Financeiros'!C111&lt;'Instrumentos Financeiros'!$F$84+'Instrumentos Financeiros'!$F$13+1),PMT(((1+'Instrumentos Financeiros'!$Q$43)^(1/12)-1),$F$13,-$I$84),0)</f>
        <v>0</v>
      </c>
      <c r="CG111" s="1312">
        <f t="shared" si="56"/>
        <v>0</v>
      </c>
      <c r="CH111" s="1312">
        <f>CI110*((1+'Instrumentos Financeiros'!$Q$43)^(1/12)-1)</f>
        <v>0</v>
      </c>
      <c r="CI111" s="1312">
        <f t="shared" si="57"/>
        <v>0</v>
      </c>
      <c r="CJ111" s="1312">
        <f>IF(AND(C111&gt;$F$85,'Instrumentos Financeiros'!C111&lt;'Instrumentos Financeiros'!$F$85+'Instrumentos Financeiros'!$F$13+1),PMT(((1+'Instrumentos Financeiros'!$Q$43)^(1/12)-1),$F$13,-$I$85),0)</f>
        <v>0</v>
      </c>
      <c r="CK111" s="1312">
        <f t="shared" si="58"/>
        <v>0</v>
      </c>
      <c r="CL111" s="1312">
        <f>CM110*((1+'Instrumentos Financeiros'!$Q$43)^(1/12)-1)</f>
        <v>0</v>
      </c>
      <c r="CM111" s="1312">
        <f t="shared" si="59"/>
        <v>0</v>
      </c>
      <c r="CN111" s="1312">
        <f>IF(AND(C111&gt;$F$86,'Instrumentos Financeiros'!C111&lt;'Instrumentos Financeiros'!$F$86+'Instrumentos Financeiros'!$F$13+1),PMT(((1+'Instrumentos Financeiros'!$Q$43)^(1/12)-1),$F$13,-$I$86),0)</f>
        <v>0</v>
      </c>
      <c r="CO111" s="1312">
        <f t="shared" si="60"/>
        <v>0</v>
      </c>
      <c r="CP111" s="1312">
        <f>CQ110*((1+'Instrumentos Financeiros'!$Q$43)^(1/12)-1)</f>
        <v>0</v>
      </c>
      <c r="CQ111" s="1312">
        <f t="shared" si="61"/>
        <v>0</v>
      </c>
      <c r="CR111" s="1312">
        <f t="shared" si="29"/>
        <v>0</v>
      </c>
      <c r="CS111" s="1312">
        <f t="shared" si="29"/>
        <v>0</v>
      </c>
      <c r="CT111" s="1312">
        <f t="shared" si="29"/>
        <v>0</v>
      </c>
      <c r="CU111" s="1312">
        <f t="shared" si="29"/>
        <v>0</v>
      </c>
    </row>
    <row r="112" spans="3:99" x14ac:dyDescent="0.35">
      <c r="C112" s="1315">
        <f t="shared" si="30"/>
        <v>19</v>
      </c>
      <c r="D112" s="1312">
        <f>IF(AND(C112&gt;$F$59,'Instrumentos Financeiros'!C112&lt;'Instrumentos Financeiros'!$F$59+'Instrumentos Financeiros'!$F$11+1),PMT(((1+'Instrumentos Financeiros'!$G$43)^(1/12)-1),$F$11,-$I$59),0)</f>
        <v>0</v>
      </c>
      <c r="E112" s="1312">
        <f t="shared" si="14"/>
        <v>0</v>
      </c>
      <c r="F112" s="1312">
        <f>G111*((1+'Instrumentos Financeiros'!$G$43)^(1/12)-1)</f>
        <v>0</v>
      </c>
      <c r="G112" s="1312">
        <f t="shared" si="31"/>
        <v>0</v>
      </c>
      <c r="H112" s="1312">
        <f>IF(AND(C112&gt;$F$60,'Instrumentos Financeiros'!C112&lt;'Instrumentos Financeiros'!$F$60+'Instrumentos Financeiros'!$F$11+1),PMT(((1+'Instrumentos Financeiros'!$G$43)^(1/12)-1),$F$11,-$I$60),0)</f>
        <v>0</v>
      </c>
      <c r="I112" s="1312">
        <f t="shared" si="62"/>
        <v>0</v>
      </c>
      <c r="J112" s="1312">
        <f>K111*((1+'Instrumentos Financeiros'!$G$43)^(1/12)-1)</f>
        <v>0</v>
      </c>
      <c r="K112" s="1312">
        <f t="shared" si="32"/>
        <v>0</v>
      </c>
      <c r="L112" s="1312">
        <f>IF(AND(C112&gt;$F$61,'Instrumentos Financeiros'!C112&lt;'Instrumentos Financeiros'!$F$61+'Instrumentos Financeiros'!$F$11+1),PMT(((1+'Instrumentos Financeiros'!$G$43)^(1/12)-1),$F$11,-$I$61),0)</f>
        <v>0</v>
      </c>
      <c r="M112" s="1312">
        <f t="shared" si="63"/>
        <v>0</v>
      </c>
      <c r="N112" s="1312">
        <f>O111*((1+'Instrumentos Financeiros'!$G$43)^(1/12)-1)</f>
        <v>0</v>
      </c>
      <c r="O112" s="1312">
        <f t="shared" si="33"/>
        <v>0</v>
      </c>
      <c r="P112" s="1312">
        <f>IF(AND(C112&gt;$F$62,'Instrumentos Financeiros'!C112&lt;'Instrumentos Financeiros'!$F$62+'Instrumentos Financeiros'!$F$11+1),PMT(((1+'Instrumentos Financeiros'!$H$43)^(1/12)-1),$F$11,-$I$62),0)</f>
        <v>0</v>
      </c>
      <c r="Q112" s="1312">
        <f t="shared" si="64"/>
        <v>0</v>
      </c>
      <c r="R112" s="1312">
        <f>S111*((1+'Instrumentos Financeiros'!$H$43)^(1/12)-1)</f>
        <v>0</v>
      </c>
      <c r="S112" s="1312">
        <f t="shared" si="34"/>
        <v>0</v>
      </c>
      <c r="T112" s="1312">
        <f>IF(AND(C112&gt;$F$63,'Instrumentos Financeiros'!C112&lt;'Instrumentos Financeiros'!$F$63+'Instrumentos Financeiros'!$F$11+1),PMT(((1+'Instrumentos Financeiros'!$H$43)^(1/12)-1),$F$11,-$I$63),0)</f>
        <v>0</v>
      </c>
      <c r="U112" s="1312">
        <f t="shared" si="65"/>
        <v>0</v>
      </c>
      <c r="V112" s="1312">
        <f>W111*((1+'Instrumentos Financeiros'!$H$43)^(1/12)-1)</f>
        <v>0</v>
      </c>
      <c r="W112" s="1312">
        <f t="shared" si="35"/>
        <v>0</v>
      </c>
      <c r="X112" s="1312">
        <f>IF(AND(C112&gt;$F$64,'Instrumentos Financeiros'!C112&lt;'Instrumentos Financeiros'!$F$64+'Instrumentos Financeiros'!$F$11+1),PMT(((1+'Instrumentos Financeiros'!$H$43)^(1/12)-1),$F$11,-$I$64),0)</f>
        <v>0</v>
      </c>
      <c r="Y112" s="1312">
        <f t="shared" si="66"/>
        <v>0</v>
      </c>
      <c r="Z112" s="1312">
        <f>AA111*((1+'Instrumentos Financeiros'!$H$43)^(1/12)-1)</f>
        <v>0</v>
      </c>
      <c r="AA112" s="1312">
        <f t="shared" si="36"/>
        <v>0</v>
      </c>
      <c r="AB112" s="1312">
        <f>IF(AND(C112&gt;$F$65,'Instrumentos Financeiros'!C112&lt;'Instrumentos Financeiros'!$F$65+'Instrumentos Financeiros'!$F$11+1),PMT(((1+'Instrumentos Financeiros'!$H$43)^(1/12)-1),$F$11,-$I$65),0)</f>
        <v>0</v>
      </c>
      <c r="AC112" s="1312">
        <f t="shared" si="67"/>
        <v>0</v>
      </c>
      <c r="AD112" s="1312">
        <f>AE111*((1+'Instrumentos Financeiros'!$H$43)^(1/12)-1)</f>
        <v>0</v>
      </c>
      <c r="AE112" s="1312">
        <f t="shared" si="37"/>
        <v>0</v>
      </c>
      <c r="AF112" s="1312">
        <f>IF(AND(C112&gt;$F$66,'Instrumentos Financeiros'!C112&lt;'Instrumentos Financeiros'!$F$66+'Instrumentos Financeiros'!$F$11+1),PMT(((1+'Instrumentos Financeiros'!$I$43)^(1/12)-1),$F$11,-$I$66),0)</f>
        <v>0</v>
      </c>
      <c r="AG112" s="1312">
        <f t="shared" si="68"/>
        <v>0</v>
      </c>
      <c r="AH112" s="1312">
        <f>AI111*((1+'Instrumentos Financeiros'!$I$43)^(1/12)-1)</f>
        <v>0</v>
      </c>
      <c r="AI112" s="1312">
        <f t="shared" si="38"/>
        <v>0</v>
      </c>
      <c r="AJ112" s="1312">
        <f>IF(AND(C112&gt;$F$67,'Instrumentos Financeiros'!C112&lt;'Instrumentos Financeiros'!$F$67+'Instrumentos Financeiros'!$F$11+1),PMT(((1+'Instrumentos Financeiros'!$I$43)^(1/12)-1),$F$11,-$I$67),0)</f>
        <v>0</v>
      </c>
      <c r="AK112" s="1312">
        <f t="shared" si="69"/>
        <v>0</v>
      </c>
      <c r="AL112" s="1312">
        <f>AM111*((1+'Instrumentos Financeiros'!$I$43)^(1/12)-1)</f>
        <v>0</v>
      </c>
      <c r="AM112" s="1312">
        <f t="shared" si="39"/>
        <v>0</v>
      </c>
      <c r="AN112" s="1312">
        <f>IF(AND(C112&gt;$F$68,'Instrumentos Financeiros'!C112&lt;'Instrumentos Financeiros'!$F$68+'Instrumentos Financeiros'!$F$11+1),PMT(((1+'Instrumentos Financeiros'!$I$43)^(1/12)-1),$F$11,-$I$68),0)</f>
        <v>0</v>
      </c>
      <c r="AO112" s="1312">
        <f t="shared" si="70"/>
        <v>0</v>
      </c>
      <c r="AP112" s="1312">
        <f>AQ111*((1+'Instrumentos Financeiros'!$I$43)^(1/12)-1)</f>
        <v>0</v>
      </c>
      <c r="AQ112" s="1312">
        <f t="shared" si="40"/>
        <v>0</v>
      </c>
      <c r="AR112" s="1312">
        <f>IF(AND(C112&gt;$F$69,'Instrumentos Financeiros'!C112&lt;'Instrumentos Financeiros'!$F$69+'Instrumentos Financeiros'!$F$11+1),PMT(((1+'Instrumentos Financeiros'!$I$43)^(1/12)-1),$F$11,-$I$69),0)</f>
        <v>0</v>
      </c>
      <c r="AS112" s="1312">
        <f t="shared" si="71"/>
        <v>0</v>
      </c>
      <c r="AT112" s="1312">
        <f>AU111*((1+'Instrumentos Financeiros'!$I$43)^(1/12)-1)</f>
        <v>0</v>
      </c>
      <c r="AU112" s="1312">
        <f t="shared" si="41"/>
        <v>0</v>
      </c>
      <c r="AV112" s="1312">
        <f>IF(AND(C112&gt;$F$70,'Instrumentos Financeiros'!C112&lt;'Instrumentos Financeiros'!$F$70+'Instrumentos Financeiros'!$F$11+1),PMT(((1+'Instrumentos Financeiros'!$J$43)^(1/12)-1),$F$11,-$I$70),0)</f>
        <v>0</v>
      </c>
      <c r="AW112" s="1312">
        <f t="shared" si="72"/>
        <v>0</v>
      </c>
      <c r="AX112" s="1312">
        <f>AY111*((1+'Instrumentos Financeiros'!$J$43)^(1/12)-1)</f>
        <v>0</v>
      </c>
      <c r="AY112" s="1312">
        <f t="shared" si="42"/>
        <v>0</v>
      </c>
      <c r="AZ112" s="1312">
        <f>IF(AND(C112&gt;$F$71,'Instrumentos Financeiros'!C112&lt;'Instrumentos Financeiros'!$F$71+'Instrumentos Financeiros'!$F$11+1),PMT(((1+'Instrumentos Financeiros'!$J$43)^(1/12)-1),$F$11,-$I$71),0)</f>
        <v>0</v>
      </c>
      <c r="BA112" s="1312">
        <f t="shared" si="73"/>
        <v>0</v>
      </c>
      <c r="BB112" s="1312">
        <f>BC111*((1+'Instrumentos Financeiros'!$J$43)^(1/12)-1)</f>
        <v>0</v>
      </c>
      <c r="BC112" s="1312">
        <f t="shared" si="43"/>
        <v>0</v>
      </c>
      <c r="BD112" s="1312">
        <f>IF(AND(C112&gt;$F$72,'Instrumentos Financeiros'!C112&lt;'Instrumentos Financeiros'!$F$72+'Instrumentos Financeiros'!$F$11+1),PMT(((1+'Instrumentos Financeiros'!$J$43)^(1/12)-1),$F$11,-'Instrumentos Financeiros'!$G$7*$G$72),0)</f>
        <v>0</v>
      </c>
      <c r="BE112" s="1312">
        <f t="shared" si="74"/>
        <v>0</v>
      </c>
      <c r="BF112" s="1312">
        <f>BG111*((1+'Instrumentos Financeiros'!$J$43)^(1/12)-1)</f>
        <v>0</v>
      </c>
      <c r="BG112" s="1312">
        <f t="shared" si="44"/>
        <v>0</v>
      </c>
      <c r="BH112" s="1312">
        <f>IF(AND(C112&gt;$F$73,'Instrumentos Financeiros'!C112&lt;'Instrumentos Financeiros'!$F$73+'Instrumentos Financeiros'!$F$11+1),PMT(((1+'Instrumentos Financeiros'!$J$43)^(1/12)-1),$F$11,-$I$73),0)</f>
        <v>0</v>
      </c>
      <c r="BI112" s="1312">
        <f t="shared" si="75"/>
        <v>0</v>
      </c>
      <c r="BJ112" s="1312">
        <f>BK111*((1+'Instrumentos Financeiros'!$J$43)^(1/12)-1)</f>
        <v>0</v>
      </c>
      <c r="BK112" s="1312">
        <f t="shared" si="45"/>
        <v>0</v>
      </c>
      <c r="BL112" s="1312">
        <f>IF(AND(C112&gt;$F$77,'Instrumentos Financeiros'!C112&lt;'Instrumentos Financeiros'!$F$77+'Instrumentos Financeiros'!$F$12+1),PMT(((1+'Instrumentos Financeiros'!$K$43)^(1/12)-1),$F$12,-$I$77),0)</f>
        <v>0</v>
      </c>
      <c r="BM112" s="1312">
        <f t="shared" si="46"/>
        <v>0</v>
      </c>
      <c r="BN112" s="1312">
        <f>BO111*((1+'Instrumentos Financeiros'!$K$43)^(1/12)-1)</f>
        <v>0</v>
      </c>
      <c r="BO112" s="1312">
        <f t="shared" si="47"/>
        <v>0</v>
      </c>
      <c r="BP112" s="1312">
        <f>IF(AND(C112&gt;$F$78,'Instrumentos Financeiros'!C112&lt;'Instrumentos Financeiros'!$F$78+'Instrumentos Financeiros'!$F$12+1),PMT(((1+'Instrumentos Financeiros'!$L$43)^(1/12)-1),$F$12,-$I$78),0)</f>
        <v>0</v>
      </c>
      <c r="BQ112" s="1312">
        <f t="shared" si="48"/>
        <v>0</v>
      </c>
      <c r="BR112" s="1312">
        <f>BS111*((1+'Instrumentos Financeiros'!$L$43)^(1/12)-1)</f>
        <v>0</v>
      </c>
      <c r="BS112" s="1312">
        <f t="shared" si="49"/>
        <v>0</v>
      </c>
      <c r="BT112" s="1312">
        <f>IF(AND(C112&gt;$F$79,'Instrumentos Financeiros'!C112&lt;'Instrumentos Financeiros'!$F$79+'Instrumentos Financeiros'!$F$12+1),PMT(((1+'Instrumentos Financeiros'!$L$43)^(1/12)-1),$F$12,-$I$79),0)</f>
        <v>0</v>
      </c>
      <c r="BU112" s="1312">
        <f t="shared" si="50"/>
        <v>0</v>
      </c>
      <c r="BV112" s="1312">
        <f>BW111*((1+'Instrumentos Financeiros'!$L$43)^(1/12)-1)</f>
        <v>0</v>
      </c>
      <c r="BW112" s="1312">
        <f t="shared" si="51"/>
        <v>0</v>
      </c>
      <c r="BX112" s="1312">
        <f>IF(AND(C112&gt;$F$80,'Instrumentos Financeiros'!C112&lt;'Instrumentos Financeiros'!$F$80+'Instrumentos Financeiros'!$F$12+1),PMT(((1+'Instrumentos Financeiros'!$L$43)^(1/12)-1),$F$12,-$I$80),0)</f>
        <v>0</v>
      </c>
      <c r="BY112" s="1312">
        <f t="shared" si="52"/>
        <v>0</v>
      </c>
      <c r="BZ112" s="1312">
        <f>CA111*((1+'Instrumentos Financeiros'!$L$43)^(1/12)-1)</f>
        <v>0</v>
      </c>
      <c r="CA112" s="1312">
        <f t="shared" si="53"/>
        <v>0</v>
      </c>
      <c r="CB112" s="1312">
        <f>IF(AND(C112&gt;$F$83,'Instrumentos Financeiros'!C112&lt;'Instrumentos Financeiros'!$F$83+'Instrumentos Financeiros'!$F$13+1),PMT(((1+'Instrumentos Financeiros'!$P$43)^(1/12)-1),$F$13,-$I$83),0)</f>
        <v>0</v>
      </c>
      <c r="CC112" s="1312">
        <f t="shared" si="54"/>
        <v>0</v>
      </c>
      <c r="CD112" s="1312">
        <f>CE111*((1+'Instrumentos Financeiros'!$P$43)^(1/12)-1)</f>
        <v>0</v>
      </c>
      <c r="CE112" s="1312">
        <f t="shared" si="55"/>
        <v>0</v>
      </c>
      <c r="CF112" s="1312">
        <f>IF(AND(C112&gt;$F$84,'Instrumentos Financeiros'!C112&lt;'Instrumentos Financeiros'!$F$84+'Instrumentos Financeiros'!$F$13+1),PMT(((1+'Instrumentos Financeiros'!$Q$43)^(1/12)-1),$F$13,-$I$84),0)</f>
        <v>0</v>
      </c>
      <c r="CG112" s="1312">
        <f t="shared" si="56"/>
        <v>0</v>
      </c>
      <c r="CH112" s="1312">
        <f>CI111*((1+'Instrumentos Financeiros'!$Q$43)^(1/12)-1)</f>
        <v>0</v>
      </c>
      <c r="CI112" s="1312">
        <f t="shared" si="57"/>
        <v>0</v>
      </c>
      <c r="CJ112" s="1312">
        <f>IF(AND(C112&gt;$F$85,'Instrumentos Financeiros'!C112&lt;'Instrumentos Financeiros'!$F$85+'Instrumentos Financeiros'!$F$13+1),PMT(((1+'Instrumentos Financeiros'!$Q$43)^(1/12)-1),$F$13,-$I$85),0)</f>
        <v>0</v>
      </c>
      <c r="CK112" s="1312">
        <f t="shared" si="58"/>
        <v>0</v>
      </c>
      <c r="CL112" s="1312">
        <f>CM111*((1+'Instrumentos Financeiros'!$Q$43)^(1/12)-1)</f>
        <v>0</v>
      </c>
      <c r="CM112" s="1312">
        <f t="shared" si="59"/>
        <v>0</v>
      </c>
      <c r="CN112" s="1312">
        <f>IF(AND(C112&gt;$F$86,'Instrumentos Financeiros'!C112&lt;'Instrumentos Financeiros'!$F$86+'Instrumentos Financeiros'!$F$13+1),PMT(((1+'Instrumentos Financeiros'!$Q$43)^(1/12)-1),$F$13,-$I$86),0)</f>
        <v>0</v>
      </c>
      <c r="CO112" s="1312">
        <f t="shared" si="60"/>
        <v>0</v>
      </c>
      <c r="CP112" s="1312">
        <f>CQ111*((1+'Instrumentos Financeiros'!$Q$43)^(1/12)-1)</f>
        <v>0</v>
      </c>
      <c r="CQ112" s="1312">
        <f t="shared" si="61"/>
        <v>0</v>
      </c>
      <c r="CR112" s="1312">
        <f t="shared" si="29"/>
        <v>0</v>
      </c>
      <c r="CS112" s="1312">
        <f t="shared" si="29"/>
        <v>0</v>
      </c>
      <c r="CT112" s="1312">
        <f t="shared" si="29"/>
        <v>0</v>
      </c>
      <c r="CU112" s="1312">
        <f t="shared" si="29"/>
        <v>0</v>
      </c>
    </row>
    <row r="113" spans="3:99" x14ac:dyDescent="0.35">
      <c r="C113" s="1315">
        <f t="shared" si="30"/>
        <v>20</v>
      </c>
      <c r="D113" s="1312">
        <f>IF(AND(C113&gt;$F$59,'Instrumentos Financeiros'!C113&lt;'Instrumentos Financeiros'!$F$59+'Instrumentos Financeiros'!$F$11+1),PMT(((1+'Instrumentos Financeiros'!$G$43)^(1/12)-1),$F$11,-$I$59),0)</f>
        <v>0</v>
      </c>
      <c r="E113" s="1312">
        <f t="shared" si="14"/>
        <v>0</v>
      </c>
      <c r="F113" s="1312">
        <f>G112*((1+'Instrumentos Financeiros'!$G$43)^(1/12)-1)</f>
        <v>0</v>
      </c>
      <c r="G113" s="1312">
        <f t="shared" si="31"/>
        <v>0</v>
      </c>
      <c r="H113" s="1312">
        <f>IF(AND(C113&gt;$F$60,'Instrumentos Financeiros'!C113&lt;'Instrumentos Financeiros'!$F$60+'Instrumentos Financeiros'!$F$11+1),PMT(((1+'Instrumentos Financeiros'!$G$43)^(1/12)-1),$F$11,-$I$60),0)</f>
        <v>0</v>
      </c>
      <c r="I113" s="1312">
        <f t="shared" si="62"/>
        <v>0</v>
      </c>
      <c r="J113" s="1312">
        <f>K112*((1+'Instrumentos Financeiros'!$G$43)^(1/12)-1)</f>
        <v>0</v>
      </c>
      <c r="K113" s="1312">
        <f t="shared" si="32"/>
        <v>0</v>
      </c>
      <c r="L113" s="1312">
        <f>IF(AND(C113&gt;$F$61,'Instrumentos Financeiros'!C113&lt;'Instrumentos Financeiros'!$F$61+'Instrumentos Financeiros'!$F$11+1),PMT(((1+'Instrumentos Financeiros'!$G$43)^(1/12)-1),$F$11,-$I$61),0)</f>
        <v>0</v>
      </c>
      <c r="M113" s="1312">
        <f t="shared" si="63"/>
        <v>0</v>
      </c>
      <c r="N113" s="1312">
        <f>O112*((1+'Instrumentos Financeiros'!$G$43)^(1/12)-1)</f>
        <v>0</v>
      </c>
      <c r="O113" s="1312">
        <f t="shared" si="33"/>
        <v>0</v>
      </c>
      <c r="P113" s="1312">
        <f>IF(AND(C113&gt;$F$62,'Instrumentos Financeiros'!C113&lt;'Instrumentos Financeiros'!$F$62+'Instrumentos Financeiros'!$F$11+1),PMT(((1+'Instrumentos Financeiros'!$H$43)^(1/12)-1),$F$11,-$I$62),0)</f>
        <v>0</v>
      </c>
      <c r="Q113" s="1312">
        <f t="shared" si="64"/>
        <v>0</v>
      </c>
      <c r="R113" s="1312">
        <f>S112*((1+'Instrumentos Financeiros'!$H$43)^(1/12)-1)</f>
        <v>0</v>
      </c>
      <c r="S113" s="1312">
        <f t="shared" si="34"/>
        <v>0</v>
      </c>
      <c r="T113" s="1312">
        <f>IF(AND(C113&gt;$F$63,'Instrumentos Financeiros'!C113&lt;'Instrumentos Financeiros'!$F$63+'Instrumentos Financeiros'!$F$11+1),PMT(((1+'Instrumentos Financeiros'!$H$43)^(1/12)-1),$F$11,-$I$63),0)</f>
        <v>0</v>
      </c>
      <c r="U113" s="1312">
        <f t="shared" si="65"/>
        <v>0</v>
      </c>
      <c r="V113" s="1312">
        <f>W112*((1+'Instrumentos Financeiros'!$H$43)^(1/12)-1)</f>
        <v>0</v>
      </c>
      <c r="W113" s="1312">
        <f t="shared" si="35"/>
        <v>0</v>
      </c>
      <c r="X113" s="1312">
        <f>IF(AND(C113&gt;$F$64,'Instrumentos Financeiros'!C113&lt;'Instrumentos Financeiros'!$F$64+'Instrumentos Financeiros'!$F$11+1),PMT(((1+'Instrumentos Financeiros'!$H$43)^(1/12)-1),$F$11,-$I$64),0)</f>
        <v>0</v>
      </c>
      <c r="Y113" s="1312">
        <f t="shared" si="66"/>
        <v>0</v>
      </c>
      <c r="Z113" s="1312">
        <f>AA112*((1+'Instrumentos Financeiros'!$H$43)^(1/12)-1)</f>
        <v>0</v>
      </c>
      <c r="AA113" s="1312">
        <f t="shared" si="36"/>
        <v>0</v>
      </c>
      <c r="AB113" s="1312">
        <f>IF(AND(C113&gt;$F$65,'Instrumentos Financeiros'!C113&lt;'Instrumentos Financeiros'!$F$65+'Instrumentos Financeiros'!$F$11+1),PMT(((1+'Instrumentos Financeiros'!$H$43)^(1/12)-1),$F$11,-$I$65),0)</f>
        <v>0</v>
      </c>
      <c r="AC113" s="1312">
        <f t="shared" si="67"/>
        <v>0</v>
      </c>
      <c r="AD113" s="1312">
        <f>AE112*((1+'Instrumentos Financeiros'!$H$43)^(1/12)-1)</f>
        <v>0</v>
      </c>
      <c r="AE113" s="1312">
        <f t="shared" si="37"/>
        <v>0</v>
      </c>
      <c r="AF113" s="1312">
        <f>IF(AND(C113&gt;$F$66,'Instrumentos Financeiros'!C113&lt;'Instrumentos Financeiros'!$F$66+'Instrumentos Financeiros'!$F$11+1),PMT(((1+'Instrumentos Financeiros'!$I$43)^(1/12)-1),$F$11,-$I$66),0)</f>
        <v>0</v>
      </c>
      <c r="AG113" s="1312">
        <f t="shared" si="68"/>
        <v>0</v>
      </c>
      <c r="AH113" s="1312">
        <f>AI112*((1+'Instrumentos Financeiros'!$I$43)^(1/12)-1)</f>
        <v>0</v>
      </c>
      <c r="AI113" s="1312">
        <f t="shared" si="38"/>
        <v>0</v>
      </c>
      <c r="AJ113" s="1312">
        <f>IF(AND(C113&gt;$F$67,'Instrumentos Financeiros'!C113&lt;'Instrumentos Financeiros'!$F$67+'Instrumentos Financeiros'!$F$11+1),PMT(((1+'Instrumentos Financeiros'!$I$43)^(1/12)-1),$F$11,-$I$67),0)</f>
        <v>0</v>
      </c>
      <c r="AK113" s="1312">
        <f t="shared" si="69"/>
        <v>0</v>
      </c>
      <c r="AL113" s="1312">
        <f>AM112*((1+'Instrumentos Financeiros'!$I$43)^(1/12)-1)</f>
        <v>0</v>
      </c>
      <c r="AM113" s="1312">
        <f t="shared" si="39"/>
        <v>0</v>
      </c>
      <c r="AN113" s="1312">
        <f>IF(AND(C113&gt;$F$68,'Instrumentos Financeiros'!C113&lt;'Instrumentos Financeiros'!$F$68+'Instrumentos Financeiros'!$F$11+1),PMT(((1+'Instrumentos Financeiros'!$I$43)^(1/12)-1),$F$11,-$I$68),0)</f>
        <v>0</v>
      </c>
      <c r="AO113" s="1312">
        <f t="shared" si="70"/>
        <v>0</v>
      </c>
      <c r="AP113" s="1312">
        <f>AQ112*((1+'Instrumentos Financeiros'!$I$43)^(1/12)-1)</f>
        <v>0</v>
      </c>
      <c r="AQ113" s="1312">
        <f t="shared" si="40"/>
        <v>0</v>
      </c>
      <c r="AR113" s="1312">
        <f>IF(AND(C113&gt;$F$69,'Instrumentos Financeiros'!C113&lt;'Instrumentos Financeiros'!$F$69+'Instrumentos Financeiros'!$F$11+1),PMT(((1+'Instrumentos Financeiros'!$I$43)^(1/12)-1),$F$11,-$I$69),0)</f>
        <v>0</v>
      </c>
      <c r="AS113" s="1312">
        <f t="shared" si="71"/>
        <v>0</v>
      </c>
      <c r="AT113" s="1312">
        <f>AU112*((1+'Instrumentos Financeiros'!$I$43)^(1/12)-1)</f>
        <v>0</v>
      </c>
      <c r="AU113" s="1312">
        <f t="shared" si="41"/>
        <v>0</v>
      </c>
      <c r="AV113" s="1312">
        <f>IF(AND(C113&gt;$F$70,'Instrumentos Financeiros'!C113&lt;'Instrumentos Financeiros'!$F$70+'Instrumentos Financeiros'!$F$11+1),PMT(((1+'Instrumentos Financeiros'!$J$43)^(1/12)-1),$F$11,-$I$70),0)</f>
        <v>0</v>
      </c>
      <c r="AW113" s="1312">
        <f t="shared" si="72"/>
        <v>0</v>
      </c>
      <c r="AX113" s="1312">
        <f>AY112*((1+'Instrumentos Financeiros'!$J$43)^(1/12)-1)</f>
        <v>0</v>
      </c>
      <c r="AY113" s="1312">
        <f t="shared" si="42"/>
        <v>0</v>
      </c>
      <c r="AZ113" s="1312">
        <f>IF(AND(C113&gt;$F$71,'Instrumentos Financeiros'!C113&lt;'Instrumentos Financeiros'!$F$71+'Instrumentos Financeiros'!$F$11+1),PMT(((1+'Instrumentos Financeiros'!$J$43)^(1/12)-1),$F$11,-$I$71),0)</f>
        <v>0</v>
      </c>
      <c r="BA113" s="1312">
        <f t="shared" si="73"/>
        <v>0</v>
      </c>
      <c r="BB113" s="1312">
        <f>BC112*((1+'Instrumentos Financeiros'!$J$43)^(1/12)-1)</f>
        <v>0</v>
      </c>
      <c r="BC113" s="1312">
        <f t="shared" si="43"/>
        <v>0</v>
      </c>
      <c r="BD113" s="1312">
        <f>IF(AND(C113&gt;$F$72,'Instrumentos Financeiros'!C113&lt;'Instrumentos Financeiros'!$F$72+'Instrumentos Financeiros'!$F$11+1),PMT(((1+'Instrumentos Financeiros'!$J$43)^(1/12)-1),$F$11,-'Instrumentos Financeiros'!$G$7*$G$72),0)</f>
        <v>0</v>
      </c>
      <c r="BE113" s="1312">
        <f t="shared" si="74"/>
        <v>0</v>
      </c>
      <c r="BF113" s="1312">
        <f>BG112*((1+'Instrumentos Financeiros'!$J$43)^(1/12)-1)</f>
        <v>0</v>
      </c>
      <c r="BG113" s="1312">
        <f t="shared" si="44"/>
        <v>0</v>
      </c>
      <c r="BH113" s="1312">
        <f>IF(AND(C113&gt;$F$73,'Instrumentos Financeiros'!C113&lt;'Instrumentos Financeiros'!$F$73+'Instrumentos Financeiros'!$F$11+1),PMT(((1+'Instrumentos Financeiros'!$J$43)^(1/12)-1),$F$11,-$I$73),0)</f>
        <v>0</v>
      </c>
      <c r="BI113" s="1312">
        <f t="shared" si="75"/>
        <v>0</v>
      </c>
      <c r="BJ113" s="1312">
        <f>BK112*((1+'Instrumentos Financeiros'!$J$43)^(1/12)-1)</f>
        <v>0</v>
      </c>
      <c r="BK113" s="1312">
        <f t="shared" si="45"/>
        <v>0</v>
      </c>
      <c r="BL113" s="1312">
        <f>IF(AND(C113&gt;$F$77,'Instrumentos Financeiros'!C113&lt;'Instrumentos Financeiros'!$F$77+'Instrumentos Financeiros'!$F$12+1),PMT(((1+'Instrumentos Financeiros'!$K$43)^(1/12)-1),$F$12,-$I$77),0)</f>
        <v>0</v>
      </c>
      <c r="BM113" s="1312">
        <f t="shared" si="46"/>
        <v>0</v>
      </c>
      <c r="BN113" s="1312">
        <f>BO112*((1+'Instrumentos Financeiros'!$K$43)^(1/12)-1)</f>
        <v>0</v>
      </c>
      <c r="BO113" s="1312">
        <f t="shared" si="47"/>
        <v>0</v>
      </c>
      <c r="BP113" s="1312">
        <f>IF(AND(C113&gt;$F$78,'Instrumentos Financeiros'!C113&lt;'Instrumentos Financeiros'!$F$78+'Instrumentos Financeiros'!$F$12+1),PMT(((1+'Instrumentos Financeiros'!$L$43)^(1/12)-1),$F$12,-$I$78),0)</f>
        <v>0</v>
      </c>
      <c r="BQ113" s="1312">
        <f t="shared" si="48"/>
        <v>0</v>
      </c>
      <c r="BR113" s="1312">
        <f>BS112*((1+'Instrumentos Financeiros'!$L$43)^(1/12)-1)</f>
        <v>0</v>
      </c>
      <c r="BS113" s="1312">
        <f t="shared" si="49"/>
        <v>0</v>
      </c>
      <c r="BT113" s="1312">
        <f>IF(AND(C113&gt;$F$79,'Instrumentos Financeiros'!C113&lt;'Instrumentos Financeiros'!$F$79+'Instrumentos Financeiros'!$F$12+1),PMT(((1+'Instrumentos Financeiros'!$L$43)^(1/12)-1),$F$12,-$I$79),0)</f>
        <v>0</v>
      </c>
      <c r="BU113" s="1312">
        <f t="shared" si="50"/>
        <v>0</v>
      </c>
      <c r="BV113" s="1312">
        <f>BW112*((1+'Instrumentos Financeiros'!$L$43)^(1/12)-1)</f>
        <v>0</v>
      </c>
      <c r="BW113" s="1312">
        <f t="shared" si="51"/>
        <v>0</v>
      </c>
      <c r="BX113" s="1312">
        <f>IF(AND(C113&gt;$F$80,'Instrumentos Financeiros'!C113&lt;'Instrumentos Financeiros'!$F$80+'Instrumentos Financeiros'!$F$12+1),PMT(((1+'Instrumentos Financeiros'!$L$43)^(1/12)-1),$F$12,-$I$80),0)</f>
        <v>0</v>
      </c>
      <c r="BY113" s="1312">
        <f t="shared" si="52"/>
        <v>0</v>
      </c>
      <c r="BZ113" s="1312">
        <f>CA112*((1+'Instrumentos Financeiros'!$L$43)^(1/12)-1)</f>
        <v>0</v>
      </c>
      <c r="CA113" s="1312">
        <f t="shared" si="53"/>
        <v>0</v>
      </c>
      <c r="CB113" s="1312">
        <f>IF(AND(C113&gt;$F$83,'Instrumentos Financeiros'!C113&lt;'Instrumentos Financeiros'!$F$83+'Instrumentos Financeiros'!$F$13+1),PMT(((1+'Instrumentos Financeiros'!$P$43)^(1/12)-1),$F$13,-$I$83),0)</f>
        <v>0</v>
      </c>
      <c r="CC113" s="1312">
        <f t="shared" si="54"/>
        <v>0</v>
      </c>
      <c r="CD113" s="1312">
        <f>CE112*((1+'Instrumentos Financeiros'!$P$43)^(1/12)-1)</f>
        <v>0</v>
      </c>
      <c r="CE113" s="1312">
        <f t="shared" si="55"/>
        <v>0</v>
      </c>
      <c r="CF113" s="1312">
        <f>IF(AND(C113&gt;$F$84,'Instrumentos Financeiros'!C113&lt;'Instrumentos Financeiros'!$F$84+'Instrumentos Financeiros'!$F$13+1),PMT(((1+'Instrumentos Financeiros'!$Q$43)^(1/12)-1),$F$13,-$I$84),0)</f>
        <v>0</v>
      </c>
      <c r="CG113" s="1312">
        <f t="shared" si="56"/>
        <v>0</v>
      </c>
      <c r="CH113" s="1312">
        <f>CI112*((1+'Instrumentos Financeiros'!$Q$43)^(1/12)-1)</f>
        <v>0</v>
      </c>
      <c r="CI113" s="1312">
        <f t="shared" si="57"/>
        <v>0</v>
      </c>
      <c r="CJ113" s="1312">
        <f>IF(AND(C113&gt;$F$85,'Instrumentos Financeiros'!C113&lt;'Instrumentos Financeiros'!$F$85+'Instrumentos Financeiros'!$F$13+1),PMT(((1+'Instrumentos Financeiros'!$Q$43)^(1/12)-1),$F$13,-$I$85),0)</f>
        <v>0</v>
      </c>
      <c r="CK113" s="1312">
        <f t="shared" si="58"/>
        <v>0</v>
      </c>
      <c r="CL113" s="1312">
        <f>CM112*((1+'Instrumentos Financeiros'!$Q$43)^(1/12)-1)</f>
        <v>0</v>
      </c>
      <c r="CM113" s="1312">
        <f t="shared" si="59"/>
        <v>0</v>
      </c>
      <c r="CN113" s="1312">
        <f>IF(AND(C113&gt;$F$86,'Instrumentos Financeiros'!C113&lt;'Instrumentos Financeiros'!$F$86+'Instrumentos Financeiros'!$F$13+1),PMT(((1+'Instrumentos Financeiros'!$Q$43)^(1/12)-1),$F$13,-$I$86),0)</f>
        <v>0</v>
      </c>
      <c r="CO113" s="1312">
        <f t="shared" si="60"/>
        <v>0</v>
      </c>
      <c r="CP113" s="1312">
        <f>CQ112*((1+'Instrumentos Financeiros'!$Q$43)^(1/12)-1)</f>
        <v>0</v>
      </c>
      <c r="CQ113" s="1312">
        <f t="shared" si="61"/>
        <v>0</v>
      </c>
      <c r="CR113" s="1312">
        <f t="shared" si="29"/>
        <v>0</v>
      </c>
      <c r="CS113" s="1312">
        <f t="shared" si="29"/>
        <v>0</v>
      </c>
      <c r="CT113" s="1312">
        <f t="shared" si="29"/>
        <v>0</v>
      </c>
      <c r="CU113" s="1312">
        <f t="shared" si="29"/>
        <v>0</v>
      </c>
    </row>
    <row r="114" spans="3:99" x14ac:dyDescent="0.35">
      <c r="C114" s="1315">
        <f t="shared" si="30"/>
        <v>21</v>
      </c>
      <c r="D114" s="1312">
        <f>IF(AND(C114&gt;$F$59,'Instrumentos Financeiros'!C114&lt;'Instrumentos Financeiros'!$F$59+'Instrumentos Financeiros'!$F$11+1),PMT(((1+'Instrumentos Financeiros'!$G$43)^(1/12)-1),$F$11,-$I$59),0)</f>
        <v>0</v>
      </c>
      <c r="E114" s="1312">
        <f t="shared" si="14"/>
        <v>0</v>
      </c>
      <c r="F114" s="1312">
        <f>G113*((1+'Instrumentos Financeiros'!$G$43)^(1/12)-1)</f>
        <v>0</v>
      </c>
      <c r="G114" s="1312">
        <f t="shared" si="31"/>
        <v>0</v>
      </c>
      <c r="H114" s="1312">
        <f>IF(AND(C114&gt;$F$60,'Instrumentos Financeiros'!C114&lt;'Instrumentos Financeiros'!$F$60+'Instrumentos Financeiros'!$F$11+1),PMT(((1+'Instrumentos Financeiros'!$G$43)^(1/12)-1),$F$11,-$I$60),0)</f>
        <v>0</v>
      </c>
      <c r="I114" s="1312">
        <f t="shared" si="62"/>
        <v>0</v>
      </c>
      <c r="J114" s="1312">
        <f>K113*((1+'Instrumentos Financeiros'!$G$43)^(1/12)-1)</f>
        <v>0</v>
      </c>
      <c r="K114" s="1312">
        <f t="shared" si="32"/>
        <v>0</v>
      </c>
      <c r="L114" s="1312">
        <f>IF(AND(C114&gt;$F$61,'Instrumentos Financeiros'!C114&lt;'Instrumentos Financeiros'!$F$61+'Instrumentos Financeiros'!$F$11+1),PMT(((1+'Instrumentos Financeiros'!$G$43)^(1/12)-1),$F$11,-$I$61),0)</f>
        <v>0</v>
      </c>
      <c r="M114" s="1312">
        <f t="shared" si="63"/>
        <v>0</v>
      </c>
      <c r="N114" s="1312">
        <f>O113*((1+'Instrumentos Financeiros'!$G$43)^(1/12)-1)</f>
        <v>0</v>
      </c>
      <c r="O114" s="1312">
        <f t="shared" si="33"/>
        <v>0</v>
      </c>
      <c r="P114" s="1312">
        <f>IF(AND(C114&gt;$F$62,'Instrumentos Financeiros'!C114&lt;'Instrumentos Financeiros'!$F$62+'Instrumentos Financeiros'!$F$11+1),PMT(((1+'Instrumentos Financeiros'!$H$43)^(1/12)-1),$F$11,-$I$62),0)</f>
        <v>0</v>
      </c>
      <c r="Q114" s="1312">
        <f t="shared" si="64"/>
        <v>0</v>
      </c>
      <c r="R114" s="1312">
        <f>S113*((1+'Instrumentos Financeiros'!$H$43)^(1/12)-1)</f>
        <v>0</v>
      </c>
      <c r="S114" s="1312">
        <f t="shared" si="34"/>
        <v>0</v>
      </c>
      <c r="T114" s="1312">
        <f>IF(AND(C114&gt;$F$63,'Instrumentos Financeiros'!C114&lt;'Instrumentos Financeiros'!$F$63+'Instrumentos Financeiros'!$F$11+1),PMT(((1+'Instrumentos Financeiros'!$H$43)^(1/12)-1),$F$11,-$I$63),0)</f>
        <v>0</v>
      </c>
      <c r="U114" s="1312">
        <f t="shared" si="65"/>
        <v>0</v>
      </c>
      <c r="V114" s="1312">
        <f>W113*((1+'Instrumentos Financeiros'!$H$43)^(1/12)-1)</f>
        <v>0</v>
      </c>
      <c r="W114" s="1312">
        <f t="shared" si="35"/>
        <v>0</v>
      </c>
      <c r="X114" s="1312">
        <f>IF(AND(C114&gt;$F$64,'Instrumentos Financeiros'!C114&lt;'Instrumentos Financeiros'!$F$64+'Instrumentos Financeiros'!$F$11+1),PMT(((1+'Instrumentos Financeiros'!$H$43)^(1/12)-1),$F$11,-$I$64),0)</f>
        <v>0</v>
      </c>
      <c r="Y114" s="1312">
        <f t="shared" si="66"/>
        <v>0</v>
      </c>
      <c r="Z114" s="1312">
        <f>AA113*((1+'Instrumentos Financeiros'!$H$43)^(1/12)-1)</f>
        <v>0</v>
      </c>
      <c r="AA114" s="1312">
        <f t="shared" si="36"/>
        <v>0</v>
      </c>
      <c r="AB114" s="1312">
        <f>IF(AND(C114&gt;$F$65,'Instrumentos Financeiros'!C114&lt;'Instrumentos Financeiros'!$F$65+'Instrumentos Financeiros'!$F$11+1),PMT(((1+'Instrumentos Financeiros'!$H$43)^(1/12)-1),$F$11,-$I$65),0)</f>
        <v>0</v>
      </c>
      <c r="AC114" s="1312">
        <f t="shared" si="67"/>
        <v>0</v>
      </c>
      <c r="AD114" s="1312">
        <f>AE113*((1+'Instrumentos Financeiros'!$H$43)^(1/12)-1)</f>
        <v>0</v>
      </c>
      <c r="AE114" s="1312">
        <f t="shared" si="37"/>
        <v>0</v>
      </c>
      <c r="AF114" s="1312">
        <f>IF(AND(C114&gt;$F$66,'Instrumentos Financeiros'!C114&lt;'Instrumentos Financeiros'!$F$66+'Instrumentos Financeiros'!$F$11+1),PMT(((1+'Instrumentos Financeiros'!$I$43)^(1/12)-1),$F$11,-$I$66),0)</f>
        <v>0</v>
      </c>
      <c r="AG114" s="1312">
        <f t="shared" si="68"/>
        <v>0</v>
      </c>
      <c r="AH114" s="1312">
        <f>AI113*((1+'Instrumentos Financeiros'!$I$43)^(1/12)-1)</f>
        <v>0</v>
      </c>
      <c r="AI114" s="1312">
        <f t="shared" si="38"/>
        <v>0</v>
      </c>
      <c r="AJ114" s="1312">
        <f>IF(AND(C114&gt;$F$67,'Instrumentos Financeiros'!C114&lt;'Instrumentos Financeiros'!$F$67+'Instrumentos Financeiros'!$F$11+1),PMT(((1+'Instrumentos Financeiros'!$I$43)^(1/12)-1),$F$11,-$I$67),0)</f>
        <v>0</v>
      </c>
      <c r="AK114" s="1312">
        <f t="shared" si="69"/>
        <v>0</v>
      </c>
      <c r="AL114" s="1312">
        <f>AM113*((1+'Instrumentos Financeiros'!$I$43)^(1/12)-1)</f>
        <v>0</v>
      </c>
      <c r="AM114" s="1312">
        <f t="shared" si="39"/>
        <v>0</v>
      </c>
      <c r="AN114" s="1312">
        <f>IF(AND(C114&gt;$F$68,'Instrumentos Financeiros'!C114&lt;'Instrumentos Financeiros'!$F$68+'Instrumentos Financeiros'!$F$11+1),PMT(((1+'Instrumentos Financeiros'!$I$43)^(1/12)-1),$F$11,-$I$68),0)</f>
        <v>0</v>
      </c>
      <c r="AO114" s="1312">
        <f t="shared" si="70"/>
        <v>0</v>
      </c>
      <c r="AP114" s="1312">
        <f>AQ113*((1+'Instrumentos Financeiros'!$I$43)^(1/12)-1)</f>
        <v>0</v>
      </c>
      <c r="AQ114" s="1312">
        <f t="shared" si="40"/>
        <v>0</v>
      </c>
      <c r="AR114" s="1312">
        <f>IF(AND(C114&gt;$F$69,'Instrumentos Financeiros'!C114&lt;'Instrumentos Financeiros'!$F$69+'Instrumentos Financeiros'!$F$11+1),PMT(((1+'Instrumentos Financeiros'!$I$43)^(1/12)-1),$F$11,-$I$69),0)</f>
        <v>0</v>
      </c>
      <c r="AS114" s="1312">
        <f t="shared" si="71"/>
        <v>0</v>
      </c>
      <c r="AT114" s="1312">
        <f>AU113*((1+'Instrumentos Financeiros'!$I$43)^(1/12)-1)</f>
        <v>0</v>
      </c>
      <c r="AU114" s="1312">
        <f t="shared" si="41"/>
        <v>0</v>
      </c>
      <c r="AV114" s="1312">
        <f>IF(AND(C114&gt;$F$70,'Instrumentos Financeiros'!C114&lt;'Instrumentos Financeiros'!$F$70+'Instrumentos Financeiros'!$F$11+1),PMT(((1+'Instrumentos Financeiros'!$J$43)^(1/12)-1),$F$11,-$I$70),0)</f>
        <v>0</v>
      </c>
      <c r="AW114" s="1312">
        <f t="shared" si="72"/>
        <v>0</v>
      </c>
      <c r="AX114" s="1312">
        <f>AY113*((1+'Instrumentos Financeiros'!$J$43)^(1/12)-1)</f>
        <v>0</v>
      </c>
      <c r="AY114" s="1312">
        <f t="shared" si="42"/>
        <v>0</v>
      </c>
      <c r="AZ114" s="1312">
        <f>IF(AND(C114&gt;$F$71,'Instrumentos Financeiros'!C114&lt;'Instrumentos Financeiros'!$F$71+'Instrumentos Financeiros'!$F$11+1),PMT(((1+'Instrumentos Financeiros'!$J$43)^(1/12)-1),$F$11,-$I$71),0)</f>
        <v>0</v>
      </c>
      <c r="BA114" s="1312">
        <f t="shared" si="73"/>
        <v>0</v>
      </c>
      <c r="BB114" s="1312">
        <f>BC113*((1+'Instrumentos Financeiros'!$J$43)^(1/12)-1)</f>
        <v>0</v>
      </c>
      <c r="BC114" s="1312">
        <f t="shared" si="43"/>
        <v>0</v>
      </c>
      <c r="BD114" s="1312">
        <f>IF(AND(C114&gt;$F$72,'Instrumentos Financeiros'!C114&lt;'Instrumentos Financeiros'!$F$72+'Instrumentos Financeiros'!$F$11+1),PMT(((1+'Instrumentos Financeiros'!$J$43)^(1/12)-1),$F$11,-'Instrumentos Financeiros'!$G$7*$G$72),0)</f>
        <v>0</v>
      </c>
      <c r="BE114" s="1312">
        <f t="shared" si="74"/>
        <v>0</v>
      </c>
      <c r="BF114" s="1312">
        <f>BG113*((1+'Instrumentos Financeiros'!$J$43)^(1/12)-1)</f>
        <v>0</v>
      </c>
      <c r="BG114" s="1312">
        <f t="shared" si="44"/>
        <v>0</v>
      </c>
      <c r="BH114" s="1312">
        <f>IF(AND(C114&gt;$F$73,'Instrumentos Financeiros'!C114&lt;'Instrumentos Financeiros'!$F$73+'Instrumentos Financeiros'!$F$11+1),PMT(((1+'Instrumentos Financeiros'!$J$43)^(1/12)-1),$F$11,-$I$73),0)</f>
        <v>0</v>
      </c>
      <c r="BI114" s="1312">
        <f t="shared" si="75"/>
        <v>0</v>
      </c>
      <c r="BJ114" s="1312">
        <f>BK113*((1+'Instrumentos Financeiros'!$J$43)^(1/12)-1)</f>
        <v>0</v>
      </c>
      <c r="BK114" s="1312">
        <f t="shared" si="45"/>
        <v>0</v>
      </c>
      <c r="BL114" s="1312">
        <f>IF(AND(C114&gt;$F$77,'Instrumentos Financeiros'!C114&lt;'Instrumentos Financeiros'!$F$77+'Instrumentos Financeiros'!$F$12+1),PMT(((1+'Instrumentos Financeiros'!$K$43)^(1/12)-1),$F$12,-$I$77),0)</f>
        <v>0</v>
      </c>
      <c r="BM114" s="1312">
        <f t="shared" si="46"/>
        <v>0</v>
      </c>
      <c r="BN114" s="1312">
        <f>BO113*((1+'Instrumentos Financeiros'!$K$43)^(1/12)-1)</f>
        <v>0</v>
      </c>
      <c r="BO114" s="1312">
        <f t="shared" si="47"/>
        <v>0</v>
      </c>
      <c r="BP114" s="1312">
        <f>IF(AND(C114&gt;$F$78,'Instrumentos Financeiros'!C114&lt;'Instrumentos Financeiros'!$F$78+'Instrumentos Financeiros'!$F$12+1),PMT(((1+'Instrumentos Financeiros'!$L$43)^(1/12)-1),$F$12,-$I$78),0)</f>
        <v>0</v>
      </c>
      <c r="BQ114" s="1312">
        <f t="shared" si="48"/>
        <v>0</v>
      </c>
      <c r="BR114" s="1312">
        <f>BS113*((1+'Instrumentos Financeiros'!$L$43)^(1/12)-1)</f>
        <v>0</v>
      </c>
      <c r="BS114" s="1312">
        <f t="shared" si="49"/>
        <v>0</v>
      </c>
      <c r="BT114" s="1312">
        <f>IF(AND(C114&gt;$F$79,'Instrumentos Financeiros'!C114&lt;'Instrumentos Financeiros'!$F$79+'Instrumentos Financeiros'!$F$12+1),PMT(((1+'Instrumentos Financeiros'!$L$43)^(1/12)-1),$F$12,-$I$79),0)</f>
        <v>0</v>
      </c>
      <c r="BU114" s="1312">
        <f t="shared" si="50"/>
        <v>0</v>
      </c>
      <c r="BV114" s="1312">
        <f>BW113*((1+'Instrumentos Financeiros'!$L$43)^(1/12)-1)</f>
        <v>0</v>
      </c>
      <c r="BW114" s="1312">
        <f t="shared" si="51"/>
        <v>0</v>
      </c>
      <c r="BX114" s="1312">
        <f>IF(AND(C114&gt;$F$80,'Instrumentos Financeiros'!C114&lt;'Instrumentos Financeiros'!$F$80+'Instrumentos Financeiros'!$F$12+1),PMT(((1+'Instrumentos Financeiros'!$L$43)^(1/12)-1),$F$12,-$I$80),0)</f>
        <v>0</v>
      </c>
      <c r="BY114" s="1312">
        <f t="shared" si="52"/>
        <v>0</v>
      </c>
      <c r="BZ114" s="1312">
        <f>CA113*((1+'Instrumentos Financeiros'!$L$43)^(1/12)-1)</f>
        <v>0</v>
      </c>
      <c r="CA114" s="1312">
        <f t="shared" si="53"/>
        <v>0</v>
      </c>
      <c r="CB114" s="1312">
        <f>IF(AND(C114&gt;$F$83,'Instrumentos Financeiros'!C114&lt;'Instrumentos Financeiros'!$F$83+'Instrumentos Financeiros'!$F$13+1),PMT(((1+'Instrumentos Financeiros'!$P$43)^(1/12)-1),$F$13,-$I$83),0)</f>
        <v>0</v>
      </c>
      <c r="CC114" s="1312">
        <f t="shared" si="54"/>
        <v>0</v>
      </c>
      <c r="CD114" s="1312">
        <f>CE113*((1+'Instrumentos Financeiros'!$P$43)^(1/12)-1)</f>
        <v>0</v>
      </c>
      <c r="CE114" s="1312">
        <f t="shared" si="55"/>
        <v>0</v>
      </c>
      <c r="CF114" s="1312">
        <f>IF(AND(C114&gt;$F$84,'Instrumentos Financeiros'!C114&lt;'Instrumentos Financeiros'!$F$84+'Instrumentos Financeiros'!$F$13+1),PMT(((1+'Instrumentos Financeiros'!$Q$43)^(1/12)-1),$F$13,-$I$84),0)</f>
        <v>0</v>
      </c>
      <c r="CG114" s="1312">
        <f t="shared" si="56"/>
        <v>0</v>
      </c>
      <c r="CH114" s="1312">
        <f>CI113*((1+'Instrumentos Financeiros'!$Q$43)^(1/12)-1)</f>
        <v>0</v>
      </c>
      <c r="CI114" s="1312">
        <f t="shared" si="57"/>
        <v>0</v>
      </c>
      <c r="CJ114" s="1312">
        <f>IF(AND(C114&gt;$F$85,'Instrumentos Financeiros'!C114&lt;'Instrumentos Financeiros'!$F$85+'Instrumentos Financeiros'!$F$13+1),PMT(((1+'Instrumentos Financeiros'!$Q$43)^(1/12)-1),$F$13,-$I$85),0)</f>
        <v>0</v>
      </c>
      <c r="CK114" s="1312">
        <f t="shared" si="58"/>
        <v>0</v>
      </c>
      <c r="CL114" s="1312">
        <f>CM113*((1+'Instrumentos Financeiros'!$Q$43)^(1/12)-1)</f>
        <v>0</v>
      </c>
      <c r="CM114" s="1312">
        <f t="shared" si="59"/>
        <v>0</v>
      </c>
      <c r="CN114" s="1312">
        <f>IF(AND(C114&gt;$F$86,'Instrumentos Financeiros'!C114&lt;'Instrumentos Financeiros'!$F$86+'Instrumentos Financeiros'!$F$13+1),PMT(((1+'Instrumentos Financeiros'!$Q$43)^(1/12)-1),$F$13,-$I$86),0)</f>
        <v>0</v>
      </c>
      <c r="CO114" s="1312">
        <f t="shared" si="60"/>
        <v>0</v>
      </c>
      <c r="CP114" s="1312">
        <f>CQ113*((1+'Instrumentos Financeiros'!$Q$43)^(1/12)-1)</f>
        <v>0</v>
      </c>
      <c r="CQ114" s="1312">
        <f t="shared" si="61"/>
        <v>0</v>
      </c>
      <c r="CR114" s="1312">
        <f t="shared" si="29"/>
        <v>0</v>
      </c>
      <c r="CS114" s="1312">
        <f t="shared" si="29"/>
        <v>0</v>
      </c>
      <c r="CT114" s="1312">
        <f t="shared" si="29"/>
        <v>0</v>
      </c>
      <c r="CU114" s="1312">
        <f t="shared" si="29"/>
        <v>0</v>
      </c>
    </row>
    <row r="115" spans="3:99" x14ac:dyDescent="0.35">
      <c r="C115" s="1315">
        <f t="shared" si="30"/>
        <v>22</v>
      </c>
      <c r="D115" s="1312">
        <f>IF(AND(C115&gt;$F$59,'Instrumentos Financeiros'!C115&lt;'Instrumentos Financeiros'!$F$59+'Instrumentos Financeiros'!$F$11+1),PMT(((1+'Instrumentos Financeiros'!$G$43)^(1/12)-1),$F$11,-$I$59),0)</f>
        <v>0</v>
      </c>
      <c r="E115" s="1312">
        <f t="shared" si="14"/>
        <v>0</v>
      </c>
      <c r="F115" s="1312">
        <f>G114*((1+'Instrumentos Financeiros'!$G$43)^(1/12)-1)</f>
        <v>0</v>
      </c>
      <c r="G115" s="1312">
        <f t="shared" si="31"/>
        <v>0</v>
      </c>
      <c r="H115" s="1312">
        <f>IF(AND(C115&gt;$F$60,'Instrumentos Financeiros'!C115&lt;'Instrumentos Financeiros'!$F$60+'Instrumentos Financeiros'!$F$11+1),PMT(((1+'Instrumentos Financeiros'!$G$43)^(1/12)-1),$F$11,-$I$60),0)</f>
        <v>0</v>
      </c>
      <c r="I115" s="1312">
        <f t="shared" si="62"/>
        <v>0</v>
      </c>
      <c r="J115" s="1312">
        <f>K114*((1+'Instrumentos Financeiros'!$G$43)^(1/12)-1)</f>
        <v>0</v>
      </c>
      <c r="K115" s="1312">
        <f t="shared" si="32"/>
        <v>0</v>
      </c>
      <c r="L115" s="1312">
        <f>IF(AND(C115&gt;$F$61,'Instrumentos Financeiros'!C115&lt;'Instrumentos Financeiros'!$F$61+'Instrumentos Financeiros'!$F$11+1),PMT(((1+'Instrumentos Financeiros'!$G$43)^(1/12)-1),$F$11,-$I$61),0)</f>
        <v>0</v>
      </c>
      <c r="M115" s="1312">
        <f t="shared" si="63"/>
        <v>0</v>
      </c>
      <c r="N115" s="1312">
        <f>O114*((1+'Instrumentos Financeiros'!$G$43)^(1/12)-1)</f>
        <v>0</v>
      </c>
      <c r="O115" s="1312">
        <f t="shared" si="33"/>
        <v>0</v>
      </c>
      <c r="P115" s="1312">
        <f>IF(AND(C115&gt;$F$62,'Instrumentos Financeiros'!C115&lt;'Instrumentos Financeiros'!$F$62+'Instrumentos Financeiros'!$F$11+1),PMT(((1+'Instrumentos Financeiros'!$H$43)^(1/12)-1),$F$11,-$I$62),0)</f>
        <v>0</v>
      </c>
      <c r="Q115" s="1312">
        <f t="shared" si="64"/>
        <v>0</v>
      </c>
      <c r="R115" s="1312">
        <f>S114*((1+'Instrumentos Financeiros'!$H$43)^(1/12)-1)</f>
        <v>0</v>
      </c>
      <c r="S115" s="1312">
        <f t="shared" si="34"/>
        <v>0</v>
      </c>
      <c r="T115" s="1312">
        <f>IF(AND(C115&gt;$F$63,'Instrumentos Financeiros'!C115&lt;'Instrumentos Financeiros'!$F$63+'Instrumentos Financeiros'!$F$11+1),PMT(((1+'Instrumentos Financeiros'!$H$43)^(1/12)-1),$F$11,-$I$63),0)</f>
        <v>0</v>
      </c>
      <c r="U115" s="1312">
        <f t="shared" si="65"/>
        <v>0</v>
      </c>
      <c r="V115" s="1312">
        <f>W114*((1+'Instrumentos Financeiros'!$H$43)^(1/12)-1)</f>
        <v>0</v>
      </c>
      <c r="W115" s="1312">
        <f t="shared" si="35"/>
        <v>0</v>
      </c>
      <c r="X115" s="1312">
        <f>IF(AND(C115&gt;$F$64,'Instrumentos Financeiros'!C115&lt;'Instrumentos Financeiros'!$F$64+'Instrumentos Financeiros'!$F$11+1),PMT(((1+'Instrumentos Financeiros'!$H$43)^(1/12)-1),$F$11,-$I$64),0)</f>
        <v>0</v>
      </c>
      <c r="Y115" s="1312">
        <f t="shared" si="66"/>
        <v>0</v>
      </c>
      <c r="Z115" s="1312">
        <f>AA114*((1+'Instrumentos Financeiros'!$H$43)^(1/12)-1)</f>
        <v>0</v>
      </c>
      <c r="AA115" s="1312">
        <f t="shared" si="36"/>
        <v>0</v>
      </c>
      <c r="AB115" s="1312">
        <f>IF(AND(C115&gt;$F$65,'Instrumentos Financeiros'!C115&lt;'Instrumentos Financeiros'!$F$65+'Instrumentos Financeiros'!$F$11+1),PMT(((1+'Instrumentos Financeiros'!$H$43)^(1/12)-1),$F$11,-$I$65),0)</f>
        <v>0</v>
      </c>
      <c r="AC115" s="1312">
        <f t="shared" si="67"/>
        <v>0</v>
      </c>
      <c r="AD115" s="1312">
        <f>AE114*((1+'Instrumentos Financeiros'!$H$43)^(1/12)-1)</f>
        <v>0</v>
      </c>
      <c r="AE115" s="1312">
        <f t="shared" si="37"/>
        <v>0</v>
      </c>
      <c r="AF115" s="1312">
        <f>IF(AND(C115&gt;$F$66,'Instrumentos Financeiros'!C115&lt;'Instrumentos Financeiros'!$F$66+'Instrumentos Financeiros'!$F$11+1),PMT(((1+'Instrumentos Financeiros'!$I$43)^(1/12)-1),$F$11,-$I$66),0)</f>
        <v>0</v>
      </c>
      <c r="AG115" s="1312">
        <f t="shared" si="68"/>
        <v>0</v>
      </c>
      <c r="AH115" s="1312">
        <f>AI114*((1+'Instrumentos Financeiros'!$I$43)^(1/12)-1)</f>
        <v>0</v>
      </c>
      <c r="AI115" s="1312">
        <f t="shared" si="38"/>
        <v>0</v>
      </c>
      <c r="AJ115" s="1312">
        <f>IF(AND(C115&gt;$F$67,'Instrumentos Financeiros'!C115&lt;'Instrumentos Financeiros'!$F$67+'Instrumentos Financeiros'!$F$11+1),PMT(((1+'Instrumentos Financeiros'!$I$43)^(1/12)-1),$F$11,-$I$67),0)</f>
        <v>0</v>
      </c>
      <c r="AK115" s="1312">
        <f t="shared" si="69"/>
        <v>0</v>
      </c>
      <c r="AL115" s="1312">
        <f>AM114*((1+'Instrumentos Financeiros'!$I$43)^(1/12)-1)</f>
        <v>0</v>
      </c>
      <c r="AM115" s="1312">
        <f t="shared" si="39"/>
        <v>0</v>
      </c>
      <c r="AN115" s="1312">
        <f>IF(AND(C115&gt;$F$68,'Instrumentos Financeiros'!C115&lt;'Instrumentos Financeiros'!$F$68+'Instrumentos Financeiros'!$F$11+1),PMT(((1+'Instrumentos Financeiros'!$I$43)^(1/12)-1),$F$11,-$I$68),0)</f>
        <v>0</v>
      </c>
      <c r="AO115" s="1312">
        <f t="shared" si="70"/>
        <v>0</v>
      </c>
      <c r="AP115" s="1312">
        <f>AQ114*((1+'Instrumentos Financeiros'!$I$43)^(1/12)-1)</f>
        <v>0</v>
      </c>
      <c r="AQ115" s="1312">
        <f t="shared" si="40"/>
        <v>0</v>
      </c>
      <c r="AR115" s="1312">
        <f>IF(AND(C115&gt;$F$69,'Instrumentos Financeiros'!C115&lt;'Instrumentos Financeiros'!$F$69+'Instrumentos Financeiros'!$F$11+1),PMT(((1+'Instrumentos Financeiros'!$I$43)^(1/12)-1),$F$11,-$I$69),0)</f>
        <v>0</v>
      </c>
      <c r="AS115" s="1312">
        <f t="shared" si="71"/>
        <v>0</v>
      </c>
      <c r="AT115" s="1312">
        <f>AU114*((1+'Instrumentos Financeiros'!$I$43)^(1/12)-1)</f>
        <v>0</v>
      </c>
      <c r="AU115" s="1312">
        <f t="shared" si="41"/>
        <v>0</v>
      </c>
      <c r="AV115" s="1312">
        <f>IF(AND(C115&gt;$F$70,'Instrumentos Financeiros'!C115&lt;'Instrumentos Financeiros'!$F$70+'Instrumentos Financeiros'!$F$11+1),PMT(((1+'Instrumentos Financeiros'!$J$43)^(1/12)-1),$F$11,-$I$70),0)</f>
        <v>0</v>
      </c>
      <c r="AW115" s="1312">
        <f t="shared" si="72"/>
        <v>0</v>
      </c>
      <c r="AX115" s="1312">
        <f>AY114*((1+'Instrumentos Financeiros'!$J$43)^(1/12)-1)</f>
        <v>0</v>
      </c>
      <c r="AY115" s="1312">
        <f t="shared" si="42"/>
        <v>0</v>
      </c>
      <c r="AZ115" s="1312">
        <f>IF(AND(C115&gt;$F$71,'Instrumentos Financeiros'!C115&lt;'Instrumentos Financeiros'!$F$71+'Instrumentos Financeiros'!$F$11+1),PMT(((1+'Instrumentos Financeiros'!$J$43)^(1/12)-1),$F$11,-$I$71),0)</f>
        <v>0</v>
      </c>
      <c r="BA115" s="1312">
        <f t="shared" si="73"/>
        <v>0</v>
      </c>
      <c r="BB115" s="1312">
        <f>BC114*((1+'Instrumentos Financeiros'!$J$43)^(1/12)-1)</f>
        <v>0</v>
      </c>
      <c r="BC115" s="1312">
        <f t="shared" si="43"/>
        <v>0</v>
      </c>
      <c r="BD115" s="1312">
        <f>IF(AND(C115&gt;$F$72,'Instrumentos Financeiros'!C115&lt;'Instrumentos Financeiros'!$F$72+'Instrumentos Financeiros'!$F$11+1),PMT(((1+'Instrumentos Financeiros'!$J$43)^(1/12)-1),$F$11,-'Instrumentos Financeiros'!$G$7*$G$72),0)</f>
        <v>0</v>
      </c>
      <c r="BE115" s="1312">
        <f t="shared" si="74"/>
        <v>0</v>
      </c>
      <c r="BF115" s="1312">
        <f>BG114*((1+'Instrumentos Financeiros'!$J$43)^(1/12)-1)</f>
        <v>0</v>
      </c>
      <c r="BG115" s="1312">
        <f t="shared" si="44"/>
        <v>0</v>
      </c>
      <c r="BH115" s="1312">
        <f>IF(AND(C115&gt;$F$73,'Instrumentos Financeiros'!C115&lt;'Instrumentos Financeiros'!$F$73+'Instrumentos Financeiros'!$F$11+1),PMT(((1+'Instrumentos Financeiros'!$J$43)^(1/12)-1),$F$11,-$I$73),0)</f>
        <v>0</v>
      </c>
      <c r="BI115" s="1312">
        <f t="shared" si="75"/>
        <v>0</v>
      </c>
      <c r="BJ115" s="1312">
        <f>BK114*((1+'Instrumentos Financeiros'!$J$43)^(1/12)-1)</f>
        <v>0</v>
      </c>
      <c r="BK115" s="1312">
        <f t="shared" si="45"/>
        <v>0</v>
      </c>
      <c r="BL115" s="1312">
        <f>IF(AND(C115&gt;$F$77,'Instrumentos Financeiros'!C115&lt;'Instrumentos Financeiros'!$F$77+'Instrumentos Financeiros'!$F$12+1),PMT(((1+'Instrumentos Financeiros'!$K$43)^(1/12)-1),$F$12,-$I$77),0)</f>
        <v>0</v>
      </c>
      <c r="BM115" s="1312">
        <f t="shared" si="46"/>
        <v>0</v>
      </c>
      <c r="BN115" s="1312">
        <f>BO114*((1+'Instrumentos Financeiros'!$K$43)^(1/12)-1)</f>
        <v>0</v>
      </c>
      <c r="BO115" s="1312">
        <f t="shared" si="47"/>
        <v>0</v>
      </c>
      <c r="BP115" s="1312">
        <f>IF(AND(C115&gt;$F$78,'Instrumentos Financeiros'!C115&lt;'Instrumentos Financeiros'!$F$78+'Instrumentos Financeiros'!$F$12+1),PMT(((1+'Instrumentos Financeiros'!$L$43)^(1/12)-1),$F$12,-$I$78),0)</f>
        <v>0</v>
      </c>
      <c r="BQ115" s="1312">
        <f t="shared" si="48"/>
        <v>0</v>
      </c>
      <c r="BR115" s="1312">
        <f>BS114*((1+'Instrumentos Financeiros'!$L$43)^(1/12)-1)</f>
        <v>0</v>
      </c>
      <c r="BS115" s="1312">
        <f t="shared" si="49"/>
        <v>0</v>
      </c>
      <c r="BT115" s="1312">
        <f>IF(AND(C115&gt;$F$79,'Instrumentos Financeiros'!C115&lt;'Instrumentos Financeiros'!$F$79+'Instrumentos Financeiros'!$F$12+1),PMT(((1+'Instrumentos Financeiros'!$L$43)^(1/12)-1),$F$12,-$I$79),0)</f>
        <v>0</v>
      </c>
      <c r="BU115" s="1312">
        <f t="shared" si="50"/>
        <v>0</v>
      </c>
      <c r="BV115" s="1312">
        <f>BW114*((1+'Instrumentos Financeiros'!$L$43)^(1/12)-1)</f>
        <v>0</v>
      </c>
      <c r="BW115" s="1312">
        <f t="shared" si="51"/>
        <v>0</v>
      </c>
      <c r="BX115" s="1312">
        <f>IF(AND(C115&gt;$F$80,'Instrumentos Financeiros'!C115&lt;'Instrumentos Financeiros'!$F$80+'Instrumentos Financeiros'!$F$12+1),PMT(((1+'Instrumentos Financeiros'!$L$43)^(1/12)-1),$F$12,-$I$80),0)</f>
        <v>0</v>
      </c>
      <c r="BY115" s="1312">
        <f t="shared" si="52"/>
        <v>0</v>
      </c>
      <c r="BZ115" s="1312">
        <f>CA114*((1+'Instrumentos Financeiros'!$L$43)^(1/12)-1)</f>
        <v>0</v>
      </c>
      <c r="CA115" s="1312">
        <f t="shared" si="53"/>
        <v>0</v>
      </c>
      <c r="CB115" s="1312">
        <f>IF(AND(C115&gt;$F$83,'Instrumentos Financeiros'!C115&lt;'Instrumentos Financeiros'!$F$83+'Instrumentos Financeiros'!$F$13+1),PMT(((1+'Instrumentos Financeiros'!$P$43)^(1/12)-1),$F$13,-$I$83),0)</f>
        <v>0</v>
      </c>
      <c r="CC115" s="1312">
        <f t="shared" si="54"/>
        <v>0</v>
      </c>
      <c r="CD115" s="1312">
        <f>CE114*((1+'Instrumentos Financeiros'!$P$43)^(1/12)-1)</f>
        <v>0</v>
      </c>
      <c r="CE115" s="1312">
        <f t="shared" si="55"/>
        <v>0</v>
      </c>
      <c r="CF115" s="1312">
        <f>IF(AND(C115&gt;$F$84,'Instrumentos Financeiros'!C115&lt;'Instrumentos Financeiros'!$F$84+'Instrumentos Financeiros'!$F$13+1),PMT(((1+'Instrumentos Financeiros'!$Q$43)^(1/12)-1),$F$13,-$I$84),0)</f>
        <v>0</v>
      </c>
      <c r="CG115" s="1312">
        <f t="shared" si="56"/>
        <v>0</v>
      </c>
      <c r="CH115" s="1312">
        <f>CI114*((1+'Instrumentos Financeiros'!$Q$43)^(1/12)-1)</f>
        <v>0</v>
      </c>
      <c r="CI115" s="1312">
        <f t="shared" si="57"/>
        <v>0</v>
      </c>
      <c r="CJ115" s="1312">
        <f>IF(AND(C115&gt;$F$85,'Instrumentos Financeiros'!C115&lt;'Instrumentos Financeiros'!$F$85+'Instrumentos Financeiros'!$F$13+1),PMT(((1+'Instrumentos Financeiros'!$Q$43)^(1/12)-1),$F$13,-$I$85),0)</f>
        <v>0</v>
      </c>
      <c r="CK115" s="1312">
        <f t="shared" si="58"/>
        <v>0</v>
      </c>
      <c r="CL115" s="1312">
        <f>CM114*((1+'Instrumentos Financeiros'!$Q$43)^(1/12)-1)</f>
        <v>0</v>
      </c>
      <c r="CM115" s="1312">
        <f t="shared" si="59"/>
        <v>0</v>
      </c>
      <c r="CN115" s="1312">
        <f>IF(AND(C115&gt;$F$86,'Instrumentos Financeiros'!C115&lt;'Instrumentos Financeiros'!$F$86+'Instrumentos Financeiros'!$F$13+1),PMT(((1+'Instrumentos Financeiros'!$Q$43)^(1/12)-1),$F$13,-$I$86),0)</f>
        <v>0</v>
      </c>
      <c r="CO115" s="1312">
        <f t="shared" si="60"/>
        <v>0</v>
      </c>
      <c r="CP115" s="1312">
        <f>CQ114*((1+'Instrumentos Financeiros'!$Q$43)^(1/12)-1)</f>
        <v>0</v>
      </c>
      <c r="CQ115" s="1312">
        <f t="shared" si="61"/>
        <v>0</v>
      </c>
      <c r="CR115" s="1312">
        <f t="shared" si="29"/>
        <v>0</v>
      </c>
      <c r="CS115" s="1312">
        <f t="shared" si="29"/>
        <v>0</v>
      </c>
      <c r="CT115" s="1312">
        <f t="shared" si="29"/>
        <v>0</v>
      </c>
      <c r="CU115" s="1312">
        <f t="shared" si="29"/>
        <v>0</v>
      </c>
    </row>
    <row r="116" spans="3:99" x14ac:dyDescent="0.35">
      <c r="C116" s="1315">
        <f t="shared" si="30"/>
        <v>23</v>
      </c>
      <c r="D116" s="1312">
        <f>IF(AND(C116&gt;$F$59,'Instrumentos Financeiros'!C116&lt;'Instrumentos Financeiros'!$F$59+'Instrumentos Financeiros'!$F$11+1),PMT(((1+'Instrumentos Financeiros'!$G$43)^(1/12)-1),$F$11,-$I$59),0)</f>
        <v>0</v>
      </c>
      <c r="E116" s="1312">
        <f t="shared" si="14"/>
        <v>0</v>
      </c>
      <c r="F116" s="1312">
        <f>G115*((1+'Instrumentos Financeiros'!$G$43)^(1/12)-1)</f>
        <v>0</v>
      </c>
      <c r="G116" s="1312">
        <f t="shared" si="31"/>
        <v>0</v>
      </c>
      <c r="H116" s="1312">
        <f>IF(AND(C116&gt;$F$60,'Instrumentos Financeiros'!C116&lt;'Instrumentos Financeiros'!$F$60+'Instrumentos Financeiros'!$F$11+1),PMT(((1+'Instrumentos Financeiros'!$G$43)^(1/12)-1),$F$11,-$I$60),0)</f>
        <v>0</v>
      </c>
      <c r="I116" s="1312">
        <f t="shared" si="62"/>
        <v>0</v>
      </c>
      <c r="J116" s="1312">
        <f>K115*((1+'Instrumentos Financeiros'!$G$43)^(1/12)-1)</f>
        <v>0</v>
      </c>
      <c r="K116" s="1312">
        <f t="shared" si="32"/>
        <v>0</v>
      </c>
      <c r="L116" s="1312">
        <f>IF(AND(C116&gt;$F$61,'Instrumentos Financeiros'!C116&lt;'Instrumentos Financeiros'!$F$61+'Instrumentos Financeiros'!$F$11+1),PMT(((1+'Instrumentos Financeiros'!$G$43)^(1/12)-1),$F$11,-$I$61),0)</f>
        <v>0</v>
      </c>
      <c r="M116" s="1312">
        <f t="shared" si="63"/>
        <v>0</v>
      </c>
      <c r="N116" s="1312">
        <f>O115*((1+'Instrumentos Financeiros'!$G$43)^(1/12)-1)</f>
        <v>0</v>
      </c>
      <c r="O116" s="1312">
        <f t="shared" si="33"/>
        <v>0</v>
      </c>
      <c r="P116" s="1312">
        <f>IF(AND(C116&gt;$F$62,'Instrumentos Financeiros'!C116&lt;'Instrumentos Financeiros'!$F$62+'Instrumentos Financeiros'!$F$11+1),PMT(((1+'Instrumentos Financeiros'!$H$43)^(1/12)-1),$F$11,-$I$62),0)</f>
        <v>0</v>
      </c>
      <c r="Q116" s="1312">
        <f t="shared" si="64"/>
        <v>0</v>
      </c>
      <c r="R116" s="1312">
        <f>S115*((1+'Instrumentos Financeiros'!$H$43)^(1/12)-1)</f>
        <v>0</v>
      </c>
      <c r="S116" s="1312">
        <f t="shared" si="34"/>
        <v>0</v>
      </c>
      <c r="T116" s="1312">
        <f>IF(AND(C116&gt;$F$63,'Instrumentos Financeiros'!C116&lt;'Instrumentos Financeiros'!$F$63+'Instrumentos Financeiros'!$F$11+1),PMT(((1+'Instrumentos Financeiros'!$H$43)^(1/12)-1),$F$11,-$I$63),0)</f>
        <v>0</v>
      </c>
      <c r="U116" s="1312">
        <f t="shared" si="65"/>
        <v>0</v>
      </c>
      <c r="V116" s="1312">
        <f>W115*((1+'Instrumentos Financeiros'!$H$43)^(1/12)-1)</f>
        <v>0</v>
      </c>
      <c r="W116" s="1312">
        <f t="shared" si="35"/>
        <v>0</v>
      </c>
      <c r="X116" s="1312">
        <f>IF(AND(C116&gt;$F$64,'Instrumentos Financeiros'!C116&lt;'Instrumentos Financeiros'!$F$64+'Instrumentos Financeiros'!$F$11+1),PMT(((1+'Instrumentos Financeiros'!$H$43)^(1/12)-1),$F$11,-$I$64),0)</f>
        <v>0</v>
      </c>
      <c r="Y116" s="1312">
        <f t="shared" si="66"/>
        <v>0</v>
      </c>
      <c r="Z116" s="1312">
        <f>AA115*((1+'Instrumentos Financeiros'!$H$43)^(1/12)-1)</f>
        <v>0</v>
      </c>
      <c r="AA116" s="1312">
        <f t="shared" si="36"/>
        <v>0</v>
      </c>
      <c r="AB116" s="1312">
        <f>IF(AND(C116&gt;$F$65,'Instrumentos Financeiros'!C116&lt;'Instrumentos Financeiros'!$F$65+'Instrumentos Financeiros'!$F$11+1),PMT(((1+'Instrumentos Financeiros'!$H$43)^(1/12)-1),$F$11,-$I$65),0)</f>
        <v>0</v>
      </c>
      <c r="AC116" s="1312">
        <f t="shared" si="67"/>
        <v>0</v>
      </c>
      <c r="AD116" s="1312">
        <f>AE115*((1+'Instrumentos Financeiros'!$H$43)^(1/12)-1)</f>
        <v>0</v>
      </c>
      <c r="AE116" s="1312">
        <f t="shared" si="37"/>
        <v>0</v>
      </c>
      <c r="AF116" s="1312">
        <f>IF(AND(C116&gt;$F$66,'Instrumentos Financeiros'!C116&lt;'Instrumentos Financeiros'!$F$66+'Instrumentos Financeiros'!$F$11+1),PMT(((1+'Instrumentos Financeiros'!$I$43)^(1/12)-1),$F$11,-$I$66),0)</f>
        <v>0</v>
      </c>
      <c r="AG116" s="1312">
        <f t="shared" si="68"/>
        <v>0</v>
      </c>
      <c r="AH116" s="1312">
        <f>AI115*((1+'Instrumentos Financeiros'!$I$43)^(1/12)-1)</f>
        <v>0</v>
      </c>
      <c r="AI116" s="1312">
        <f t="shared" si="38"/>
        <v>0</v>
      </c>
      <c r="AJ116" s="1312">
        <f>IF(AND(C116&gt;$F$67,'Instrumentos Financeiros'!C116&lt;'Instrumentos Financeiros'!$F$67+'Instrumentos Financeiros'!$F$11+1),PMT(((1+'Instrumentos Financeiros'!$I$43)^(1/12)-1),$F$11,-$I$67),0)</f>
        <v>0</v>
      </c>
      <c r="AK116" s="1312">
        <f t="shared" si="69"/>
        <v>0</v>
      </c>
      <c r="AL116" s="1312">
        <f>AM115*((1+'Instrumentos Financeiros'!$I$43)^(1/12)-1)</f>
        <v>0</v>
      </c>
      <c r="AM116" s="1312">
        <f t="shared" si="39"/>
        <v>0</v>
      </c>
      <c r="AN116" s="1312">
        <f>IF(AND(C116&gt;$F$68,'Instrumentos Financeiros'!C116&lt;'Instrumentos Financeiros'!$F$68+'Instrumentos Financeiros'!$F$11+1),PMT(((1+'Instrumentos Financeiros'!$I$43)^(1/12)-1),$F$11,-$I$68),0)</f>
        <v>0</v>
      </c>
      <c r="AO116" s="1312">
        <f t="shared" si="70"/>
        <v>0</v>
      </c>
      <c r="AP116" s="1312">
        <f>AQ115*((1+'Instrumentos Financeiros'!$I$43)^(1/12)-1)</f>
        <v>0</v>
      </c>
      <c r="AQ116" s="1312">
        <f t="shared" si="40"/>
        <v>0</v>
      </c>
      <c r="AR116" s="1312">
        <f>IF(AND(C116&gt;$F$69,'Instrumentos Financeiros'!C116&lt;'Instrumentos Financeiros'!$F$69+'Instrumentos Financeiros'!$F$11+1),PMT(((1+'Instrumentos Financeiros'!$I$43)^(1/12)-1),$F$11,-$I$69),0)</f>
        <v>0</v>
      </c>
      <c r="AS116" s="1312">
        <f t="shared" si="71"/>
        <v>0</v>
      </c>
      <c r="AT116" s="1312">
        <f>AU115*((1+'Instrumentos Financeiros'!$I$43)^(1/12)-1)</f>
        <v>0</v>
      </c>
      <c r="AU116" s="1312">
        <f t="shared" si="41"/>
        <v>0</v>
      </c>
      <c r="AV116" s="1312">
        <f>IF(AND(C116&gt;$F$70,'Instrumentos Financeiros'!C116&lt;'Instrumentos Financeiros'!$F$70+'Instrumentos Financeiros'!$F$11+1),PMT(((1+'Instrumentos Financeiros'!$J$43)^(1/12)-1),$F$11,-$I$70),0)</f>
        <v>0</v>
      </c>
      <c r="AW116" s="1312">
        <f t="shared" si="72"/>
        <v>0</v>
      </c>
      <c r="AX116" s="1312">
        <f>AY115*((1+'Instrumentos Financeiros'!$J$43)^(1/12)-1)</f>
        <v>0</v>
      </c>
      <c r="AY116" s="1312">
        <f t="shared" si="42"/>
        <v>0</v>
      </c>
      <c r="AZ116" s="1312">
        <f>IF(AND(C116&gt;$F$71,'Instrumentos Financeiros'!C116&lt;'Instrumentos Financeiros'!$F$71+'Instrumentos Financeiros'!$F$11+1),PMT(((1+'Instrumentos Financeiros'!$J$43)^(1/12)-1),$F$11,-$I$71),0)</f>
        <v>0</v>
      </c>
      <c r="BA116" s="1312">
        <f t="shared" si="73"/>
        <v>0</v>
      </c>
      <c r="BB116" s="1312">
        <f>BC115*((1+'Instrumentos Financeiros'!$J$43)^(1/12)-1)</f>
        <v>0</v>
      </c>
      <c r="BC116" s="1312">
        <f t="shared" si="43"/>
        <v>0</v>
      </c>
      <c r="BD116" s="1312">
        <f>IF(AND(C116&gt;$F$72,'Instrumentos Financeiros'!C116&lt;'Instrumentos Financeiros'!$F$72+'Instrumentos Financeiros'!$F$11+1),PMT(((1+'Instrumentos Financeiros'!$J$43)^(1/12)-1),$F$11,-'Instrumentos Financeiros'!$G$7*$G$72),0)</f>
        <v>0</v>
      </c>
      <c r="BE116" s="1312">
        <f t="shared" si="74"/>
        <v>0</v>
      </c>
      <c r="BF116" s="1312">
        <f>BG115*((1+'Instrumentos Financeiros'!$J$43)^(1/12)-1)</f>
        <v>0</v>
      </c>
      <c r="BG116" s="1312">
        <f t="shared" si="44"/>
        <v>0</v>
      </c>
      <c r="BH116" s="1312">
        <f>IF(AND(C116&gt;$F$73,'Instrumentos Financeiros'!C116&lt;'Instrumentos Financeiros'!$F$73+'Instrumentos Financeiros'!$F$11+1),PMT(((1+'Instrumentos Financeiros'!$J$43)^(1/12)-1),$F$11,-$I$73),0)</f>
        <v>0</v>
      </c>
      <c r="BI116" s="1312">
        <f t="shared" si="75"/>
        <v>0</v>
      </c>
      <c r="BJ116" s="1312">
        <f>BK115*((1+'Instrumentos Financeiros'!$J$43)^(1/12)-1)</f>
        <v>0</v>
      </c>
      <c r="BK116" s="1312">
        <f t="shared" si="45"/>
        <v>0</v>
      </c>
      <c r="BL116" s="1312">
        <f>IF(AND(C116&gt;$F$77,'Instrumentos Financeiros'!C116&lt;'Instrumentos Financeiros'!$F$77+'Instrumentos Financeiros'!$F$12+1),PMT(((1+'Instrumentos Financeiros'!$K$43)^(1/12)-1),$F$12,-$I$77),0)</f>
        <v>0</v>
      </c>
      <c r="BM116" s="1312">
        <f t="shared" si="46"/>
        <v>0</v>
      </c>
      <c r="BN116" s="1312">
        <f>BO115*((1+'Instrumentos Financeiros'!$K$43)^(1/12)-1)</f>
        <v>0</v>
      </c>
      <c r="BO116" s="1312">
        <f t="shared" si="47"/>
        <v>0</v>
      </c>
      <c r="BP116" s="1312">
        <f>IF(AND(C116&gt;$F$78,'Instrumentos Financeiros'!C116&lt;'Instrumentos Financeiros'!$F$78+'Instrumentos Financeiros'!$F$12+1),PMT(((1+'Instrumentos Financeiros'!$L$43)^(1/12)-1),$F$12,-$I$78),0)</f>
        <v>0</v>
      </c>
      <c r="BQ116" s="1312">
        <f t="shared" si="48"/>
        <v>0</v>
      </c>
      <c r="BR116" s="1312">
        <f>BS115*((1+'Instrumentos Financeiros'!$L$43)^(1/12)-1)</f>
        <v>0</v>
      </c>
      <c r="BS116" s="1312">
        <f t="shared" si="49"/>
        <v>0</v>
      </c>
      <c r="BT116" s="1312">
        <f>IF(AND(C116&gt;$F$79,'Instrumentos Financeiros'!C116&lt;'Instrumentos Financeiros'!$F$79+'Instrumentos Financeiros'!$F$12+1),PMT(((1+'Instrumentos Financeiros'!$L$43)^(1/12)-1),$F$12,-$I$79),0)</f>
        <v>0</v>
      </c>
      <c r="BU116" s="1312">
        <f t="shared" si="50"/>
        <v>0</v>
      </c>
      <c r="BV116" s="1312">
        <f>BW115*((1+'Instrumentos Financeiros'!$L$43)^(1/12)-1)</f>
        <v>0</v>
      </c>
      <c r="BW116" s="1312">
        <f t="shared" si="51"/>
        <v>0</v>
      </c>
      <c r="BX116" s="1312">
        <f>IF(AND(C116&gt;$F$80,'Instrumentos Financeiros'!C116&lt;'Instrumentos Financeiros'!$F$80+'Instrumentos Financeiros'!$F$12+1),PMT(((1+'Instrumentos Financeiros'!$L$43)^(1/12)-1),$F$12,-$I$80),0)</f>
        <v>0</v>
      </c>
      <c r="BY116" s="1312">
        <f t="shared" si="52"/>
        <v>0</v>
      </c>
      <c r="BZ116" s="1312">
        <f>CA115*((1+'Instrumentos Financeiros'!$L$43)^(1/12)-1)</f>
        <v>0</v>
      </c>
      <c r="CA116" s="1312">
        <f t="shared" si="53"/>
        <v>0</v>
      </c>
      <c r="CB116" s="1312">
        <f>IF(AND(C116&gt;$F$83,'Instrumentos Financeiros'!C116&lt;'Instrumentos Financeiros'!$F$83+'Instrumentos Financeiros'!$F$13+1),PMT(((1+'Instrumentos Financeiros'!$P$43)^(1/12)-1),$F$13,-$I$83),0)</f>
        <v>0</v>
      </c>
      <c r="CC116" s="1312">
        <f t="shared" si="54"/>
        <v>0</v>
      </c>
      <c r="CD116" s="1312">
        <f>CE115*((1+'Instrumentos Financeiros'!$P$43)^(1/12)-1)</f>
        <v>0</v>
      </c>
      <c r="CE116" s="1312">
        <f t="shared" si="55"/>
        <v>0</v>
      </c>
      <c r="CF116" s="1312">
        <f>IF(AND(C116&gt;$F$84,'Instrumentos Financeiros'!C116&lt;'Instrumentos Financeiros'!$F$84+'Instrumentos Financeiros'!$F$13+1),PMT(((1+'Instrumentos Financeiros'!$Q$43)^(1/12)-1),$F$13,-$I$84),0)</f>
        <v>0</v>
      </c>
      <c r="CG116" s="1312">
        <f t="shared" si="56"/>
        <v>0</v>
      </c>
      <c r="CH116" s="1312">
        <f>CI115*((1+'Instrumentos Financeiros'!$Q$43)^(1/12)-1)</f>
        <v>0</v>
      </c>
      <c r="CI116" s="1312">
        <f t="shared" si="57"/>
        <v>0</v>
      </c>
      <c r="CJ116" s="1312">
        <f>IF(AND(C116&gt;$F$85,'Instrumentos Financeiros'!C116&lt;'Instrumentos Financeiros'!$F$85+'Instrumentos Financeiros'!$F$13+1),PMT(((1+'Instrumentos Financeiros'!$Q$43)^(1/12)-1),$F$13,-$I$85),0)</f>
        <v>0</v>
      </c>
      <c r="CK116" s="1312">
        <f t="shared" si="58"/>
        <v>0</v>
      </c>
      <c r="CL116" s="1312">
        <f>CM115*((1+'Instrumentos Financeiros'!$Q$43)^(1/12)-1)</f>
        <v>0</v>
      </c>
      <c r="CM116" s="1312">
        <f t="shared" si="59"/>
        <v>0</v>
      </c>
      <c r="CN116" s="1312">
        <f>IF(AND(C116&gt;$F$86,'Instrumentos Financeiros'!C116&lt;'Instrumentos Financeiros'!$F$86+'Instrumentos Financeiros'!$F$13+1),PMT(((1+'Instrumentos Financeiros'!$Q$43)^(1/12)-1),$F$13,-$I$86),0)</f>
        <v>0</v>
      </c>
      <c r="CO116" s="1312">
        <f t="shared" si="60"/>
        <v>0</v>
      </c>
      <c r="CP116" s="1312">
        <f>CQ115*((1+'Instrumentos Financeiros'!$Q$43)^(1/12)-1)</f>
        <v>0</v>
      </c>
      <c r="CQ116" s="1312">
        <f t="shared" si="61"/>
        <v>0</v>
      </c>
      <c r="CR116" s="1312">
        <f t="shared" si="29"/>
        <v>0</v>
      </c>
      <c r="CS116" s="1312">
        <f t="shared" si="29"/>
        <v>0</v>
      </c>
      <c r="CT116" s="1312">
        <f t="shared" si="29"/>
        <v>0</v>
      </c>
      <c r="CU116" s="1312">
        <f t="shared" si="29"/>
        <v>0</v>
      </c>
    </row>
    <row r="117" spans="3:99" x14ac:dyDescent="0.35">
      <c r="C117" s="1316">
        <f t="shared" si="30"/>
        <v>24</v>
      </c>
      <c r="D117" s="1313">
        <f>IF(AND(C117&gt;$F$59,'Instrumentos Financeiros'!C117&lt;'Instrumentos Financeiros'!$F$59+'Instrumentos Financeiros'!$F$11+1),PMT(((1+'Instrumentos Financeiros'!$G$43)^(1/12)-1),$F$11,-$I$59),0)</f>
        <v>0</v>
      </c>
      <c r="E117" s="1313">
        <f t="shared" si="14"/>
        <v>0</v>
      </c>
      <c r="F117" s="1313">
        <f>G116*((1+'Instrumentos Financeiros'!$G$43)^(1/12)-1)</f>
        <v>0</v>
      </c>
      <c r="G117" s="1313">
        <f t="shared" si="31"/>
        <v>0</v>
      </c>
      <c r="H117" s="1313">
        <f>IF(AND(C117&gt;$F$60,'Instrumentos Financeiros'!C117&lt;'Instrumentos Financeiros'!$F$60+'Instrumentos Financeiros'!$F$11+1),PMT(((1+'Instrumentos Financeiros'!$G$43)^(1/12)-1),$F$11,-$I$60),0)</f>
        <v>0</v>
      </c>
      <c r="I117" s="1313">
        <f t="shared" si="62"/>
        <v>0</v>
      </c>
      <c r="J117" s="1313">
        <f>K116*((1+'Instrumentos Financeiros'!$G$43)^(1/12)-1)</f>
        <v>0</v>
      </c>
      <c r="K117" s="1313">
        <f t="shared" si="32"/>
        <v>0</v>
      </c>
      <c r="L117" s="1313">
        <f>IF(AND(C117&gt;$F$61,'Instrumentos Financeiros'!C117&lt;'Instrumentos Financeiros'!$F$61+'Instrumentos Financeiros'!$F$11+1),PMT(((1+'Instrumentos Financeiros'!$G$43)^(1/12)-1),$F$11,-$I$61),0)</f>
        <v>0</v>
      </c>
      <c r="M117" s="1313">
        <f t="shared" si="63"/>
        <v>0</v>
      </c>
      <c r="N117" s="1313">
        <f>O116*((1+'Instrumentos Financeiros'!$G$43)^(1/12)-1)</f>
        <v>0</v>
      </c>
      <c r="O117" s="1313">
        <f t="shared" si="33"/>
        <v>0</v>
      </c>
      <c r="P117" s="1313">
        <f>IF(AND(C117&gt;$F$62,'Instrumentos Financeiros'!C117&lt;'Instrumentos Financeiros'!$F$62+'Instrumentos Financeiros'!$F$11+1),PMT(((1+'Instrumentos Financeiros'!$H$43)^(1/12)-1),$F$11,-$I$62),0)</f>
        <v>0</v>
      </c>
      <c r="Q117" s="1313">
        <f t="shared" si="64"/>
        <v>0</v>
      </c>
      <c r="R117" s="1313">
        <f>S116*((1+'Instrumentos Financeiros'!$H$43)^(1/12)-1)</f>
        <v>0</v>
      </c>
      <c r="S117" s="1313">
        <f t="shared" si="34"/>
        <v>0</v>
      </c>
      <c r="T117" s="1313">
        <f>IF(AND(C117&gt;$F$63,'Instrumentos Financeiros'!C117&lt;'Instrumentos Financeiros'!$F$63+'Instrumentos Financeiros'!$F$11+1),PMT(((1+'Instrumentos Financeiros'!$H$43)^(1/12)-1),$F$11,-$I$63),0)</f>
        <v>0</v>
      </c>
      <c r="U117" s="1313">
        <f t="shared" si="65"/>
        <v>0</v>
      </c>
      <c r="V117" s="1313">
        <f>W116*((1+'Instrumentos Financeiros'!$H$43)^(1/12)-1)</f>
        <v>0</v>
      </c>
      <c r="W117" s="1313">
        <f t="shared" si="35"/>
        <v>0</v>
      </c>
      <c r="X117" s="1313">
        <f>IF(AND(C117&gt;$F$64,'Instrumentos Financeiros'!C117&lt;'Instrumentos Financeiros'!$F$64+'Instrumentos Financeiros'!$F$11+1),PMT(((1+'Instrumentos Financeiros'!$H$43)^(1/12)-1),$F$11,-$I$64),0)</f>
        <v>0</v>
      </c>
      <c r="Y117" s="1313">
        <f t="shared" si="66"/>
        <v>0</v>
      </c>
      <c r="Z117" s="1313">
        <f>AA116*((1+'Instrumentos Financeiros'!$H$43)^(1/12)-1)</f>
        <v>0</v>
      </c>
      <c r="AA117" s="1313">
        <f t="shared" si="36"/>
        <v>0</v>
      </c>
      <c r="AB117" s="1313">
        <f>IF(AND(C117&gt;$F$65,'Instrumentos Financeiros'!C117&lt;'Instrumentos Financeiros'!$F$65+'Instrumentos Financeiros'!$F$11+1),PMT(((1+'Instrumentos Financeiros'!$H$43)^(1/12)-1),$F$11,-$I$65),0)</f>
        <v>0</v>
      </c>
      <c r="AC117" s="1313">
        <f t="shared" si="67"/>
        <v>0</v>
      </c>
      <c r="AD117" s="1313">
        <f>AE116*((1+'Instrumentos Financeiros'!$H$43)^(1/12)-1)</f>
        <v>0</v>
      </c>
      <c r="AE117" s="1313">
        <f t="shared" si="37"/>
        <v>0</v>
      </c>
      <c r="AF117" s="1313">
        <f>IF(AND(C117&gt;$F$66,'Instrumentos Financeiros'!C117&lt;'Instrumentos Financeiros'!$F$66+'Instrumentos Financeiros'!$F$11+1),PMT(((1+'Instrumentos Financeiros'!$I$43)^(1/12)-1),$F$11,-$I$66),0)</f>
        <v>0</v>
      </c>
      <c r="AG117" s="1313">
        <f t="shared" si="68"/>
        <v>0</v>
      </c>
      <c r="AH117" s="1313">
        <f>AI116*((1+'Instrumentos Financeiros'!$I$43)^(1/12)-1)</f>
        <v>0</v>
      </c>
      <c r="AI117" s="1313">
        <f t="shared" si="38"/>
        <v>0</v>
      </c>
      <c r="AJ117" s="1313">
        <f>IF(AND(C117&gt;$F$67,'Instrumentos Financeiros'!C117&lt;'Instrumentos Financeiros'!$F$67+'Instrumentos Financeiros'!$F$11+1),PMT(((1+'Instrumentos Financeiros'!$I$43)^(1/12)-1),$F$11,-$I$67),0)</f>
        <v>0</v>
      </c>
      <c r="AK117" s="1313">
        <f t="shared" si="69"/>
        <v>0</v>
      </c>
      <c r="AL117" s="1313">
        <f>AM116*((1+'Instrumentos Financeiros'!$I$43)^(1/12)-1)</f>
        <v>0</v>
      </c>
      <c r="AM117" s="1313">
        <f t="shared" si="39"/>
        <v>0</v>
      </c>
      <c r="AN117" s="1313">
        <f>IF(AND(C117&gt;$F$68,'Instrumentos Financeiros'!C117&lt;'Instrumentos Financeiros'!$F$68+'Instrumentos Financeiros'!$F$11+1),PMT(((1+'Instrumentos Financeiros'!$I$43)^(1/12)-1),$F$11,-$I$68),0)</f>
        <v>0</v>
      </c>
      <c r="AO117" s="1313">
        <f t="shared" si="70"/>
        <v>0</v>
      </c>
      <c r="AP117" s="1313">
        <f>AQ116*((1+'Instrumentos Financeiros'!$I$43)^(1/12)-1)</f>
        <v>0</v>
      </c>
      <c r="AQ117" s="1313">
        <f t="shared" si="40"/>
        <v>0</v>
      </c>
      <c r="AR117" s="1313">
        <f>IF(AND(C117&gt;$F$69,'Instrumentos Financeiros'!C117&lt;'Instrumentos Financeiros'!$F$69+'Instrumentos Financeiros'!$F$11+1),PMT(((1+'Instrumentos Financeiros'!$I$43)^(1/12)-1),$F$11,-$I$69),0)</f>
        <v>0</v>
      </c>
      <c r="AS117" s="1313">
        <f t="shared" si="71"/>
        <v>0</v>
      </c>
      <c r="AT117" s="1313">
        <f>AU116*((1+'Instrumentos Financeiros'!$I$43)^(1/12)-1)</f>
        <v>0</v>
      </c>
      <c r="AU117" s="1313">
        <f t="shared" si="41"/>
        <v>0</v>
      </c>
      <c r="AV117" s="1313">
        <f>IF(AND(C117&gt;$F$70,'Instrumentos Financeiros'!C117&lt;'Instrumentos Financeiros'!$F$70+'Instrumentos Financeiros'!$F$11+1),PMT(((1+'Instrumentos Financeiros'!$J$43)^(1/12)-1),$F$11,-$I$70),0)</f>
        <v>0</v>
      </c>
      <c r="AW117" s="1313">
        <f t="shared" si="72"/>
        <v>0</v>
      </c>
      <c r="AX117" s="1313">
        <f>AY116*((1+'Instrumentos Financeiros'!$J$43)^(1/12)-1)</f>
        <v>0</v>
      </c>
      <c r="AY117" s="1313">
        <f t="shared" si="42"/>
        <v>0</v>
      </c>
      <c r="AZ117" s="1313">
        <f>IF(AND(C117&gt;$F$71,'Instrumentos Financeiros'!C117&lt;'Instrumentos Financeiros'!$F$71+'Instrumentos Financeiros'!$F$11+1),PMT(((1+'Instrumentos Financeiros'!$J$43)^(1/12)-1),$F$11,-$I$71),0)</f>
        <v>0</v>
      </c>
      <c r="BA117" s="1313">
        <f t="shared" si="73"/>
        <v>0</v>
      </c>
      <c r="BB117" s="1313">
        <f>BC116*((1+'Instrumentos Financeiros'!$J$43)^(1/12)-1)</f>
        <v>0</v>
      </c>
      <c r="BC117" s="1313">
        <f t="shared" si="43"/>
        <v>0</v>
      </c>
      <c r="BD117" s="1313">
        <f>IF(AND(C117&gt;$F$72,'Instrumentos Financeiros'!C117&lt;'Instrumentos Financeiros'!$F$72+'Instrumentos Financeiros'!$F$11+1),PMT(((1+'Instrumentos Financeiros'!$J$43)^(1/12)-1),$F$11,-'Instrumentos Financeiros'!$G$7*$G$72),0)</f>
        <v>0</v>
      </c>
      <c r="BE117" s="1313">
        <f t="shared" si="74"/>
        <v>0</v>
      </c>
      <c r="BF117" s="1313">
        <f>BG116*((1+'Instrumentos Financeiros'!$J$43)^(1/12)-1)</f>
        <v>0</v>
      </c>
      <c r="BG117" s="1313">
        <f t="shared" si="44"/>
        <v>0</v>
      </c>
      <c r="BH117" s="1313">
        <f>IF(AND(C117&gt;$F$73,'Instrumentos Financeiros'!C117&lt;'Instrumentos Financeiros'!$F$73+'Instrumentos Financeiros'!$F$11+1),PMT(((1+'Instrumentos Financeiros'!$J$43)^(1/12)-1),$F$11,-$I$73),0)</f>
        <v>0</v>
      </c>
      <c r="BI117" s="1313">
        <f t="shared" si="75"/>
        <v>0</v>
      </c>
      <c r="BJ117" s="1313">
        <f>BK116*((1+'Instrumentos Financeiros'!$J$43)^(1/12)-1)</f>
        <v>0</v>
      </c>
      <c r="BK117" s="1313">
        <f t="shared" si="45"/>
        <v>0</v>
      </c>
      <c r="BL117" s="1313">
        <f>IF(AND(C117&gt;$F$77,'Instrumentos Financeiros'!C117&lt;'Instrumentos Financeiros'!$F$77+'Instrumentos Financeiros'!$F$12+1),PMT(((1+'Instrumentos Financeiros'!$K$43)^(1/12)-1),$F$12,-$I$77),0)</f>
        <v>0</v>
      </c>
      <c r="BM117" s="1313">
        <f t="shared" si="46"/>
        <v>0</v>
      </c>
      <c r="BN117" s="1313">
        <f>BO116*((1+'Instrumentos Financeiros'!$K$43)^(1/12)-1)</f>
        <v>0</v>
      </c>
      <c r="BO117" s="1313">
        <f t="shared" si="47"/>
        <v>0</v>
      </c>
      <c r="BP117" s="1313">
        <f>IF(AND(C117&gt;$F$78,'Instrumentos Financeiros'!C117&lt;'Instrumentos Financeiros'!$F$78+'Instrumentos Financeiros'!$F$12+1),PMT(((1+'Instrumentos Financeiros'!$L$43)^(1/12)-1),$F$12,-$I$78),0)</f>
        <v>0</v>
      </c>
      <c r="BQ117" s="1313">
        <f t="shared" si="48"/>
        <v>0</v>
      </c>
      <c r="BR117" s="1313">
        <f>BS116*((1+'Instrumentos Financeiros'!$L$43)^(1/12)-1)</f>
        <v>0</v>
      </c>
      <c r="BS117" s="1313">
        <f t="shared" si="49"/>
        <v>0</v>
      </c>
      <c r="BT117" s="1313">
        <f>IF(AND(C117&gt;$F$79,'Instrumentos Financeiros'!C117&lt;'Instrumentos Financeiros'!$F$79+'Instrumentos Financeiros'!$F$12+1),PMT(((1+'Instrumentos Financeiros'!$L$43)^(1/12)-1),$F$12,-$I$79),0)</f>
        <v>0</v>
      </c>
      <c r="BU117" s="1313">
        <f t="shared" si="50"/>
        <v>0</v>
      </c>
      <c r="BV117" s="1313">
        <f>BW116*((1+'Instrumentos Financeiros'!$L$43)^(1/12)-1)</f>
        <v>0</v>
      </c>
      <c r="BW117" s="1313">
        <f t="shared" si="51"/>
        <v>0</v>
      </c>
      <c r="BX117" s="1313">
        <f>IF(AND(C117&gt;$F$80,'Instrumentos Financeiros'!C117&lt;'Instrumentos Financeiros'!$F$80+'Instrumentos Financeiros'!$F$12+1),PMT(((1+'Instrumentos Financeiros'!$L$43)^(1/12)-1),$F$12,-$I$80),0)</f>
        <v>0</v>
      </c>
      <c r="BY117" s="1313">
        <f t="shared" si="52"/>
        <v>0</v>
      </c>
      <c r="BZ117" s="1313">
        <f>CA116*((1+'Instrumentos Financeiros'!$L$43)^(1/12)-1)</f>
        <v>0</v>
      </c>
      <c r="CA117" s="1313">
        <f t="shared" si="53"/>
        <v>0</v>
      </c>
      <c r="CB117" s="1313">
        <f>IF(AND(C117&gt;$F$83,'Instrumentos Financeiros'!C117&lt;'Instrumentos Financeiros'!$F$83+'Instrumentos Financeiros'!$F$13+1),PMT(((1+'Instrumentos Financeiros'!$P$43)^(1/12)-1),$F$13,-$I$83),0)</f>
        <v>0</v>
      </c>
      <c r="CC117" s="1313">
        <f t="shared" si="54"/>
        <v>0</v>
      </c>
      <c r="CD117" s="1313">
        <f>CE116*((1+'Instrumentos Financeiros'!$P$43)^(1/12)-1)</f>
        <v>0</v>
      </c>
      <c r="CE117" s="1313">
        <f t="shared" si="55"/>
        <v>0</v>
      </c>
      <c r="CF117" s="1313">
        <f>IF(AND(C117&gt;$F$84,'Instrumentos Financeiros'!C117&lt;'Instrumentos Financeiros'!$F$84+'Instrumentos Financeiros'!$F$13+1),PMT(((1+'Instrumentos Financeiros'!$Q$43)^(1/12)-1),$F$13,-$I$84),0)</f>
        <v>0</v>
      </c>
      <c r="CG117" s="1313">
        <f t="shared" si="56"/>
        <v>0</v>
      </c>
      <c r="CH117" s="1313">
        <f>CI116*((1+'Instrumentos Financeiros'!$Q$43)^(1/12)-1)</f>
        <v>0</v>
      </c>
      <c r="CI117" s="1313">
        <f t="shared" si="57"/>
        <v>0</v>
      </c>
      <c r="CJ117" s="1313">
        <f>IF(AND(C117&gt;$F$85,'Instrumentos Financeiros'!C117&lt;'Instrumentos Financeiros'!$F$85+'Instrumentos Financeiros'!$F$13+1),PMT(((1+'Instrumentos Financeiros'!$Q$43)^(1/12)-1),$F$13,-$I$85),0)</f>
        <v>0</v>
      </c>
      <c r="CK117" s="1313">
        <f t="shared" si="58"/>
        <v>0</v>
      </c>
      <c r="CL117" s="1313">
        <f>CM116*((1+'Instrumentos Financeiros'!$Q$43)^(1/12)-1)</f>
        <v>0</v>
      </c>
      <c r="CM117" s="1313">
        <f t="shared" si="59"/>
        <v>0</v>
      </c>
      <c r="CN117" s="1313">
        <f>IF(AND(C117&gt;$F$86,'Instrumentos Financeiros'!C117&lt;'Instrumentos Financeiros'!$F$86+'Instrumentos Financeiros'!$F$13+1),PMT(((1+'Instrumentos Financeiros'!$Q$43)^(1/12)-1),$F$13,-$I$86),0)</f>
        <v>0</v>
      </c>
      <c r="CO117" s="1313">
        <f t="shared" si="60"/>
        <v>0</v>
      </c>
      <c r="CP117" s="1313">
        <f>CQ116*((1+'Instrumentos Financeiros'!$Q$43)^(1/12)-1)</f>
        <v>0</v>
      </c>
      <c r="CQ117" s="1313">
        <f t="shared" si="61"/>
        <v>0</v>
      </c>
      <c r="CR117" s="1313">
        <f t="shared" si="29"/>
        <v>0</v>
      </c>
      <c r="CS117" s="1313">
        <f t="shared" si="29"/>
        <v>0</v>
      </c>
      <c r="CT117" s="1313">
        <f t="shared" si="29"/>
        <v>0</v>
      </c>
      <c r="CU117" s="1313">
        <f t="shared" si="29"/>
        <v>0</v>
      </c>
    </row>
    <row r="118" spans="3:99" x14ac:dyDescent="0.35">
      <c r="C118" s="1315">
        <f t="shared" si="30"/>
        <v>25</v>
      </c>
      <c r="D118" s="1312">
        <f>IF(AND(C118&gt;$F$59,'Instrumentos Financeiros'!C118&lt;'Instrumentos Financeiros'!$F$59+'Instrumentos Financeiros'!$F$11+1),PMT(((1+'Instrumentos Financeiros'!$G$43)^(1/12)-1),$F$11,-$I$59),0)</f>
        <v>0</v>
      </c>
      <c r="E118" s="1312">
        <f t="shared" si="14"/>
        <v>0</v>
      </c>
      <c r="F118" s="1312">
        <f>G117*((1+'Instrumentos Financeiros'!$G$43)^(1/12)-1)</f>
        <v>0</v>
      </c>
      <c r="G118" s="1312">
        <f t="shared" si="31"/>
        <v>0</v>
      </c>
      <c r="H118" s="1312">
        <f>IF(AND(C118&gt;$F$60,'Instrumentos Financeiros'!C118&lt;'Instrumentos Financeiros'!$F$60+'Instrumentos Financeiros'!$F$11+1),PMT(((1+'Instrumentos Financeiros'!$G$43)^(1/12)-1),$F$11,-$I$60),0)</f>
        <v>0</v>
      </c>
      <c r="I118" s="1312">
        <f t="shared" si="62"/>
        <v>0</v>
      </c>
      <c r="J118" s="1312">
        <f>K117*((1+'Instrumentos Financeiros'!$G$43)^(1/12)-1)</f>
        <v>0</v>
      </c>
      <c r="K118" s="1312">
        <f t="shared" si="32"/>
        <v>0</v>
      </c>
      <c r="L118" s="1312">
        <f>IF(AND(C118&gt;$F$61,'Instrumentos Financeiros'!C118&lt;'Instrumentos Financeiros'!$F$61+'Instrumentos Financeiros'!$F$11+1),PMT(((1+'Instrumentos Financeiros'!$G$43)^(1/12)-1),$F$11,-$I$61),0)</f>
        <v>0</v>
      </c>
      <c r="M118" s="1312">
        <f t="shared" si="63"/>
        <v>0</v>
      </c>
      <c r="N118" s="1312">
        <f>O117*((1+'Instrumentos Financeiros'!$G$43)^(1/12)-1)</f>
        <v>0</v>
      </c>
      <c r="O118" s="1312">
        <f t="shared" si="33"/>
        <v>0</v>
      </c>
      <c r="P118" s="1312">
        <f>IF(AND(C118&gt;$F$62,'Instrumentos Financeiros'!C118&lt;'Instrumentos Financeiros'!$F$62+'Instrumentos Financeiros'!$F$11+1),PMT(((1+'Instrumentos Financeiros'!$H$43)^(1/12)-1),$F$11,-$I$62),0)</f>
        <v>0</v>
      </c>
      <c r="Q118" s="1312">
        <f t="shared" si="64"/>
        <v>0</v>
      </c>
      <c r="R118" s="1312">
        <f>S117*((1+'Instrumentos Financeiros'!$H$43)^(1/12)-1)</f>
        <v>0</v>
      </c>
      <c r="S118" s="1312">
        <f t="shared" si="34"/>
        <v>0</v>
      </c>
      <c r="T118" s="1312">
        <f>IF(AND(C118&gt;$F$63,'Instrumentos Financeiros'!C118&lt;'Instrumentos Financeiros'!$F$63+'Instrumentos Financeiros'!$F$11+1),PMT(((1+'Instrumentos Financeiros'!$H$43)^(1/12)-1),$F$11,-$I$63),0)</f>
        <v>0</v>
      </c>
      <c r="U118" s="1312">
        <f t="shared" si="65"/>
        <v>0</v>
      </c>
      <c r="V118" s="1312">
        <f>W117*((1+'Instrumentos Financeiros'!$H$43)^(1/12)-1)</f>
        <v>0</v>
      </c>
      <c r="W118" s="1312">
        <f t="shared" si="35"/>
        <v>0</v>
      </c>
      <c r="X118" s="1312">
        <f>IF(AND(C118&gt;$F$64,'Instrumentos Financeiros'!C118&lt;'Instrumentos Financeiros'!$F$64+'Instrumentos Financeiros'!$F$11+1),PMT(((1+'Instrumentos Financeiros'!$H$43)^(1/12)-1),$F$11,-$I$64),0)</f>
        <v>0</v>
      </c>
      <c r="Y118" s="1312">
        <f t="shared" si="66"/>
        <v>0</v>
      </c>
      <c r="Z118" s="1312">
        <f>AA117*((1+'Instrumentos Financeiros'!$H$43)^(1/12)-1)</f>
        <v>0</v>
      </c>
      <c r="AA118" s="1312">
        <f t="shared" si="36"/>
        <v>0</v>
      </c>
      <c r="AB118" s="1312">
        <f>IF(AND(C118&gt;$F$65,'Instrumentos Financeiros'!C118&lt;'Instrumentos Financeiros'!$F$65+'Instrumentos Financeiros'!$F$11+1),PMT(((1+'Instrumentos Financeiros'!$H$43)^(1/12)-1),$F$11,-$I$65),0)</f>
        <v>0</v>
      </c>
      <c r="AC118" s="1312">
        <f t="shared" si="67"/>
        <v>0</v>
      </c>
      <c r="AD118" s="1312">
        <f>AE117*((1+'Instrumentos Financeiros'!$H$43)^(1/12)-1)</f>
        <v>0</v>
      </c>
      <c r="AE118" s="1312">
        <f t="shared" si="37"/>
        <v>0</v>
      </c>
      <c r="AF118" s="1312">
        <f>IF(AND(C118&gt;$F$66,'Instrumentos Financeiros'!C118&lt;'Instrumentos Financeiros'!$F$66+'Instrumentos Financeiros'!$F$11+1),PMT(((1+'Instrumentos Financeiros'!$I$43)^(1/12)-1),$F$11,-$I$66),0)</f>
        <v>0</v>
      </c>
      <c r="AG118" s="1312">
        <f t="shared" si="68"/>
        <v>0</v>
      </c>
      <c r="AH118" s="1312">
        <f>AI117*((1+'Instrumentos Financeiros'!$I$43)^(1/12)-1)</f>
        <v>0</v>
      </c>
      <c r="AI118" s="1312">
        <f t="shared" si="38"/>
        <v>0</v>
      </c>
      <c r="AJ118" s="1312">
        <f>IF(AND(C118&gt;$F$67,'Instrumentos Financeiros'!C118&lt;'Instrumentos Financeiros'!$F$67+'Instrumentos Financeiros'!$F$11+1),PMT(((1+'Instrumentos Financeiros'!$I$43)^(1/12)-1),$F$11,-$I$67),0)</f>
        <v>0</v>
      </c>
      <c r="AK118" s="1312">
        <f t="shared" si="69"/>
        <v>0</v>
      </c>
      <c r="AL118" s="1312">
        <f>AM117*((1+'Instrumentos Financeiros'!$I$43)^(1/12)-1)</f>
        <v>0</v>
      </c>
      <c r="AM118" s="1312">
        <f t="shared" si="39"/>
        <v>0</v>
      </c>
      <c r="AN118" s="1312">
        <f>IF(AND(C118&gt;$F$68,'Instrumentos Financeiros'!C118&lt;'Instrumentos Financeiros'!$F$68+'Instrumentos Financeiros'!$F$11+1),PMT(((1+'Instrumentos Financeiros'!$I$43)^(1/12)-1),$F$11,-$I$68),0)</f>
        <v>0</v>
      </c>
      <c r="AO118" s="1312">
        <f t="shared" si="70"/>
        <v>0</v>
      </c>
      <c r="AP118" s="1312">
        <f>AQ117*((1+'Instrumentos Financeiros'!$I$43)^(1/12)-1)</f>
        <v>0</v>
      </c>
      <c r="AQ118" s="1312">
        <f t="shared" si="40"/>
        <v>0</v>
      </c>
      <c r="AR118" s="1312">
        <f>IF(AND(C118&gt;$F$69,'Instrumentos Financeiros'!C118&lt;'Instrumentos Financeiros'!$F$69+'Instrumentos Financeiros'!$F$11+1),PMT(((1+'Instrumentos Financeiros'!$I$43)^(1/12)-1),$F$11,-$I$69),0)</f>
        <v>0</v>
      </c>
      <c r="AS118" s="1312">
        <f t="shared" si="71"/>
        <v>0</v>
      </c>
      <c r="AT118" s="1312">
        <f>AU117*((1+'Instrumentos Financeiros'!$I$43)^(1/12)-1)</f>
        <v>0</v>
      </c>
      <c r="AU118" s="1312">
        <f t="shared" si="41"/>
        <v>0</v>
      </c>
      <c r="AV118" s="1312">
        <f>IF(AND(C118&gt;$F$70,'Instrumentos Financeiros'!C118&lt;'Instrumentos Financeiros'!$F$70+'Instrumentos Financeiros'!$F$11+1),PMT(((1+'Instrumentos Financeiros'!$J$43)^(1/12)-1),$F$11,-$I$70),0)</f>
        <v>0</v>
      </c>
      <c r="AW118" s="1312">
        <f t="shared" si="72"/>
        <v>0</v>
      </c>
      <c r="AX118" s="1312">
        <f>AY117*((1+'Instrumentos Financeiros'!$J$43)^(1/12)-1)</f>
        <v>0</v>
      </c>
      <c r="AY118" s="1312">
        <f t="shared" si="42"/>
        <v>0</v>
      </c>
      <c r="AZ118" s="1312">
        <f>IF(AND(C118&gt;$F$71,'Instrumentos Financeiros'!C118&lt;'Instrumentos Financeiros'!$F$71+'Instrumentos Financeiros'!$F$11+1),PMT(((1+'Instrumentos Financeiros'!$J$43)^(1/12)-1),$F$11,-$I$71),0)</f>
        <v>0</v>
      </c>
      <c r="BA118" s="1312">
        <f t="shared" si="73"/>
        <v>0</v>
      </c>
      <c r="BB118" s="1312">
        <f>BC117*((1+'Instrumentos Financeiros'!$J$43)^(1/12)-1)</f>
        <v>0</v>
      </c>
      <c r="BC118" s="1312">
        <f t="shared" si="43"/>
        <v>0</v>
      </c>
      <c r="BD118" s="1312">
        <f>IF(AND(C118&gt;$F$72,'Instrumentos Financeiros'!C118&lt;'Instrumentos Financeiros'!$F$72+'Instrumentos Financeiros'!$F$11+1),PMT(((1+'Instrumentos Financeiros'!$J$43)^(1/12)-1),$F$11,-'Instrumentos Financeiros'!$G$7*$G$72),0)</f>
        <v>0</v>
      </c>
      <c r="BE118" s="1312">
        <f t="shared" si="74"/>
        <v>0</v>
      </c>
      <c r="BF118" s="1312">
        <f>BG117*((1+'Instrumentos Financeiros'!$J$43)^(1/12)-1)</f>
        <v>0</v>
      </c>
      <c r="BG118" s="1312">
        <f t="shared" si="44"/>
        <v>0</v>
      </c>
      <c r="BH118" s="1312">
        <f>IF(AND(C118&gt;$F$73,'Instrumentos Financeiros'!C118&lt;'Instrumentos Financeiros'!$F$73+'Instrumentos Financeiros'!$F$11+1),PMT(((1+'Instrumentos Financeiros'!$J$43)^(1/12)-1),$F$11,-$I$73),0)</f>
        <v>0</v>
      </c>
      <c r="BI118" s="1312">
        <f t="shared" si="75"/>
        <v>0</v>
      </c>
      <c r="BJ118" s="1312">
        <f>BK117*((1+'Instrumentos Financeiros'!$J$43)^(1/12)-1)</f>
        <v>0</v>
      </c>
      <c r="BK118" s="1312">
        <f t="shared" si="45"/>
        <v>0</v>
      </c>
      <c r="BL118" s="1312">
        <f>IF(AND(C118&gt;$F$77,'Instrumentos Financeiros'!C118&lt;'Instrumentos Financeiros'!$F$77+'Instrumentos Financeiros'!$F$12+1),PMT(((1+'Instrumentos Financeiros'!$K$43)^(1/12)-1),$F$12,-$I$77),0)</f>
        <v>0</v>
      </c>
      <c r="BM118" s="1312">
        <f t="shared" si="46"/>
        <v>0</v>
      </c>
      <c r="BN118" s="1312">
        <f>BO117*((1+'Instrumentos Financeiros'!$K$43)^(1/12)-1)</f>
        <v>0</v>
      </c>
      <c r="BO118" s="1312">
        <f t="shared" si="47"/>
        <v>0</v>
      </c>
      <c r="BP118" s="1312">
        <f>IF(AND(C118&gt;$F$78,'Instrumentos Financeiros'!C118&lt;'Instrumentos Financeiros'!$F$78+'Instrumentos Financeiros'!$F$12+1),PMT(((1+'Instrumentos Financeiros'!$L$43)^(1/12)-1),$F$12,-$I$78),0)</f>
        <v>0</v>
      </c>
      <c r="BQ118" s="1312">
        <f t="shared" si="48"/>
        <v>0</v>
      </c>
      <c r="BR118" s="1312">
        <f>BS117*((1+'Instrumentos Financeiros'!$L$43)^(1/12)-1)</f>
        <v>0</v>
      </c>
      <c r="BS118" s="1312">
        <f t="shared" si="49"/>
        <v>0</v>
      </c>
      <c r="BT118" s="1312">
        <f>IF(AND(C118&gt;$F$79,'Instrumentos Financeiros'!C118&lt;'Instrumentos Financeiros'!$F$79+'Instrumentos Financeiros'!$F$12+1),PMT(((1+'Instrumentos Financeiros'!$L$43)^(1/12)-1),$F$12,-$I$79),0)</f>
        <v>0</v>
      </c>
      <c r="BU118" s="1312">
        <f t="shared" si="50"/>
        <v>0</v>
      </c>
      <c r="BV118" s="1312">
        <f>BW117*((1+'Instrumentos Financeiros'!$L$43)^(1/12)-1)</f>
        <v>0</v>
      </c>
      <c r="BW118" s="1312">
        <f t="shared" si="51"/>
        <v>0</v>
      </c>
      <c r="BX118" s="1312">
        <f>IF(AND(C118&gt;$F$80,'Instrumentos Financeiros'!C118&lt;'Instrumentos Financeiros'!$F$80+'Instrumentos Financeiros'!$F$12+1),PMT(((1+'Instrumentos Financeiros'!$L$43)^(1/12)-1),$F$12,-$I$80),0)</f>
        <v>0</v>
      </c>
      <c r="BY118" s="1312">
        <f t="shared" si="52"/>
        <v>0</v>
      </c>
      <c r="BZ118" s="1312">
        <f>CA117*((1+'Instrumentos Financeiros'!$L$43)^(1/12)-1)</f>
        <v>0</v>
      </c>
      <c r="CA118" s="1312">
        <f t="shared" si="53"/>
        <v>0</v>
      </c>
      <c r="CB118" s="1312">
        <f>IF(AND(C118&gt;$F$83,'Instrumentos Financeiros'!C118&lt;'Instrumentos Financeiros'!$F$83+'Instrumentos Financeiros'!$F$13+1),PMT(((1+'Instrumentos Financeiros'!$P$43)^(1/12)-1),$F$13,-$I$83),0)</f>
        <v>0</v>
      </c>
      <c r="CC118" s="1312">
        <f t="shared" si="54"/>
        <v>0</v>
      </c>
      <c r="CD118" s="1312">
        <f>CE117*((1+'Instrumentos Financeiros'!$P$43)^(1/12)-1)</f>
        <v>0</v>
      </c>
      <c r="CE118" s="1312">
        <f t="shared" si="55"/>
        <v>0</v>
      </c>
      <c r="CF118" s="1312">
        <f>IF(AND(C118&gt;$F$84,'Instrumentos Financeiros'!C118&lt;'Instrumentos Financeiros'!$F$84+'Instrumentos Financeiros'!$F$13+1),PMT(((1+'Instrumentos Financeiros'!$Q$43)^(1/12)-1),$F$13,-$I$84),0)</f>
        <v>0</v>
      </c>
      <c r="CG118" s="1312">
        <f t="shared" si="56"/>
        <v>0</v>
      </c>
      <c r="CH118" s="1312">
        <f>CI117*((1+'Instrumentos Financeiros'!$Q$43)^(1/12)-1)</f>
        <v>0</v>
      </c>
      <c r="CI118" s="1312">
        <f t="shared" si="57"/>
        <v>0</v>
      </c>
      <c r="CJ118" s="1312">
        <f>IF(AND(C118&gt;$F$85,'Instrumentos Financeiros'!C118&lt;'Instrumentos Financeiros'!$F$85+'Instrumentos Financeiros'!$F$13+1),PMT(((1+'Instrumentos Financeiros'!$Q$43)^(1/12)-1),$F$13,-$I$85),0)</f>
        <v>0</v>
      </c>
      <c r="CK118" s="1312">
        <f t="shared" si="58"/>
        <v>0</v>
      </c>
      <c r="CL118" s="1312">
        <f>CM117*((1+'Instrumentos Financeiros'!$Q$43)^(1/12)-1)</f>
        <v>0</v>
      </c>
      <c r="CM118" s="1312">
        <f t="shared" si="59"/>
        <v>0</v>
      </c>
      <c r="CN118" s="1312">
        <f>IF(AND(C118&gt;$F$86,'Instrumentos Financeiros'!C118&lt;'Instrumentos Financeiros'!$F$86+'Instrumentos Financeiros'!$F$13+1),PMT(((1+'Instrumentos Financeiros'!$Q$43)^(1/12)-1),$F$13,-$I$86),0)</f>
        <v>0</v>
      </c>
      <c r="CO118" s="1312">
        <f t="shared" si="60"/>
        <v>0</v>
      </c>
      <c r="CP118" s="1312">
        <f>CQ117*((1+'Instrumentos Financeiros'!$Q$43)^(1/12)-1)</f>
        <v>0</v>
      </c>
      <c r="CQ118" s="1312">
        <f t="shared" si="61"/>
        <v>0</v>
      </c>
      <c r="CR118" s="1312">
        <f t="shared" si="29"/>
        <v>0</v>
      </c>
      <c r="CS118" s="1312">
        <f t="shared" si="29"/>
        <v>0</v>
      </c>
      <c r="CT118" s="1312">
        <f t="shared" si="29"/>
        <v>0</v>
      </c>
      <c r="CU118" s="1312">
        <f t="shared" si="29"/>
        <v>0</v>
      </c>
    </row>
    <row r="119" spans="3:99" x14ac:dyDescent="0.35">
      <c r="C119" s="1315">
        <f t="shared" si="30"/>
        <v>26</v>
      </c>
      <c r="D119" s="1312">
        <f>IF(AND(C119&gt;$F$59,'Instrumentos Financeiros'!C119&lt;'Instrumentos Financeiros'!$F$59+'Instrumentos Financeiros'!$F$11+1),PMT(((1+'Instrumentos Financeiros'!$G$43)^(1/12)-1),$F$11,-$I$59),0)</f>
        <v>0</v>
      </c>
      <c r="E119" s="1312">
        <f t="shared" si="14"/>
        <v>0</v>
      </c>
      <c r="F119" s="1312">
        <f>G118*((1+'Instrumentos Financeiros'!$G$43)^(1/12)-1)</f>
        <v>0</v>
      </c>
      <c r="G119" s="1312">
        <f t="shared" si="31"/>
        <v>0</v>
      </c>
      <c r="H119" s="1312">
        <f>IF(AND(C119&gt;$F$60,'Instrumentos Financeiros'!C119&lt;'Instrumentos Financeiros'!$F$60+'Instrumentos Financeiros'!$F$11+1),PMT(((1+'Instrumentos Financeiros'!$G$43)^(1/12)-1),$F$11,-$I$60),0)</f>
        <v>0</v>
      </c>
      <c r="I119" s="1312">
        <f t="shared" si="62"/>
        <v>0</v>
      </c>
      <c r="J119" s="1312">
        <f>K118*((1+'Instrumentos Financeiros'!$G$43)^(1/12)-1)</f>
        <v>0</v>
      </c>
      <c r="K119" s="1312">
        <f t="shared" si="32"/>
        <v>0</v>
      </c>
      <c r="L119" s="1312">
        <f>IF(AND(C119&gt;$F$61,'Instrumentos Financeiros'!C119&lt;'Instrumentos Financeiros'!$F$61+'Instrumentos Financeiros'!$F$11+1),PMT(((1+'Instrumentos Financeiros'!$G$43)^(1/12)-1),$F$11,-$I$61),0)</f>
        <v>0</v>
      </c>
      <c r="M119" s="1312">
        <f t="shared" si="63"/>
        <v>0</v>
      </c>
      <c r="N119" s="1312">
        <f>O118*((1+'Instrumentos Financeiros'!$G$43)^(1/12)-1)</f>
        <v>0</v>
      </c>
      <c r="O119" s="1312">
        <f t="shared" si="33"/>
        <v>0</v>
      </c>
      <c r="P119" s="1312">
        <f>IF(AND(C119&gt;$F$62,'Instrumentos Financeiros'!C119&lt;'Instrumentos Financeiros'!$F$62+'Instrumentos Financeiros'!$F$11+1),PMT(((1+'Instrumentos Financeiros'!$H$43)^(1/12)-1),$F$11,-$I$62),0)</f>
        <v>0</v>
      </c>
      <c r="Q119" s="1312">
        <f t="shared" si="64"/>
        <v>0</v>
      </c>
      <c r="R119" s="1312">
        <f>S118*((1+'Instrumentos Financeiros'!$H$43)^(1/12)-1)</f>
        <v>0</v>
      </c>
      <c r="S119" s="1312">
        <f t="shared" si="34"/>
        <v>0</v>
      </c>
      <c r="T119" s="1312">
        <f>IF(AND(C119&gt;$F$63,'Instrumentos Financeiros'!C119&lt;'Instrumentos Financeiros'!$F$63+'Instrumentos Financeiros'!$F$11+1),PMT(((1+'Instrumentos Financeiros'!$H$43)^(1/12)-1),$F$11,-$I$63),0)</f>
        <v>0</v>
      </c>
      <c r="U119" s="1312">
        <f t="shared" si="65"/>
        <v>0</v>
      </c>
      <c r="V119" s="1312">
        <f>W118*((1+'Instrumentos Financeiros'!$H$43)^(1/12)-1)</f>
        <v>0</v>
      </c>
      <c r="W119" s="1312">
        <f t="shared" si="35"/>
        <v>0</v>
      </c>
      <c r="X119" s="1312">
        <f>IF(AND(C119&gt;$F$64,'Instrumentos Financeiros'!C119&lt;'Instrumentos Financeiros'!$F$64+'Instrumentos Financeiros'!$F$11+1),PMT(((1+'Instrumentos Financeiros'!$H$43)^(1/12)-1),$F$11,-$I$64),0)</f>
        <v>0</v>
      </c>
      <c r="Y119" s="1312">
        <f t="shared" si="66"/>
        <v>0</v>
      </c>
      <c r="Z119" s="1312">
        <f>AA118*((1+'Instrumentos Financeiros'!$H$43)^(1/12)-1)</f>
        <v>0</v>
      </c>
      <c r="AA119" s="1312">
        <f t="shared" si="36"/>
        <v>0</v>
      </c>
      <c r="AB119" s="1312">
        <f>IF(AND(C119&gt;$F$65,'Instrumentos Financeiros'!C119&lt;'Instrumentos Financeiros'!$F$65+'Instrumentos Financeiros'!$F$11+1),PMT(((1+'Instrumentos Financeiros'!$H$43)^(1/12)-1),$F$11,-$I$65),0)</f>
        <v>0</v>
      </c>
      <c r="AC119" s="1312">
        <f t="shared" si="67"/>
        <v>0</v>
      </c>
      <c r="AD119" s="1312">
        <f>AE118*((1+'Instrumentos Financeiros'!$H$43)^(1/12)-1)</f>
        <v>0</v>
      </c>
      <c r="AE119" s="1312">
        <f t="shared" si="37"/>
        <v>0</v>
      </c>
      <c r="AF119" s="1312">
        <f>IF(AND(C119&gt;$F$66,'Instrumentos Financeiros'!C119&lt;'Instrumentos Financeiros'!$F$66+'Instrumentos Financeiros'!$F$11+1),PMT(((1+'Instrumentos Financeiros'!$I$43)^(1/12)-1),$F$11,-$I$66),0)</f>
        <v>0</v>
      </c>
      <c r="AG119" s="1312">
        <f t="shared" si="68"/>
        <v>0</v>
      </c>
      <c r="AH119" s="1312">
        <f>AI118*((1+'Instrumentos Financeiros'!$I$43)^(1/12)-1)</f>
        <v>0</v>
      </c>
      <c r="AI119" s="1312">
        <f t="shared" si="38"/>
        <v>0</v>
      </c>
      <c r="AJ119" s="1312">
        <f>IF(AND(C119&gt;$F$67,'Instrumentos Financeiros'!C119&lt;'Instrumentos Financeiros'!$F$67+'Instrumentos Financeiros'!$F$11+1),PMT(((1+'Instrumentos Financeiros'!$I$43)^(1/12)-1),$F$11,-$I$67),0)</f>
        <v>0</v>
      </c>
      <c r="AK119" s="1312">
        <f t="shared" si="69"/>
        <v>0</v>
      </c>
      <c r="AL119" s="1312">
        <f>AM118*((1+'Instrumentos Financeiros'!$I$43)^(1/12)-1)</f>
        <v>0</v>
      </c>
      <c r="AM119" s="1312">
        <f t="shared" si="39"/>
        <v>0</v>
      </c>
      <c r="AN119" s="1312">
        <f>IF(AND(C119&gt;$F$68,'Instrumentos Financeiros'!C119&lt;'Instrumentos Financeiros'!$F$68+'Instrumentos Financeiros'!$F$11+1),PMT(((1+'Instrumentos Financeiros'!$I$43)^(1/12)-1),$F$11,-$I$68),0)</f>
        <v>0</v>
      </c>
      <c r="AO119" s="1312">
        <f t="shared" si="70"/>
        <v>0</v>
      </c>
      <c r="AP119" s="1312">
        <f>AQ118*((1+'Instrumentos Financeiros'!$I$43)^(1/12)-1)</f>
        <v>0</v>
      </c>
      <c r="AQ119" s="1312">
        <f t="shared" si="40"/>
        <v>0</v>
      </c>
      <c r="AR119" s="1312">
        <f>IF(AND(C119&gt;$F$69,'Instrumentos Financeiros'!C119&lt;'Instrumentos Financeiros'!$F$69+'Instrumentos Financeiros'!$F$11+1),PMT(((1+'Instrumentos Financeiros'!$I$43)^(1/12)-1),$F$11,-$I$69),0)</f>
        <v>0</v>
      </c>
      <c r="AS119" s="1312">
        <f t="shared" si="71"/>
        <v>0</v>
      </c>
      <c r="AT119" s="1312">
        <f>AU118*((1+'Instrumentos Financeiros'!$I$43)^(1/12)-1)</f>
        <v>0</v>
      </c>
      <c r="AU119" s="1312">
        <f t="shared" si="41"/>
        <v>0</v>
      </c>
      <c r="AV119" s="1312">
        <f>IF(AND(C119&gt;$F$70,'Instrumentos Financeiros'!C119&lt;'Instrumentos Financeiros'!$F$70+'Instrumentos Financeiros'!$F$11+1),PMT(((1+'Instrumentos Financeiros'!$J$43)^(1/12)-1),$F$11,-$I$70),0)</f>
        <v>0</v>
      </c>
      <c r="AW119" s="1312">
        <f t="shared" si="72"/>
        <v>0</v>
      </c>
      <c r="AX119" s="1312">
        <f>AY118*((1+'Instrumentos Financeiros'!$J$43)^(1/12)-1)</f>
        <v>0</v>
      </c>
      <c r="AY119" s="1312">
        <f t="shared" si="42"/>
        <v>0</v>
      </c>
      <c r="AZ119" s="1312">
        <f>IF(AND(C119&gt;$F$71,'Instrumentos Financeiros'!C119&lt;'Instrumentos Financeiros'!$F$71+'Instrumentos Financeiros'!$F$11+1),PMT(((1+'Instrumentos Financeiros'!$J$43)^(1/12)-1),$F$11,-$I$71),0)</f>
        <v>0</v>
      </c>
      <c r="BA119" s="1312">
        <f t="shared" si="73"/>
        <v>0</v>
      </c>
      <c r="BB119" s="1312">
        <f>BC118*((1+'Instrumentos Financeiros'!$J$43)^(1/12)-1)</f>
        <v>0</v>
      </c>
      <c r="BC119" s="1312">
        <f t="shared" si="43"/>
        <v>0</v>
      </c>
      <c r="BD119" s="1312">
        <f>IF(AND(C119&gt;$F$72,'Instrumentos Financeiros'!C119&lt;'Instrumentos Financeiros'!$F$72+'Instrumentos Financeiros'!$F$11+1),PMT(((1+'Instrumentos Financeiros'!$J$43)^(1/12)-1),$F$11,-'Instrumentos Financeiros'!$G$7*$G$72),0)</f>
        <v>0</v>
      </c>
      <c r="BE119" s="1312">
        <f t="shared" si="74"/>
        <v>0</v>
      </c>
      <c r="BF119" s="1312">
        <f>BG118*((1+'Instrumentos Financeiros'!$J$43)^(1/12)-1)</f>
        <v>0</v>
      </c>
      <c r="BG119" s="1312">
        <f t="shared" si="44"/>
        <v>0</v>
      </c>
      <c r="BH119" s="1312">
        <f>IF(AND(C119&gt;$F$73,'Instrumentos Financeiros'!C119&lt;'Instrumentos Financeiros'!$F$73+'Instrumentos Financeiros'!$F$11+1),PMT(((1+'Instrumentos Financeiros'!$J$43)^(1/12)-1),$F$11,-$I$73),0)</f>
        <v>0</v>
      </c>
      <c r="BI119" s="1312">
        <f t="shared" si="75"/>
        <v>0</v>
      </c>
      <c r="BJ119" s="1312">
        <f>BK118*((1+'Instrumentos Financeiros'!$J$43)^(1/12)-1)</f>
        <v>0</v>
      </c>
      <c r="BK119" s="1312">
        <f t="shared" si="45"/>
        <v>0</v>
      </c>
      <c r="BL119" s="1312">
        <f>IF(AND(C119&gt;$F$77,'Instrumentos Financeiros'!C119&lt;'Instrumentos Financeiros'!$F$77+'Instrumentos Financeiros'!$F$12+1),PMT(((1+'Instrumentos Financeiros'!$K$43)^(1/12)-1),$F$12,-$I$77),0)</f>
        <v>0</v>
      </c>
      <c r="BM119" s="1312">
        <f t="shared" si="46"/>
        <v>0</v>
      </c>
      <c r="BN119" s="1312">
        <f>BO118*((1+'Instrumentos Financeiros'!$K$43)^(1/12)-1)</f>
        <v>0</v>
      </c>
      <c r="BO119" s="1312">
        <f t="shared" si="47"/>
        <v>0</v>
      </c>
      <c r="BP119" s="1312">
        <f>IF(AND(C119&gt;$F$78,'Instrumentos Financeiros'!C119&lt;'Instrumentos Financeiros'!$F$78+'Instrumentos Financeiros'!$F$12+1),PMT(((1+'Instrumentos Financeiros'!$L$43)^(1/12)-1),$F$12,-$I$78),0)</f>
        <v>0</v>
      </c>
      <c r="BQ119" s="1312">
        <f t="shared" si="48"/>
        <v>0</v>
      </c>
      <c r="BR119" s="1312">
        <f>BS118*((1+'Instrumentos Financeiros'!$L$43)^(1/12)-1)</f>
        <v>0</v>
      </c>
      <c r="BS119" s="1312">
        <f t="shared" si="49"/>
        <v>0</v>
      </c>
      <c r="BT119" s="1312">
        <f>IF(AND(C119&gt;$F$79,'Instrumentos Financeiros'!C119&lt;'Instrumentos Financeiros'!$F$79+'Instrumentos Financeiros'!$F$12+1),PMT(((1+'Instrumentos Financeiros'!$L$43)^(1/12)-1),$F$12,-$I$79),0)</f>
        <v>0</v>
      </c>
      <c r="BU119" s="1312">
        <f t="shared" si="50"/>
        <v>0</v>
      </c>
      <c r="BV119" s="1312">
        <f>BW118*((1+'Instrumentos Financeiros'!$L$43)^(1/12)-1)</f>
        <v>0</v>
      </c>
      <c r="BW119" s="1312">
        <f t="shared" si="51"/>
        <v>0</v>
      </c>
      <c r="BX119" s="1312">
        <f>IF(AND(C119&gt;$F$80,'Instrumentos Financeiros'!C119&lt;'Instrumentos Financeiros'!$F$80+'Instrumentos Financeiros'!$F$12+1),PMT(((1+'Instrumentos Financeiros'!$L$43)^(1/12)-1),$F$12,-$I$80),0)</f>
        <v>0</v>
      </c>
      <c r="BY119" s="1312">
        <f t="shared" si="52"/>
        <v>0</v>
      </c>
      <c r="BZ119" s="1312">
        <f>CA118*((1+'Instrumentos Financeiros'!$L$43)^(1/12)-1)</f>
        <v>0</v>
      </c>
      <c r="CA119" s="1312">
        <f t="shared" si="53"/>
        <v>0</v>
      </c>
      <c r="CB119" s="1312">
        <f>IF(AND(C119&gt;$F$83,'Instrumentos Financeiros'!C119&lt;'Instrumentos Financeiros'!$F$83+'Instrumentos Financeiros'!$F$13+1),PMT(((1+'Instrumentos Financeiros'!$P$43)^(1/12)-1),$F$13,-$I$83),0)</f>
        <v>0</v>
      </c>
      <c r="CC119" s="1312">
        <f t="shared" si="54"/>
        <v>0</v>
      </c>
      <c r="CD119" s="1312">
        <f>CE118*((1+'Instrumentos Financeiros'!$P$43)^(1/12)-1)</f>
        <v>0</v>
      </c>
      <c r="CE119" s="1312">
        <f t="shared" si="55"/>
        <v>0</v>
      </c>
      <c r="CF119" s="1312">
        <f>IF(AND(C119&gt;$F$84,'Instrumentos Financeiros'!C119&lt;'Instrumentos Financeiros'!$F$84+'Instrumentos Financeiros'!$F$13+1),PMT(((1+'Instrumentos Financeiros'!$Q$43)^(1/12)-1),$F$13,-$I$84),0)</f>
        <v>0</v>
      </c>
      <c r="CG119" s="1312">
        <f t="shared" si="56"/>
        <v>0</v>
      </c>
      <c r="CH119" s="1312">
        <f>CI118*((1+'Instrumentos Financeiros'!$Q$43)^(1/12)-1)</f>
        <v>0</v>
      </c>
      <c r="CI119" s="1312">
        <f t="shared" si="57"/>
        <v>0</v>
      </c>
      <c r="CJ119" s="1312">
        <f>IF(AND(C119&gt;$F$85,'Instrumentos Financeiros'!C119&lt;'Instrumentos Financeiros'!$F$85+'Instrumentos Financeiros'!$F$13+1),PMT(((1+'Instrumentos Financeiros'!$Q$43)^(1/12)-1),$F$13,-$I$85),0)</f>
        <v>0</v>
      </c>
      <c r="CK119" s="1312">
        <f t="shared" si="58"/>
        <v>0</v>
      </c>
      <c r="CL119" s="1312">
        <f>CM118*((1+'Instrumentos Financeiros'!$Q$43)^(1/12)-1)</f>
        <v>0</v>
      </c>
      <c r="CM119" s="1312">
        <f t="shared" si="59"/>
        <v>0</v>
      </c>
      <c r="CN119" s="1312">
        <f>IF(AND(C119&gt;$F$86,'Instrumentos Financeiros'!C119&lt;'Instrumentos Financeiros'!$F$86+'Instrumentos Financeiros'!$F$13+1),PMT(((1+'Instrumentos Financeiros'!$Q$43)^(1/12)-1),$F$13,-$I$86),0)</f>
        <v>0</v>
      </c>
      <c r="CO119" s="1312">
        <f t="shared" si="60"/>
        <v>0</v>
      </c>
      <c r="CP119" s="1312">
        <f>CQ118*((1+'Instrumentos Financeiros'!$Q$43)^(1/12)-1)</f>
        <v>0</v>
      </c>
      <c r="CQ119" s="1312">
        <f t="shared" si="61"/>
        <v>0</v>
      </c>
      <c r="CR119" s="1312">
        <f t="shared" si="29"/>
        <v>0</v>
      </c>
      <c r="CS119" s="1312">
        <f t="shared" si="29"/>
        <v>0</v>
      </c>
      <c r="CT119" s="1312">
        <f t="shared" si="29"/>
        <v>0</v>
      </c>
      <c r="CU119" s="1312">
        <f t="shared" si="29"/>
        <v>0</v>
      </c>
    </row>
    <row r="120" spans="3:99" x14ac:dyDescent="0.35">
      <c r="C120" s="1315">
        <f t="shared" si="30"/>
        <v>27</v>
      </c>
      <c r="D120" s="1312">
        <f>IF(AND(C120&gt;$F$59,'Instrumentos Financeiros'!C120&lt;'Instrumentos Financeiros'!$F$59+'Instrumentos Financeiros'!$F$11+1),PMT(((1+'Instrumentos Financeiros'!$G$43)^(1/12)-1),$F$11,-$I$59),0)</f>
        <v>0</v>
      </c>
      <c r="E120" s="1312">
        <f t="shared" si="14"/>
        <v>0</v>
      </c>
      <c r="F120" s="1312">
        <f>G119*((1+'Instrumentos Financeiros'!$G$43)^(1/12)-1)</f>
        <v>0</v>
      </c>
      <c r="G120" s="1312">
        <f t="shared" si="31"/>
        <v>0</v>
      </c>
      <c r="H120" s="1312">
        <f>IF(AND(C120&gt;$F$60,'Instrumentos Financeiros'!C120&lt;'Instrumentos Financeiros'!$F$60+'Instrumentos Financeiros'!$F$11+1),PMT(((1+'Instrumentos Financeiros'!$G$43)^(1/12)-1),$F$11,-$I$60),0)</f>
        <v>0</v>
      </c>
      <c r="I120" s="1312">
        <f t="shared" si="62"/>
        <v>0</v>
      </c>
      <c r="J120" s="1312">
        <f>K119*((1+'Instrumentos Financeiros'!$G$43)^(1/12)-1)</f>
        <v>0</v>
      </c>
      <c r="K120" s="1312">
        <f t="shared" si="32"/>
        <v>0</v>
      </c>
      <c r="L120" s="1312">
        <f>IF(AND(C120&gt;$F$61,'Instrumentos Financeiros'!C120&lt;'Instrumentos Financeiros'!$F$61+'Instrumentos Financeiros'!$F$11+1),PMT(((1+'Instrumentos Financeiros'!$G$43)^(1/12)-1),$F$11,-$I$61),0)</f>
        <v>0</v>
      </c>
      <c r="M120" s="1312">
        <f t="shared" si="63"/>
        <v>0</v>
      </c>
      <c r="N120" s="1312">
        <f>O119*((1+'Instrumentos Financeiros'!$G$43)^(1/12)-1)</f>
        <v>0</v>
      </c>
      <c r="O120" s="1312">
        <f t="shared" si="33"/>
        <v>0</v>
      </c>
      <c r="P120" s="1312">
        <f>IF(AND(C120&gt;$F$62,'Instrumentos Financeiros'!C120&lt;'Instrumentos Financeiros'!$F$62+'Instrumentos Financeiros'!$F$11+1),PMT(((1+'Instrumentos Financeiros'!$H$43)^(1/12)-1),$F$11,-$I$62),0)</f>
        <v>0</v>
      </c>
      <c r="Q120" s="1312">
        <f t="shared" si="64"/>
        <v>0</v>
      </c>
      <c r="R120" s="1312">
        <f>S119*((1+'Instrumentos Financeiros'!$H$43)^(1/12)-1)</f>
        <v>0</v>
      </c>
      <c r="S120" s="1312">
        <f t="shared" si="34"/>
        <v>0</v>
      </c>
      <c r="T120" s="1312">
        <f>IF(AND(C120&gt;$F$63,'Instrumentos Financeiros'!C120&lt;'Instrumentos Financeiros'!$F$63+'Instrumentos Financeiros'!$F$11+1),PMT(((1+'Instrumentos Financeiros'!$H$43)^(1/12)-1),$F$11,-$I$63),0)</f>
        <v>0</v>
      </c>
      <c r="U120" s="1312">
        <f t="shared" si="65"/>
        <v>0</v>
      </c>
      <c r="V120" s="1312">
        <f>W119*((1+'Instrumentos Financeiros'!$H$43)^(1/12)-1)</f>
        <v>0</v>
      </c>
      <c r="W120" s="1312">
        <f t="shared" si="35"/>
        <v>0</v>
      </c>
      <c r="X120" s="1312">
        <f>IF(AND(C120&gt;$F$64,'Instrumentos Financeiros'!C120&lt;'Instrumentos Financeiros'!$F$64+'Instrumentos Financeiros'!$F$11+1),PMT(((1+'Instrumentos Financeiros'!$H$43)^(1/12)-1),$F$11,-$I$64),0)</f>
        <v>0</v>
      </c>
      <c r="Y120" s="1312">
        <f t="shared" si="66"/>
        <v>0</v>
      </c>
      <c r="Z120" s="1312">
        <f>AA119*((1+'Instrumentos Financeiros'!$H$43)^(1/12)-1)</f>
        <v>0</v>
      </c>
      <c r="AA120" s="1312">
        <f t="shared" si="36"/>
        <v>0</v>
      </c>
      <c r="AB120" s="1312">
        <f>IF(AND(C120&gt;$F$65,'Instrumentos Financeiros'!C120&lt;'Instrumentos Financeiros'!$F$65+'Instrumentos Financeiros'!$F$11+1),PMT(((1+'Instrumentos Financeiros'!$H$43)^(1/12)-1),$F$11,-$I$65),0)</f>
        <v>0</v>
      </c>
      <c r="AC120" s="1312">
        <f t="shared" si="67"/>
        <v>0</v>
      </c>
      <c r="AD120" s="1312">
        <f>AE119*((1+'Instrumentos Financeiros'!$H$43)^(1/12)-1)</f>
        <v>0</v>
      </c>
      <c r="AE120" s="1312">
        <f t="shared" si="37"/>
        <v>0</v>
      </c>
      <c r="AF120" s="1312">
        <f>IF(AND(C120&gt;$F$66,'Instrumentos Financeiros'!C120&lt;'Instrumentos Financeiros'!$F$66+'Instrumentos Financeiros'!$F$11+1),PMT(((1+'Instrumentos Financeiros'!$I$43)^(1/12)-1),$F$11,-$I$66),0)</f>
        <v>0</v>
      </c>
      <c r="AG120" s="1312">
        <f t="shared" si="68"/>
        <v>0</v>
      </c>
      <c r="AH120" s="1312">
        <f>AI119*((1+'Instrumentos Financeiros'!$I$43)^(1/12)-1)</f>
        <v>0</v>
      </c>
      <c r="AI120" s="1312">
        <f t="shared" si="38"/>
        <v>0</v>
      </c>
      <c r="AJ120" s="1312">
        <f>IF(AND(C120&gt;$F$67,'Instrumentos Financeiros'!C120&lt;'Instrumentos Financeiros'!$F$67+'Instrumentos Financeiros'!$F$11+1),PMT(((1+'Instrumentos Financeiros'!$I$43)^(1/12)-1),$F$11,-$I$67),0)</f>
        <v>0</v>
      </c>
      <c r="AK120" s="1312">
        <f t="shared" si="69"/>
        <v>0</v>
      </c>
      <c r="AL120" s="1312">
        <f>AM119*((1+'Instrumentos Financeiros'!$I$43)^(1/12)-1)</f>
        <v>0</v>
      </c>
      <c r="AM120" s="1312">
        <f t="shared" si="39"/>
        <v>0</v>
      </c>
      <c r="AN120" s="1312">
        <f>IF(AND(C120&gt;$F$68,'Instrumentos Financeiros'!C120&lt;'Instrumentos Financeiros'!$F$68+'Instrumentos Financeiros'!$F$11+1),PMT(((1+'Instrumentos Financeiros'!$I$43)^(1/12)-1),$F$11,-$I$68),0)</f>
        <v>0</v>
      </c>
      <c r="AO120" s="1312">
        <f t="shared" si="70"/>
        <v>0</v>
      </c>
      <c r="AP120" s="1312">
        <f>AQ119*((1+'Instrumentos Financeiros'!$I$43)^(1/12)-1)</f>
        <v>0</v>
      </c>
      <c r="AQ120" s="1312">
        <f t="shared" si="40"/>
        <v>0</v>
      </c>
      <c r="AR120" s="1312">
        <f>IF(AND(C120&gt;$F$69,'Instrumentos Financeiros'!C120&lt;'Instrumentos Financeiros'!$F$69+'Instrumentos Financeiros'!$F$11+1),PMT(((1+'Instrumentos Financeiros'!$I$43)^(1/12)-1),$F$11,-$I$69),0)</f>
        <v>0</v>
      </c>
      <c r="AS120" s="1312">
        <f t="shared" si="71"/>
        <v>0</v>
      </c>
      <c r="AT120" s="1312">
        <f>AU119*((1+'Instrumentos Financeiros'!$I$43)^(1/12)-1)</f>
        <v>0</v>
      </c>
      <c r="AU120" s="1312">
        <f t="shared" si="41"/>
        <v>0</v>
      </c>
      <c r="AV120" s="1312">
        <f>IF(AND(C120&gt;$F$70,'Instrumentos Financeiros'!C120&lt;'Instrumentos Financeiros'!$F$70+'Instrumentos Financeiros'!$F$11+1),PMT(((1+'Instrumentos Financeiros'!$J$43)^(1/12)-1),$F$11,-$I$70),0)</f>
        <v>0</v>
      </c>
      <c r="AW120" s="1312">
        <f t="shared" si="72"/>
        <v>0</v>
      </c>
      <c r="AX120" s="1312">
        <f>AY119*((1+'Instrumentos Financeiros'!$J$43)^(1/12)-1)</f>
        <v>0</v>
      </c>
      <c r="AY120" s="1312">
        <f t="shared" si="42"/>
        <v>0</v>
      </c>
      <c r="AZ120" s="1312">
        <f>IF(AND(C120&gt;$F$71,'Instrumentos Financeiros'!C120&lt;'Instrumentos Financeiros'!$F$71+'Instrumentos Financeiros'!$F$11+1),PMT(((1+'Instrumentos Financeiros'!$J$43)^(1/12)-1),$F$11,-$I$71),0)</f>
        <v>0</v>
      </c>
      <c r="BA120" s="1312">
        <f t="shared" si="73"/>
        <v>0</v>
      </c>
      <c r="BB120" s="1312">
        <f>BC119*((1+'Instrumentos Financeiros'!$J$43)^(1/12)-1)</f>
        <v>0</v>
      </c>
      <c r="BC120" s="1312">
        <f t="shared" si="43"/>
        <v>0</v>
      </c>
      <c r="BD120" s="1312">
        <f>IF(AND(C120&gt;$F$72,'Instrumentos Financeiros'!C120&lt;'Instrumentos Financeiros'!$F$72+'Instrumentos Financeiros'!$F$11+1),PMT(((1+'Instrumentos Financeiros'!$J$43)^(1/12)-1),$F$11,-'Instrumentos Financeiros'!$G$7*$G$72),0)</f>
        <v>0</v>
      </c>
      <c r="BE120" s="1312">
        <f t="shared" si="74"/>
        <v>0</v>
      </c>
      <c r="BF120" s="1312">
        <f>BG119*((1+'Instrumentos Financeiros'!$J$43)^(1/12)-1)</f>
        <v>0</v>
      </c>
      <c r="BG120" s="1312">
        <f t="shared" si="44"/>
        <v>0</v>
      </c>
      <c r="BH120" s="1312">
        <f>IF(AND(C120&gt;$F$73,'Instrumentos Financeiros'!C120&lt;'Instrumentos Financeiros'!$F$73+'Instrumentos Financeiros'!$F$11+1),PMT(((1+'Instrumentos Financeiros'!$J$43)^(1/12)-1),$F$11,-$I$73),0)</f>
        <v>0</v>
      </c>
      <c r="BI120" s="1312">
        <f t="shared" si="75"/>
        <v>0</v>
      </c>
      <c r="BJ120" s="1312">
        <f>BK119*((1+'Instrumentos Financeiros'!$J$43)^(1/12)-1)</f>
        <v>0</v>
      </c>
      <c r="BK120" s="1312">
        <f t="shared" si="45"/>
        <v>0</v>
      </c>
      <c r="BL120" s="1312">
        <f>IF(AND(C120&gt;$F$77,'Instrumentos Financeiros'!C120&lt;'Instrumentos Financeiros'!$F$77+'Instrumentos Financeiros'!$F$12+1),PMT(((1+'Instrumentos Financeiros'!$K$43)^(1/12)-1),$F$12,-$I$77),0)</f>
        <v>0</v>
      </c>
      <c r="BM120" s="1312">
        <f t="shared" si="46"/>
        <v>0</v>
      </c>
      <c r="BN120" s="1312">
        <f>BO119*((1+'Instrumentos Financeiros'!$K$43)^(1/12)-1)</f>
        <v>0</v>
      </c>
      <c r="BO120" s="1312">
        <f t="shared" si="47"/>
        <v>0</v>
      </c>
      <c r="BP120" s="1312">
        <f>IF(AND(C120&gt;$F$78,'Instrumentos Financeiros'!C120&lt;'Instrumentos Financeiros'!$F$78+'Instrumentos Financeiros'!$F$12+1),PMT(((1+'Instrumentos Financeiros'!$L$43)^(1/12)-1),$F$12,-$I$78),0)</f>
        <v>0</v>
      </c>
      <c r="BQ120" s="1312">
        <f t="shared" si="48"/>
        <v>0</v>
      </c>
      <c r="BR120" s="1312">
        <f>BS119*((1+'Instrumentos Financeiros'!$L$43)^(1/12)-1)</f>
        <v>0</v>
      </c>
      <c r="BS120" s="1312">
        <f t="shared" si="49"/>
        <v>0</v>
      </c>
      <c r="BT120" s="1312">
        <f>IF(AND(C120&gt;$F$79,'Instrumentos Financeiros'!C120&lt;'Instrumentos Financeiros'!$F$79+'Instrumentos Financeiros'!$F$12+1),PMT(((1+'Instrumentos Financeiros'!$L$43)^(1/12)-1),$F$12,-$I$79),0)</f>
        <v>0</v>
      </c>
      <c r="BU120" s="1312">
        <f t="shared" si="50"/>
        <v>0</v>
      </c>
      <c r="BV120" s="1312">
        <f>BW119*((1+'Instrumentos Financeiros'!$L$43)^(1/12)-1)</f>
        <v>0</v>
      </c>
      <c r="BW120" s="1312">
        <f t="shared" si="51"/>
        <v>0</v>
      </c>
      <c r="BX120" s="1312">
        <f>IF(AND(C120&gt;$F$80,'Instrumentos Financeiros'!C120&lt;'Instrumentos Financeiros'!$F$80+'Instrumentos Financeiros'!$F$12+1),PMT(((1+'Instrumentos Financeiros'!$L$43)^(1/12)-1),$F$12,-$I$80),0)</f>
        <v>0</v>
      </c>
      <c r="BY120" s="1312">
        <f t="shared" si="52"/>
        <v>0</v>
      </c>
      <c r="BZ120" s="1312">
        <f>CA119*((1+'Instrumentos Financeiros'!$L$43)^(1/12)-1)</f>
        <v>0</v>
      </c>
      <c r="CA120" s="1312">
        <f t="shared" si="53"/>
        <v>0</v>
      </c>
      <c r="CB120" s="1312">
        <f>IF(AND(C120&gt;$F$83,'Instrumentos Financeiros'!C120&lt;'Instrumentos Financeiros'!$F$83+'Instrumentos Financeiros'!$F$13+1),PMT(((1+'Instrumentos Financeiros'!$P$43)^(1/12)-1),$F$13,-$I$83),0)</f>
        <v>0</v>
      </c>
      <c r="CC120" s="1312">
        <f t="shared" si="54"/>
        <v>0</v>
      </c>
      <c r="CD120" s="1312">
        <f>CE119*((1+'Instrumentos Financeiros'!$P$43)^(1/12)-1)</f>
        <v>0</v>
      </c>
      <c r="CE120" s="1312">
        <f t="shared" si="55"/>
        <v>0</v>
      </c>
      <c r="CF120" s="1312">
        <f>IF(AND(C120&gt;$F$84,'Instrumentos Financeiros'!C120&lt;'Instrumentos Financeiros'!$F$84+'Instrumentos Financeiros'!$F$13+1),PMT(((1+'Instrumentos Financeiros'!$Q$43)^(1/12)-1),$F$13,-$I$84),0)</f>
        <v>0</v>
      </c>
      <c r="CG120" s="1312">
        <f t="shared" si="56"/>
        <v>0</v>
      </c>
      <c r="CH120" s="1312">
        <f>CI119*((1+'Instrumentos Financeiros'!$Q$43)^(1/12)-1)</f>
        <v>0</v>
      </c>
      <c r="CI120" s="1312">
        <f t="shared" si="57"/>
        <v>0</v>
      </c>
      <c r="CJ120" s="1312">
        <f>IF(AND(C120&gt;$F$85,'Instrumentos Financeiros'!C120&lt;'Instrumentos Financeiros'!$F$85+'Instrumentos Financeiros'!$F$13+1),PMT(((1+'Instrumentos Financeiros'!$Q$43)^(1/12)-1),$F$13,-$I$85),0)</f>
        <v>0</v>
      </c>
      <c r="CK120" s="1312">
        <f t="shared" si="58"/>
        <v>0</v>
      </c>
      <c r="CL120" s="1312">
        <f>CM119*((1+'Instrumentos Financeiros'!$Q$43)^(1/12)-1)</f>
        <v>0</v>
      </c>
      <c r="CM120" s="1312">
        <f t="shared" si="59"/>
        <v>0</v>
      </c>
      <c r="CN120" s="1312">
        <f>IF(AND(C120&gt;$F$86,'Instrumentos Financeiros'!C120&lt;'Instrumentos Financeiros'!$F$86+'Instrumentos Financeiros'!$F$13+1),PMT(((1+'Instrumentos Financeiros'!$Q$43)^(1/12)-1),$F$13,-$I$86),0)</f>
        <v>0</v>
      </c>
      <c r="CO120" s="1312">
        <f t="shared" si="60"/>
        <v>0</v>
      </c>
      <c r="CP120" s="1312">
        <f>CQ119*((1+'Instrumentos Financeiros'!$Q$43)^(1/12)-1)</f>
        <v>0</v>
      </c>
      <c r="CQ120" s="1312">
        <f t="shared" si="61"/>
        <v>0</v>
      </c>
      <c r="CR120" s="1312">
        <f t="shared" si="29"/>
        <v>0</v>
      </c>
      <c r="CS120" s="1312">
        <f t="shared" si="29"/>
        <v>0</v>
      </c>
      <c r="CT120" s="1312">
        <f t="shared" si="29"/>
        <v>0</v>
      </c>
      <c r="CU120" s="1312">
        <f t="shared" si="29"/>
        <v>0</v>
      </c>
    </row>
    <row r="121" spans="3:99" x14ac:dyDescent="0.35">
      <c r="C121" s="1315">
        <f t="shared" si="30"/>
        <v>28</v>
      </c>
      <c r="D121" s="1312">
        <f>IF(AND(C121&gt;$F$59,'Instrumentos Financeiros'!C121&lt;'Instrumentos Financeiros'!$F$59+'Instrumentos Financeiros'!$F$11+1),PMT(((1+'Instrumentos Financeiros'!$G$43)^(1/12)-1),$F$11,-$I$59),0)</f>
        <v>0</v>
      </c>
      <c r="E121" s="1312">
        <f t="shared" si="14"/>
        <v>0</v>
      </c>
      <c r="F121" s="1312">
        <f>G120*((1+'Instrumentos Financeiros'!$G$43)^(1/12)-1)</f>
        <v>0</v>
      </c>
      <c r="G121" s="1312">
        <f t="shared" si="31"/>
        <v>0</v>
      </c>
      <c r="H121" s="1312">
        <f>IF(AND(C121&gt;$F$60,'Instrumentos Financeiros'!C121&lt;'Instrumentos Financeiros'!$F$60+'Instrumentos Financeiros'!$F$11+1),PMT(((1+'Instrumentos Financeiros'!$G$43)^(1/12)-1),$F$11,-$I$60),0)</f>
        <v>0</v>
      </c>
      <c r="I121" s="1312">
        <f t="shared" si="62"/>
        <v>0</v>
      </c>
      <c r="J121" s="1312">
        <f>K120*((1+'Instrumentos Financeiros'!$G$43)^(1/12)-1)</f>
        <v>0</v>
      </c>
      <c r="K121" s="1312">
        <f t="shared" si="32"/>
        <v>0</v>
      </c>
      <c r="L121" s="1312">
        <f>IF(AND(C121&gt;$F$61,'Instrumentos Financeiros'!C121&lt;'Instrumentos Financeiros'!$F$61+'Instrumentos Financeiros'!$F$11+1),PMT(((1+'Instrumentos Financeiros'!$G$43)^(1/12)-1),$F$11,-$I$61),0)</f>
        <v>0</v>
      </c>
      <c r="M121" s="1312">
        <f t="shared" si="63"/>
        <v>0</v>
      </c>
      <c r="N121" s="1312">
        <f>O120*((1+'Instrumentos Financeiros'!$G$43)^(1/12)-1)</f>
        <v>0</v>
      </c>
      <c r="O121" s="1312">
        <f t="shared" si="33"/>
        <v>0</v>
      </c>
      <c r="P121" s="1312">
        <f>IF(AND(C121&gt;$F$62,'Instrumentos Financeiros'!C121&lt;'Instrumentos Financeiros'!$F$62+'Instrumentos Financeiros'!$F$11+1),PMT(((1+'Instrumentos Financeiros'!$H$43)^(1/12)-1),$F$11,-$I$62),0)</f>
        <v>0</v>
      </c>
      <c r="Q121" s="1312">
        <f t="shared" si="64"/>
        <v>0</v>
      </c>
      <c r="R121" s="1312">
        <f>S120*((1+'Instrumentos Financeiros'!$H$43)^(1/12)-1)</f>
        <v>0</v>
      </c>
      <c r="S121" s="1312">
        <f t="shared" si="34"/>
        <v>0</v>
      </c>
      <c r="T121" s="1312">
        <f>IF(AND(C121&gt;$F$63,'Instrumentos Financeiros'!C121&lt;'Instrumentos Financeiros'!$F$63+'Instrumentos Financeiros'!$F$11+1),PMT(((1+'Instrumentos Financeiros'!$H$43)^(1/12)-1),$F$11,-$I$63),0)</f>
        <v>0</v>
      </c>
      <c r="U121" s="1312">
        <f t="shared" si="65"/>
        <v>0</v>
      </c>
      <c r="V121" s="1312">
        <f>W120*((1+'Instrumentos Financeiros'!$H$43)^(1/12)-1)</f>
        <v>0</v>
      </c>
      <c r="W121" s="1312">
        <f t="shared" si="35"/>
        <v>0</v>
      </c>
      <c r="X121" s="1312">
        <f>IF(AND(C121&gt;$F$64,'Instrumentos Financeiros'!C121&lt;'Instrumentos Financeiros'!$F$64+'Instrumentos Financeiros'!$F$11+1),PMT(((1+'Instrumentos Financeiros'!$H$43)^(1/12)-1),$F$11,-$I$64),0)</f>
        <v>0</v>
      </c>
      <c r="Y121" s="1312">
        <f t="shared" si="66"/>
        <v>0</v>
      </c>
      <c r="Z121" s="1312">
        <f>AA120*((1+'Instrumentos Financeiros'!$H$43)^(1/12)-1)</f>
        <v>0</v>
      </c>
      <c r="AA121" s="1312">
        <f t="shared" si="36"/>
        <v>0</v>
      </c>
      <c r="AB121" s="1312">
        <f>IF(AND(C121&gt;$F$65,'Instrumentos Financeiros'!C121&lt;'Instrumentos Financeiros'!$F$65+'Instrumentos Financeiros'!$F$11+1),PMT(((1+'Instrumentos Financeiros'!$H$43)^(1/12)-1),$F$11,-$I$65),0)</f>
        <v>0</v>
      </c>
      <c r="AC121" s="1312">
        <f t="shared" si="67"/>
        <v>0</v>
      </c>
      <c r="AD121" s="1312">
        <f>AE120*((1+'Instrumentos Financeiros'!$H$43)^(1/12)-1)</f>
        <v>0</v>
      </c>
      <c r="AE121" s="1312">
        <f t="shared" si="37"/>
        <v>0</v>
      </c>
      <c r="AF121" s="1312">
        <f>IF(AND(C121&gt;$F$66,'Instrumentos Financeiros'!C121&lt;'Instrumentos Financeiros'!$F$66+'Instrumentos Financeiros'!$F$11+1),PMT(((1+'Instrumentos Financeiros'!$I$43)^(1/12)-1),$F$11,-$I$66),0)</f>
        <v>0</v>
      </c>
      <c r="AG121" s="1312">
        <f t="shared" si="68"/>
        <v>0</v>
      </c>
      <c r="AH121" s="1312">
        <f>AI120*((1+'Instrumentos Financeiros'!$I$43)^(1/12)-1)</f>
        <v>0</v>
      </c>
      <c r="AI121" s="1312">
        <f t="shared" si="38"/>
        <v>0</v>
      </c>
      <c r="AJ121" s="1312">
        <f>IF(AND(C121&gt;$F$67,'Instrumentos Financeiros'!C121&lt;'Instrumentos Financeiros'!$F$67+'Instrumentos Financeiros'!$F$11+1),PMT(((1+'Instrumentos Financeiros'!$I$43)^(1/12)-1),$F$11,-$I$67),0)</f>
        <v>0</v>
      </c>
      <c r="AK121" s="1312">
        <f t="shared" si="69"/>
        <v>0</v>
      </c>
      <c r="AL121" s="1312">
        <f>AM120*((1+'Instrumentos Financeiros'!$I$43)^(1/12)-1)</f>
        <v>0</v>
      </c>
      <c r="AM121" s="1312">
        <f t="shared" si="39"/>
        <v>0</v>
      </c>
      <c r="AN121" s="1312">
        <f>IF(AND(C121&gt;$F$68,'Instrumentos Financeiros'!C121&lt;'Instrumentos Financeiros'!$F$68+'Instrumentos Financeiros'!$F$11+1),PMT(((1+'Instrumentos Financeiros'!$I$43)^(1/12)-1),$F$11,-$I$68),0)</f>
        <v>0</v>
      </c>
      <c r="AO121" s="1312">
        <f t="shared" si="70"/>
        <v>0</v>
      </c>
      <c r="AP121" s="1312">
        <f>AQ120*((1+'Instrumentos Financeiros'!$I$43)^(1/12)-1)</f>
        <v>0</v>
      </c>
      <c r="AQ121" s="1312">
        <f t="shared" si="40"/>
        <v>0</v>
      </c>
      <c r="AR121" s="1312">
        <f>IF(AND(C121&gt;$F$69,'Instrumentos Financeiros'!C121&lt;'Instrumentos Financeiros'!$F$69+'Instrumentos Financeiros'!$F$11+1),PMT(((1+'Instrumentos Financeiros'!$I$43)^(1/12)-1),$F$11,-$I$69),0)</f>
        <v>0</v>
      </c>
      <c r="AS121" s="1312">
        <f t="shared" si="71"/>
        <v>0</v>
      </c>
      <c r="AT121" s="1312">
        <f>AU120*((1+'Instrumentos Financeiros'!$I$43)^(1/12)-1)</f>
        <v>0</v>
      </c>
      <c r="AU121" s="1312">
        <f t="shared" si="41"/>
        <v>0</v>
      </c>
      <c r="AV121" s="1312">
        <f>IF(AND(C121&gt;$F$70,'Instrumentos Financeiros'!C121&lt;'Instrumentos Financeiros'!$F$70+'Instrumentos Financeiros'!$F$11+1),PMT(((1+'Instrumentos Financeiros'!$J$43)^(1/12)-1),$F$11,-$I$70),0)</f>
        <v>0</v>
      </c>
      <c r="AW121" s="1312">
        <f t="shared" si="72"/>
        <v>0</v>
      </c>
      <c r="AX121" s="1312">
        <f>AY120*((1+'Instrumentos Financeiros'!$J$43)^(1/12)-1)</f>
        <v>0</v>
      </c>
      <c r="AY121" s="1312">
        <f t="shared" si="42"/>
        <v>0</v>
      </c>
      <c r="AZ121" s="1312">
        <f>IF(AND(C121&gt;$F$71,'Instrumentos Financeiros'!C121&lt;'Instrumentos Financeiros'!$F$71+'Instrumentos Financeiros'!$F$11+1),PMT(((1+'Instrumentos Financeiros'!$J$43)^(1/12)-1),$F$11,-$I$71),0)</f>
        <v>0</v>
      </c>
      <c r="BA121" s="1312">
        <f t="shared" si="73"/>
        <v>0</v>
      </c>
      <c r="BB121" s="1312">
        <f>BC120*((1+'Instrumentos Financeiros'!$J$43)^(1/12)-1)</f>
        <v>0</v>
      </c>
      <c r="BC121" s="1312">
        <f t="shared" si="43"/>
        <v>0</v>
      </c>
      <c r="BD121" s="1312">
        <f>IF(AND(C121&gt;$F$72,'Instrumentos Financeiros'!C121&lt;'Instrumentos Financeiros'!$F$72+'Instrumentos Financeiros'!$F$11+1),PMT(((1+'Instrumentos Financeiros'!$J$43)^(1/12)-1),$F$11,-'Instrumentos Financeiros'!$G$7*$G$72),0)</f>
        <v>0</v>
      </c>
      <c r="BE121" s="1312">
        <f t="shared" si="74"/>
        <v>0</v>
      </c>
      <c r="BF121" s="1312">
        <f>BG120*((1+'Instrumentos Financeiros'!$J$43)^(1/12)-1)</f>
        <v>0</v>
      </c>
      <c r="BG121" s="1312">
        <f t="shared" si="44"/>
        <v>0</v>
      </c>
      <c r="BH121" s="1312">
        <f>IF(AND(C121&gt;$F$73,'Instrumentos Financeiros'!C121&lt;'Instrumentos Financeiros'!$F$73+'Instrumentos Financeiros'!$F$11+1),PMT(((1+'Instrumentos Financeiros'!$J$43)^(1/12)-1),$F$11,-$I$73),0)</f>
        <v>0</v>
      </c>
      <c r="BI121" s="1312">
        <f t="shared" si="75"/>
        <v>0</v>
      </c>
      <c r="BJ121" s="1312">
        <f>BK120*((1+'Instrumentos Financeiros'!$J$43)^(1/12)-1)</f>
        <v>0</v>
      </c>
      <c r="BK121" s="1312">
        <f t="shared" si="45"/>
        <v>0</v>
      </c>
      <c r="BL121" s="1312">
        <f>IF(AND(C121&gt;$F$77,'Instrumentos Financeiros'!C121&lt;'Instrumentos Financeiros'!$F$77+'Instrumentos Financeiros'!$F$12+1),PMT(((1+'Instrumentos Financeiros'!$K$43)^(1/12)-1),$F$12,-$I$77),0)</f>
        <v>0</v>
      </c>
      <c r="BM121" s="1312">
        <f t="shared" si="46"/>
        <v>0</v>
      </c>
      <c r="BN121" s="1312">
        <f>BO120*((1+'Instrumentos Financeiros'!$K$43)^(1/12)-1)</f>
        <v>0</v>
      </c>
      <c r="BO121" s="1312">
        <f t="shared" si="47"/>
        <v>0</v>
      </c>
      <c r="BP121" s="1312">
        <f>IF(AND(C121&gt;$F$78,'Instrumentos Financeiros'!C121&lt;'Instrumentos Financeiros'!$F$78+'Instrumentos Financeiros'!$F$12+1),PMT(((1+'Instrumentos Financeiros'!$L$43)^(1/12)-1),$F$12,-$I$78),0)</f>
        <v>0</v>
      </c>
      <c r="BQ121" s="1312">
        <f t="shared" si="48"/>
        <v>0</v>
      </c>
      <c r="BR121" s="1312">
        <f>BS120*((1+'Instrumentos Financeiros'!$L$43)^(1/12)-1)</f>
        <v>0</v>
      </c>
      <c r="BS121" s="1312">
        <f t="shared" si="49"/>
        <v>0</v>
      </c>
      <c r="BT121" s="1312">
        <f>IF(AND(C121&gt;$F$79,'Instrumentos Financeiros'!C121&lt;'Instrumentos Financeiros'!$F$79+'Instrumentos Financeiros'!$F$12+1),PMT(((1+'Instrumentos Financeiros'!$L$43)^(1/12)-1),$F$12,-$I$79),0)</f>
        <v>0</v>
      </c>
      <c r="BU121" s="1312">
        <f t="shared" si="50"/>
        <v>0</v>
      </c>
      <c r="BV121" s="1312">
        <f>BW120*((1+'Instrumentos Financeiros'!$L$43)^(1/12)-1)</f>
        <v>0</v>
      </c>
      <c r="BW121" s="1312">
        <f t="shared" si="51"/>
        <v>0</v>
      </c>
      <c r="BX121" s="1312">
        <f>IF(AND(C121&gt;$F$80,'Instrumentos Financeiros'!C121&lt;'Instrumentos Financeiros'!$F$80+'Instrumentos Financeiros'!$F$12+1),PMT(((1+'Instrumentos Financeiros'!$L$43)^(1/12)-1),$F$12,-$I$80),0)</f>
        <v>0</v>
      </c>
      <c r="BY121" s="1312">
        <f t="shared" si="52"/>
        <v>0</v>
      </c>
      <c r="BZ121" s="1312">
        <f>CA120*((1+'Instrumentos Financeiros'!$L$43)^(1/12)-1)</f>
        <v>0</v>
      </c>
      <c r="CA121" s="1312">
        <f t="shared" si="53"/>
        <v>0</v>
      </c>
      <c r="CB121" s="1312">
        <f>IF(AND(C121&gt;$F$83,'Instrumentos Financeiros'!C121&lt;'Instrumentos Financeiros'!$F$83+'Instrumentos Financeiros'!$F$13+1),PMT(((1+'Instrumentos Financeiros'!$P$43)^(1/12)-1),$F$13,-$I$83),0)</f>
        <v>0</v>
      </c>
      <c r="CC121" s="1312">
        <f t="shared" si="54"/>
        <v>0</v>
      </c>
      <c r="CD121" s="1312">
        <f>CE120*((1+'Instrumentos Financeiros'!$P$43)^(1/12)-1)</f>
        <v>0</v>
      </c>
      <c r="CE121" s="1312">
        <f t="shared" si="55"/>
        <v>0</v>
      </c>
      <c r="CF121" s="1312">
        <f>IF(AND(C121&gt;$F$84,'Instrumentos Financeiros'!C121&lt;'Instrumentos Financeiros'!$F$84+'Instrumentos Financeiros'!$F$13+1),PMT(((1+'Instrumentos Financeiros'!$Q$43)^(1/12)-1),$F$13,-$I$84),0)</f>
        <v>0</v>
      </c>
      <c r="CG121" s="1312">
        <f t="shared" si="56"/>
        <v>0</v>
      </c>
      <c r="CH121" s="1312">
        <f>CI120*((1+'Instrumentos Financeiros'!$Q$43)^(1/12)-1)</f>
        <v>0</v>
      </c>
      <c r="CI121" s="1312">
        <f t="shared" si="57"/>
        <v>0</v>
      </c>
      <c r="CJ121" s="1312">
        <f>IF(AND(C121&gt;$F$85,'Instrumentos Financeiros'!C121&lt;'Instrumentos Financeiros'!$F$85+'Instrumentos Financeiros'!$F$13+1),PMT(((1+'Instrumentos Financeiros'!$Q$43)^(1/12)-1),$F$13,-$I$85),0)</f>
        <v>0</v>
      </c>
      <c r="CK121" s="1312">
        <f t="shared" si="58"/>
        <v>0</v>
      </c>
      <c r="CL121" s="1312">
        <f>CM120*((1+'Instrumentos Financeiros'!$Q$43)^(1/12)-1)</f>
        <v>0</v>
      </c>
      <c r="CM121" s="1312">
        <f t="shared" si="59"/>
        <v>0</v>
      </c>
      <c r="CN121" s="1312">
        <f>IF(AND(C121&gt;$F$86,'Instrumentos Financeiros'!C121&lt;'Instrumentos Financeiros'!$F$86+'Instrumentos Financeiros'!$F$13+1),PMT(((1+'Instrumentos Financeiros'!$Q$43)^(1/12)-1),$F$13,-$I$86),0)</f>
        <v>0</v>
      </c>
      <c r="CO121" s="1312">
        <f t="shared" si="60"/>
        <v>0</v>
      </c>
      <c r="CP121" s="1312">
        <f>CQ120*((1+'Instrumentos Financeiros'!$Q$43)^(1/12)-1)</f>
        <v>0</v>
      </c>
      <c r="CQ121" s="1312">
        <f t="shared" si="61"/>
        <v>0</v>
      </c>
      <c r="CR121" s="1312">
        <f t="shared" si="29"/>
        <v>0</v>
      </c>
      <c r="CS121" s="1312">
        <f t="shared" si="29"/>
        <v>0</v>
      </c>
      <c r="CT121" s="1312">
        <f t="shared" si="29"/>
        <v>0</v>
      </c>
      <c r="CU121" s="1312">
        <f t="shared" si="29"/>
        <v>0</v>
      </c>
    </row>
    <row r="122" spans="3:99" x14ac:dyDescent="0.35">
      <c r="C122" s="1315">
        <f t="shared" si="30"/>
        <v>29</v>
      </c>
      <c r="D122" s="1312">
        <f>IF(AND(C122&gt;$F$59,'Instrumentos Financeiros'!C122&lt;'Instrumentos Financeiros'!$F$59+'Instrumentos Financeiros'!$F$11+1),PMT(((1+'Instrumentos Financeiros'!$G$43)^(1/12)-1),$F$11,-$I$59),0)</f>
        <v>0</v>
      </c>
      <c r="E122" s="1312">
        <f t="shared" si="14"/>
        <v>0</v>
      </c>
      <c r="F122" s="1312">
        <f>G121*((1+'Instrumentos Financeiros'!$G$43)^(1/12)-1)</f>
        <v>0</v>
      </c>
      <c r="G122" s="1312">
        <f t="shared" si="31"/>
        <v>0</v>
      </c>
      <c r="H122" s="1312">
        <f>IF(AND(C122&gt;$F$60,'Instrumentos Financeiros'!C122&lt;'Instrumentos Financeiros'!$F$60+'Instrumentos Financeiros'!$F$11+1),PMT(((1+'Instrumentos Financeiros'!$G$43)^(1/12)-1),$F$11,-$I$60),0)</f>
        <v>0</v>
      </c>
      <c r="I122" s="1312">
        <f t="shared" si="62"/>
        <v>0</v>
      </c>
      <c r="J122" s="1312">
        <f>K121*((1+'Instrumentos Financeiros'!$G$43)^(1/12)-1)</f>
        <v>0</v>
      </c>
      <c r="K122" s="1312">
        <f t="shared" si="32"/>
        <v>0</v>
      </c>
      <c r="L122" s="1312">
        <f>IF(AND(C122&gt;$F$61,'Instrumentos Financeiros'!C122&lt;'Instrumentos Financeiros'!$F$61+'Instrumentos Financeiros'!$F$11+1),PMT(((1+'Instrumentos Financeiros'!$G$43)^(1/12)-1),$F$11,-$I$61),0)</f>
        <v>0</v>
      </c>
      <c r="M122" s="1312">
        <f t="shared" si="63"/>
        <v>0</v>
      </c>
      <c r="N122" s="1312">
        <f>O121*((1+'Instrumentos Financeiros'!$G$43)^(1/12)-1)</f>
        <v>0</v>
      </c>
      <c r="O122" s="1312">
        <f t="shared" si="33"/>
        <v>0</v>
      </c>
      <c r="P122" s="1312">
        <f>IF(AND(C122&gt;$F$62,'Instrumentos Financeiros'!C122&lt;'Instrumentos Financeiros'!$F$62+'Instrumentos Financeiros'!$F$11+1),PMT(((1+'Instrumentos Financeiros'!$H$43)^(1/12)-1),$F$11,-$I$62),0)</f>
        <v>0</v>
      </c>
      <c r="Q122" s="1312">
        <f t="shared" si="64"/>
        <v>0</v>
      </c>
      <c r="R122" s="1312">
        <f>S121*((1+'Instrumentos Financeiros'!$H$43)^(1/12)-1)</f>
        <v>0</v>
      </c>
      <c r="S122" s="1312">
        <f t="shared" si="34"/>
        <v>0</v>
      </c>
      <c r="T122" s="1312">
        <f>IF(AND(C122&gt;$F$63,'Instrumentos Financeiros'!C122&lt;'Instrumentos Financeiros'!$F$63+'Instrumentos Financeiros'!$F$11+1),PMT(((1+'Instrumentos Financeiros'!$H$43)^(1/12)-1),$F$11,-$I$63),0)</f>
        <v>0</v>
      </c>
      <c r="U122" s="1312">
        <f t="shared" si="65"/>
        <v>0</v>
      </c>
      <c r="V122" s="1312">
        <f>W121*((1+'Instrumentos Financeiros'!$H$43)^(1/12)-1)</f>
        <v>0</v>
      </c>
      <c r="W122" s="1312">
        <f t="shared" si="35"/>
        <v>0</v>
      </c>
      <c r="X122" s="1312">
        <f>IF(AND(C122&gt;$F$64,'Instrumentos Financeiros'!C122&lt;'Instrumentos Financeiros'!$F$64+'Instrumentos Financeiros'!$F$11+1),PMT(((1+'Instrumentos Financeiros'!$H$43)^(1/12)-1),$F$11,-$I$64),0)</f>
        <v>0</v>
      </c>
      <c r="Y122" s="1312">
        <f t="shared" si="66"/>
        <v>0</v>
      </c>
      <c r="Z122" s="1312">
        <f>AA121*((1+'Instrumentos Financeiros'!$H$43)^(1/12)-1)</f>
        <v>0</v>
      </c>
      <c r="AA122" s="1312">
        <f t="shared" si="36"/>
        <v>0</v>
      </c>
      <c r="AB122" s="1312">
        <f>IF(AND(C122&gt;$F$65,'Instrumentos Financeiros'!C122&lt;'Instrumentos Financeiros'!$F$65+'Instrumentos Financeiros'!$F$11+1),PMT(((1+'Instrumentos Financeiros'!$H$43)^(1/12)-1),$F$11,-$I$65),0)</f>
        <v>0</v>
      </c>
      <c r="AC122" s="1312">
        <f t="shared" si="67"/>
        <v>0</v>
      </c>
      <c r="AD122" s="1312">
        <f>AE121*((1+'Instrumentos Financeiros'!$H$43)^(1/12)-1)</f>
        <v>0</v>
      </c>
      <c r="AE122" s="1312">
        <f t="shared" si="37"/>
        <v>0</v>
      </c>
      <c r="AF122" s="1312">
        <f>IF(AND(C122&gt;$F$66,'Instrumentos Financeiros'!C122&lt;'Instrumentos Financeiros'!$F$66+'Instrumentos Financeiros'!$F$11+1),PMT(((1+'Instrumentos Financeiros'!$I$43)^(1/12)-1),$F$11,-$I$66),0)</f>
        <v>0</v>
      </c>
      <c r="AG122" s="1312">
        <f t="shared" si="68"/>
        <v>0</v>
      </c>
      <c r="AH122" s="1312">
        <f>AI121*((1+'Instrumentos Financeiros'!$I$43)^(1/12)-1)</f>
        <v>0</v>
      </c>
      <c r="AI122" s="1312">
        <f t="shared" si="38"/>
        <v>0</v>
      </c>
      <c r="AJ122" s="1312">
        <f>IF(AND(C122&gt;$F$67,'Instrumentos Financeiros'!C122&lt;'Instrumentos Financeiros'!$F$67+'Instrumentos Financeiros'!$F$11+1),PMT(((1+'Instrumentos Financeiros'!$I$43)^(1/12)-1),$F$11,-$I$67),0)</f>
        <v>0</v>
      </c>
      <c r="AK122" s="1312">
        <f t="shared" si="69"/>
        <v>0</v>
      </c>
      <c r="AL122" s="1312">
        <f>AM121*((1+'Instrumentos Financeiros'!$I$43)^(1/12)-1)</f>
        <v>0</v>
      </c>
      <c r="AM122" s="1312">
        <f t="shared" si="39"/>
        <v>0</v>
      </c>
      <c r="AN122" s="1312">
        <f>IF(AND(C122&gt;$F$68,'Instrumentos Financeiros'!C122&lt;'Instrumentos Financeiros'!$F$68+'Instrumentos Financeiros'!$F$11+1),PMT(((1+'Instrumentos Financeiros'!$I$43)^(1/12)-1),$F$11,-$I$68),0)</f>
        <v>0</v>
      </c>
      <c r="AO122" s="1312">
        <f t="shared" si="70"/>
        <v>0</v>
      </c>
      <c r="AP122" s="1312">
        <f>AQ121*((1+'Instrumentos Financeiros'!$I$43)^(1/12)-1)</f>
        <v>0</v>
      </c>
      <c r="AQ122" s="1312">
        <f t="shared" si="40"/>
        <v>0</v>
      </c>
      <c r="AR122" s="1312">
        <f>IF(AND(C122&gt;$F$69,'Instrumentos Financeiros'!C122&lt;'Instrumentos Financeiros'!$F$69+'Instrumentos Financeiros'!$F$11+1),PMT(((1+'Instrumentos Financeiros'!$I$43)^(1/12)-1),$F$11,-$I$69),0)</f>
        <v>0</v>
      </c>
      <c r="AS122" s="1312">
        <f t="shared" si="71"/>
        <v>0</v>
      </c>
      <c r="AT122" s="1312">
        <f>AU121*((1+'Instrumentos Financeiros'!$I$43)^(1/12)-1)</f>
        <v>0</v>
      </c>
      <c r="AU122" s="1312">
        <f t="shared" si="41"/>
        <v>0</v>
      </c>
      <c r="AV122" s="1312">
        <f>IF(AND(C122&gt;$F$70,'Instrumentos Financeiros'!C122&lt;'Instrumentos Financeiros'!$F$70+'Instrumentos Financeiros'!$F$11+1),PMT(((1+'Instrumentos Financeiros'!$J$43)^(1/12)-1),$F$11,-$I$70),0)</f>
        <v>0</v>
      </c>
      <c r="AW122" s="1312">
        <f t="shared" si="72"/>
        <v>0</v>
      </c>
      <c r="AX122" s="1312">
        <f>AY121*((1+'Instrumentos Financeiros'!$J$43)^(1/12)-1)</f>
        <v>0</v>
      </c>
      <c r="AY122" s="1312">
        <f t="shared" si="42"/>
        <v>0</v>
      </c>
      <c r="AZ122" s="1312">
        <f>IF(AND(C122&gt;$F$71,'Instrumentos Financeiros'!C122&lt;'Instrumentos Financeiros'!$F$71+'Instrumentos Financeiros'!$F$11+1),PMT(((1+'Instrumentos Financeiros'!$J$43)^(1/12)-1),$F$11,-$I$71),0)</f>
        <v>0</v>
      </c>
      <c r="BA122" s="1312">
        <f t="shared" si="73"/>
        <v>0</v>
      </c>
      <c r="BB122" s="1312">
        <f>BC121*((1+'Instrumentos Financeiros'!$J$43)^(1/12)-1)</f>
        <v>0</v>
      </c>
      <c r="BC122" s="1312">
        <f t="shared" si="43"/>
        <v>0</v>
      </c>
      <c r="BD122" s="1312">
        <f>IF(AND(C122&gt;$F$72,'Instrumentos Financeiros'!C122&lt;'Instrumentos Financeiros'!$F$72+'Instrumentos Financeiros'!$F$11+1),PMT(((1+'Instrumentos Financeiros'!$J$43)^(1/12)-1),$F$11,-'Instrumentos Financeiros'!$G$7*$G$72),0)</f>
        <v>0</v>
      </c>
      <c r="BE122" s="1312">
        <f t="shared" si="74"/>
        <v>0</v>
      </c>
      <c r="BF122" s="1312">
        <f>BG121*((1+'Instrumentos Financeiros'!$J$43)^(1/12)-1)</f>
        <v>0</v>
      </c>
      <c r="BG122" s="1312">
        <f t="shared" si="44"/>
        <v>0</v>
      </c>
      <c r="BH122" s="1312">
        <f>IF(AND(C122&gt;$F$73,'Instrumentos Financeiros'!C122&lt;'Instrumentos Financeiros'!$F$73+'Instrumentos Financeiros'!$F$11+1),PMT(((1+'Instrumentos Financeiros'!$J$43)^(1/12)-1),$F$11,-$I$73),0)</f>
        <v>0</v>
      </c>
      <c r="BI122" s="1312">
        <f t="shared" si="75"/>
        <v>0</v>
      </c>
      <c r="BJ122" s="1312">
        <f>BK121*((1+'Instrumentos Financeiros'!$J$43)^(1/12)-1)</f>
        <v>0</v>
      </c>
      <c r="BK122" s="1312">
        <f t="shared" si="45"/>
        <v>0</v>
      </c>
      <c r="BL122" s="1312">
        <f>IF(AND(C122&gt;$F$77,'Instrumentos Financeiros'!C122&lt;'Instrumentos Financeiros'!$F$77+'Instrumentos Financeiros'!$F$12+1),PMT(((1+'Instrumentos Financeiros'!$K$43)^(1/12)-1),$F$12,-$I$77),0)</f>
        <v>0</v>
      </c>
      <c r="BM122" s="1312">
        <f t="shared" si="46"/>
        <v>0</v>
      </c>
      <c r="BN122" s="1312">
        <f>BO121*((1+'Instrumentos Financeiros'!$K$43)^(1/12)-1)</f>
        <v>0</v>
      </c>
      <c r="BO122" s="1312">
        <f t="shared" si="47"/>
        <v>0</v>
      </c>
      <c r="BP122" s="1312">
        <f>IF(AND(C122&gt;$F$78,'Instrumentos Financeiros'!C122&lt;'Instrumentos Financeiros'!$F$78+'Instrumentos Financeiros'!$F$12+1),PMT(((1+'Instrumentos Financeiros'!$L$43)^(1/12)-1),$F$12,-$I$78),0)</f>
        <v>0</v>
      </c>
      <c r="BQ122" s="1312">
        <f t="shared" si="48"/>
        <v>0</v>
      </c>
      <c r="BR122" s="1312">
        <f>BS121*((1+'Instrumentos Financeiros'!$L$43)^(1/12)-1)</f>
        <v>0</v>
      </c>
      <c r="BS122" s="1312">
        <f t="shared" si="49"/>
        <v>0</v>
      </c>
      <c r="BT122" s="1312">
        <f>IF(AND(C122&gt;$F$79,'Instrumentos Financeiros'!C122&lt;'Instrumentos Financeiros'!$F$79+'Instrumentos Financeiros'!$F$12+1),PMT(((1+'Instrumentos Financeiros'!$L$43)^(1/12)-1),$F$12,-$I$79),0)</f>
        <v>0</v>
      </c>
      <c r="BU122" s="1312">
        <f t="shared" si="50"/>
        <v>0</v>
      </c>
      <c r="BV122" s="1312">
        <f>BW121*((1+'Instrumentos Financeiros'!$L$43)^(1/12)-1)</f>
        <v>0</v>
      </c>
      <c r="BW122" s="1312">
        <f t="shared" si="51"/>
        <v>0</v>
      </c>
      <c r="BX122" s="1312">
        <f>IF(AND(C122&gt;$F$80,'Instrumentos Financeiros'!C122&lt;'Instrumentos Financeiros'!$F$80+'Instrumentos Financeiros'!$F$12+1),PMT(((1+'Instrumentos Financeiros'!$L$43)^(1/12)-1),$F$12,-$I$80),0)</f>
        <v>0</v>
      </c>
      <c r="BY122" s="1312">
        <f t="shared" si="52"/>
        <v>0</v>
      </c>
      <c r="BZ122" s="1312">
        <f>CA121*((1+'Instrumentos Financeiros'!$L$43)^(1/12)-1)</f>
        <v>0</v>
      </c>
      <c r="CA122" s="1312">
        <f t="shared" si="53"/>
        <v>0</v>
      </c>
      <c r="CB122" s="1312">
        <f>IF(AND(C122&gt;$F$83,'Instrumentos Financeiros'!C122&lt;'Instrumentos Financeiros'!$F$83+'Instrumentos Financeiros'!$F$13+1),PMT(((1+'Instrumentos Financeiros'!$P$43)^(1/12)-1),$F$13,-$I$83),0)</f>
        <v>0</v>
      </c>
      <c r="CC122" s="1312">
        <f t="shared" si="54"/>
        <v>0</v>
      </c>
      <c r="CD122" s="1312">
        <f>CE121*((1+'Instrumentos Financeiros'!$P$43)^(1/12)-1)</f>
        <v>0</v>
      </c>
      <c r="CE122" s="1312">
        <f t="shared" si="55"/>
        <v>0</v>
      </c>
      <c r="CF122" s="1312">
        <f>IF(AND(C122&gt;$F$84,'Instrumentos Financeiros'!C122&lt;'Instrumentos Financeiros'!$F$84+'Instrumentos Financeiros'!$F$13+1),PMT(((1+'Instrumentos Financeiros'!$Q$43)^(1/12)-1),$F$13,-$I$84),0)</f>
        <v>0</v>
      </c>
      <c r="CG122" s="1312">
        <f t="shared" si="56"/>
        <v>0</v>
      </c>
      <c r="CH122" s="1312">
        <f>CI121*((1+'Instrumentos Financeiros'!$Q$43)^(1/12)-1)</f>
        <v>0</v>
      </c>
      <c r="CI122" s="1312">
        <f t="shared" si="57"/>
        <v>0</v>
      </c>
      <c r="CJ122" s="1312">
        <f>IF(AND(C122&gt;$F$85,'Instrumentos Financeiros'!C122&lt;'Instrumentos Financeiros'!$F$85+'Instrumentos Financeiros'!$F$13+1),PMT(((1+'Instrumentos Financeiros'!$Q$43)^(1/12)-1),$F$13,-$I$85),0)</f>
        <v>0</v>
      </c>
      <c r="CK122" s="1312">
        <f t="shared" si="58"/>
        <v>0</v>
      </c>
      <c r="CL122" s="1312">
        <f>CM121*((1+'Instrumentos Financeiros'!$Q$43)^(1/12)-1)</f>
        <v>0</v>
      </c>
      <c r="CM122" s="1312">
        <f t="shared" si="59"/>
        <v>0</v>
      </c>
      <c r="CN122" s="1312">
        <f>IF(AND(C122&gt;$F$86,'Instrumentos Financeiros'!C122&lt;'Instrumentos Financeiros'!$F$86+'Instrumentos Financeiros'!$F$13+1),PMT(((1+'Instrumentos Financeiros'!$Q$43)^(1/12)-1),$F$13,-$I$86),0)</f>
        <v>0</v>
      </c>
      <c r="CO122" s="1312">
        <f t="shared" si="60"/>
        <v>0</v>
      </c>
      <c r="CP122" s="1312">
        <f>CQ121*((1+'Instrumentos Financeiros'!$Q$43)^(1/12)-1)</f>
        <v>0</v>
      </c>
      <c r="CQ122" s="1312">
        <f t="shared" si="61"/>
        <v>0</v>
      </c>
      <c r="CR122" s="1312">
        <f t="shared" si="29"/>
        <v>0</v>
      </c>
      <c r="CS122" s="1312">
        <f t="shared" si="29"/>
        <v>0</v>
      </c>
      <c r="CT122" s="1312">
        <f t="shared" si="29"/>
        <v>0</v>
      </c>
      <c r="CU122" s="1312">
        <f t="shared" si="29"/>
        <v>0</v>
      </c>
    </row>
    <row r="123" spans="3:99" x14ac:dyDescent="0.35">
      <c r="C123" s="1315">
        <f t="shared" si="30"/>
        <v>30</v>
      </c>
      <c r="D123" s="1312">
        <f>IF(AND(C123&gt;$F$59,'Instrumentos Financeiros'!C123&lt;'Instrumentos Financeiros'!$F$59+'Instrumentos Financeiros'!$F$11+1),PMT(((1+'Instrumentos Financeiros'!$G$43)^(1/12)-1),$F$11,-$I$59),0)</f>
        <v>0</v>
      </c>
      <c r="E123" s="1312">
        <f t="shared" si="14"/>
        <v>0</v>
      </c>
      <c r="F123" s="1312">
        <f>G122*((1+'Instrumentos Financeiros'!$G$43)^(1/12)-1)</f>
        <v>0</v>
      </c>
      <c r="G123" s="1312">
        <f t="shared" si="31"/>
        <v>0</v>
      </c>
      <c r="H123" s="1312">
        <f>IF(AND(C123&gt;$F$60,'Instrumentos Financeiros'!C123&lt;'Instrumentos Financeiros'!$F$60+'Instrumentos Financeiros'!$F$11+1),PMT(((1+'Instrumentos Financeiros'!$G$43)^(1/12)-1),$F$11,-$I$60),0)</f>
        <v>0</v>
      </c>
      <c r="I123" s="1312">
        <f t="shared" si="62"/>
        <v>0</v>
      </c>
      <c r="J123" s="1312">
        <f>K122*((1+'Instrumentos Financeiros'!$G$43)^(1/12)-1)</f>
        <v>0</v>
      </c>
      <c r="K123" s="1312">
        <f t="shared" si="32"/>
        <v>0</v>
      </c>
      <c r="L123" s="1312">
        <f>IF(AND(C123&gt;$F$61,'Instrumentos Financeiros'!C123&lt;'Instrumentos Financeiros'!$F$61+'Instrumentos Financeiros'!$F$11+1),PMT(((1+'Instrumentos Financeiros'!$G$43)^(1/12)-1),$F$11,-$I$61),0)</f>
        <v>0</v>
      </c>
      <c r="M123" s="1312">
        <f t="shared" si="63"/>
        <v>0</v>
      </c>
      <c r="N123" s="1312">
        <f>O122*((1+'Instrumentos Financeiros'!$G$43)^(1/12)-1)</f>
        <v>0</v>
      </c>
      <c r="O123" s="1312">
        <f t="shared" si="33"/>
        <v>0</v>
      </c>
      <c r="P123" s="1312">
        <f>IF(AND(C123&gt;$F$62,'Instrumentos Financeiros'!C123&lt;'Instrumentos Financeiros'!$F$62+'Instrumentos Financeiros'!$F$11+1),PMT(((1+'Instrumentos Financeiros'!$H$43)^(1/12)-1),$F$11,-$I$62),0)</f>
        <v>0</v>
      </c>
      <c r="Q123" s="1312">
        <f t="shared" si="64"/>
        <v>0</v>
      </c>
      <c r="R123" s="1312">
        <f>S122*((1+'Instrumentos Financeiros'!$H$43)^(1/12)-1)</f>
        <v>0</v>
      </c>
      <c r="S123" s="1312">
        <f t="shared" si="34"/>
        <v>0</v>
      </c>
      <c r="T123" s="1312">
        <f>IF(AND(C123&gt;$F$63,'Instrumentos Financeiros'!C123&lt;'Instrumentos Financeiros'!$F$63+'Instrumentos Financeiros'!$F$11+1),PMT(((1+'Instrumentos Financeiros'!$H$43)^(1/12)-1),$F$11,-$I$63),0)</f>
        <v>0</v>
      </c>
      <c r="U123" s="1312">
        <f t="shared" si="65"/>
        <v>0</v>
      </c>
      <c r="V123" s="1312">
        <f>W122*((1+'Instrumentos Financeiros'!$H$43)^(1/12)-1)</f>
        <v>0</v>
      </c>
      <c r="W123" s="1312">
        <f t="shared" si="35"/>
        <v>0</v>
      </c>
      <c r="X123" s="1312">
        <f>IF(AND(C123&gt;$F$64,'Instrumentos Financeiros'!C123&lt;'Instrumentos Financeiros'!$F$64+'Instrumentos Financeiros'!$F$11+1),PMT(((1+'Instrumentos Financeiros'!$H$43)^(1/12)-1),$F$11,-$I$64),0)</f>
        <v>0</v>
      </c>
      <c r="Y123" s="1312">
        <f t="shared" si="66"/>
        <v>0</v>
      </c>
      <c r="Z123" s="1312">
        <f>AA122*((1+'Instrumentos Financeiros'!$H$43)^(1/12)-1)</f>
        <v>0</v>
      </c>
      <c r="AA123" s="1312">
        <f t="shared" si="36"/>
        <v>0</v>
      </c>
      <c r="AB123" s="1312">
        <f>IF(AND(C123&gt;$F$65,'Instrumentos Financeiros'!C123&lt;'Instrumentos Financeiros'!$F$65+'Instrumentos Financeiros'!$F$11+1),PMT(((1+'Instrumentos Financeiros'!$H$43)^(1/12)-1),$F$11,-$I$65),0)</f>
        <v>0</v>
      </c>
      <c r="AC123" s="1312">
        <f t="shared" si="67"/>
        <v>0</v>
      </c>
      <c r="AD123" s="1312">
        <f>AE122*((1+'Instrumentos Financeiros'!$H$43)^(1/12)-1)</f>
        <v>0</v>
      </c>
      <c r="AE123" s="1312">
        <f t="shared" si="37"/>
        <v>0</v>
      </c>
      <c r="AF123" s="1312">
        <f>IF(AND(C123&gt;$F$66,'Instrumentos Financeiros'!C123&lt;'Instrumentos Financeiros'!$F$66+'Instrumentos Financeiros'!$F$11+1),PMT(((1+'Instrumentos Financeiros'!$I$43)^(1/12)-1),$F$11,-$I$66),0)</f>
        <v>0</v>
      </c>
      <c r="AG123" s="1312">
        <f t="shared" si="68"/>
        <v>0</v>
      </c>
      <c r="AH123" s="1312">
        <f>AI122*((1+'Instrumentos Financeiros'!$I$43)^(1/12)-1)</f>
        <v>0</v>
      </c>
      <c r="AI123" s="1312">
        <f t="shared" si="38"/>
        <v>0</v>
      </c>
      <c r="AJ123" s="1312">
        <f>IF(AND(C123&gt;$F$67,'Instrumentos Financeiros'!C123&lt;'Instrumentos Financeiros'!$F$67+'Instrumentos Financeiros'!$F$11+1),PMT(((1+'Instrumentos Financeiros'!$I$43)^(1/12)-1),$F$11,-$I$67),0)</f>
        <v>0</v>
      </c>
      <c r="AK123" s="1312">
        <f t="shared" si="69"/>
        <v>0</v>
      </c>
      <c r="AL123" s="1312">
        <f>AM122*((1+'Instrumentos Financeiros'!$I$43)^(1/12)-1)</f>
        <v>0</v>
      </c>
      <c r="AM123" s="1312">
        <f t="shared" si="39"/>
        <v>0</v>
      </c>
      <c r="AN123" s="1312">
        <f>IF(AND(C123&gt;$F$68,'Instrumentos Financeiros'!C123&lt;'Instrumentos Financeiros'!$F$68+'Instrumentos Financeiros'!$F$11+1),PMT(((1+'Instrumentos Financeiros'!$I$43)^(1/12)-1),$F$11,-$I$68),0)</f>
        <v>0</v>
      </c>
      <c r="AO123" s="1312">
        <f t="shared" si="70"/>
        <v>0</v>
      </c>
      <c r="AP123" s="1312">
        <f>AQ122*((1+'Instrumentos Financeiros'!$I$43)^(1/12)-1)</f>
        <v>0</v>
      </c>
      <c r="AQ123" s="1312">
        <f t="shared" si="40"/>
        <v>0</v>
      </c>
      <c r="AR123" s="1312">
        <f>IF(AND(C123&gt;$F$69,'Instrumentos Financeiros'!C123&lt;'Instrumentos Financeiros'!$F$69+'Instrumentos Financeiros'!$F$11+1),PMT(((1+'Instrumentos Financeiros'!$I$43)^(1/12)-1),$F$11,-$I$69),0)</f>
        <v>0</v>
      </c>
      <c r="AS123" s="1312">
        <f t="shared" si="71"/>
        <v>0</v>
      </c>
      <c r="AT123" s="1312">
        <f>AU122*((1+'Instrumentos Financeiros'!$I$43)^(1/12)-1)</f>
        <v>0</v>
      </c>
      <c r="AU123" s="1312">
        <f t="shared" si="41"/>
        <v>0</v>
      </c>
      <c r="AV123" s="1312">
        <f>IF(AND(C123&gt;$F$70,'Instrumentos Financeiros'!C123&lt;'Instrumentos Financeiros'!$F$70+'Instrumentos Financeiros'!$F$11+1),PMT(((1+'Instrumentos Financeiros'!$J$43)^(1/12)-1),$F$11,-$I$70),0)</f>
        <v>0</v>
      </c>
      <c r="AW123" s="1312">
        <f t="shared" si="72"/>
        <v>0</v>
      </c>
      <c r="AX123" s="1312">
        <f>AY122*((1+'Instrumentos Financeiros'!$J$43)^(1/12)-1)</f>
        <v>0</v>
      </c>
      <c r="AY123" s="1312">
        <f t="shared" si="42"/>
        <v>0</v>
      </c>
      <c r="AZ123" s="1312">
        <f>IF(AND(C123&gt;$F$71,'Instrumentos Financeiros'!C123&lt;'Instrumentos Financeiros'!$F$71+'Instrumentos Financeiros'!$F$11+1),PMT(((1+'Instrumentos Financeiros'!$J$43)^(1/12)-1),$F$11,-$I$71),0)</f>
        <v>0</v>
      </c>
      <c r="BA123" s="1312">
        <f t="shared" si="73"/>
        <v>0</v>
      </c>
      <c r="BB123" s="1312">
        <f>BC122*((1+'Instrumentos Financeiros'!$J$43)^(1/12)-1)</f>
        <v>0</v>
      </c>
      <c r="BC123" s="1312">
        <f t="shared" si="43"/>
        <v>0</v>
      </c>
      <c r="BD123" s="1312">
        <f>IF(AND(C123&gt;$F$72,'Instrumentos Financeiros'!C123&lt;'Instrumentos Financeiros'!$F$72+'Instrumentos Financeiros'!$F$11+1),PMT(((1+'Instrumentos Financeiros'!$J$43)^(1/12)-1),$F$11,-'Instrumentos Financeiros'!$G$7*$G$72),0)</f>
        <v>0</v>
      </c>
      <c r="BE123" s="1312">
        <f t="shared" si="74"/>
        <v>0</v>
      </c>
      <c r="BF123" s="1312">
        <f>BG122*((1+'Instrumentos Financeiros'!$J$43)^(1/12)-1)</f>
        <v>0</v>
      </c>
      <c r="BG123" s="1312">
        <f t="shared" si="44"/>
        <v>0</v>
      </c>
      <c r="BH123" s="1312">
        <f>IF(AND(C123&gt;$F$73,'Instrumentos Financeiros'!C123&lt;'Instrumentos Financeiros'!$F$73+'Instrumentos Financeiros'!$F$11+1),PMT(((1+'Instrumentos Financeiros'!$J$43)^(1/12)-1),$F$11,-$I$73),0)</f>
        <v>0</v>
      </c>
      <c r="BI123" s="1312">
        <f t="shared" si="75"/>
        <v>0</v>
      </c>
      <c r="BJ123" s="1312">
        <f>BK122*((1+'Instrumentos Financeiros'!$J$43)^(1/12)-1)</f>
        <v>0</v>
      </c>
      <c r="BK123" s="1312">
        <f t="shared" si="45"/>
        <v>0</v>
      </c>
      <c r="BL123" s="1312">
        <f>IF(AND(C123&gt;$F$77,'Instrumentos Financeiros'!C123&lt;'Instrumentos Financeiros'!$F$77+'Instrumentos Financeiros'!$F$12+1),PMT(((1+'Instrumentos Financeiros'!$K$43)^(1/12)-1),$F$12,-$I$77),0)</f>
        <v>0</v>
      </c>
      <c r="BM123" s="1312">
        <f t="shared" si="46"/>
        <v>0</v>
      </c>
      <c r="BN123" s="1312">
        <f>BO122*((1+'Instrumentos Financeiros'!$K$43)^(1/12)-1)</f>
        <v>0</v>
      </c>
      <c r="BO123" s="1312">
        <f t="shared" si="47"/>
        <v>0</v>
      </c>
      <c r="BP123" s="1312">
        <f>IF(AND(C123&gt;$F$78,'Instrumentos Financeiros'!C123&lt;'Instrumentos Financeiros'!$F$78+'Instrumentos Financeiros'!$F$12+1),PMT(((1+'Instrumentos Financeiros'!$L$43)^(1/12)-1),$F$12,-$I$78),0)</f>
        <v>0</v>
      </c>
      <c r="BQ123" s="1312">
        <f t="shared" si="48"/>
        <v>0</v>
      </c>
      <c r="BR123" s="1312">
        <f>BS122*((1+'Instrumentos Financeiros'!$L$43)^(1/12)-1)</f>
        <v>0</v>
      </c>
      <c r="BS123" s="1312">
        <f t="shared" si="49"/>
        <v>0</v>
      </c>
      <c r="BT123" s="1312">
        <f>IF(AND(C123&gt;$F$79,'Instrumentos Financeiros'!C123&lt;'Instrumentos Financeiros'!$F$79+'Instrumentos Financeiros'!$F$12+1),PMT(((1+'Instrumentos Financeiros'!$L$43)^(1/12)-1),$F$12,-$I$79),0)</f>
        <v>0</v>
      </c>
      <c r="BU123" s="1312">
        <f t="shared" si="50"/>
        <v>0</v>
      </c>
      <c r="BV123" s="1312">
        <f>BW122*((1+'Instrumentos Financeiros'!$L$43)^(1/12)-1)</f>
        <v>0</v>
      </c>
      <c r="BW123" s="1312">
        <f t="shared" si="51"/>
        <v>0</v>
      </c>
      <c r="BX123" s="1312">
        <f>IF(AND(C123&gt;$F$80,'Instrumentos Financeiros'!C123&lt;'Instrumentos Financeiros'!$F$80+'Instrumentos Financeiros'!$F$12+1),PMT(((1+'Instrumentos Financeiros'!$L$43)^(1/12)-1),$F$12,-$I$80),0)</f>
        <v>0</v>
      </c>
      <c r="BY123" s="1312">
        <f t="shared" si="52"/>
        <v>0</v>
      </c>
      <c r="BZ123" s="1312">
        <f>CA122*((1+'Instrumentos Financeiros'!$L$43)^(1/12)-1)</f>
        <v>0</v>
      </c>
      <c r="CA123" s="1312">
        <f t="shared" si="53"/>
        <v>0</v>
      </c>
      <c r="CB123" s="1312">
        <f>IF(AND(C123&gt;$F$83,'Instrumentos Financeiros'!C123&lt;'Instrumentos Financeiros'!$F$83+'Instrumentos Financeiros'!$F$13+1),PMT(((1+'Instrumentos Financeiros'!$P$43)^(1/12)-1),$F$13,-$I$83),0)</f>
        <v>0</v>
      </c>
      <c r="CC123" s="1312">
        <f t="shared" si="54"/>
        <v>0</v>
      </c>
      <c r="CD123" s="1312">
        <f>CE122*((1+'Instrumentos Financeiros'!$P$43)^(1/12)-1)</f>
        <v>0</v>
      </c>
      <c r="CE123" s="1312">
        <f t="shared" si="55"/>
        <v>0</v>
      </c>
      <c r="CF123" s="1312">
        <f>IF(AND(C123&gt;$F$84,'Instrumentos Financeiros'!C123&lt;'Instrumentos Financeiros'!$F$84+'Instrumentos Financeiros'!$F$13+1),PMT(((1+'Instrumentos Financeiros'!$Q$43)^(1/12)-1),$F$13,-$I$84),0)</f>
        <v>0</v>
      </c>
      <c r="CG123" s="1312">
        <f t="shared" si="56"/>
        <v>0</v>
      </c>
      <c r="CH123" s="1312">
        <f>CI122*((1+'Instrumentos Financeiros'!$Q$43)^(1/12)-1)</f>
        <v>0</v>
      </c>
      <c r="CI123" s="1312">
        <f t="shared" si="57"/>
        <v>0</v>
      </c>
      <c r="CJ123" s="1312">
        <f>IF(AND(C123&gt;$F$85,'Instrumentos Financeiros'!C123&lt;'Instrumentos Financeiros'!$F$85+'Instrumentos Financeiros'!$F$13+1),PMT(((1+'Instrumentos Financeiros'!$Q$43)^(1/12)-1),$F$13,-$I$85),0)</f>
        <v>0</v>
      </c>
      <c r="CK123" s="1312">
        <f t="shared" si="58"/>
        <v>0</v>
      </c>
      <c r="CL123" s="1312">
        <f>CM122*((1+'Instrumentos Financeiros'!$Q$43)^(1/12)-1)</f>
        <v>0</v>
      </c>
      <c r="CM123" s="1312">
        <f t="shared" si="59"/>
        <v>0</v>
      </c>
      <c r="CN123" s="1312">
        <f>IF(AND(C123&gt;$F$86,'Instrumentos Financeiros'!C123&lt;'Instrumentos Financeiros'!$F$86+'Instrumentos Financeiros'!$F$13+1),PMT(((1+'Instrumentos Financeiros'!$Q$43)^(1/12)-1),$F$13,-$I$86),0)</f>
        <v>0</v>
      </c>
      <c r="CO123" s="1312">
        <f t="shared" si="60"/>
        <v>0</v>
      </c>
      <c r="CP123" s="1312">
        <f>CQ122*((1+'Instrumentos Financeiros'!$Q$43)^(1/12)-1)</f>
        <v>0</v>
      </c>
      <c r="CQ123" s="1312">
        <f t="shared" si="61"/>
        <v>0</v>
      </c>
      <c r="CR123" s="1312">
        <f t="shared" si="29"/>
        <v>0</v>
      </c>
      <c r="CS123" s="1312">
        <f t="shared" si="29"/>
        <v>0</v>
      </c>
      <c r="CT123" s="1312">
        <f t="shared" si="29"/>
        <v>0</v>
      </c>
      <c r="CU123" s="1312">
        <f t="shared" si="29"/>
        <v>0</v>
      </c>
    </row>
    <row r="124" spans="3:99" x14ac:dyDescent="0.35">
      <c r="C124" s="1315">
        <f t="shared" si="30"/>
        <v>31</v>
      </c>
      <c r="D124" s="1312">
        <f>IF(AND(C124&gt;$F$59,'Instrumentos Financeiros'!C124&lt;'Instrumentos Financeiros'!$F$59+'Instrumentos Financeiros'!$F$11+1),PMT(((1+'Instrumentos Financeiros'!$G$43)^(1/12)-1),$F$11,-$I$59),0)</f>
        <v>0</v>
      </c>
      <c r="E124" s="1312">
        <f t="shared" si="14"/>
        <v>0</v>
      </c>
      <c r="F124" s="1312">
        <f>G123*((1+'Instrumentos Financeiros'!$G$43)^(1/12)-1)</f>
        <v>0</v>
      </c>
      <c r="G124" s="1312">
        <f t="shared" si="31"/>
        <v>0</v>
      </c>
      <c r="H124" s="1312">
        <f>IF(AND(C124&gt;$F$60,'Instrumentos Financeiros'!C124&lt;'Instrumentos Financeiros'!$F$60+'Instrumentos Financeiros'!$F$11+1),PMT(((1+'Instrumentos Financeiros'!$G$43)^(1/12)-1),$F$11,-$I$60),0)</f>
        <v>0</v>
      </c>
      <c r="I124" s="1312">
        <f t="shared" si="62"/>
        <v>0</v>
      </c>
      <c r="J124" s="1312">
        <f>K123*((1+'Instrumentos Financeiros'!$G$43)^(1/12)-1)</f>
        <v>0</v>
      </c>
      <c r="K124" s="1312">
        <f t="shared" si="32"/>
        <v>0</v>
      </c>
      <c r="L124" s="1312">
        <f>IF(AND(C124&gt;$F$61,'Instrumentos Financeiros'!C124&lt;'Instrumentos Financeiros'!$F$61+'Instrumentos Financeiros'!$F$11+1),PMT(((1+'Instrumentos Financeiros'!$G$43)^(1/12)-1),$F$11,-$I$61),0)</f>
        <v>0</v>
      </c>
      <c r="M124" s="1312">
        <f t="shared" si="63"/>
        <v>0</v>
      </c>
      <c r="N124" s="1312">
        <f>O123*((1+'Instrumentos Financeiros'!$G$43)^(1/12)-1)</f>
        <v>0</v>
      </c>
      <c r="O124" s="1312">
        <f t="shared" si="33"/>
        <v>0</v>
      </c>
      <c r="P124" s="1312">
        <f>IF(AND(C124&gt;$F$62,'Instrumentos Financeiros'!C124&lt;'Instrumentos Financeiros'!$F$62+'Instrumentos Financeiros'!$F$11+1),PMT(((1+'Instrumentos Financeiros'!$H$43)^(1/12)-1),$F$11,-$I$62),0)</f>
        <v>0</v>
      </c>
      <c r="Q124" s="1312">
        <f t="shared" si="64"/>
        <v>0</v>
      </c>
      <c r="R124" s="1312">
        <f>S123*((1+'Instrumentos Financeiros'!$H$43)^(1/12)-1)</f>
        <v>0</v>
      </c>
      <c r="S124" s="1312">
        <f t="shared" si="34"/>
        <v>0</v>
      </c>
      <c r="T124" s="1312">
        <f>IF(AND(C124&gt;$F$63,'Instrumentos Financeiros'!C124&lt;'Instrumentos Financeiros'!$F$63+'Instrumentos Financeiros'!$F$11+1),PMT(((1+'Instrumentos Financeiros'!$H$43)^(1/12)-1),$F$11,-$I$63),0)</f>
        <v>0</v>
      </c>
      <c r="U124" s="1312">
        <f t="shared" si="65"/>
        <v>0</v>
      </c>
      <c r="V124" s="1312">
        <f>W123*((1+'Instrumentos Financeiros'!$H$43)^(1/12)-1)</f>
        <v>0</v>
      </c>
      <c r="W124" s="1312">
        <f t="shared" si="35"/>
        <v>0</v>
      </c>
      <c r="X124" s="1312">
        <f>IF(AND(C124&gt;$F$64,'Instrumentos Financeiros'!C124&lt;'Instrumentos Financeiros'!$F$64+'Instrumentos Financeiros'!$F$11+1),PMT(((1+'Instrumentos Financeiros'!$H$43)^(1/12)-1),$F$11,-$I$64),0)</f>
        <v>0</v>
      </c>
      <c r="Y124" s="1312">
        <f t="shared" si="66"/>
        <v>0</v>
      </c>
      <c r="Z124" s="1312">
        <f>AA123*((1+'Instrumentos Financeiros'!$H$43)^(1/12)-1)</f>
        <v>0</v>
      </c>
      <c r="AA124" s="1312">
        <f t="shared" si="36"/>
        <v>0</v>
      </c>
      <c r="AB124" s="1312">
        <f>IF(AND(C124&gt;$F$65,'Instrumentos Financeiros'!C124&lt;'Instrumentos Financeiros'!$F$65+'Instrumentos Financeiros'!$F$11+1),PMT(((1+'Instrumentos Financeiros'!$H$43)^(1/12)-1),$F$11,-$I$65),0)</f>
        <v>0</v>
      </c>
      <c r="AC124" s="1312">
        <f t="shared" si="67"/>
        <v>0</v>
      </c>
      <c r="AD124" s="1312">
        <f>AE123*((1+'Instrumentos Financeiros'!$H$43)^(1/12)-1)</f>
        <v>0</v>
      </c>
      <c r="AE124" s="1312">
        <f t="shared" si="37"/>
        <v>0</v>
      </c>
      <c r="AF124" s="1312">
        <f>IF(AND(C124&gt;$F$66,'Instrumentos Financeiros'!C124&lt;'Instrumentos Financeiros'!$F$66+'Instrumentos Financeiros'!$F$11+1),PMT(((1+'Instrumentos Financeiros'!$I$43)^(1/12)-1),$F$11,-$I$66),0)</f>
        <v>0</v>
      </c>
      <c r="AG124" s="1312">
        <f t="shared" si="68"/>
        <v>0</v>
      </c>
      <c r="AH124" s="1312">
        <f>AI123*((1+'Instrumentos Financeiros'!$I$43)^(1/12)-1)</f>
        <v>0</v>
      </c>
      <c r="AI124" s="1312">
        <f t="shared" si="38"/>
        <v>0</v>
      </c>
      <c r="AJ124" s="1312">
        <f>IF(AND(C124&gt;$F$67,'Instrumentos Financeiros'!C124&lt;'Instrumentos Financeiros'!$F$67+'Instrumentos Financeiros'!$F$11+1),PMT(((1+'Instrumentos Financeiros'!$I$43)^(1/12)-1),$F$11,-$I$67),0)</f>
        <v>0</v>
      </c>
      <c r="AK124" s="1312">
        <f t="shared" si="69"/>
        <v>0</v>
      </c>
      <c r="AL124" s="1312">
        <f>AM123*((1+'Instrumentos Financeiros'!$I$43)^(1/12)-1)</f>
        <v>0</v>
      </c>
      <c r="AM124" s="1312">
        <f t="shared" si="39"/>
        <v>0</v>
      </c>
      <c r="AN124" s="1312">
        <f>IF(AND(C124&gt;$F$68,'Instrumentos Financeiros'!C124&lt;'Instrumentos Financeiros'!$F$68+'Instrumentos Financeiros'!$F$11+1),PMT(((1+'Instrumentos Financeiros'!$I$43)^(1/12)-1),$F$11,-$I$68),0)</f>
        <v>0</v>
      </c>
      <c r="AO124" s="1312">
        <f t="shared" si="70"/>
        <v>0</v>
      </c>
      <c r="AP124" s="1312">
        <f>AQ123*((1+'Instrumentos Financeiros'!$I$43)^(1/12)-1)</f>
        <v>0</v>
      </c>
      <c r="AQ124" s="1312">
        <f t="shared" si="40"/>
        <v>0</v>
      </c>
      <c r="AR124" s="1312">
        <f>IF(AND(C124&gt;$F$69,'Instrumentos Financeiros'!C124&lt;'Instrumentos Financeiros'!$F$69+'Instrumentos Financeiros'!$F$11+1),PMT(((1+'Instrumentos Financeiros'!$I$43)^(1/12)-1),$F$11,-$I$69),0)</f>
        <v>0</v>
      </c>
      <c r="AS124" s="1312">
        <f t="shared" si="71"/>
        <v>0</v>
      </c>
      <c r="AT124" s="1312">
        <f>AU123*((1+'Instrumentos Financeiros'!$I$43)^(1/12)-1)</f>
        <v>0</v>
      </c>
      <c r="AU124" s="1312">
        <f t="shared" si="41"/>
        <v>0</v>
      </c>
      <c r="AV124" s="1312">
        <f>IF(AND(C124&gt;$F$70,'Instrumentos Financeiros'!C124&lt;'Instrumentos Financeiros'!$F$70+'Instrumentos Financeiros'!$F$11+1),PMT(((1+'Instrumentos Financeiros'!$J$43)^(1/12)-1),$F$11,-$I$70),0)</f>
        <v>0</v>
      </c>
      <c r="AW124" s="1312">
        <f t="shared" si="72"/>
        <v>0</v>
      </c>
      <c r="AX124" s="1312">
        <f>AY123*((1+'Instrumentos Financeiros'!$J$43)^(1/12)-1)</f>
        <v>0</v>
      </c>
      <c r="AY124" s="1312">
        <f t="shared" si="42"/>
        <v>0</v>
      </c>
      <c r="AZ124" s="1312">
        <f>IF(AND(C124&gt;$F$71,'Instrumentos Financeiros'!C124&lt;'Instrumentos Financeiros'!$F$71+'Instrumentos Financeiros'!$F$11+1),PMT(((1+'Instrumentos Financeiros'!$J$43)^(1/12)-1),$F$11,-$I$71),0)</f>
        <v>0</v>
      </c>
      <c r="BA124" s="1312">
        <f t="shared" si="73"/>
        <v>0</v>
      </c>
      <c r="BB124" s="1312">
        <f>BC123*((1+'Instrumentos Financeiros'!$J$43)^(1/12)-1)</f>
        <v>0</v>
      </c>
      <c r="BC124" s="1312">
        <f t="shared" si="43"/>
        <v>0</v>
      </c>
      <c r="BD124" s="1312">
        <f>IF(AND(C124&gt;$F$72,'Instrumentos Financeiros'!C124&lt;'Instrumentos Financeiros'!$F$72+'Instrumentos Financeiros'!$F$11+1),PMT(((1+'Instrumentos Financeiros'!$J$43)^(1/12)-1),$F$11,-'Instrumentos Financeiros'!$G$7*$G$72),0)</f>
        <v>0</v>
      </c>
      <c r="BE124" s="1312">
        <f t="shared" si="74"/>
        <v>0</v>
      </c>
      <c r="BF124" s="1312">
        <f>BG123*((1+'Instrumentos Financeiros'!$J$43)^(1/12)-1)</f>
        <v>0</v>
      </c>
      <c r="BG124" s="1312">
        <f t="shared" si="44"/>
        <v>0</v>
      </c>
      <c r="BH124" s="1312">
        <f>IF(AND(C124&gt;$F$73,'Instrumentos Financeiros'!C124&lt;'Instrumentos Financeiros'!$F$73+'Instrumentos Financeiros'!$F$11+1),PMT(((1+'Instrumentos Financeiros'!$J$43)^(1/12)-1),$F$11,-$I$73),0)</f>
        <v>0</v>
      </c>
      <c r="BI124" s="1312">
        <f t="shared" si="75"/>
        <v>0</v>
      </c>
      <c r="BJ124" s="1312">
        <f>BK123*((1+'Instrumentos Financeiros'!$J$43)^(1/12)-1)</f>
        <v>0</v>
      </c>
      <c r="BK124" s="1312">
        <f t="shared" si="45"/>
        <v>0</v>
      </c>
      <c r="BL124" s="1312">
        <f>IF(AND(C124&gt;$F$77,'Instrumentos Financeiros'!C124&lt;'Instrumentos Financeiros'!$F$77+'Instrumentos Financeiros'!$F$12+1),PMT(((1+'Instrumentos Financeiros'!$K$43)^(1/12)-1),$F$12,-$I$77),0)</f>
        <v>0</v>
      </c>
      <c r="BM124" s="1312">
        <f t="shared" si="46"/>
        <v>0</v>
      </c>
      <c r="BN124" s="1312">
        <f>BO123*((1+'Instrumentos Financeiros'!$K$43)^(1/12)-1)</f>
        <v>0</v>
      </c>
      <c r="BO124" s="1312">
        <f t="shared" si="47"/>
        <v>0</v>
      </c>
      <c r="BP124" s="1312">
        <f>IF(AND(C124&gt;$F$78,'Instrumentos Financeiros'!C124&lt;'Instrumentos Financeiros'!$F$78+'Instrumentos Financeiros'!$F$12+1),PMT(((1+'Instrumentos Financeiros'!$L$43)^(1/12)-1),$F$12,-$I$78),0)</f>
        <v>0</v>
      </c>
      <c r="BQ124" s="1312">
        <f t="shared" si="48"/>
        <v>0</v>
      </c>
      <c r="BR124" s="1312">
        <f>BS123*((1+'Instrumentos Financeiros'!$L$43)^(1/12)-1)</f>
        <v>0</v>
      </c>
      <c r="BS124" s="1312">
        <f t="shared" si="49"/>
        <v>0</v>
      </c>
      <c r="BT124" s="1312">
        <f>IF(AND(C124&gt;$F$79,'Instrumentos Financeiros'!C124&lt;'Instrumentos Financeiros'!$F$79+'Instrumentos Financeiros'!$F$12+1),PMT(((1+'Instrumentos Financeiros'!$L$43)^(1/12)-1),$F$12,-$I$79),0)</f>
        <v>0</v>
      </c>
      <c r="BU124" s="1312">
        <f t="shared" si="50"/>
        <v>0</v>
      </c>
      <c r="BV124" s="1312">
        <f>BW123*((1+'Instrumentos Financeiros'!$L$43)^(1/12)-1)</f>
        <v>0</v>
      </c>
      <c r="BW124" s="1312">
        <f t="shared" si="51"/>
        <v>0</v>
      </c>
      <c r="BX124" s="1312">
        <f>IF(AND(C124&gt;$F$80,'Instrumentos Financeiros'!C124&lt;'Instrumentos Financeiros'!$F$80+'Instrumentos Financeiros'!$F$12+1),PMT(((1+'Instrumentos Financeiros'!$L$43)^(1/12)-1),$F$12,-$I$80),0)</f>
        <v>0</v>
      </c>
      <c r="BY124" s="1312">
        <f t="shared" si="52"/>
        <v>0</v>
      </c>
      <c r="BZ124" s="1312">
        <f>CA123*((1+'Instrumentos Financeiros'!$L$43)^(1/12)-1)</f>
        <v>0</v>
      </c>
      <c r="CA124" s="1312">
        <f t="shared" si="53"/>
        <v>0</v>
      </c>
      <c r="CB124" s="1312">
        <f>IF(AND(C124&gt;$F$83,'Instrumentos Financeiros'!C124&lt;'Instrumentos Financeiros'!$F$83+'Instrumentos Financeiros'!$F$13+1),PMT(((1+'Instrumentos Financeiros'!$P$43)^(1/12)-1),$F$13,-$I$83),0)</f>
        <v>0</v>
      </c>
      <c r="CC124" s="1312">
        <f t="shared" si="54"/>
        <v>0</v>
      </c>
      <c r="CD124" s="1312">
        <f>CE123*((1+'Instrumentos Financeiros'!$P$43)^(1/12)-1)</f>
        <v>0</v>
      </c>
      <c r="CE124" s="1312">
        <f t="shared" si="55"/>
        <v>0</v>
      </c>
      <c r="CF124" s="1312">
        <f>IF(AND(C124&gt;$F$84,'Instrumentos Financeiros'!C124&lt;'Instrumentos Financeiros'!$F$84+'Instrumentos Financeiros'!$F$13+1),PMT(((1+'Instrumentos Financeiros'!$Q$43)^(1/12)-1),$F$13,-$I$84),0)</f>
        <v>0</v>
      </c>
      <c r="CG124" s="1312">
        <f t="shared" si="56"/>
        <v>0</v>
      </c>
      <c r="CH124" s="1312">
        <f>CI123*((1+'Instrumentos Financeiros'!$Q$43)^(1/12)-1)</f>
        <v>0</v>
      </c>
      <c r="CI124" s="1312">
        <f t="shared" si="57"/>
        <v>0</v>
      </c>
      <c r="CJ124" s="1312">
        <f>IF(AND(C124&gt;$F$85,'Instrumentos Financeiros'!C124&lt;'Instrumentos Financeiros'!$F$85+'Instrumentos Financeiros'!$F$13+1),PMT(((1+'Instrumentos Financeiros'!$Q$43)^(1/12)-1),$F$13,-$I$85),0)</f>
        <v>0</v>
      </c>
      <c r="CK124" s="1312">
        <f t="shared" si="58"/>
        <v>0</v>
      </c>
      <c r="CL124" s="1312">
        <f>CM123*((1+'Instrumentos Financeiros'!$Q$43)^(1/12)-1)</f>
        <v>0</v>
      </c>
      <c r="CM124" s="1312">
        <f t="shared" si="59"/>
        <v>0</v>
      </c>
      <c r="CN124" s="1312">
        <f>IF(AND(C124&gt;$F$86,'Instrumentos Financeiros'!C124&lt;'Instrumentos Financeiros'!$F$86+'Instrumentos Financeiros'!$F$13+1),PMT(((1+'Instrumentos Financeiros'!$Q$43)^(1/12)-1),$F$13,-$I$86),0)</f>
        <v>0</v>
      </c>
      <c r="CO124" s="1312">
        <f t="shared" si="60"/>
        <v>0</v>
      </c>
      <c r="CP124" s="1312">
        <f>CQ123*((1+'Instrumentos Financeiros'!$Q$43)^(1/12)-1)</f>
        <v>0</v>
      </c>
      <c r="CQ124" s="1312">
        <f t="shared" si="61"/>
        <v>0</v>
      </c>
      <c r="CR124" s="1312">
        <f t="shared" si="29"/>
        <v>0</v>
      </c>
      <c r="CS124" s="1312">
        <f t="shared" si="29"/>
        <v>0</v>
      </c>
      <c r="CT124" s="1312">
        <f t="shared" si="29"/>
        <v>0</v>
      </c>
      <c r="CU124" s="1312">
        <f t="shared" si="29"/>
        <v>0</v>
      </c>
    </row>
    <row r="125" spans="3:99" x14ac:dyDescent="0.35">
      <c r="C125" s="1315">
        <f t="shared" si="30"/>
        <v>32</v>
      </c>
      <c r="D125" s="1312">
        <f>IF(AND(C125&gt;$F$59,'Instrumentos Financeiros'!C125&lt;'Instrumentos Financeiros'!$F$59+'Instrumentos Financeiros'!$F$11+1),PMT(((1+'Instrumentos Financeiros'!$G$43)^(1/12)-1),$F$11,-$I$59),0)</f>
        <v>0</v>
      </c>
      <c r="E125" s="1312">
        <f t="shared" si="14"/>
        <v>0</v>
      </c>
      <c r="F125" s="1312">
        <f>G124*((1+'Instrumentos Financeiros'!$G$43)^(1/12)-1)</f>
        <v>0</v>
      </c>
      <c r="G125" s="1312">
        <f t="shared" si="31"/>
        <v>0</v>
      </c>
      <c r="H125" s="1312">
        <f>IF(AND(C125&gt;$F$60,'Instrumentos Financeiros'!C125&lt;'Instrumentos Financeiros'!$F$60+'Instrumentos Financeiros'!$F$11+1),PMT(((1+'Instrumentos Financeiros'!$G$43)^(1/12)-1),$F$11,-$I$60),0)</f>
        <v>0</v>
      </c>
      <c r="I125" s="1312">
        <f t="shared" si="62"/>
        <v>0</v>
      </c>
      <c r="J125" s="1312">
        <f>K124*((1+'Instrumentos Financeiros'!$G$43)^(1/12)-1)</f>
        <v>0</v>
      </c>
      <c r="K125" s="1312">
        <f t="shared" si="32"/>
        <v>0</v>
      </c>
      <c r="L125" s="1312">
        <f>IF(AND(C125&gt;$F$61,'Instrumentos Financeiros'!C125&lt;'Instrumentos Financeiros'!$F$61+'Instrumentos Financeiros'!$F$11+1),PMT(((1+'Instrumentos Financeiros'!$G$43)^(1/12)-1),$F$11,-$I$61),0)</f>
        <v>0</v>
      </c>
      <c r="M125" s="1312">
        <f t="shared" si="63"/>
        <v>0</v>
      </c>
      <c r="N125" s="1312">
        <f>O124*((1+'Instrumentos Financeiros'!$G$43)^(1/12)-1)</f>
        <v>0</v>
      </c>
      <c r="O125" s="1312">
        <f t="shared" si="33"/>
        <v>0</v>
      </c>
      <c r="P125" s="1312">
        <f>IF(AND(C125&gt;$F$62,'Instrumentos Financeiros'!C125&lt;'Instrumentos Financeiros'!$F$62+'Instrumentos Financeiros'!$F$11+1),PMT(((1+'Instrumentos Financeiros'!$H$43)^(1/12)-1),$F$11,-$I$62),0)</f>
        <v>0</v>
      </c>
      <c r="Q125" s="1312">
        <f t="shared" si="64"/>
        <v>0</v>
      </c>
      <c r="R125" s="1312">
        <f>S124*((1+'Instrumentos Financeiros'!$H$43)^(1/12)-1)</f>
        <v>0</v>
      </c>
      <c r="S125" s="1312">
        <f t="shared" si="34"/>
        <v>0</v>
      </c>
      <c r="T125" s="1312">
        <f>IF(AND(C125&gt;$F$63,'Instrumentos Financeiros'!C125&lt;'Instrumentos Financeiros'!$F$63+'Instrumentos Financeiros'!$F$11+1),PMT(((1+'Instrumentos Financeiros'!$H$43)^(1/12)-1),$F$11,-$I$63),0)</f>
        <v>0</v>
      </c>
      <c r="U125" s="1312">
        <f t="shared" si="65"/>
        <v>0</v>
      </c>
      <c r="V125" s="1312">
        <f>W124*((1+'Instrumentos Financeiros'!$H$43)^(1/12)-1)</f>
        <v>0</v>
      </c>
      <c r="W125" s="1312">
        <f t="shared" si="35"/>
        <v>0</v>
      </c>
      <c r="X125" s="1312">
        <f>IF(AND(C125&gt;$F$64,'Instrumentos Financeiros'!C125&lt;'Instrumentos Financeiros'!$F$64+'Instrumentos Financeiros'!$F$11+1),PMT(((1+'Instrumentos Financeiros'!$H$43)^(1/12)-1),$F$11,-$I$64),0)</f>
        <v>0</v>
      </c>
      <c r="Y125" s="1312">
        <f t="shared" si="66"/>
        <v>0</v>
      </c>
      <c r="Z125" s="1312">
        <f>AA124*((1+'Instrumentos Financeiros'!$H$43)^(1/12)-1)</f>
        <v>0</v>
      </c>
      <c r="AA125" s="1312">
        <f t="shared" si="36"/>
        <v>0</v>
      </c>
      <c r="AB125" s="1312">
        <f>IF(AND(C125&gt;$F$65,'Instrumentos Financeiros'!C125&lt;'Instrumentos Financeiros'!$F$65+'Instrumentos Financeiros'!$F$11+1),PMT(((1+'Instrumentos Financeiros'!$H$43)^(1/12)-1),$F$11,-$I$65),0)</f>
        <v>0</v>
      </c>
      <c r="AC125" s="1312">
        <f t="shared" si="67"/>
        <v>0</v>
      </c>
      <c r="AD125" s="1312">
        <f>AE124*((1+'Instrumentos Financeiros'!$H$43)^(1/12)-1)</f>
        <v>0</v>
      </c>
      <c r="AE125" s="1312">
        <f t="shared" si="37"/>
        <v>0</v>
      </c>
      <c r="AF125" s="1312">
        <f>IF(AND(C125&gt;$F$66,'Instrumentos Financeiros'!C125&lt;'Instrumentos Financeiros'!$F$66+'Instrumentos Financeiros'!$F$11+1),PMT(((1+'Instrumentos Financeiros'!$I$43)^(1/12)-1),$F$11,-$I$66),0)</f>
        <v>0</v>
      </c>
      <c r="AG125" s="1312">
        <f t="shared" si="68"/>
        <v>0</v>
      </c>
      <c r="AH125" s="1312">
        <f>AI124*((1+'Instrumentos Financeiros'!$I$43)^(1/12)-1)</f>
        <v>0</v>
      </c>
      <c r="AI125" s="1312">
        <f t="shared" si="38"/>
        <v>0</v>
      </c>
      <c r="AJ125" s="1312">
        <f>IF(AND(C125&gt;$F$67,'Instrumentos Financeiros'!C125&lt;'Instrumentos Financeiros'!$F$67+'Instrumentos Financeiros'!$F$11+1),PMT(((1+'Instrumentos Financeiros'!$I$43)^(1/12)-1),$F$11,-$I$67),0)</f>
        <v>0</v>
      </c>
      <c r="AK125" s="1312">
        <f t="shared" si="69"/>
        <v>0</v>
      </c>
      <c r="AL125" s="1312">
        <f>AM124*((1+'Instrumentos Financeiros'!$I$43)^(1/12)-1)</f>
        <v>0</v>
      </c>
      <c r="AM125" s="1312">
        <f t="shared" si="39"/>
        <v>0</v>
      </c>
      <c r="AN125" s="1312">
        <f>IF(AND(C125&gt;$F$68,'Instrumentos Financeiros'!C125&lt;'Instrumentos Financeiros'!$F$68+'Instrumentos Financeiros'!$F$11+1),PMT(((1+'Instrumentos Financeiros'!$I$43)^(1/12)-1),$F$11,-$I$68),0)</f>
        <v>0</v>
      </c>
      <c r="AO125" s="1312">
        <f t="shared" si="70"/>
        <v>0</v>
      </c>
      <c r="AP125" s="1312">
        <f>AQ124*((1+'Instrumentos Financeiros'!$I$43)^(1/12)-1)</f>
        <v>0</v>
      </c>
      <c r="AQ125" s="1312">
        <f t="shared" si="40"/>
        <v>0</v>
      </c>
      <c r="AR125" s="1312">
        <f>IF(AND(C125&gt;$F$69,'Instrumentos Financeiros'!C125&lt;'Instrumentos Financeiros'!$F$69+'Instrumentos Financeiros'!$F$11+1),PMT(((1+'Instrumentos Financeiros'!$I$43)^(1/12)-1),$F$11,-$I$69),0)</f>
        <v>0</v>
      </c>
      <c r="AS125" s="1312">
        <f t="shared" si="71"/>
        <v>0</v>
      </c>
      <c r="AT125" s="1312">
        <f>AU124*((1+'Instrumentos Financeiros'!$I$43)^(1/12)-1)</f>
        <v>0</v>
      </c>
      <c r="AU125" s="1312">
        <f t="shared" si="41"/>
        <v>0</v>
      </c>
      <c r="AV125" s="1312">
        <f>IF(AND(C125&gt;$F$70,'Instrumentos Financeiros'!C125&lt;'Instrumentos Financeiros'!$F$70+'Instrumentos Financeiros'!$F$11+1),PMT(((1+'Instrumentos Financeiros'!$J$43)^(1/12)-1),$F$11,-$I$70),0)</f>
        <v>0</v>
      </c>
      <c r="AW125" s="1312">
        <f t="shared" si="72"/>
        <v>0</v>
      </c>
      <c r="AX125" s="1312">
        <f>AY124*((1+'Instrumentos Financeiros'!$J$43)^(1/12)-1)</f>
        <v>0</v>
      </c>
      <c r="AY125" s="1312">
        <f t="shared" si="42"/>
        <v>0</v>
      </c>
      <c r="AZ125" s="1312">
        <f>IF(AND(C125&gt;$F$71,'Instrumentos Financeiros'!C125&lt;'Instrumentos Financeiros'!$F$71+'Instrumentos Financeiros'!$F$11+1),PMT(((1+'Instrumentos Financeiros'!$J$43)^(1/12)-1),$F$11,-$I$71),0)</f>
        <v>0</v>
      </c>
      <c r="BA125" s="1312">
        <f t="shared" si="73"/>
        <v>0</v>
      </c>
      <c r="BB125" s="1312">
        <f>BC124*((1+'Instrumentos Financeiros'!$J$43)^(1/12)-1)</f>
        <v>0</v>
      </c>
      <c r="BC125" s="1312">
        <f t="shared" si="43"/>
        <v>0</v>
      </c>
      <c r="BD125" s="1312">
        <f>IF(AND(C125&gt;$F$72,'Instrumentos Financeiros'!C125&lt;'Instrumentos Financeiros'!$F$72+'Instrumentos Financeiros'!$F$11+1),PMT(((1+'Instrumentos Financeiros'!$J$43)^(1/12)-1),$F$11,-'Instrumentos Financeiros'!$G$7*$G$72),0)</f>
        <v>0</v>
      </c>
      <c r="BE125" s="1312">
        <f t="shared" si="74"/>
        <v>0</v>
      </c>
      <c r="BF125" s="1312">
        <f>BG124*((1+'Instrumentos Financeiros'!$J$43)^(1/12)-1)</f>
        <v>0</v>
      </c>
      <c r="BG125" s="1312">
        <f t="shared" si="44"/>
        <v>0</v>
      </c>
      <c r="BH125" s="1312">
        <f>IF(AND(C125&gt;$F$73,'Instrumentos Financeiros'!C125&lt;'Instrumentos Financeiros'!$F$73+'Instrumentos Financeiros'!$F$11+1),PMT(((1+'Instrumentos Financeiros'!$J$43)^(1/12)-1),$F$11,-$I$73),0)</f>
        <v>0</v>
      </c>
      <c r="BI125" s="1312">
        <f t="shared" si="75"/>
        <v>0</v>
      </c>
      <c r="BJ125" s="1312">
        <f>BK124*((1+'Instrumentos Financeiros'!$J$43)^(1/12)-1)</f>
        <v>0</v>
      </c>
      <c r="BK125" s="1312">
        <f t="shared" si="45"/>
        <v>0</v>
      </c>
      <c r="BL125" s="1312">
        <f>IF(AND(C125&gt;$F$77,'Instrumentos Financeiros'!C125&lt;'Instrumentos Financeiros'!$F$77+'Instrumentos Financeiros'!$F$12+1),PMT(((1+'Instrumentos Financeiros'!$K$43)^(1/12)-1),$F$12,-$I$77),0)</f>
        <v>0</v>
      </c>
      <c r="BM125" s="1312">
        <f t="shared" si="46"/>
        <v>0</v>
      </c>
      <c r="BN125" s="1312">
        <f>BO124*((1+'Instrumentos Financeiros'!$K$43)^(1/12)-1)</f>
        <v>0</v>
      </c>
      <c r="BO125" s="1312">
        <f t="shared" si="47"/>
        <v>0</v>
      </c>
      <c r="BP125" s="1312">
        <f>IF(AND(C125&gt;$F$78,'Instrumentos Financeiros'!C125&lt;'Instrumentos Financeiros'!$F$78+'Instrumentos Financeiros'!$F$12+1),PMT(((1+'Instrumentos Financeiros'!$L$43)^(1/12)-1),$F$12,-$I$78),0)</f>
        <v>0</v>
      </c>
      <c r="BQ125" s="1312">
        <f t="shared" si="48"/>
        <v>0</v>
      </c>
      <c r="BR125" s="1312">
        <f>BS124*((1+'Instrumentos Financeiros'!$L$43)^(1/12)-1)</f>
        <v>0</v>
      </c>
      <c r="BS125" s="1312">
        <f t="shared" si="49"/>
        <v>0</v>
      </c>
      <c r="BT125" s="1312">
        <f>IF(AND(C125&gt;$F$79,'Instrumentos Financeiros'!C125&lt;'Instrumentos Financeiros'!$F$79+'Instrumentos Financeiros'!$F$12+1),PMT(((1+'Instrumentos Financeiros'!$L$43)^(1/12)-1),$F$12,-$I$79),0)</f>
        <v>0</v>
      </c>
      <c r="BU125" s="1312">
        <f t="shared" si="50"/>
        <v>0</v>
      </c>
      <c r="BV125" s="1312">
        <f>BW124*((1+'Instrumentos Financeiros'!$L$43)^(1/12)-1)</f>
        <v>0</v>
      </c>
      <c r="BW125" s="1312">
        <f t="shared" si="51"/>
        <v>0</v>
      </c>
      <c r="BX125" s="1312">
        <f>IF(AND(C125&gt;$F$80,'Instrumentos Financeiros'!C125&lt;'Instrumentos Financeiros'!$F$80+'Instrumentos Financeiros'!$F$12+1),PMT(((1+'Instrumentos Financeiros'!$L$43)^(1/12)-1),$F$12,-$I$80),0)</f>
        <v>0</v>
      </c>
      <c r="BY125" s="1312">
        <f t="shared" si="52"/>
        <v>0</v>
      </c>
      <c r="BZ125" s="1312">
        <f>CA124*((1+'Instrumentos Financeiros'!$L$43)^(1/12)-1)</f>
        <v>0</v>
      </c>
      <c r="CA125" s="1312">
        <f t="shared" si="53"/>
        <v>0</v>
      </c>
      <c r="CB125" s="1312">
        <f>IF(AND(C125&gt;$F$83,'Instrumentos Financeiros'!C125&lt;'Instrumentos Financeiros'!$F$83+'Instrumentos Financeiros'!$F$13+1),PMT(((1+'Instrumentos Financeiros'!$P$43)^(1/12)-1),$F$13,-$I$83),0)</f>
        <v>0</v>
      </c>
      <c r="CC125" s="1312">
        <f t="shared" si="54"/>
        <v>0</v>
      </c>
      <c r="CD125" s="1312">
        <f>CE124*((1+'Instrumentos Financeiros'!$P$43)^(1/12)-1)</f>
        <v>0</v>
      </c>
      <c r="CE125" s="1312">
        <f t="shared" si="55"/>
        <v>0</v>
      </c>
      <c r="CF125" s="1312">
        <f>IF(AND(C125&gt;$F$84,'Instrumentos Financeiros'!C125&lt;'Instrumentos Financeiros'!$F$84+'Instrumentos Financeiros'!$F$13+1),PMT(((1+'Instrumentos Financeiros'!$Q$43)^(1/12)-1),$F$13,-$I$84),0)</f>
        <v>0</v>
      </c>
      <c r="CG125" s="1312">
        <f t="shared" si="56"/>
        <v>0</v>
      </c>
      <c r="CH125" s="1312">
        <f>CI124*((1+'Instrumentos Financeiros'!$Q$43)^(1/12)-1)</f>
        <v>0</v>
      </c>
      <c r="CI125" s="1312">
        <f t="shared" si="57"/>
        <v>0</v>
      </c>
      <c r="CJ125" s="1312">
        <f>IF(AND(C125&gt;$F$85,'Instrumentos Financeiros'!C125&lt;'Instrumentos Financeiros'!$F$85+'Instrumentos Financeiros'!$F$13+1),PMT(((1+'Instrumentos Financeiros'!$Q$43)^(1/12)-1),$F$13,-$I$85),0)</f>
        <v>0</v>
      </c>
      <c r="CK125" s="1312">
        <f t="shared" si="58"/>
        <v>0</v>
      </c>
      <c r="CL125" s="1312">
        <f>CM124*((1+'Instrumentos Financeiros'!$Q$43)^(1/12)-1)</f>
        <v>0</v>
      </c>
      <c r="CM125" s="1312">
        <f t="shared" si="59"/>
        <v>0</v>
      </c>
      <c r="CN125" s="1312">
        <f>IF(AND(C125&gt;$F$86,'Instrumentos Financeiros'!C125&lt;'Instrumentos Financeiros'!$F$86+'Instrumentos Financeiros'!$F$13+1),PMT(((1+'Instrumentos Financeiros'!$Q$43)^(1/12)-1),$F$13,-$I$86),0)</f>
        <v>0</v>
      </c>
      <c r="CO125" s="1312">
        <f t="shared" si="60"/>
        <v>0</v>
      </c>
      <c r="CP125" s="1312">
        <f>CQ124*((1+'Instrumentos Financeiros'!$Q$43)^(1/12)-1)</f>
        <v>0</v>
      </c>
      <c r="CQ125" s="1312">
        <f t="shared" si="61"/>
        <v>0</v>
      </c>
      <c r="CR125" s="1312">
        <f t="shared" si="29"/>
        <v>0</v>
      </c>
      <c r="CS125" s="1312">
        <f t="shared" si="29"/>
        <v>0</v>
      </c>
      <c r="CT125" s="1312">
        <f t="shared" si="29"/>
        <v>0</v>
      </c>
      <c r="CU125" s="1312">
        <f t="shared" si="29"/>
        <v>0</v>
      </c>
    </row>
    <row r="126" spans="3:99" x14ac:dyDescent="0.35">
      <c r="C126" s="1315">
        <f t="shared" si="30"/>
        <v>33</v>
      </c>
      <c r="D126" s="1312">
        <f>IF(AND(C126&gt;$F$59,'Instrumentos Financeiros'!C126&lt;'Instrumentos Financeiros'!$F$59+'Instrumentos Financeiros'!$F$11+1),PMT(((1+'Instrumentos Financeiros'!$G$43)^(1/12)-1),$F$11,-$I$59),0)</f>
        <v>0</v>
      </c>
      <c r="E126" s="1312">
        <f t="shared" si="14"/>
        <v>0</v>
      </c>
      <c r="F126" s="1312">
        <f>G125*((1+'Instrumentos Financeiros'!$G$43)^(1/12)-1)</f>
        <v>0</v>
      </c>
      <c r="G126" s="1312">
        <f t="shared" si="31"/>
        <v>0</v>
      </c>
      <c r="H126" s="1312">
        <f>IF(AND(C126&gt;$F$60,'Instrumentos Financeiros'!C126&lt;'Instrumentos Financeiros'!$F$60+'Instrumentos Financeiros'!$F$11+1),PMT(((1+'Instrumentos Financeiros'!$G$43)^(1/12)-1),$F$11,-$I$60),0)</f>
        <v>0</v>
      </c>
      <c r="I126" s="1312">
        <f t="shared" si="62"/>
        <v>0</v>
      </c>
      <c r="J126" s="1312">
        <f>K125*((1+'Instrumentos Financeiros'!$G$43)^(1/12)-1)</f>
        <v>0</v>
      </c>
      <c r="K126" s="1312">
        <f t="shared" si="32"/>
        <v>0</v>
      </c>
      <c r="L126" s="1312">
        <f>IF(AND(C126&gt;$F$61,'Instrumentos Financeiros'!C126&lt;'Instrumentos Financeiros'!$F$61+'Instrumentos Financeiros'!$F$11+1),PMT(((1+'Instrumentos Financeiros'!$G$43)^(1/12)-1),$F$11,-$I$61),0)</f>
        <v>0</v>
      </c>
      <c r="M126" s="1312">
        <f t="shared" si="63"/>
        <v>0</v>
      </c>
      <c r="N126" s="1312">
        <f>O125*((1+'Instrumentos Financeiros'!$G$43)^(1/12)-1)</f>
        <v>0</v>
      </c>
      <c r="O126" s="1312">
        <f t="shared" si="33"/>
        <v>0</v>
      </c>
      <c r="P126" s="1312">
        <f>IF(AND(C126&gt;$F$62,'Instrumentos Financeiros'!C126&lt;'Instrumentos Financeiros'!$F$62+'Instrumentos Financeiros'!$F$11+1),PMT(((1+'Instrumentos Financeiros'!$H$43)^(1/12)-1),$F$11,-$I$62),0)</f>
        <v>0</v>
      </c>
      <c r="Q126" s="1312">
        <f t="shared" si="64"/>
        <v>0</v>
      </c>
      <c r="R126" s="1312">
        <f>S125*((1+'Instrumentos Financeiros'!$H$43)^(1/12)-1)</f>
        <v>0</v>
      </c>
      <c r="S126" s="1312">
        <f t="shared" si="34"/>
        <v>0</v>
      </c>
      <c r="T126" s="1312">
        <f>IF(AND(C126&gt;$F$63,'Instrumentos Financeiros'!C126&lt;'Instrumentos Financeiros'!$F$63+'Instrumentos Financeiros'!$F$11+1),PMT(((1+'Instrumentos Financeiros'!$H$43)^(1/12)-1),$F$11,-$I$63),0)</f>
        <v>0</v>
      </c>
      <c r="U126" s="1312">
        <f t="shared" si="65"/>
        <v>0</v>
      </c>
      <c r="V126" s="1312">
        <f>W125*((1+'Instrumentos Financeiros'!$H$43)^(1/12)-1)</f>
        <v>0</v>
      </c>
      <c r="W126" s="1312">
        <f t="shared" si="35"/>
        <v>0</v>
      </c>
      <c r="X126" s="1312">
        <f>IF(AND(C126&gt;$F$64,'Instrumentos Financeiros'!C126&lt;'Instrumentos Financeiros'!$F$64+'Instrumentos Financeiros'!$F$11+1),PMT(((1+'Instrumentos Financeiros'!$H$43)^(1/12)-1),$F$11,-$I$64),0)</f>
        <v>0</v>
      </c>
      <c r="Y126" s="1312">
        <f t="shared" si="66"/>
        <v>0</v>
      </c>
      <c r="Z126" s="1312">
        <f>AA125*((1+'Instrumentos Financeiros'!$H$43)^(1/12)-1)</f>
        <v>0</v>
      </c>
      <c r="AA126" s="1312">
        <f t="shared" si="36"/>
        <v>0</v>
      </c>
      <c r="AB126" s="1312">
        <f>IF(AND(C126&gt;$F$65,'Instrumentos Financeiros'!C126&lt;'Instrumentos Financeiros'!$F$65+'Instrumentos Financeiros'!$F$11+1),PMT(((1+'Instrumentos Financeiros'!$H$43)^(1/12)-1),$F$11,-$I$65),0)</f>
        <v>0</v>
      </c>
      <c r="AC126" s="1312">
        <f t="shared" si="67"/>
        <v>0</v>
      </c>
      <c r="AD126" s="1312">
        <f>AE125*((1+'Instrumentos Financeiros'!$H$43)^(1/12)-1)</f>
        <v>0</v>
      </c>
      <c r="AE126" s="1312">
        <f t="shared" si="37"/>
        <v>0</v>
      </c>
      <c r="AF126" s="1312">
        <f>IF(AND(C126&gt;$F$66,'Instrumentos Financeiros'!C126&lt;'Instrumentos Financeiros'!$F$66+'Instrumentos Financeiros'!$F$11+1),PMT(((1+'Instrumentos Financeiros'!$I$43)^(1/12)-1),$F$11,-$I$66),0)</f>
        <v>0</v>
      </c>
      <c r="AG126" s="1312">
        <f t="shared" si="68"/>
        <v>0</v>
      </c>
      <c r="AH126" s="1312">
        <f>AI125*((1+'Instrumentos Financeiros'!$I$43)^(1/12)-1)</f>
        <v>0</v>
      </c>
      <c r="AI126" s="1312">
        <f t="shared" si="38"/>
        <v>0</v>
      </c>
      <c r="AJ126" s="1312">
        <f>IF(AND(C126&gt;$F$67,'Instrumentos Financeiros'!C126&lt;'Instrumentos Financeiros'!$F$67+'Instrumentos Financeiros'!$F$11+1),PMT(((1+'Instrumentos Financeiros'!$I$43)^(1/12)-1),$F$11,-$I$67),0)</f>
        <v>0</v>
      </c>
      <c r="AK126" s="1312">
        <f t="shared" si="69"/>
        <v>0</v>
      </c>
      <c r="AL126" s="1312">
        <f>AM125*((1+'Instrumentos Financeiros'!$I$43)^(1/12)-1)</f>
        <v>0</v>
      </c>
      <c r="AM126" s="1312">
        <f t="shared" si="39"/>
        <v>0</v>
      </c>
      <c r="AN126" s="1312">
        <f>IF(AND(C126&gt;$F$68,'Instrumentos Financeiros'!C126&lt;'Instrumentos Financeiros'!$F$68+'Instrumentos Financeiros'!$F$11+1),PMT(((1+'Instrumentos Financeiros'!$I$43)^(1/12)-1),$F$11,-$I$68),0)</f>
        <v>0</v>
      </c>
      <c r="AO126" s="1312">
        <f t="shared" si="70"/>
        <v>0</v>
      </c>
      <c r="AP126" s="1312">
        <f>AQ125*((1+'Instrumentos Financeiros'!$I$43)^(1/12)-1)</f>
        <v>0</v>
      </c>
      <c r="AQ126" s="1312">
        <f t="shared" si="40"/>
        <v>0</v>
      </c>
      <c r="AR126" s="1312">
        <f>IF(AND(C126&gt;$F$69,'Instrumentos Financeiros'!C126&lt;'Instrumentos Financeiros'!$F$69+'Instrumentos Financeiros'!$F$11+1),PMT(((1+'Instrumentos Financeiros'!$I$43)^(1/12)-1),$F$11,-$I$69),0)</f>
        <v>0</v>
      </c>
      <c r="AS126" s="1312">
        <f t="shared" si="71"/>
        <v>0</v>
      </c>
      <c r="AT126" s="1312">
        <f>AU125*((1+'Instrumentos Financeiros'!$I$43)^(1/12)-1)</f>
        <v>0</v>
      </c>
      <c r="AU126" s="1312">
        <f t="shared" si="41"/>
        <v>0</v>
      </c>
      <c r="AV126" s="1312">
        <f>IF(AND(C126&gt;$F$70,'Instrumentos Financeiros'!C126&lt;'Instrumentos Financeiros'!$F$70+'Instrumentos Financeiros'!$F$11+1),PMT(((1+'Instrumentos Financeiros'!$J$43)^(1/12)-1),$F$11,-$I$70),0)</f>
        <v>0</v>
      </c>
      <c r="AW126" s="1312">
        <f t="shared" si="72"/>
        <v>0</v>
      </c>
      <c r="AX126" s="1312">
        <f>AY125*((1+'Instrumentos Financeiros'!$J$43)^(1/12)-1)</f>
        <v>0</v>
      </c>
      <c r="AY126" s="1312">
        <f t="shared" si="42"/>
        <v>0</v>
      </c>
      <c r="AZ126" s="1312">
        <f>IF(AND(C126&gt;$F$71,'Instrumentos Financeiros'!C126&lt;'Instrumentos Financeiros'!$F$71+'Instrumentos Financeiros'!$F$11+1),PMT(((1+'Instrumentos Financeiros'!$J$43)^(1/12)-1),$F$11,-$I$71),0)</f>
        <v>0</v>
      </c>
      <c r="BA126" s="1312">
        <f t="shared" si="73"/>
        <v>0</v>
      </c>
      <c r="BB126" s="1312">
        <f>BC125*((1+'Instrumentos Financeiros'!$J$43)^(1/12)-1)</f>
        <v>0</v>
      </c>
      <c r="BC126" s="1312">
        <f t="shared" si="43"/>
        <v>0</v>
      </c>
      <c r="BD126" s="1312">
        <f>IF(AND(C126&gt;$F$72,'Instrumentos Financeiros'!C126&lt;'Instrumentos Financeiros'!$F$72+'Instrumentos Financeiros'!$F$11+1),PMT(((1+'Instrumentos Financeiros'!$J$43)^(1/12)-1),$F$11,-'Instrumentos Financeiros'!$G$7*$G$72),0)</f>
        <v>0</v>
      </c>
      <c r="BE126" s="1312">
        <f t="shared" si="74"/>
        <v>0</v>
      </c>
      <c r="BF126" s="1312">
        <f>BG125*((1+'Instrumentos Financeiros'!$J$43)^(1/12)-1)</f>
        <v>0</v>
      </c>
      <c r="BG126" s="1312">
        <f t="shared" si="44"/>
        <v>0</v>
      </c>
      <c r="BH126" s="1312">
        <f>IF(AND(C126&gt;$F$73,'Instrumentos Financeiros'!C126&lt;'Instrumentos Financeiros'!$F$73+'Instrumentos Financeiros'!$F$11+1),PMT(((1+'Instrumentos Financeiros'!$J$43)^(1/12)-1),$F$11,-$I$73),0)</f>
        <v>0</v>
      </c>
      <c r="BI126" s="1312">
        <f t="shared" si="75"/>
        <v>0</v>
      </c>
      <c r="BJ126" s="1312">
        <f>BK125*((1+'Instrumentos Financeiros'!$J$43)^(1/12)-1)</f>
        <v>0</v>
      </c>
      <c r="BK126" s="1312">
        <f t="shared" si="45"/>
        <v>0</v>
      </c>
      <c r="BL126" s="1312">
        <f>IF(AND(C126&gt;$F$77,'Instrumentos Financeiros'!C126&lt;'Instrumentos Financeiros'!$F$77+'Instrumentos Financeiros'!$F$12+1),PMT(((1+'Instrumentos Financeiros'!$K$43)^(1/12)-1),$F$12,-$I$77),0)</f>
        <v>0</v>
      </c>
      <c r="BM126" s="1312">
        <f t="shared" si="46"/>
        <v>0</v>
      </c>
      <c r="BN126" s="1312">
        <f>BO125*((1+'Instrumentos Financeiros'!$K$43)^(1/12)-1)</f>
        <v>0</v>
      </c>
      <c r="BO126" s="1312">
        <f t="shared" si="47"/>
        <v>0</v>
      </c>
      <c r="BP126" s="1312">
        <f>IF(AND(C126&gt;$F$78,'Instrumentos Financeiros'!C126&lt;'Instrumentos Financeiros'!$F$78+'Instrumentos Financeiros'!$F$12+1),PMT(((1+'Instrumentos Financeiros'!$L$43)^(1/12)-1),$F$12,-$I$78),0)</f>
        <v>0</v>
      </c>
      <c r="BQ126" s="1312">
        <f t="shared" si="48"/>
        <v>0</v>
      </c>
      <c r="BR126" s="1312">
        <f>BS125*((1+'Instrumentos Financeiros'!$L$43)^(1/12)-1)</f>
        <v>0</v>
      </c>
      <c r="BS126" s="1312">
        <f t="shared" si="49"/>
        <v>0</v>
      </c>
      <c r="BT126" s="1312">
        <f>IF(AND(C126&gt;$F$79,'Instrumentos Financeiros'!C126&lt;'Instrumentos Financeiros'!$F$79+'Instrumentos Financeiros'!$F$12+1),PMT(((1+'Instrumentos Financeiros'!$L$43)^(1/12)-1),$F$12,-$I$79),0)</f>
        <v>0</v>
      </c>
      <c r="BU126" s="1312">
        <f t="shared" si="50"/>
        <v>0</v>
      </c>
      <c r="BV126" s="1312">
        <f>BW125*((1+'Instrumentos Financeiros'!$L$43)^(1/12)-1)</f>
        <v>0</v>
      </c>
      <c r="BW126" s="1312">
        <f t="shared" si="51"/>
        <v>0</v>
      </c>
      <c r="BX126" s="1312">
        <f>IF(AND(C126&gt;$F$80,'Instrumentos Financeiros'!C126&lt;'Instrumentos Financeiros'!$F$80+'Instrumentos Financeiros'!$F$12+1),PMT(((1+'Instrumentos Financeiros'!$L$43)^(1/12)-1),$F$12,-$I$80),0)</f>
        <v>0</v>
      </c>
      <c r="BY126" s="1312">
        <f t="shared" si="52"/>
        <v>0</v>
      </c>
      <c r="BZ126" s="1312">
        <f>CA125*((1+'Instrumentos Financeiros'!$L$43)^(1/12)-1)</f>
        <v>0</v>
      </c>
      <c r="CA126" s="1312">
        <f t="shared" si="53"/>
        <v>0</v>
      </c>
      <c r="CB126" s="1312">
        <f>IF(AND(C126&gt;$F$83,'Instrumentos Financeiros'!C126&lt;'Instrumentos Financeiros'!$F$83+'Instrumentos Financeiros'!$F$13+1),PMT(((1+'Instrumentos Financeiros'!$P$43)^(1/12)-1),$F$13,-$I$83),0)</f>
        <v>0</v>
      </c>
      <c r="CC126" s="1312">
        <f t="shared" si="54"/>
        <v>0</v>
      </c>
      <c r="CD126" s="1312">
        <f>CE125*((1+'Instrumentos Financeiros'!$P$43)^(1/12)-1)</f>
        <v>0</v>
      </c>
      <c r="CE126" s="1312">
        <f t="shared" si="55"/>
        <v>0</v>
      </c>
      <c r="CF126" s="1312">
        <f>IF(AND(C126&gt;$F$84,'Instrumentos Financeiros'!C126&lt;'Instrumentos Financeiros'!$F$84+'Instrumentos Financeiros'!$F$13+1),PMT(((1+'Instrumentos Financeiros'!$Q$43)^(1/12)-1),$F$13,-$I$84),0)</f>
        <v>0</v>
      </c>
      <c r="CG126" s="1312">
        <f t="shared" si="56"/>
        <v>0</v>
      </c>
      <c r="CH126" s="1312">
        <f>CI125*((1+'Instrumentos Financeiros'!$Q$43)^(1/12)-1)</f>
        <v>0</v>
      </c>
      <c r="CI126" s="1312">
        <f t="shared" si="57"/>
        <v>0</v>
      </c>
      <c r="CJ126" s="1312">
        <f>IF(AND(C126&gt;$F$85,'Instrumentos Financeiros'!C126&lt;'Instrumentos Financeiros'!$F$85+'Instrumentos Financeiros'!$F$13+1),PMT(((1+'Instrumentos Financeiros'!$Q$43)^(1/12)-1),$F$13,-$I$85),0)</f>
        <v>0</v>
      </c>
      <c r="CK126" s="1312">
        <f t="shared" si="58"/>
        <v>0</v>
      </c>
      <c r="CL126" s="1312">
        <f>CM125*((1+'Instrumentos Financeiros'!$Q$43)^(1/12)-1)</f>
        <v>0</v>
      </c>
      <c r="CM126" s="1312">
        <f t="shared" si="59"/>
        <v>0</v>
      </c>
      <c r="CN126" s="1312">
        <f>IF(AND(C126&gt;$F$86,'Instrumentos Financeiros'!C126&lt;'Instrumentos Financeiros'!$F$86+'Instrumentos Financeiros'!$F$13+1),PMT(((1+'Instrumentos Financeiros'!$Q$43)^(1/12)-1),$F$13,-$I$86),0)</f>
        <v>0</v>
      </c>
      <c r="CO126" s="1312">
        <f t="shared" si="60"/>
        <v>0</v>
      </c>
      <c r="CP126" s="1312">
        <f>CQ125*((1+'Instrumentos Financeiros'!$Q$43)^(1/12)-1)</f>
        <v>0</v>
      </c>
      <c r="CQ126" s="1312">
        <f t="shared" si="61"/>
        <v>0</v>
      </c>
      <c r="CR126" s="1312">
        <f t="shared" si="29"/>
        <v>0</v>
      </c>
      <c r="CS126" s="1312">
        <f t="shared" si="29"/>
        <v>0</v>
      </c>
      <c r="CT126" s="1312">
        <f t="shared" si="29"/>
        <v>0</v>
      </c>
      <c r="CU126" s="1312">
        <f t="shared" si="29"/>
        <v>0</v>
      </c>
    </row>
    <row r="127" spans="3:99" x14ac:dyDescent="0.35">
      <c r="C127" s="1315">
        <f t="shared" si="30"/>
        <v>34</v>
      </c>
      <c r="D127" s="1312">
        <f>IF(AND(C127&gt;$F$59,'Instrumentos Financeiros'!C127&lt;'Instrumentos Financeiros'!$F$59+'Instrumentos Financeiros'!$F$11+1),PMT(((1+'Instrumentos Financeiros'!$G$43)^(1/12)-1),$F$11,-$I$59),0)</f>
        <v>0</v>
      </c>
      <c r="E127" s="1312">
        <f t="shared" si="14"/>
        <v>0</v>
      </c>
      <c r="F127" s="1312">
        <f>G126*((1+'Instrumentos Financeiros'!$G$43)^(1/12)-1)</f>
        <v>0</v>
      </c>
      <c r="G127" s="1312">
        <f t="shared" si="31"/>
        <v>0</v>
      </c>
      <c r="H127" s="1312">
        <f>IF(AND(C127&gt;$F$60,'Instrumentos Financeiros'!C127&lt;'Instrumentos Financeiros'!$F$60+'Instrumentos Financeiros'!$F$11+1),PMT(((1+'Instrumentos Financeiros'!$G$43)^(1/12)-1),$F$11,-$I$60),0)</f>
        <v>0</v>
      </c>
      <c r="I127" s="1312">
        <f t="shared" si="62"/>
        <v>0</v>
      </c>
      <c r="J127" s="1312">
        <f>K126*((1+'Instrumentos Financeiros'!$G$43)^(1/12)-1)</f>
        <v>0</v>
      </c>
      <c r="K127" s="1312">
        <f t="shared" si="32"/>
        <v>0</v>
      </c>
      <c r="L127" s="1312">
        <f>IF(AND(C127&gt;$F$61,'Instrumentos Financeiros'!C127&lt;'Instrumentos Financeiros'!$F$61+'Instrumentos Financeiros'!$F$11+1),PMT(((1+'Instrumentos Financeiros'!$G$43)^(1/12)-1),$F$11,-$I$61),0)</f>
        <v>0</v>
      </c>
      <c r="M127" s="1312">
        <f t="shared" si="63"/>
        <v>0</v>
      </c>
      <c r="N127" s="1312">
        <f>O126*((1+'Instrumentos Financeiros'!$G$43)^(1/12)-1)</f>
        <v>0</v>
      </c>
      <c r="O127" s="1312">
        <f t="shared" si="33"/>
        <v>0</v>
      </c>
      <c r="P127" s="1312">
        <f>IF(AND(C127&gt;$F$62,'Instrumentos Financeiros'!C127&lt;'Instrumentos Financeiros'!$F$62+'Instrumentos Financeiros'!$F$11+1),PMT(((1+'Instrumentos Financeiros'!$H$43)^(1/12)-1),$F$11,-$I$62),0)</f>
        <v>0</v>
      </c>
      <c r="Q127" s="1312">
        <f t="shared" si="64"/>
        <v>0</v>
      </c>
      <c r="R127" s="1312">
        <f>S126*((1+'Instrumentos Financeiros'!$H$43)^(1/12)-1)</f>
        <v>0</v>
      </c>
      <c r="S127" s="1312">
        <f t="shared" si="34"/>
        <v>0</v>
      </c>
      <c r="T127" s="1312">
        <f>IF(AND(C127&gt;$F$63,'Instrumentos Financeiros'!C127&lt;'Instrumentos Financeiros'!$F$63+'Instrumentos Financeiros'!$F$11+1),PMT(((1+'Instrumentos Financeiros'!$H$43)^(1/12)-1),$F$11,-$I$63),0)</f>
        <v>0</v>
      </c>
      <c r="U127" s="1312">
        <f t="shared" si="65"/>
        <v>0</v>
      </c>
      <c r="V127" s="1312">
        <f>W126*((1+'Instrumentos Financeiros'!$H$43)^(1/12)-1)</f>
        <v>0</v>
      </c>
      <c r="W127" s="1312">
        <f t="shared" si="35"/>
        <v>0</v>
      </c>
      <c r="X127" s="1312">
        <f>IF(AND(C127&gt;$F$64,'Instrumentos Financeiros'!C127&lt;'Instrumentos Financeiros'!$F$64+'Instrumentos Financeiros'!$F$11+1),PMT(((1+'Instrumentos Financeiros'!$H$43)^(1/12)-1),$F$11,-$I$64),0)</f>
        <v>0</v>
      </c>
      <c r="Y127" s="1312">
        <f t="shared" si="66"/>
        <v>0</v>
      </c>
      <c r="Z127" s="1312">
        <f>AA126*((1+'Instrumentos Financeiros'!$H$43)^(1/12)-1)</f>
        <v>0</v>
      </c>
      <c r="AA127" s="1312">
        <f t="shared" si="36"/>
        <v>0</v>
      </c>
      <c r="AB127" s="1312">
        <f>IF(AND(C127&gt;$F$65,'Instrumentos Financeiros'!C127&lt;'Instrumentos Financeiros'!$F$65+'Instrumentos Financeiros'!$F$11+1),PMT(((1+'Instrumentos Financeiros'!$H$43)^(1/12)-1),$F$11,-$I$65),0)</f>
        <v>0</v>
      </c>
      <c r="AC127" s="1312">
        <f t="shared" si="67"/>
        <v>0</v>
      </c>
      <c r="AD127" s="1312">
        <f>AE126*((1+'Instrumentos Financeiros'!$H$43)^(1/12)-1)</f>
        <v>0</v>
      </c>
      <c r="AE127" s="1312">
        <f t="shared" si="37"/>
        <v>0</v>
      </c>
      <c r="AF127" s="1312">
        <f>IF(AND(C127&gt;$F$66,'Instrumentos Financeiros'!C127&lt;'Instrumentos Financeiros'!$F$66+'Instrumentos Financeiros'!$F$11+1),PMT(((1+'Instrumentos Financeiros'!$I$43)^(1/12)-1),$F$11,-$I$66),0)</f>
        <v>0</v>
      </c>
      <c r="AG127" s="1312">
        <f t="shared" si="68"/>
        <v>0</v>
      </c>
      <c r="AH127" s="1312">
        <f>AI126*((1+'Instrumentos Financeiros'!$I$43)^(1/12)-1)</f>
        <v>0</v>
      </c>
      <c r="AI127" s="1312">
        <f t="shared" si="38"/>
        <v>0</v>
      </c>
      <c r="AJ127" s="1312">
        <f>IF(AND(C127&gt;$F$67,'Instrumentos Financeiros'!C127&lt;'Instrumentos Financeiros'!$F$67+'Instrumentos Financeiros'!$F$11+1),PMT(((1+'Instrumentos Financeiros'!$I$43)^(1/12)-1),$F$11,-$I$67),0)</f>
        <v>0</v>
      </c>
      <c r="AK127" s="1312">
        <f t="shared" si="69"/>
        <v>0</v>
      </c>
      <c r="AL127" s="1312">
        <f>AM126*((1+'Instrumentos Financeiros'!$I$43)^(1/12)-1)</f>
        <v>0</v>
      </c>
      <c r="AM127" s="1312">
        <f t="shared" si="39"/>
        <v>0</v>
      </c>
      <c r="AN127" s="1312">
        <f>IF(AND(C127&gt;$F$68,'Instrumentos Financeiros'!C127&lt;'Instrumentos Financeiros'!$F$68+'Instrumentos Financeiros'!$F$11+1),PMT(((1+'Instrumentos Financeiros'!$I$43)^(1/12)-1),$F$11,-$I$68),0)</f>
        <v>0</v>
      </c>
      <c r="AO127" s="1312">
        <f t="shared" si="70"/>
        <v>0</v>
      </c>
      <c r="AP127" s="1312">
        <f>AQ126*((1+'Instrumentos Financeiros'!$I$43)^(1/12)-1)</f>
        <v>0</v>
      </c>
      <c r="AQ127" s="1312">
        <f t="shared" si="40"/>
        <v>0</v>
      </c>
      <c r="AR127" s="1312">
        <f>IF(AND(C127&gt;$F$69,'Instrumentos Financeiros'!C127&lt;'Instrumentos Financeiros'!$F$69+'Instrumentos Financeiros'!$F$11+1),PMT(((1+'Instrumentos Financeiros'!$I$43)^(1/12)-1),$F$11,-$I$69),0)</f>
        <v>0</v>
      </c>
      <c r="AS127" s="1312">
        <f t="shared" si="71"/>
        <v>0</v>
      </c>
      <c r="AT127" s="1312">
        <f>AU126*((1+'Instrumentos Financeiros'!$I$43)^(1/12)-1)</f>
        <v>0</v>
      </c>
      <c r="AU127" s="1312">
        <f t="shared" si="41"/>
        <v>0</v>
      </c>
      <c r="AV127" s="1312">
        <f>IF(AND(C127&gt;$F$70,'Instrumentos Financeiros'!C127&lt;'Instrumentos Financeiros'!$F$70+'Instrumentos Financeiros'!$F$11+1),PMT(((1+'Instrumentos Financeiros'!$J$43)^(1/12)-1),$F$11,-$I$70),0)</f>
        <v>0</v>
      </c>
      <c r="AW127" s="1312">
        <f t="shared" si="72"/>
        <v>0</v>
      </c>
      <c r="AX127" s="1312">
        <f>AY126*((1+'Instrumentos Financeiros'!$J$43)^(1/12)-1)</f>
        <v>0</v>
      </c>
      <c r="AY127" s="1312">
        <f t="shared" si="42"/>
        <v>0</v>
      </c>
      <c r="AZ127" s="1312">
        <f>IF(AND(C127&gt;$F$71,'Instrumentos Financeiros'!C127&lt;'Instrumentos Financeiros'!$F$71+'Instrumentos Financeiros'!$F$11+1),PMT(((1+'Instrumentos Financeiros'!$J$43)^(1/12)-1),$F$11,-$I$71),0)</f>
        <v>0</v>
      </c>
      <c r="BA127" s="1312">
        <f t="shared" si="73"/>
        <v>0</v>
      </c>
      <c r="BB127" s="1312">
        <f>BC126*((1+'Instrumentos Financeiros'!$J$43)^(1/12)-1)</f>
        <v>0</v>
      </c>
      <c r="BC127" s="1312">
        <f t="shared" si="43"/>
        <v>0</v>
      </c>
      <c r="BD127" s="1312">
        <f>IF(AND(C127&gt;$F$72,'Instrumentos Financeiros'!C127&lt;'Instrumentos Financeiros'!$F$72+'Instrumentos Financeiros'!$F$11+1),PMT(((1+'Instrumentos Financeiros'!$J$43)^(1/12)-1),$F$11,-'Instrumentos Financeiros'!$G$7*$G$72),0)</f>
        <v>0</v>
      </c>
      <c r="BE127" s="1312">
        <f t="shared" si="74"/>
        <v>0</v>
      </c>
      <c r="BF127" s="1312">
        <f>BG126*((1+'Instrumentos Financeiros'!$J$43)^(1/12)-1)</f>
        <v>0</v>
      </c>
      <c r="BG127" s="1312">
        <f t="shared" si="44"/>
        <v>0</v>
      </c>
      <c r="BH127" s="1312">
        <f>IF(AND(C127&gt;$F$73,'Instrumentos Financeiros'!C127&lt;'Instrumentos Financeiros'!$F$73+'Instrumentos Financeiros'!$F$11+1),PMT(((1+'Instrumentos Financeiros'!$J$43)^(1/12)-1),$F$11,-$I$73),0)</f>
        <v>0</v>
      </c>
      <c r="BI127" s="1312">
        <f t="shared" si="75"/>
        <v>0</v>
      </c>
      <c r="BJ127" s="1312">
        <f>BK126*((1+'Instrumentos Financeiros'!$J$43)^(1/12)-1)</f>
        <v>0</v>
      </c>
      <c r="BK127" s="1312">
        <f t="shared" si="45"/>
        <v>0</v>
      </c>
      <c r="BL127" s="1312">
        <f>IF(AND(C127&gt;$F$77,'Instrumentos Financeiros'!C127&lt;'Instrumentos Financeiros'!$F$77+'Instrumentos Financeiros'!$F$12+1),PMT(((1+'Instrumentos Financeiros'!$K$43)^(1/12)-1),$F$12,-$I$77),0)</f>
        <v>0</v>
      </c>
      <c r="BM127" s="1312">
        <f t="shared" si="46"/>
        <v>0</v>
      </c>
      <c r="BN127" s="1312">
        <f>BO126*((1+'Instrumentos Financeiros'!$K$43)^(1/12)-1)</f>
        <v>0</v>
      </c>
      <c r="BO127" s="1312">
        <f t="shared" si="47"/>
        <v>0</v>
      </c>
      <c r="BP127" s="1312">
        <f>IF(AND(C127&gt;$F$78,'Instrumentos Financeiros'!C127&lt;'Instrumentos Financeiros'!$F$78+'Instrumentos Financeiros'!$F$12+1),PMT(((1+'Instrumentos Financeiros'!$L$43)^(1/12)-1),$F$12,-$I$78),0)</f>
        <v>0</v>
      </c>
      <c r="BQ127" s="1312">
        <f t="shared" si="48"/>
        <v>0</v>
      </c>
      <c r="BR127" s="1312">
        <f>BS126*((1+'Instrumentos Financeiros'!$L$43)^(1/12)-1)</f>
        <v>0</v>
      </c>
      <c r="BS127" s="1312">
        <f t="shared" si="49"/>
        <v>0</v>
      </c>
      <c r="BT127" s="1312">
        <f>IF(AND(C127&gt;$F$79,'Instrumentos Financeiros'!C127&lt;'Instrumentos Financeiros'!$F$79+'Instrumentos Financeiros'!$F$12+1),PMT(((1+'Instrumentos Financeiros'!$L$43)^(1/12)-1),$F$12,-$I$79),0)</f>
        <v>0</v>
      </c>
      <c r="BU127" s="1312">
        <f t="shared" si="50"/>
        <v>0</v>
      </c>
      <c r="BV127" s="1312">
        <f>BW126*((1+'Instrumentos Financeiros'!$L$43)^(1/12)-1)</f>
        <v>0</v>
      </c>
      <c r="BW127" s="1312">
        <f t="shared" si="51"/>
        <v>0</v>
      </c>
      <c r="BX127" s="1312">
        <f>IF(AND(C127&gt;$F$80,'Instrumentos Financeiros'!C127&lt;'Instrumentos Financeiros'!$F$80+'Instrumentos Financeiros'!$F$12+1),PMT(((1+'Instrumentos Financeiros'!$L$43)^(1/12)-1),$F$12,-$I$80),0)</f>
        <v>0</v>
      </c>
      <c r="BY127" s="1312">
        <f t="shared" si="52"/>
        <v>0</v>
      </c>
      <c r="BZ127" s="1312">
        <f>CA126*((1+'Instrumentos Financeiros'!$L$43)^(1/12)-1)</f>
        <v>0</v>
      </c>
      <c r="CA127" s="1312">
        <f t="shared" si="53"/>
        <v>0</v>
      </c>
      <c r="CB127" s="1312">
        <f>IF(AND(C127&gt;$F$83,'Instrumentos Financeiros'!C127&lt;'Instrumentos Financeiros'!$F$83+'Instrumentos Financeiros'!$F$13+1),PMT(((1+'Instrumentos Financeiros'!$P$43)^(1/12)-1),$F$13,-$I$83),0)</f>
        <v>0</v>
      </c>
      <c r="CC127" s="1312">
        <f t="shared" si="54"/>
        <v>0</v>
      </c>
      <c r="CD127" s="1312">
        <f>CE126*((1+'Instrumentos Financeiros'!$P$43)^(1/12)-1)</f>
        <v>0</v>
      </c>
      <c r="CE127" s="1312">
        <f t="shared" si="55"/>
        <v>0</v>
      </c>
      <c r="CF127" s="1312">
        <f>IF(AND(C127&gt;$F$84,'Instrumentos Financeiros'!C127&lt;'Instrumentos Financeiros'!$F$84+'Instrumentos Financeiros'!$F$13+1),PMT(((1+'Instrumentos Financeiros'!$Q$43)^(1/12)-1),$F$13,-$I$84),0)</f>
        <v>0</v>
      </c>
      <c r="CG127" s="1312">
        <f t="shared" si="56"/>
        <v>0</v>
      </c>
      <c r="CH127" s="1312">
        <f>CI126*((1+'Instrumentos Financeiros'!$Q$43)^(1/12)-1)</f>
        <v>0</v>
      </c>
      <c r="CI127" s="1312">
        <f t="shared" si="57"/>
        <v>0</v>
      </c>
      <c r="CJ127" s="1312">
        <f>IF(AND(C127&gt;$F$85,'Instrumentos Financeiros'!C127&lt;'Instrumentos Financeiros'!$F$85+'Instrumentos Financeiros'!$F$13+1),PMT(((1+'Instrumentos Financeiros'!$Q$43)^(1/12)-1),$F$13,-$I$85),0)</f>
        <v>0</v>
      </c>
      <c r="CK127" s="1312">
        <f t="shared" si="58"/>
        <v>0</v>
      </c>
      <c r="CL127" s="1312">
        <f>CM126*((1+'Instrumentos Financeiros'!$Q$43)^(1/12)-1)</f>
        <v>0</v>
      </c>
      <c r="CM127" s="1312">
        <f t="shared" si="59"/>
        <v>0</v>
      </c>
      <c r="CN127" s="1312">
        <f>IF(AND(C127&gt;$F$86,'Instrumentos Financeiros'!C127&lt;'Instrumentos Financeiros'!$F$86+'Instrumentos Financeiros'!$F$13+1),PMT(((1+'Instrumentos Financeiros'!$Q$43)^(1/12)-1),$F$13,-$I$86),0)</f>
        <v>0</v>
      </c>
      <c r="CO127" s="1312">
        <f t="shared" si="60"/>
        <v>0</v>
      </c>
      <c r="CP127" s="1312">
        <f>CQ126*((1+'Instrumentos Financeiros'!$Q$43)^(1/12)-1)</f>
        <v>0</v>
      </c>
      <c r="CQ127" s="1312">
        <f t="shared" si="61"/>
        <v>0</v>
      </c>
      <c r="CR127" s="1312">
        <f t="shared" si="29"/>
        <v>0</v>
      </c>
      <c r="CS127" s="1312">
        <f t="shared" si="29"/>
        <v>0</v>
      </c>
      <c r="CT127" s="1312">
        <f t="shared" si="29"/>
        <v>0</v>
      </c>
      <c r="CU127" s="1312">
        <f t="shared" si="29"/>
        <v>0</v>
      </c>
    </row>
    <row r="128" spans="3:99" x14ac:dyDescent="0.35">
      <c r="C128" s="1315">
        <f t="shared" si="30"/>
        <v>35</v>
      </c>
      <c r="D128" s="1312">
        <f>IF(AND(C128&gt;$F$59,'Instrumentos Financeiros'!C128&lt;'Instrumentos Financeiros'!$F$59+'Instrumentos Financeiros'!$F$11+1),PMT(((1+'Instrumentos Financeiros'!$G$43)^(1/12)-1),$F$11,-$I$59),0)</f>
        <v>0</v>
      </c>
      <c r="E128" s="1312">
        <f t="shared" si="14"/>
        <v>0</v>
      </c>
      <c r="F128" s="1312">
        <f>G127*((1+'Instrumentos Financeiros'!$G$43)^(1/12)-1)</f>
        <v>0</v>
      </c>
      <c r="G128" s="1312">
        <f t="shared" si="31"/>
        <v>0</v>
      </c>
      <c r="H128" s="1312">
        <f>IF(AND(C128&gt;$F$60,'Instrumentos Financeiros'!C128&lt;'Instrumentos Financeiros'!$F$60+'Instrumentos Financeiros'!$F$11+1),PMT(((1+'Instrumentos Financeiros'!$G$43)^(1/12)-1),$F$11,-$I$60),0)</f>
        <v>0</v>
      </c>
      <c r="I128" s="1312">
        <f t="shared" si="62"/>
        <v>0</v>
      </c>
      <c r="J128" s="1312">
        <f>K127*((1+'Instrumentos Financeiros'!$G$43)^(1/12)-1)</f>
        <v>0</v>
      </c>
      <c r="K128" s="1312">
        <f t="shared" si="32"/>
        <v>0</v>
      </c>
      <c r="L128" s="1312">
        <f>IF(AND(C128&gt;$F$61,'Instrumentos Financeiros'!C128&lt;'Instrumentos Financeiros'!$F$61+'Instrumentos Financeiros'!$F$11+1),PMT(((1+'Instrumentos Financeiros'!$G$43)^(1/12)-1),$F$11,-$I$61),0)</f>
        <v>0</v>
      </c>
      <c r="M128" s="1312">
        <f t="shared" si="63"/>
        <v>0</v>
      </c>
      <c r="N128" s="1312">
        <f>O127*((1+'Instrumentos Financeiros'!$G$43)^(1/12)-1)</f>
        <v>0</v>
      </c>
      <c r="O128" s="1312">
        <f t="shared" si="33"/>
        <v>0</v>
      </c>
      <c r="P128" s="1312">
        <f>IF(AND(C128&gt;$F$62,'Instrumentos Financeiros'!C128&lt;'Instrumentos Financeiros'!$F$62+'Instrumentos Financeiros'!$F$11+1),PMT(((1+'Instrumentos Financeiros'!$H$43)^(1/12)-1),$F$11,-$I$62),0)</f>
        <v>0</v>
      </c>
      <c r="Q128" s="1312">
        <f t="shared" si="64"/>
        <v>0</v>
      </c>
      <c r="R128" s="1312">
        <f>S127*((1+'Instrumentos Financeiros'!$H$43)^(1/12)-1)</f>
        <v>0</v>
      </c>
      <c r="S128" s="1312">
        <f t="shared" si="34"/>
        <v>0</v>
      </c>
      <c r="T128" s="1312">
        <f>IF(AND(C128&gt;$F$63,'Instrumentos Financeiros'!C128&lt;'Instrumentos Financeiros'!$F$63+'Instrumentos Financeiros'!$F$11+1),PMT(((1+'Instrumentos Financeiros'!$H$43)^(1/12)-1),$F$11,-$I$63),0)</f>
        <v>0</v>
      </c>
      <c r="U128" s="1312">
        <f t="shared" si="65"/>
        <v>0</v>
      </c>
      <c r="V128" s="1312">
        <f>W127*((1+'Instrumentos Financeiros'!$H$43)^(1/12)-1)</f>
        <v>0</v>
      </c>
      <c r="W128" s="1312">
        <f t="shared" si="35"/>
        <v>0</v>
      </c>
      <c r="X128" s="1312">
        <f>IF(AND(C128&gt;$F$64,'Instrumentos Financeiros'!C128&lt;'Instrumentos Financeiros'!$F$64+'Instrumentos Financeiros'!$F$11+1),PMT(((1+'Instrumentos Financeiros'!$H$43)^(1/12)-1),$F$11,-$I$64),0)</f>
        <v>0</v>
      </c>
      <c r="Y128" s="1312">
        <f t="shared" si="66"/>
        <v>0</v>
      </c>
      <c r="Z128" s="1312">
        <f>AA127*((1+'Instrumentos Financeiros'!$H$43)^(1/12)-1)</f>
        <v>0</v>
      </c>
      <c r="AA128" s="1312">
        <f t="shared" si="36"/>
        <v>0</v>
      </c>
      <c r="AB128" s="1312">
        <f>IF(AND(C128&gt;$F$65,'Instrumentos Financeiros'!C128&lt;'Instrumentos Financeiros'!$F$65+'Instrumentos Financeiros'!$F$11+1),PMT(((1+'Instrumentos Financeiros'!$H$43)^(1/12)-1),$F$11,-$I$65),0)</f>
        <v>0</v>
      </c>
      <c r="AC128" s="1312">
        <f t="shared" si="67"/>
        <v>0</v>
      </c>
      <c r="AD128" s="1312">
        <f>AE127*((1+'Instrumentos Financeiros'!$H$43)^(1/12)-1)</f>
        <v>0</v>
      </c>
      <c r="AE128" s="1312">
        <f t="shared" si="37"/>
        <v>0</v>
      </c>
      <c r="AF128" s="1312">
        <f>IF(AND(C128&gt;$F$66,'Instrumentos Financeiros'!C128&lt;'Instrumentos Financeiros'!$F$66+'Instrumentos Financeiros'!$F$11+1),PMT(((1+'Instrumentos Financeiros'!$I$43)^(1/12)-1),$F$11,-$I$66),0)</f>
        <v>0</v>
      </c>
      <c r="AG128" s="1312">
        <f t="shared" si="68"/>
        <v>0</v>
      </c>
      <c r="AH128" s="1312">
        <f>AI127*((1+'Instrumentos Financeiros'!$I$43)^(1/12)-1)</f>
        <v>0</v>
      </c>
      <c r="AI128" s="1312">
        <f t="shared" si="38"/>
        <v>0</v>
      </c>
      <c r="AJ128" s="1312">
        <f>IF(AND(C128&gt;$F$67,'Instrumentos Financeiros'!C128&lt;'Instrumentos Financeiros'!$F$67+'Instrumentos Financeiros'!$F$11+1),PMT(((1+'Instrumentos Financeiros'!$I$43)^(1/12)-1),$F$11,-$I$67),0)</f>
        <v>0</v>
      </c>
      <c r="AK128" s="1312">
        <f t="shared" si="69"/>
        <v>0</v>
      </c>
      <c r="AL128" s="1312">
        <f>AM127*((1+'Instrumentos Financeiros'!$I$43)^(1/12)-1)</f>
        <v>0</v>
      </c>
      <c r="AM128" s="1312">
        <f t="shared" si="39"/>
        <v>0</v>
      </c>
      <c r="AN128" s="1312">
        <f>IF(AND(C128&gt;$F$68,'Instrumentos Financeiros'!C128&lt;'Instrumentos Financeiros'!$F$68+'Instrumentos Financeiros'!$F$11+1),PMT(((1+'Instrumentos Financeiros'!$I$43)^(1/12)-1),$F$11,-$I$68),0)</f>
        <v>0</v>
      </c>
      <c r="AO128" s="1312">
        <f t="shared" si="70"/>
        <v>0</v>
      </c>
      <c r="AP128" s="1312">
        <f>AQ127*((1+'Instrumentos Financeiros'!$I$43)^(1/12)-1)</f>
        <v>0</v>
      </c>
      <c r="AQ128" s="1312">
        <f t="shared" si="40"/>
        <v>0</v>
      </c>
      <c r="AR128" s="1312">
        <f>IF(AND(C128&gt;$F$69,'Instrumentos Financeiros'!C128&lt;'Instrumentos Financeiros'!$F$69+'Instrumentos Financeiros'!$F$11+1),PMT(((1+'Instrumentos Financeiros'!$I$43)^(1/12)-1),$F$11,-$I$69),0)</f>
        <v>0</v>
      </c>
      <c r="AS128" s="1312">
        <f t="shared" si="71"/>
        <v>0</v>
      </c>
      <c r="AT128" s="1312">
        <f>AU127*((1+'Instrumentos Financeiros'!$I$43)^(1/12)-1)</f>
        <v>0</v>
      </c>
      <c r="AU128" s="1312">
        <f t="shared" si="41"/>
        <v>0</v>
      </c>
      <c r="AV128" s="1312">
        <f>IF(AND(C128&gt;$F$70,'Instrumentos Financeiros'!C128&lt;'Instrumentos Financeiros'!$F$70+'Instrumentos Financeiros'!$F$11+1),PMT(((1+'Instrumentos Financeiros'!$J$43)^(1/12)-1),$F$11,-$I$70),0)</f>
        <v>0</v>
      </c>
      <c r="AW128" s="1312">
        <f t="shared" si="72"/>
        <v>0</v>
      </c>
      <c r="AX128" s="1312">
        <f>AY127*((1+'Instrumentos Financeiros'!$J$43)^(1/12)-1)</f>
        <v>0</v>
      </c>
      <c r="AY128" s="1312">
        <f t="shared" si="42"/>
        <v>0</v>
      </c>
      <c r="AZ128" s="1312">
        <f>IF(AND(C128&gt;$F$71,'Instrumentos Financeiros'!C128&lt;'Instrumentos Financeiros'!$F$71+'Instrumentos Financeiros'!$F$11+1),PMT(((1+'Instrumentos Financeiros'!$J$43)^(1/12)-1),$F$11,-$I$71),0)</f>
        <v>0</v>
      </c>
      <c r="BA128" s="1312">
        <f t="shared" si="73"/>
        <v>0</v>
      </c>
      <c r="BB128" s="1312">
        <f>BC127*((1+'Instrumentos Financeiros'!$J$43)^(1/12)-1)</f>
        <v>0</v>
      </c>
      <c r="BC128" s="1312">
        <f t="shared" si="43"/>
        <v>0</v>
      </c>
      <c r="BD128" s="1312">
        <f>IF(AND(C128&gt;$F$72,'Instrumentos Financeiros'!C128&lt;'Instrumentos Financeiros'!$F$72+'Instrumentos Financeiros'!$F$11+1),PMT(((1+'Instrumentos Financeiros'!$J$43)^(1/12)-1),$F$11,-'Instrumentos Financeiros'!$G$7*$G$72),0)</f>
        <v>0</v>
      </c>
      <c r="BE128" s="1312">
        <f t="shared" si="74"/>
        <v>0</v>
      </c>
      <c r="BF128" s="1312">
        <f>BG127*((1+'Instrumentos Financeiros'!$J$43)^(1/12)-1)</f>
        <v>0</v>
      </c>
      <c r="BG128" s="1312">
        <f t="shared" si="44"/>
        <v>0</v>
      </c>
      <c r="BH128" s="1312">
        <f>IF(AND(C128&gt;$F$73,'Instrumentos Financeiros'!C128&lt;'Instrumentos Financeiros'!$F$73+'Instrumentos Financeiros'!$F$11+1),PMT(((1+'Instrumentos Financeiros'!$J$43)^(1/12)-1),$F$11,-$I$73),0)</f>
        <v>0</v>
      </c>
      <c r="BI128" s="1312">
        <f t="shared" si="75"/>
        <v>0</v>
      </c>
      <c r="BJ128" s="1312">
        <f>BK127*((1+'Instrumentos Financeiros'!$J$43)^(1/12)-1)</f>
        <v>0</v>
      </c>
      <c r="BK128" s="1312">
        <f t="shared" si="45"/>
        <v>0</v>
      </c>
      <c r="BL128" s="1312">
        <f>IF(AND(C128&gt;$F$77,'Instrumentos Financeiros'!C128&lt;'Instrumentos Financeiros'!$F$77+'Instrumentos Financeiros'!$F$12+1),PMT(((1+'Instrumentos Financeiros'!$K$43)^(1/12)-1),$F$12,-$I$77),0)</f>
        <v>0</v>
      </c>
      <c r="BM128" s="1312">
        <f t="shared" si="46"/>
        <v>0</v>
      </c>
      <c r="BN128" s="1312">
        <f>BO127*((1+'Instrumentos Financeiros'!$K$43)^(1/12)-1)</f>
        <v>0</v>
      </c>
      <c r="BO128" s="1312">
        <f t="shared" si="47"/>
        <v>0</v>
      </c>
      <c r="BP128" s="1312">
        <f>IF(AND(C128&gt;$F$78,'Instrumentos Financeiros'!C128&lt;'Instrumentos Financeiros'!$F$78+'Instrumentos Financeiros'!$F$12+1),PMT(((1+'Instrumentos Financeiros'!$L$43)^(1/12)-1),$F$12,-$I$78),0)</f>
        <v>0</v>
      </c>
      <c r="BQ128" s="1312">
        <f t="shared" si="48"/>
        <v>0</v>
      </c>
      <c r="BR128" s="1312">
        <f>BS127*((1+'Instrumentos Financeiros'!$L$43)^(1/12)-1)</f>
        <v>0</v>
      </c>
      <c r="BS128" s="1312">
        <f t="shared" si="49"/>
        <v>0</v>
      </c>
      <c r="BT128" s="1312">
        <f>IF(AND(C128&gt;$F$79,'Instrumentos Financeiros'!C128&lt;'Instrumentos Financeiros'!$F$79+'Instrumentos Financeiros'!$F$12+1),PMT(((1+'Instrumentos Financeiros'!$L$43)^(1/12)-1),$F$12,-$I$79),0)</f>
        <v>0</v>
      </c>
      <c r="BU128" s="1312">
        <f t="shared" si="50"/>
        <v>0</v>
      </c>
      <c r="BV128" s="1312">
        <f>BW127*((1+'Instrumentos Financeiros'!$L$43)^(1/12)-1)</f>
        <v>0</v>
      </c>
      <c r="BW128" s="1312">
        <f t="shared" si="51"/>
        <v>0</v>
      </c>
      <c r="BX128" s="1312">
        <f>IF(AND(C128&gt;$F$80,'Instrumentos Financeiros'!C128&lt;'Instrumentos Financeiros'!$F$80+'Instrumentos Financeiros'!$F$12+1),PMT(((1+'Instrumentos Financeiros'!$L$43)^(1/12)-1),$F$12,-$I$80),0)</f>
        <v>0</v>
      </c>
      <c r="BY128" s="1312">
        <f t="shared" si="52"/>
        <v>0</v>
      </c>
      <c r="BZ128" s="1312">
        <f>CA127*((1+'Instrumentos Financeiros'!$L$43)^(1/12)-1)</f>
        <v>0</v>
      </c>
      <c r="CA128" s="1312">
        <f t="shared" si="53"/>
        <v>0</v>
      </c>
      <c r="CB128" s="1312">
        <f>IF(AND(C128&gt;$F$83,'Instrumentos Financeiros'!C128&lt;'Instrumentos Financeiros'!$F$83+'Instrumentos Financeiros'!$F$13+1),PMT(((1+'Instrumentos Financeiros'!$P$43)^(1/12)-1),$F$13,-$I$83),0)</f>
        <v>0</v>
      </c>
      <c r="CC128" s="1312">
        <f t="shared" si="54"/>
        <v>0</v>
      </c>
      <c r="CD128" s="1312">
        <f>CE127*((1+'Instrumentos Financeiros'!$P$43)^(1/12)-1)</f>
        <v>0</v>
      </c>
      <c r="CE128" s="1312">
        <f t="shared" si="55"/>
        <v>0</v>
      </c>
      <c r="CF128" s="1312">
        <f>IF(AND(C128&gt;$F$84,'Instrumentos Financeiros'!C128&lt;'Instrumentos Financeiros'!$F$84+'Instrumentos Financeiros'!$F$13+1),PMT(((1+'Instrumentos Financeiros'!$Q$43)^(1/12)-1),$F$13,-$I$84),0)</f>
        <v>0</v>
      </c>
      <c r="CG128" s="1312">
        <f t="shared" si="56"/>
        <v>0</v>
      </c>
      <c r="CH128" s="1312">
        <f>CI127*((1+'Instrumentos Financeiros'!$Q$43)^(1/12)-1)</f>
        <v>0</v>
      </c>
      <c r="CI128" s="1312">
        <f t="shared" si="57"/>
        <v>0</v>
      </c>
      <c r="CJ128" s="1312">
        <f>IF(AND(C128&gt;$F$85,'Instrumentos Financeiros'!C128&lt;'Instrumentos Financeiros'!$F$85+'Instrumentos Financeiros'!$F$13+1),PMT(((1+'Instrumentos Financeiros'!$Q$43)^(1/12)-1),$F$13,-$I$85),0)</f>
        <v>0</v>
      </c>
      <c r="CK128" s="1312">
        <f t="shared" si="58"/>
        <v>0</v>
      </c>
      <c r="CL128" s="1312">
        <f>CM127*((1+'Instrumentos Financeiros'!$Q$43)^(1/12)-1)</f>
        <v>0</v>
      </c>
      <c r="CM128" s="1312">
        <f t="shared" si="59"/>
        <v>0</v>
      </c>
      <c r="CN128" s="1312">
        <f>IF(AND(C128&gt;$F$86,'Instrumentos Financeiros'!C128&lt;'Instrumentos Financeiros'!$F$86+'Instrumentos Financeiros'!$F$13+1),PMT(((1+'Instrumentos Financeiros'!$Q$43)^(1/12)-1),$F$13,-$I$86),0)</f>
        <v>0</v>
      </c>
      <c r="CO128" s="1312">
        <f t="shared" si="60"/>
        <v>0</v>
      </c>
      <c r="CP128" s="1312">
        <f>CQ127*((1+'Instrumentos Financeiros'!$Q$43)^(1/12)-1)</f>
        <v>0</v>
      </c>
      <c r="CQ128" s="1312">
        <f t="shared" si="61"/>
        <v>0</v>
      </c>
      <c r="CR128" s="1312">
        <f t="shared" si="29"/>
        <v>0</v>
      </c>
      <c r="CS128" s="1312">
        <f t="shared" si="29"/>
        <v>0</v>
      </c>
      <c r="CT128" s="1312">
        <f t="shared" si="29"/>
        <v>0</v>
      </c>
      <c r="CU128" s="1312">
        <f t="shared" si="29"/>
        <v>0</v>
      </c>
    </row>
    <row r="129" spans="3:99" x14ac:dyDescent="0.35">
      <c r="C129" s="1316">
        <f t="shared" si="30"/>
        <v>36</v>
      </c>
      <c r="D129" s="1313">
        <f>IF(AND(C129&gt;$F$59,'Instrumentos Financeiros'!C129&lt;'Instrumentos Financeiros'!$F$59+'Instrumentos Financeiros'!$F$11+1),PMT(((1+'Instrumentos Financeiros'!$G$43)^(1/12)-1),$F$11,-$I$59),0)</f>
        <v>0</v>
      </c>
      <c r="E129" s="1313">
        <f t="shared" si="14"/>
        <v>0</v>
      </c>
      <c r="F129" s="1313">
        <f>G128*((1+'Instrumentos Financeiros'!$G$43)^(1/12)-1)</f>
        <v>0</v>
      </c>
      <c r="G129" s="1313">
        <f t="shared" si="31"/>
        <v>0</v>
      </c>
      <c r="H129" s="1313">
        <f>IF(AND(C129&gt;$F$60,'Instrumentos Financeiros'!C129&lt;'Instrumentos Financeiros'!$F$60+'Instrumentos Financeiros'!$F$11+1),PMT(((1+'Instrumentos Financeiros'!$G$43)^(1/12)-1),$F$11,-$I$60),0)</f>
        <v>0</v>
      </c>
      <c r="I129" s="1313">
        <f t="shared" si="62"/>
        <v>0</v>
      </c>
      <c r="J129" s="1313">
        <f>K128*((1+'Instrumentos Financeiros'!$G$43)^(1/12)-1)</f>
        <v>0</v>
      </c>
      <c r="K129" s="1313">
        <f t="shared" si="32"/>
        <v>0</v>
      </c>
      <c r="L129" s="1313">
        <f>IF(AND(C129&gt;$F$61,'Instrumentos Financeiros'!C129&lt;'Instrumentos Financeiros'!$F$61+'Instrumentos Financeiros'!$F$11+1),PMT(((1+'Instrumentos Financeiros'!$G$43)^(1/12)-1),$F$11,-$I$61),0)</f>
        <v>0</v>
      </c>
      <c r="M129" s="1313">
        <f t="shared" si="63"/>
        <v>0</v>
      </c>
      <c r="N129" s="1313">
        <f>O128*((1+'Instrumentos Financeiros'!$G$43)^(1/12)-1)</f>
        <v>0</v>
      </c>
      <c r="O129" s="1313">
        <f t="shared" si="33"/>
        <v>0</v>
      </c>
      <c r="P129" s="1313">
        <f>IF(AND(C129&gt;$F$62,'Instrumentos Financeiros'!C129&lt;'Instrumentos Financeiros'!$F$62+'Instrumentos Financeiros'!$F$11+1),PMT(((1+'Instrumentos Financeiros'!$H$43)^(1/12)-1),$F$11,-$I$62),0)</f>
        <v>0</v>
      </c>
      <c r="Q129" s="1313">
        <f t="shared" si="64"/>
        <v>0</v>
      </c>
      <c r="R129" s="1313">
        <f>S128*((1+'Instrumentos Financeiros'!$H$43)^(1/12)-1)</f>
        <v>0</v>
      </c>
      <c r="S129" s="1313">
        <f t="shared" si="34"/>
        <v>0</v>
      </c>
      <c r="T129" s="1313">
        <f>IF(AND(C129&gt;$F$63,'Instrumentos Financeiros'!C129&lt;'Instrumentos Financeiros'!$F$63+'Instrumentos Financeiros'!$F$11+1),PMT(((1+'Instrumentos Financeiros'!$H$43)^(1/12)-1),$F$11,-$I$63),0)</f>
        <v>0</v>
      </c>
      <c r="U129" s="1313">
        <f t="shared" si="65"/>
        <v>0</v>
      </c>
      <c r="V129" s="1313">
        <f>W128*((1+'Instrumentos Financeiros'!$H$43)^(1/12)-1)</f>
        <v>0</v>
      </c>
      <c r="W129" s="1313">
        <f t="shared" si="35"/>
        <v>0</v>
      </c>
      <c r="X129" s="1313">
        <f>IF(AND(C129&gt;$F$64,'Instrumentos Financeiros'!C129&lt;'Instrumentos Financeiros'!$F$64+'Instrumentos Financeiros'!$F$11+1),PMT(((1+'Instrumentos Financeiros'!$H$43)^(1/12)-1),$F$11,-$I$64),0)</f>
        <v>0</v>
      </c>
      <c r="Y129" s="1313">
        <f t="shared" si="66"/>
        <v>0</v>
      </c>
      <c r="Z129" s="1313">
        <f>AA128*((1+'Instrumentos Financeiros'!$H$43)^(1/12)-1)</f>
        <v>0</v>
      </c>
      <c r="AA129" s="1313">
        <f t="shared" si="36"/>
        <v>0</v>
      </c>
      <c r="AB129" s="1313">
        <f>IF(AND(C129&gt;$F$65,'Instrumentos Financeiros'!C129&lt;'Instrumentos Financeiros'!$F$65+'Instrumentos Financeiros'!$F$11+1),PMT(((1+'Instrumentos Financeiros'!$H$43)^(1/12)-1),$F$11,-$I$65),0)</f>
        <v>0</v>
      </c>
      <c r="AC129" s="1313">
        <f t="shared" si="67"/>
        <v>0</v>
      </c>
      <c r="AD129" s="1313">
        <f>AE128*((1+'Instrumentos Financeiros'!$H$43)^(1/12)-1)</f>
        <v>0</v>
      </c>
      <c r="AE129" s="1313">
        <f t="shared" si="37"/>
        <v>0</v>
      </c>
      <c r="AF129" s="1313">
        <f>IF(AND(C129&gt;$F$66,'Instrumentos Financeiros'!C129&lt;'Instrumentos Financeiros'!$F$66+'Instrumentos Financeiros'!$F$11+1),PMT(((1+'Instrumentos Financeiros'!$I$43)^(1/12)-1),$F$11,-$I$66),0)</f>
        <v>0</v>
      </c>
      <c r="AG129" s="1313">
        <f t="shared" si="68"/>
        <v>0</v>
      </c>
      <c r="AH129" s="1313">
        <f>AI128*((1+'Instrumentos Financeiros'!$I$43)^(1/12)-1)</f>
        <v>0</v>
      </c>
      <c r="AI129" s="1313">
        <f t="shared" si="38"/>
        <v>0</v>
      </c>
      <c r="AJ129" s="1313">
        <f>IF(AND(C129&gt;$F$67,'Instrumentos Financeiros'!C129&lt;'Instrumentos Financeiros'!$F$67+'Instrumentos Financeiros'!$F$11+1),PMT(((1+'Instrumentos Financeiros'!$I$43)^(1/12)-1),$F$11,-$I$67),0)</f>
        <v>0</v>
      </c>
      <c r="AK129" s="1313">
        <f t="shared" si="69"/>
        <v>0</v>
      </c>
      <c r="AL129" s="1313">
        <f>AM128*((1+'Instrumentos Financeiros'!$I$43)^(1/12)-1)</f>
        <v>0</v>
      </c>
      <c r="AM129" s="1313">
        <f t="shared" si="39"/>
        <v>0</v>
      </c>
      <c r="AN129" s="1313">
        <f>IF(AND(C129&gt;$F$68,'Instrumentos Financeiros'!C129&lt;'Instrumentos Financeiros'!$F$68+'Instrumentos Financeiros'!$F$11+1),PMT(((1+'Instrumentos Financeiros'!$I$43)^(1/12)-1),$F$11,-$I$68),0)</f>
        <v>0</v>
      </c>
      <c r="AO129" s="1313">
        <f t="shared" si="70"/>
        <v>0</v>
      </c>
      <c r="AP129" s="1313">
        <f>AQ128*((1+'Instrumentos Financeiros'!$I$43)^(1/12)-1)</f>
        <v>0</v>
      </c>
      <c r="AQ129" s="1313">
        <f t="shared" si="40"/>
        <v>0</v>
      </c>
      <c r="AR129" s="1313">
        <f>IF(AND(C129&gt;$F$69,'Instrumentos Financeiros'!C129&lt;'Instrumentos Financeiros'!$F$69+'Instrumentos Financeiros'!$F$11+1),PMT(((1+'Instrumentos Financeiros'!$I$43)^(1/12)-1),$F$11,-$I$69),0)</f>
        <v>0</v>
      </c>
      <c r="AS129" s="1313">
        <f t="shared" si="71"/>
        <v>0</v>
      </c>
      <c r="AT129" s="1313">
        <f>AU128*((1+'Instrumentos Financeiros'!$I$43)^(1/12)-1)</f>
        <v>0</v>
      </c>
      <c r="AU129" s="1313">
        <f t="shared" si="41"/>
        <v>0</v>
      </c>
      <c r="AV129" s="1313">
        <f>IF(AND(C129&gt;$F$70,'Instrumentos Financeiros'!C129&lt;'Instrumentos Financeiros'!$F$70+'Instrumentos Financeiros'!$F$11+1),PMT(((1+'Instrumentos Financeiros'!$J$43)^(1/12)-1),$F$11,-$I$70),0)</f>
        <v>0</v>
      </c>
      <c r="AW129" s="1313">
        <f t="shared" si="72"/>
        <v>0</v>
      </c>
      <c r="AX129" s="1313">
        <f>AY128*((1+'Instrumentos Financeiros'!$J$43)^(1/12)-1)</f>
        <v>0</v>
      </c>
      <c r="AY129" s="1313">
        <f t="shared" si="42"/>
        <v>0</v>
      </c>
      <c r="AZ129" s="1313">
        <f>IF(AND(C129&gt;$F$71,'Instrumentos Financeiros'!C129&lt;'Instrumentos Financeiros'!$F$71+'Instrumentos Financeiros'!$F$11+1),PMT(((1+'Instrumentos Financeiros'!$J$43)^(1/12)-1),$F$11,-$I$71),0)</f>
        <v>0</v>
      </c>
      <c r="BA129" s="1313">
        <f t="shared" si="73"/>
        <v>0</v>
      </c>
      <c r="BB129" s="1313">
        <f>BC128*((1+'Instrumentos Financeiros'!$J$43)^(1/12)-1)</f>
        <v>0</v>
      </c>
      <c r="BC129" s="1313">
        <f t="shared" si="43"/>
        <v>0</v>
      </c>
      <c r="BD129" s="1313">
        <f>IF(AND(C129&gt;$F$72,'Instrumentos Financeiros'!C129&lt;'Instrumentos Financeiros'!$F$72+'Instrumentos Financeiros'!$F$11+1),PMT(((1+'Instrumentos Financeiros'!$J$43)^(1/12)-1),$F$11,-'Instrumentos Financeiros'!$G$7*$G$72),0)</f>
        <v>0</v>
      </c>
      <c r="BE129" s="1313">
        <f t="shared" si="74"/>
        <v>0</v>
      </c>
      <c r="BF129" s="1313">
        <f>BG128*((1+'Instrumentos Financeiros'!$J$43)^(1/12)-1)</f>
        <v>0</v>
      </c>
      <c r="BG129" s="1313">
        <f t="shared" si="44"/>
        <v>0</v>
      </c>
      <c r="BH129" s="1313">
        <f>IF(AND(C129&gt;$F$73,'Instrumentos Financeiros'!C129&lt;'Instrumentos Financeiros'!$F$73+'Instrumentos Financeiros'!$F$11+1),PMT(((1+'Instrumentos Financeiros'!$J$43)^(1/12)-1),$F$11,-$I$73),0)</f>
        <v>0</v>
      </c>
      <c r="BI129" s="1313">
        <f t="shared" si="75"/>
        <v>0</v>
      </c>
      <c r="BJ129" s="1313">
        <f>BK128*((1+'Instrumentos Financeiros'!$J$43)^(1/12)-1)</f>
        <v>0</v>
      </c>
      <c r="BK129" s="1313">
        <f t="shared" si="45"/>
        <v>0</v>
      </c>
      <c r="BL129" s="1313">
        <f>IF(AND(C129&gt;$F$77,'Instrumentos Financeiros'!C129&lt;'Instrumentos Financeiros'!$F$77+'Instrumentos Financeiros'!$F$12+1),PMT(((1+'Instrumentos Financeiros'!$K$43)^(1/12)-1),$F$12,-$I$77),0)</f>
        <v>0</v>
      </c>
      <c r="BM129" s="1313">
        <f t="shared" si="46"/>
        <v>0</v>
      </c>
      <c r="BN129" s="1313">
        <f>BO128*((1+'Instrumentos Financeiros'!$K$43)^(1/12)-1)</f>
        <v>0</v>
      </c>
      <c r="BO129" s="1313">
        <f t="shared" si="47"/>
        <v>0</v>
      </c>
      <c r="BP129" s="1313">
        <f>IF(AND(C129&gt;$F$78,'Instrumentos Financeiros'!C129&lt;'Instrumentos Financeiros'!$F$78+'Instrumentos Financeiros'!$F$12+1),PMT(((1+'Instrumentos Financeiros'!$L$43)^(1/12)-1),$F$12,-$I$78),0)</f>
        <v>0</v>
      </c>
      <c r="BQ129" s="1313">
        <f t="shared" si="48"/>
        <v>0</v>
      </c>
      <c r="BR129" s="1313">
        <f>BS128*((1+'Instrumentos Financeiros'!$L$43)^(1/12)-1)</f>
        <v>0</v>
      </c>
      <c r="BS129" s="1313">
        <f t="shared" si="49"/>
        <v>0</v>
      </c>
      <c r="BT129" s="1313">
        <f>IF(AND(C129&gt;$F$79,'Instrumentos Financeiros'!C129&lt;'Instrumentos Financeiros'!$F$79+'Instrumentos Financeiros'!$F$12+1),PMT(((1+'Instrumentos Financeiros'!$L$43)^(1/12)-1),$F$12,-$I$79),0)</f>
        <v>0</v>
      </c>
      <c r="BU129" s="1313">
        <f t="shared" si="50"/>
        <v>0</v>
      </c>
      <c r="BV129" s="1313">
        <f>BW128*((1+'Instrumentos Financeiros'!$L$43)^(1/12)-1)</f>
        <v>0</v>
      </c>
      <c r="BW129" s="1313">
        <f t="shared" si="51"/>
        <v>0</v>
      </c>
      <c r="BX129" s="1313">
        <f>IF(AND(C129&gt;$F$80,'Instrumentos Financeiros'!C129&lt;'Instrumentos Financeiros'!$F$80+'Instrumentos Financeiros'!$F$12+1),PMT(((1+'Instrumentos Financeiros'!$L$43)^(1/12)-1),$F$12,-$I$80),0)</f>
        <v>0</v>
      </c>
      <c r="BY129" s="1313">
        <f t="shared" si="52"/>
        <v>0</v>
      </c>
      <c r="BZ129" s="1313">
        <f>CA128*((1+'Instrumentos Financeiros'!$L$43)^(1/12)-1)</f>
        <v>0</v>
      </c>
      <c r="CA129" s="1313">
        <f t="shared" si="53"/>
        <v>0</v>
      </c>
      <c r="CB129" s="1313">
        <f>IF(AND(C129&gt;$F$83,'Instrumentos Financeiros'!C129&lt;'Instrumentos Financeiros'!$F$83+'Instrumentos Financeiros'!$F$13+1),PMT(((1+'Instrumentos Financeiros'!$P$43)^(1/12)-1),$F$13,-$I$83),0)</f>
        <v>0</v>
      </c>
      <c r="CC129" s="1313">
        <f t="shared" si="54"/>
        <v>0</v>
      </c>
      <c r="CD129" s="1313">
        <f>CE128*((1+'Instrumentos Financeiros'!$P$43)^(1/12)-1)</f>
        <v>0</v>
      </c>
      <c r="CE129" s="1313">
        <f t="shared" si="55"/>
        <v>0</v>
      </c>
      <c r="CF129" s="1313">
        <f>IF(AND(C129&gt;$F$84,'Instrumentos Financeiros'!C129&lt;'Instrumentos Financeiros'!$F$84+'Instrumentos Financeiros'!$F$13+1),PMT(((1+'Instrumentos Financeiros'!$Q$43)^(1/12)-1),$F$13,-$I$84),0)</f>
        <v>0</v>
      </c>
      <c r="CG129" s="1313">
        <f t="shared" si="56"/>
        <v>0</v>
      </c>
      <c r="CH129" s="1313">
        <f>CI128*((1+'Instrumentos Financeiros'!$Q$43)^(1/12)-1)</f>
        <v>0</v>
      </c>
      <c r="CI129" s="1313">
        <f t="shared" si="57"/>
        <v>0</v>
      </c>
      <c r="CJ129" s="1313">
        <f>IF(AND(C129&gt;$F$85,'Instrumentos Financeiros'!C129&lt;'Instrumentos Financeiros'!$F$85+'Instrumentos Financeiros'!$F$13+1),PMT(((1+'Instrumentos Financeiros'!$Q$43)^(1/12)-1),$F$13,-$I$85),0)</f>
        <v>0</v>
      </c>
      <c r="CK129" s="1313">
        <f t="shared" si="58"/>
        <v>0</v>
      </c>
      <c r="CL129" s="1313">
        <f>CM128*((1+'Instrumentos Financeiros'!$Q$43)^(1/12)-1)</f>
        <v>0</v>
      </c>
      <c r="CM129" s="1313">
        <f t="shared" si="59"/>
        <v>0</v>
      </c>
      <c r="CN129" s="1313">
        <f>IF(AND(C129&gt;$F$86,'Instrumentos Financeiros'!C129&lt;'Instrumentos Financeiros'!$F$86+'Instrumentos Financeiros'!$F$13+1),PMT(((1+'Instrumentos Financeiros'!$Q$43)^(1/12)-1),$F$13,-$I$86),0)</f>
        <v>0</v>
      </c>
      <c r="CO129" s="1313">
        <f t="shared" si="60"/>
        <v>0</v>
      </c>
      <c r="CP129" s="1313">
        <f>CQ128*((1+'Instrumentos Financeiros'!$Q$43)^(1/12)-1)</f>
        <v>0</v>
      </c>
      <c r="CQ129" s="1313">
        <f t="shared" si="61"/>
        <v>0</v>
      </c>
      <c r="CR129" s="1313">
        <f t="shared" si="29"/>
        <v>0</v>
      </c>
      <c r="CS129" s="1313">
        <f t="shared" si="29"/>
        <v>0</v>
      </c>
      <c r="CT129" s="1313">
        <f t="shared" si="29"/>
        <v>0</v>
      </c>
      <c r="CU129" s="1313">
        <f t="shared" si="29"/>
        <v>0</v>
      </c>
    </row>
    <row r="130" spans="3:99" x14ac:dyDescent="0.35">
      <c r="C130" s="1315">
        <f t="shared" si="30"/>
        <v>37</v>
      </c>
      <c r="D130" s="1312">
        <f>IF(AND(C130&gt;$F$59,'Instrumentos Financeiros'!C130&lt;'Instrumentos Financeiros'!$F$59+'Instrumentos Financeiros'!$F$11+1),PMT(((1+'Instrumentos Financeiros'!$G$43)^(1/12)-1),$F$11,-$I$59),0)</f>
        <v>0</v>
      </c>
      <c r="E130" s="1312">
        <f t="shared" si="14"/>
        <v>0</v>
      </c>
      <c r="F130" s="1312">
        <f>G129*((1+'Instrumentos Financeiros'!$G$43)^(1/12)-1)</f>
        <v>0</v>
      </c>
      <c r="G130" s="1312">
        <f t="shared" si="31"/>
        <v>0</v>
      </c>
      <c r="H130" s="1312">
        <f>IF(AND(C130&gt;$F$60,'Instrumentos Financeiros'!C130&lt;'Instrumentos Financeiros'!$F$60+'Instrumentos Financeiros'!$F$11+1),PMT(((1+'Instrumentos Financeiros'!$G$43)^(1/12)-1),$F$11,-$I$60),0)</f>
        <v>0</v>
      </c>
      <c r="I130" s="1312">
        <f t="shared" si="62"/>
        <v>0</v>
      </c>
      <c r="J130" s="1312">
        <f>K129*((1+'Instrumentos Financeiros'!$G$43)^(1/12)-1)</f>
        <v>0</v>
      </c>
      <c r="K130" s="1312">
        <f t="shared" si="32"/>
        <v>0</v>
      </c>
      <c r="L130" s="1312">
        <f>IF(AND(C130&gt;$F$61,'Instrumentos Financeiros'!C130&lt;'Instrumentos Financeiros'!$F$61+'Instrumentos Financeiros'!$F$11+1),PMT(((1+'Instrumentos Financeiros'!$G$43)^(1/12)-1),$F$11,-$I$61),0)</f>
        <v>0</v>
      </c>
      <c r="M130" s="1312">
        <f t="shared" si="63"/>
        <v>0</v>
      </c>
      <c r="N130" s="1312">
        <f>O129*((1+'Instrumentos Financeiros'!$G$43)^(1/12)-1)</f>
        <v>0</v>
      </c>
      <c r="O130" s="1312">
        <f t="shared" si="33"/>
        <v>0</v>
      </c>
      <c r="P130" s="1312">
        <f>IF(AND(C130&gt;$F$62,'Instrumentos Financeiros'!C130&lt;'Instrumentos Financeiros'!$F$62+'Instrumentos Financeiros'!$F$11+1),PMT(((1+'Instrumentos Financeiros'!$H$43)^(1/12)-1),$F$11,-$I$62),0)</f>
        <v>0</v>
      </c>
      <c r="Q130" s="1312">
        <f t="shared" si="64"/>
        <v>0</v>
      </c>
      <c r="R130" s="1312">
        <f>S129*((1+'Instrumentos Financeiros'!$H$43)^(1/12)-1)</f>
        <v>0</v>
      </c>
      <c r="S130" s="1312">
        <f t="shared" si="34"/>
        <v>0</v>
      </c>
      <c r="T130" s="1312">
        <f>IF(AND(C130&gt;$F$63,'Instrumentos Financeiros'!C130&lt;'Instrumentos Financeiros'!$F$63+'Instrumentos Financeiros'!$F$11+1),PMT(((1+'Instrumentos Financeiros'!$H$43)^(1/12)-1),$F$11,-$I$63),0)</f>
        <v>0</v>
      </c>
      <c r="U130" s="1312">
        <f t="shared" si="65"/>
        <v>0</v>
      </c>
      <c r="V130" s="1312">
        <f>W129*((1+'Instrumentos Financeiros'!$H$43)^(1/12)-1)</f>
        <v>0</v>
      </c>
      <c r="W130" s="1312">
        <f t="shared" si="35"/>
        <v>0</v>
      </c>
      <c r="X130" s="1312">
        <f>IF(AND(C130&gt;$F$64,'Instrumentos Financeiros'!C130&lt;'Instrumentos Financeiros'!$F$64+'Instrumentos Financeiros'!$F$11+1),PMT(((1+'Instrumentos Financeiros'!$H$43)^(1/12)-1),$F$11,-$I$64),0)</f>
        <v>0</v>
      </c>
      <c r="Y130" s="1312">
        <f t="shared" si="66"/>
        <v>0</v>
      </c>
      <c r="Z130" s="1312">
        <f>AA129*((1+'Instrumentos Financeiros'!$H$43)^(1/12)-1)</f>
        <v>0</v>
      </c>
      <c r="AA130" s="1312">
        <f t="shared" si="36"/>
        <v>0</v>
      </c>
      <c r="AB130" s="1312">
        <f>IF(AND(C130&gt;$F$65,'Instrumentos Financeiros'!C130&lt;'Instrumentos Financeiros'!$F$65+'Instrumentos Financeiros'!$F$11+1),PMT(((1+'Instrumentos Financeiros'!$H$43)^(1/12)-1),$F$11,-$I$65),0)</f>
        <v>0</v>
      </c>
      <c r="AC130" s="1312">
        <f t="shared" si="67"/>
        <v>0</v>
      </c>
      <c r="AD130" s="1312">
        <f>AE129*((1+'Instrumentos Financeiros'!$H$43)^(1/12)-1)</f>
        <v>0</v>
      </c>
      <c r="AE130" s="1312">
        <f t="shared" si="37"/>
        <v>0</v>
      </c>
      <c r="AF130" s="1312">
        <f>IF(AND(C130&gt;$F$66,'Instrumentos Financeiros'!C130&lt;'Instrumentos Financeiros'!$F$66+'Instrumentos Financeiros'!$F$11+1),PMT(((1+'Instrumentos Financeiros'!$I$43)^(1/12)-1),$F$11,-$I$66),0)</f>
        <v>0</v>
      </c>
      <c r="AG130" s="1312">
        <f t="shared" si="68"/>
        <v>0</v>
      </c>
      <c r="AH130" s="1312">
        <f>AI129*((1+'Instrumentos Financeiros'!$I$43)^(1/12)-1)</f>
        <v>0</v>
      </c>
      <c r="AI130" s="1312">
        <f t="shared" si="38"/>
        <v>0</v>
      </c>
      <c r="AJ130" s="1312">
        <f>IF(AND(C130&gt;$F$67,'Instrumentos Financeiros'!C130&lt;'Instrumentos Financeiros'!$F$67+'Instrumentos Financeiros'!$F$11+1),PMT(((1+'Instrumentos Financeiros'!$I$43)^(1/12)-1),$F$11,-$I$67),0)</f>
        <v>0</v>
      </c>
      <c r="AK130" s="1312">
        <f t="shared" si="69"/>
        <v>0</v>
      </c>
      <c r="AL130" s="1312">
        <f>AM129*((1+'Instrumentos Financeiros'!$I$43)^(1/12)-1)</f>
        <v>0</v>
      </c>
      <c r="AM130" s="1312">
        <f t="shared" si="39"/>
        <v>0</v>
      </c>
      <c r="AN130" s="1312">
        <f>IF(AND(C130&gt;$F$68,'Instrumentos Financeiros'!C130&lt;'Instrumentos Financeiros'!$F$68+'Instrumentos Financeiros'!$F$11+1),PMT(((1+'Instrumentos Financeiros'!$I$43)^(1/12)-1),$F$11,-$I$68),0)</f>
        <v>0</v>
      </c>
      <c r="AO130" s="1312">
        <f t="shared" si="70"/>
        <v>0</v>
      </c>
      <c r="AP130" s="1312">
        <f>AQ129*((1+'Instrumentos Financeiros'!$I$43)^(1/12)-1)</f>
        <v>0</v>
      </c>
      <c r="AQ130" s="1312">
        <f t="shared" si="40"/>
        <v>0</v>
      </c>
      <c r="AR130" s="1312">
        <f>IF(AND(C130&gt;$F$69,'Instrumentos Financeiros'!C130&lt;'Instrumentos Financeiros'!$F$69+'Instrumentos Financeiros'!$F$11+1),PMT(((1+'Instrumentos Financeiros'!$I$43)^(1/12)-1),$F$11,-$I$69),0)</f>
        <v>0</v>
      </c>
      <c r="AS130" s="1312">
        <f t="shared" si="71"/>
        <v>0</v>
      </c>
      <c r="AT130" s="1312">
        <f>AU129*((1+'Instrumentos Financeiros'!$I$43)^(1/12)-1)</f>
        <v>0</v>
      </c>
      <c r="AU130" s="1312">
        <f t="shared" si="41"/>
        <v>0</v>
      </c>
      <c r="AV130" s="1312">
        <f>IF(AND(C130&gt;$F$70,'Instrumentos Financeiros'!C130&lt;'Instrumentos Financeiros'!$F$70+'Instrumentos Financeiros'!$F$11+1),PMT(((1+'Instrumentos Financeiros'!$J$43)^(1/12)-1),$F$11,-$I$70),0)</f>
        <v>0</v>
      </c>
      <c r="AW130" s="1312">
        <f t="shared" si="72"/>
        <v>0</v>
      </c>
      <c r="AX130" s="1312">
        <f>AY129*((1+'Instrumentos Financeiros'!$J$43)^(1/12)-1)</f>
        <v>0</v>
      </c>
      <c r="AY130" s="1312">
        <f t="shared" si="42"/>
        <v>0</v>
      </c>
      <c r="AZ130" s="1312">
        <f>IF(AND(C130&gt;$F$71,'Instrumentos Financeiros'!C130&lt;'Instrumentos Financeiros'!$F$71+'Instrumentos Financeiros'!$F$11+1),PMT(((1+'Instrumentos Financeiros'!$J$43)^(1/12)-1),$F$11,-$I$71),0)</f>
        <v>0</v>
      </c>
      <c r="BA130" s="1312">
        <f t="shared" si="73"/>
        <v>0</v>
      </c>
      <c r="BB130" s="1312">
        <f>BC129*((1+'Instrumentos Financeiros'!$J$43)^(1/12)-1)</f>
        <v>0</v>
      </c>
      <c r="BC130" s="1312">
        <f t="shared" si="43"/>
        <v>0</v>
      </c>
      <c r="BD130" s="1312">
        <f>IF(AND(C130&gt;$F$72,'Instrumentos Financeiros'!C130&lt;'Instrumentos Financeiros'!$F$72+'Instrumentos Financeiros'!$F$11+1),PMT(((1+'Instrumentos Financeiros'!$J$43)^(1/12)-1),$F$11,-'Instrumentos Financeiros'!$G$7*$G$72),0)</f>
        <v>0</v>
      </c>
      <c r="BE130" s="1312">
        <f t="shared" si="74"/>
        <v>0</v>
      </c>
      <c r="BF130" s="1312">
        <f>BG129*((1+'Instrumentos Financeiros'!$J$43)^(1/12)-1)</f>
        <v>0</v>
      </c>
      <c r="BG130" s="1312">
        <f t="shared" si="44"/>
        <v>0</v>
      </c>
      <c r="BH130" s="1312">
        <f>IF(AND(C130&gt;$F$73,'Instrumentos Financeiros'!C130&lt;'Instrumentos Financeiros'!$F$73+'Instrumentos Financeiros'!$F$11+1),PMT(((1+'Instrumentos Financeiros'!$J$43)^(1/12)-1),$F$11,-$I$73),0)</f>
        <v>0</v>
      </c>
      <c r="BI130" s="1312">
        <f t="shared" si="75"/>
        <v>0</v>
      </c>
      <c r="BJ130" s="1312">
        <f>BK129*((1+'Instrumentos Financeiros'!$J$43)^(1/12)-1)</f>
        <v>0</v>
      </c>
      <c r="BK130" s="1312">
        <f t="shared" si="45"/>
        <v>0</v>
      </c>
      <c r="BL130" s="1312">
        <f>IF(AND(C130&gt;$F$77,'Instrumentos Financeiros'!C130&lt;'Instrumentos Financeiros'!$F$77+'Instrumentos Financeiros'!$F$12+1),PMT(((1+'Instrumentos Financeiros'!$K$43)^(1/12)-1),$F$12,-$I$77),0)</f>
        <v>0</v>
      </c>
      <c r="BM130" s="1312">
        <f t="shared" si="46"/>
        <v>0</v>
      </c>
      <c r="BN130" s="1312">
        <f>BO129*((1+'Instrumentos Financeiros'!$K$43)^(1/12)-1)</f>
        <v>0</v>
      </c>
      <c r="BO130" s="1312">
        <f t="shared" si="47"/>
        <v>0</v>
      </c>
      <c r="BP130" s="1312">
        <f>IF(AND(C130&gt;$F$78,'Instrumentos Financeiros'!C130&lt;'Instrumentos Financeiros'!$F$78+'Instrumentos Financeiros'!$F$12+1),PMT(((1+'Instrumentos Financeiros'!$L$43)^(1/12)-1),$F$12,-$I$78),0)</f>
        <v>0</v>
      </c>
      <c r="BQ130" s="1312">
        <f t="shared" si="48"/>
        <v>0</v>
      </c>
      <c r="BR130" s="1312">
        <f>BS129*((1+'Instrumentos Financeiros'!$L$43)^(1/12)-1)</f>
        <v>0</v>
      </c>
      <c r="BS130" s="1312">
        <f t="shared" si="49"/>
        <v>0</v>
      </c>
      <c r="BT130" s="1312">
        <f>IF(AND(C130&gt;$F$79,'Instrumentos Financeiros'!C130&lt;'Instrumentos Financeiros'!$F$79+'Instrumentos Financeiros'!$F$12+1),PMT(((1+'Instrumentos Financeiros'!$L$43)^(1/12)-1),$F$12,-$I$79),0)</f>
        <v>0</v>
      </c>
      <c r="BU130" s="1312">
        <f t="shared" si="50"/>
        <v>0</v>
      </c>
      <c r="BV130" s="1312">
        <f>BW129*((1+'Instrumentos Financeiros'!$L$43)^(1/12)-1)</f>
        <v>0</v>
      </c>
      <c r="BW130" s="1312">
        <f t="shared" si="51"/>
        <v>0</v>
      </c>
      <c r="BX130" s="1312">
        <f>IF(AND(C130&gt;$F$80,'Instrumentos Financeiros'!C130&lt;'Instrumentos Financeiros'!$F$80+'Instrumentos Financeiros'!$F$12+1),PMT(((1+'Instrumentos Financeiros'!$L$43)^(1/12)-1),$F$12,-$I$80),0)</f>
        <v>0</v>
      </c>
      <c r="BY130" s="1312">
        <f t="shared" si="52"/>
        <v>0</v>
      </c>
      <c r="BZ130" s="1312">
        <f>CA129*((1+'Instrumentos Financeiros'!$L$43)^(1/12)-1)</f>
        <v>0</v>
      </c>
      <c r="CA130" s="1312">
        <f t="shared" si="53"/>
        <v>0</v>
      </c>
      <c r="CB130" s="1312">
        <f>IF(AND(C130&gt;$F$83,'Instrumentos Financeiros'!C130&lt;'Instrumentos Financeiros'!$F$83+'Instrumentos Financeiros'!$F$13+1),PMT(((1+'Instrumentos Financeiros'!$P$43)^(1/12)-1),$F$13,-$I$83),0)</f>
        <v>0</v>
      </c>
      <c r="CC130" s="1312">
        <f t="shared" si="54"/>
        <v>0</v>
      </c>
      <c r="CD130" s="1312">
        <f>CE129*((1+'Instrumentos Financeiros'!$P$43)^(1/12)-1)</f>
        <v>0</v>
      </c>
      <c r="CE130" s="1312">
        <f t="shared" si="55"/>
        <v>0</v>
      </c>
      <c r="CF130" s="1312">
        <f>IF(AND(C130&gt;$F$84,'Instrumentos Financeiros'!C130&lt;'Instrumentos Financeiros'!$F$84+'Instrumentos Financeiros'!$F$13+1),PMT(((1+'Instrumentos Financeiros'!$Q$43)^(1/12)-1),$F$13,-$I$84),0)</f>
        <v>0</v>
      </c>
      <c r="CG130" s="1312">
        <f t="shared" si="56"/>
        <v>0</v>
      </c>
      <c r="CH130" s="1312">
        <f>CI129*((1+'Instrumentos Financeiros'!$Q$43)^(1/12)-1)</f>
        <v>0</v>
      </c>
      <c r="CI130" s="1312">
        <f t="shared" si="57"/>
        <v>0</v>
      </c>
      <c r="CJ130" s="1312">
        <f>IF(AND(C130&gt;$F$85,'Instrumentos Financeiros'!C130&lt;'Instrumentos Financeiros'!$F$85+'Instrumentos Financeiros'!$F$13+1),PMT(((1+'Instrumentos Financeiros'!$Q$43)^(1/12)-1),$F$13,-$I$85),0)</f>
        <v>0</v>
      </c>
      <c r="CK130" s="1312">
        <f t="shared" si="58"/>
        <v>0</v>
      </c>
      <c r="CL130" s="1312">
        <f>CM129*((1+'Instrumentos Financeiros'!$Q$43)^(1/12)-1)</f>
        <v>0</v>
      </c>
      <c r="CM130" s="1312">
        <f t="shared" si="59"/>
        <v>0</v>
      </c>
      <c r="CN130" s="1312">
        <f>IF(AND(C130&gt;$F$86,'Instrumentos Financeiros'!C130&lt;'Instrumentos Financeiros'!$F$86+'Instrumentos Financeiros'!$F$13+1),PMT(((1+'Instrumentos Financeiros'!$Q$43)^(1/12)-1),$F$13,-$I$86),0)</f>
        <v>0</v>
      </c>
      <c r="CO130" s="1312">
        <f t="shared" si="60"/>
        <v>0</v>
      </c>
      <c r="CP130" s="1312">
        <f>CQ129*((1+'Instrumentos Financeiros'!$Q$43)^(1/12)-1)</f>
        <v>0</v>
      </c>
      <c r="CQ130" s="1312">
        <f t="shared" si="61"/>
        <v>0</v>
      </c>
      <c r="CR130" s="1312">
        <f t="shared" si="29"/>
        <v>0</v>
      </c>
      <c r="CS130" s="1312">
        <f t="shared" si="29"/>
        <v>0</v>
      </c>
      <c r="CT130" s="1312">
        <f t="shared" si="29"/>
        <v>0</v>
      </c>
      <c r="CU130" s="1312">
        <f t="shared" si="29"/>
        <v>0</v>
      </c>
    </row>
    <row r="131" spans="3:99" x14ac:dyDescent="0.35">
      <c r="C131" s="1315">
        <f t="shared" si="30"/>
        <v>38</v>
      </c>
      <c r="D131" s="1312">
        <f>IF(AND(C131&gt;$F$59,'Instrumentos Financeiros'!C131&lt;'Instrumentos Financeiros'!$F$59+'Instrumentos Financeiros'!$F$11+1),PMT(((1+'Instrumentos Financeiros'!$G$43)^(1/12)-1),$F$11,-$I$59),0)</f>
        <v>0</v>
      </c>
      <c r="E131" s="1312">
        <f t="shared" si="14"/>
        <v>0</v>
      </c>
      <c r="F131" s="1312">
        <f>G130*((1+'Instrumentos Financeiros'!$G$43)^(1/12)-1)</f>
        <v>0</v>
      </c>
      <c r="G131" s="1312">
        <f t="shared" si="31"/>
        <v>0</v>
      </c>
      <c r="H131" s="1312">
        <f>IF(AND(C131&gt;$F$60,'Instrumentos Financeiros'!C131&lt;'Instrumentos Financeiros'!$F$60+'Instrumentos Financeiros'!$F$11+1),PMT(((1+'Instrumentos Financeiros'!$G$43)^(1/12)-1),$F$11,-$I$60),0)</f>
        <v>0</v>
      </c>
      <c r="I131" s="1312">
        <f t="shared" si="62"/>
        <v>0</v>
      </c>
      <c r="J131" s="1312">
        <f>K130*((1+'Instrumentos Financeiros'!$G$43)^(1/12)-1)</f>
        <v>0</v>
      </c>
      <c r="K131" s="1312">
        <f t="shared" si="32"/>
        <v>0</v>
      </c>
      <c r="L131" s="1312">
        <f>IF(AND(C131&gt;$F$61,'Instrumentos Financeiros'!C131&lt;'Instrumentos Financeiros'!$F$61+'Instrumentos Financeiros'!$F$11+1),PMT(((1+'Instrumentos Financeiros'!$G$43)^(1/12)-1),$F$11,-$I$61),0)</f>
        <v>0</v>
      </c>
      <c r="M131" s="1312">
        <f t="shared" si="63"/>
        <v>0</v>
      </c>
      <c r="N131" s="1312">
        <f>O130*((1+'Instrumentos Financeiros'!$G$43)^(1/12)-1)</f>
        <v>0</v>
      </c>
      <c r="O131" s="1312">
        <f t="shared" si="33"/>
        <v>0</v>
      </c>
      <c r="P131" s="1312">
        <f>IF(AND(C131&gt;$F$62,'Instrumentos Financeiros'!C131&lt;'Instrumentos Financeiros'!$F$62+'Instrumentos Financeiros'!$F$11+1),PMT(((1+'Instrumentos Financeiros'!$H$43)^(1/12)-1),$F$11,-$I$62),0)</f>
        <v>0</v>
      </c>
      <c r="Q131" s="1312">
        <f t="shared" si="64"/>
        <v>0</v>
      </c>
      <c r="R131" s="1312">
        <f>S130*((1+'Instrumentos Financeiros'!$H$43)^(1/12)-1)</f>
        <v>0</v>
      </c>
      <c r="S131" s="1312">
        <f t="shared" si="34"/>
        <v>0</v>
      </c>
      <c r="T131" s="1312">
        <f>IF(AND(C131&gt;$F$63,'Instrumentos Financeiros'!C131&lt;'Instrumentos Financeiros'!$F$63+'Instrumentos Financeiros'!$F$11+1),PMT(((1+'Instrumentos Financeiros'!$H$43)^(1/12)-1),$F$11,-$I$63),0)</f>
        <v>0</v>
      </c>
      <c r="U131" s="1312">
        <f t="shared" si="65"/>
        <v>0</v>
      </c>
      <c r="V131" s="1312">
        <f>W130*((1+'Instrumentos Financeiros'!$H$43)^(1/12)-1)</f>
        <v>0</v>
      </c>
      <c r="W131" s="1312">
        <f t="shared" si="35"/>
        <v>0</v>
      </c>
      <c r="X131" s="1312">
        <f>IF(AND(C131&gt;$F$64,'Instrumentos Financeiros'!C131&lt;'Instrumentos Financeiros'!$F$64+'Instrumentos Financeiros'!$F$11+1),PMT(((1+'Instrumentos Financeiros'!$H$43)^(1/12)-1),$F$11,-$I$64),0)</f>
        <v>0</v>
      </c>
      <c r="Y131" s="1312">
        <f t="shared" si="66"/>
        <v>0</v>
      </c>
      <c r="Z131" s="1312">
        <f>AA130*((1+'Instrumentos Financeiros'!$H$43)^(1/12)-1)</f>
        <v>0</v>
      </c>
      <c r="AA131" s="1312">
        <f t="shared" si="36"/>
        <v>0</v>
      </c>
      <c r="AB131" s="1312">
        <f>IF(AND(C131&gt;$F$65,'Instrumentos Financeiros'!C131&lt;'Instrumentos Financeiros'!$F$65+'Instrumentos Financeiros'!$F$11+1),PMT(((1+'Instrumentos Financeiros'!$H$43)^(1/12)-1),$F$11,-$I$65),0)</f>
        <v>0</v>
      </c>
      <c r="AC131" s="1312">
        <f t="shared" si="67"/>
        <v>0</v>
      </c>
      <c r="AD131" s="1312">
        <f>AE130*((1+'Instrumentos Financeiros'!$H$43)^(1/12)-1)</f>
        <v>0</v>
      </c>
      <c r="AE131" s="1312">
        <f t="shared" si="37"/>
        <v>0</v>
      </c>
      <c r="AF131" s="1312">
        <f>IF(AND(C131&gt;$F$66,'Instrumentos Financeiros'!C131&lt;'Instrumentos Financeiros'!$F$66+'Instrumentos Financeiros'!$F$11+1),PMT(((1+'Instrumentos Financeiros'!$I$43)^(1/12)-1),$F$11,-$I$66),0)</f>
        <v>0</v>
      </c>
      <c r="AG131" s="1312">
        <f t="shared" si="68"/>
        <v>0</v>
      </c>
      <c r="AH131" s="1312">
        <f>AI130*((1+'Instrumentos Financeiros'!$I$43)^(1/12)-1)</f>
        <v>0</v>
      </c>
      <c r="AI131" s="1312">
        <f t="shared" si="38"/>
        <v>0</v>
      </c>
      <c r="AJ131" s="1312">
        <f>IF(AND(C131&gt;$F$67,'Instrumentos Financeiros'!C131&lt;'Instrumentos Financeiros'!$F$67+'Instrumentos Financeiros'!$F$11+1),PMT(((1+'Instrumentos Financeiros'!$I$43)^(1/12)-1),$F$11,-$I$67),0)</f>
        <v>0</v>
      </c>
      <c r="AK131" s="1312">
        <f t="shared" si="69"/>
        <v>0</v>
      </c>
      <c r="AL131" s="1312">
        <f>AM130*((1+'Instrumentos Financeiros'!$I$43)^(1/12)-1)</f>
        <v>0</v>
      </c>
      <c r="AM131" s="1312">
        <f t="shared" si="39"/>
        <v>0</v>
      </c>
      <c r="AN131" s="1312">
        <f>IF(AND(C131&gt;$F$68,'Instrumentos Financeiros'!C131&lt;'Instrumentos Financeiros'!$F$68+'Instrumentos Financeiros'!$F$11+1),PMT(((1+'Instrumentos Financeiros'!$I$43)^(1/12)-1),$F$11,-$I$68),0)</f>
        <v>0</v>
      </c>
      <c r="AO131" s="1312">
        <f t="shared" si="70"/>
        <v>0</v>
      </c>
      <c r="AP131" s="1312">
        <f>AQ130*((1+'Instrumentos Financeiros'!$I$43)^(1/12)-1)</f>
        <v>0</v>
      </c>
      <c r="AQ131" s="1312">
        <f t="shared" si="40"/>
        <v>0</v>
      </c>
      <c r="AR131" s="1312">
        <f>IF(AND(C131&gt;$F$69,'Instrumentos Financeiros'!C131&lt;'Instrumentos Financeiros'!$F$69+'Instrumentos Financeiros'!$F$11+1),PMT(((1+'Instrumentos Financeiros'!$I$43)^(1/12)-1),$F$11,-$I$69),0)</f>
        <v>0</v>
      </c>
      <c r="AS131" s="1312">
        <f t="shared" si="71"/>
        <v>0</v>
      </c>
      <c r="AT131" s="1312">
        <f>AU130*((1+'Instrumentos Financeiros'!$I$43)^(1/12)-1)</f>
        <v>0</v>
      </c>
      <c r="AU131" s="1312">
        <f t="shared" si="41"/>
        <v>0</v>
      </c>
      <c r="AV131" s="1312">
        <f>IF(AND(C131&gt;$F$70,'Instrumentos Financeiros'!C131&lt;'Instrumentos Financeiros'!$F$70+'Instrumentos Financeiros'!$F$11+1),PMT(((1+'Instrumentos Financeiros'!$J$43)^(1/12)-1),$F$11,-$I$70),0)</f>
        <v>0</v>
      </c>
      <c r="AW131" s="1312">
        <f t="shared" si="72"/>
        <v>0</v>
      </c>
      <c r="AX131" s="1312">
        <f>AY130*((1+'Instrumentos Financeiros'!$J$43)^(1/12)-1)</f>
        <v>0</v>
      </c>
      <c r="AY131" s="1312">
        <f t="shared" si="42"/>
        <v>0</v>
      </c>
      <c r="AZ131" s="1312">
        <f>IF(AND(C131&gt;$F$71,'Instrumentos Financeiros'!C131&lt;'Instrumentos Financeiros'!$F$71+'Instrumentos Financeiros'!$F$11+1),PMT(((1+'Instrumentos Financeiros'!$J$43)^(1/12)-1),$F$11,-$I$71),0)</f>
        <v>0</v>
      </c>
      <c r="BA131" s="1312">
        <f t="shared" si="73"/>
        <v>0</v>
      </c>
      <c r="BB131" s="1312">
        <f>BC130*((1+'Instrumentos Financeiros'!$J$43)^(1/12)-1)</f>
        <v>0</v>
      </c>
      <c r="BC131" s="1312">
        <f t="shared" si="43"/>
        <v>0</v>
      </c>
      <c r="BD131" s="1312">
        <f>IF(AND(C131&gt;$F$72,'Instrumentos Financeiros'!C131&lt;'Instrumentos Financeiros'!$F$72+'Instrumentos Financeiros'!$F$11+1),PMT(((1+'Instrumentos Financeiros'!$J$43)^(1/12)-1),$F$11,-'Instrumentos Financeiros'!$G$7*$G$72),0)</f>
        <v>0</v>
      </c>
      <c r="BE131" s="1312">
        <f t="shared" si="74"/>
        <v>0</v>
      </c>
      <c r="BF131" s="1312">
        <f>BG130*((1+'Instrumentos Financeiros'!$J$43)^(1/12)-1)</f>
        <v>0</v>
      </c>
      <c r="BG131" s="1312">
        <f t="shared" si="44"/>
        <v>0</v>
      </c>
      <c r="BH131" s="1312">
        <f>IF(AND(C131&gt;$F$73,'Instrumentos Financeiros'!C131&lt;'Instrumentos Financeiros'!$F$73+'Instrumentos Financeiros'!$F$11+1),PMT(((1+'Instrumentos Financeiros'!$J$43)^(1/12)-1),$F$11,-$I$73),0)</f>
        <v>0</v>
      </c>
      <c r="BI131" s="1312">
        <f t="shared" si="75"/>
        <v>0</v>
      </c>
      <c r="BJ131" s="1312">
        <f>BK130*((1+'Instrumentos Financeiros'!$J$43)^(1/12)-1)</f>
        <v>0</v>
      </c>
      <c r="BK131" s="1312">
        <f t="shared" si="45"/>
        <v>0</v>
      </c>
      <c r="BL131" s="1312">
        <f>IF(AND(C131&gt;$F$77,'Instrumentos Financeiros'!C131&lt;'Instrumentos Financeiros'!$F$77+'Instrumentos Financeiros'!$F$12+1),PMT(((1+'Instrumentos Financeiros'!$K$43)^(1/12)-1),$F$12,-$I$77),0)</f>
        <v>0</v>
      </c>
      <c r="BM131" s="1312">
        <f t="shared" si="46"/>
        <v>0</v>
      </c>
      <c r="BN131" s="1312">
        <f>BO130*((1+'Instrumentos Financeiros'!$K$43)^(1/12)-1)</f>
        <v>0</v>
      </c>
      <c r="BO131" s="1312">
        <f t="shared" si="47"/>
        <v>0</v>
      </c>
      <c r="BP131" s="1312">
        <f>IF(AND(C131&gt;$F$78,'Instrumentos Financeiros'!C131&lt;'Instrumentos Financeiros'!$F$78+'Instrumentos Financeiros'!$F$12+1),PMT(((1+'Instrumentos Financeiros'!$L$43)^(1/12)-1),$F$12,-$I$78),0)</f>
        <v>0</v>
      </c>
      <c r="BQ131" s="1312">
        <f t="shared" si="48"/>
        <v>0</v>
      </c>
      <c r="BR131" s="1312">
        <f>BS130*((1+'Instrumentos Financeiros'!$L$43)^(1/12)-1)</f>
        <v>0</v>
      </c>
      <c r="BS131" s="1312">
        <f t="shared" si="49"/>
        <v>0</v>
      </c>
      <c r="BT131" s="1312">
        <f>IF(AND(C131&gt;$F$79,'Instrumentos Financeiros'!C131&lt;'Instrumentos Financeiros'!$F$79+'Instrumentos Financeiros'!$F$12+1),PMT(((1+'Instrumentos Financeiros'!$L$43)^(1/12)-1),$F$12,-$I$79),0)</f>
        <v>0</v>
      </c>
      <c r="BU131" s="1312">
        <f t="shared" si="50"/>
        <v>0</v>
      </c>
      <c r="BV131" s="1312">
        <f>BW130*((1+'Instrumentos Financeiros'!$L$43)^(1/12)-1)</f>
        <v>0</v>
      </c>
      <c r="BW131" s="1312">
        <f t="shared" si="51"/>
        <v>0</v>
      </c>
      <c r="BX131" s="1312">
        <f>IF(AND(C131&gt;$F$80,'Instrumentos Financeiros'!C131&lt;'Instrumentos Financeiros'!$F$80+'Instrumentos Financeiros'!$F$12+1),PMT(((1+'Instrumentos Financeiros'!$L$43)^(1/12)-1),$F$12,-$I$80),0)</f>
        <v>0</v>
      </c>
      <c r="BY131" s="1312">
        <f t="shared" si="52"/>
        <v>0</v>
      </c>
      <c r="BZ131" s="1312">
        <f>CA130*((1+'Instrumentos Financeiros'!$L$43)^(1/12)-1)</f>
        <v>0</v>
      </c>
      <c r="CA131" s="1312">
        <f t="shared" si="53"/>
        <v>0</v>
      </c>
      <c r="CB131" s="1312">
        <f>IF(AND(C131&gt;$F$83,'Instrumentos Financeiros'!C131&lt;'Instrumentos Financeiros'!$F$83+'Instrumentos Financeiros'!$F$13+1),PMT(((1+'Instrumentos Financeiros'!$P$43)^(1/12)-1),$F$13,-$I$83),0)</f>
        <v>0</v>
      </c>
      <c r="CC131" s="1312">
        <f t="shared" si="54"/>
        <v>0</v>
      </c>
      <c r="CD131" s="1312">
        <f>CE130*((1+'Instrumentos Financeiros'!$P$43)^(1/12)-1)</f>
        <v>0</v>
      </c>
      <c r="CE131" s="1312">
        <f t="shared" si="55"/>
        <v>0</v>
      </c>
      <c r="CF131" s="1312">
        <f>IF(AND(C131&gt;$F$84,'Instrumentos Financeiros'!C131&lt;'Instrumentos Financeiros'!$F$84+'Instrumentos Financeiros'!$F$13+1),PMT(((1+'Instrumentos Financeiros'!$Q$43)^(1/12)-1),$F$13,-$I$84),0)</f>
        <v>0</v>
      </c>
      <c r="CG131" s="1312">
        <f t="shared" si="56"/>
        <v>0</v>
      </c>
      <c r="CH131" s="1312">
        <f>CI130*((1+'Instrumentos Financeiros'!$Q$43)^(1/12)-1)</f>
        <v>0</v>
      </c>
      <c r="CI131" s="1312">
        <f t="shared" si="57"/>
        <v>0</v>
      </c>
      <c r="CJ131" s="1312">
        <f>IF(AND(C131&gt;$F$85,'Instrumentos Financeiros'!C131&lt;'Instrumentos Financeiros'!$F$85+'Instrumentos Financeiros'!$F$13+1),PMT(((1+'Instrumentos Financeiros'!$Q$43)^(1/12)-1),$F$13,-$I$85),0)</f>
        <v>0</v>
      </c>
      <c r="CK131" s="1312">
        <f t="shared" si="58"/>
        <v>0</v>
      </c>
      <c r="CL131" s="1312">
        <f>CM130*((1+'Instrumentos Financeiros'!$Q$43)^(1/12)-1)</f>
        <v>0</v>
      </c>
      <c r="CM131" s="1312">
        <f t="shared" si="59"/>
        <v>0</v>
      </c>
      <c r="CN131" s="1312">
        <f>IF(AND(C131&gt;$F$86,'Instrumentos Financeiros'!C131&lt;'Instrumentos Financeiros'!$F$86+'Instrumentos Financeiros'!$F$13+1),PMT(((1+'Instrumentos Financeiros'!$Q$43)^(1/12)-1),$F$13,-$I$86),0)</f>
        <v>0</v>
      </c>
      <c r="CO131" s="1312">
        <f t="shared" si="60"/>
        <v>0</v>
      </c>
      <c r="CP131" s="1312">
        <f>CQ130*((1+'Instrumentos Financeiros'!$Q$43)^(1/12)-1)</f>
        <v>0</v>
      </c>
      <c r="CQ131" s="1312">
        <f t="shared" si="61"/>
        <v>0</v>
      </c>
      <c r="CR131" s="1312">
        <f t="shared" si="29"/>
        <v>0</v>
      </c>
      <c r="CS131" s="1312">
        <f t="shared" si="29"/>
        <v>0</v>
      </c>
      <c r="CT131" s="1312">
        <f t="shared" si="29"/>
        <v>0</v>
      </c>
      <c r="CU131" s="1312">
        <f t="shared" si="29"/>
        <v>0</v>
      </c>
    </row>
    <row r="132" spans="3:99" x14ac:dyDescent="0.35">
      <c r="C132" s="1315">
        <f t="shared" si="30"/>
        <v>39</v>
      </c>
      <c r="D132" s="1312">
        <f>IF(AND(C132&gt;$F$59,'Instrumentos Financeiros'!C132&lt;'Instrumentos Financeiros'!$F$59+'Instrumentos Financeiros'!$F$11+1),PMT(((1+'Instrumentos Financeiros'!$G$43)^(1/12)-1),$F$11,-$I$59),0)</f>
        <v>0</v>
      </c>
      <c r="E132" s="1312">
        <f t="shared" si="14"/>
        <v>0</v>
      </c>
      <c r="F132" s="1312">
        <f>G131*((1+'Instrumentos Financeiros'!$G$43)^(1/12)-1)</f>
        <v>0</v>
      </c>
      <c r="G132" s="1312">
        <f t="shared" si="31"/>
        <v>0</v>
      </c>
      <c r="H132" s="1312">
        <f>IF(AND(C132&gt;$F$60,'Instrumentos Financeiros'!C132&lt;'Instrumentos Financeiros'!$F$60+'Instrumentos Financeiros'!$F$11+1),PMT(((1+'Instrumentos Financeiros'!$G$43)^(1/12)-1),$F$11,-$I$60),0)</f>
        <v>0</v>
      </c>
      <c r="I132" s="1312">
        <f t="shared" si="62"/>
        <v>0</v>
      </c>
      <c r="J132" s="1312">
        <f>K131*((1+'Instrumentos Financeiros'!$G$43)^(1/12)-1)</f>
        <v>0</v>
      </c>
      <c r="K132" s="1312">
        <f t="shared" si="32"/>
        <v>0</v>
      </c>
      <c r="L132" s="1312">
        <f>IF(AND(C132&gt;$F$61,'Instrumentos Financeiros'!C132&lt;'Instrumentos Financeiros'!$F$61+'Instrumentos Financeiros'!$F$11+1),PMT(((1+'Instrumentos Financeiros'!$G$43)^(1/12)-1),$F$11,-$I$61),0)</f>
        <v>0</v>
      </c>
      <c r="M132" s="1312">
        <f t="shared" si="63"/>
        <v>0</v>
      </c>
      <c r="N132" s="1312">
        <f>O131*((1+'Instrumentos Financeiros'!$G$43)^(1/12)-1)</f>
        <v>0</v>
      </c>
      <c r="O132" s="1312">
        <f t="shared" si="33"/>
        <v>0</v>
      </c>
      <c r="P132" s="1312">
        <f>IF(AND(C132&gt;$F$62,'Instrumentos Financeiros'!C132&lt;'Instrumentos Financeiros'!$F$62+'Instrumentos Financeiros'!$F$11+1),PMT(((1+'Instrumentos Financeiros'!$H$43)^(1/12)-1),$F$11,-$I$62),0)</f>
        <v>0</v>
      </c>
      <c r="Q132" s="1312">
        <f t="shared" si="64"/>
        <v>0</v>
      </c>
      <c r="R132" s="1312">
        <f>S131*((1+'Instrumentos Financeiros'!$H$43)^(1/12)-1)</f>
        <v>0</v>
      </c>
      <c r="S132" s="1312">
        <f t="shared" si="34"/>
        <v>0</v>
      </c>
      <c r="T132" s="1312">
        <f>IF(AND(C132&gt;$F$63,'Instrumentos Financeiros'!C132&lt;'Instrumentos Financeiros'!$F$63+'Instrumentos Financeiros'!$F$11+1),PMT(((1+'Instrumentos Financeiros'!$H$43)^(1/12)-1),$F$11,-$I$63),0)</f>
        <v>0</v>
      </c>
      <c r="U132" s="1312">
        <f t="shared" si="65"/>
        <v>0</v>
      </c>
      <c r="V132" s="1312">
        <f>W131*((1+'Instrumentos Financeiros'!$H$43)^(1/12)-1)</f>
        <v>0</v>
      </c>
      <c r="W132" s="1312">
        <f t="shared" si="35"/>
        <v>0</v>
      </c>
      <c r="X132" s="1312">
        <f>IF(AND(C132&gt;$F$64,'Instrumentos Financeiros'!C132&lt;'Instrumentos Financeiros'!$F$64+'Instrumentos Financeiros'!$F$11+1),PMT(((1+'Instrumentos Financeiros'!$H$43)^(1/12)-1),$F$11,-$I$64),0)</f>
        <v>0</v>
      </c>
      <c r="Y132" s="1312">
        <f t="shared" si="66"/>
        <v>0</v>
      </c>
      <c r="Z132" s="1312">
        <f>AA131*((1+'Instrumentos Financeiros'!$H$43)^(1/12)-1)</f>
        <v>0</v>
      </c>
      <c r="AA132" s="1312">
        <f t="shared" si="36"/>
        <v>0</v>
      </c>
      <c r="AB132" s="1312">
        <f>IF(AND(C132&gt;$F$65,'Instrumentos Financeiros'!C132&lt;'Instrumentos Financeiros'!$F$65+'Instrumentos Financeiros'!$F$11+1),PMT(((1+'Instrumentos Financeiros'!$H$43)^(1/12)-1),$F$11,-$I$65),0)</f>
        <v>0</v>
      </c>
      <c r="AC132" s="1312">
        <f t="shared" si="67"/>
        <v>0</v>
      </c>
      <c r="AD132" s="1312">
        <f>AE131*((1+'Instrumentos Financeiros'!$H$43)^(1/12)-1)</f>
        <v>0</v>
      </c>
      <c r="AE132" s="1312">
        <f t="shared" si="37"/>
        <v>0</v>
      </c>
      <c r="AF132" s="1312">
        <f>IF(AND(C132&gt;$F$66,'Instrumentos Financeiros'!C132&lt;'Instrumentos Financeiros'!$F$66+'Instrumentos Financeiros'!$F$11+1),PMT(((1+'Instrumentos Financeiros'!$I$43)^(1/12)-1),$F$11,-$I$66),0)</f>
        <v>0</v>
      </c>
      <c r="AG132" s="1312">
        <f t="shared" si="68"/>
        <v>0</v>
      </c>
      <c r="AH132" s="1312">
        <f>AI131*((1+'Instrumentos Financeiros'!$I$43)^(1/12)-1)</f>
        <v>0</v>
      </c>
      <c r="AI132" s="1312">
        <f t="shared" si="38"/>
        <v>0</v>
      </c>
      <c r="AJ132" s="1312">
        <f>IF(AND(C132&gt;$F$67,'Instrumentos Financeiros'!C132&lt;'Instrumentos Financeiros'!$F$67+'Instrumentos Financeiros'!$F$11+1),PMT(((1+'Instrumentos Financeiros'!$I$43)^(1/12)-1),$F$11,-$I$67),0)</f>
        <v>0</v>
      </c>
      <c r="AK132" s="1312">
        <f t="shared" si="69"/>
        <v>0</v>
      </c>
      <c r="AL132" s="1312">
        <f>AM131*((1+'Instrumentos Financeiros'!$I$43)^(1/12)-1)</f>
        <v>0</v>
      </c>
      <c r="AM132" s="1312">
        <f t="shared" si="39"/>
        <v>0</v>
      </c>
      <c r="AN132" s="1312">
        <f>IF(AND(C132&gt;$F$68,'Instrumentos Financeiros'!C132&lt;'Instrumentos Financeiros'!$F$68+'Instrumentos Financeiros'!$F$11+1),PMT(((1+'Instrumentos Financeiros'!$I$43)^(1/12)-1),$F$11,-$I$68),0)</f>
        <v>0</v>
      </c>
      <c r="AO132" s="1312">
        <f t="shared" si="70"/>
        <v>0</v>
      </c>
      <c r="AP132" s="1312">
        <f>AQ131*((1+'Instrumentos Financeiros'!$I$43)^(1/12)-1)</f>
        <v>0</v>
      </c>
      <c r="AQ132" s="1312">
        <f t="shared" si="40"/>
        <v>0</v>
      </c>
      <c r="AR132" s="1312">
        <f>IF(AND(C132&gt;$F$69,'Instrumentos Financeiros'!C132&lt;'Instrumentos Financeiros'!$F$69+'Instrumentos Financeiros'!$F$11+1),PMT(((1+'Instrumentos Financeiros'!$I$43)^(1/12)-1),$F$11,-$I$69),0)</f>
        <v>0</v>
      </c>
      <c r="AS132" s="1312">
        <f t="shared" si="71"/>
        <v>0</v>
      </c>
      <c r="AT132" s="1312">
        <f>AU131*((1+'Instrumentos Financeiros'!$I$43)^(1/12)-1)</f>
        <v>0</v>
      </c>
      <c r="AU132" s="1312">
        <f t="shared" si="41"/>
        <v>0</v>
      </c>
      <c r="AV132" s="1312">
        <f>IF(AND(C132&gt;$F$70,'Instrumentos Financeiros'!C132&lt;'Instrumentos Financeiros'!$F$70+'Instrumentos Financeiros'!$F$11+1),PMT(((1+'Instrumentos Financeiros'!$J$43)^(1/12)-1),$F$11,-$I$70),0)</f>
        <v>0</v>
      </c>
      <c r="AW132" s="1312">
        <f t="shared" si="72"/>
        <v>0</v>
      </c>
      <c r="AX132" s="1312">
        <f>AY131*((1+'Instrumentos Financeiros'!$J$43)^(1/12)-1)</f>
        <v>0</v>
      </c>
      <c r="AY132" s="1312">
        <f t="shared" si="42"/>
        <v>0</v>
      </c>
      <c r="AZ132" s="1312">
        <f>IF(AND(C132&gt;$F$71,'Instrumentos Financeiros'!C132&lt;'Instrumentos Financeiros'!$F$71+'Instrumentos Financeiros'!$F$11+1),PMT(((1+'Instrumentos Financeiros'!$J$43)^(1/12)-1),$F$11,-$I$71),0)</f>
        <v>0</v>
      </c>
      <c r="BA132" s="1312">
        <f t="shared" si="73"/>
        <v>0</v>
      </c>
      <c r="BB132" s="1312">
        <f>BC131*((1+'Instrumentos Financeiros'!$J$43)^(1/12)-1)</f>
        <v>0</v>
      </c>
      <c r="BC132" s="1312">
        <f t="shared" si="43"/>
        <v>0</v>
      </c>
      <c r="BD132" s="1312">
        <f>IF(AND(C132&gt;$F$72,'Instrumentos Financeiros'!C132&lt;'Instrumentos Financeiros'!$F$72+'Instrumentos Financeiros'!$F$11+1),PMT(((1+'Instrumentos Financeiros'!$J$43)^(1/12)-1),$F$11,-'Instrumentos Financeiros'!$G$7*$G$72),0)</f>
        <v>0</v>
      </c>
      <c r="BE132" s="1312">
        <f t="shared" si="74"/>
        <v>0</v>
      </c>
      <c r="BF132" s="1312">
        <f>BG131*((1+'Instrumentos Financeiros'!$J$43)^(1/12)-1)</f>
        <v>0</v>
      </c>
      <c r="BG132" s="1312">
        <f t="shared" si="44"/>
        <v>0</v>
      </c>
      <c r="BH132" s="1312">
        <f>IF(AND(C132&gt;$F$73,'Instrumentos Financeiros'!C132&lt;'Instrumentos Financeiros'!$F$73+'Instrumentos Financeiros'!$F$11+1),PMT(((1+'Instrumentos Financeiros'!$J$43)^(1/12)-1),$F$11,-$I$73),0)</f>
        <v>0</v>
      </c>
      <c r="BI132" s="1312">
        <f t="shared" si="75"/>
        <v>0</v>
      </c>
      <c r="BJ132" s="1312">
        <f>BK131*((1+'Instrumentos Financeiros'!$J$43)^(1/12)-1)</f>
        <v>0</v>
      </c>
      <c r="BK132" s="1312">
        <f t="shared" si="45"/>
        <v>0</v>
      </c>
      <c r="BL132" s="1312">
        <f>IF(AND(C132&gt;$F$77,'Instrumentos Financeiros'!C132&lt;'Instrumentos Financeiros'!$F$77+'Instrumentos Financeiros'!$F$12+1),PMT(((1+'Instrumentos Financeiros'!$K$43)^(1/12)-1),$F$12,-$I$77),0)</f>
        <v>0</v>
      </c>
      <c r="BM132" s="1312">
        <f t="shared" si="46"/>
        <v>0</v>
      </c>
      <c r="BN132" s="1312">
        <f>BO131*((1+'Instrumentos Financeiros'!$K$43)^(1/12)-1)</f>
        <v>0</v>
      </c>
      <c r="BO132" s="1312">
        <f t="shared" si="47"/>
        <v>0</v>
      </c>
      <c r="BP132" s="1312">
        <f>IF(AND(C132&gt;$F$78,'Instrumentos Financeiros'!C132&lt;'Instrumentos Financeiros'!$F$78+'Instrumentos Financeiros'!$F$12+1),PMT(((1+'Instrumentos Financeiros'!$L$43)^(1/12)-1),$F$12,-$I$78),0)</f>
        <v>0</v>
      </c>
      <c r="BQ132" s="1312">
        <f t="shared" si="48"/>
        <v>0</v>
      </c>
      <c r="BR132" s="1312">
        <f>BS131*((1+'Instrumentos Financeiros'!$L$43)^(1/12)-1)</f>
        <v>0</v>
      </c>
      <c r="BS132" s="1312">
        <f t="shared" si="49"/>
        <v>0</v>
      </c>
      <c r="BT132" s="1312">
        <f>IF(AND(C132&gt;$F$79,'Instrumentos Financeiros'!C132&lt;'Instrumentos Financeiros'!$F$79+'Instrumentos Financeiros'!$F$12+1),PMT(((1+'Instrumentos Financeiros'!$L$43)^(1/12)-1),$F$12,-$I$79),0)</f>
        <v>0</v>
      </c>
      <c r="BU132" s="1312">
        <f t="shared" si="50"/>
        <v>0</v>
      </c>
      <c r="BV132" s="1312">
        <f>BW131*((1+'Instrumentos Financeiros'!$L$43)^(1/12)-1)</f>
        <v>0</v>
      </c>
      <c r="BW132" s="1312">
        <f t="shared" si="51"/>
        <v>0</v>
      </c>
      <c r="BX132" s="1312">
        <f>IF(AND(C132&gt;$F$80,'Instrumentos Financeiros'!C132&lt;'Instrumentos Financeiros'!$F$80+'Instrumentos Financeiros'!$F$12+1),PMT(((1+'Instrumentos Financeiros'!$L$43)^(1/12)-1),$F$12,-$I$80),0)</f>
        <v>0</v>
      </c>
      <c r="BY132" s="1312">
        <f t="shared" si="52"/>
        <v>0</v>
      </c>
      <c r="BZ132" s="1312">
        <f>CA131*((1+'Instrumentos Financeiros'!$L$43)^(1/12)-1)</f>
        <v>0</v>
      </c>
      <c r="CA132" s="1312">
        <f t="shared" si="53"/>
        <v>0</v>
      </c>
      <c r="CB132" s="1312">
        <f>IF(AND(C132&gt;$F$83,'Instrumentos Financeiros'!C132&lt;'Instrumentos Financeiros'!$F$83+'Instrumentos Financeiros'!$F$13+1),PMT(((1+'Instrumentos Financeiros'!$P$43)^(1/12)-1),$F$13,-$I$83),0)</f>
        <v>0</v>
      </c>
      <c r="CC132" s="1312">
        <f t="shared" si="54"/>
        <v>0</v>
      </c>
      <c r="CD132" s="1312">
        <f>CE131*((1+'Instrumentos Financeiros'!$P$43)^(1/12)-1)</f>
        <v>0</v>
      </c>
      <c r="CE132" s="1312">
        <f t="shared" si="55"/>
        <v>0</v>
      </c>
      <c r="CF132" s="1312">
        <f>IF(AND(C132&gt;$F$84,'Instrumentos Financeiros'!C132&lt;'Instrumentos Financeiros'!$F$84+'Instrumentos Financeiros'!$F$13+1),PMT(((1+'Instrumentos Financeiros'!$Q$43)^(1/12)-1),$F$13,-$I$84),0)</f>
        <v>0</v>
      </c>
      <c r="CG132" s="1312">
        <f t="shared" si="56"/>
        <v>0</v>
      </c>
      <c r="CH132" s="1312">
        <f>CI131*((1+'Instrumentos Financeiros'!$Q$43)^(1/12)-1)</f>
        <v>0</v>
      </c>
      <c r="CI132" s="1312">
        <f t="shared" si="57"/>
        <v>0</v>
      </c>
      <c r="CJ132" s="1312">
        <f>IF(AND(C132&gt;$F$85,'Instrumentos Financeiros'!C132&lt;'Instrumentos Financeiros'!$F$85+'Instrumentos Financeiros'!$F$13+1),PMT(((1+'Instrumentos Financeiros'!$Q$43)^(1/12)-1),$F$13,-$I$85),0)</f>
        <v>0</v>
      </c>
      <c r="CK132" s="1312">
        <f t="shared" si="58"/>
        <v>0</v>
      </c>
      <c r="CL132" s="1312">
        <f>CM131*((1+'Instrumentos Financeiros'!$Q$43)^(1/12)-1)</f>
        <v>0</v>
      </c>
      <c r="CM132" s="1312">
        <f t="shared" si="59"/>
        <v>0</v>
      </c>
      <c r="CN132" s="1312">
        <f>IF(AND(C132&gt;$F$86,'Instrumentos Financeiros'!C132&lt;'Instrumentos Financeiros'!$F$86+'Instrumentos Financeiros'!$F$13+1),PMT(((1+'Instrumentos Financeiros'!$Q$43)^(1/12)-1),$F$13,-$I$86),0)</f>
        <v>0</v>
      </c>
      <c r="CO132" s="1312">
        <f t="shared" si="60"/>
        <v>0</v>
      </c>
      <c r="CP132" s="1312">
        <f>CQ131*((1+'Instrumentos Financeiros'!$Q$43)^(1/12)-1)</f>
        <v>0</v>
      </c>
      <c r="CQ132" s="1312">
        <f t="shared" si="61"/>
        <v>0</v>
      </c>
      <c r="CR132" s="1312">
        <f t="shared" si="29"/>
        <v>0</v>
      </c>
      <c r="CS132" s="1312">
        <f t="shared" si="29"/>
        <v>0</v>
      </c>
      <c r="CT132" s="1312">
        <f t="shared" si="29"/>
        <v>0</v>
      </c>
      <c r="CU132" s="1312">
        <f t="shared" si="29"/>
        <v>0</v>
      </c>
    </row>
    <row r="133" spans="3:99" x14ac:dyDescent="0.35">
      <c r="C133" s="1315">
        <f t="shared" si="30"/>
        <v>40</v>
      </c>
      <c r="D133" s="1312">
        <f>IF(AND(C133&gt;$F$59,'Instrumentos Financeiros'!C133&lt;'Instrumentos Financeiros'!$F$59+'Instrumentos Financeiros'!$F$11+1),PMT(((1+'Instrumentos Financeiros'!$G$43)^(1/12)-1),$F$11,-$I$59),0)</f>
        <v>0</v>
      </c>
      <c r="E133" s="1312">
        <f t="shared" si="14"/>
        <v>0</v>
      </c>
      <c r="F133" s="1312">
        <f>G132*((1+'Instrumentos Financeiros'!$G$43)^(1/12)-1)</f>
        <v>0</v>
      </c>
      <c r="G133" s="1312">
        <f t="shared" si="31"/>
        <v>0</v>
      </c>
      <c r="H133" s="1312">
        <f>IF(AND(C133&gt;$F$60,'Instrumentos Financeiros'!C133&lt;'Instrumentos Financeiros'!$F$60+'Instrumentos Financeiros'!$F$11+1),PMT(((1+'Instrumentos Financeiros'!$G$43)^(1/12)-1),$F$11,-$I$60),0)</f>
        <v>0</v>
      </c>
      <c r="I133" s="1312">
        <f t="shared" si="62"/>
        <v>0</v>
      </c>
      <c r="J133" s="1312">
        <f>K132*((1+'Instrumentos Financeiros'!$G$43)^(1/12)-1)</f>
        <v>0</v>
      </c>
      <c r="K133" s="1312">
        <f t="shared" si="32"/>
        <v>0</v>
      </c>
      <c r="L133" s="1312">
        <f>IF(AND(C133&gt;$F$61,'Instrumentos Financeiros'!C133&lt;'Instrumentos Financeiros'!$F$61+'Instrumentos Financeiros'!$F$11+1),PMT(((1+'Instrumentos Financeiros'!$G$43)^(1/12)-1),$F$11,-$I$61),0)</f>
        <v>0</v>
      </c>
      <c r="M133" s="1312">
        <f t="shared" si="63"/>
        <v>0</v>
      </c>
      <c r="N133" s="1312">
        <f>O132*((1+'Instrumentos Financeiros'!$G$43)^(1/12)-1)</f>
        <v>0</v>
      </c>
      <c r="O133" s="1312">
        <f t="shared" si="33"/>
        <v>0</v>
      </c>
      <c r="P133" s="1312">
        <f>IF(AND(C133&gt;$F$62,'Instrumentos Financeiros'!C133&lt;'Instrumentos Financeiros'!$F$62+'Instrumentos Financeiros'!$F$11+1),PMT(((1+'Instrumentos Financeiros'!$H$43)^(1/12)-1),$F$11,-$I$62),0)</f>
        <v>0</v>
      </c>
      <c r="Q133" s="1312">
        <f t="shared" si="64"/>
        <v>0</v>
      </c>
      <c r="R133" s="1312">
        <f>S132*((1+'Instrumentos Financeiros'!$H$43)^(1/12)-1)</f>
        <v>0</v>
      </c>
      <c r="S133" s="1312">
        <f t="shared" si="34"/>
        <v>0</v>
      </c>
      <c r="T133" s="1312">
        <f>IF(AND(C133&gt;$F$63,'Instrumentos Financeiros'!C133&lt;'Instrumentos Financeiros'!$F$63+'Instrumentos Financeiros'!$F$11+1),PMT(((1+'Instrumentos Financeiros'!$H$43)^(1/12)-1),$F$11,-$I$63),0)</f>
        <v>0</v>
      </c>
      <c r="U133" s="1312">
        <f t="shared" si="65"/>
        <v>0</v>
      </c>
      <c r="V133" s="1312">
        <f>W132*((1+'Instrumentos Financeiros'!$H$43)^(1/12)-1)</f>
        <v>0</v>
      </c>
      <c r="W133" s="1312">
        <f t="shared" si="35"/>
        <v>0</v>
      </c>
      <c r="X133" s="1312">
        <f>IF(AND(C133&gt;$F$64,'Instrumentos Financeiros'!C133&lt;'Instrumentos Financeiros'!$F$64+'Instrumentos Financeiros'!$F$11+1),PMT(((1+'Instrumentos Financeiros'!$H$43)^(1/12)-1),$F$11,-$I$64),0)</f>
        <v>0</v>
      </c>
      <c r="Y133" s="1312">
        <f t="shared" si="66"/>
        <v>0</v>
      </c>
      <c r="Z133" s="1312">
        <f>AA132*((1+'Instrumentos Financeiros'!$H$43)^(1/12)-1)</f>
        <v>0</v>
      </c>
      <c r="AA133" s="1312">
        <f t="shared" si="36"/>
        <v>0</v>
      </c>
      <c r="AB133" s="1312">
        <f>IF(AND(C133&gt;$F$65,'Instrumentos Financeiros'!C133&lt;'Instrumentos Financeiros'!$F$65+'Instrumentos Financeiros'!$F$11+1),PMT(((1+'Instrumentos Financeiros'!$H$43)^(1/12)-1),$F$11,-$I$65),0)</f>
        <v>0</v>
      </c>
      <c r="AC133" s="1312">
        <f t="shared" si="67"/>
        <v>0</v>
      </c>
      <c r="AD133" s="1312">
        <f>AE132*((1+'Instrumentos Financeiros'!$H$43)^(1/12)-1)</f>
        <v>0</v>
      </c>
      <c r="AE133" s="1312">
        <f t="shared" si="37"/>
        <v>0</v>
      </c>
      <c r="AF133" s="1312">
        <f>IF(AND(C133&gt;$F$66,'Instrumentos Financeiros'!C133&lt;'Instrumentos Financeiros'!$F$66+'Instrumentos Financeiros'!$F$11+1),PMT(((1+'Instrumentos Financeiros'!$I$43)^(1/12)-1),$F$11,-$I$66),0)</f>
        <v>0</v>
      </c>
      <c r="AG133" s="1312">
        <f t="shared" si="68"/>
        <v>0</v>
      </c>
      <c r="AH133" s="1312">
        <f>AI132*((1+'Instrumentos Financeiros'!$I$43)^(1/12)-1)</f>
        <v>0</v>
      </c>
      <c r="AI133" s="1312">
        <f t="shared" si="38"/>
        <v>0</v>
      </c>
      <c r="AJ133" s="1312">
        <f>IF(AND(C133&gt;$F$67,'Instrumentos Financeiros'!C133&lt;'Instrumentos Financeiros'!$F$67+'Instrumentos Financeiros'!$F$11+1),PMT(((1+'Instrumentos Financeiros'!$I$43)^(1/12)-1),$F$11,-$I$67),0)</f>
        <v>0</v>
      </c>
      <c r="AK133" s="1312">
        <f t="shared" si="69"/>
        <v>0</v>
      </c>
      <c r="AL133" s="1312">
        <f>AM132*((1+'Instrumentos Financeiros'!$I$43)^(1/12)-1)</f>
        <v>0</v>
      </c>
      <c r="AM133" s="1312">
        <f t="shared" si="39"/>
        <v>0</v>
      </c>
      <c r="AN133" s="1312">
        <f>IF(AND(C133&gt;$F$68,'Instrumentos Financeiros'!C133&lt;'Instrumentos Financeiros'!$F$68+'Instrumentos Financeiros'!$F$11+1),PMT(((1+'Instrumentos Financeiros'!$I$43)^(1/12)-1),$F$11,-$I$68),0)</f>
        <v>0</v>
      </c>
      <c r="AO133" s="1312">
        <f t="shared" si="70"/>
        <v>0</v>
      </c>
      <c r="AP133" s="1312">
        <f>AQ132*((1+'Instrumentos Financeiros'!$I$43)^(1/12)-1)</f>
        <v>0</v>
      </c>
      <c r="AQ133" s="1312">
        <f t="shared" si="40"/>
        <v>0</v>
      </c>
      <c r="AR133" s="1312">
        <f>IF(AND(C133&gt;$F$69,'Instrumentos Financeiros'!C133&lt;'Instrumentos Financeiros'!$F$69+'Instrumentos Financeiros'!$F$11+1),PMT(((1+'Instrumentos Financeiros'!$I$43)^(1/12)-1),$F$11,-$I$69),0)</f>
        <v>0</v>
      </c>
      <c r="AS133" s="1312">
        <f t="shared" si="71"/>
        <v>0</v>
      </c>
      <c r="AT133" s="1312">
        <f>AU132*((1+'Instrumentos Financeiros'!$I$43)^(1/12)-1)</f>
        <v>0</v>
      </c>
      <c r="AU133" s="1312">
        <f t="shared" si="41"/>
        <v>0</v>
      </c>
      <c r="AV133" s="1312">
        <f>IF(AND(C133&gt;$F$70,'Instrumentos Financeiros'!C133&lt;'Instrumentos Financeiros'!$F$70+'Instrumentos Financeiros'!$F$11+1),PMT(((1+'Instrumentos Financeiros'!$J$43)^(1/12)-1),$F$11,-$I$70),0)</f>
        <v>0</v>
      </c>
      <c r="AW133" s="1312">
        <f t="shared" si="72"/>
        <v>0</v>
      </c>
      <c r="AX133" s="1312">
        <f>AY132*((1+'Instrumentos Financeiros'!$J$43)^(1/12)-1)</f>
        <v>0</v>
      </c>
      <c r="AY133" s="1312">
        <f t="shared" si="42"/>
        <v>0</v>
      </c>
      <c r="AZ133" s="1312">
        <f>IF(AND(C133&gt;$F$71,'Instrumentos Financeiros'!C133&lt;'Instrumentos Financeiros'!$F$71+'Instrumentos Financeiros'!$F$11+1),PMT(((1+'Instrumentos Financeiros'!$J$43)^(1/12)-1),$F$11,-$I$71),0)</f>
        <v>0</v>
      </c>
      <c r="BA133" s="1312">
        <f t="shared" si="73"/>
        <v>0</v>
      </c>
      <c r="BB133" s="1312">
        <f>BC132*((1+'Instrumentos Financeiros'!$J$43)^(1/12)-1)</f>
        <v>0</v>
      </c>
      <c r="BC133" s="1312">
        <f t="shared" si="43"/>
        <v>0</v>
      </c>
      <c r="BD133" s="1312">
        <f>IF(AND(C133&gt;$F$72,'Instrumentos Financeiros'!C133&lt;'Instrumentos Financeiros'!$F$72+'Instrumentos Financeiros'!$F$11+1),PMT(((1+'Instrumentos Financeiros'!$J$43)^(1/12)-1),$F$11,-'Instrumentos Financeiros'!$G$7*$G$72),0)</f>
        <v>0</v>
      </c>
      <c r="BE133" s="1312">
        <f t="shared" si="74"/>
        <v>0</v>
      </c>
      <c r="BF133" s="1312">
        <f>BG132*((1+'Instrumentos Financeiros'!$J$43)^(1/12)-1)</f>
        <v>0</v>
      </c>
      <c r="BG133" s="1312">
        <f t="shared" si="44"/>
        <v>0</v>
      </c>
      <c r="BH133" s="1312">
        <f>IF(AND(C133&gt;$F$73,'Instrumentos Financeiros'!C133&lt;'Instrumentos Financeiros'!$F$73+'Instrumentos Financeiros'!$F$11+1),PMT(((1+'Instrumentos Financeiros'!$J$43)^(1/12)-1),$F$11,-$I$73),0)</f>
        <v>0</v>
      </c>
      <c r="BI133" s="1312">
        <f t="shared" si="75"/>
        <v>0</v>
      </c>
      <c r="BJ133" s="1312">
        <f>BK132*((1+'Instrumentos Financeiros'!$J$43)^(1/12)-1)</f>
        <v>0</v>
      </c>
      <c r="BK133" s="1312">
        <f t="shared" si="45"/>
        <v>0</v>
      </c>
      <c r="BL133" s="1312">
        <f>IF(AND(C133&gt;$F$77,'Instrumentos Financeiros'!C133&lt;'Instrumentos Financeiros'!$F$77+'Instrumentos Financeiros'!$F$12+1),PMT(((1+'Instrumentos Financeiros'!$K$43)^(1/12)-1),$F$12,-$I$77),0)</f>
        <v>0</v>
      </c>
      <c r="BM133" s="1312">
        <f t="shared" si="46"/>
        <v>0</v>
      </c>
      <c r="BN133" s="1312">
        <f>BO132*((1+'Instrumentos Financeiros'!$K$43)^(1/12)-1)</f>
        <v>0</v>
      </c>
      <c r="BO133" s="1312">
        <f t="shared" si="47"/>
        <v>0</v>
      </c>
      <c r="BP133" s="1312">
        <f>IF(AND(C133&gt;$F$78,'Instrumentos Financeiros'!C133&lt;'Instrumentos Financeiros'!$F$78+'Instrumentos Financeiros'!$F$12+1),PMT(((1+'Instrumentos Financeiros'!$L$43)^(1/12)-1),$F$12,-$I$78),0)</f>
        <v>0</v>
      </c>
      <c r="BQ133" s="1312">
        <f t="shared" si="48"/>
        <v>0</v>
      </c>
      <c r="BR133" s="1312">
        <f>BS132*((1+'Instrumentos Financeiros'!$L$43)^(1/12)-1)</f>
        <v>0</v>
      </c>
      <c r="BS133" s="1312">
        <f t="shared" si="49"/>
        <v>0</v>
      </c>
      <c r="BT133" s="1312">
        <f>IF(AND(C133&gt;$F$79,'Instrumentos Financeiros'!C133&lt;'Instrumentos Financeiros'!$F$79+'Instrumentos Financeiros'!$F$12+1),PMT(((1+'Instrumentos Financeiros'!$L$43)^(1/12)-1),$F$12,-$I$79),0)</f>
        <v>0</v>
      </c>
      <c r="BU133" s="1312">
        <f t="shared" si="50"/>
        <v>0</v>
      </c>
      <c r="BV133" s="1312">
        <f>BW132*((1+'Instrumentos Financeiros'!$L$43)^(1/12)-1)</f>
        <v>0</v>
      </c>
      <c r="BW133" s="1312">
        <f t="shared" si="51"/>
        <v>0</v>
      </c>
      <c r="BX133" s="1312">
        <f>IF(AND(C133&gt;$F$80,'Instrumentos Financeiros'!C133&lt;'Instrumentos Financeiros'!$F$80+'Instrumentos Financeiros'!$F$12+1),PMT(((1+'Instrumentos Financeiros'!$L$43)^(1/12)-1),$F$12,-$I$80),0)</f>
        <v>0</v>
      </c>
      <c r="BY133" s="1312">
        <f t="shared" si="52"/>
        <v>0</v>
      </c>
      <c r="BZ133" s="1312">
        <f>CA132*((1+'Instrumentos Financeiros'!$L$43)^(1/12)-1)</f>
        <v>0</v>
      </c>
      <c r="CA133" s="1312">
        <f t="shared" si="53"/>
        <v>0</v>
      </c>
      <c r="CB133" s="1312">
        <f>IF(AND(C133&gt;$F$83,'Instrumentos Financeiros'!C133&lt;'Instrumentos Financeiros'!$F$83+'Instrumentos Financeiros'!$F$13+1),PMT(((1+'Instrumentos Financeiros'!$P$43)^(1/12)-1),$F$13,-$I$83),0)</f>
        <v>0</v>
      </c>
      <c r="CC133" s="1312">
        <f t="shared" si="54"/>
        <v>0</v>
      </c>
      <c r="CD133" s="1312">
        <f>CE132*((1+'Instrumentos Financeiros'!$P$43)^(1/12)-1)</f>
        <v>0</v>
      </c>
      <c r="CE133" s="1312">
        <f t="shared" si="55"/>
        <v>0</v>
      </c>
      <c r="CF133" s="1312">
        <f>IF(AND(C133&gt;$F$84,'Instrumentos Financeiros'!C133&lt;'Instrumentos Financeiros'!$F$84+'Instrumentos Financeiros'!$F$13+1),PMT(((1+'Instrumentos Financeiros'!$Q$43)^(1/12)-1),$F$13,-$I$84),0)</f>
        <v>0</v>
      </c>
      <c r="CG133" s="1312">
        <f t="shared" si="56"/>
        <v>0</v>
      </c>
      <c r="CH133" s="1312">
        <f>CI132*((1+'Instrumentos Financeiros'!$Q$43)^(1/12)-1)</f>
        <v>0</v>
      </c>
      <c r="CI133" s="1312">
        <f t="shared" si="57"/>
        <v>0</v>
      </c>
      <c r="CJ133" s="1312">
        <f>IF(AND(C133&gt;$F$85,'Instrumentos Financeiros'!C133&lt;'Instrumentos Financeiros'!$F$85+'Instrumentos Financeiros'!$F$13+1),PMT(((1+'Instrumentos Financeiros'!$Q$43)^(1/12)-1),$F$13,-$I$85),0)</f>
        <v>0</v>
      </c>
      <c r="CK133" s="1312">
        <f t="shared" si="58"/>
        <v>0</v>
      </c>
      <c r="CL133" s="1312">
        <f>CM132*((1+'Instrumentos Financeiros'!$Q$43)^(1/12)-1)</f>
        <v>0</v>
      </c>
      <c r="CM133" s="1312">
        <f t="shared" si="59"/>
        <v>0</v>
      </c>
      <c r="CN133" s="1312">
        <f>IF(AND(C133&gt;$F$86,'Instrumentos Financeiros'!C133&lt;'Instrumentos Financeiros'!$F$86+'Instrumentos Financeiros'!$F$13+1),PMT(((1+'Instrumentos Financeiros'!$Q$43)^(1/12)-1),$F$13,-$I$86),0)</f>
        <v>0</v>
      </c>
      <c r="CO133" s="1312">
        <f t="shared" si="60"/>
        <v>0</v>
      </c>
      <c r="CP133" s="1312">
        <f>CQ132*((1+'Instrumentos Financeiros'!$Q$43)^(1/12)-1)</f>
        <v>0</v>
      </c>
      <c r="CQ133" s="1312">
        <f t="shared" si="61"/>
        <v>0</v>
      </c>
      <c r="CR133" s="1312">
        <f t="shared" si="29"/>
        <v>0</v>
      </c>
      <c r="CS133" s="1312">
        <f t="shared" si="29"/>
        <v>0</v>
      </c>
      <c r="CT133" s="1312">
        <f t="shared" si="29"/>
        <v>0</v>
      </c>
      <c r="CU133" s="1312">
        <f t="shared" si="29"/>
        <v>0</v>
      </c>
    </row>
    <row r="134" spans="3:99" x14ac:dyDescent="0.35">
      <c r="C134" s="1315">
        <f t="shared" si="30"/>
        <v>41</v>
      </c>
      <c r="D134" s="1312">
        <f>IF(AND(C134&gt;$F$59,'Instrumentos Financeiros'!C134&lt;'Instrumentos Financeiros'!$F$59+'Instrumentos Financeiros'!$F$11+1),PMT(((1+'Instrumentos Financeiros'!$G$43)^(1/12)-1),$F$11,-$I$59),0)</f>
        <v>0</v>
      </c>
      <c r="E134" s="1312">
        <f t="shared" si="14"/>
        <v>0</v>
      </c>
      <c r="F134" s="1312">
        <f>G133*((1+'Instrumentos Financeiros'!$G$43)^(1/12)-1)</f>
        <v>0</v>
      </c>
      <c r="G134" s="1312">
        <f t="shared" si="31"/>
        <v>0</v>
      </c>
      <c r="H134" s="1312">
        <f>IF(AND(C134&gt;$F$60,'Instrumentos Financeiros'!C134&lt;'Instrumentos Financeiros'!$F$60+'Instrumentos Financeiros'!$F$11+1),PMT(((1+'Instrumentos Financeiros'!$G$43)^(1/12)-1),$F$11,-$I$60),0)</f>
        <v>0</v>
      </c>
      <c r="I134" s="1312">
        <f t="shared" si="62"/>
        <v>0</v>
      </c>
      <c r="J134" s="1312">
        <f>K133*((1+'Instrumentos Financeiros'!$G$43)^(1/12)-1)</f>
        <v>0</v>
      </c>
      <c r="K134" s="1312">
        <f t="shared" si="32"/>
        <v>0</v>
      </c>
      <c r="L134" s="1312">
        <f>IF(AND(C134&gt;$F$61,'Instrumentos Financeiros'!C134&lt;'Instrumentos Financeiros'!$F$61+'Instrumentos Financeiros'!$F$11+1),PMT(((1+'Instrumentos Financeiros'!$G$43)^(1/12)-1),$F$11,-$I$61),0)</f>
        <v>0</v>
      </c>
      <c r="M134" s="1312">
        <f t="shared" si="63"/>
        <v>0</v>
      </c>
      <c r="N134" s="1312">
        <f>O133*((1+'Instrumentos Financeiros'!$G$43)^(1/12)-1)</f>
        <v>0</v>
      </c>
      <c r="O134" s="1312">
        <f t="shared" si="33"/>
        <v>0</v>
      </c>
      <c r="P134" s="1312">
        <f>IF(AND(C134&gt;$F$62,'Instrumentos Financeiros'!C134&lt;'Instrumentos Financeiros'!$F$62+'Instrumentos Financeiros'!$F$11+1),PMT(((1+'Instrumentos Financeiros'!$H$43)^(1/12)-1),$F$11,-$I$62),0)</f>
        <v>0</v>
      </c>
      <c r="Q134" s="1312">
        <f t="shared" si="64"/>
        <v>0</v>
      </c>
      <c r="R134" s="1312">
        <f>S133*((1+'Instrumentos Financeiros'!$H$43)^(1/12)-1)</f>
        <v>0</v>
      </c>
      <c r="S134" s="1312">
        <f t="shared" si="34"/>
        <v>0</v>
      </c>
      <c r="T134" s="1312">
        <f>IF(AND(C134&gt;$F$63,'Instrumentos Financeiros'!C134&lt;'Instrumentos Financeiros'!$F$63+'Instrumentos Financeiros'!$F$11+1),PMT(((1+'Instrumentos Financeiros'!$H$43)^(1/12)-1),$F$11,-$I$63),0)</f>
        <v>0</v>
      </c>
      <c r="U134" s="1312">
        <f t="shared" si="65"/>
        <v>0</v>
      </c>
      <c r="V134" s="1312">
        <f>W133*((1+'Instrumentos Financeiros'!$H$43)^(1/12)-1)</f>
        <v>0</v>
      </c>
      <c r="W134" s="1312">
        <f t="shared" si="35"/>
        <v>0</v>
      </c>
      <c r="X134" s="1312">
        <f>IF(AND(C134&gt;$F$64,'Instrumentos Financeiros'!C134&lt;'Instrumentos Financeiros'!$F$64+'Instrumentos Financeiros'!$F$11+1),PMT(((1+'Instrumentos Financeiros'!$H$43)^(1/12)-1),$F$11,-$I$64),0)</f>
        <v>0</v>
      </c>
      <c r="Y134" s="1312">
        <f t="shared" si="66"/>
        <v>0</v>
      </c>
      <c r="Z134" s="1312">
        <f>AA133*((1+'Instrumentos Financeiros'!$H$43)^(1/12)-1)</f>
        <v>0</v>
      </c>
      <c r="AA134" s="1312">
        <f t="shared" si="36"/>
        <v>0</v>
      </c>
      <c r="AB134" s="1312">
        <f>IF(AND(C134&gt;$F$65,'Instrumentos Financeiros'!C134&lt;'Instrumentos Financeiros'!$F$65+'Instrumentos Financeiros'!$F$11+1),PMT(((1+'Instrumentos Financeiros'!$H$43)^(1/12)-1),$F$11,-$I$65),0)</f>
        <v>0</v>
      </c>
      <c r="AC134" s="1312">
        <f t="shared" si="67"/>
        <v>0</v>
      </c>
      <c r="AD134" s="1312">
        <f>AE133*((1+'Instrumentos Financeiros'!$H$43)^(1/12)-1)</f>
        <v>0</v>
      </c>
      <c r="AE134" s="1312">
        <f t="shared" si="37"/>
        <v>0</v>
      </c>
      <c r="AF134" s="1312">
        <f>IF(AND(C134&gt;$F$66,'Instrumentos Financeiros'!C134&lt;'Instrumentos Financeiros'!$F$66+'Instrumentos Financeiros'!$F$11+1),PMT(((1+'Instrumentos Financeiros'!$I$43)^(1/12)-1),$F$11,-$I$66),0)</f>
        <v>0</v>
      </c>
      <c r="AG134" s="1312">
        <f t="shared" si="68"/>
        <v>0</v>
      </c>
      <c r="AH134" s="1312">
        <f>AI133*((1+'Instrumentos Financeiros'!$I$43)^(1/12)-1)</f>
        <v>0</v>
      </c>
      <c r="AI134" s="1312">
        <f t="shared" si="38"/>
        <v>0</v>
      </c>
      <c r="AJ134" s="1312">
        <f>IF(AND(C134&gt;$F$67,'Instrumentos Financeiros'!C134&lt;'Instrumentos Financeiros'!$F$67+'Instrumentos Financeiros'!$F$11+1),PMT(((1+'Instrumentos Financeiros'!$I$43)^(1/12)-1),$F$11,-$I$67),0)</f>
        <v>0</v>
      </c>
      <c r="AK134" s="1312">
        <f t="shared" si="69"/>
        <v>0</v>
      </c>
      <c r="AL134" s="1312">
        <f>AM133*((1+'Instrumentos Financeiros'!$I$43)^(1/12)-1)</f>
        <v>0</v>
      </c>
      <c r="AM134" s="1312">
        <f t="shared" si="39"/>
        <v>0</v>
      </c>
      <c r="AN134" s="1312">
        <f>IF(AND(C134&gt;$F$68,'Instrumentos Financeiros'!C134&lt;'Instrumentos Financeiros'!$F$68+'Instrumentos Financeiros'!$F$11+1),PMT(((1+'Instrumentos Financeiros'!$I$43)^(1/12)-1),$F$11,-$I$68),0)</f>
        <v>0</v>
      </c>
      <c r="AO134" s="1312">
        <f t="shared" si="70"/>
        <v>0</v>
      </c>
      <c r="AP134" s="1312">
        <f>AQ133*((1+'Instrumentos Financeiros'!$I$43)^(1/12)-1)</f>
        <v>0</v>
      </c>
      <c r="AQ134" s="1312">
        <f t="shared" si="40"/>
        <v>0</v>
      </c>
      <c r="AR134" s="1312">
        <f>IF(AND(C134&gt;$F$69,'Instrumentos Financeiros'!C134&lt;'Instrumentos Financeiros'!$F$69+'Instrumentos Financeiros'!$F$11+1),PMT(((1+'Instrumentos Financeiros'!$I$43)^(1/12)-1),$F$11,-$I$69),0)</f>
        <v>0</v>
      </c>
      <c r="AS134" s="1312">
        <f t="shared" si="71"/>
        <v>0</v>
      </c>
      <c r="AT134" s="1312">
        <f>AU133*((1+'Instrumentos Financeiros'!$I$43)^(1/12)-1)</f>
        <v>0</v>
      </c>
      <c r="AU134" s="1312">
        <f t="shared" si="41"/>
        <v>0</v>
      </c>
      <c r="AV134" s="1312">
        <f>IF(AND(C134&gt;$F$70,'Instrumentos Financeiros'!C134&lt;'Instrumentos Financeiros'!$F$70+'Instrumentos Financeiros'!$F$11+1),PMT(((1+'Instrumentos Financeiros'!$J$43)^(1/12)-1),$F$11,-$I$70),0)</f>
        <v>0</v>
      </c>
      <c r="AW134" s="1312">
        <f t="shared" si="72"/>
        <v>0</v>
      </c>
      <c r="AX134" s="1312">
        <f>AY133*((1+'Instrumentos Financeiros'!$J$43)^(1/12)-1)</f>
        <v>0</v>
      </c>
      <c r="AY134" s="1312">
        <f t="shared" si="42"/>
        <v>0</v>
      </c>
      <c r="AZ134" s="1312">
        <f>IF(AND(C134&gt;$F$71,'Instrumentos Financeiros'!C134&lt;'Instrumentos Financeiros'!$F$71+'Instrumentos Financeiros'!$F$11+1),PMT(((1+'Instrumentos Financeiros'!$J$43)^(1/12)-1),$F$11,-$I$71),0)</f>
        <v>0</v>
      </c>
      <c r="BA134" s="1312">
        <f t="shared" si="73"/>
        <v>0</v>
      </c>
      <c r="BB134" s="1312">
        <f>BC133*((1+'Instrumentos Financeiros'!$J$43)^(1/12)-1)</f>
        <v>0</v>
      </c>
      <c r="BC134" s="1312">
        <f t="shared" si="43"/>
        <v>0</v>
      </c>
      <c r="BD134" s="1312">
        <f>IF(AND(C134&gt;$F$72,'Instrumentos Financeiros'!C134&lt;'Instrumentos Financeiros'!$F$72+'Instrumentos Financeiros'!$F$11+1),PMT(((1+'Instrumentos Financeiros'!$J$43)^(1/12)-1),$F$11,-'Instrumentos Financeiros'!$G$7*$G$72),0)</f>
        <v>0</v>
      </c>
      <c r="BE134" s="1312">
        <f t="shared" si="74"/>
        <v>0</v>
      </c>
      <c r="BF134" s="1312">
        <f>BG133*((1+'Instrumentos Financeiros'!$J$43)^(1/12)-1)</f>
        <v>0</v>
      </c>
      <c r="BG134" s="1312">
        <f t="shared" si="44"/>
        <v>0</v>
      </c>
      <c r="BH134" s="1312">
        <f>IF(AND(C134&gt;$F$73,'Instrumentos Financeiros'!C134&lt;'Instrumentos Financeiros'!$F$73+'Instrumentos Financeiros'!$F$11+1),PMT(((1+'Instrumentos Financeiros'!$J$43)^(1/12)-1),$F$11,-$I$73),0)</f>
        <v>0</v>
      </c>
      <c r="BI134" s="1312">
        <f t="shared" si="75"/>
        <v>0</v>
      </c>
      <c r="BJ134" s="1312">
        <f>BK133*((1+'Instrumentos Financeiros'!$J$43)^(1/12)-1)</f>
        <v>0</v>
      </c>
      <c r="BK134" s="1312">
        <f t="shared" si="45"/>
        <v>0</v>
      </c>
      <c r="BL134" s="1312">
        <f>IF(AND(C134&gt;$F$77,'Instrumentos Financeiros'!C134&lt;'Instrumentos Financeiros'!$F$77+'Instrumentos Financeiros'!$F$12+1),PMT(((1+'Instrumentos Financeiros'!$K$43)^(1/12)-1),$F$12,-$I$77),0)</f>
        <v>0</v>
      </c>
      <c r="BM134" s="1312">
        <f t="shared" si="46"/>
        <v>0</v>
      </c>
      <c r="BN134" s="1312">
        <f>BO133*((1+'Instrumentos Financeiros'!$K$43)^(1/12)-1)</f>
        <v>0</v>
      </c>
      <c r="BO134" s="1312">
        <f t="shared" si="47"/>
        <v>0</v>
      </c>
      <c r="BP134" s="1312">
        <f>IF(AND(C134&gt;$F$78,'Instrumentos Financeiros'!C134&lt;'Instrumentos Financeiros'!$F$78+'Instrumentos Financeiros'!$F$12+1),PMT(((1+'Instrumentos Financeiros'!$L$43)^(1/12)-1),$F$12,-$I$78),0)</f>
        <v>0</v>
      </c>
      <c r="BQ134" s="1312">
        <f t="shared" si="48"/>
        <v>0</v>
      </c>
      <c r="BR134" s="1312">
        <f>BS133*((1+'Instrumentos Financeiros'!$L$43)^(1/12)-1)</f>
        <v>0</v>
      </c>
      <c r="BS134" s="1312">
        <f t="shared" si="49"/>
        <v>0</v>
      </c>
      <c r="BT134" s="1312">
        <f>IF(AND(C134&gt;$F$79,'Instrumentos Financeiros'!C134&lt;'Instrumentos Financeiros'!$F$79+'Instrumentos Financeiros'!$F$12+1),PMT(((1+'Instrumentos Financeiros'!$L$43)^(1/12)-1),$F$12,-$I$79),0)</f>
        <v>0</v>
      </c>
      <c r="BU134" s="1312">
        <f t="shared" si="50"/>
        <v>0</v>
      </c>
      <c r="BV134" s="1312">
        <f>BW133*((1+'Instrumentos Financeiros'!$L$43)^(1/12)-1)</f>
        <v>0</v>
      </c>
      <c r="BW134" s="1312">
        <f t="shared" si="51"/>
        <v>0</v>
      </c>
      <c r="BX134" s="1312">
        <f>IF(AND(C134&gt;$F$80,'Instrumentos Financeiros'!C134&lt;'Instrumentos Financeiros'!$F$80+'Instrumentos Financeiros'!$F$12+1),PMT(((1+'Instrumentos Financeiros'!$L$43)^(1/12)-1),$F$12,-$I$80),0)</f>
        <v>0</v>
      </c>
      <c r="BY134" s="1312">
        <f t="shared" si="52"/>
        <v>0</v>
      </c>
      <c r="BZ134" s="1312">
        <f>CA133*((1+'Instrumentos Financeiros'!$L$43)^(1/12)-1)</f>
        <v>0</v>
      </c>
      <c r="CA134" s="1312">
        <f t="shared" si="53"/>
        <v>0</v>
      </c>
      <c r="CB134" s="1312">
        <f>IF(AND(C134&gt;$F$83,'Instrumentos Financeiros'!C134&lt;'Instrumentos Financeiros'!$F$83+'Instrumentos Financeiros'!$F$13+1),PMT(((1+'Instrumentos Financeiros'!$P$43)^(1/12)-1),$F$13,-$I$83),0)</f>
        <v>0</v>
      </c>
      <c r="CC134" s="1312">
        <f t="shared" si="54"/>
        <v>0</v>
      </c>
      <c r="CD134" s="1312">
        <f>CE133*((1+'Instrumentos Financeiros'!$P$43)^(1/12)-1)</f>
        <v>0</v>
      </c>
      <c r="CE134" s="1312">
        <f t="shared" si="55"/>
        <v>0</v>
      </c>
      <c r="CF134" s="1312">
        <f>IF(AND(C134&gt;$F$84,'Instrumentos Financeiros'!C134&lt;'Instrumentos Financeiros'!$F$84+'Instrumentos Financeiros'!$F$13+1),PMT(((1+'Instrumentos Financeiros'!$Q$43)^(1/12)-1),$F$13,-$I$84),0)</f>
        <v>0</v>
      </c>
      <c r="CG134" s="1312">
        <f t="shared" si="56"/>
        <v>0</v>
      </c>
      <c r="CH134" s="1312">
        <f>CI133*((1+'Instrumentos Financeiros'!$Q$43)^(1/12)-1)</f>
        <v>0</v>
      </c>
      <c r="CI134" s="1312">
        <f t="shared" si="57"/>
        <v>0</v>
      </c>
      <c r="CJ134" s="1312">
        <f>IF(AND(C134&gt;$F$85,'Instrumentos Financeiros'!C134&lt;'Instrumentos Financeiros'!$F$85+'Instrumentos Financeiros'!$F$13+1),PMT(((1+'Instrumentos Financeiros'!$Q$43)^(1/12)-1),$F$13,-$I$85),0)</f>
        <v>0</v>
      </c>
      <c r="CK134" s="1312">
        <f t="shared" si="58"/>
        <v>0</v>
      </c>
      <c r="CL134" s="1312">
        <f>CM133*((1+'Instrumentos Financeiros'!$Q$43)^(1/12)-1)</f>
        <v>0</v>
      </c>
      <c r="CM134" s="1312">
        <f t="shared" si="59"/>
        <v>0</v>
      </c>
      <c r="CN134" s="1312">
        <f>IF(AND(C134&gt;$F$86,'Instrumentos Financeiros'!C134&lt;'Instrumentos Financeiros'!$F$86+'Instrumentos Financeiros'!$F$13+1),PMT(((1+'Instrumentos Financeiros'!$Q$43)^(1/12)-1),$F$13,-$I$86),0)</f>
        <v>0</v>
      </c>
      <c r="CO134" s="1312">
        <f t="shared" si="60"/>
        <v>0</v>
      </c>
      <c r="CP134" s="1312">
        <f>CQ133*((1+'Instrumentos Financeiros'!$Q$43)^(1/12)-1)</f>
        <v>0</v>
      </c>
      <c r="CQ134" s="1312">
        <f t="shared" si="61"/>
        <v>0</v>
      </c>
      <c r="CR134" s="1312">
        <f t="shared" si="29"/>
        <v>0</v>
      </c>
      <c r="CS134" s="1312">
        <f t="shared" si="29"/>
        <v>0</v>
      </c>
      <c r="CT134" s="1312">
        <f t="shared" si="29"/>
        <v>0</v>
      </c>
      <c r="CU134" s="1312">
        <f t="shared" si="29"/>
        <v>0</v>
      </c>
    </row>
    <row r="135" spans="3:99" x14ac:dyDescent="0.35">
      <c r="C135" s="1315">
        <f t="shared" si="30"/>
        <v>42</v>
      </c>
      <c r="D135" s="1312">
        <f>IF(AND(C135&gt;$F$59,'Instrumentos Financeiros'!C135&lt;'Instrumentos Financeiros'!$F$59+'Instrumentos Financeiros'!$F$11+1),PMT(((1+'Instrumentos Financeiros'!$G$43)^(1/12)-1),$F$11,-$I$59),0)</f>
        <v>0</v>
      </c>
      <c r="E135" s="1312">
        <f t="shared" si="14"/>
        <v>0</v>
      </c>
      <c r="F135" s="1312">
        <f>G134*((1+'Instrumentos Financeiros'!$G$43)^(1/12)-1)</f>
        <v>0</v>
      </c>
      <c r="G135" s="1312">
        <f t="shared" si="31"/>
        <v>0</v>
      </c>
      <c r="H135" s="1312">
        <f>IF(AND(C135&gt;$F$60,'Instrumentos Financeiros'!C135&lt;'Instrumentos Financeiros'!$F$60+'Instrumentos Financeiros'!$F$11+1),PMT(((1+'Instrumentos Financeiros'!$G$43)^(1/12)-1),$F$11,-$I$60),0)</f>
        <v>0</v>
      </c>
      <c r="I135" s="1312">
        <f t="shared" si="62"/>
        <v>0</v>
      </c>
      <c r="J135" s="1312">
        <f>K134*((1+'Instrumentos Financeiros'!$G$43)^(1/12)-1)</f>
        <v>0</v>
      </c>
      <c r="K135" s="1312">
        <f t="shared" si="32"/>
        <v>0</v>
      </c>
      <c r="L135" s="1312">
        <f>IF(AND(C135&gt;$F$61,'Instrumentos Financeiros'!C135&lt;'Instrumentos Financeiros'!$F$61+'Instrumentos Financeiros'!$F$11+1),PMT(((1+'Instrumentos Financeiros'!$G$43)^(1/12)-1),$F$11,-$I$61),0)</f>
        <v>0</v>
      </c>
      <c r="M135" s="1312">
        <f t="shared" si="63"/>
        <v>0</v>
      </c>
      <c r="N135" s="1312">
        <f>O134*((1+'Instrumentos Financeiros'!$G$43)^(1/12)-1)</f>
        <v>0</v>
      </c>
      <c r="O135" s="1312">
        <f t="shared" si="33"/>
        <v>0</v>
      </c>
      <c r="P135" s="1312">
        <f>IF(AND(C135&gt;$F$62,'Instrumentos Financeiros'!C135&lt;'Instrumentos Financeiros'!$F$62+'Instrumentos Financeiros'!$F$11+1),PMT(((1+'Instrumentos Financeiros'!$H$43)^(1/12)-1),$F$11,-$I$62),0)</f>
        <v>0</v>
      </c>
      <c r="Q135" s="1312">
        <f t="shared" si="64"/>
        <v>0</v>
      </c>
      <c r="R135" s="1312">
        <f>S134*((1+'Instrumentos Financeiros'!$H$43)^(1/12)-1)</f>
        <v>0</v>
      </c>
      <c r="S135" s="1312">
        <f t="shared" si="34"/>
        <v>0</v>
      </c>
      <c r="T135" s="1312">
        <f>IF(AND(C135&gt;$F$63,'Instrumentos Financeiros'!C135&lt;'Instrumentos Financeiros'!$F$63+'Instrumentos Financeiros'!$F$11+1),PMT(((1+'Instrumentos Financeiros'!$H$43)^(1/12)-1),$F$11,-$I$63),0)</f>
        <v>0</v>
      </c>
      <c r="U135" s="1312">
        <f t="shared" si="65"/>
        <v>0</v>
      </c>
      <c r="V135" s="1312">
        <f>W134*((1+'Instrumentos Financeiros'!$H$43)^(1/12)-1)</f>
        <v>0</v>
      </c>
      <c r="W135" s="1312">
        <f t="shared" si="35"/>
        <v>0</v>
      </c>
      <c r="X135" s="1312">
        <f>IF(AND(C135&gt;$F$64,'Instrumentos Financeiros'!C135&lt;'Instrumentos Financeiros'!$F$64+'Instrumentos Financeiros'!$F$11+1),PMT(((1+'Instrumentos Financeiros'!$H$43)^(1/12)-1),$F$11,-$I$64),0)</f>
        <v>0</v>
      </c>
      <c r="Y135" s="1312">
        <f t="shared" si="66"/>
        <v>0</v>
      </c>
      <c r="Z135" s="1312">
        <f>AA134*((1+'Instrumentos Financeiros'!$H$43)^(1/12)-1)</f>
        <v>0</v>
      </c>
      <c r="AA135" s="1312">
        <f t="shared" si="36"/>
        <v>0</v>
      </c>
      <c r="AB135" s="1312">
        <f>IF(AND(C135&gt;$F$65,'Instrumentos Financeiros'!C135&lt;'Instrumentos Financeiros'!$F$65+'Instrumentos Financeiros'!$F$11+1),PMT(((1+'Instrumentos Financeiros'!$H$43)^(1/12)-1),$F$11,-$I$65),0)</f>
        <v>0</v>
      </c>
      <c r="AC135" s="1312">
        <f t="shared" si="67"/>
        <v>0</v>
      </c>
      <c r="AD135" s="1312">
        <f>AE134*((1+'Instrumentos Financeiros'!$H$43)^(1/12)-1)</f>
        <v>0</v>
      </c>
      <c r="AE135" s="1312">
        <f t="shared" si="37"/>
        <v>0</v>
      </c>
      <c r="AF135" s="1312">
        <f>IF(AND(C135&gt;$F$66,'Instrumentos Financeiros'!C135&lt;'Instrumentos Financeiros'!$F$66+'Instrumentos Financeiros'!$F$11+1),PMT(((1+'Instrumentos Financeiros'!$I$43)^(1/12)-1),$F$11,-$I$66),0)</f>
        <v>0</v>
      </c>
      <c r="AG135" s="1312">
        <f t="shared" si="68"/>
        <v>0</v>
      </c>
      <c r="AH135" s="1312">
        <f>AI134*((1+'Instrumentos Financeiros'!$I$43)^(1/12)-1)</f>
        <v>0</v>
      </c>
      <c r="AI135" s="1312">
        <f t="shared" si="38"/>
        <v>0</v>
      </c>
      <c r="AJ135" s="1312">
        <f>IF(AND(C135&gt;$F$67,'Instrumentos Financeiros'!C135&lt;'Instrumentos Financeiros'!$F$67+'Instrumentos Financeiros'!$F$11+1),PMT(((1+'Instrumentos Financeiros'!$I$43)^(1/12)-1),$F$11,-$I$67),0)</f>
        <v>0</v>
      </c>
      <c r="AK135" s="1312">
        <f t="shared" si="69"/>
        <v>0</v>
      </c>
      <c r="AL135" s="1312">
        <f>AM134*((1+'Instrumentos Financeiros'!$I$43)^(1/12)-1)</f>
        <v>0</v>
      </c>
      <c r="AM135" s="1312">
        <f t="shared" si="39"/>
        <v>0</v>
      </c>
      <c r="AN135" s="1312">
        <f>IF(AND(C135&gt;$F$68,'Instrumentos Financeiros'!C135&lt;'Instrumentos Financeiros'!$F$68+'Instrumentos Financeiros'!$F$11+1),PMT(((1+'Instrumentos Financeiros'!$I$43)^(1/12)-1),$F$11,-$I$68),0)</f>
        <v>0</v>
      </c>
      <c r="AO135" s="1312">
        <f t="shared" si="70"/>
        <v>0</v>
      </c>
      <c r="AP135" s="1312">
        <f>AQ134*((1+'Instrumentos Financeiros'!$I$43)^(1/12)-1)</f>
        <v>0</v>
      </c>
      <c r="AQ135" s="1312">
        <f t="shared" si="40"/>
        <v>0</v>
      </c>
      <c r="AR135" s="1312">
        <f>IF(AND(C135&gt;$F$69,'Instrumentos Financeiros'!C135&lt;'Instrumentos Financeiros'!$F$69+'Instrumentos Financeiros'!$F$11+1),PMT(((1+'Instrumentos Financeiros'!$I$43)^(1/12)-1),$F$11,-$I$69),0)</f>
        <v>0</v>
      </c>
      <c r="AS135" s="1312">
        <f t="shared" si="71"/>
        <v>0</v>
      </c>
      <c r="AT135" s="1312">
        <f>AU134*((1+'Instrumentos Financeiros'!$I$43)^(1/12)-1)</f>
        <v>0</v>
      </c>
      <c r="AU135" s="1312">
        <f t="shared" si="41"/>
        <v>0</v>
      </c>
      <c r="AV135" s="1312">
        <f>IF(AND(C135&gt;$F$70,'Instrumentos Financeiros'!C135&lt;'Instrumentos Financeiros'!$F$70+'Instrumentos Financeiros'!$F$11+1),PMT(((1+'Instrumentos Financeiros'!$J$43)^(1/12)-1),$F$11,-$I$70),0)</f>
        <v>0</v>
      </c>
      <c r="AW135" s="1312">
        <f t="shared" si="72"/>
        <v>0</v>
      </c>
      <c r="AX135" s="1312">
        <f>AY134*((1+'Instrumentos Financeiros'!$J$43)^(1/12)-1)</f>
        <v>0</v>
      </c>
      <c r="AY135" s="1312">
        <f t="shared" si="42"/>
        <v>0</v>
      </c>
      <c r="AZ135" s="1312">
        <f>IF(AND(C135&gt;$F$71,'Instrumentos Financeiros'!C135&lt;'Instrumentos Financeiros'!$F$71+'Instrumentos Financeiros'!$F$11+1),PMT(((1+'Instrumentos Financeiros'!$J$43)^(1/12)-1),$F$11,-$I$71),0)</f>
        <v>0</v>
      </c>
      <c r="BA135" s="1312">
        <f t="shared" si="73"/>
        <v>0</v>
      </c>
      <c r="BB135" s="1312">
        <f>BC134*((1+'Instrumentos Financeiros'!$J$43)^(1/12)-1)</f>
        <v>0</v>
      </c>
      <c r="BC135" s="1312">
        <f t="shared" si="43"/>
        <v>0</v>
      </c>
      <c r="BD135" s="1312">
        <f>IF(AND(C135&gt;$F$72,'Instrumentos Financeiros'!C135&lt;'Instrumentos Financeiros'!$F$72+'Instrumentos Financeiros'!$F$11+1),PMT(((1+'Instrumentos Financeiros'!$J$43)^(1/12)-1),$F$11,-'Instrumentos Financeiros'!$G$7*$G$72),0)</f>
        <v>0</v>
      </c>
      <c r="BE135" s="1312">
        <f t="shared" si="74"/>
        <v>0</v>
      </c>
      <c r="BF135" s="1312">
        <f>BG134*((1+'Instrumentos Financeiros'!$J$43)^(1/12)-1)</f>
        <v>0</v>
      </c>
      <c r="BG135" s="1312">
        <f t="shared" si="44"/>
        <v>0</v>
      </c>
      <c r="BH135" s="1312">
        <f>IF(AND(C135&gt;$F$73,'Instrumentos Financeiros'!C135&lt;'Instrumentos Financeiros'!$F$73+'Instrumentos Financeiros'!$F$11+1),PMT(((1+'Instrumentos Financeiros'!$J$43)^(1/12)-1),$F$11,-$I$73),0)</f>
        <v>0</v>
      </c>
      <c r="BI135" s="1312">
        <f t="shared" si="75"/>
        <v>0</v>
      </c>
      <c r="BJ135" s="1312">
        <f>BK134*((1+'Instrumentos Financeiros'!$J$43)^(1/12)-1)</f>
        <v>0</v>
      </c>
      <c r="BK135" s="1312">
        <f t="shared" si="45"/>
        <v>0</v>
      </c>
      <c r="BL135" s="1312">
        <f>IF(AND(C135&gt;$F$77,'Instrumentos Financeiros'!C135&lt;'Instrumentos Financeiros'!$F$77+'Instrumentos Financeiros'!$F$12+1),PMT(((1+'Instrumentos Financeiros'!$K$43)^(1/12)-1),$F$12,-$I$77),0)</f>
        <v>0</v>
      </c>
      <c r="BM135" s="1312">
        <f t="shared" si="46"/>
        <v>0</v>
      </c>
      <c r="BN135" s="1312">
        <f>BO134*((1+'Instrumentos Financeiros'!$K$43)^(1/12)-1)</f>
        <v>0</v>
      </c>
      <c r="BO135" s="1312">
        <f t="shared" si="47"/>
        <v>0</v>
      </c>
      <c r="BP135" s="1312">
        <f>IF(AND(C135&gt;$F$78,'Instrumentos Financeiros'!C135&lt;'Instrumentos Financeiros'!$F$78+'Instrumentos Financeiros'!$F$12+1),PMT(((1+'Instrumentos Financeiros'!$L$43)^(1/12)-1),$F$12,-$I$78),0)</f>
        <v>0</v>
      </c>
      <c r="BQ135" s="1312">
        <f t="shared" si="48"/>
        <v>0</v>
      </c>
      <c r="BR135" s="1312">
        <f>BS134*((1+'Instrumentos Financeiros'!$L$43)^(1/12)-1)</f>
        <v>0</v>
      </c>
      <c r="BS135" s="1312">
        <f t="shared" si="49"/>
        <v>0</v>
      </c>
      <c r="BT135" s="1312">
        <f>IF(AND(C135&gt;$F$79,'Instrumentos Financeiros'!C135&lt;'Instrumentos Financeiros'!$F$79+'Instrumentos Financeiros'!$F$12+1),PMT(((1+'Instrumentos Financeiros'!$L$43)^(1/12)-1),$F$12,-$I$79),0)</f>
        <v>0</v>
      </c>
      <c r="BU135" s="1312">
        <f t="shared" si="50"/>
        <v>0</v>
      </c>
      <c r="BV135" s="1312">
        <f>BW134*((1+'Instrumentos Financeiros'!$L$43)^(1/12)-1)</f>
        <v>0</v>
      </c>
      <c r="BW135" s="1312">
        <f t="shared" si="51"/>
        <v>0</v>
      </c>
      <c r="BX135" s="1312">
        <f>IF(AND(C135&gt;$F$80,'Instrumentos Financeiros'!C135&lt;'Instrumentos Financeiros'!$F$80+'Instrumentos Financeiros'!$F$12+1),PMT(((1+'Instrumentos Financeiros'!$L$43)^(1/12)-1),$F$12,-$I$80),0)</f>
        <v>0</v>
      </c>
      <c r="BY135" s="1312">
        <f t="shared" si="52"/>
        <v>0</v>
      </c>
      <c r="BZ135" s="1312">
        <f>CA134*((1+'Instrumentos Financeiros'!$L$43)^(1/12)-1)</f>
        <v>0</v>
      </c>
      <c r="CA135" s="1312">
        <f t="shared" si="53"/>
        <v>0</v>
      </c>
      <c r="CB135" s="1312">
        <f>IF(AND(C135&gt;$F$83,'Instrumentos Financeiros'!C135&lt;'Instrumentos Financeiros'!$F$83+'Instrumentos Financeiros'!$F$13+1),PMT(((1+'Instrumentos Financeiros'!$P$43)^(1/12)-1),$F$13,-$I$83),0)</f>
        <v>0</v>
      </c>
      <c r="CC135" s="1312">
        <f t="shared" si="54"/>
        <v>0</v>
      </c>
      <c r="CD135" s="1312">
        <f>CE134*((1+'Instrumentos Financeiros'!$P$43)^(1/12)-1)</f>
        <v>0</v>
      </c>
      <c r="CE135" s="1312">
        <f t="shared" si="55"/>
        <v>0</v>
      </c>
      <c r="CF135" s="1312">
        <f>IF(AND(C135&gt;$F$84,'Instrumentos Financeiros'!C135&lt;'Instrumentos Financeiros'!$F$84+'Instrumentos Financeiros'!$F$13+1),PMT(((1+'Instrumentos Financeiros'!$Q$43)^(1/12)-1),$F$13,-$I$84),0)</f>
        <v>0</v>
      </c>
      <c r="CG135" s="1312">
        <f t="shared" si="56"/>
        <v>0</v>
      </c>
      <c r="CH135" s="1312">
        <f>CI134*((1+'Instrumentos Financeiros'!$Q$43)^(1/12)-1)</f>
        <v>0</v>
      </c>
      <c r="CI135" s="1312">
        <f t="shared" si="57"/>
        <v>0</v>
      </c>
      <c r="CJ135" s="1312">
        <f>IF(AND(C135&gt;$F$85,'Instrumentos Financeiros'!C135&lt;'Instrumentos Financeiros'!$F$85+'Instrumentos Financeiros'!$F$13+1),PMT(((1+'Instrumentos Financeiros'!$Q$43)^(1/12)-1),$F$13,-$I$85),0)</f>
        <v>0</v>
      </c>
      <c r="CK135" s="1312">
        <f t="shared" si="58"/>
        <v>0</v>
      </c>
      <c r="CL135" s="1312">
        <f>CM134*((1+'Instrumentos Financeiros'!$Q$43)^(1/12)-1)</f>
        <v>0</v>
      </c>
      <c r="CM135" s="1312">
        <f t="shared" si="59"/>
        <v>0</v>
      </c>
      <c r="CN135" s="1312">
        <f>IF(AND(C135&gt;$F$86,'Instrumentos Financeiros'!C135&lt;'Instrumentos Financeiros'!$F$86+'Instrumentos Financeiros'!$F$13+1),PMT(((1+'Instrumentos Financeiros'!$Q$43)^(1/12)-1),$F$13,-$I$86),0)</f>
        <v>0</v>
      </c>
      <c r="CO135" s="1312">
        <f t="shared" si="60"/>
        <v>0</v>
      </c>
      <c r="CP135" s="1312">
        <f>CQ134*((1+'Instrumentos Financeiros'!$Q$43)^(1/12)-1)</f>
        <v>0</v>
      </c>
      <c r="CQ135" s="1312">
        <f t="shared" si="61"/>
        <v>0</v>
      </c>
      <c r="CR135" s="1312">
        <f t="shared" si="29"/>
        <v>0</v>
      </c>
      <c r="CS135" s="1312">
        <f t="shared" si="29"/>
        <v>0</v>
      </c>
      <c r="CT135" s="1312">
        <f t="shared" si="29"/>
        <v>0</v>
      </c>
      <c r="CU135" s="1312">
        <f t="shared" si="29"/>
        <v>0</v>
      </c>
    </row>
    <row r="136" spans="3:99" x14ac:dyDescent="0.35">
      <c r="C136" s="1315">
        <f t="shared" si="30"/>
        <v>43</v>
      </c>
      <c r="D136" s="1312">
        <f>IF(AND(C136&gt;$F$59,'Instrumentos Financeiros'!C136&lt;'Instrumentos Financeiros'!$F$59+'Instrumentos Financeiros'!$F$11+1),PMT(((1+'Instrumentos Financeiros'!$G$43)^(1/12)-1),$F$11,-$I$59),0)</f>
        <v>0</v>
      </c>
      <c r="E136" s="1312">
        <f t="shared" si="14"/>
        <v>0</v>
      </c>
      <c r="F136" s="1312">
        <f>G135*((1+'Instrumentos Financeiros'!$G$43)^(1/12)-1)</f>
        <v>0</v>
      </c>
      <c r="G136" s="1312">
        <f t="shared" si="31"/>
        <v>0</v>
      </c>
      <c r="H136" s="1312">
        <f>IF(AND(C136&gt;$F$60,'Instrumentos Financeiros'!C136&lt;'Instrumentos Financeiros'!$F$60+'Instrumentos Financeiros'!$F$11+1),PMT(((1+'Instrumentos Financeiros'!$G$43)^(1/12)-1),$F$11,-$I$60),0)</f>
        <v>0</v>
      </c>
      <c r="I136" s="1312">
        <f t="shared" si="62"/>
        <v>0</v>
      </c>
      <c r="J136" s="1312">
        <f>K135*((1+'Instrumentos Financeiros'!$G$43)^(1/12)-1)</f>
        <v>0</v>
      </c>
      <c r="K136" s="1312">
        <f t="shared" si="32"/>
        <v>0</v>
      </c>
      <c r="L136" s="1312">
        <f>IF(AND(C136&gt;$F$61,'Instrumentos Financeiros'!C136&lt;'Instrumentos Financeiros'!$F$61+'Instrumentos Financeiros'!$F$11+1),PMT(((1+'Instrumentos Financeiros'!$G$43)^(1/12)-1),$F$11,-$I$61),0)</f>
        <v>0</v>
      </c>
      <c r="M136" s="1312">
        <f t="shared" si="63"/>
        <v>0</v>
      </c>
      <c r="N136" s="1312">
        <f>O135*((1+'Instrumentos Financeiros'!$G$43)^(1/12)-1)</f>
        <v>0</v>
      </c>
      <c r="O136" s="1312">
        <f t="shared" si="33"/>
        <v>0</v>
      </c>
      <c r="P136" s="1312">
        <f>IF(AND(C136&gt;$F$62,'Instrumentos Financeiros'!C136&lt;'Instrumentos Financeiros'!$F$62+'Instrumentos Financeiros'!$F$11+1),PMT(((1+'Instrumentos Financeiros'!$H$43)^(1/12)-1),$F$11,-$I$62),0)</f>
        <v>0</v>
      </c>
      <c r="Q136" s="1312">
        <f t="shared" si="64"/>
        <v>0</v>
      </c>
      <c r="R136" s="1312">
        <f>S135*((1+'Instrumentos Financeiros'!$H$43)^(1/12)-1)</f>
        <v>0</v>
      </c>
      <c r="S136" s="1312">
        <f t="shared" si="34"/>
        <v>0</v>
      </c>
      <c r="T136" s="1312">
        <f>IF(AND(C136&gt;$F$63,'Instrumentos Financeiros'!C136&lt;'Instrumentos Financeiros'!$F$63+'Instrumentos Financeiros'!$F$11+1),PMT(((1+'Instrumentos Financeiros'!$H$43)^(1/12)-1),$F$11,-$I$63),0)</f>
        <v>0</v>
      </c>
      <c r="U136" s="1312">
        <f t="shared" si="65"/>
        <v>0</v>
      </c>
      <c r="V136" s="1312">
        <f>W135*((1+'Instrumentos Financeiros'!$H$43)^(1/12)-1)</f>
        <v>0</v>
      </c>
      <c r="W136" s="1312">
        <f t="shared" si="35"/>
        <v>0</v>
      </c>
      <c r="X136" s="1312">
        <f>IF(AND(C136&gt;$F$64,'Instrumentos Financeiros'!C136&lt;'Instrumentos Financeiros'!$F$64+'Instrumentos Financeiros'!$F$11+1),PMT(((1+'Instrumentos Financeiros'!$H$43)^(1/12)-1),$F$11,-$I$64),0)</f>
        <v>0</v>
      </c>
      <c r="Y136" s="1312">
        <f t="shared" si="66"/>
        <v>0</v>
      </c>
      <c r="Z136" s="1312">
        <f>AA135*((1+'Instrumentos Financeiros'!$H$43)^(1/12)-1)</f>
        <v>0</v>
      </c>
      <c r="AA136" s="1312">
        <f t="shared" si="36"/>
        <v>0</v>
      </c>
      <c r="AB136" s="1312">
        <f>IF(AND(C136&gt;$F$65,'Instrumentos Financeiros'!C136&lt;'Instrumentos Financeiros'!$F$65+'Instrumentos Financeiros'!$F$11+1),PMT(((1+'Instrumentos Financeiros'!$H$43)^(1/12)-1),$F$11,-$I$65),0)</f>
        <v>0</v>
      </c>
      <c r="AC136" s="1312">
        <f t="shared" si="67"/>
        <v>0</v>
      </c>
      <c r="AD136" s="1312">
        <f>AE135*((1+'Instrumentos Financeiros'!$H$43)^(1/12)-1)</f>
        <v>0</v>
      </c>
      <c r="AE136" s="1312">
        <f t="shared" si="37"/>
        <v>0</v>
      </c>
      <c r="AF136" s="1312">
        <f>IF(AND(C136&gt;$F$66,'Instrumentos Financeiros'!C136&lt;'Instrumentos Financeiros'!$F$66+'Instrumentos Financeiros'!$F$11+1),PMT(((1+'Instrumentos Financeiros'!$I$43)^(1/12)-1),$F$11,-$I$66),0)</f>
        <v>0</v>
      </c>
      <c r="AG136" s="1312">
        <f t="shared" si="68"/>
        <v>0</v>
      </c>
      <c r="AH136" s="1312">
        <f>AI135*((1+'Instrumentos Financeiros'!$I$43)^(1/12)-1)</f>
        <v>0</v>
      </c>
      <c r="AI136" s="1312">
        <f t="shared" si="38"/>
        <v>0</v>
      </c>
      <c r="AJ136" s="1312">
        <f>IF(AND(C136&gt;$F$67,'Instrumentos Financeiros'!C136&lt;'Instrumentos Financeiros'!$F$67+'Instrumentos Financeiros'!$F$11+1),PMT(((1+'Instrumentos Financeiros'!$I$43)^(1/12)-1),$F$11,-$I$67),0)</f>
        <v>0</v>
      </c>
      <c r="AK136" s="1312">
        <f t="shared" si="69"/>
        <v>0</v>
      </c>
      <c r="AL136" s="1312">
        <f>AM135*((1+'Instrumentos Financeiros'!$I$43)^(1/12)-1)</f>
        <v>0</v>
      </c>
      <c r="AM136" s="1312">
        <f t="shared" si="39"/>
        <v>0</v>
      </c>
      <c r="AN136" s="1312">
        <f>IF(AND(C136&gt;$F$68,'Instrumentos Financeiros'!C136&lt;'Instrumentos Financeiros'!$F$68+'Instrumentos Financeiros'!$F$11+1),PMT(((1+'Instrumentos Financeiros'!$I$43)^(1/12)-1),$F$11,-$I$68),0)</f>
        <v>0</v>
      </c>
      <c r="AO136" s="1312">
        <f t="shared" si="70"/>
        <v>0</v>
      </c>
      <c r="AP136" s="1312">
        <f>AQ135*((1+'Instrumentos Financeiros'!$I$43)^(1/12)-1)</f>
        <v>0</v>
      </c>
      <c r="AQ136" s="1312">
        <f t="shared" si="40"/>
        <v>0</v>
      </c>
      <c r="AR136" s="1312">
        <f>IF(AND(C136&gt;$F$69,'Instrumentos Financeiros'!C136&lt;'Instrumentos Financeiros'!$F$69+'Instrumentos Financeiros'!$F$11+1),PMT(((1+'Instrumentos Financeiros'!$I$43)^(1/12)-1),$F$11,-$I$69),0)</f>
        <v>0</v>
      </c>
      <c r="AS136" s="1312">
        <f t="shared" si="71"/>
        <v>0</v>
      </c>
      <c r="AT136" s="1312">
        <f>AU135*((1+'Instrumentos Financeiros'!$I$43)^(1/12)-1)</f>
        <v>0</v>
      </c>
      <c r="AU136" s="1312">
        <f t="shared" si="41"/>
        <v>0</v>
      </c>
      <c r="AV136" s="1312">
        <f>IF(AND(C136&gt;$F$70,'Instrumentos Financeiros'!C136&lt;'Instrumentos Financeiros'!$F$70+'Instrumentos Financeiros'!$F$11+1),PMT(((1+'Instrumentos Financeiros'!$J$43)^(1/12)-1),$F$11,-$I$70),0)</f>
        <v>0</v>
      </c>
      <c r="AW136" s="1312">
        <f t="shared" si="72"/>
        <v>0</v>
      </c>
      <c r="AX136" s="1312">
        <f>AY135*((1+'Instrumentos Financeiros'!$J$43)^(1/12)-1)</f>
        <v>0</v>
      </c>
      <c r="AY136" s="1312">
        <f t="shared" si="42"/>
        <v>0</v>
      </c>
      <c r="AZ136" s="1312">
        <f>IF(AND(C136&gt;$F$71,'Instrumentos Financeiros'!C136&lt;'Instrumentos Financeiros'!$F$71+'Instrumentos Financeiros'!$F$11+1),PMT(((1+'Instrumentos Financeiros'!$J$43)^(1/12)-1),$F$11,-$I$71),0)</f>
        <v>0</v>
      </c>
      <c r="BA136" s="1312">
        <f t="shared" si="73"/>
        <v>0</v>
      </c>
      <c r="BB136" s="1312">
        <f>BC135*((1+'Instrumentos Financeiros'!$J$43)^(1/12)-1)</f>
        <v>0</v>
      </c>
      <c r="BC136" s="1312">
        <f t="shared" si="43"/>
        <v>0</v>
      </c>
      <c r="BD136" s="1312">
        <f>IF(AND(C136&gt;$F$72,'Instrumentos Financeiros'!C136&lt;'Instrumentos Financeiros'!$F$72+'Instrumentos Financeiros'!$F$11+1),PMT(((1+'Instrumentos Financeiros'!$J$43)^(1/12)-1),$F$11,-'Instrumentos Financeiros'!$G$7*$G$72),0)</f>
        <v>0</v>
      </c>
      <c r="BE136" s="1312">
        <f t="shared" si="74"/>
        <v>0</v>
      </c>
      <c r="BF136" s="1312">
        <f>BG135*((1+'Instrumentos Financeiros'!$J$43)^(1/12)-1)</f>
        <v>0</v>
      </c>
      <c r="BG136" s="1312">
        <f t="shared" si="44"/>
        <v>0</v>
      </c>
      <c r="BH136" s="1312">
        <f>IF(AND(C136&gt;$F$73,'Instrumentos Financeiros'!C136&lt;'Instrumentos Financeiros'!$F$73+'Instrumentos Financeiros'!$F$11+1),PMT(((1+'Instrumentos Financeiros'!$J$43)^(1/12)-1),$F$11,-$I$73),0)</f>
        <v>0</v>
      </c>
      <c r="BI136" s="1312">
        <f t="shared" si="75"/>
        <v>0</v>
      </c>
      <c r="BJ136" s="1312">
        <f>BK135*((1+'Instrumentos Financeiros'!$J$43)^(1/12)-1)</f>
        <v>0</v>
      </c>
      <c r="BK136" s="1312">
        <f t="shared" si="45"/>
        <v>0</v>
      </c>
      <c r="BL136" s="1312">
        <f>IF(AND(C136&gt;$F$77,'Instrumentos Financeiros'!C136&lt;'Instrumentos Financeiros'!$F$77+'Instrumentos Financeiros'!$F$12+1),PMT(((1+'Instrumentos Financeiros'!$K$43)^(1/12)-1),$F$12,-$I$77),0)</f>
        <v>0</v>
      </c>
      <c r="BM136" s="1312">
        <f t="shared" si="46"/>
        <v>0</v>
      </c>
      <c r="BN136" s="1312">
        <f>BO135*((1+'Instrumentos Financeiros'!$K$43)^(1/12)-1)</f>
        <v>0</v>
      </c>
      <c r="BO136" s="1312">
        <f t="shared" si="47"/>
        <v>0</v>
      </c>
      <c r="BP136" s="1312">
        <f>IF(AND(C136&gt;$F$78,'Instrumentos Financeiros'!C136&lt;'Instrumentos Financeiros'!$F$78+'Instrumentos Financeiros'!$F$12+1),PMT(((1+'Instrumentos Financeiros'!$L$43)^(1/12)-1),$F$12,-$I$78),0)</f>
        <v>0</v>
      </c>
      <c r="BQ136" s="1312">
        <f t="shared" si="48"/>
        <v>0</v>
      </c>
      <c r="BR136" s="1312">
        <f>BS135*((1+'Instrumentos Financeiros'!$L$43)^(1/12)-1)</f>
        <v>0</v>
      </c>
      <c r="BS136" s="1312">
        <f t="shared" si="49"/>
        <v>0</v>
      </c>
      <c r="BT136" s="1312">
        <f>IF(AND(C136&gt;$F$79,'Instrumentos Financeiros'!C136&lt;'Instrumentos Financeiros'!$F$79+'Instrumentos Financeiros'!$F$12+1),PMT(((1+'Instrumentos Financeiros'!$L$43)^(1/12)-1),$F$12,-$I$79),0)</f>
        <v>0</v>
      </c>
      <c r="BU136" s="1312">
        <f t="shared" si="50"/>
        <v>0</v>
      </c>
      <c r="BV136" s="1312">
        <f>BW135*((1+'Instrumentos Financeiros'!$L$43)^(1/12)-1)</f>
        <v>0</v>
      </c>
      <c r="BW136" s="1312">
        <f t="shared" si="51"/>
        <v>0</v>
      </c>
      <c r="BX136" s="1312">
        <f>IF(AND(C136&gt;$F$80,'Instrumentos Financeiros'!C136&lt;'Instrumentos Financeiros'!$F$80+'Instrumentos Financeiros'!$F$12+1),PMT(((1+'Instrumentos Financeiros'!$L$43)^(1/12)-1),$F$12,-$I$80),0)</f>
        <v>0</v>
      </c>
      <c r="BY136" s="1312">
        <f t="shared" si="52"/>
        <v>0</v>
      </c>
      <c r="BZ136" s="1312">
        <f>CA135*((1+'Instrumentos Financeiros'!$L$43)^(1/12)-1)</f>
        <v>0</v>
      </c>
      <c r="CA136" s="1312">
        <f t="shared" si="53"/>
        <v>0</v>
      </c>
      <c r="CB136" s="1312">
        <f>IF(AND(C136&gt;$F$83,'Instrumentos Financeiros'!C136&lt;'Instrumentos Financeiros'!$F$83+'Instrumentos Financeiros'!$F$13+1),PMT(((1+'Instrumentos Financeiros'!$P$43)^(1/12)-1),$F$13,-$I$83),0)</f>
        <v>0</v>
      </c>
      <c r="CC136" s="1312">
        <f t="shared" si="54"/>
        <v>0</v>
      </c>
      <c r="CD136" s="1312">
        <f>CE135*((1+'Instrumentos Financeiros'!$P$43)^(1/12)-1)</f>
        <v>0</v>
      </c>
      <c r="CE136" s="1312">
        <f t="shared" si="55"/>
        <v>0</v>
      </c>
      <c r="CF136" s="1312">
        <f>IF(AND(C136&gt;$F$84,'Instrumentos Financeiros'!C136&lt;'Instrumentos Financeiros'!$F$84+'Instrumentos Financeiros'!$F$13+1),PMT(((1+'Instrumentos Financeiros'!$Q$43)^(1/12)-1),$F$13,-$I$84),0)</f>
        <v>0</v>
      </c>
      <c r="CG136" s="1312">
        <f t="shared" si="56"/>
        <v>0</v>
      </c>
      <c r="CH136" s="1312">
        <f>CI135*((1+'Instrumentos Financeiros'!$Q$43)^(1/12)-1)</f>
        <v>0</v>
      </c>
      <c r="CI136" s="1312">
        <f t="shared" si="57"/>
        <v>0</v>
      </c>
      <c r="CJ136" s="1312">
        <f>IF(AND(C136&gt;$F$85,'Instrumentos Financeiros'!C136&lt;'Instrumentos Financeiros'!$F$85+'Instrumentos Financeiros'!$F$13+1),PMT(((1+'Instrumentos Financeiros'!$Q$43)^(1/12)-1),$F$13,-$I$85),0)</f>
        <v>0</v>
      </c>
      <c r="CK136" s="1312">
        <f t="shared" si="58"/>
        <v>0</v>
      </c>
      <c r="CL136" s="1312">
        <f>CM135*((1+'Instrumentos Financeiros'!$Q$43)^(1/12)-1)</f>
        <v>0</v>
      </c>
      <c r="CM136" s="1312">
        <f t="shared" si="59"/>
        <v>0</v>
      </c>
      <c r="CN136" s="1312">
        <f>IF(AND(C136&gt;$F$86,'Instrumentos Financeiros'!C136&lt;'Instrumentos Financeiros'!$F$86+'Instrumentos Financeiros'!$F$13+1),PMT(((1+'Instrumentos Financeiros'!$Q$43)^(1/12)-1),$F$13,-$I$86),0)</f>
        <v>0</v>
      </c>
      <c r="CO136" s="1312">
        <f t="shared" si="60"/>
        <v>0</v>
      </c>
      <c r="CP136" s="1312">
        <f>CQ135*((1+'Instrumentos Financeiros'!$Q$43)^(1/12)-1)</f>
        <v>0</v>
      </c>
      <c r="CQ136" s="1312">
        <f t="shared" si="61"/>
        <v>0</v>
      </c>
      <c r="CR136" s="1312">
        <f t="shared" si="29"/>
        <v>0</v>
      </c>
      <c r="CS136" s="1312">
        <f t="shared" si="29"/>
        <v>0</v>
      </c>
      <c r="CT136" s="1312">
        <f t="shared" si="29"/>
        <v>0</v>
      </c>
      <c r="CU136" s="1312">
        <f t="shared" si="29"/>
        <v>0</v>
      </c>
    </row>
    <row r="137" spans="3:99" x14ac:dyDescent="0.35">
      <c r="C137" s="1315">
        <f t="shared" si="30"/>
        <v>44</v>
      </c>
      <c r="D137" s="1312">
        <f>IF(AND(C137&gt;$F$59,'Instrumentos Financeiros'!C137&lt;'Instrumentos Financeiros'!$F$59+'Instrumentos Financeiros'!$F$11+1),PMT(((1+'Instrumentos Financeiros'!$G$43)^(1/12)-1),$F$11,-$I$59),0)</f>
        <v>0</v>
      </c>
      <c r="E137" s="1312">
        <f t="shared" si="14"/>
        <v>0</v>
      </c>
      <c r="F137" s="1312">
        <f>G136*((1+'Instrumentos Financeiros'!$G$43)^(1/12)-1)</f>
        <v>0</v>
      </c>
      <c r="G137" s="1312">
        <f t="shared" si="31"/>
        <v>0</v>
      </c>
      <c r="H137" s="1312">
        <f>IF(AND(C137&gt;$F$60,'Instrumentos Financeiros'!C137&lt;'Instrumentos Financeiros'!$F$60+'Instrumentos Financeiros'!$F$11+1),PMT(((1+'Instrumentos Financeiros'!$G$43)^(1/12)-1),$F$11,-$I$60),0)</f>
        <v>0</v>
      </c>
      <c r="I137" s="1312">
        <f t="shared" si="62"/>
        <v>0</v>
      </c>
      <c r="J137" s="1312">
        <f>K136*((1+'Instrumentos Financeiros'!$G$43)^(1/12)-1)</f>
        <v>0</v>
      </c>
      <c r="K137" s="1312">
        <f t="shared" si="32"/>
        <v>0</v>
      </c>
      <c r="L137" s="1312">
        <f>IF(AND(C137&gt;$F$61,'Instrumentos Financeiros'!C137&lt;'Instrumentos Financeiros'!$F$61+'Instrumentos Financeiros'!$F$11+1),PMT(((1+'Instrumentos Financeiros'!$G$43)^(1/12)-1),$F$11,-$I$61),0)</f>
        <v>0</v>
      </c>
      <c r="M137" s="1312">
        <f t="shared" si="63"/>
        <v>0</v>
      </c>
      <c r="N137" s="1312">
        <f>O136*((1+'Instrumentos Financeiros'!$G$43)^(1/12)-1)</f>
        <v>0</v>
      </c>
      <c r="O137" s="1312">
        <f t="shared" si="33"/>
        <v>0</v>
      </c>
      <c r="P137" s="1312">
        <f>IF(AND(C137&gt;$F$62,'Instrumentos Financeiros'!C137&lt;'Instrumentos Financeiros'!$F$62+'Instrumentos Financeiros'!$F$11+1),PMT(((1+'Instrumentos Financeiros'!$H$43)^(1/12)-1),$F$11,-$I$62),0)</f>
        <v>0</v>
      </c>
      <c r="Q137" s="1312">
        <f t="shared" si="64"/>
        <v>0</v>
      </c>
      <c r="R137" s="1312">
        <f>S136*((1+'Instrumentos Financeiros'!$H$43)^(1/12)-1)</f>
        <v>0</v>
      </c>
      <c r="S137" s="1312">
        <f t="shared" si="34"/>
        <v>0</v>
      </c>
      <c r="T137" s="1312">
        <f>IF(AND(C137&gt;$F$63,'Instrumentos Financeiros'!C137&lt;'Instrumentos Financeiros'!$F$63+'Instrumentos Financeiros'!$F$11+1),PMT(((1+'Instrumentos Financeiros'!$H$43)^(1/12)-1),$F$11,-$I$63),0)</f>
        <v>0</v>
      </c>
      <c r="U137" s="1312">
        <f t="shared" si="65"/>
        <v>0</v>
      </c>
      <c r="V137" s="1312">
        <f>W136*((1+'Instrumentos Financeiros'!$H$43)^(1/12)-1)</f>
        <v>0</v>
      </c>
      <c r="W137" s="1312">
        <f t="shared" si="35"/>
        <v>0</v>
      </c>
      <c r="X137" s="1312">
        <f>IF(AND(C137&gt;$F$64,'Instrumentos Financeiros'!C137&lt;'Instrumentos Financeiros'!$F$64+'Instrumentos Financeiros'!$F$11+1),PMT(((1+'Instrumentos Financeiros'!$H$43)^(1/12)-1),$F$11,-$I$64),0)</f>
        <v>0</v>
      </c>
      <c r="Y137" s="1312">
        <f t="shared" si="66"/>
        <v>0</v>
      </c>
      <c r="Z137" s="1312">
        <f>AA136*((1+'Instrumentos Financeiros'!$H$43)^(1/12)-1)</f>
        <v>0</v>
      </c>
      <c r="AA137" s="1312">
        <f t="shared" si="36"/>
        <v>0</v>
      </c>
      <c r="AB137" s="1312">
        <f>IF(AND(C137&gt;$F$65,'Instrumentos Financeiros'!C137&lt;'Instrumentos Financeiros'!$F$65+'Instrumentos Financeiros'!$F$11+1),PMT(((1+'Instrumentos Financeiros'!$H$43)^(1/12)-1),$F$11,-$I$65),0)</f>
        <v>0</v>
      </c>
      <c r="AC137" s="1312">
        <f t="shared" si="67"/>
        <v>0</v>
      </c>
      <c r="AD137" s="1312">
        <f>AE136*((1+'Instrumentos Financeiros'!$H$43)^(1/12)-1)</f>
        <v>0</v>
      </c>
      <c r="AE137" s="1312">
        <f t="shared" si="37"/>
        <v>0</v>
      </c>
      <c r="AF137" s="1312">
        <f>IF(AND(C137&gt;$F$66,'Instrumentos Financeiros'!C137&lt;'Instrumentos Financeiros'!$F$66+'Instrumentos Financeiros'!$F$11+1),PMT(((1+'Instrumentos Financeiros'!$I$43)^(1/12)-1),$F$11,-$I$66),0)</f>
        <v>0</v>
      </c>
      <c r="AG137" s="1312">
        <f t="shared" si="68"/>
        <v>0</v>
      </c>
      <c r="AH137" s="1312">
        <f>AI136*((1+'Instrumentos Financeiros'!$I$43)^(1/12)-1)</f>
        <v>0</v>
      </c>
      <c r="AI137" s="1312">
        <f t="shared" si="38"/>
        <v>0</v>
      </c>
      <c r="AJ137" s="1312">
        <f>IF(AND(C137&gt;$F$67,'Instrumentos Financeiros'!C137&lt;'Instrumentos Financeiros'!$F$67+'Instrumentos Financeiros'!$F$11+1),PMT(((1+'Instrumentos Financeiros'!$I$43)^(1/12)-1),$F$11,-$I$67),0)</f>
        <v>0</v>
      </c>
      <c r="AK137" s="1312">
        <f t="shared" si="69"/>
        <v>0</v>
      </c>
      <c r="AL137" s="1312">
        <f>AM136*((1+'Instrumentos Financeiros'!$I$43)^(1/12)-1)</f>
        <v>0</v>
      </c>
      <c r="AM137" s="1312">
        <f t="shared" si="39"/>
        <v>0</v>
      </c>
      <c r="AN137" s="1312">
        <f>IF(AND(C137&gt;$F$68,'Instrumentos Financeiros'!C137&lt;'Instrumentos Financeiros'!$F$68+'Instrumentos Financeiros'!$F$11+1),PMT(((1+'Instrumentos Financeiros'!$I$43)^(1/12)-1),$F$11,-$I$68),0)</f>
        <v>0</v>
      </c>
      <c r="AO137" s="1312">
        <f t="shared" si="70"/>
        <v>0</v>
      </c>
      <c r="AP137" s="1312">
        <f>AQ136*((1+'Instrumentos Financeiros'!$I$43)^(1/12)-1)</f>
        <v>0</v>
      </c>
      <c r="AQ137" s="1312">
        <f t="shared" si="40"/>
        <v>0</v>
      </c>
      <c r="AR137" s="1312">
        <f>IF(AND(C137&gt;$F$69,'Instrumentos Financeiros'!C137&lt;'Instrumentos Financeiros'!$F$69+'Instrumentos Financeiros'!$F$11+1),PMT(((1+'Instrumentos Financeiros'!$I$43)^(1/12)-1),$F$11,-$I$69),0)</f>
        <v>0</v>
      </c>
      <c r="AS137" s="1312">
        <f t="shared" si="71"/>
        <v>0</v>
      </c>
      <c r="AT137" s="1312">
        <f>AU136*((1+'Instrumentos Financeiros'!$I$43)^(1/12)-1)</f>
        <v>0</v>
      </c>
      <c r="AU137" s="1312">
        <f t="shared" si="41"/>
        <v>0</v>
      </c>
      <c r="AV137" s="1312">
        <f>IF(AND(C137&gt;$F$70,'Instrumentos Financeiros'!C137&lt;'Instrumentos Financeiros'!$F$70+'Instrumentos Financeiros'!$F$11+1),PMT(((1+'Instrumentos Financeiros'!$J$43)^(1/12)-1),$F$11,-$I$70),0)</f>
        <v>0</v>
      </c>
      <c r="AW137" s="1312">
        <f t="shared" si="72"/>
        <v>0</v>
      </c>
      <c r="AX137" s="1312">
        <f>AY136*((1+'Instrumentos Financeiros'!$J$43)^(1/12)-1)</f>
        <v>0</v>
      </c>
      <c r="AY137" s="1312">
        <f t="shared" si="42"/>
        <v>0</v>
      </c>
      <c r="AZ137" s="1312">
        <f>IF(AND(C137&gt;$F$71,'Instrumentos Financeiros'!C137&lt;'Instrumentos Financeiros'!$F$71+'Instrumentos Financeiros'!$F$11+1),PMT(((1+'Instrumentos Financeiros'!$J$43)^(1/12)-1),$F$11,-$I$71),0)</f>
        <v>0</v>
      </c>
      <c r="BA137" s="1312">
        <f t="shared" si="73"/>
        <v>0</v>
      </c>
      <c r="BB137" s="1312">
        <f>BC136*((1+'Instrumentos Financeiros'!$J$43)^(1/12)-1)</f>
        <v>0</v>
      </c>
      <c r="BC137" s="1312">
        <f t="shared" si="43"/>
        <v>0</v>
      </c>
      <c r="BD137" s="1312">
        <f>IF(AND(C137&gt;$F$72,'Instrumentos Financeiros'!C137&lt;'Instrumentos Financeiros'!$F$72+'Instrumentos Financeiros'!$F$11+1),PMT(((1+'Instrumentos Financeiros'!$J$43)^(1/12)-1),$F$11,-'Instrumentos Financeiros'!$G$7*$G$72),0)</f>
        <v>0</v>
      </c>
      <c r="BE137" s="1312">
        <f t="shared" si="74"/>
        <v>0</v>
      </c>
      <c r="BF137" s="1312">
        <f>BG136*((1+'Instrumentos Financeiros'!$J$43)^(1/12)-1)</f>
        <v>0</v>
      </c>
      <c r="BG137" s="1312">
        <f t="shared" si="44"/>
        <v>0</v>
      </c>
      <c r="BH137" s="1312">
        <f>IF(AND(C137&gt;$F$73,'Instrumentos Financeiros'!C137&lt;'Instrumentos Financeiros'!$F$73+'Instrumentos Financeiros'!$F$11+1),PMT(((1+'Instrumentos Financeiros'!$J$43)^(1/12)-1),$F$11,-$I$73),0)</f>
        <v>0</v>
      </c>
      <c r="BI137" s="1312">
        <f t="shared" si="75"/>
        <v>0</v>
      </c>
      <c r="BJ137" s="1312">
        <f>BK136*((1+'Instrumentos Financeiros'!$J$43)^(1/12)-1)</f>
        <v>0</v>
      </c>
      <c r="BK137" s="1312">
        <f t="shared" si="45"/>
        <v>0</v>
      </c>
      <c r="BL137" s="1312">
        <f>IF(AND(C137&gt;$F$77,'Instrumentos Financeiros'!C137&lt;'Instrumentos Financeiros'!$F$77+'Instrumentos Financeiros'!$F$12+1),PMT(((1+'Instrumentos Financeiros'!$K$43)^(1/12)-1),$F$12,-$I$77),0)</f>
        <v>0</v>
      </c>
      <c r="BM137" s="1312">
        <f t="shared" si="46"/>
        <v>0</v>
      </c>
      <c r="BN137" s="1312">
        <f>BO136*((1+'Instrumentos Financeiros'!$K$43)^(1/12)-1)</f>
        <v>0</v>
      </c>
      <c r="BO137" s="1312">
        <f t="shared" si="47"/>
        <v>0</v>
      </c>
      <c r="BP137" s="1312">
        <f>IF(AND(C137&gt;$F$78,'Instrumentos Financeiros'!C137&lt;'Instrumentos Financeiros'!$F$78+'Instrumentos Financeiros'!$F$12+1),PMT(((1+'Instrumentos Financeiros'!$L$43)^(1/12)-1),$F$12,-$I$78),0)</f>
        <v>0</v>
      </c>
      <c r="BQ137" s="1312">
        <f t="shared" si="48"/>
        <v>0</v>
      </c>
      <c r="BR137" s="1312">
        <f>BS136*((1+'Instrumentos Financeiros'!$L$43)^(1/12)-1)</f>
        <v>0</v>
      </c>
      <c r="BS137" s="1312">
        <f t="shared" si="49"/>
        <v>0</v>
      </c>
      <c r="BT137" s="1312">
        <f>IF(AND(C137&gt;$F$79,'Instrumentos Financeiros'!C137&lt;'Instrumentos Financeiros'!$F$79+'Instrumentos Financeiros'!$F$12+1),PMT(((1+'Instrumentos Financeiros'!$L$43)^(1/12)-1),$F$12,-$I$79),0)</f>
        <v>0</v>
      </c>
      <c r="BU137" s="1312">
        <f t="shared" si="50"/>
        <v>0</v>
      </c>
      <c r="BV137" s="1312">
        <f>BW136*((1+'Instrumentos Financeiros'!$L$43)^(1/12)-1)</f>
        <v>0</v>
      </c>
      <c r="BW137" s="1312">
        <f t="shared" si="51"/>
        <v>0</v>
      </c>
      <c r="BX137" s="1312">
        <f>IF(AND(C137&gt;$F$80,'Instrumentos Financeiros'!C137&lt;'Instrumentos Financeiros'!$F$80+'Instrumentos Financeiros'!$F$12+1),PMT(((1+'Instrumentos Financeiros'!$L$43)^(1/12)-1),$F$12,-$I$80),0)</f>
        <v>0</v>
      </c>
      <c r="BY137" s="1312">
        <f t="shared" si="52"/>
        <v>0</v>
      </c>
      <c r="BZ137" s="1312">
        <f>CA136*((1+'Instrumentos Financeiros'!$L$43)^(1/12)-1)</f>
        <v>0</v>
      </c>
      <c r="CA137" s="1312">
        <f t="shared" si="53"/>
        <v>0</v>
      </c>
      <c r="CB137" s="1312">
        <f>IF(AND(C137&gt;$F$83,'Instrumentos Financeiros'!C137&lt;'Instrumentos Financeiros'!$F$83+'Instrumentos Financeiros'!$F$13+1),PMT(((1+'Instrumentos Financeiros'!$P$43)^(1/12)-1),$F$13,-$I$83),0)</f>
        <v>0</v>
      </c>
      <c r="CC137" s="1312">
        <f t="shared" si="54"/>
        <v>0</v>
      </c>
      <c r="CD137" s="1312">
        <f>CE136*((1+'Instrumentos Financeiros'!$P$43)^(1/12)-1)</f>
        <v>0</v>
      </c>
      <c r="CE137" s="1312">
        <f t="shared" si="55"/>
        <v>0</v>
      </c>
      <c r="CF137" s="1312">
        <f>IF(AND(C137&gt;$F$84,'Instrumentos Financeiros'!C137&lt;'Instrumentos Financeiros'!$F$84+'Instrumentos Financeiros'!$F$13+1),PMT(((1+'Instrumentos Financeiros'!$Q$43)^(1/12)-1),$F$13,-$I$84),0)</f>
        <v>0</v>
      </c>
      <c r="CG137" s="1312">
        <f t="shared" si="56"/>
        <v>0</v>
      </c>
      <c r="CH137" s="1312">
        <f>CI136*((1+'Instrumentos Financeiros'!$Q$43)^(1/12)-1)</f>
        <v>0</v>
      </c>
      <c r="CI137" s="1312">
        <f t="shared" si="57"/>
        <v>0</v>
      </c>
      <c r="CJ137" s="1312">
        <f>IF(AND(C137&gt;$F$85,'Instrumentos Financeiros'!C137&lt;'Instrumentos Financeiros'!$F$85+'Instrumentos Financeiros'!$F$13+1),PMT(((1+'Instrumentos Financeiros'!$Q$43)^(1/12)-1),$F$13,-$I$85),0)</f>
        <v>0</v>
      </c>
      <c r="CK137" s="1312">
        <f t="shared" si="58"/>
        <v>0</v>
      </c>
      <c r="CL137" s="1312">
        <f>CM136*((1+'Instrumentos Financeiros'!$Q$43)^(1/12)-1)</f>
        <v>0</v>
      </c>
      <c r="CM137" s="1312">
        <f t="shared" si="59"/>
        <v>0</v>
      </c>
      <c r="CN137" s="1312">
        <f>IF(AND(C137&gt;$F$86,'Instrumentos Financeiros'!C137&lt;'Instrumentos Financeiros'!$F$86+'Instrumentos Financeiros'!$F$13+1),PMT(((1+'Instrumentos Financeiros'!$Q$43)^(1/12)-1),$F$13,-$I$86),0)</f>
        <v>0</v>
      </c>
      <c r="CO137" s="1312">
        <f t="shared" si="60"/>
        <v>0</v>
      </c>
      <c r="CP137" s="1312">
        <f>CQ136*((1+'Instrumentos Financeiros'!$Q$43)^(1/12)-1)</f>
        <v>0</v>
      </c>
      <c r="CQ137" s="1312">
        <f t="shared" si="61"/>
        <v>0</v>
      </c>
      <c r="CR137" s="1312">
        <f t="shared" si="29"/>
        <v>0</v>
      </c>
      <c r="CS137" s="1312">
        <f t="shared" si="29"/>
        <v>0</v>
      </c>
      <c r="CT137" s="1312">
        <f t="shared" si="29"/>
        <v>0</v>
      </c>
      <c r="CU137" s="1312">
        <f t="shared" si="29"/>
        <v>0</v>
      </c>
    </row>
    <row r="138" spans="3:99" x14ac:dyDescent="0.35">
      <c r="C138" s="1315">
        <f t="shared" si="30"/>
        <v>45</v>
      </c>
      <c r="D138" s="1312">
        <f>IF(AND(C138&gt;$F$59,'Instrumentos Financeiros'!C138&lt;'Instrumentos Financeiros'!$F$59+'Instrumentos Financeiros'!$F$11+1),PMT(((1+'Instrumentos Financeiros'!$G$43)^(1/12)-1),$F$11,-$I$59),0)</f>
        <v>0</v>
      </c>
      <c r="E138" s="1312">
        <f t="shared" si="14"/>
        <v>0</v>
      </c>
      <c r="F138" s="1312">
        <f>G137*((1+'Instrumentos Financeiros'!$G$43)^(1/12)-1)</f>
        <v>0</v>
      </c>
      <c r="G138" s="1312">
        <f t="shared" si="31"/>
        <v>0</v>
      </c>
      <c r="H138" s="1312">
        <f>IF(AND(C138&gt;$F$60,'Instrumentos Financeiros'!C138&lt;'Instrumentos Financeiros'!$F$60+'Instrumentos Financeiros'!$F$11+1),PMT(((1+'Instrumentos Financeiros'!$G$43)^(1/12)-1),$F$11,-$I$60),0)</f>
        <v>0</v>
      </c>
      <c r="I138" s="1312">
        <f t="shared" si="62"/>
        <v>0</v>
      </c>
      <c r="J138" s="1312">
        <f>K137*((1+'Instrumentos Financeiros'!$G$43)^(1/12)-1)</f>
        <v>0</v>
      </c>
      <c r="K138" s="1312">
        <f t="shared" si="32"/>
        <v>0</v>
      </c>
      <c r="L138" s="1312">
        <f>IF(AND(C138&gt;$F$61,'Instrumentos Financeiros'!C138&lt;'Instrumentos Financeiros'!$F$61+'Instrumentos Financeiros'!$F$11+1),PMT(((1+'Instrumentos Financeiros'!$G$43)^(1/12)-1),$F$11,-$I$61),0)</f>
        <v>0</v>
      </c>
      <c r="M138" s="1312">
        <f t="shared" si="63"/>
        <v>0</v>
      </c>
      <c r="N138" s="1312">
        <f>O137*((1+'Instrumentos Financeiros'!$G$43)^(1/12)-1)</f>
        <v>0</v>
      </c>
      <c r="O138" s="1312">
        <f t="shared" si="33"/>
        <v>0</v>
      </c>
      <c r="P138" s="1312">
        <f>IF(AND(C138&gt;$F$62,'Instrumentos Financeiros'!C138&lt;'Instrumentos Financeiros'!$F$62+'Instrumentos Financeiros'!$F$11+1),PMT(((1+'Instrumentos Financeiros'!$H$43)^(1/12)-1),$F$11,-$I$62),0)</f>
        <v>0</v>
      </c>
      <c r="Q138" s="1312">
        <f t="shared" si="64"/>
        <v>0</v>
      </c>
      <c r="R138" s="1312">
        <f>S137*((1+'Instrumentos Financeiros'!$H$43)^(1/12)-1)</f>
        <v>0</v>
      </c>
      <c r="S138" s="1312">
        <f t="shared" si="34"/>
        <v>0</v>
      </c>
      <c r="T138" s="1312">
        <f>IF(AND(C138&gt;$F$63,'Instrumentos Financeiros'!C138&lt;'Instrumentos Financeiros'!$F$63+'Instrumentos Financeiros'!$F$11+1),PMT(((1+'Instrumentos Financeiros'!$H$43)^(1/12)-1),$F$11,-$I$63),0)</f>
        <v>0</v>
      </c>
      <c r="U138" s="1312">
        <f t="shared" si="65"/>
        <v>0</v>
      </c>
      <c r="V138" s="1312">
        <f>W137*((1+'Instrumentos Financeiros'!$H$43)^(1/12)-1)</f>
        <v>0</v>
      </c>
      <c r="W138" s="1312">
        <f t="shared" si="35"/>
        <v>0</v>
      </c>
      <c r="X138" s="1312">
        <f>IF(AND(C138&gt;$F$64,'Instrumentos Financeiros'!C138&lt;'Instrumentos Financeiros'!$F$64+'Instrumentos Financeiros'!$F$11+1),PMT(((1+'Instrumentos Financeiros'!$H$43)^(1/12)-1),$F$11,-$I$64),0)</f>
        <v>0</v>
      </c>
      <c r="Y138" s="1312">
        <f t="shared" si="66"/>
        <v>0</v>
      </c>
      <c r="Z138" s="1312">
        <f>AA137*((1+'Instrumentos Financeiros'!$H$43)^(1/12)-1)</f>
        <v>0</v>
      </c>
      <c r="AA138" s="1312">
        <f t="shared" si="36"/>
        <v>0</v>
      </c>
      <c r="AB138" s="1312">
        <f>IF(AND(C138&gt;$F$65,'Instrumentos Financeiros'!C138&lt;'Instrumentos Financeiros'!$F$65+'Instrumentos Financeiros'!$F$11+1),PMT(((1+'Instrumentos Financeiros'!$H$43)^(1/12)-1),$F$11,-$I$65),0)</f>
        <v>0</v>
      </c>
      <c r="AC138" s="1312">
        <f t="shared" si="67"/>
        <v>0</v>
      </c>
      <c r="AD138" s="1312">
        <f>AE137*((1+'Instrumentos Financeiros'!$H$43)^(1/12)-1)</f>
        <v>0</v>
      </c>
      <c r="AE138" s="1312">
        <f t="shared" si="37"/>
        <v>0</v>
      </c>
      <c r="AF138" s="1312">
        <f>IF(AND(C138&gt;$F$66,'Instrumentos Financeiros'!C138&lt;'Instrumentos Financeiros'!$F$66+'Instrumentos Financeiros'!$F$11+1),PMT(((1+'Instrumentos Financeiros'!$I$43)^(1/12)-1),$F$11,-$I$66),0)</f>
        <v>0</v>
      </c>
      <c r="AG138" s="1312">
        <f t="shared" si="68"/>
        <v>0</v>
      </c>
      <c r="AH138" s="1312">
        <f>AI137*((1+'Instrumentos Financeiros'!$I$43)^(1/12)-1)</f>
        <v>0</v>
      </c>
      <c r="AI138" s="1312">
        <f t="shared" si="38"/>
        <v>0</v>
      </c>
      <c r="AJ138" s="1312">
        <f>IF(AND(C138&gt;$F$67,'Instrumentos Financeiros'!C138&lt;'Instrumentos Financeiros'!$F$67+'Instrumentos Financeiros'!$F$11+1),PMT(((1+'Instrumentos Financeiros'!$I$43)^(1/12)-1),$F$11,-$I$67),0)</f>
        <v>0</v>
      </c>
      <c r="AK138" s="1312">
        <f t="shared" si="69"/>
        <v>0</v>
      </c>
      <c r="AL138" s="1312">
        <f>AM137*((1+'Instrumentos Financeiros'!$I$43)^(1/12)-1)</f>
        <v>0</v>
      </c>
      <c r="AM138" s="1312">
        <f t="shared" si="39"/>
        <v>0</v>
      </c>
      <c r="AN138" s="1312">
        <f>IF(AND(C138&gt;$F$68,'Instrumentos Financeiros'!C138&lt;'Instrumentos Financeiros'!$F$68+'Instrumentos Financeiros'!$F$11+1),PMT(((1+'Instrumentos Financeiros'!$I$43)^(1/12)-1),$F$11,-$I$68),0)</f>
        <v>0</v>
      </c>
      <c r="AO138" s="1312">
        <f t="shared" si="70"/>
        <v>0</v>
      </c>
      <c r="AP138" s="1312">
        <f>AQ137*((1+'Instrumentos Financeiros'!$I$43)^(1/12)-1)</f>
        <v>0</v>
      </c>
      <c r="AQ138" s="1312">
        <f t="shared" si="40"/>
        <v>0</v>
      </c>
      <c r="AR138" s="1312">
        <f>IF(AND(C138&gt;$F$69,'Instrumentos Financeiros'!C138&lt;'Instrumentos Financeiros'!$F$69+'Instrumentos Financeiros'!$F$11+1),PMT(((1+'Instrumentos Financeiros'!$I$43)^(1/12)-1),$F$11,-$I$69),0)</f>
        <v>0</v>
      </c>
      <c r="AS138" s="1312">
        <f t="shared" si="71"/>
        <v>0</v>
      </c>
      <c r="AT138" s="1312">
        <f>AU137*((1+'Instrumentos Financeiros'!$I$43)^(1/12)-1)</f>
        <v>0</v>
      </c>
      <c r="AU138" s="1312">
        <f t="shared" si="41"/>
        <v>0</v>
      </c>
      <c r="AV138" s="1312">
        <f>IF(AND(C138&gt;$F$70,'Instrumentos Financeiros'!C138&lt;'Instrumentos Financeiros'!$F$70+'Instrumentos Financeiros'!$F$11+1),PMT(((1+'Instrumentos Financeiros'!$J$43)^(1/12)-1),$F$11,-$I$70),0)</f>
        <v>0</v>
      </c>
      <c r="AW138" s="1312">
        <f t="shared" si="72"/>
        <v>0</v>
      </c>
      <c r="AX138" s="1312">
        <f>AY137*((1+'Instrumentos Financeiros'!$J$43)^(1/12)-1)</f>
        <v>0</v>
      </c>
      <c r="AY138" s="1312">
        <f t="shared" si="42"/>
        <v>0</v>
      </c>
      <c r="AZ138" s="1312">
        <f>IF(AND(C138&gt;$F$71,'Instrumentos Financeiros'!C138&lt;'Instrumentos Financeiros'!$F$71+'Instrumentos Financeiros'!$F$11+1),PMT(((1+'Instrumentos Financeiros'!$J$43)^(1/12)-1),$F$11,-$I$71),0)</f>
        <v>0</v>
      </c>
      <c r="BA138" s="1312">
        <f t="shared" si="73"/>
        <v>0</v>
      </c>
      <c r="BB138" s="1312">
        <f>BC137*((1+'Instrumentos Financeiros'!$J$43)^(1/12)-1)</f>
        <v>0</v>
      </c>
      <c r="BC138" s="1312">
        <f t="shared" si="43"/>
        <v>0</v>
      </c>
      <c r="BD138" s="1312">
        <f>IF(AND(C138&gt;$F$72,'Instrumentos Financeiros'!C138&lt;'Instrumentos Financeiros'!$F$72+'Instrumentos Financeiros'!$F$11+1),PMT(((1+'Instrumentos Financeiros'!$J$43)^(1/12)-1),$F$11,-'Instrumentos Financeiros'!$G$7*$G$72),0)</f>
        <v>0</v>
      </c>
      <c r="BE138" s="1312">
        <f t="shared" si="74"/>
        <v>0</v>
      </c>
      <c r="BF138" s="1312">
        <f>BG137*((1+'Instrumentos Financeiros'!$J$43)^(1/12)-1)</f>
        <v>0</v>
      </c>
      <c r="BG138" s="1312">
        <f t="shared" si="44"/>
        <v>0</v>
      </c>
      <c r="BH138" s="1312">
        <f>IF(AND(C138&gt;$F$73,'Instrumentos Financeiros'!C138&lt;'Instrumentos Financeiros'!$F$73+'Instrumentos Financeiros'!$F$11+1),PMT(((1+'Instrumentos Financeiros'!$J$43)^(1/12)-1),$F$11,-$I$73),0)</f>
        <v>0</v>
      </c>
      <c r="BI138" s="1312">
        <f t="shared" si="75"/>
        <v>0</v>
      </c>
      <c r="BJ138" s="1312">
        <f>BK137*((1+'Instrumentos Financeiros'!$J$43)^(1/12)-1)</f>
        <v>0</v>
      </c>
      <c r="BK138" s="1312">
        <f t="shared" si="45"/>
        <v>0</v>
      </c>
      <c r="BL138" s="1312">
        <f>IF(AND(C138&gt;$F$77,'Instrumentos Financeiros'!C138&lt;'Instrumentos Financeiros'!$F$77+'Instrumentos Financeiros'!$F$12+1),PMT(((1+'Instrumentos Financeiros'!$K$43)^(1/12)-1),$F$12,-$I$77),0)</f>
        <v>0</v>
      </c>
      <c r="BM138" s="1312">
        <f t="shared" si="46"/>
        <v>0</v>
      </c>
      <c r="BN138" s="1312">
        <f>BO137*((1+'Instrumentos Financeiros'!$K$43)^(1/12)-1)</f>
        <v>0</v>
      </c>
      <c r="BO138" s="1312">
        <f t="shared" si="47"/>
        <v>0</v>
      </c>
      <c r="BP138" s="1312">
        <f>IF(AND(C138&gt;$F$78,'Instrumentos Financeiros'!C138&lt;'Instrumentos Financeiros'!$F$78+'Instrumentos Financeiros'!$F$12+1),PMT(((1+'Instrumentos Financeiros'!$L$43)^(1/12)-1),$F$12,-$I$78),0)</f>
        <v>0</v>
      </c>
      <c r="BQ138" s="1312">
        <f t="shared" si="48"/>
        <v>0</v>
      </c>
      <c r="BR138" s="1312">
        <f>BS137*((1+'Instrumentos Financeiros'!$L$43)^(1/12)-1)</f>
        <v>0</v>
      </c>
      <c r="BS138" s="1312">
        <f t="shared" si="49"/>
        <v>0</v>
      </c>
      <c r="BT138" s="1312">
        <f>IF(AND(C138&gt;$F$79,'Instrumentos Financeiros'!C138&lt;'Instrumentos Financeiros'!$F$79+'Instrumentos Financeiros'!$F$12+1),PMT(((1+'Instrumentos Financeiros'!$L$43)^(1/12)-1),$F$12,-$I$79),0)</f>
        <v>0</v>
      </c>
      <c r="BU138" s="1312">
        <f t="shared" si="50"/>
        <v>0</v>
      </c>
      <c r="BV138" s="1312">
        <f>BW137*((1+'Instrumentos Financeiros'!$L$43)^(1/12)-1)</f>
        <v>0</v>
      </c>
      <c r="BW138" s="1312">
        <f t="shared" si="51"/>
        <v>0</v>
      </c>
      <c r="BX138" s="1312">
        <f>IF(AND(C138&gt;$F$80,'Instrumentos Financeiros'!C138&lt;'Instrumentos Financeiros'!$F$80+'Instrumentos Financeiros'!$F$12+1),PMT(((1+'Instrumentos Financeiros'!$L$43)^(1/12)-1),$F$12,-$I$80),0)</f>
        <v>0</v>
      </c>
      <c r="BY138" s="1312">
        <f t="shared" si="52"/>
        <v>0</v>
      </c>
      <c r="BZ138" s="1312">
        <f>CA137*((1+'Instrumentos Financeiros'!$L$43)^(1/12)-1)</f>
        <v>0</v>
      </c>
      <c r="CA138" s="1312">
        <f t="shared" si="53"/>
        <v>0</v>
      </c>
      <c r="CB138" s="1312">
        <f>IF(AND(C138&gt;$F$83,'Instrumentos Financeiros'!C138&lt;'Instrumentos Financeiros'!$F$83+'Instrumentos Financeiros'!$F$13+1),PMT(((1+'Instrumentos Financeiros'!$P$43)^(1/12)-1),$F$13,-$I$83),0)</f>
        <v>0</v>
      </c>
      <c r="CC138" s="1312">
        <f t="shared" si="54"/>
        <v>0</v>
      </c>
      <c r="CD138" s="1312">
        <f>CE137*((1+'Instrumentos Financeiros'!$P$43)^(1/12)-1)</f>
        <v>0</v>
      </c>
      <c r="CE138" s="1312">
        <f t="shared" si="55"/>
        <v>0</v>
      </c>
      <c r="CF138" s="1312">
        <f>IF(AND(C138&gt;$F$84,'Instrumentos Financeiros'!C138&lt;'Instrumentos Financeiros'!$F$84+'Instrumentos Financeiros'!$F$13+1),PMT(((1+'Instrumentos Financeiros'!$Q$43)^(1/12)-1),$F$13,-$I$84),0)</f>
        <v>0</v>
      </c>
      <c r="CG138" s="1312">
        <f t="shared" si="56"/>
        <v>0</v>
      </c>
      <c r="CH138" s="1312">
        <f>CI137*((1+'Instrumentos Financeiros'!$Q$43)^(1/12)-1)</f>
        <v>0</v>
      </c>
      <c r="CI138" s="1312">
        <f t="shared" si="57"/>
        <v>0</v>
      </c>
      <c r="CJ138" s="1312">
        <f>IF(AND(C138&gt;$F$85,'Instrumentos Financeiros'!C138&lt;'Instrumentos Financeiros'!$F$85+'Instrumentos Financeiros'!$F$13+1),PMT(((1+'Instrumentos Financeiros'!$Q$43)^(1/12)-1),$F$13,-$I$85),0)</f>
        <v>0</v>
      </c>
      <c r="CK138" s="1312">
        <f t="shared" si="58"/>
        <v>0</v>
      </c>
      <c r="CL138" s="1312">
        <f>CM137*((1+'Instrumentos Financeiros'!$Q$43)^(1/12)-1)</f>
        <v>0</v>
      </c>
      <c r="CM138" s="1312">
        <f t="shared" si="59"/>
        <v>0</v>
      </c>
      <c r="CN138" s="1312">
        <f>IF(AND(C138&gt;$F$86,'Instrumentos Financeiros'!C138&lt;'Instrumentos Financeiros'!$F$86+'Instrumentos Financeiros'!$F$13+1),PMT(((1+'Instrumentos Financeiros'!$Q$43)^(1/12)-1),$F$13,-$I$86),0)</f>
        <v>0</v>
      </c>
      <c r="CO138" s="1312">
        <f t="shared" si="60"/>
        <v>0</v>
      </c>
      <c r="CP138" s="1312">
        <f>CQ137*((1+'Instrumentos Financeiros'!$Q$43)^(1/12)-1)</f>
        <v>0</v>
      </c>
      <c r="CQ138" s="1312">
        <f t="shared" si="61"/>
        <v>0</v>
      </c>
      <c r="CR138" s="1312">
        <f t="shared" si="29"/>
        <v>0</v>
      </c>
      <c r="CS138" s="1312">
        <f t="shared" si="29"/>
        <v>0</v>
      </c>
      <c r="CT138" s="1312">
        <f t="shared" si="29"/>
        <v>0</v>
      </c>
      <c r="CU138" s="1312">
        <f t="shared" si="29"/>
        <v>0</v>
      </c>
    </row>
    <row r="139" spans="3:99" x14ac:dyDescent="0.35">
      <c r="C139" s="1315">
        <f t="shared" si="30"/>
        <v>46</v>
      </c>
      <c r="D139" s="1312">
        <f>IF(AND(C139&gt;$F$59,'Instrumentos Financeiros'!C139&lt;'Instrumentos Financeiros'!$F$59+'Instrumentos Financeiros'!$F$11+1),PMT(((1+'Instrumentos Financeiros'!$G$43)^(1/12)-1),$F$11,-$I$59),0)</f>
        <v>0</v>
      </c>
      <c r="E139" s="1312">
        <f t="shared" si="14"/>
        <v>0</v>
      </c>
      <c r="F139" s="1312">
        <f>G138*((1+'Instrumentos Financeiros'!$G$43)^(1/12)-1)</f>
        <v>0</v>
      </c>
      <c r="G139" s="1312">
        <f t="shared" si="31"/>
        <v>0</v>
      </c>
      <c r="H139" s="1312">
        <f>IF(AND(C139&gt;$F$60,'Instrumentos Financeiros'!C139&lt;'Instrumentos Financeiros'!$F$60+'Instrumentos Financeiros'!$F$11+1),PMT(((1+'Instrumentos Financeiros'!$G$43)^(1/12)-1),$F$11,-$I$60),0)</f>
        <v>0</v>
      </c>
      <c r="I139" s="1312">
        <f t="shared" si="62"/>
        <v>0</v>
      </c>
      <c r="J139" s="1312">
        <f>K138*((1+'Instrumentos Financeiros'!$G$43)^(1/12)-1)</f>
        <v>0</v>
      </c>
      <c r="K139" s="1312">
        <f t="shared" si="32"/>
        <v>0</v>
      </c>
      <c r="L139" s="1312">
        <f>IF(AND(C139&gt;$F$61,'Instrumentos Financeiros'!C139&lt;'Instrumentos Financeiros'!$F$61+'Instrumentos Financeiros'!$F$11+1),PMT(((1+'Instrumentos Financeiros'!$G$43)^(1/12)-1),$F$11,-$I$61),0)</f>
        <v>0</v>
      </c>
      <c r="M139" s="1312">
        <f t="shared" si="63"/>
        <v>0</v>
      </c>
      <c r="N139" s="1312">
        <f>O138*((1+'Instrumentos Financeiros'!$G$43)^(1/12)-1)</f>
        <v>0</v>
      </c>
      <c r="O139" s="1312">
        <f t="shared" si="33"/>
        <v>0</v>
      </c>
      <c r="P139" s="1312">
        <f>IF(AND(C139&gt;$F$62,'Instrumentos Financeiros'!C139&lt;'Instrumentos Financeiros'!$F$62+'Instrumentos Financeiros'!$F$11+1),PMT(((1+'Instrumentos Financeiros'!$H$43)^(1/12)-1),$F$11,-$I$62),0)</f>
        <v>0</v>
      </c>
      <c r="Q139" s="1312">
        <f t="shared" si="64"/>
        <v>0</v>
      </c>
      <c r="R139" s="1312">
        <f>S138*((1+'Instrumentos Financeiros'!$H$43)^(1/12)-1)</f>
        <v>0</v>
      </c>
      <c r="S139" s="1312">
        <f t="shared" si="34"/>
        <v>0</v>
      </c>
      <c r="T139" s="1312">
        <f>IF(AND(C139&gt;$F$63,'Instrumentos Financeiros'!C139&lt;'Instrumentos Financeiros'!$F$63+'Instrumentos Financeiros'!$F$11+1),PMT(((1+'Instrumentos Financeiros'!$H$43)^(1/12)-1),$F$11,-$I$63),0)</f>
        <v>0</v>
      </c>
      <c r="U139" s="1312">
        <f t="shared" si="65"/>
        <v>0</v>
      </c>
      <c r="V139" s="1312">
        <f>W138*((1+'Instrumentos Financeiros'!$H$43)^(1/12)-1)</f>
        <v>0</v>
      </c>
      <c r="W139" s="1312">
        <f t="shared" si="35"/>
        <v>0</v>
      </c>
      <c r="X139" s="1312">
        <f>IF(AND(C139&gt;$F$64,'Instrumentos Financeiros'!C139&lt;'Instrumentos Financeiros'!$F$64+'Instrumentos Financeiros'!$F$11+1),PMT(((1+'Instrumentos Financeiros'!$H$43)^(1/12)-1),$F$11,-$I$64),0)</f>
        <v>0</v>
      </c>
      <c r="Y139" s="1312">
        <f t="shared" si="66"/>
        <v>0</v>
      </c>
      <c r="Z139" s="1312">
        <f>AA138*((1+'Instrumentos Financeiros'!$H$43)^(1/12)-1)</f>
        <v>0</v>
      </c>
      <c r="AA139" s="1312">
        <f t="shared" si="36"/>
        <v>0</v>
      </c>
      <c r="AB139" s="1312">
        <f>IF(AND(C139&gt;$F$65,'Instrumentos Financeiros'!C139&lt;'Instrumentos Financeiros'!$F$65+'Instrumentos Financeiros'!$F$11+1),PMT(((1+'Instrumentos Financeiros'!$H$43)^(1/12)-1),$F$11,-$I$65),0)</f>
        <v>0</v>
      </c>
      <c r="AC139" s="1312">
        <f t="shared" si="67"/>
        <v>0</v>
      </c>
      <c r="AD139" s="1312">
        <f>AE138*((1+'Instrumentos Financeiros'!$H$43)^(1/12)-1)</f>
        <v>0</v>
      </c>
      <c r="AE139" s="1312">
        <f t="shared" si="37"/>
        <v>0</v>
      </c>
      <c r="AF139" s="1312">
        <f>IF(AND(C139&gt;$F$66,'Instrumentos Financeiros'!C139&lt;'Instrumentos Financeiros'!$F$66+'Instrumentos Financeiros'!$F$11+1),PMT(((1+'Instrumentos Financeiros'!$I$43)^(1/12)-1),$F$11,-$I$66),0)</f>
        <v>0</v>
      </c>
      <c r="AG139" s="1312">
        <f t="shared" si="68"/>
        <v>0</v>
      </c>
      <c r="AH139" s="1312">
        <f>AI138*((1+'Instrumentos Financeiros'!$I$43)^(1/12)-1)</f>
        <v>0</v>
      </c>
      <c r="AI139" s="1312">
        <f t="shared" si="38"/>
        <v>0</v>
      </c>
      <c r="AJ139" s="1312">
        <f>IF(AND(C139&gt;$F$67,'Instrumentos Financeiros'!C139&lt;'Instrumentos Financeiros'!$F$67+'Instrumentos Financeiros'!$F$11+1),PMT(((1+'Instrumentos Financeiros'!$I$43)^(1/12)-1),$F$11,-$I$67),0)</f>
        <v>0</v>
      </c>
      <c r="AK139" s="1312">
        <f t="shared" si="69"/>
        <v>0</v>
      </c>
      <c r="AL139" s="1312">
        <f>AM138*((1+'Instrumentos Financeiros'!$I$43)^(1/12)-1)</f>
        <v>0</v>
      </c>
      <c r="AM139" s="1312">
        <f t="shared" si="39"/>
        <v>0</v>
      </c>
      <c r="AN139" s="1312">
        <f>IF(AND(C139&gt;$F$68,'Instrumentos Financeiros'!C139&lt;'Instrumentos Financeiros'!$F$68+'Instrumentos Financeiros'!$F$11+1),PMT(((1+'Instrumentos Financeiros'!$I$43)^(1/12)-1),$F$11,-$I$68),0)</f>
        <v>0</v>
      </c>
      <c r="AO139" s="1312">
        <f t="shared" si="70"/>
        <v>0</v>
      </c>
      <c r="AP139" s="1312">
        <f>AQ138*((1+'Instrumentos Financeiros'!$I$43)^(1/12)-1)</f>
        <v>0</v>
      </c>
      <c r="AQ139" s="1312">
        <f t="shared" si="40"/>
        <v>0</v>
      </c>
      <c r="AR139" s="1312">
        <f>IF(AND(C139&gt;$F$69,'Instrumentos Financeiros'!C139&lt;'Instrumentos Financeiros'!$F$69+'Instrumentos Financeiros'!$F$11+1),PMT(((1+'Instrumentos Financeiros'!$I$43)^(1/12)-1),$F$11,-$I$69),0)</f>
        <v>0</v>
      </c>
      <c r="AS139" s="1312">
        <f t="shared" si="71"/>
        <v>0</v>
      </c>
      <c r="AT139" s="1312">
        <f>AU138*((1+'Instrumentos Financeiros'!$I$43)^(1/12)-1)</f>
        <v>0</v>
      </c>
      <c r="AU139" s="1312">
        <f t="shared" si="41"/>
        <v>0</v>
      </c>
      <c r="AV139" s="1312">
        <f>IF(AND(C139&gt;$F$70,'Instrumentos Financeiros'!C139&lt;'Instrumentos Financeiros'!$F$70+'Instrumentos Financeiros'!$F$11+1),PMT(((1+'Instrumentos Financeiros'!$J$43)^(1/12)-1),$F$11,-$I$70),0)</f>
        <v>0</v>
      </c>
      <c r="AW139" s="1312">
        <f t="shared" si="72"/>
        <v>0</v>
      </c>
      <c r="AX139" s="1312">
        <f>AY138*((1+'Instrumentos Financeiros'!$J$43)^(1/12)-1)</f>
        <v>0</v>
      </c>
      <c r="AY139" s="1312">
        <f t="shared" si="42"/>
        <v>0</v>
      </c>
      <c r="AZ139" s="1312">
        <f>IF(AND(C139&gt;$F$71,'Instrumentos Financeiros'!C139&lt;'Instrumentos Financeiros'!$F$71+'Instrumentos Financeiros'!$F$11+1),PMT(((1+'Instrumentos Financeiros'!$J$43)^(1/12)-1),$F$11,-$I$71),0)</f>
        <v>0</v>
      </c>
      <c r="BA139" s="1312">
        <f t="shared" si="73"/>
        <v>0</v>
      </c>
      <c r="BB139" s="1312">
        <f>BC138*((1+'Instrumentos Financeiros'!$J$43)^(1/12)-1)</f>
        <v>0</v>
      </c>
      <c r="BC139" s="1312">
        <f t="shared" si="43"/>
        <v>0</v>
      </c>
      <c r="BD139" s="1312">
        <f>IF(AND(C139&gt;$F$72,'Instrumentos Financeiros'!C139&lt;'Instrumentos Financeiros'!$F$72+'Instrumentos Financeiros'!$F$11+1),PMT(((1+'Instrumentos Financeiros'!$J$43)^(1/12)-1),$F$11,-'Instrumentos Financeiros'!$G$7*$G$72),0)</f>
        <v>0</v>
      </c>
      <c r="BE139" s="1312">
        <f t="shared" si="74"/>
        <v>0</v>
      </c>
      <c r="BF139" s="1312">
        <f>BG138*((1+'Instrumentos Financeiros'!$J$43)^(1/12)-1)</f>
        <v>0</v>
      </c>
      <c r="BG139" s="1312">
        <f t="shared" si="44"/>
        <v>0</v>
      </c>
      <c r="BH139" s="1312">
        <f>IF(AND(C139&gt;$F$73,'Instrumentos Financeiros'!C139&lt;'Instrumentos Financeiros'!$F$73+'Instrumentos Financeiros'!$F$11+1),PMT(((1+'Instrumentos Financeiros'!$J$43)^(1/12)-1),$F$11,-$I$73),0)</f>
        <v>0</v>
      </c>
      <c r="BI139" s="1312">
        <f t="shared" si="75"/>
        <v>0</v>
      </c>
      <c r="BJ139" s="1312">
        <f>BK138*((1+'Instrumentos Financeiros'!$J$43)^(1/12)-1)</f>
        <v>0</v>
      </c>
      <c r="BK139" s="1312">
        <f t="shared" si="45"/>
        <v>0</v>
      </c>
      <c r="BL139" s="1312">
        <f>IF(AND(C139&gt;$F$77,'Instrumentos Financeiros'!C139&lt;'Instrumentos Financeiros'!$F$77+'Instrumentos Financeiros'!$F$12+1),PMT(((1+'Instrumentos Financeiros'!$K$43)^(1/12)-1),$F$12,-$I$77),0)</f>
        <v>0</v>
      </c>
      <c r="BM139" s="1312">
        <f t="shared" si="46"/>
        <v>0</v>
      </c>
      <c r="BN139" s="1312">
        <f>BO138*((1+'Instrumentos Financeiros'!$K$43)^(1/12)-1)</f>
        <v>0</v>
      </c>
      <c r="BO139" s="1312">
        <f t="shared" si="47"/>
        <v>0</v>
      </c>
      <c r="BP139" s="1312">
        <f>IF(AND(C139&gt;$F$78,'Instrumentos Financeiros'!C139&lt;'Instrumentos Financeiros'!$F$78+'Instrumentos Financeiros'!$F$12+1),PMT(((1+'Instrumentos Financeiros'!$L$43)^(1/12)-1),$F$12,-$I$78),0)</f>
        <v>0</v>
      </c>
      <c r="BQ139" s="1312">
        <f t="shared" si="48"/>
        <v>0</v>
      </c>
      <c r="BR139" s="1312">
        <f>BS138*((1+'Instrumentos Financeiros'!$L$43)^(1/12)-1)</f>
        <v>0</v>
      </c>
      <c r="BS139" s="1312">
        <f t="shared" si="49"/>
        <v>0</v>
      </c>
      <c r="BT139" s="1312">
        <f>IF(AND(C139&gt;$F$79,'Instrumentos Financeiros'!C139&lt;'Instrumentos Financeiros'!$F$79+'Instrumentos Financeiros'!$F$12+1),PMT(((1+'Instrumentos Financeiros'!$L$43)^(1/12)-1),$F$12,-$I$79),0)</f>
        <v>0</v>
      </c>
      <c r="BU139" s="1312">
        <f t="shared" si="50"/>
        <v>0</v>
      </c>
      <c r="BV139" s="1312">
        <f>BW138*((1+'Instrumentos Financeiros'!$L$43)^(1/12)-1)</f>
        <v>0</v>
      </c>
      <c r="BW139" s="1312">
        <f t="shared" si="51"/>
        <v>0</v>
      </c>
      <c r="BX139" s="1312">
        <f>IF(AND(C139&gt;$F$80,'Instrumentos Financeiros'!C139&lt;'Instrumentos Financeiros'!$F$80+'Instrumentos Financeiros'!$F$12+1),PMT(((1+'Instrumentos Financeiros'!$L$43)^(1/12)-1),$F$12,-$I$80),0)</f>
        <v>0</v>
      </c>
      <c r="BY139" s="1312">
        <f t="shared" si="52"/>
        <v>0</v>
      </c>
      <c r="BZ139" s="1312">
        <f>CA138*((1+'Instrumentos Financeiros'!$L$43)^(1/12)-1)</f>
        <v>0</v>
      </c>
      <c r="CA139" s="1312">
        <f t="shared" si="53"/>
        <v>0</v>
      </c>
      <c r="CB139" s="1312">
        <f>IF(AND(C139&gt;$F$83,'Instrumentos Financeiros'!C139&lt;'Instrumentos Financeiros'!$F$83+'Instrumentos Financeiros'!$F$13+1),PMT(((1+'Instrumentos Financeiros'!$P$43)^(1/12)-1),$F$13,-$I$83),0)</f>
        <v>0</v>
      </c>
      <c r="CC139" s="1312">
        <f t="shared" si="54"/>
        <v>0</v>
      </c>
      <c r="CD139" s="1312">
        <f>CE138*((1+'Instrumentos Financeiros'!$P$43)^(1/12)-1)</f>
        <v>0</v>
      </c>
      <c r="CE139" s="1312">
        <f t="shared" si="55"/>
        <v>0</v>
      </c>
      <c r="CF139" s="1312">
        <f>IF(AND(C139&gt;$F$84,'Instrumentos Financeiros'!C139&lt;'Instrumentos Financeiros'!$F$84+'Instrumentos Financeiros'!$F$13+1),PMT(((1+'Instrumentos Financeiros'!$Q$43)^(1/12)-1),$F$13,-$I$84),0)</f>
        <v>0</v>
      </c>
      <c r="CG139" s="1312">
        <f t="shared" si="56"/>
        <v>0</v>
      </c>
      <c r="CH139" s="1312">
        <f>CI138*((1+'Instrumentos Financeiros'!$Q$43)^(1/12)-1)</f>
        <v>0</v>
      </c>
      <c r="CI139" s="1312">
        <f t="shared" si="57"/>
        <v>0</v>
      </c>
      <c r="CJ139" s="1312">
        <f>IF(AND(C139&gt;$F$85,'Instrumentos Financeiros'!C139&lt;'Instrumentos Financeiros'!$F$85+'Instrumentos Financeiros'!$F$13+1),PMT(((1+'Instrumentos Financeiros'!$Q$43)^(1/12)-1),$F$13,-$I$85),0)</f>
        <v>0</v>
      </c>
      <c r="CK139" s="1312">
        <f t="shared" si="58"/>
        <v>0</v>
      </c>
      <c r="CL139" s="1312">
        <f>CM138*((1+'Instrumentos Financeiros'!$Q$43)^(1/12)-1)</f>
        <v>0</v>
      </c>
      <c r="CM139" s="1312">
        <f t="shared" si="59"/>
        <v>0</v>
      </c>
      <c r="CN139" s="1312">
        <f>IF(AND(C139&gt;$F$86,'Instrumentos Financeiros'!C139&lt;'Instrumentos Financeiros'!$F$86+'Instrumentos Financeiros'!$F$13+1),PMT(((1+'Instrumentos Financeiros'!$Q$43)^(1/12)-1),$F$13,-$I$86),0)</f>
        <v>0</v>
      </c>
      <c r="CO139" s="1312">
        <f t="shared" si="60"/>
        <v>0</v>
      </c>
      <c r="CP139" s="1312">
        <f>CQ138*((1+'Instrumentos Financeiros'!$Q$43)^(1/12)-1)</f>
        <v>0</v>
      </c>
      <c r="CQ139" s="1312">
        <f t="shared" si="61"/>
        <v>0</v>
      </c>
      <c r="CR139" s="1312">
        <f t="shared" si="29"/>
        <v>0</v>
      </c>
      <c r="CS139" s="1312">
        <f t="shared" si="29"/>
        <v>0</v>
      </c>
      <c r="CT139" s="1312">
        <f t="shared" si="29"/>
        <v>0</v>
      </c>
      <c r="CU139" s="1312">
        <f t="shared" si="29"/>
        <v>0</v>
      </c>
    </row>
    <row r="140" spans="3:99" x14ac:dyDescent="0.35">
      <c r="C140" s="1315">
        <f t="shared" si="30"/>
        <v>47</v>
      </c>
      <c r="D140" s="1312">
        <f>IF(AND(C140&gt;$F$59,'Instrumentos Financeiros'!C140&lt;'Instrumentos Financeiros'!$F$59+'Instrumentos Financeiros'!$F$11+1),PMT(((1+'Instrumentos Financeiros'!$G$43)^(1/12)-1),$F$11,-$I$59),0)</f>
        <v>0</v>
      </c>
      <c r="E140" s="1312">
        <f t="shared" si="14"/>
        <v>0</v>
      </c>
      <c r="F140" s="1312">
        <f>G139*((1+'Instrumentos Financeiros'!$G$43)^(1/12)-1)</f>
        <v>0</v>
      </c>
      <c r="G140" s="1312">
        <f t="shared" si="31"/>
        <v>0</v>
      </c>
      <c r="H140" s="1312">
        <f>IF(AND(C140&gt;$F$60,'Instrumentos Financeiros'!C140&lt;'Instrumentos Financeiros'!$F$60+'Instrumentos Financeiros'!$F$11+1),PMT(((1+'Instrumentos Financeiros'!$G$43)^(1/12)-1),$F$11,-$I$60),0)</f>
        <v>0</v>
      </c>
      <c r="I140" s="1312">
        <f t="shared" si="62"/>
        <v>0</v>
      </c>
      <c r="J140" s="1312">
        <f>K139*((1+'Instrumentos Financeiros'!$G$43)^(1/12)-1)</f>
        <v>0</v>
      </c>
      <c r="K140" s="1312">
        <f t="shared" si="32"/>
        <v>0</v>
      </c>
      <c r="L140" s="1312">
        <f>IF(AND(C140&gt;$F$61,'Instrumentos Financeiros'!C140&lt;'Instrumentos Financeiros'!$F$61+'Instrumentos Financeiros'!$F$11+1),PMT(((1+'Instrumentos Financeiros'!$G$43)^(1/12)-1),$F$11,-$I$61),0)</f>
        <v>0</v>
      </c>
      <c r="M140" s="1312">
        <f t="shared" si="63"/>
        <v>0</v>
      </c>
      <c r="N140" s="1312">
        <f>O139*((1+'Instrumentos Financeiros'!$G$43)^(1/12)-1)</f>
        <v>0</v>
      </c>
      <c r="O140" s="1312">
        <f t="shared" si="33"/>
        <v>0</v>
      </c>
      <c r="P140" s="1312">
        <f>IF(AND(C140&gt;$F$62,'Instrumentos Financeiros'!C140&lt;'Instrumentos Financeiros'!$F$62+'Instrumentos Financeiros'!$F$11+1),PMT(((1+'Instrumentos Financeiros'!$H$43)^(1/12)-1),$F$11,-$I$62),0)</f>
        <v>0</v>
      </c>
      <c r="Q140" s="1312">
        <f t="shared" si="64"/>
        <v>0</v>
      </c>
      <c r="R140" s="1312">
        <f>S139*((1+'Instrumentos Financeiros'!$H$43)^(1/12)-1)</f>
        <v>0</v>
      </c>
      <c r="S140" s="1312">
        <f t="shared" si="34"/>
        <v>0</v>
      </c>
      <c r="T140" s="1312">
        <f>IF(AND(C140&gt;$F$63,'Instrumentos Financeiros'!C140&lt;'Instrumentos Financeiros'!$F$63+'Instrumentos Financeiros'!$F$11+1),PMT(((1+'Instrumentos Financeiros'!$H$43)^(1/12)-1),$F$11,-$I$63),0)</f>
        <v>0</v>
      </c>
      <c r="U140" s="1312">
        <f t="shared" si="65"/>
        <v>0</v>
      </c>
      <c r="V140" s="1312">
        <f>W139*((1+'Instrumentos Financeiros'!$H$43)^(1/12)-1)</f>
        <v>0</v>
      </c>
      <c r="W140" s="1312">
        <f t="shared" si="35"/>
        <v>0</v>
      </c>
      <c r="X140" s="1312">
        <f>IF(AND(C140&gt;$F$64,'Instrumentos Financeiros'!C140&lt;'Instrumentos Financeiros'!$F$64+'Instrumentos Financeiros'!$F$11+1),PMT(((1+'Instrumentos Financeiros'!$H$43)^(1/12)-1),$F$11,-$I$64),0)</f>
        <v>0</v>
      </c>
      <c r="Y140" s="1312">
        <f t="shared" si="66"/>
        <v>0</v>
      </c>
      <c r="Z140" s="1312">
        <f>AA139*((1+'Instrumentos Financeiros'!$H$43)^(1/12)-1)</f>
        <v>0</v>
      </c>
      <c r="AA140" s="1312">
        <f t="shared" si="36"/>
        <v>0</v>
      </c>
      <c r="AB140" s="1312">
        <f>IF(AND(C140&gt;$F$65,'Instrumentos Financeiros'!C140&lt;'Instrumentos Financeiros'!$F$65+'Instrumentos Financeiros'!$F$11+1),PMT(((1+'Instrumentos Financeiros'!$H$43)^(1/12)-1),$F$11,-$I$65),0)</f>
        <v>0</v>
      </c>
      <c r="AC140" s="1312">
        <f t="shared" si="67"/>
        <v>0</v>
      </c>
      <c r="AD140" s="1312">
        <f>AE139*((1+'Instrumentos Financeiros'!$H$43)^(1/12)-1)</f>
        <v>0</v>
      </c>
      <c r="AE140" s="1312">
        <f t="shared" si="37"/>
        <v>0</v>
      </c>
      <c r="AF140" s="1312">
        <f>IF(AND(C140&gt;$F$66,'Instrumentos Financeiros'!C140&lt;'Instrumentos Financeiros'!$F$66+'Instrumentos Financeiros'!$F$11+1),PMT(((1+'Instrumentos Financeiros'!$I$43)^(1/12)-1),$F$11,-$I$66),0)</f>
        <v>0</v>
      </c>
      <c r="AG140" s="1312">
        <f t="shared" si="68"/>
        <v>0</v>
      </c>
      <c r="AH140" s="1312">
        <f>AI139*((1+'Instrumentos Financeiros'!$I$43)^(1/12)-1)</f>
        <v>0</v>
      </c>
      <c r="AI140" s="1312">
        <f t="shared" si="38"/>
        <v>0</v>
      </c>
      <c r="AJ140" s="1312">
        <f>IF(AND(C140&gt;$F$67,'Instrumentos Financeiros'!C140&lt;'Instrumentos Financeiros'!$F$67+'Instrumentos Financeiros'!$F$11+1),PMT(((1+'Instrumentos Financeiros'!$I$43)^(1/12)-1),$F$11,-$I$67),0)</f>
        <v>0</v>
      </c>
      <c r="AK140" s="1312">
        <f t="shared" si="69"/>
        <v>0</v>
      </c>
      <c r="AL140" s="1312">
        <f>AM139*((1+'Instrumentos Financeiros'!$I$43)^(1/12)-1)</f>
        <v>0</v>
      </c>
      <c r="AM140" s="1312">
        <f t="shared" si="39"/>
        <v>0</v>
      </c>
      <c r="AN140" s="1312">
        <f>IF(AND(C140&gt;$F$68,'Instrumentos Financeiros'!C140&lt;'Instrumentos Financeiros'!$F$68+'Instrumentos Financeiros'!$F$11+1),PMT(((1+'Instrumentos Financeiros'!$I$43)^(1/12)-1),$F$11,-$I$68),0)</f>
        <v>0</v>
      </c>
      <c r="AO140" s="1312">
        <f t="shared" si="70"/>
        <v>0</v>
      </c>
      <c r="AP140" s="1312">
        <f>AQ139*((1+'Instrumentos Financeiros'!$I$43)^(1/12)-1)</f>
        <v>0</v>
      </c>
      <c r="AQ140" s="1312">
        <f t="shared" si="40"/>
        <v>0</v>
      </c>
      <c r="AR140" s="1312">
        <f>IF(AND(C140&gt;$F$69,'Instrumentos Financeiros'!C140&lt;'Instrumentos Financeiros'!$F$69+'Instrumentos Financeiros'!$F$11+1),PMT(((1+'Instrumentos Financeiros'!$I$43)^(1/12)-1),$F$11,-$I$69),0)</f>
        <v>0</v>
      </c>
      <c r="AS140" s="1312">
        <f t="shared" si="71"/>
        <v>0</v>
      </c>
      <c r="AT140" s="1312">
        <f>AU139*((1+'Instrumentos Financeiros'!$I$43)^(1/12)-1)</f>
        <v>0</v>
      </c>
      <c r="AU140" s="1312">
        <f t="shared" si="41"/>
        <v>0</v>
      </c>
      <c r="AV140" s="1312">
        <f>IF(AND(C140&gt;$F$70,'Instrumentos Financeiros'!C140&lt;'Instrumentos Financeiros'!$F$70+'Instrumentos Financeiros'!$F$11+1),PMT(((1+'Instrumentos Financeiros'!$J$43)^(1/12)-1),$F$11,-$I$70),0)</f>
        <v>0</v>
      </c>
      <c r="AW140" s="1312">
        <f t="shared" si="72"/>
        <v>0</v>
      </c>
      <c r="AX140" s="1312">
        <f>AY139*((1+'Instrumentos Financeiros'!$J$43)^(1/12)-1)</f>
        <v>0</v>
      </c>
      <c r="AY140" s="1312">
        <f t="shared" si="42"/>
        <v>0</v>
      </c>
      <c r="AZ140" s="1312">
        <f>IF(AND(C140&gt;$F$71,'Instrumentos Financeiros'!C140&lt;'Instrumentos Financeiros'!$F$71+'Instrumentos Financeiros'!$F$11+1),PMT(((1+'Instrumentos Financeiros'!$J$43)^(1/12)-1),$F$11,-$I$71),0)</f>
        <v>0</v>
      </c>
      <c r="BA140" s="1312">
        <f t="shared" si="73"/>
        <v>0</v>
      </c>
      <c r="BB140" s="1312">
        <f>BC139*((1+'Instrumentos Financeiros'!$J$43)^(1/12)-1)</f>
        <v>0</v>
      </c>
      <c r="BC140" s="1312">
        <f t="shared" si="43"/>
        <v>0</v>
      </c>
      <c r="BD140" s="1312">
        <f>IF(AND(C140&gt;$F$72,'Instrumentos Financeiros'!C140&lt;'Instrumentos Financeiros'!$F$72+'Instrumentos Financeiros'!$F$11+1),PMT(((1+'Instrumentos Financeiros'!$J$43)^(1/12)-1),$F$11,-'Instrumentos Financeiros'!$G$7*$G$72),0)</f>
        <v>0</v>
      </c>
      <c r="BE140" s="1312">
        <f t="shared" si="74"/>
        <v>0</v>
      </c>
      <c r="BF140" s="1312">
        <f>BG139*((1+'Instrumentos Financeiros'!$J$43)^(1/12)-1)</f>
        <v>0</v>
      </c>
      <c r="BG140" s="1312">
        <f t="shared" si="44"/>
        <v>0</v>
      </c>
      <c r="BH140" s="1312">
        <f>IF(AND(C140&gt;$F$73,'Instrumentos Financeiros'!C140&lt;'Instrumentos Financeiros'!$F$73+'Instrumentos Financeiros'!$F$11+1),PMT(((1+'Instrumentos Financeiros'!$J$43)^(1/12)-1),$F$11,-$I$73),0)</f>
        <v>0</v>
      </c>
      <c r="BI140" s="1312">
        <f t="shared" si="75"/>
        <v>0</v>
      </c>
      <c r="BJ140" s="1312">
        <f>BK139*((1+'Instrumentos Financeiros'!$J$43)^(1/12)-1)</f>
        <v>0</v>
      </c>
      <c r="BK140" s="1312">
        <f t="shared" si="45"/>
        <v>0</v>
      </c>
      <c r="BL140" s="1312">
        <f>IF(AND(C140&gt;$F$77,'Instrumentos Financeiros'!C140&lt;'Instrumentos Financeiros'!$F$77+'Instrumentos Financeiros'!$F$12+1),PMT(((1+'Instrumentos Financeiros'!$K$43)^(1/12)-1),$F$12,-$I$77),0)</f>
        <v>0</v>
      </c>
      <c r="BM140" s="1312">
        <f t="shared" si="46"/>
        <v>0</v>
      </c>
      <c r="BN140" s="1312">
        <f>BO139*((1+'Instrumentos Financeiros'!$K$43)^(1/12)-1)</f>
        <v>0</v>
      </c>
      <c r="BO140" s="1312">
        <f t="shared" si="47"/>
        <v>0</v>
      </c>
      <c r="BP140" s="1312">
        <f>IF(AND(C140&gt;$F$78,'Instrumentos Financeiros'!C140&lt;'Instrumentos Financeiros'!$F$78+'Instrumentos Financeiros'!$F$12+1),PMT(((1+'Instrumentos Financeiros'!$L$43)^(1/12)-1),$F$12,-$I$78),0)</f>
        <v>0</v>
      </c>
      <c r="BQ140" s="1312">
        <f t="shared" si="48"/>
        <v>0</v>
      </c>
      <c r="BR140" s="1312">
        <f>BS139*((1+'Instrumentos Financeiros'!$L$43)^(1/12)-1)</f>
        <v>0</v>
      </c>
      <c r="BS140" s="1312">
        <f t="shared" si="49"/>
        <v>0</v>
      </c>
      <c r="BT140" s="1312">
        <f>IF(AND(C140&gt;$F$79,'Instrumentos Financeiros'!C140&lt;'Instrumentos Financeiros'!$F$79+'Instrumentos Financeiros'!$F$12+1),PMT(((1+'Instrumentos Financeiros'!$L$43)^(1/12)-1),$F$12,-$I$79),0)</f>
        <v>0</v>
      </c>
      <c r="BU140" s="1312">
        <f t="shared" si="50"/>
        <v>0</v>
      </c>
      <c r="BV140" s="1312">
        <f>BW139*((1+'Instrumentos Financeiros'!$L$43)^(1/12)-1)</f>
        <v>0</v>
      </c>
      <c r="BW140" s="1312">
        <f t="shared" si="51"/>
        <v>0</v>
      </c>
      <c r="BX140" s="1312">
        <f>IF(AND(C140&gt;$F$80,'Instrumentos Financeiros'!C140&lt;'Instrumentos Financeiros'!$F$80+'Instrumentos Financeiros'!$F$12+1),PMT(((1+'Instrumentos Financeiros'!$L$43)^(1/12)-1),$F$12,-$I$80),0)</f>
        <v>0</v>
      </c>
      <c r="BY140" s="1312">
        <f t="shared" si="52"/>
        <v>0</v>
      </c>
      <c r="BZ140" s="1312">
        <f>CA139*((1+'Instrumentos Financeiros'!$L$43)^(1/12)-1)</f>
        <v>0</v>
      </c>
      <c r="CA140" s="1312">
        <f t="shared" si="53"/>
        <v>0</v>
      </c>
      <c r="CB140" s="1312">
        <f>IF(AND(C140&gt;$F$83,'Instrumentos Financeiros'!C140&lt;'Instrumentos Financeiros'!$F$83+'Instrumentos Financeiros'!$F$13+1),PMT(((1+'Instrumentos Financeiros'!$P$43)^(1/12)-1),$F$13,-$I$83),0)</f>
        <v>0</v>
      </c>
      <c r="CC140" s="1312">
        <f t="shared" si="54"/>
        <v>0</v>
      </c>
      <c r="CD140" s="1312">
        <f>CE139*((1+'Instrumentos Financeiros'!$P$43)^(1/12)-1)</f>
        <v>0</v>
      </c>
      <c r="CE140" s="1312">
        <f t="shared" si="55"/>
        <v>0</v>
      </c>
      <c r="CF140" s="1312">
        <f>IF(AND(C140&gt;$F$84,'Instrumentos Financeiros'!C140&lt;'Instrumentos Financeiros'!$F$84+'Instrumentos Financeiros'!$F$13+1),PMT(((1+'Instrumentos Financeiros'!$Q$43)^(1/12)-1),$F$13,-$I$84),0)</f>
        <v>0</v>
      </c>
      <c r="CG140" s="1312">
        <f t="shared" si="56"/>
        <v>0</v>
      </c>
      <c r="CH140" s="1312">
        <f>CI139*((1+'Instrumentos Financeiros'!$Q$43)^(1/12)-1)</f>
        <v>0</v>
      </c>
      <c r="CI140" s="1312">
        <f t="shared" si="57"/>
        <v>0</v>
      </c>
      <c r="CJ140" s="1312">
        <f>IF(AND(C140&gt;$F$85,'Instrumentos Financeiros'!C140&lt;'Instrumentos Financeiros'!$F$85+'Instrumentos Financeiros'!$F$13+1),PMT(((1+'Instrumentos Financeiros'!$Q$43)^(1/12)-1),$F$13,-$I$85),0)</f>
        <v>0</v>
      </c>
      <c r="CK140" s="1312">
        <f t="shared" si="58"/>
        <v>0</v>
      </c>
      <c r="CL140" s="1312">
        <f>CM139*((1+'Instrumentos Financeiros'!$Q$43)^(1/12)-1)</f>
        <v>0</v>
      </c>
      <c r="CM140" s="1312">
        <f t="shared" si="59"/>
        <v>0</v>
      </c>
      <c r="CN140" s="1312">
        <f>IF(AND(C140&gt;$F$86,'Instrumentos Financeiros'!C140&lt;'Instrumentos Financeiros'!$F$86+'Instrumentos Financeiros'!$F$13+1),PMT(((1+'Instrumentos Financeiros'!$Q$43)^(1/12)-1),$F$13,-$I$86),0)</f>
        <v>0</v>
      </c>
      <c r="CO140" s="1312">
        <f t="shared" si="60"/>
        <v>0</v>
      </c>
      <c r="CP140" s="1312">
        <f>CQ139*((1+'Instrumentos Financeiros'!$Q$43)^(1/12)-1)</f>
        <v>0</v>
      </c>
      <c r="CQ140" s="1312">
        <f t="shared" si="61"/>
        <v>0</v>
      </c>
      <c r="CR140" s="1312">
        <f t="shared" si="29"/>
        <v>0</v>
      </c>
      <c r="CS140" s="1312">
        <f t="shared" si="29"/>
        <v>0</v>
      </c>
      <c r="CT140" s="1312">
        <f t="shared" si="29"/>
        <v>0</v>
      </c>
      <c r="CU140" s="1312">
        <f t="shared" si="29"/>
        <v>0</v>
      </c>
    </row>
    <row r="141" spans="3:99" x14ac:dyDescent="0.35">
      <c r="C141" s="1316">
        <f t="shared" si="30"/>
        <v>48</v>
      </c>
      <c r="D141" s="1313">
        <f>IF(AND(C141&gt;$F$59,'Instrumentos Financeiros'!C141&lt;'Instrumentos Financeiros'!$F$59+'Instrumentos Financeiros'!$F$11+1),PMT(((1+'Instrumentos Financeiros'!$G$43)^(1/12)-1),$F$11,-$I$59),0)</f>
        <v>0</v>
      </c>
      <c r="E141" s="1313">
        <f t="shared" si="14"/>
        <v>0</v>
      </c>
      <c r="F141" s="1313">
        <f>G140*((1+'Instrumentos Financeiros'!$G$43)^(1/12)-1)</f>
        <v>0</v>
      </c>
      <c r="G141" s="1313">
        <f t="shared" si="31"/>
        <v>0</v>
      </c>
      <c r="H141" s="1313">
        <f>IF(AND(C141&gt;$F$60,'Instrumentos Financeiros'!C141&lt;'Instrumentos Financeiros'!$F$60+'Instrumentos Financeiros'!$F$11+1),PMT(((1+'Instrumentos Financeiros'!$G$43)^(1/12)-1),$F$11,-$I$60),0)</f>
        <v>0</v>
      </c>
      <c r="I141" s="1313">
        <f t="shared" si="62"/>
        <v>0</v>
      </c>
      <c r="J141" s="1313">
        <f>K140*((1+'Instrumentos Financeiros'!$G$43)^(1/12)-1)</f>
        <v>0</v>
      </c>
      <c r="K141" s="1313">
        <f t="shared" si="32"/>
        <v>0</v>
      </c>
      <c r="L141" s="1313">
        <f>IF(AND(C141&gt;$F$61,'Instrumentos Financeiros'!C141&lt;'Instrumentos Financeiros'!$F$61+'Instrumentos Financeiros'!$F$11+1),PMT(((1+'Instrumentos Financeiros'!$G$43)^(1/12)-1),$F$11,-$I$61),0)</f>
        <v>0</v>
      </c>
      <c r="M141" s="1313">
        <f t="shared" si="63"/>
        <v>0</v>
      </c>
      <c r="N141" s="1313">
        <f>O140*((1+'Instrumentos Financeiros'!$G$43)^(1/12)-1)</f>
        <v>0</v>
      </c>
      <c r="O141" s="1313">
        <f t="shared" si="33"/>
        <v>0</v>
      </c>
      <c r="P141" s="1313">
        <f>IF(AND(C141&gt;$F$62,'Instrumentos Financeiros'!C141&lt;'Instrumentos Financeiros'!$F$62+'Instrumentos Financeiros'!$F$11+1),PMT(((1+'Instrumentos Financeiros'!$H$43)^(1/12)-1),$F$11,-$I$62),0)</f>
        <v>0</v>
      </c>
      <c r="Q141" s="1313">
        <f t="shared" si="64"/>
        <v>0</v>
      </c>
      <c r="R141" s="1313">
        <f>S140*((1+'Instrumentos Financeiros'!$H$43)^(1/12)-1)</f>
        <v>0</v>
      </c>
      <c r="S141" s="1313">
        <f t="shared" si="34"/>
        <v>0</v>
      </c>
      <c r="T141" s="1313">
        <f>IF(AND(C141&gt;$F$63,'Instrumentos Financeiros'!C141&lt;'Instrumentos Financeiros'!$F$63+'Instrumentos Financeiros'!$F$11+1),PMT(((1+'Instrumentos Financeiros'!$H$43)^(1/12)-1),$F$11,-$I$63),0)</f>
        <v>0</v>
      </c>
      <c r="U141" s="1313">
        <f t="shared" si="65"/>
        <v>0</v>
      </c>
      <c r="V141" s="1313">
        <f>W140*((1+'Instrumentos Financeiros'!$H$43)^(1/12)-1)</f>
        <v>0</v>
      </c>
      <c r="W141" s="1313">
        <f t="shared" si="35"/>
        <v>0</v>
      </c>
      <c r="X141" s="1313">
        <f>IF(AND(C141&gt;$F$64,'Instrumentos Financeiros'!C141&lt;'Instrumentos Financeiros'!$F$64+'Instrumentos Financeiros'!$F$11+1),PMT(((1+'Instrumentos Financeiros'!$H$43)^(1/12)-1),$F$11,-$I$64),0)</f>
        <v>0</v>
      </c>
      <c r="Y141" s="1313">
        <f t="shared" si="66"/>
        <v>0</v>
      </c>
      <c r="Z141" s="1313">
        <f>AA140*((1+'Instrumentos Financeiros'!$H$43)^(1/12)-1)</f>
        <v>0</v>
      </c>
      <c r="AA141" s="1313">
        <f t="shared" si="36"/>
        <v>0</v>
      </c>
      <c r="AB141" s="1313">
        <f>IF(AND(C141&gt;$F$65,'Instrumentos Financeiros'!C141&lt;'Instrumentos Financeiros'!$F$65+'Instrumentos Financeiros'!$F$11+1),PMT(((1+'Instrumentos Financeiros'!$H$43)^(1/12)-1),$F$11,-$I$65),0)</f>
        <v>0</v>
      </c>
      <c r="AC141" s="1313">
        <f t="shared" si="67"/>
        <v>0</v>
      </c>
      <c r="AD141" s="1313">
        <f>AE140*((1+'Instrumentos Financeiros'!$H$43)^(1/12)-1)</f>
        <v>0</v>
      </c>
      <c r="AE141" s="1313">
        <f t="shared" si="37"/>
        <v>0</v>
      </c>
      <c r="AF141" s="1313">
        <f>IF(AND(C141&gt;$F$66,'Instrumentos Financeiros'!C141&lt;'Instrumentos Financeiros'!$F$66+'Instrumentos Financeiros'!$F$11+1),PMT(((1+'Instrumentos Financeiros'!$I$43)^(1/12)-1),$F$11,-$I$66),0)</f>
        <v>0</v>
      </c>
      <c r="AG141" s="1313">
        <f t="shared" si="68"/>
        <v>0</v>
      </c>
      <c r="AH141" s="1313">
        <f>AI140*((1+'Instrumentos Financeiros'!$I$43)^(1/12)-1)</f>
        <v>0</v>
      </c>
      <c r="AI141" s="1313">
        <f t="shared" si="38"/>
        <v>0</v>
      </c>
      <c r="AJ141" s="1313">
        <f>IF(AND(C141&gt;$F$67,'Instrumentos Financeiros'!C141&lt;'Instrumentos Financeiros'!$F$67+'Instrumentos Financeiros'!$F$11+1),PMT(((1+'Instrumentos Financeiros'!$I$43)^(1/12)-1),$F$11,-$I$67),0)</f>
        <v>0</v>
      </c>
      <c r="AK141" s="1313">
        <f t="shared" si="69"/>
        <v>0</v>
      </c>
      <c r="AL141" s="1313">
        <f>AM140*((1+'Instrumentos Financeiros'!$I$43)^(1/12)-1)</f>
        <v>0</v>
      </c>
      <c r="AM141" s="1313">
        <f t="shared" si="39"/>
        <v>0</v>
      </c>
      <c r="AN141" s="1313">
        <f>IF(AND(C141&gt;$F$68,'Instrumentos Financeiros'!C141&lt;'Instrumentos Financeiros'!$F$68+'Instrumentos Financeiros'!$F$11+1),PMT(((1+'Instrumentos Financeiros'!$I$43)^(1/12)-1),$F$11,-$I$68),0)</f>
        <v>0</v>
      </c>
      <c r="AO141" s="1313">
        <f t="shared" si="70"/>
        <v>0</v>
      </c>
      <c r="AP141" s="1313">
        <f>AQ140*((1+'Instrumentos Financeiros'!$I$43)^(1/12)-1)</f>
        <v>0</v>
      </c>
      <c r="AQ141" s="1313">
        <f t="shared" si="40"/>
        <v>0</v>
      </c>
      <c r="AR141" s="1313">
        <f>IF(AND(C141&gt;$F$69,'Instrumentos Financeiros'!C141&lt;'Instrumentos Financeiros'!$F$69+'Instrumentos Financeiros'!$F$11+1),PMT(((1+'Instrumentos Financeiros'!$I$43)^(1/12)-1),$F$11,-$I$69),0)</f>
        <v>0</v>
      </c>
      <c r="AS141" s="1313">
        <f t="shared" si="71"/>
        <v>0</v>
      </c>
      <c r="AT141" s="1313">
        <f>AU140*((1+'Instrumentos Financeiros'!$I$43)^(1/12)-1)</f>
        <v>0</v>
      </c>
      <c r="AU141" s="1313">
        <f t="shared" si="41"/>
        <v>0</v>
      </c>
      <c r="AV141" s="1313">
        <f>IF(AND(C141&gt;$F$70,'Instrumentos Financeiros'!C141&lt;'Instrumentos Financeiros'!$F$70+'Instrumentos Financeiros'!$F$11+1),PMT(((1+'Instrumentos Financeiros'!$J$43)^(1/12)-1),$F$11,-$I$70),0)</f>
        <v>0</v>
      </c>
      <c r="AW141" s="1313">
        <f t="shared" si="72"/>
        <v>0</v>
      </c>
      <c r="AX141" s="1313">
        <f>AY140*((1+'Instrumentos Financeiros'!$J$43)^(1/12)-1)</f>
        <v>0</v>
      </c>
      <c r="AY141" s="1313">
        <f t="shared" si="42"/>
        <v>0</v>
      </c>
      <c r="AZ141" s="1313">
        <f>IF(AND(C141&gt;$F$71,'Instrumentos Financeiros'!C141&lt;'Instrumentos Financeiros'!$F$71+'Instrumentos Financeiros'!$F$11+1),PMT(((1+'Instrumentos Financeiros'!$J$43)^(1/12)-1),$F$11,-$I$71),0)</f>
        <v>0</v>
      </c>
      <c r="BA141" s="1313">
        <f t="shared" si="73"/>
        <v>0</v>
      </c>
      <c r="BB141" s="1313">
        <f>BC140*((1+'Instrumentos Financeiros'!$J$43)^(1/12)-1)</f>
        <v>0</v>
      </c>
      <c r="BC141" s="1313">
        <f t="shared" si="43"/>
        <v>0</v>
      </c>
      <c r="BD141" s="1313">
        <f>IF(AND(C141&gt;$F$72,'Instrumentos Financeiros'!C141&lt;'Instrumentos Financeiros'!$F$72+'Instrumentos Financeiros'!$F$11+1),PMT(((1+'Instrumentos Financeiros'!$J$43)^(1/12)-1),$F$11,-'Instrumentos Financeiros'!$G$7*$G$72),0)</f>
        <v>0</v>
      </c>
      <c r="BE141" s="1313">
        <f t="shared" si="74"/>
        <v>0</v>
      </c>
      <c r="BF141" s="1313">
        <f>BG140*((1+'Instrumentos Financeiros'!$J$43)^(1/12)-1)</f>
        <v>0</v>
      </c>
      <c r="BG141" s="1313">
        <f t="shared" si="44"/>
        <v>0</v>
      </c>
      <c r="BH141" s="1313">
        <f>IF(AND(C141&gt;$F$73,'Instrumentos Financeiros'!C141&lt;'Instrumentos Financeiros'!$F$73+'Instrumentos Financeiros'!$F$11+1),PMT(((1+'Instrumentos Financeiros'!$J$43)^(1/12)-1),$F$11,-$I$73),0)</f>
        <v>0</v>
      </c>
      <c r="BI141" s="1313">
        <f t="shared" si="75"/>
        <v>0</v>
      </c>
      <c r="BJ141" s="1313">
        <f>BK140*((1+'Instrumentos Financeiros'!$J$43)^(1/12)-1)</f>
        <v>0</v>
      </c>
      <c r="BK141" s="1313">
        <f t="shared" si="45"/>
        <v>0</v>
      </c>
      <c r="BL141" s="1313">
        <f>IF(AND(C141&gt;$F$77,'Instrumentos Financeiros'!C141&lt;'Instrumentos Financeiros'!$F$77+'Instrumentos Financeiros'!$F$12+1),PMT(((1+'Instrumentos Financeiros'!$K$43)^(1/12)-1),$F$12,-$I$77),0)</f>
        <v>0</v>
      </c>
      <c r="BM141" s="1313">
        <f t="shared" si="46"/>
        <v>0</v>
      </c>
      <c r="BN141" s="1313">
        <f>BO140*((1+'Instrumentos Financeiros'!$K$43)^(1/12)-1)</f>
        <v>0</v>
      </c>
      <c r="BO141" s="1313">
        <f t="shared" si="47"/>
        <v>0</v>
      </c>
      <c r="BP141" s="1313">
        <f>IF(AND(C141&gt;$F$78,'Instrumentos Financeiros'!C141&lt;'Instrumentos Financeiros'!$F$78+'Instrumentos Financeiros'!$F$12+1),PMT(((1+'Instrumentos Financeiros'!$L$43)^(1/12)-1),$F$12,-$I$78),0)</f>
        <v>0</v>
      </c>
      <c r="BQ141" s="1313">
        <f t="shared" si="48"/>
        <v>0</v>
      </c>
      <c r="BR141" s="1313">
        <f>BS140*((1+'Instrumentos Financeiros'!$L$43)^(1/12)-1)</f>
        <v>0</v>
      </c>
      <c r="BS141" s="1313">
        <f t="shared" si="49"/>
        <v>0</v>
      </c>
      <c r="BT141" s="1313">
        <f>IF(AND(C141&gt;$F$79,'Instrumentos Financeiros'!C141&lt;'Instrumentos Financeiros'!$F$79+'Instrumentos Financeiros'!$F$12+1),PMT(((1+'Instrumentos Financeiros'!$L$43)^(1/12)-1),$F$12,-$I$79),0)</f>
        <v>0</v>
      </c>
      <c r="BU141" s="1313">
        <f t="shared" si="50"/>
        <v>0</v>
      </c>
      <c r="BV141" s="1313">
        <f>BW140*((1+'Instrumentos Financeiros'!$L$43)^(1/12)-1)</f>
        <v>0</v>
      </c>
      <c r="BW141" s="1313">
        <f t="shared" si="51"/>
        <v>0</v>
      </c>
      <c r="BX141" s="1313">
        <f>IF(AND(C141&gt;$F$80,'Instrumentos Financeiros'!C141&lt;'Instrumentos Financeiros'!$F$80+'Instrumentos Financeiros'!$F$12+1),PMT(((1+'Instrumentos Financeiros'!$L$43)^(1/12)-1),$F$12,-$I$80),0)</f>
        <v>0</v>
      </c>
      <c r="BY141" s="1313">
        <f t="shared" si="52"/>
        <v>0</v>
      </c>
      <c r="BZ141" s="1313">
        <f>CA140*((1+'Instrumentos Financeiros'!$L$43)^(1/12)-1)</f>
        <v>0</v>
      </c>
      <c r="CA141" s="1313">
        <f t="shared" si="53"/>
        <v>0</v>
      </c>
      <c r="CB141" s="1313">
        <f>IF(AND(C141&gt;$F$83,'Instrumentos Financeiros'!C141&lt;'Instrumentos Financeiros'!$F$83+'Instrumentos Financeiros'!$F$13+1),PMT(((1+'Instrumentos Financeiros'!$P$43)^(1/12)-1),$F$13,-$I$83),0)</f>
        <v>0</v>
      </c>
      <c r="CC141" s="1313">
        <f t="shared" si="54"/>
        <v>0</v>
      </c>
      <c r="CD141" s="1313">
        <f>CE140*((1+'Instrumentos Financeiros'!$P$43)^(1/12)-1)</f>
        <v>0</v>
      </c>
      <c r="CE141" s="1313">
        <f t="shared" si="55"/>
        <v>0</v>
      </c>
      <c r="CF141" s="1313">
        <f>IF(AND(C141&gt;$F$84,'Instrumentos Financeiros'!C141&lt;'Instrumentos Financeiros'!$F$84+'Instrumentos Financeiros'!$F$13+1),PMT(((1+'Instrumentos Financeiros'!$Q$43)^(1/12)-1),$F$13,-$I$84),0)</f>
        <v>0</v>
      </c>
      <c r="CG141" s="1313">
        <f t="shared" si="56"/>
        <v>0</v>
      </c>
      <c r="CH141" s="1313">
        <f>CI140*((1+'Instrumentos Financeiros'!$Q$43)^(1/12)-1)</f>
        <v>0</v>
      </c>
      <c r="CI141" s="1313">
        <f t="shared" si="57"/>
        <v>0</v>
      </c>
      <c r="CJ141" s="1313">
        <f>IF(AND(C141&gt;$F$85,'Instrumentos Financeiros'!C141&lt;'Instrumentos Financeiros'!$F$85+'Instrumentos Financeiros'!$F$13+1),PMT(((1+'Instrumentos Financeiros'!$Q$43)^(1/12)-1),$F$13,-$I$85),0)</f>
        <v>0</v>
      </c>
      <c r="CK141" s="1313">
        <f t="shared" si="58"/>
        <v>0</v>
      </c>
      <c r="CL141" s="1313">
        <f>CM140*((1+'Instrumentos Financeiros'!$Q$43)^(1/12)-1)</f>
        <v>0</v>
      </c>
      <c r="CM141" s="1313">
        <f t="shared" si="59"/>
        <v>0</v>
      </c>
      <c r="CN141" s="1313">
        <f>IF(AND(C141&gt;$F$86,'Instrumentos Financeiros'!C141&lt;'Instrumentos Financeiros'!$F$86+'Instrumentos Financeiros'!$F$13+1),PMT(((1+'Instrumentos Financeiros'!$Q$43)^(1/12)-1),$F$13,-$I$86),0)</f>
        <v>0</v>
      </c>
      <c r="CO141" s="1313">
        <f t="shared" si="60"/>
        <v>0</v>
      </c>
      <c r="CP141" s="1313">
        <f>CQ140*((1+'Instrumentos Financeiros'!$Q$43)^(1/12)-1)</f>
        <v>0</v>
      </c>
      <c r="CQ141" s="1313">
        <f t="shared" si="61"/>
        <v>0</v>
      </c>
      <c r="CR141" s="1313">
        <f t="shared" si="29"/>
        <v>0</v>
      </c>
      <c r="CS141" s="1313">
        <f t="shared" si="29"/>
        <v>0</v>
      </c>
      <c r="CT141" s="1313">
        <f t="shared" si="29"/>
        <v>0</v>
      </c>
      <c r="CU141" s="1313">
        <f t="shared" si="29"/>
        <v>0</v>
      </c>
    </row>
    <row r="142" spans="3:99" x14ac:dyDescent="0.35">
      <c r="C142" s="1315">
        <f t="shared" si="30"/>
        <v>49</v>
      </c>
      <c r="D142" s="1312">
        <f>IF(AND(C142&gt;$F$59,'Instrumentos Financeiros'!C142&lt;'Instrumentos Financeiros'!$F$59+'Instrumentos Financeiros'!$F$11+1),PMT(((1+'Instrumentos Financeiros'!$G$43)^(1/12)-1),$F$11,-$I$59),0)</f>
        <v>0</v>
      </c>
      <c r="E142" s="1312">
        <f t="shared" si="14"/>
        <v>0</v>
      </c>
      <c r="F142" s="1312">
        <f>G141*((1+'Instrumentos Financeiros'!$G$43)^(1/12)-1)</f>
        <v>0</v>
      </c>
      <c r="G142" s="1312">
        <f t="shared" si="31"/>
        <v>0</v>
      </c>
      <c r="H142" s="1312">
        <f>IF(AND(C142&gt;$F$60,'Instrumentos Financeiros'!C142&lt;'Instrumentos Financeiros'!$F$60+'Instrumentos Financeiros'!$F$11+1),PMT(((1+'Instrumentos Financeiros'!$G$43)^(1/12)-1),$F$11,-$I$60),0)</f>
        <v>0</v>
      </c>
      <c r="I142" s="1312">
        <f t="shared" si="62"/>
        <v>0</v>
      </c>
      <c r="J142" s="1312">
        <f>K141*((1+'Instrumentos Financeiros'!$G$43)^(1/12)-1)</f>
        <v>0</v>
      </c>
      <c r="K142" s="1312">
        <f t="shared" si="32"/>
        <v>0</v>
      </c>
      <c r="L142" s="1312">
        <f>IF(AND(C142&gt;$F$61,'Instrumentos Financeiros'!C142&lt;'Instrumentos Financeiros'!$F$61+'Instrumentos Financeiros'!$F$11+1),PMT(((1+'Instrumentos Financeiros'!$G$43)^(1/12)-1),$F$11,-$I$61),0)</f>
        <v>0</v>
      </c>
      <c r="M142" s="1312">
        <f t="shared" si="63"/>
        <v>0</v>
      </c>
      <c r="N142" s="1312">
        <f>O141*((1+'Instrumentos Financeiros'!$G$43)^(1/12)-1)</f>
        <v>0</v>
      </c>
      <c r="O142" s="1312">
        <f t="shared" si="33"/>
        <v>0</v>
      </c>
      <c r="P142" s="1312">
        <f>IF(AND(C142&gt;$F$62,'Instrumentos Financeiros'!C142&lt;'Instrumentos Financeiros'!$F$62+'Instrumentos Financeiros'!$F$11+1),PMT(((1+'Instrumentos Financeiros'!$H$43)^(1/12)-1),$F$11,-$I$62),0)</f>
        <v>0</v>
      </c>
      <c r="Q142" s="1312">
        <f t="shared" si="64"/>
        <v>0</v>
      </c>
      <c r="R142" s="1312">
        <f>S141*((1+'Instrumentos Financeiros'!$H$43)^(1/12)-1)</f>
        <v>0</v>
      </c>
      <c r="S142" s="1312">
        <f t="shared" si="34"/>
        <v>0</v>
      </c>
      <c r="T142" s="1312">
        <f>IF(AND(C142&gt;$F$63,'Instrumentos Financeiros'!C142&lt;'Instrumentos Financeiros'!$F$63+'Instrumentos Financeiros'!$F$11+1),PMT(((1+'Instrumentos Financeiros'!$H$43)^(1/12)-1),$F$11,-$I$63),0)</f>
        <v>0</v>
      </c>
      <c r="U142" s="1312">
        <f t="shared" si="65"/>
        <v>0</v>
      </c>
      <c r="V142" s="1312">
        <f>W141*((1+'Instrumentos Financeiros'!$H$43)^(1/12)-1)</f>
        <v>0</v>
      </c>
      <c r="W142" s="1312">
        <f t="shared" si="35"/>
        <v>0</v>
      </c>
      <c r="X142" s="1312">
        <f>IF(AND(C142&gt;$F$64,'Instrumentos Financeiros'!C142&lt;'Instrumentos Financeiros'!$F$64+'Instrumentos Financeiros'!$F$11+1),PMT(((1+'Instrumentos Financeiros'!$H$43)^(1/12)-1),$F$11,-$I$64),0)</f>
        <v>0</v>
      </c>
      <c r="Y142" s="1312">
        <f t="shared" si="66"/>
        <v>0</v>
      </c>
      <c r="Z142" s="1312">
        <f>AA141*((1+'Instrumentos Financeiros'!$H$43)^(1/12)-1)</f>
        <v>0</v>
      </c>
      <c r="AA142" s="1312">
        <f t="shared" si="36"/>
        <v>0</v>
      </c>
      <c r="AB142" s="1312">
        <f>IF(AND(C142&gt;$F$65,'Instrumentos Financeiros'!C142&lt;'Instrumentos Financeiros'!$F$65+'Instrumentos Financeiros'!$F$11+1),PMT(((1+'Instrumentos Financeiros'!$H$43)^(1/12)-1),$F$11,-$I$65),0)</f>
        <v>0</v>
      </c>
      <c r="AC142" s="1312">
        <f t="shared" si="67"/>
        <v>0</v>
      </c>
      <c r="AD142" s="1312">
        <f>AE141*((1+'Instrumentos Financeiros'!$H$43)^(1/12)-1)</f>
        <v>0</v>
      </c>
      <c r="AE142" s="1312">
        <f t="shared" si="37"/>
        <v>0</v>
      </c>
      <c r="AF142" s="1312">
        <f>IF(AND(C142&gt;$F$66,'Instrumentos Financeiros'!C142&lt;'Instrumentos Financeiros'!$F$66+'Instrumentos Financeiros'!$F$11+1),PMT(((1+'Instrumentos Financeiros'!$I$43)^(1/12)-1),$F$11,-$I$66),0)</f>
        <v>0</v>
      </c>
      <c r="AG142" s="1312">
        <f t="shared" si="68"/>
        <v>0</v>
      </c>
      <c r="AH142" s="1312">
        <f>AI141*((1+'Instrumentos Financeiros'!$I$43)^(1/12)-1)</f>
        <v>0</v>
      </c>
      <c r="AI142" s="1312">
        <f t="shared" si="38"/>
        <v>0</v>
      </c>
      <c r="AJ142" s="1312">
        <f>IF(AND(C142&gt;$F$67,'Instrumentos Financeiros'!C142&lt;'Instrumentos Financeiros'!$F$67+'Instrumentos Financeiros'!$F$11+1),PMT(((1+'Instrumentos Financeiros'!$I$43)^(1/12)-1),$F$11,-$I$67),0)</f>
        <v>0</v>
      </c>
      <c r="AK142" s="1312">
        <f t="shared" si="69"/>
        <v>0</v>
      </c>
      <c r="AL142" s="1312">
        <f>AM141*((1+'Instrumentos Financeiros'!$I$43)^(1/12)-1)</f>
        <v>0</v>
      </c>
      <c r="AM142" s="1312">
        <f t="shared" si="39"/>
        <v>0</v>
      </c>
      <c r="AN142" s="1312">
        <f>IF(AND(C142&gt;$F$68,'Instrumentos Financeiros'!C142&lt;'Instrumentos Financeiros'!$F$68+'Instrumentos Financeiros'!$F$11+1),PMT(((1+'Instrumentos Financeiros'!$I$43)^(1/12)-1),$F$11,-$I$68),0)</f>
        <v>0</v>
      </c>
      <c r="AO142" s="1312">
        <f t="shared" si="70"/>
        <v>0</v>
      </c>
      <c r="AP142" s="1312">
        <f>AQ141*((1+'Instrumentos Financeiros'!$I$43)^(1/12)-1)</f>
        <v>0</v>
      </c>
      <c r="AQ142" s="1312">
        <f t="shared" si="40"/>
        <v>0</v>
      </c>
      <c r="AR142" s="1312">
        <f>IF(AND(C142&gt;$F$69,'Instrumentos Financeiros'!C142&lt;'Instrumentos Financeiros'!$F$69+'Instrumentos Financeiros'!$F$11+1),PMT(((1+'Instrumentos Financeiros'!$I$43)^(1/12)-1),$F$11,-$I$69),0)</f>
        <v>0</v>
      </c>
      <c r="AS142" s="1312">
        <f t="shared" si="71"/>
        <v>0</v>
      </c>
      <c r="AT142" s="1312">
        <f>AU141*((1+'Instrumentos Financeiros'!$I$43)^(1/12)-1)</f>
        <v>0</v>
      </c>
      <c r="AU142" s="1312">
        <f t="shared" si="41"/>
        <v>0</v>
      </c>
      <c r="AV142" s="1312">
        <f>IF(AND(C142&gt;$F$70,'Instrumentos Financeiros'!C142&lt;'Instrumentos Financeiros'!$F$70+'Instrumentos Financeiros'!$F$11+1),PMT(((1+'Instrumentos Financeiros'!$J$43)^(1/12)-1),$F$11,-$I$70),0)</f>
        <v>0</v>
      </c>
      <c r="AW142" s="1312">
        <f t="shared" si="72"/>
        <v>0</v>
      </c>
      <c r="AX142" s="1312">
        <f>AY141*((1+'Instrumentos Financeiros'!$J$43)^(1/12)-1)</f>
        <v>0</v>
      </c>
      <c r="AY142" s="1312">
        <f t="shared" si="42"/>
        <v>0</v>
      </c>
      <c r="AZ142" s="1312">
        <f>IF(AND(C142&gt;$F$71,'Instrumentos Financeiros'!C142&lt;'Instrumentos Financeiros'!$F$71+'Instrumentos Financeiros'!$F$11+1),PMT(((1+'Instrumentos Financeiros'!$J$43)^(1/12)-1),$F$11,-$I$71),0)</f>
        <v>0</v>
      </c>
      <c r="BA142" s="1312">
        <f t="shared" si="73"/>
        <v>0</v>
      </c>
      <c r="BB142" s="1312">
        <f>BC141*((1+'Instrumentos Financeiros'!$J$43)^(1/12)-1)</f>
        <v>0</v>
      </c>
      <c r="BC142" s="1312">
        <f t="shared" si="43"/>
        <v>0</v>
      </c>
      <c r="BD142" s="1312">
        <f>IF(AND(C142&gt;$F$72,'Instrumentos Financeiros'!C142&lt;'Instrumentos Financeiros'!$F$72+'Instrumentos Financeiros'!$F$11+1),PMT(((1+'Instrumentos Financeiros'!$J$43)^(1/12)-1),$F$11,-'Instrumentos Financeiros'!$G$7*$G$72),0)</f>
        <v>0</v>
      </c>
      <c r="BE142" s="1312">
        <f t="shared" si="74"/>
        <v>0</v>
      </c>
      <c r="BF142" s="1312">
        <f>BG141*((1+'Instrumentos Financeiros'!$J$43)^(1/12)-1)</f>
        <v>0</v>
      </c>
      <c r="BG142" s="1312">
        <f t="shared" si="44"/>
        <v>0</v>
      </c>
      <c r="BH142" s="1312">
        <f>IF(AND(C142&gt;$F$73,'Instrumentos Financeiros'!C142&lt;'Instrumentos Financeiros'!$F$73+'Instrumentos Financeiros'!$F$11+1),PMT(((1+'Instrumentos Financeiros'!$J$43)^(1/12)-1),$F$11,-$I$73),0)</f>
        <v>0</v>
      </c>
      <c r="BI142" s="1312">
        <f t="shared" si="75"/>
        <v>0</v>
      </c>
      <c r="BJ142" s="1312">
        <f>BK141*((1+'Instrumentos Financeiros'!$J$43)^(1/12)-1)</f>
        <v>0</v>
      </c>
      <c r="BK142" s="1312">
        <f t="shared" si="45"/>
        <v>0</v>
      </c>
      <c r="BL142" s="1312">
        <f>IF(AND(C142&gt;$F$77,'Instrumentos Financeiros'!C142&lt;'Instrumentos Financeiros'!$F$77+'Instrumentos Financeiros'!$F$12+1),PMT(((1+'Instrumentos Financeiros'!$K$43)^(1/12)-1),$F$12,-$I$77),0)</f>
        <v>0</v>
      </c>
      <c r="BM142" s="1312">
        <f t="shared" si="46"/>
        <v>0</v>
      </c>
      <c r="BN142" s="1312">
        <f>BO141*((1+'Instrumentos Financeiros'!$K$43)^(1/12)-1)</f>
        <v>0</v>
      </c>
      <c r="BO142" s="1312">
        <f t="shared" si="47"/>
        <v>0</v>
      </c>
      <c r="BP142" s="1312">
        <f>IF(AND(C142&gt;$F$78,'Instrumentos Financeiros'!C142&lt;'Instrumentos Financeiros'!$F$78+'Instrumentos Financeiros'!$F$12+1),PMT(((1+'Instrumentos Financeiros'!$L$43)^(1/12)-1),$F$12,-$I$78),0)</f>
        <v>0</v>
      </c>
      <c r="BQ142" s="1312">
        <f t="shared" si="48"/>
        <v>0</v>
      </c>
      <c r="BR142" s="1312">
        <f>BS141*((1+'Instrumentos Financeiros'!$L$43)^(1/12)-1)</f>
        <v>0</v>
      </c>
      <c r="BS142" s="1312">
        <f t="shared" si="49"/>
        <v>0</v>
      </c>
      <c r="BT142" s="1312">
        <f>IF(AND(C142&gt;$F$79,'Instrumentos Financeiros'!C142&lt;'Instrumentos Financeiros'!$F$79+'Instrumentos Financeiros'!$F$12+1),PMT(((1+'Instrumentos Financeiros'!$L$43)^(1/12)-1),$F$12,-$I$79),0)</f>
        <v>0</v>
      </c>
      <c r="BU142" s="1312">
        <f t="shared" si="50"/>
        <v>0</v>
      </c>
      <c r="BV142" s="1312">
        <f>BW141*((1+'Instrumentos Financeiros'!$L$43)^(1/12)-1)</f>
        <v>0</v>
      </c>
      <c r="BW142" s="1312">
        <f t="shared" si="51"/>
        <v>0</v>
      </c>
      <c r="BX142" s="1312">
        <f>IF(AND(C142&gt;$F$80,'Instrumentos Financeiros'!C142&lt;'Instrumentos Financeiros'!$F$80+'Instrumentos Financeiros'!$F$12+1),PMT(((1+'Instrumentos Financeiros'!$L$43)^(1/12)-1),$F$12,-$I$80),0)</f>
        <v>0</v>
      </c>
      <c r="BY142" s="1312">
        <f t="shared" si="52"/>
        <v>0</v>
      </c>
      <c r="BZ142" s="1312">
        <f>CA141*((1+'Instrumentos Financeiros'!$L$43)^(1/12)-1)</f>
        <v>0</v>
      </c>
      <c r="CA142" s="1312">
        <f t="shared" si="53"/>
        <v>0</v>
      </c>
      <c r="CB142" s="1312">
        <f>IF(AND(C142&gt;$F$83,'Instrumentos Financeiros'!C142&lt;'Instrumentos Financeiros'!$F$83+'Instrumentos Financeiros'!$F$13+1),PMT(((1+'Instrumentos Financeiros'!$P$43)^(1/12)-1),$F$13,-$I$83),0)</f>
        <v>0</v>
      </c>
      <c r="CC142" s="1312">
        <f t="shared" si="54"/>
        <v>0</v>
      </c>
      <c r="CD142" s="1312">
        <f>CE141*((1+'Instrumentos Financeiros'!$P$43)^(1/12)-1)</f>
        <v>0</v>
      </c>
      <c r="CE142" s="1312">
        <f t="shared" si="55"/>
        <v>0</v>
      </c>
      <c r="CF142" s="1312">
        <f>IF(AND(C142&gt;$F$84,'Instrumentos Financeiros'!C142&lt;'Instrumentos Financeiros'!$F$84+'Instrumentos Financeiros'!$F$13+1),PMT(((1+'Instrumentos Financeiros'!$Q$43)^(1/12)-1),$F$13,-$I$84),0)</f>
        <v>0</v>
      </c>
      <c r="CG142" s="1312">
        <f t="shared" si="56"/>
        <v>0</v>
      </c>
      <c r="CH142" s="1312">
        <f>CI141*((1+'Instrumentos Financeiros'!$Q$43)^(1/12)-1)</f>
        <v>0</v>
      </c>
      <c r="CI142" s="1312">
        <f t="shared" si="57"/>
        <v>0</v>
      </c>
      <c r="CJ142" s="1312">
        <f>IF(AND(C142&gt;$F$85,'Instrumentos Financeiros'!C142&lt;'Instrumentos Financeiros'!$F$85+'Instrumentos Financeiros'!$F$13+1),PMT(((1+'Instrumentos Financeiros'!$Q$43)^(1/12)-1),$F$13,-$I$85),0)</f>
        <v>0</v>
      </c>
      <c r="CK142" s="1312">
        <f t="shared" si="58"/>
        <v>0</v>
      </c>
      <c r="CL142" s="1312">
        <f>CM141*((1+'Instrumentos Financeiros'!$Q$43)^(1/12)-1)</f>
        <v>0</v>
      </c>
      <c r="CM142" s="1312">
        <f t="shared" si="59"/>
        <v>0</v>
      </c>
      <c r="CN142" s="1312">
        <f>IF(AND(C142&gt;$F$86,'Instrumentos Financeiros'!C142&lt;'Instrumentos Financeiros'!$F$86+'Instrumentos Financeiros'!$F$13+1),PMT(((1+'Instrumentos Financeiros'!$Q$43)^(1/12)-1),$F$13,-$I$86),0)</f>
        <v>0</v>
      </c>
      <c r="CO142" s="1312">
        <f t="shared" si="60"/>
        <v>0</v>
      </c>
      <c r="CP142" s="1312">
        <f>CQ141*((1+'Instrumentos Financeiros'!$Q$43)^(1/12)-1)</f>
        <v>0</v>
      </c>
      <c r="CQ142" s="1312">
        <f t="shared" si="61"/>
        <v>0</v>
      </c>
      <c r="CR142" s="1312">
        <f t="shared" si="29"/>
        <v>0</v>
      </c>
      <c r="CS142" s="1312">
        <f t="shared" si="29"/>
        <v>0</v>
      </c>
      <c r="CT142" s="1312">
        <f t="shared" si="29"/>
        <v>0</v>
      </c>
      <c r="CU142" s="1312">
        <f t="shared" si="29"/>
        <v>0</v>
      </c>
    </row>
    <row r="143" spans="3:99" x14ac:dyDescent="0.35">
      <c r="C143" s="1315">
        <f t="shared" si="30"/>
        <v>50</v>
      </c>
      <c r="D143" s="1312">
        <f>IF(AND(C143&gt;$F$59,'Instrumentos Financeiros'!C143&lt;'Instrumentos Financeiros'!$F$59+'Instrumentos Financeiros'!$F$11+1),PMT(((1+'Instrumentos Financeiros'!$G$43)^(1/12)-1),$F$11,-$I$59),0)</f>
        <v>0</v>
      </c>
      <c r="E143" s="1312">
        <f t="shared" si="14"/>
        <v>0</v>
      </c>
      <c r="F143" s="1312">
        <f>G142*((1+'Instrumentos Financeiros'!$G$43)^(1/12)-1)</f>
        <v>0</v>
      </c>
      <c r="G143" s="1312">
        <f t="shared" si="31"/>
        <v>0</v>
      </c>
      <c r="H143" s="1312">
        <f>IF(AND(C143&gt;$F$60,'Instrumentos Financeiros'!C143&lt;'Instrumentos Financeiros'!$F$60+'Instrumentos Financeiros'!$F$11+1),PMT(((1+'Instrumentos Financeiros'!$G$43)^(1/12)-1),$F$11,-$I$60),0)</f>
        <v>0</v>
      </c>
      <c r="I143" s="1312">
        <f t="shared" si="62"/>
        <v>0</v>
      </c>
      <c r="J143" s="1312">
        <f>K142*((1+'Instrumentos Financeiros'!$G$43)^(1/12)-1)</f>
        <v>0</v>
      </c>
      <c r="K143" s="1312">
        <f t="shared" si="32"/>
        <v>0</v>
      </c>
      <c r="L143" s="1312">
        <f>IF(AND(C143&gt;$F$61,'Instrumentos Financeiros'!C143&lt;'Instrumentos Financeiros'!$F$61+'Instrumentos Financeiros'!$F$11+1),PMT(((1+'Instrumentos Financeiros'!$G$43)^(1/12)-1),$F$11,-$I$61),0)</f>
        <v>0</v>
      </c>
      <c r="M143" s="1312">
        <f t="shared" si="63"/>
        <v>0</v>
      </c>
      <c r="N143" s="1312">
        <f>O142*((1+'Instrumentos Financeiros'!$G$43)^(1/12)-1)</f>
        <v>0</v>
      </c>
      <c r="O143" s="1312">
        <f t="shared" si="33"/>
        <v>0</v>
      </c>
      <c r="P143" s="1312">
        <f>IF(AND(C143&gt;$F$62,'Instrumentos Financeiros'!C143&lt;'Instrumentos Financeiros'!$F$62+'Instrumentos Financeiros'!$F$11+1),PMT(((1+'Instrumentos Financeiros'!$H$43)^(1/12)-1),$F$11,-$I$62),0)</f>
        <v>0</v>
      </c>
      <c r="Q143" s="1312">
        <f t="shared" si="64"/>
        <v>0</v>
      </c>
      <c r="R143" s="1312">
        <f>S142*((1+'Instrumentos Financeiros'!$H$43)^(1/12)-1)</f>
        <v>0</v>
      </c>
      <c r="S143" s="1312">
        <f t="shared" si="34"/>
        <v>0</v>
      </c>
      <c r="T143" s="1312">
        <f>IF(AND(C143&gt;$F$63,'Instrumentos Financeiros'!C143&lt;'Instrumentos Financeiros'!$F$63+'Instrumentos Financeiros'!$F$11+1),PMT(((1+'Instrumentos Financeiros'!$H$43)^(1/12)-1),$F$11,-$I$63),0)</f>
        <v>0</v>
      </c>
      <c r="U143" s="1312">
        <f t="shared" si="65"/>
        <v>0</v>
      </c>
      <c r="V143" s="1312">
        <f>W142*((1+'Instrumentos Financeiros'!$H$43)^(1/12)-1)</f>
        <v>0</v>
      </c>
      <c r="W143" s="1312">
        <f t="shared" si="35"/>
        <v>0</v>
      </c>
      <c r="X143" s="1312">
        <f>IF(AND(C143&gt;$F$64,'Instrumentos Financeiros'!C143&lt;'Instrumentos Financeiros'!$F$64+'Instrumentos Financeiros'!$F$11+1),PMT(((1+'Instrumentos Financeiros'!$H$43)^(1/12)-1),$F$11,-$I$64),0)</f>
        <v>0</v>
      </c>
      <c r="Y143" s="1312">
        <f t="shared" si="66"/>
        <v>0</v>
      </c>
      <c r="Z143" s="1312">
        <f>AA142*((1+'Instrumentos Financeiros'!$H$43)^(1/12)-1)</f>
        <v>0</v>
      </c>
      <c r="AA143" s="1312">
        <f t="shared" si="36"/>
        <v>0</v>
      </c>
      <c r="AB143" s="1312">
        <f>IF(AND(C143&gt;$F$65,'Instrumentos Financeiros'!C143&lt;'Instrumentos Financeiros'!$F$65+'Instrumentos Financeiros'!$F$11+1),PMT(((1+'Instrumentos Financeiros'!$H$43)^(1/12)-1),$F$11,-$I$65),0)</f>
        <v>0</v>
      </c>
      <c r="AC143" s="1312">
        <f t="shared" si="67"/>
        <v>0</v>
      </c>
      <c r="AD143" s="1312">
        <f>AE142*((1+'Instrumentos Financeiros'!$H$43)^(1/12)-1)</f>
        <v>0</v>
      </c>
      <c r="AE143" s="1312">
        <f t="shared" si="37"/>
        <v>0</v>
      </c>
      <c r="AF143" s="1312">
        <f>IF(AND(C143&gt;$F$66,'Instrumentos Financeiros'!C143&lt;'Instrumentos Financeiros'!$F$66+'Instrumentos Financeiros'!$F$11+1),PMT(((1+'Instrumentos Financeiros'!$I$43)^(1/12)-1),$F$11,-$I$66),0)</f>
        <v>0</v>
      </c>
      <c r="AG143" s="1312">
        <f t="shared" si="68"/>
        <v>0</v>
      </c>
      <c r="AH143" s="1312">
        <f>AI142*((1+'Instrumentos Financeiros'!$I$43)^(1/12)-1)</f>
        <v>0</v>
      </c>
      <c r="AI143" s="1312">
        <f t="shared" si="38"/>
        <v>0</v>
      </c>
      <c r="AJ143" s="1312">
        <f>IF(AND(C143&gt;$F$67,'Instrumentos Financeiros'!C143&lt;'Instrumentos Financeiros'!$F$67+'Instrumentos Financeiros'!$F$11+1),PMT(((1+'Instrumentos Financeiros'!$I$43)^(1/12)-1),$F$11,-$I$67),0)</f>
        <v>0</v>
      </c>
      <c r="AK143" s="1312">
        <f t="shared" si="69"/>
        <v>0</v>
      </c>
      <c r="AL143" s="1312">
        <f>AM142*((1+'Instrumentos Financeiros'!$I$43)^(1/12)-1)</f>
        <v>0</v>
      </c>
      <c r="AM143" s="1312">
        <f t="shared" si="39"/>
        <v>0</v>
      </c>
      <c r="AN143" s="1312">
        <f>IF(AND(C143&gt;$F$68,'Instrumentos Financeiros'!C143&lt;'Instrumentos Financeiros'!$F$68+'Instrumentos Financeiros'!$F$11+1),PMT(((1+'Instrumentos Financeiros'!$I$43)^(1/12)-1),$F$11,-$I$68),0)</f>
        <v>0</v>
      </c>
      <c r="AO143" s="1312">
        <f t="shared" si="70"/>
        <v>0</v>
      </c>
      <c r="AP143" s="1312">
        <f>AQ142*((1+'Instrumentos Financeiros'!$I$43)^(1/12)-1)</f>
        <v>0</v>
      </c>
      <c r="AQ143" s="1312">
        <f t="shared" si="40"/>
        <v>0</v>
      </c>
      <c r="AR143" s="1312">
        <f>IF(AND(C143&gt;$F$69,'Instrumentos Financeiros'!C143&lt;'Instrumentos Financeiros'!$F$69+'Instrumentos Financeiros'!$F$11+1),PMT(((1+'Instrumentos Financeiros'!$I$43)^(1/12)-1),$F$11,-$I$69),0)</f>
        <v>0</v>
      </c>
      <c r="AS143" s="1312">
        <f t="shared" si="71"/>
        <v>0</v>
      </c>
      <c r="AT143" s="1312">
        <f>AU142*((1+'Instrumentos Financeiros'!$I$43)^(1/12)-1)</f>
        <v>0</v>
      </c>
      <c r="AU143" s="1312">
        <f t="shared" si="41"/>
        <v>0</v>
      </c>
      <c r="AV143" s="1312">
        <f>IF(AND(C143&gt;$F$70,'Instrumentos Financeiros'!C143&lt;'Instrumentos Financeiros'!$F$70+'Instrumentos Financeiros'!$F$11+1),PMT(((1+'Instrumentos Financeiros'!$J$43)^(1/12)-1),$F$11,-$I$70),0)</f>
        <v>0</v>
      </c>
      <c r="AW143" s="1312">
        <f t="shared" si="72"/>
        <v>0</v>
      </c>
      <c r="AX143" s="1312">
        <f>AY142*((1+'Instrumentos Financeiros'!$J$43)^(1/12)-1)</f>
        <v>0</v>
      </c>
      <c r="AY143" s="1312">
        <f t="shared" si="42"/>
        <v>0</v>
      </c>
      <c r="AZ143" s="1312">
        <f>IF(AND(C143&gt;$F$71,'Instrumentos Financeiros'!C143&lt;'Instrumentos Financeiros'!$F$71+'Instrumentos Financeiros'!$F$11+1),PMT(((1+'Instrumentos Financeiros'!$J$43)^(1/12)-1),$F$11,-$I$71),0)</f>
        <v>0</v>
      </c>
      <c r="BA143" s="1312">
        <f t="shared" si="73"/>
        <v>0</v>
      </c>
      <c r="BB143" s="1312">
        <f>BC142*((1+'Instrumentos Financeiros'!$J$43)^(1/12)-1)</f>
        <v>0</v>
      </c>
      <c r="BC143" s="1312">
        <f t="shared" si="43"/>
        <v>0</v>
      </c>
      <c r="BD143" s="1312">
        <f>IF(AND(C143&gt;$F$72,'Instrumentos Financeiros'!C143&lt;'Instrumentos Financeiros'!$F$72+'Instrumentos Financeiros'!$F$11+1),PMT(((1+'Instrumentos Financeiros'!$J$43)^(1/12)-1),$F$11,-'Instrumentos Financeiros'!$G$7*$G$72),0)</f>
        <v>0</v>
      </c>
      <c r="BE143" s="1312">
        <f t="shared" si="74"/>
        <v>0</v>
      </c>
      <c r="BF143" s="1312">
        <f>BG142*((1+'Instrumentos Financeiros'!$J$43)^(1/12)-1)</f>
        <v>0</v>
      </c>
      <c r="BG143" s="1312">
        <f t="shared" si="44"/>
        <v>0</v>
      </c>
      <c r="BH143" s="1312">
        <f>IF(AND(C143&gt;$F$73,'Instrumentos Financeiros'!C143&lt;'Instrumentos Financeiros'!$F$73+'Instrumentos Financeiros'!$F$11+1),PMT(((1+'Instrumentos Financeiros'!$J$43)^(1/12)-1),$F$11,-$I$73),0)</f>
        <v>0</v>
      </c>
      <c r="BI143" s="1312">
        <f t="shared" si="75"/>
        <v>0</v>
      </c>
      <c r="BJ143" s="1312">
        <f>BK142*((1+'Instrumentos Financeiros'!$J$43)^(1/12)-1)</f>
        <v>0</v>
      </c>
      <c r="BK143" s="1312">
        <f t="shared" si="45"/>
        <v>0</v>
      </c>
      <c r="BL143" s="1312">
        <f>IF(AND(C143&gt;$F$77,'Instrumentos Financeiros'!C143&lt;'Instrumentos Financeiros'!$F$77+'Instrumentos Financeiros'!$F$12+1),PMT(((1+'Instrumentos Financeiros'!$K$43)^(1/12)-1),$F$12,-$I$77),0)</f>
        <v>0</v>
      </c>
      <c r="BM143" s="1312">
        <f t="shared" si="46"/>
        <v>0</v>
      </c>
      <c r="BN143" s="1312">
        <f>BO142*((1+'Instrumentos Financeiros'!$K$43)^(1/12)-1)</f>
        <v>0</v>
      </c>
      <c r="BO143" s="1312">
        <f t="shared" si="47"/>
        <v>0</v>
      </c>
      <c r="BP143" s="1312">
        <f>IF(AND(C143&gt;$F$78,'Instrumentos Financeiros'!C143&lt;'Instrumentos Financeiros'!$F$78+'Instrumentos Financeiros'!$F$12+1),PMT(((1+'Instrumentos Financeiros'!$L$43)^(1/12)-1),$F$12,-$I$78),0)</f>
        <v>0</v>
      </c>
      <c r="BQ143" s="1312">
        <f t="shared" si="48"/>
        <v>0</v>
      </c>
      <c r="BR143" s="1312">
        <f>BS142*((1+'Instrumentos Financeiros'!$L$43)^(1/12)-1)</f>
        <v>0</v>
      </c>
      <c r="BS143" s="1312">
        <f t="shared" si="49"/>
        <v>0</v>
      </c>
      <c r="BT143" s="1312">
        <f>IF(AND(C143&gt;$F$79,'Instrumentos Financeiros'!C143&lt;'Instrumentos Financeiros'!$F$79+'Instrumentos Financeiros'!$F$12+1),PMT(((1+'Instrumentos Financeiros'!$L$43)^(1/12)-1),$F$12,-$I$79),0)</f>
        <v>0</v>
      </c>
      <c r="BU143" s="1312">
        <f t="shared" si="50"/>
        <v>0</v>
      </c>
      <c r="BV143" s="1312">
        <f>BW142*((1+'Instrumentos Financeiros'!$L$43)^(1/12)-1)</f>
        <v>0</v>
      </c>
      <c r="BW143" s="1312">
        <f t="shared" si="51"/>
        <v>0</v>
      </c>
      <c r="BX143" s="1312">
        <f>IF(AND(C143&gt;$F$80,'Instrumentos Financeiros'!C143&lt;'Instrumentos Financeiros'!$F$80+'Instrumentos Financeiros'!$F$12+1),PMT(((1+'Instrumentos Financeiros'!$L$43)^(1/12)-1),$F$12,-$I$80),0)</f>
        <v>0</v>
      </c>
      <c r="BY143" s="1312">
        <f t="shared" si="52"/>
        <v>0</v>
      </c>
      <c r="BZ143" s="1312">
        <f>CA142*((1+'Instrumentos Financeiros'!$L$43)^(1/12)-1)</f>
        <v>0</v>
      </c>
      <c r="CA143" s="1312">
        <f t="shared" si="53"/>
        <v>0</v>
      </c>
      <c r="CB143" s="1312">
        <f>IF(AND(C143&gt;$F$83,'Instrumentos Financeiros'!C143&lt;'Instrumentos Financeiros'!$F$83+'Instrumentos Financeiros'!$F$13+1),PMT(((1+'Instrumentos Financeiros'!$P$43)^(1/12)-1),$F$13,-$I$83),0)</f>
        <v>0</v>
      </c>
      <c r="CC143" s="1312">
        <f t="shared" si="54"/>
        <v>0</v>
      </c>
      <c r="CD143" s="1312">
        <f>CE142*((1+'Instrumentos Financeiros'!$P$43)^(1/12)-1)</f>
        <v>0</v>
      </c>
      <c r="CE143" s="1312">
        <f t="shared" si="55"/>
        <v>0</v>
      </c>
      <c r="CF143" s="1312">
        <f>IF(AND(C143&gt;$F$84,'Instrumentos Financeiros'!C143&lt;'Instrumentos Financeiros'!$F$84+'Instrumentos Financeiros'!$F$13+1),PMT(((1+'Instrumentos Financeiros'!$Q$43)^(1/12)-1),$F$13,-$I$84),0)</f>
        <v>0</v>
      </c>
      <c r="CG143" s="1312">
        <f t="shared" si="56"/>
        <v>0</v>
      </c>
      <c r="CH143" s="1312">
        <f>CI142*((1+'Instrumentos Financeiros'!$Q$43)^(1/12)-1)</f>
        <v>0</v>
      </c>
      <c r="CI143" s="1312">
        <f t="shared" si="57"/>
        <v>0</v>
      </c>
      <c r="CJ143" s="1312">
        <f>IF(AND(C143&gt;$F$85,'Instrumentos Financeiros'!C143&lt;'Instrumentos Financeiros'!$F$85+'Instrumentos Financeiros'!$F$13+1),PMT(((1+'Instrumentos Financeiros'!$Q$43)^(1/12)-1),$F$13,-$I$85),0)</f>
        <v>0</v>
      </c>
      <c r="CK143" s="1312">
        <f t="shared" si="58"/>
        <v>0</v>
      </c>
      <c r="CL143" s="1312">
        <f>CM142*((1+'Instrumentos Financeiros'!$Q$43)^(1/12)-1)</f>
        <v>0</v>
      </c>
      <c r="CM143" s="1312">
        <f t="shared" si="59"/>
        <v>0</v>
      </c>
      <c r="CN143" s="1312">
        <f>IF(AND(C143&gt;$F$86,'Instrumentos Financeiros'!C143&lt;'Instrumentos Financeiros'!$F$86+'Instrumentos Financeiros'!$F$13+1),PMT(((1+'Instrumentos Financeiros'!$Q$43)^(1/12)-1),$F$13,-$I$86),0)</f>
        <v>0</v>
      </c>
      <c r="CO143" s="1312">
        <f t="shared" si="60"/>
        <v>0</v>
      </c>
      <c r="CP143" s="1312">
        <f>CQ142*((1+'Instrumentos Financeiros'!$Q$43)^(1/12)-1)</f>
        <v>0</v>
      </c>
      <c r="CQ143" s="1312">
        <f t="shared" si="61"/>
        <v>0</v>
      </c>
      <c r="CR143" s="1312">
        <f t="shared" si="29"/>
        <v>0</v>
      </c>
      <c r="CS143" s="1312">
        <f t="shared" si="29"/>
        <v>0</v>
      </c>
      <c r="CT143" s="1312">
        <f t="shared" si="29"/>
        <v>0</v>
      </c>
      <c r="CU143" s="1312">
        <f t="shared" si="29"/>
        <v>0</v>
      </c>
    </row>
    <row r="144" spans="3:99" x14ac:dyDescent="0.35">
      <c r="C144" s="1315">
        <f t="shared" si="30"/>
        <v>51</v>
      </c>
      <c r="D144" s="1312">
        <f>IF(AND(C144&gt;$F$59,'Instrumentos Financeiros'!C144&lt;'Instrumentos Financeiros'!$F$59+'Instrumentos Financeiros'!$F$11+1),PMT(((1+'Instrumentos Financeiros'!$G$43)^(1/12)-1),$F$11,-$I$59),0)</f>
        <v>0</v>
      </c>
      <c r="E144" s="1312">
        <f t="shared" si="14"/>
        <v>0</v>
      </c>
      <c r="F144" s="1312">
        <f>G143*((1+'Instrumentos Financeiros'!$G$43)^(1/12)-1)</f>
        <v>0</v>
      </c>
      <c r="G144" s="1312">
        <f t="shared" si="31"/>
        <v>0</v>
      </c>
      <c r="H144" s="1312">
        <f>IF(AND(C144&gt;$F$60,'Instrumentos Financeiros'!C144&lt;'Instrumentos Financeiros'!$F$60+'Instrumentos Financeiros'!$F$11+1),PMT(((1+'Instrumentos Financeiros'!$G$43)^(1/12)-1),$F$11,-$I$60),0)</f>
        <v>0</v>
      </c>
      <c r="I144" s="1312">
        <f t="shared" si="62"/>
        <v>0</v>
      </c>
      <c r="J144" s="1312">
        <f>K143*((1+'Instrumentos Financeiros'!$G$43)^(1/12)-1)</f>
        <v>0</v>
      </c>
      <c r="K144" s="1312">
        <f t="shared" si="32"/>
        <v>0</v>
      </c>
      <c r="L144" s="1312">
        <f>IF(AND(C144&gt;$F$61,'Instrumentos Financeiros'!C144&lt;'Instrumentos Financeiros'!$F$61+'Instrumentos Financeiros'!$F$11+1),PMT(((1+'Instrumentos Financeiros'!$G$43)^(1/12)-1),$F$11,-$I$61),0)</f>
        <v>0</v>
      </c>
      <c r="M144" s="1312">
        <f t="shared" si="63"/>
        <v>0</v>
      </c>
      <c r="N144" s="1312">
        <f>O143*((1+'Instrumentos Financeiros'!$G$43)^(1/12)-1)</f>
        <v>0</v>
      </c>
      <c r="O144" s="1312">
        <f t="shared" si="33"/>
        <v>0</v>
      </c>
      <c r="P144" s="1312">
        <f>IF(AND(C144&gt;$F$62,'Instrumentos Financeiros'!C144&lt;'Instrumentos Financeiros'!$F$62+'Instrumentos Financeiros'!$F$11+1),PMT(((1+'Instrumentos Financeiros'!$H$43)^(1/12)-1),$F$11,-$I$62),0)</f>
        <v>0</v>
      </c>
      <c r="Q144" s="1312">
        <f t="shared" si="64"/>
        <v>0</v>
      </c>
      <c r="R144" s="1312">
        <f>S143*((1+'Instrumentos Financeiros'!$H$43)^(1/12)-1)</f>
        <v>0</v>
      </c>
      <c r="S144" s="1312">
        <f t="shared" si="34"/>
        <v>0</v>
      </c>
      <c r="T144" s="1312">
        <f>IF(AND(C144&gt;$F$63,'Instrumentos Financeiros'!C144&lt;'Instrumentos Financeiros'!$F$63+'Instrumentos Financeiros'!$F$11+1),PMT(((1+'Instrumentos Financeiros'!$H$43)^(1/12)-1),$F$11,-$I$63),0)</f>
        <v>0</v>
      </c>
      <c r="U144" s="1312">
        <f t="shared" si="65"/>
        <v>0</v>
      </c>
      <c r="V144" s="1312">
        <f>W143*((1+'Instrumentos Financeiros'!$H$43)^(1/12)-1)</f>
        <v>0</v>
      </c>
      <c r="W144" s="1312">
        <f t="shared" si="35"/>
        <v>0</v>
      </c>
      <c r="X144" s="1312">
        <f>IF(AND(C144&gt;$F$64,'Instrumentos Financeiros'!C144&lt;'Instrumentos Financeiros'!$F$64+'Instrumentos Financeiros'!$F$11+1),PMT(((1+'Instrumentos Financeiros'!$H$43)^(1/12)-1),$F$11,-$I$64),0)</f>
        <v>0</v>
      </c>
      <c r="Y144" s="1312">
        <f t="shared" si="66"/>
        <v>0</v>
      </c>
      <c r="Z144" s="1312">
        <f>AA143*((1+'Instrumentos Financeiros'!$H$43)^(1/12)-1)</f>
        <v>0</v>
      </c>
      <c r="AA144" s="1312">
        <f t="shared" si="36"/>
        <v>0</v>
      </c>
      <c r="AB144" s="1312">
        <f>IF(AND(C144&gt;$F$65,'Instrumentos Financeiros'!C144&lt;'Instrumentos Financeiros'!$F$65+'Instrumentos Financeiros'!$F$11+1),PMT(((1+'Instrumentos Financeiros'!$H$43)^(1/12)-1),$F$11,-$I$65),0)</f>
        <v>0</v>
      </c>
      <c r="AC144" s="1312">
        <f t="shared" si="67"/>
        <v>0</v>
      </c>
      <c r="AD144" s="1312">
        <f>AE143*((1+'Instrumentos Financeiros'!$H$43)^(1/12)-1)</f>
        <v>0</v>
      </c>
      <c r="AE144" s="1312">
        <f t="shared" si="37"/>
        <v>0</v>
      </c>
      <c r="AF144" s="1312">
        <f>IF(AND(C144&gt;$F$66,'Instrumentos Financeiros'!C144&lt;'Instrumentos Financeiros'!$F$66+'Instrumentos Financeiros'!$F$11+1),PMT(((1+'Instrumentos Financeiros'!$I$43)^(1/12)-1),$F$11,-$I$66),0)</f>
        <v>0</v>
      </c>
      <c r="AG144" s="1312">
        <f t="shared" si="68"/>
        <v>0</v>
      </c>
      <c r="AH144" s="1312">
        <f>AI143*((1+'Instrumentos Financeiros'!$I$43)^(1/12)-1)</f>
        <v>0</v>
      </c>
      <c r="AI144" s="1312">
        <f t="shared" si="38"/>
        <v>0</v>
      </c>
      <c r="AJ144" s="1312">
        <f>IF(AND(C144&gt;$F$67,'Instrumentos Financeiros'!C144&lt;'Instrumentos Financeiros'!$F$67+'Instrumentos Financeiros'!$F$11+1),PMT(((1+'Instrumentos Financeiros'!$I$43)^(1/12)-1),$F$11,-$I$67),0)</f>
        <v>0</v>
      </c>
      <c r="AK144" s="1312">
        <f t="shared" si="69"/>
        <v>0</v>
      </c>
      <c r="AL144" s="1312">
        <f>AM143*((1+'Instrumentos Financeiros'!$I$43)^(1/12)-1)</f>
        <v>0</v>
      </c>
      <c r="AM144" s="1312">
        <f t="shared" si="39"/>
        <v>0</v>
      </c>
      <c r="AN144" s="1312">
        <f>IF(AND(C144&gt;$F$68,'Instrumentos Financeiros'!C144&lt;'Instrumentos Financeiros'!$F$68+'Instrumentos Financeiros'!$F$11+1),PMT(((1+'Instrumentos Financeiros'!$I$43)^(1/12)-1),$F$11,-$I$68),0)</f>
        <v>0</v>
      </c>
      <c r="AO144" s="1312">
        <f t="shared" si="70"/>
        <v>0</v>
      </c>
      <c r="AP144" s="1312">
        <f>AQ143*((1+'Instrumentos Financeiros'!$I$43)^(1/12)-1)</f>
        <v>0</v>
      </c>
      <c r="AQ144" s="1312">
        <f t="shared" si="40"/>
        <v>0</v>
      </c>
      <c r="AR144" s="1312">
        <f>IF(AND(C144&gt;$F$69,'Instrumentos Financeiros'!C144&lt;'Instrumentos Financeiros'!$F$69+'Instrumentos Financeiros'!$F$11+1),PMT(((1+'Instrumentos Financeiros'!$I$43)^(1/12)-1),$F$11,-$I$69),0)</f>
        <v>0</v>
      </c>
      <c r="AS144" s="1312">
        <f t="shared" si="71"/>
        <v>0</v>
      </c>
      <c r="AT144" s="1312">
        <f>AU143*((1+'Instrumentos Financeiros'!$I$43)^(1/12)-1)</f>
        <v>0</v>
      </c>
      <c r="AU144" s="1312">
        <f t="shared" si="41"/>
        <v>0</v>
      </c>
      <c r="AV144" s="1312">
        <f>IF(AND(C144&gt;$F$70,'Instrumentos Financeiros'!C144&lt;'Instrumentos Financeiros'!$F$70+'Instrumentos Financeiros'!$F$11+1),PMT(((1+'Instrumentos Financeiros'!$J$43)^(1/12)-1),$F$11,-$I$70),0)</f>
        <v>0</v>
      </c>
      <c r="AW144" s="1312">
        <f t="shared" si="72"/>
        <v>0</v>
      </c>
      <c r="AX144" s="1312">
        <f>AY143*((1+'Instrumentos Financeiros'!$J$43)^(1/12)-1)</f>
        <v>0</v>
      </c>
      <c r="AY144" s="1312">
        <f t="shared" si="42"/>
        <v>0</v>
      </c>
      <c r="AZ144" s="1312">
        <f>IF(AND(C144&gt;$F$71,'Instrumentos Financeiros'!C144&lt;'Instrumentos Financeiros'!$F$71+'Instrumentos Financeiros'!$F$11+1),PMT(((1+'Instrumentos Financeiros'!$J$43)^(1/12)-1),$F$11,-$I$71),0)</f>
        <v>0</v>
      </c>
      <c r="BA144" s="1312">
        <f t="shared" si="73"/>
        <v>0</v>
      </c>
      <c r="BB144" s="1312">
        <f>BC143*((1+'Instrumentos Financeiros'!$J$43)^(1/12)-1)</f>
        <v>0</v>
      </c>
      <c r="BC144" s="1312">
        <f t="shared" si="43"/>
        <v>0</v>
      </c>
      <c r="BD144" s="1312">
        <f>IF(AND(C144&gt;$F$72,'Instrumentos Financeiros'!C144&lt;'Instrumentos Financeiros'!$F$72+'Instrumentos Financeiros'!$F$11+1),PMT(((1+'Instrumentos Financeiros'!$J$43)^(1/12)-1),$F$11,-'Instrumentos Financeiros'!$G$7*$G$72),0)</f>
        <v>0</v>
      </c>
      <c r="BE144" s="1312">
        <f t="shared" si="74"/>
        <v>0</v>
      </c>
      <c r="BF144" s="1312">
        <f>BG143*((1+'Instrumentos Financeiros'!$J$43)^(1/12)-1)</f>
        <v>0</v>
      </c>
      <c r="BG144" s="1312">
        <f t="shared" si="44"/>
        <v>0</v>
      </c>
      <c r="BH144" s="1312">
        <f>IF(AND(C144&gt;$F$73,'Instrumentos Financeiros'!C144&lt;'Instrumentos Financeiros'!$F$73+'Instrumentos Financeiros'!$F$11+1),PMT(((1+'Instrumentos Financeiros'!$J$43)^(1/12)-1),$F$11,-$I$73),0)</f>
        <v>0</v>
      </c>
      <c r="BI144" s="1312">
        <f t="shared" si="75"/>
        <v>0</v>
      </c>
      <c r="BJ144" s="1312">
        <f>BK143*((1+'Instrumentos Financeiros'!$J$43)^(1/12)-1)</f>
        <v>0</v>
      </c>
      <c r="BK144" s="1312">
        <f t="shared" si="45"/>
        <v>0</v>
      </c>
      <c r="BL144" s="1312">
        <f>IF(AND(C144&gt;$F$77,'Instrumentos Financeiros'!C144&lt;'Instrumentos Financeiros'!$F$77+'Instrumentos Financeiros'!$F$12+1),PMT(((1+'Instrumentos Financeiros'!$K$43)^(1/12)-1),$F$12,-$I$77),0)</f>
        <v>0</v>
      </c>
      <c r="BM144" s="1312">
        <f t="shared" si="46"/>
        <v>0</v>
      </c>
      <c r="BN144" s="1312">
        <f>BO143*((1+'Instrumentos Financeiros'!$K$43)^(1/12)-1)</f>
        <v>0</v>
      </c>
      <c r="BO144" s="1312">
        <f t="shared" si="47"/>
        <v>0</v>
      </c>
      <c r="BP144" s="1312">
        <f>IF(AND(C144&gt;$F$78,'Instrumentos Financeiros'!C144&lt;'Instrumentos Financeiros'!$F$78+'Instrumentos Financeiros'!$F$12+1),PMT(((1+'Instrumentos Financeiros'!$L$43)^(1/12)-1),$F$12,-$I$78),0)</f>
        <v>0</v>
      </c>
      <c r="BQ144" s="1312">
        <f t="shared" si="48"/>
        <v>0</v>
      </c>
      <c r="BR144" s="1312">
        <f>BS143*((1+'Instrumentos Financeiros'!$L$43)^(1/12)-1)</f>
        <v>0</v>
      </c>
      <c r="BS144" s="1312">
        <f t="shared" si="49"/>
        <v>0</v>
      </c>
      <c r="BT144" s="1312">
        <f>IF(AND(C144&gt;$F$79,'Instrumentos Financeiros'!C144&lt;'Instrumentos Financeiros'!$F$79+'Instrumentos Financeiros'!$F$12+1),PMT(((1+'Instrumentos Financeiros'!$L$43)^(1/12)-1),$F$12,-$I$79),0)</f>
        <v>0</v>
      </c>
      <c r="BU144" s="1312">
        <f t="shared" si="50"/>
        <v>0</v>
      </c>
      <c r="BV144" s="1312">
        <f>BW143*((1+'Instrumentos Financeiros'!$L$43)^(1/12)-1)</f>
        <v>0</v>
      </c>
      <c r="BW144" s="1312">
        <f t="shared" si="51"/>
        <v>0</v>
      </c>
      <c r="BX144" s="1312">
        <f>IF(AND(C144&gt;$F$80,'Instrumentos Financeiros'!C144&lt;'Instrumentos Financeiros'!$F$80+'Instrumentos Financeiros'!$F$12+1),PMT(((1+'Instrumentos Financeiros'!$L$43)^(1/12)-1),$F$12,-$I$80),0)</f>
        <v>0</v>
      </c>
      <c r="BY144" s="1312">
        <f t="shared" si="52"/>
        <v>0</v>
      </c>
      <c r="BZ144" s="1312">
        <f>CA143*((1+'Instrumentos Financeiros'!$L$43)^(1/12)-1)</f>
        <v>0</v>
      </c>
      <c r="CA144" s="1312">
        <f t="shared" si="53"/>
        <v>0</v>
      </c>
      <c r="CB144" s="1312">
        <f>IF(AND(C144&gt;$F$83,'Instrumentos Financeiros'!C144&lt;'Instrumentos Financeiros'!$F$83+'Instrumentos Financeiros'!$F$13+1),PMT(((1+'Instrumentos Financeiros'!$P$43)^(1/12)-1),$F$13,-$I$83),0)</f>
        <v>0</v>
      </c>
      <c r="CC144" s="1312">
        <f t="shared" si="54"/>
        <v>0</v>
      </c>
      <c r="CD144" s="1312">
        <f>CE143*((1+'Instrumentos Financeiros'!$P$43)^(1/12)-1)</f>
        <v>0</v>
      </c>
      <c r="CE144" s="1312">
        <f t="shared" si="55"/>
        <v>0</v>
      </c>
      <c r="CF144" s="1312">
        <f>IF(AND(C144&gt;$F$84,'Instrumentos Financeiros'!C144&lt;'Instrumentos Financeiros'!$F$84+'Instrumentos Financeiros'!$F$13+1),PMT(((1+'Instrumentos Financeiros'!$Q$43)^(1/12)-1),$F$13,-$I$84),0)</f>
        <v>0</v>
      </c>
      <c r="CG144" s="1312">
        <f t="shared" si="56"/>
        <v>0</v>
      </c>
      <c r="CH144" s="1312">
        <f>CI143*((1+'Instrumentos Financeiros'!$Q$43)^(1/12)-1)</f>
        <v>0</v>
      </c>
      <c r="CI144" s="1312">
        <f t="shared" si="57"/>
        <v>0</v>
      </c>
      <c r="CJ144" s="1312">
        <f>IF(AND(C144&gt;$F$85,'Instrumentos Financeiros'!C144&lt;'Instrumentos Financeiros'!$F$85+'Instrumentos Financeiros'!$F$13+1),PMT(((1+'Instrumentos Financeiros'!$Q$43)^(1/12)-1),$F$13,-$I$85),0)</f>
        <v>0</v>
      </c>
      <c r="CK144" s="1312">
        <f t="shared" si="58"/>
        <v>0</v>
      </c>
      <c r="CL144" s="1312">
        <f>CM143*((1+'Instrumentos Financeiros'!$Q$43)^(1/12)-1)</f>
        <v>0</v>
      </c>
      <c r="CM144" s="1312">
        <f t="shared" si="59"/>
        <v>0</v>
      </c>
      <c r="CN144" s="1312">
        <f>IF(AND(C144&gt;$F$86,'Instrumentos Financeiros'!C144&lt;'Instrumentos Financeiros'!$F$86+'Instrumentos Financeiros'!$F$13+1),PMT(((1+'Instrumentos Financeiros'!$Q$43)^(1/12)-1),$F$13,-$I$86),0)</f>
        <v>0</v>
      </c>
      <c r="CO144" s="1312">
        <f t="shared" si="60"/>
        <v>0</v>
      </c>
      <c r="CP144" s="1312">
        <f>CQ143*((1+'Instrumentos Financeiros'!$Q$43)^(1/12)-1)</f>
        <v>0</v>
      </c>
      <c r="CQ144" s="1312">
        <f t="shared" si="61"/>
        <v>0</v>
      </c>
      <c r="CR144" s="1312">
        <f t="shared" si="29"/>
        <v>0</v>
      </c>
      <c r="CS144" s="1312">
        <f t="shared" si="29"/>
        <v>0</v>
      </c>
      <c r="CT144" s="1312">
        <f t="shared" si="29"/>
        <v>0</v>
      </c>
      <c r="CU144" s="1312">
        <f t="shared" si="29"/>
        <v>0</v>
      </c>
    </row>
    <row r="145" spans="3:99" x14ac:dyDescent="0.35">
      <c r="C145" s="1315">
        <f t="shared" si="30"/>
        <v>52</v>
      </c>
      <c r="D145" s="1312">
        <f>IF(AND(C145&gt;$F$59,'Instrumentos Financeiros'!C145&lt;'Instrumentos Financeiros'!$F$59+'Instrumentos Financeiros'!$F$11+1),PMT(((1+'Instrumentos Financeiros'!$G$43)^(1/12)-1),$F$11,-$I$59),0)</f>
        <v>0</v>
      </c>
      <c r="E145" s="1312">
        <f t="shared" si="14"/>
        <v>0</v>
      </c>
      <c r="F145" s="1312">
        <f>G144*((1+'Instrumentos Financeiros'!$G$43)^(1/12)-1)</f>
        <v>0</v>
      </c>
      <c r="G145" s="1312">
        <f t="shared" si="31"/>
        <v>0</v>
      </c>
      <c r="H145" s="1312">
        <f>IF(AND(C145&gt;$F$60,'Instrumentos Financeiros'!C145&lt;'Instrumentos Financeiros'!$F$60+'Instrumentos Financeiros'!$F$11+1),PMT(((1+'Instrumentos Financeiros'!$G$43)^(1/12)-1),$F$11,-$I$60),0)</f>
        <v>0</v>
      </c>
      <c r="I145" s="1312">
        <f t="shared" si="62"/>
        <v>0</v>
      </c>
      <c r="J145" s="1312">
        <f>K144*((1+'Instrumentos Financeiros'!$G$43)^(1/12)-1)</f>
        <v>0</v>
      </c>
      <c r="K145" s="1312">
        <f t="shared" si="32"/>
        <v>0</v>
      </c>
      <c r="L145" s="1312">
        <f>IF(AND(C145&gt;$F$61,'Instrumentos Financeiros'!C145&lt;'Instrumentos Financeiros'!$F$61+'Instrumentos Financeiros'!$F$11+1),PMT(((1+'Instrumentos Financeiros'!$G$43)^(1/12)-1),$F$11,-$I$61),0)</f>
        <v>0</v>
      </c>
      <c r="M145" s="1312">
        <f t="shared" si="63"/>
        <v>0</v>
      </c>
      <c r="N145" s="1312">
        <f>O144*((1+'Instrumentos Financeiros'!$G$43)^(1/12)-1)</f>
        <v>0</v>
      </c>
      <c r="O145" s="1312">
        <f t="shared" si="33"/>
        <v>0</v>
      </c>
      <c r="P145" s="1312">
        <f>IF(AND(C145&gt;$F$62,'Instrumentos Financeiros'!C145&lt;'Instrumentos Financeiros'!$F$62+'Instrumentos Financeiros'!$F$11+1),PMT(((1+'Instrumentos Financeiros'!$H$43)^(1/12)-1),$F$11,-$I$62),0)</f>
        <v>0</v>
      </c>
      <c r="Q145" s="1312">
        <f t="shared" si="64"/>
        <v>0</v>
      </c>
      <c r="R145" s="1312">
        <f>S144*((1+'Instrumentos Financeiros'!$H$43)^(1/12)-1)</f>
        <v>0</v>
      </c>
      <c r="S145" s="1312">
        <f t="shared" si="34"/>
        <v>0</v>
      </c>
      <c r="T145" s="1312">
        <f>IF(AND(C145&gt;$F$63,'Instrumentos Financeiros'!C145&lt;'Instrumentos Financeiros'!$F$63+'Instrumentos Financeiros'!$F$11+1),PMT(((1+'Instrumentos Financeiros'!$H$43)^(1/12)-1),$F$11,-$I$63),0)</f>
        <v>0</v>
      </c>
      <c r="U145" s="1312">
        <f t="shared" si="65"/>
        <v>0</v>
      </c>
      <c r="V145" s="1312">
        <f>W144*((1+'Instrumentos Financeiros'!$H$43)^(1/12)-1)</f>
        <v>0</v>
      </c>
      <c r="W145" s="1312">
        <f t="shared" si="35"/>
        <v>0</v>
      </c>
      <c r="X145" s="1312">
        <f>IF(AND(C145&gt;$F$64,'Instrumentos Financeiros'!C145&lt;'Instrumentos Financeiros'!$F$64+'Instrumentos Financeiros'!$F$11+1),PMT(((1+'Instrumentos Financeiros'!$H$43)^(1/12)-1),$F$11,-$I$64),0)</f>
        <v>0</v>
      </c>
      <c r="Y145" s="1312">
        <f t="shared" si="66"/>
        <v>0</v>
      </c>
      <c r="Z145" s="1312">
        <f>AA144*((1+'Instrumentos Financeiros'!$H$43)^(1/12)-1)</f>
        <v>0</v>
      </c>
      <c r="AA145" s="1312">
        <f t="shared" si="36"/>
        <v>0</v>
      </c>
      <c r="AB145" s="1312">
        <f>IF(AND(C145&gt;$F$65,'Instrumentos Financeiros'!C145&lt;'Instrumentos Financeiros'!$F$65+'Instrumentos Financeiros'!$F$11+1),PMT(((1+'Instrumentos Financeiros'!$H$43)^(1/12)-1),$F$11,-$I$65),0)</f>
        <v>0</v>
      </c>
      <c r="AC145" s="1312">
        <f t="shared" si="67"/>
        <v>0</v>
      </c>
      <c r="AD145" s="1312">
        <f>AE144*((1+'Instrumentos Financeiros'!$H$43)^(1/12)-1)</f>
        <v>0</v>
      </c>
      <c r="AE145" s="1312">
        <f t="shared" si="37"/>
        <v>0</v>
      </c>
      <c r="AF145" s="1312">
        <f>IF(AND(C145&gt;$F$66,'Instrumentos Financeiros'!C145&lt;'Instrumentos Financeiros'!$F$66+'Instrumentos Financeiros'!$F$11+1),PMT(((1+'Instrumentos Financeiros'!$I$43)^(1/12)-1),$F$11,-$I$66),0)</f>
        <v>0</v>
      </c>
      <c r="AG145" s="1312">
        <f t="shared" si="68"/>
        <v>0</v>
      </c>
      <c r="AH145" s="1312">
        <f>AI144*((1+'Instrumentos Financeiros'!$I$43)^(1/12)-1)</f>
        <v>0</v>
      </c>
      <c r="AI145" s="1312">
        <f t="shared" si="38"/>
        <v>0</v>
      </c>
      <c r="AJ145" s="1312">
        <f>IF(AND(C145&gt;$F$67,'Instrumentos Financeiros'!C145&lt;'Instrumentos Financeiros'!$F$67+'Instrumentos Financeiros'!$F$11+1),PMT(((1+'Instrumentos Financeiros'!$I$43)^(1/12)-1),$F$11,-$I$67),0)</f>
        <v>0</v>
      </c>
      <c r="AK145" s="1312">
        <f t="shared" si="69"/>
        <v>0</v>
      </c>
      <c r="AL145" s="1312">
        <f>AM144*((1+'Instrumentos Financeiros'!$I$43)^(1/12)-1)</f>
        <v>0</v>
      </c>
      <c r="AM145" s="1312">
        <f t="shared" si="39"/>
        <v>0</v>
      </c>
      <c r="AN145" s="1312">
        <f>IF(AND(C145&gt;$F$68,'Instrumentos Financeiros'!C145&lt;'Instrumentos Financeiros'!$F$68+'Instrumentos Financeiros'!$F$11+1),PMT(((1+'Instrumentos Financeiros'!$I$43)^(1/12)-1),$F$11,-$I$68),0)</f>
        <v>0</v>
      </c>
      <c r="AO145" s="1312">
        <f t="shared" si="70"/>
        <v>0</v>
      </c>
      <c r="AP145" s="1312">
        <f>AQ144*((1+'Instrumentos Financeiros'!$I$43)^(1/12)-1)</f>
        <v>0</v>
      </c>
      <c r="AQ145" s="1312">
        <f t="shared" si="40"/>
        <v>0</v>
      </c>
      <c r="AR145" s="1312">
        <f>IF(AND(C145&gt;$F$69,'Instrumentos Financeiros'!C145&lt;'Instrumentos Financeiros'!$F$69+'Instrumentos Financeiros'!$F$11+1),PMT(((1+'Instrumentos Financeiros'!$I$43)^(1/12)-1),$F$11,-$I$69),0)</f>
        <v>0</v>
      </c>
      <c r="AS145" s="1312">
        <f t="shared" si="71"/>
        <v>0</v>
      </c>
      <c r="AT145" s="1312">
        <f>AU144*((1+'Instrumentos Financeiros'!$I$43)^(1/12)-1)</f>
        <v>0</v>
      </c>
      <c r="AU145" s="1312">
        <f t="shared" si="41"/>
        <v>0</v>
      </c>
      <c r="AV145" s="1312">
        <f>IF(AND(C145&gt;$F$70,'Instrumentos Financeiros'!C145&lt;'Instrumentos Financeiros'!$F$70+'Instrumentos Financeiros'!$F$11+1),PMT(((1+'Instrumentos Financeiros'!$J$43)^(1/12)-1),$F$11,-$I$70),0)</f>
        <v>0</v>
      </c>
      <c r="AW145" s="1312">
        <f t="shared" si="72"/>
        <v>0</v>
      </c>
      <c r="AX145" s="1312">
        <f>AY144*((1+'Instrumentos Financeiros'!$J$43)^(1/12)-1)</f>
        <v>0</v>
      </c>
      <c r="AY145" s="1312">
        <f t="shared" si="42"/>
        <v>0</v>
      </c>
      <c r="AZ145" s="1312">
        <f>IF(AND(C145&gt;$F$71,'Instrumentos Financeiros'!C145&lt;'Instrumentos Financeiros'!$F$71+'Instrumentos Financeiros'!$F$11+1),PMT(((1+'Instrumentos Financeiros'!$J$43)^(1/12)-1),$F$11,-$I$71),0)</f>
        <v>0</v>
      </c>
      <c r="BA145" s="1312">
        <f t="shared" si="73"/>
        <v>0</v>
      </c>
      <c r="BB145" s="1312">
        <f>BC144*((1+'Instrumentos Financeiros'!$J$43)^(1/12)-1)</f>
        <v>0</v>
      </c>
      <c r="BC145" s="1312">
        <f t="shared" si="43"/>
        <v>0</v>
      </c>
      <c r="BD145" s="1312">
        <f>IF(AND(C145&gt;$F$72,'Instrumentos Financeiros'!C145&lt;'Instrumentos Financeiros'!$F$72+'Instrumentos Financeiros'!$F$11+1),PMT(((1+'Instrumentos Financeiros'!$J$43)^(1/12)-1),$F$11,-'Instrumentos Financeiros'!$G$7*$G$72),0)</f>
        <v>0</v>
      </c>
      <c r="BE145" s="1312">
        <f t="shared" si="74"/>
        <v>0</v>
      </c>
      <c r="BF145" s="1312">
        <f>BG144*((1+'Instrumentos Financeiros'!$J$43)^(1/12)-1)</f>
        <v>0</v>
      </c>
      <c r="BG145" s="1312">
        <f t="shared" si="44"/>
        <v>0</v>
      </c>
      <c r="BH145" s="1312">
        <f>IF(AND(C145&gt;$F$73,'Instrumentos Financeiros'!C145&lt;'Instrumentos Financeiros'!$F$73+'Instrumentos Financeiros'!$F$11+1),PMT(((1+'Instrumentos Financeiros'!$J$43)^(1/12)-1),$F$11,-$I$73),0)</f>
        <v>0</v>
      </c>
      <c r="BI145" s="1312">
        <f t="shared" si="75"/>
        <v>0</v>
      </c>
      <c r="BJ145" s="1312">
        <f>BK144*((1+'Instrumentos Financeiros'!$J$43)^(1/12)-1)</f>
        <v>0</v>
      </c>
      <c r="BK145" s="1312">
        <f t="shared" si="45"/>
        <v>0</v>
      </c>
      <c r="BL145" s="1312">
        <f>IF(AND(C145&gt;$F$77,'Instrumentos Financeiros'!C145&lt;'Instrumentos Financeiros'!$F$77+'Instrumentos Financeiros'!$F$12+1),PMT(((1+'Instrumentos Financeiros'!$K$43)^(1/12)-1),$F$12,-$I$77),0)</f>
        <v>0</v>
      </c>
      <c r="BM145" s="1312">
        <f t="shared" si="46"/>
        <v>0</v>
      </c>
      <c r="BN145" s="1312">
        <f>BO144*((1+'Instrumentos Financeiros'!$K$43)^(1/12)-1)</f>
        <v>0</v>
      </c>
      <c r="BO145" s="1312">
        <f t="shared" si="47"/>
        <v>0</v>
      </c>
      <c r="BP145" s="1312">
        <f>IF(AND(C145&gt;$F$78,'Instrumentos Financeiros'!C145&lt;'Instrumentos Financeiros'!$F$78+'Instrumentos Financeiros'!$F$12+1),PMT(((1+'Instrumentos Financeiros'!$L$43)^(1/12)-1),$F$12,-$I$78),0)</f>
        <v>0</v>
      </c>
      <c r="BQ145" s="1312">
        <f t="shared" si="48"/>
        <v>0</v>
      </c>
      <c r="BR145" s="1312">
        <f>BS144*((1+'Instrumentos Financeiros'!$L$43)^(1/12)-1)</f>
        <v>0</v>
      </c>
      <c r="BS145" s="1312">
        <f t="shared" si="49"/>
        <v>0</v>
      </c>
      <c r="BT145" s="1312">
        <f>IF(AND(C145&gt;$F$79,'Instrumentos Financeiros'!C145&lt;'Instrumentos Financeiros'!$F$79+'Instrumentos Financeiros'!$F$12+1),PMT(((1+'Instrumentos Financeiros'!$L$43)^(1/12)-1),$F$12,-$I$79),0)</f>
        <v>0</v>
      </c>
      <c r="BU145" s="1312">
        <f t="shared" si="50"/>
        <v>0</v>
      </c>
      <c r="BV145" s="1312">
        <f>BW144*((1+'Instrumentos Financeiros'!$L$43)^(1/12)-1)</f>
        <v>0</v>
      </c>
      <c r="BW145" s="1312">
        <f t="shared" si="51"/>
        <v>0</v>
      </c>
      <c r="BX145" s="1312">
        <f>IF(AND(C145&gt;$F$80,'Instrumentos Financeiros'!C145&lt;'Instrumentos Financeiros'!$F$80+'Instrumentos Financeiros'!$F$12+1),PMT(((1+'Instrumentos Financeiros'!$L$43)^(1/12)-1),$F$12,-$I$80),0)</f>
        <v>0</v>
      </c>
      <c r="BY145" s="1312">
        <f t="shared" si="52"/>
        <v>0</v>
      </c>
      <c r="BZ145" s="1312">
        <f>CA144*((1+'Instrumentos Financeiros'!$L$43)^(1/12)-1)</f>
        <v>0</v>
      </c>
      <c r="CA145" s="1312">
        <f t="shared" si="53"/>
        <v>0</v>
      </c>
      <c r="CB145" s="1312">
        <f>IF(AND(C145&gt;$F$83,'Instrumentos Financeiros'!C145&lt;'Instrumentos Financeiros'!$F$83+'Instrumentos Financeiros'!$F$13+1),PMT(((1+'Instrumentos Financeiros'!$P$43)^(1/12)-1),$F$13,-$I$83),0)</f>
        <v>0</v>
      </c>
      <c r="CC145" s="1312">
        <f t="shared" si="54"/>
        <v>0</v>
      </c>
      <c r="CD145" s="1312">
        <f>CE144*((1+'Instrumentos Financeiros'!$P$43)^(1/12)-1)</f>
        <v>0</v>
      </c>
      <c r="CE145" s="1312">
        <f t="shared" si="55"/>
        <v>0</v>
      </c>
      <c r="CF145" s="1312">
        <f>IF(AND(C145&gt;$F$84,'Instrumentos Financeiros'!C145&lt;'Instrumentos Financeiros'!$F$84+'Instrumentos Financeiros'!$F$13+1),PMT(((1+'Instrumentos Financeiros'!$Q$43)^(1/12)-1),$F$13,-$I$84),0)</f>
        <v>0</v>
      </c>
      <c r="CG145" s="1312">
        <f t="shared" si="56"/>
        <v>0</v>
      </c>
      <c r="CH145" s="1312">
        <f>CI144*((1+'Instrumentos Financeiros'!$Q$43)^(1/12)-1)</f>
        <v>0</v>
      </c>
      <c r="CI145" s="1312">
        <f t="shared" si="57"/>
        <v>0</v>
      </c>
      <c r="CJ145" s="1312">
        <f>IF(AND(C145&gt;$F$85,'Instrumentos Financeiros'!C145&lt;'Instrumentos Financeiros'!$F$85+'Instrumentos Financeiros'!$F$13+1),PMT(((1+'Instrumentos Financeiros'!$Q$43)^(1/12)-1),$F$13,-$I$85),0)</f>
        <v>0</v>
      </c>
      <c r="CK145" s="1312">
        <f t="shared" si="58"/>
        <v>0</v>
      </c>
      <c r="CL145" s="1312">
        <f>CM144*((1+'Instrumentos Financeiros'!$Q$43)^(1/12)-1)</f>
        <v>0</v>
      </c>
      <c r="CM145" s="1312">
        <f t="shared" si="59"/>
        <v>0</v>
      </c>
      <c r="CN145" s="1312">
        <f>IF(AND(C145&gt;$F$86,'Instrumentos Financeiros'!C145&lt;'Instrumentos Financeiros'!$F$86+'Instrumentos Financeiros'!$F$13+1),PMT(((1+'Instrumentos Financeiros'!$Q$43)^(1/12)-1),$F$13,-$I$86),0)</f>
        <v>0</v>
      </c>
      <c r="CO145" s="1312">
        <f t="shared" si="60"/>
        <v>0</v>
      </c>
      <c r="CP145" s="1312">
        <f>CQ144*((1+'Instrumentos Financeiros'!$Q$43)^(1/12)-1)</f>
        <v>0</v>
      </c>
      <c r="CQ145" s="1312">
        <f t="shared" si="61"/>
        <v>0</v>
      </c>
      <c r="CR145" s="1312">
        <f t="shared" si="29"/>
        <v>0</v>
      </c>
      <c r="CS145" s="1312">
        <f t="shared" si="29"/>
        <v>0</v>
      </c>
      <c r="CT145" s="1312">
        <f t="shared" si="29"/>
        <v>0</v>
      </c>
      <c r="CU145" s="1312">
        <f t="shared" si="29"/>
        <v>0</v>
      </c>
    </row>
    <row r="146" spans="3:99" x14ac:dyDescent="0.35">
      <c r="C146" s="1315">
        <f t="shared" si="30"/>
        <v>53</v>
      </c>
      <c r="D146" s="1312">
        <f>IF(AND(C146&gt;$F$59,'Instrumentos Financeiros'!C146&lt;'Instrumentos Financeiros'!$F$59+'Instrumentos Financeiros'!$F$11+1),PMT(((1+'Instrumentos Financeiros'!$G$43)^(1/12)-1),$F$11,-$I$59),0)</f>
        <v>0</v>
      </c>
      <c r="E146" s="1312">
        <f t="shared" si="14"/>
        <v>0</v>
      </c>
      <c r="F146" s="1312">
        <f>G145*((1+'Instrumentos Financeiros'!$G$43)^(1/12)-1)</f>
        <v>0</v>
      </c>
      <c r="G146" s="1312">
        <f t="shared" si="31"/>
        <v>0</v>
      </c>
      <c r="H146" s="1312">
        <f>IF(AND(C146&gt;$F$60,'Instrumentos Financeiros'!C146&lt;'Instrumentos Financeiros'!$F$60+'Instrumentos Financeiros'!$F$11+1),PMT(((1+'Instrumentos Financeiros'!$G$43)^(1/12)-1),$F$11,-$I$60),0)</f>
        <v>0</v>
      </c>
      <c r="I146" s="1312">
        <f t="shared" si="62"/>
        <v>0</v>
      </c>
      <c r="J146" s="1312">
        <f>K145*((1+'Instrumentos Financeiros'!$G$43)^(1/12)-1)</f>
        <v>0</v>
      </c>
      <c r="K146" s="1312">
        <f t="shared" si="32"/>
        <v>0</v>
      </c>
      <c r="L146" s="1312">
        <f>IF(AND(C146&gt;$F$61,'Instrumentos Financeiros'!C146&lt;'Instrumentos Financeiros'!$F$61+'Instrumentos Financeiros'!$F$11+1),PMT(((1+'Instrumentos Financeiros'!$G$43)^(1/12)-1),$F$11,-$I$61),0)</f>
        <v>0</v>
      </c>
      <c r="M146" s="1312">
        <f t="shared" si="63"/>
        <v>0</v>
      </c>
      <c r="N146" s="1312">
        <f>O145*((1+'Instrumentos Financeiros'!$G$43)^(1/12)-1)</f>
        <v>0</v>
      </c>
      <c r="O146" s="1312">
        <f t="shared" si="33"/>
        <v>0</v>
      </c>
      <c r="P146" s="1312">
        <f>IF(AND(C146&gt;$F$62,'Instrumentos Financeiros'!C146&lt;'Instrumentos Financeiros'!$F$62+'Instrumentos Financeiros'!$F$11+1),PMT(((1+'Instrumentos Financeiros'!$H$43)^(1/12)-1),$F$11,-$I$62),0)</f>
        <v>0</v>
      </c>
      <c r="Q146" s="1312">
        <f t="shared" si="64"/>
        <v>0</v>
      </c>
      <c r="R146" s="1312">
        <f>S145*((1+'Instrumentos Financeiros'!$H$43)^(1/12)-1)</f>
        <v>0</v>
      </c>
      <c r="S146" s="1312">
        <f t="shared" si="34"/>
        <v>0</v>
      </c>
      <c r="T146" s="1312">
        <f>IF(AND(C146&gt;$F$63,'Instrumentos Financeiros'!C146&lt;'Instrumentos Financeiros'!$F$63+'Instrumentos Financeiros'!$F$11+1),PMT(((1+'Instrumentos Financeiros'!$H$43)^(1/12)-1),$F$11,-$I$63),0)</f>
        <v>0</v>
      </c>
      <c r="U146" s="1312">
        <f t="shared" si="65"/>
        <v>0</v>
      </c>
      <c r="V146" s="1312">
        <f>W145*((1+'Instrumentos Financeiros'!$H$43)^(1/12)-1)</f>
        <v>0</v>
      </c>
      <c r="W146" s="1312">
        <f t="shared" si="35"/>
        <v>0</v>
      </c>
      <c r="X146" s="1312">
        <f>IF(AND(C146&gt;$F$64,'Instrumentos Financeiros'!C146&lt;'Instrumentos Financeiros'!$F$64+'Instrumentos Financeiros'!$F$11+1),PMT(((1+'Instrumentos Financeiros'!$H$43)^(1/12)-1),$F$11,-$I$64),0)</f>
        <v>0</v>
      </c>
      <c r="Y146" s="1312">
        <f t="shared" si="66"/>
        <v>0</v>
      </c>
      <c r="Z146" s="1312">
        <f>AA145*((1+'Instrumentos Financeiros'!$H$43)^(1/12)-1)</f>
        <v>0</v>
      </c>
      <c r="AA146" s="1312">
        <f t="shared" si="36"/>
        <v>0</v>
      </c>
      <c r="AB146" s="1312">
        <f>IF(AND(C146&gt;$F$65,'Instrumentos Financeiros'!C146&lt;'Instrumentos Financeiros'!$F$65+'Instrumentos Financeiros'!$F$11+1),PMT(((1+'Instrumentos Financeiros'!$H$43)^(1/12)-1),$F$11,-$I$65),0)</f>
        <v>0</v>
      </c>
      <c r="AC146" s="1312">
        <f t="shared" si="67"/>
        <v>0</v>
      </c>
      <c r="AD146" s="1312">
        <f>AE145*((1+'Instrumentos Financeiros'!$H$43)^(1/12)-1)</f>
        <v>0</v>
      </c>
      <c r="AE146" s="1312">
        <f t="shared" si="37"/>
        <v>0</v>
      </c>
      <c r="AF146" s="1312">
        <f>IF(AND(C146&gt;$F$66,'Instrumentos Financeiros'!C146&lt;'Instrumentos Financeiros'!$F$66+'Instrumentos Financeiros'!$F$11+1),PMT(((1+'Instrumentos Financeiros'!$I$43)^(1/12)-1),$F$11,-$I$66),0)</f>
        <v>0</v>
      </c>
      <c r="AG146" s="1312">
        <f t="shared" si="68"/>
        <v>0</v>
      </c>
      <c r="AH146" s="1312">
        <f>AI145*((1+'Instrumentos Financeiros'!$I$43)^(1/12)-1)</f>
        <v>0</v>
      </c>
      <c r="AI146" s="1312">
        <f t="shared" si="38"/>
        <v>0</v>
      </c>
      <c r="AJ146" s="1312">
        <f>IF(AND(C146&gt;$F$67,'Instrumentos Financeiros'!C146&lt;'Instrumentos Financeiros'!$F$67+'Instrumentos Financeiros'!$F$11+1),PMT(((1+'Instrumentos Financeiros'!$I$43)^(1/12)-1),$F$11,-$I$67),0)</f>
        <v>0</v>
      </c>
      <c r="AK146" s="1312">
        <f t="shared" si="69"/>
        <v>0</v>
      </c>
      <c r="AL146" s="1312">
        <f>AM145*((1+'Instrumentos Financeiros'!$I$43)^(1/12)-1)</f>
        <v>0</v>
      </c>
      <c r="AM146" s="1312">
        <f t="shared" si="39"/>
        <v>0</v>
      </c>
      <c r="AN146" s="1312">
        <f>IF(AND(C146&gt;$F$68,'Instrumentos Financeiros'!C146&lt;'Instrumentos Financeiros'!$F$68+'Instrumentos Financeiros'!$F$11+1),PMT(((1+'Instrumentos Financeiros'!$I$43)^(1/12)-1),$F$11,-$I$68),0)</f>
        <v>0</v>
      </c>
      <c r="AO146" s="1312">
        <f t="shared" si="70"/>
        <v>0</v>
      </c>
      <c r="AP146" s="1312">
        <f>AQ145*((1+'Instrumentos Financeiros'!$I$43)^(1/12)-1)</f>
        <v>0</v>
      </c>
      <c r="AQ146" s="1312">
        <f t="shared" si="40"/>
        <v>0</v>
      </c>
      <c r="AR146" s="1312">
        <f>IF(AND(C146&gt;$F$69,'Instrumentos Financeiros'!C146&lt;'Instrumentos Financeiros'!$F$69+'Instrumentos Financeiros'!$F$11+1),PMT(((1+'Instrumentos Financeiros'!$I$43)^(1/12)-1),$F$11,-$I$69),0)</f>
        <v>0</v>
      </c>
      <c r="AS146" s="1312">
        <f t="shared" si="71"/>
        <v>0</v>
      </c>
      <c r="AT146" s="1312">
        <f>AU145*((1+'Instrumentos Financeiros'!$I$43)^(1/12)-1)</f>
        <v>0</v>
      </c>
      <c r="AU146" s="1312">
        <f t="shared" si="41"/>
        <v>0</v>
      </c>
      <c r="AV146" s="1312">
        <f>IF(AND(C146&gt;$F$70,'Instrumentos Financeiros'!C146&lt;'Instrumentos Financeiros'!$F$70+'Instrumentos Financeiros'!$F$11+1),PMT(((1+'Instrumentos Financeiros'!$J$43)^(1/12)-1),$F$11,-$I$70),0)</f>
        <v>0</v>
      </c>
      <c r="AW146" s="1312">
        <f t="shared" si="72"/>
        <v>0</v>
      </c>
      <c r="AX146" s="1312">
        <f>AY145*((1+'Instrumentos Financeiros'!$J$43)^(1/12)-1)</f>
        <v>0</v>
      </c>
      <c r="AY146" s="1312">
        <f t="shared" si="42"/>
        <v>0</v>
      </c>
      <c r="AZ146" s="1312">
        <f>IF(AND(C146&gt;$F$71,'Instrumentos Financeiros'!C146&lt;'Instrumentos Financeiros'!$F$71+'Instrumentos Financeiros'!$F$11+1),PMT(((1+'Instrumentos Financeiros'!$J$43)^(1/12)-1),$F$11,-$I$71),0)</f>
        <v>0</v>
      </c>
      <c r="BA146" s="1312">
        <f t="shared" si="73"/>
        <v>0</v>
      </c>
      <c r="BB146" s="1312">
        <f>BC145*((1+'Instrumentos Financeiros'!$J$43)^(1/12)-1)</f>
        <v>0</v>
      </c>
      <c r="BC146" s="1312">
        <f t="shared" si="43"/>
        <v>0</v>
      </c>
      <c r="BD146" s="1312">
        <f>IF(AND(C146&gt;$F$72,'Instrumentos Financeiros'!C146&lt;'Instrumentos Financeiros'!$F$72+'Instrumentos Financeiros'!$F$11+1),PMT(((1+'Instrumentos Financeiros'!$J$43)^(1/12)-1),$F$11,-'Instrumentos Financeiros'!$G$7*$G$72),0)</f>
        <v>0</v>
      </c>
      <c r="BE146" s="1312">
        <f t="shared" si="74"/>
        <v>0</v>
      </c>
      <c r="BF146" s="1312">
        <f>BG145*((1+'Instrumentos Financeiros'!$J$43)^(1/12)-1)</f>
        <v>0</v>
      </c>
      <c r="BG146" s="1312">
        <f t="shared" si="44"/>
        <v>0</v>
      </c>
      <c r="BH146" s="1312">
        <f>IF(AND(C146&gt;$F$73,'Instrumentos Financeiros'!C146&lt;'Instrumentos Financeiros'!$F$73+'Instrumentos Financeiros'!$F$11+1),PMT(((1+'Instrumentos Financeiros'!$J$43)^(1/12)-1),$F$11,-$I$73),0)</f>
        <v>0</v>
      </c>
      <c r="BI146" s="1312">
        <f t="shared" si="75"/>
        <v>0</v>
      </c>
      <c r="BJ146" s="1312">
        <f>BK145*((1+'Instrumentos Financeiros'!$J$43)^(1/12)-1)</f>
        <v>0</v>
      </c>
      <c r="BK146" s="1312">
        <f t="shared" si="45"/>
        <v>0</v>
      </c>
      <c r="BL146" s="1312">
        <f>IF(AND(C146&gt;$F$77,'Instrumentos Financeiros'!C146&lt;'Instrumentos Financeiros'!$F$77+'Instrumentos Financeiros'!$F$12+1),PMT(((1+'Instrumentos Financeiros'!$K$43)^(1/12)-1),$F$12,-$I$77),0)</f>
        <v>0</v>
      </c>
      <c r="BM146" s="1312">
        <f t="shared" si="46"/>
        <v>0</v>
      </c>
      <c r="BN146" s="1312">
        <f>BO145*((1+'Instrumentos Financeiros'!$K$43)^(1/12)-1)</f>
        <v>0</v>
      </c>
      <c r="BO146" s="1312">
        <f t="shared" si="47"/>
        <v>0</v>
      </c>
      <c r="BP146" s="1312">
        <f>IF(AND(C146&gt;$F$78,'Instrumentos Financeiros'!C146&lt;'Instrumentos Financeiros'!$F$78+'Instrumentos Financeiros'!$F$12+1),PMT(((1+'Instrumentos Financeiros'!$L$43)^(1/12)-1),$F$12,-$I$78),0)</f>
        <v>0</v>
      </c>
      <c r="BQ146" s="1312">
        <f t="shared" si="48"/>
        <v>0</v>
      </c>
      <c r="BR146" s="1312">
        <f>BS145*((1+'Instrumentos Financeiros'!$L$43)^(1/12)-1)</f>
        <v>0</v>
      </c>
      <c r="BS146" s="1312">
        <f t="shared" si="49"/>
        <v>0</v>
      </c>
      <c r="BT146" s="1312">
        <f>IF(AND(C146&gt;$F$79,'Instrumentos Financeiros'!C146&lt;'Instrumentos Financeiros'!$F$79+'Instrumentos Financeiros'!$F$12+1),PMT(((1+'Instrumentos Financeiros'!$L$43)^(1/12)-1),$F$12,-$I$79),0)</f>
        <v>0</v>
      </c>
      <c r="BU146" s="1312">
        <f t="shared" si="50"/>
        <v>0</v>
      </c>
      <c r="BV146" s="1312">
        <f>BW145*((1+'Instrumentos Financeiros'!$L$43)^(1/12)-1)</f>
        <v>0</v>
      </c>
      <c r="BW146" s="1312">
        <f t="shared" si="51"/>
        <v>0</v>
      </c>
      <c r="BX146" s="1312">
        <f>IF(AND(C146&gt;$F$80,'Instrumentos Financeiros'!C146&lt;'Instrumentos Financeiros'!$F$80+'Instrumentos Financeiros'!$F$12+1),PMT(((1+'Instrumentos Financeiros'!$L$43)^(1/12)-1),$F$12,-$I$80),0)</f>
        <v>0</v>
      </c>
      <c r="BY146" s="1312">
        <f t="shared" si="52"/>
        <v>0</v>
      </c>
      <c r="BZ146" s="1312">
        <f>CA145*((1+'Instrumentos Financeiros'!$L$43)^(1/12)-1)</f>
        <v>0</v>
      </c>
      <c r="CA146" s="1312">
        <f t="shared" si="53"/>
        <v>0</v>
      </c>
      <c r="CB146" s="1312">
        <f>IF(AND(C146&gt;$F$83,'Instrumentos Financeiros'!C146&lt;'Instrumentos Financeiros'!$F$83+'Instrumentos Financeiros'!$F$13+1),PMT(((1+'Instrumentos Financeiros'!$P$43)^(1/12)-1),$F$13,-$I$83),0)</f>
        <v>0</v>
      </c>
      <c r="CC146" s="1312">
        <f t="shared" si="54"/>
        <v>0</v>
      </c>
      <c r="CD146" s="1312">
        <f>CE145*((1+'Instrumentos Financeiros'!$P$43)^(1/12)-1)</f>
        <v>0</v>
      </c>
      <c r="CE146" s="1312">
        <f t="shared" si="55"/>
        <v>0</v>
      </c>
      <c r="CF146" s="1312">
        <f>IF(AND(C146&gt;$F$84,'Instrumentos Financeiros'!C146&lt;'Instrumentos Financeiros'!$F$84+'Instrumentos Financeiros'!$F$13+1),PMT(((1+'Instrumentos Financeiros'!$Q$43)^(1/12)-1),$F$13,-$I$84),0)</f>
        <v>0</v>
      </c>
      <c r="CG146" s="1312">
        <f t="shared" si="56"/>
        <v>0</v>
      </c>
      <c r="CH146" s="1312">
        <f>CI145*((1+'Instrumentos Financeiros'!$Q$43)^(1/12)-1)</f>
        <v>0</v>
      </c>
      <c r="CI146" s="1312">
        <f t="shared" si="57"/>
        <v>0</v>
      </c>
      <c r="CJ146" s="1312">
        <f>IF(AND(C146&gt;$F$85,'Instrumentos Financeiros'!C146&lt;'Instrumentos Financeiros'!$F$85+'Instrumentos Financeiros'!$F$13+1),PMT(((1+'Instrumentos Financeiros'!$Q$43)^(1/12)-1),$F$13,-$I$85),0)</f>
        <v>0</v>
      </c>
      <c r="CK146" s="1312">
        <f t="shared" si="58"/>
        <v>0</v>
      </c>
      <c r="CL146" s="1312">
        <f>CM145*((1+'Instrumentos Financeiros'!$Q$43)^(1/12)-1)</f>
        <v>0</v>
      </c>
      <c r="CM146" s="1312">
        <f t="shared" si="59"/>
        <v>0</v>
      </c>
      <c r="CN146" s="1312">
        <f>IF(AND(C146&gt;$F$86,'Instrumentos Financeiros'!C146&lt;'Instrumentos Financeiros'!$F$86+'Instrumentos Financeiros'!$F$13+1),PMT(((1+'Instrumentos Financeiros'!$Q$43)^(1/12)-1),$F$13,-$I$86),0)</f>
        <v>0</v>
      </c>
      <c r="CO146" s="1312">
        <f t="shared" si="60"/>
        <v>0</v>
      </c>
      <c r="CP146" s="1312">
        <f>CQ145*((1+'Instrumentos Financeiros'!$Q$43)^(1/12)-1)</f>
        <v>0</v>
      </c>
      <c r="CQ146" s="1312">
        <f t="shared" si="61"/>
        <v>0</v>
      </c>
      <c r="CR146" s="1312">
        <f t="shared" si="29"/>
        <v>0</v>
      </c>
      <c r="CS146" s="1312">
        <f t="shared" si="29"/>
        <v>0</v>
      </c>
      <c r="CT146" s="1312">
        <f t="shared" si="29"/>
        <v>0</v>
      </c>
      <c r="CU146" s="1312">
        <f t="shared" si="29"/>
        <v>0</v>
      </c>
    </row>
    <row r="147" spans="3:99" x14ac:dyDescent="0.35">
      <c r="C147" s="1315">
        <f t="shared" si="30"/>
        <v>54</v>
      </c>
      <c r="D147" s="1312">
        <f>IF(AND(C147&gt;$F$59,'Instrumentos Financeiros'!C147&lt;'Instrumentos Financeiros'!$F$59+'Instrumentos Financeiros'!$F$11+1),PMT(((1+'Instrumentos Financeiros'!$G$43)^(1/12)-1),$F$11,-$I$59),0)</f>
        <v>0</v>
      </c>
      <c r="E147" s="1312">
        <f t="shared" si="14"/>
        <v>0</v>
      </c>
      <c r="F147" s="1312">
        <f>G146*((1+'Instrumentos Financeiros'!$G$43)^(1/12)-1)</f>
        <v>0</v>
      </c>
      <c r="G147" s="1312">
        <f t="shared" si="31"/>
        <v>0</v>
      </c>
      <c r="H147" s="1312">
        <f>IF(AND(C147&gt;$F$60,'Instrumentos Financeiros'!C147&lt;'Instrumentos Financeiros'!$F$60+'Instrumentos Financeiros'!$F$11+1),PMT(((1+'Instrumentos Financeiros'!$G$43)^(1/12)-1),$F$11,-$I$60),0)</f>
        <v>0</v>
      </c>
      <c r="I147" s="1312">
        <f t="shared" si="62"/>
        <v>0</v>
      </c>
      <c r="J147" s="1312">
        <f>K146*((1+'Instrumentos Financeiros'!$G$43)^(1/12)-1)</f>
        <v>0</v>
      </c>
      <c r="K147" s="1312">
        <f t="shared" si="32"/>
        <v>0</v>
      </c>
      <c r="L147" s="1312">
        <f>IF(AND(C147&gt;$F$61,'Instrumentos Financeiros'!C147&lt;'Instrumentos Financeiros'!$F$61+'Instrumentos Financeiros'!$F$11+1),PMT(((1+'Instrumentos Financeiros'!$G$43)^(1/12)-1),$F$11,-$I$61),0)</f>
        <v>0</v>
      </c>
      <c r="M147" s="1312">
        <f t="shared" si="63"/>
        <v>0</v>
      </c>
      <c r="N147" s="1312">
        <f>O146*((1+'Instrumentos Financeiros'!$G$43)^(1/12)-1)</f>
        <v>0</v>
      </c>
      <c r="O147" s="1312">
        <f t="shared" si="33"/>
        <v>0</v>
      </c>
      <c r="P147" s="1312">
        <f>IF(AND(C147&gt;$F$62,'Instrumentos Financeiros'!C147&lt;'Instrumentos Financeiros'!$F$62+'Instrumentos Financeiros'!$F$11+1),PMT(((1+'Instrumentos Financeiros'!$H$43)^(1/12)-1),$F$11,-$I$62),0)</f>
        <v>0</v>
      </c>
      <c r="Q147" s="1312">
        <f t="shared" si="64"/>
        <v>0</v>
      </c>
      <c r="R147" s="1312">
        <f>S146*((1+'Instrumentos Financeiros'!$H$43)^(1/12)-1)</f>
        <v>0</v>
      </c>
      <c r="S147" s="1312">
        <f t="shared" si="34"/>
        <v>0</v>
      </c>
      <c r="T147" s="1312">
        <f>IF(AND(C147&gt;$F$63,'Instrumentos Financeiros'!C147&lt;'Instrumentos Financeiros'!$F$63+'Instrumentos Financeiros'!$F$11+1),PMT(((1+'Instrumentos Financeiros'!$H$43)^(1/12)-1),$F$11,-$I$63),0)</f>
        <v>0</v>
      </c>
      <c r="U147" s="1312">
        <f t="shared" si="65"/>
        <v>0</v>
      </c>
      <c r="V147" s="1312">
        <f>W146*((1+'Instrumentos Financeiros'!$H$43)^(1/12)-1)</f>
        <v>0</v>
      </c>
      <c r="W147" s="1312">
        <f t="shared" si="35"/>
        <v>0</v>
      </c>
      <c r="X147" s="1312">
        <f>IF(AND(C147&gt;$F$64,'Instrumentos Financeiros'!C147&lt;'Instrumentos Financeiros'!$F$64+'Instrumentos Financeiros'!$F$11+1),PMT(((1+'Instrumentos Financeiros'!$H$43)^(1/12)-1),$F$11,-$I$64),0)</f>
        <v>0</v>
      </c>
      <c r="Y147" s="1312">
        <f t="shared" si="66"/>
        <v>0</v>
      </c>
      <c r="Z147" s="1312">
        <f>AA146*((1+'Instrumentos Financeiros'!$H$43)^(1/12)-1)</f>
        <v>0</v>
      </c>
      <c r="AA147" s="1312">
        <f t="shared" si="36"/>
        <v>0</v>
      </c>
      <c r="AB147" s="1312">
        <f>IF(AND(C147&gt;$F$65,'Instrumentos Financeiros'!C147&lt;'Instrumentos Financeiros'!$F$65+'Instrumentos Financeiros'!$F$11+1),PMT(((1+'Instrumentos Financeiros'!$H$43)^(1/12)-1),$F$11,-$I$65),0)</f>
        <v>0</v>
      </c>
      <c r="AC147" s="1312">
        <f t="shared" si="67"/>
        <v>0</v>
      </c>
      <c r="AD147" s="1312">
        <f>AE146*((1+'Instrumentos Financeiros'!$H$43)^(1/12)-1)</f>
        <v>0</v>
      </c>
      <c r="AE147" s="1312">
        <f t="shared" si="37"/>
        <v>0</v>
      </c>
      <c r="AF147" s="1312">
        <f>IF(AND(C147&gt;$F$66,'Instrumentos Financeiros'!C147&lt;'Instrumentos Financeiros'!$F$66+'Instrumentos Financeiros'!$F$11+1),PMT(((1+'Instrumentos Financeiros'!$I$43)^(1/12)-1),$F$11,-$I$66),0)</f>
        <v>0</v>
      </c>
      <c r="AG147" s="1312">
        <f t="shared" si="68"/>
        <v>0</v>
      </c>
      <c r="AH147" s="1312">
        <f>AI146*((1+'Instrumentos Financeiros'!$I$43)^(1/12)-1)</f>
        <v>0</v>
      </c>
      <c r="AI147" s="1312">
        <f t="shared" si="38"/>
        <v>0</v>
      </c>
      <c r="AJ147" s="1312">
        <f>IF(AND(C147&gt;$F$67,'Instrumentos Financeiros'!C147&lt;'Instrumentos Financeiros'!$F$67+'Instrumentos Financeiros'!$F$11+1),PMT(((1+'Instrumentos Financeiros'!$I$43)^(1/12)-1),$F$11,-$I$67),0)</f>
        <v>0</v>
      </c>
      <c r="AK147" s="1312">
        <f t="shared" si="69"/>
        <v>0</v>
      </c>
      <c r="AL147" s="1312">
        <f>AM146*((1+'Instrumentos Financeiros'!$I$43)^(1/12)-1)</f>
        <v>0</v>
      </c>
      <c r="AM147" s="1312">
        <f t="shared" si="39"/>
        <v>0</v>
      </c>
      <c r="AN147" s="1312">
        <f>IF(AND(C147&gt;$F$68,'Instrumentos Financeiros'!C147&lt;'Instrumentos Financeiros'!$F$68+'Instrumentos Financeiros'!$F$11+1),PMT(((1+'Instrumentos Financeiros'!$I$43)^(1/12)-1),$F$11,-$I$68),0)</f>
        <v>0</v>
      </c>
      <c r="AO147" s="1312">
        <f t="shared" si="70"/>
        <v>0</v>
      </c>
      <c r="AP147" s="1312">
        <f>AQ146*((1+'Instrumentos Financeiros'!$I$43)^(1/12)-1)</f>
        <v>0</v>
      </c>
      <c r="AQ147" s="1312">
        <f t="shared" si="40"/>
        <v>0</v>
      </c>
      <c r="AR147" s="1312">
        <f>IF(AND(C147&gt;$F$69,'Instrumentos Financeiros'!C147&lt;'Instrumentos Financeiros'!$F$69+'Instrumentos Financeiros'!$F$11+1),PMT(((1+'Instrumentos Financeiros'!$I$43)^(1/12)-1),$F$11,-$I$69),0)</f>
        <v>0</v>
      </c>
      <c r="AS147" s="1312">
        <f t="shared" si="71"/>
        <v>0</v>
      </c>
      <c r="AT147" s="1312">
        <f>AU146*((1+'Instrumentos Financeiros'!$I$43)^(1/12)-1)</f>
        <v>0</v>
      </c>
      <c r="AU147" s="1312">
        <f t="shared" si="41"/>
        <v>0</v>
      </c>
      <c r="AV147" s="1312">
        <f>IF(AND(C147&gt;$F$70,'Instrumentos Financeiros'!C147&lt;'Instrumentos Financeiros'!$F$70+'Instrumentos Financeiros'!$F$11+1),PMT(((1+'Instrumentos Financeiros'!$J$43)^(1/12)-1),$F$11,-$I$70),0)</f>
        <v>0</v>
      </c>
      <c r="AW147" s="1312">
        <f t="shared" si="72"/>
        <v>0</v>
      </c>
      <c r="AX147" s="1312">
        <f>AY146*((1+'Instrumentos Financeiros'!$J$43)^(1/12)-1)</f>
        <v>0</v>
      </c>
      <c r="AY147" s="1312">
        <f t="shared" si="42"/>
        <v>0</v>
      </c>
      <c r="AZ147" s="1312">
        <f>IF(AND(C147&gt;$F$71,'Instrumentos Financeiros'!C147&lt;'Instrumentos Financeiros'!$F$71+'Instrumentos Financeiros'!$F$11+1),PMT(((1+'Instrumentos Financeiros'!$J$43)^(1/12)-1),$F$11,-$I$71),0)</f>
        <v>0</v>
      </c>
      <c r="BA147" s="1312">
        <f t="shared" si="73"/>
        <v>0</v>
      </c>
      <c r="BB147" s="1312">
        <f>BC146*((1+'Instrumentos Financeiros'!$J$43)^(1/12)-1)</f>
        <v>0</v>
      </c>
      <c r="BC147" s="1312">
        <f t="shared" si="43"/>
        <v>0</v>
      </c>
      <c r="BD147" s="1312">
        <f>IF(AND(C147&gt;$F$72,'Instrumentos Financeiros'!C147&lt;'Instrumentos Financeiros'!$F$72+'Instrumentos Financeiros'!$F$11+1),PMT(((1+'Instrumentos Financeiros'!$J$43)^(1/12)-1),$F$11,-'Instrumentos Financeiros'!$G$7*$G$72),0)</f>
        <v>0</v>
      </c>
      <c r="BE147" s="1312">
        <f t="shared" si="74"/>
        <v>0</v>
      </c>
      <c r="BF147" s="1312">
        <f>BG146*((1+'Instrumentos Financeiros'!$J$43)^(1/12)-1)</f>
        <v>0</v>
      </c>
      <c r="BG147" s="1312">
        <f t="shared" si="44"/>
        <v>0</v>
      </c>
      <c r="BH147" s="1312">
        <f>IF(AND(C147&gt;$F$73,'Instrumentos Financeiros'!C147&lt;'Instrumentos Financeiros'!$F$73+'Instrumentos Financeiros'!$F$11+1),PMT(((1+'Instrumentos Financeiros'!$J$43)^(1/12)-1),$F$11,-$I$73),0)</f>
        <v>0</v>
      </c>
      <c r="BI147" s="1312">
        <f t="shared" si="75"/>
        <v>0</v>
      </c>
      <c r="BJ147" s="1312">
        <f>BK146*((1+'Instrumentos Financeiros'!$J$43)^(1/12)-1)</f>
        <v>0</v>
      </c>
      <c r="BK147" s="1312">
        <f t="shared" si="45"/>
        <v>0</v>
      </c>
      <c r="BL147" s="1312">
        <f>IF(AND(C147&gt;$F$77,'Instrumentos Financeiros'!C147&lt;'Instrumentos Financeiros'!$F$77+'Instrumentos Financeiros'!$F$12+1),PMT(((1+'Instrumentos Financeiros'!$K$43)^(1/12)-1),$F$12,-$I$77),0)</f>
        <v>0</v>
      </c>
      <c r="BM147" s="1312">
        <f t="shared" si="46"/>
        <v>0</v>
      </c>
      <c r="BN147" s="1312">
        <f>BO146*((1+'Instrumentos Financeiros'!$K$43)^(1/12)-1)</f>
        <v>0</v>
      </c>
      <c r="BO147" s="1312">
        <f t="shared" si="47"/>
        <v>0</v>
      </c>
      <c r="BP147" s="1312">
        <f>IF(AND(C147&gt;$F$78,'Instrumentos Financeiros'!C147&lt;'Instrumentos Financeiros'!$F$78+'Instrumentos Financeiros'!$F$12+1),PMT(((1+'Instrumentos Financeiros'!$L$43)^(1/12)-1),$F$12,-$I$78),0)</f>
        <v>0</v>
      </c>
      <c r="BQ147" s="1312">
        <f t="shared" si="48"/>
        <v>0</v>
      </c>
      <c r="BR147" s="1312">
        <f>BS146*((1+'Instrumentos Financeiros'!$L$43)^(1/12)-1)</f>
        <v>0</v>
      </c>
      <c r="BS147" s="1312">
        <f t="shared" si="49"/>
        <v>0</v>
      </c>
      <c r="BT147" s="1312">
        <f>IF(AND(C147&gt;$F$79,'Instrumentos Financeiros'!C147&lt;'Instrumentos Financeiros'!$F$79+'Instrumentos Financeiros'!$F$12+1),PMT(((1+'Instrumentos Financeiros'!$L$43)^(1/12)-1),$F$12,-$I$79),0)</f>
        <v>0</v>
      </c>
      <c r="BU147" s="1312">
        <f t="shared" si="50"/>
        <v>0</v>
      </c>
      <c r="BV147" s="1312">
        <f>BW146*((1+'Instrumentos Financeiros'!$L$43)^(1/12)-1)</f>
        <v>0</v>
      </c>
      <c r="BW147" s="1312">
        <f t="shared" si="51"/>
        <v>0</v>
      </c>
      <c r="BX147" s="1312">
        <f>IF(AND(C147&gt;$F$80,'Instrumentos Financeiros'!C147&lt;'Instrumentos Financeiros'!$F$80+'Instrumentos Financeiros'!$F$12+1),PMT(((1+'Instrumentos Financeiros'!$L$43)^(1/12)-1),$F$12,-$I$80),0)</f>
        <v>0</v>
      </c>
      <c r="BY147" s="1312">
        <f t="shared" si="52"/>
        <v>0</v>
      </c>
      <c r="BZ147" s="1312">
        <f>CA146*((1+'Instrumentos Financeiros'!$L$43)^(1/12)-1)</f>
        <v>0</v>
      </c>
      <c r="CA147" s="1312">
        <f t="shared" si="53"/>
        <v>0</v>
      </c>
      <c r="CB147" s="1312">
        <f>IF(AND(C147&gt;$F$83,'Instrumentos Financeiros'!C147&lt;'Instrumentos Financeiros'!$F$83+'Instrumentos Financeiros'!$F$13+1),PMT(((1+'Instrumentos Financeiros'!$P$43)^(1/12)-1),$F$13,-$I$83),0)</f>
        <v>0</v>
      </c>
      <c r="CC147" s="1312">
        <f t="shared" si="54"/>
        <v>0</v>
      </c>
      <c r="CD147" s="1312">
        <f>CE146*((1+'Instrumentos Financeiros'!$P$43)^(1/12)-1)</f>
        <v>0</v>
      </c>
      <c r="CE147" s="1312">
        <f t="shared" si="55"/>
        <v>0</v>
      </c>
      <c r="CF147" s="1312">
        <f>IF(AND(C147&gt;$F$84,'Instrumentos Financeiros'!C147&lt;'Instrumentos Financeiros'!$F$84+'Instrumentos Financeiros'!$F$13+1),PMT(((1+'Instrumentos Financeiros'!$Q$43)^(1/12)-1),$F$13,-$I$84),0)</f>
        <v>0</v>
      </c>
      <c r="CG147" s="1312">
        <f t="shared" si="56"/>
        <v>0</v>
      </c>
      <c r="CH147" s="1312">
        <f>CI146*((1+'Instrumentos Financeiros'!$Q$43)^(1/12)-1)</f>
        <v>0</v>
      </c>
      <c r="CI147" s="1312">
        <f t="shared" si="57"/>
        <v>0</v>
      </c>
      <c r="CJ147" s="1312">
        <f>IF(AND(C147&gt;$F$85,'Instrumentos Financeiros'!C147&lt;'Instrumentos Financeiros'!$F$85+'Instrumentos Financeiros'!$F$13+1),PMT(((1+'Instrumentos Financeiros'!$Q$43)^(1/12)-1),$F$13,-$I$85),0)</f>
        <v>0</v>
      </c>
      <c r="CK147" s="1312">
        <f t="shared" si="58"/>
        <v>0</v>
      </c>
      <c r="CL147" s="1312">
        <f>CM146*((1+'Instrumentos Financeiros'!$Q$43)^(1/12)-1)</f>
        <v>0</v>
      </c>
      <c r="CM147" s="1312">
        <f t="shared" si="59"/>
        <v>0</v>
      </c>
      <c r="CN147" s="1312">
        <f>IF(AND(C147&gt;$F$86,'Instrumentos Financeiros'!C147&lt;'Instrumentos Financeiros'!$F$86+'Instrumentos Financeiros'!$F$13+1),PMT(((1+'Instrumentos Financeiros'!$Q$43)^(1/12)-1),$F$13,-$I$86),0)</f>
        <v>0</v>
      </c>
      <c r="CO147" s="1312">
        <f t="shared" si="60"/>
        <v>0</v>
      </c>
      <c r="CP147" s="1312">
        <f>CQ146*((1+'Instrumentos Financeiros'!$Q$43)^(1/12)-1)</f>
        <v>0</v>
      </c>
      <c r="CQ147" s="1312">
        <f t="shared" si="61"/>
        <v>0</v>
      </c>
      <c r="CR147" s="1312">
        <f t="shared" si="29"/>
        <v>0</v>
      </c>
      <c r="CS147" s="1312">
        <f t="shared" si="29"/>
        <v>0</v>
      </c>
      <c r="CT147" s="1312">
        <f t="shared" si="29"/>
        <v>0</v>
      </c>
      <c r="CU147" s="1312">
        <f t="shared" si="29"/>
        <v>0</v>
      </c>
    </row>
    <row r="148" spans="3:99" x14ac:dyDescent="0.35">
      <c r="C148" s="1315">
        <f t="shared" si="30"/>
        <v>55</v>
      </c>
      <c r="D148" s="1312">
        <f>IF(AND(C148&gt;$F$59,'Instrumentos Financeiros'!C148&lt;'Instrumentos Financeiros'!$F$59+'Instrumentos Financeiros'!$F$11+1),PMT(((1+'Instrumentos Financeiros'!$G$43)^(1/12)-1),$F$11,-$I$59),0)</f>
        <v>0</v>
      </c>
      <c r="E148" s="1312">
        <f t="shared" si="14"/>
        <v>0</v>
      </c>
      <c r="F148" s="1312">
        <f>G147*((1+'Instrumentos Financeiros'!$G$43)^(1/12)-1)</f>
        <v>0</v>
      </c>
      <c r="G148" s="1312">
        <f t="shared" si="31"/>
        <v>0</v>
      </c>
      <c r="H148" s="1312">
        <f>IF(AND(C148&gt;$F$60,'Instrumentos Financeiros'!C148&lt;'Instrumentos Financeiros'!$F$60+'Instrumentos Financeiros'!$F$11+1),PMT(((1+'Instrumentos Financeiros'!$G$43)^(1/12)-1),$F$11,-$I$60),0)</f>
        <v>0</v>
      </c>
      <c r="I148" s="1312">
        <f t="shared" si="62"/>
        <v>0</v>
      </c>
      <c r="J148" s="1312">
        <f>K147*((1+'Instrumentos Financeiros'!$G$43)^(1/12)-1)</f>
        <v>0</v>
      </c>
      <c r="K148" s="1312">
        <f t="shared" si="32"/>
        <v>0</v>
      </c>
      <c r="L148" s="1312">
        <f>IF(AND(C148&gt;$F$61,'Instrumentos Financeiros'!C148&lt;'Instrumentos Financeiros'!$F$61+'Instrumentos Financeiros'!$F$11+1),PMT(((1+'Instrumentos Financeiros'!$G$43)^(1/12)-1),$F$11,-$I$61),0)</f>
        <v>0</v>
      </c>
      <c r="M148" s="1312">
        <f t="shared" si="63"/>
        <v>0</v>
      </c>
      <c r="N148" s="1312">
        <f>O147*((1+'Instrumentos Financeiros'!$G$43)^(1/12)-1)</f>
        <v>0</v>
      </c>
      <c r="O148" s="1312">
        <f t="shared" si="33"/>
        <v>0</v>
      </c>
      <c r="P148" s="1312">
        <f>IF(AND(C148&gt;$F$62,'Instrumentos Financeiros'!C148&lt;'Instrumentos Financeiros'!$F$62+'Instrumentos Financeiros'!$F$11+1),PMT(((1+'Instrumentos Financeiros'!$H$43)^(1/12)-1),$F$11,-$I$62),0)</f>
        <v>0</v>
      </c>
      <c r="Q148" s="1312">
        <f t="shared" si="64"/>
        <v>0</v>
      </c>
      <c r="R148" s="1312">
        <f>S147*((1+'Instrumentos Financeiros'!$H$43)^(1/12)-1)</f>
        <v>0</v>
      </c>
      <c r="S148" s="1312">
        <f t="shared" si="34"/>
        <v>0</v>
      </c>
      <c r="T148" s="1312">
        <f>IF(AND(C148&gt;$F$63,'Instrumentos Financeiros'!C148&lt;'Instrumentos Financeiros'!$F$63+'Instrumentos Financeiros'!$F$11+1),PMT(((1+'Instrumentos Financeiros'!$H$43)^(1/12)-1),$F$11,-$I$63),0)</f>
        <v>0</v>
      </c>
      <c r="U148" s="1312">
        <f t="shared" si="65"/>
        <v>0</v>
      </c>
      <c r="V148" s="1312">
        <f>W147*((1+'Instrumentos Financeiros'!$H$43)^(1/12)-1)</f>
        <v>0</v>
      </c>
      <c r="W148" s="1312">
        <f t="shared" si="35"/>
        <v>0</v>
      </c>
      <c r="X148" s="1312">
        <f>IF(AND(C148&gt;$F$64,'Instrumentos Financeiros'!C148&lt;'Instrumentos Financeiros'!$F$64+'Instrumentos Financeiros'!$F$11+1),PMT(((1+'Instrumentos Financeiros'!$H$43)^(1/12)-1),$F$11,-$I$64),0)</f>
        <v>0</v>
      </c>
      <c r="Y148" s="1312">
        <f t="shared" si="66"/>
        <v>0</v>
      </c>
      <c r="Z148" s="1312">
        <f>AA147*((1+'Instrumentos Financeiros'!$H$43)^(1/12)-1)</f>
        <v>0</v>
      </c>
      <c r="AA148" s="1312">
        <f t="shared" si="36"/>
        <v>0</v>
      </c>
      <c r="AB148" s="1312">
        <f>IF(AND(C148&gt;$F$65,'Instrumentos Financeiros'!C148&lt;'Instrumentos Financeiros'!$F$65+'Instrumentos Financeiros'!$F$11+1),PMT(((1+'Instrumentos Financeiros'!$H$43)^(1/12)-1),$F$11,-$I$65),0)</f>
        <v>0</v>
      </c>
      <c r="AC148" s="1312">
        <f t="shared" si="67"/>
        <v>0</v>
      </c>
      <c r="AD148" s="1312">
        <f>AE147*((1+'Instrumentos Financeiros'!$H$43)^(1/12)-1)</f>
        <v>0</v>
      </c>
      <c r="AE148" s="1312">
        <f t="shared" si="37"/>
        <v>0</v>
      </c>
      <c r="AF148" s="1312">
        <f>IF(AND(C148&gt;$F$66,'Instrumentos Financeiros'!C148&lt;'Instrumentos Financeiros'!$F$66+'Instrumentos Financeiros'!$F$11+1),PMT(((1+'Instrumentos Financeiros'!$I$43)^(1/12)-1),$F$11,-$I$66),0)</f>
        <v>0</v>
      </c>
      <c r="AG148" s="1312">
        <f t="shared" si="68"/>
        <v>0</v>
      </c>
      <c r="AH148" s="1312">
        <f>AI147*((1+'Instrumentos Financeiros'!$I$43)^(1/12)-1)</f>
        <v>0</v>
      </c>
      <c r="AI148" s="1312">
        <f t="shared" si="38"/>
        <v>0</v>
      </c>
      <c r="AJ148" s="1312">
        <f>IF(AND(C148&gt;$F$67,'Instrumentos Financeiros'!C148&lt;'Instrumentos Financeiros'!$F$67+'Instrumentos Financeiros'!$F$11+1),PMT(((1+'Instrumentos Financeiros'!$I$43)^(1/12)-1),$F$11,-$I$67),0)</f>
        <v>0</v>
      </c>
      <c r="AK148" s="1312">
        <f t="shared" si="69"/>
        <v>0</v>
      </c>
      <c r="AL148" s="1312">
        <f>AM147*((1+'Instrumentos Financeiros'!$I$43)^(1/12)-1)</f>
        <v>0</v>
      </c>
      <c r="AM148" s="1312">
        <f t="shared" si="39"/>
        <v>0</v>
      </c>
      <c r="AN148" s="1312">
        <f>IF(AND(C148&gt;$F$68,'Instrumentos Financeiros'!C148&lt;'Instrumentos Financeiros'!$F$68+'Instrumentos Financeiros'!$F$11+1),PMT(((1+'Instrumentos Financeiros'!$I$43)^(1/12)-1),$F$11,-$I$68),0)</f>
        <v>0</v>
      </c>
      <c r="AO148" s="1312">
        <f t="shared" si="70"/>
        <v>0</v>
      </c>
      <c r="AP148" s="1312">
        <f>AQ147*((1+'Instrumentos Financeiros'!$I$43)^(1/12)-1)</f>
        <v>0</v>
      </c>
      <c r="AQ148" s="1312">
        <f t="shared" si="40"/>
        <v>0</v>
      </c>
      <c r="AR148" s="1312">
        <f>IF(AND(C148&gt;$F$69,'Instrumentos Financeiros'!C148&lt;'Instrumentos Financeiros'!$F$69+'Instrumentos Financeiros'!$F$11+1),PMT(((1+'Instrumentos Financeiros'!$I$43)^(1/12)-1),$F$11,-$I$69),0)</f>
        <v>0</v>
      </c>
      <c r="AS148" s="1312">
        <f t="shared" si="71"/>
        <v>0</v>
      </c>
      <c r="AT148" s="1312">
        <f>AU147*((1+'Instrumentos Financeiros'!$I$43)^(1/12)-1)</f>
        <v>0</v>
      </c>
      <c r="AU148" s="1312">
        <f t="shared" si="41"/>
        <v>0</v>
      </c>
      <c r="AV148" s="1312">
        <f>IF(AND(C148&gt;$F$70,'Instrumentos Financeiros'!C148&lt;'Instrumentos Financeiros'!$F$70+'Instrumentos Financeiros'!$F$11+1),PMT(((1+'Instrumentos Financeiros'!$J$43)^(1/12)-1),$F$11,-$I$70),0)</f>
        <v>0</v>
      </c>
      <c r="AW148" s="1312">
        <f t="shared" si="72"/>
        <v>0</v>
      </c>
      <c r="AX148" s="1312">
        <f>AY147*((1+'Instrumentos Financeiros'!$J$43)^(1/12)-1)</f>
        <v>0</v>
      </c>
      <c r="AY148" s="1312">
        <f t="shared" si="42"/>
        <v>0</v>
      </c>
      <c r="AZ148" s="1312">
        <f>IF(AND(C148&gt;$F$71,'Instrumentos Financeiros'!C148&lt;'Instrumentos Financeiros'!$F$71+'Instrumentos Financeiros'!$F$11+1),PMT(((1+'Instrumentos Financeiros'!$J$43)^(1/12)-1),$F$11,-$I$71),0)</f>
        <v>0</v>
      </c>
      <c r="BA148" s="1312">
        <f t="shared" si="73"/>
        <v>0</v>
      </c>
      <c r="BB148" s="1312">
        <f>BC147*((1+'Instrumentos Financeiros'!$J$43)^(1/12)-1)</f>
        <v>0</v>
      </c>
      <c r="BC148" s="1312">
        <f t="shared" si="43"/>
        <v>0</v>
      </c>
      <c r="BD148" s="1312">
        <f>IF(AND(C148&gt;$F$72,'Instrumentos Financeiros'!C148&lt;'Instrumentos Financeiros'!$F$72+'Instrumentos Financeiros'!$F$11+1),PMT(((1+'Instrumentos Financeiros'!$J$43)^(1/12)-1),$F$11,-'Instrumentos Financeiros'!$G$7*$G$72),0)</f>
        <v>0</v>
      </c>
      <c r="BE148" s="1312">
        <f t="shared" si="74"/>
        <v>0</v>
      </c>
      <c r="BF148" s="1312">
        <f>BG147*((1+'Instrumentos Financeiros'!$J$43)^(1/12)-1)</f>
        <v>0</v>
      </c>
      <c r="BG148" s="1312">
        <f t="shared" si="44"/>
        <v>0</v>
      </c>
      <c r="BH148" s="1312">
        <f>IF(AND(C148&gt;$F$73,'Instrumentos Financeiros'!C148&lt;'Instrumentos Financeiros'!$F$73+'Instrumentos Financeiros'!$F$11+1),PMT(((1+'Instrumentos Financeiros'!$J$43)^(1/12)-1),$F$11,-$I$73),0)</f>
        <v>0</v>
      </c>
      <c r="BI148" s="1312">
        <f t="shared" si="75"/>
        <v>0</v>
      </c>
      <c r="BJ148" s="1312">
        <f>BK147*((1+'Instrumentos Financeiros'!$J$43)^(1/12)-1)</f>
        <v>0</v>
      </c>
      <c r="BK148" s="1312">
        <f t="shared" si="45"/>
        <v>0</v>
      </c>
      <c r="BL148" s="1312">
        <f>IF(AND(C148&gt;$F$77,'Instrumentos Financeiros'!C148&lt;'Instrumentos Financeiros'!$F$77+'Instrumentos Financeiros'!$F$12+1),PMT(((1+'Instrumentos Financeiros'!$K$43)^(1/12)-1),$F$12,-$I$77),0)</f>
        <v>0</v>
      </c>
      <c r="BM148" s="1312">
        <f t="shared" si="46"/>
        <v>0</v>
      </c>
      <c r="BN148" s="1312">
        <f>BO147*((1+'Instrumentos Financeiros'!$K$43)^(1/12)-1)</f>
        <v>0</v>
      </c>
      <c r="BO148" s="1312">
        <f t="shared" si="47"/>
        <v>0</v>
      </c>
      <c r="BP148" s="1312">
        <f>IF(AND(C148&gt;$F$78,'Instrumentos Financeiros'!C148&lt;'Instrumentos Financeiros'!$F$78+'Instrumentos Financeiros'!$F$12+1),PMT(((1+'Instrumentos Financeiros'!$L$43)^(1/12)-1),$F$12,-$I$78),0)</f>
        <v>0</v>
      </c>
      <c r="BQ148" s="1312">
        <f t="shared" si="48"/>
        <v>0</v>
      </c>
      <c r="BR148" s="1312">
        <f>BS147*((1+'Instrumentos Financeiros'!$L$43)^(1/12)-1)</f>
        <v>0</v>
      </c>
      <c r="BS148" s="1312">
        <f t="shared" si="49"/>
        <v>0</v>
      </c>
      <c r="BT148" s="1312">
        <f>IF(AND(C148&gt;$F$79,'Instrumentos Financeiros'!C148&lt;'Instrumentos Financeiros'!$F$79+'Instrumentos Financeiros'!$F$12+1),PMT(((1+'Instrumentos Financeiros'!$L$43)^(1/12)-1),$F$12,-$I$79),0)</f>
        <v>0</v>
      </c>
      <c r="BU148" s="1312">
        <f t="shared" si="50"/>
        <v>0</v>
      </c>
      <c r="BV148" s="1312">
        <f>BW147*((1+'Instrumentos Financeiros'!$L$43)^(1/12)-1)</f>
        <v>0</v>
      </c>
      <c r="BW148" s="1312">
        <f t="shared" si="51"/>
        <v>0</v>
      </c>
      <c r="BX148" s="1312">
        <f>IF(AND(C148&gt;$F$80,'Instrumentos Financeiros'!C148&lt;'Instrumentos Financeiros'!$F$80+'Instrumentos Financeiros'!$F$12+1),PMT(((1+'Instrumentos Financeiros'!$L$43)^(1/12)-1),$F$12,-$I$80),0)</f>
        <v>0</v>
      </c>
      <c r="BY148" s="1312">
        <f t="shared" si="52"/>
        <v>0</v>
      </c>
      <c r="BZ148" s="1312">
        <f>CA147*((1+'Instrumentos Financeiros'!$L$43)^(1/12)-1)</f>
        <v>0</v>
      </c>
      <c r="CA148" s="1312">
        <f t="shared" si="53"/>
        <v>0</v>
      </c>
      <c r="CB148" s="1312">
        <f>IF(AND(C148&gt;$F$83,'Instrumentos Financeiros'!C148&lt;'Instrumentos Financeiros'!$F$83+'Instrumentos Financeiros'!$F$13+1),PMT(((1+'Instrumentos Financeiros'!$P$43)^(1/12)-1),$F$13,-$I$83),0)</f>
        <v>0</v>
      </c>
      <c r="CC148" s="1312">
        <f t="shared" si="54"/>
        <v>0</v>
      </c>
      <c r="CD148" s="1312">
        <f>CE147*((1+'Instrumentos Financeiros'!$P$43)^(1/12)-1)</f>
        <v>0</v>
      </c>
      <c r="CE148" s="1312">
        <f t="shared" si="55"/>
        <v>0</v>
      </c>
      <c r="CF148" s="1312">
        <f>IF(AND(C148&gt;$F$84,'Instrumentos Financeiros'!C148&lt;'Instrumentos Financeiros'!$F$84+'Instrumentos Financeiros'!$F$13+1),PMT(((1+'Instrumentos Financeiros'!$Q$43)^(1/12)-1),$F$13,-$I$84),0)</f>
        <v>0</v>
      </c>
      <c r="CG148" s="1312">
        <f t="shared" si="56"/>
        <v>0</v>
      </c>
      <c r="CH148" s="1312">
        <f>CI147*((1+'Instrumentos Financeiros'!$Q$43)^(1/12)-1)</f>
        <v>0</v>
      </c>
      <c r="CI148" s="1312">
        <f t="shared" si="57"/>
        <v>0</v>
      </c>
      <c r="CJ148" s="1312">
        <f>IF(AND(C148&gt;$F$85,'Instrumentos Financeiros'!C148&lt;'Instrumentos Financeiros'!$F$85+'Instrumentos Financeiros'!$F$13+1),PMT(((1+'Instrumentos Financeiros'!$Q$43)^(1/12)-1),$F$13,-$I$85),0)</f>
        <v>0</v>
      </c>
      <c r="CK148" s="1312">
        <f t="shared" si="58"/>
        <v>0</v>
      </c>
      <c r="CL148" s="1312">
        <f>CM147*((1+'Instrumentos Financeiros'!$Q$43)^(1/12)-1)</f>
        <v>0</v>
      </c>
      <c r="CM148" s="1312">
        <f t="shared" si="59"/>
        <v>0</v>
      </c>
      <c r="CN148" s="1312">
        <f>IF(AND(C148&gt;$F$86,'Instrumentos Financeiros'!C148&lt;'Instrumentos Financeiros'!$F$86+'Instrumentos Financeiros'!$F$13+1),PMT(((1+'Instrumentos Financeiros'!$Q$43)^(1/12)-1),$F$13,-$I$86),0)</f>
        <v>0</v>
      </c>
      <c r="CO148" s="1312">
        <f t="shared" si="60"/>
        <v>0</v>
      </c>
      <c r="CP148" s="1312">
        <f>CQ147*((1+'Instrumentos Financeiros'!$Q$43)^(1/12)-1)</f>
        <v>0</v>
      </c>
      <c r="CQ148" s="1312">
        <f t="shared" si="61"/>
        <v>0</v>
      </c>
      <c r="CR148" s="1312">
        <f t="shared" si="29"/>
        <v>0</v>
      </c>
      <c r="CS148" s="1312">
        <f t="shared" si="29"/>
        <v>0</v>
      </c>
      <c r="CT148" s="1312">
        <f t="shared" si="29"/>
        <v>0</v>
      </c>
      <c r="CU148" s="1312">
        <f t="shared" si="29"/>
        <v>0</v>
      </c>
    </row>
    <row r="149" spans="3:99" x14ac:dyDescent="0.35">
      <c r="C149" s="1315">
        <f t="shared" si="30"/>
        <v>56</v>
      </c>
      <c r="D149" s="1312">
        <f>IF(AND(C149&gt;$F$59,'Instrumentos Financeiros'!C149&lt;'Instrumentos Financeiros'!$F$59+'Instrumentos Financeiros'!$F$11+1),PMT(((1+'Instrumentos Financeiros'!$G$43)^(1/12)-1),$F$11,-$I$59),0)</f>
        <v>0</v>
      </c>
      <c r="E149" s="1312">
        <f t="shared" si="14"/>
        <v>0</v>
      </c>
      <c r="F149" s="1312">
        <f>G148*((1+'Instrumentos Financeiros'!$G$43)^(1/12)-1)</f>
        <v>0</v>
      </c>
      <c r="G149" s="1312">
        <f t="shared" si="31"/>
        <v>0</v>
      </c>
      <c r="H149" s="1312">
        <f>IF(AND(C149&gt;$F$60,'Instrumentos Financeiros'!C149&lt;'Instrumentos Financeiros'!$F$60+'Instrumentos Financeiros'!$F$11+1),PMT(((1+'Instrumentos Financeiros'!$G$43)^(1/12)-1),$F$11,-$I$60),0)</f>
        <v>0</v>
      </c>
      <c r="I149" s="1312">
        <f t="shared" si="62"/>
        <v>0</v>
      </c>
      <c r="J149" s="1312">
        <f>K148*((1+'Instrumentos Financeiros'!$G$43)^(1/12)-1)</f>
        <v>0</v>
      </c>
      <c r="K149" s="1312">
        <f t="shared" si="32"/>
        <v>0</v>
      </c>
      <c r="L149" s="1312">
        <f>IF(AND(C149&gt;$F$61,'Instrumentos Financeiros'!C149&lt;'Instrumentos Financeiros'!$F$61+'Instrumentos Financeiros'!$F$11+1),PMT(((1+'Instrumentos Financeiros'!$G$43)^(1/12)-1),$F$11,-$I$61),0)</f>
        <v>0</v>
      </c>
      <c r="M149" s="1312">
        <f t="shared" si="63"/>
        <v>0</v>
      </c>
      <c r="N149" s="1312">
        <f>O148*((1+'Instrumentos Financeiros'!$G$43)^(1/12)-1)</f>
        <v>0</v>
      </c>
      <c r="O149" s="1312">
        <f t="shared" si="33"/>
        <v>0</v>
      </c>
      <c r="P149" s="1312">
        <f>IF(AND(C149&gt;$F$62,'Instrumentos Financeiros'!C149&lt;'Instrumentos Financeiros'!$F$62+'Instrumentos Financeiros'!$F$11+1),PMT(((1+'Instrumentos Financeiros'!$H$43)^(1/12)-1),$F$11,-$I$62),0)</f>
        <v>0</v>
      </c>
      <c r="Q149" s="1312">
        <f t="shared" si="64"/>
        <v>0</v>
      </c>
      <c r="R149" s="1312">
        <f>S148*((1+'Instrumentos Financeiros'!$H$43)^(1/12)-1)</f>
        <v>0</v>
      </c>
      <c r="S149" s="1312">
        <f t="shared" si="34"/>
        <v>0</v>
      </c>
      <c r="T149" s="1312">
        <f>IF(AND(C149&gt;$F$63,'Instrumentos Financeiros'!C149&lt;'Instrumentos Financeiros'!$F$63+'Instrumentos Financeiros'!$F$11+1),PMT(((1+'Instrumentos Financeiros'!$H$43)^(1/12)-1),$F$11,-$I$63),0)</f>
        <v>0</v>
      </c>
      <c r="U149" s="1312">
        <f t="shared" si="65"/>
        <v>0</v>
      </c>
      <c r="V149" s="1312">
        <f>W148*((1+'Instrumentos Financeiros'!$H$43)^(1/12)-1)</f>
        <v>0</v>
      </c>
      <c r="W149" s="1312">
        <f t="shared" si="35"/>
        <v>0</v>
      </c>
      <c r="X149" s="1312">
        <f>IF(AND(C149&gt;$F$64,'Instrumentos Financeiros'!C149&lt;'Instrumentos Financeiros'!$F$64+'Instrumentos Financeiros'!$F$11+1),PMT(((1+'Instrumentos Financeiros'!$H$43)^(1/12)-1),$F$11,-$I$64),0)</f>
        <v>0</v>
      </c>
      <c r="Y149" s="1312">
        <f t="shared" si="66"/>
        <v>0</v>
      </c>
      <c r="Z149" s="1312">
        <f>AA148*((1+'Instrumentos Financeiros'!$H$43)^(1/12)-1)</f>
        <v>0</v>
      </c>
      <c r="AA149" s="1312">
        <f t="shared" si="36"/>
        <v>0</v>
      </c>
      <c r="AB149" s="1312">
        <f>IF(AND(C149&gt;$F$65,'Instrumentos Financeiros'!C149&lt;'Instrumentos Financeiros'!$F$65+'Instrumentos Financeiros'!$F$11+1),PMT(((1+'Instrumentos Financeiros'!$H$43)^(1/12)-1),$F$11,-$I$65),0)</f>
        <v>0</v>
      </c>
      <c r="AC149" s="1312">
        <f t="shared" si="67"/>
        <v>0</v>
      </c>
      <c r="AD149" s="1312">
        <f>AE148*((1+'Instrumentos Financeiros'!$H$43)^(1/12)-1)</f>
        <v>0</v>
      </c>
      <c r="AE149" s="1312">
        <f t="shared" si="37"/>
        <v>0</v>
      </c>
      <c r="AF149" s="1312">
        <f>IF(AND(C149&gt;$F$66,'Instrumentos Financeiros'!C149&lt;'Instrumentos Financeiros'!$F$66+'Instrumentos Financeiros'!$F$11+1),PMT(((1+'Instrumentos Financeiros'!$I$43)^(1/12)-1),$F$11,-$I$66),0)</f>
        <v>0</v>
      </c>
      <c r="AG149" s="1312">
        <f t="shared" si="68"/>
        <v>0</v>
      </c>
      <c r="AH149" s="1312">
        <f>AI148*((1+'Instrumentos Financeiros'!$I$43)^(1/12)-1)</f>
        <v>0</v>
      </c>
      <c r="AI149" s="1312">
        <f t="shared" si="38"/>
        <v>0</v>
      </c>
      <c r="AJ149" s="1312">
        <f>IF(AND(C149&gt;$F$67,'Instrumentos Financeiros'!C149&lt;'Instrumentos Financeiros'!$F$67+'Instrumentos Financeiros'!$F$11+1),PMT(((1+'Instrumentos Financeiros'!$I$43)^(1/12)-1),$F$11,-$I$67),0)</f>
        <v>0</v>
      </c>
      <c r="AK149" s="1312">
        <f t="shared" si="69"/>
        <v>0</v>
      </c>
      <c r="AL149" s="1312">
        <f>AM148*((1+'Instrumentos Financeiros'!$I$43)^(1/12)-1)</f>
        <v>0</v>
      </c>
      <c r="AM149" s="1312">
        <f t="shared" si="39"/>
        <v>0</v>
      </c>
      <c r="AN149" s="1312">
        <f>IF(AND(C149&gt;$F$68,'Instrumentos Financeiros'!C149&lt;'Instrumentos Financeiros'!$F$68+'Instrumentos Financeiros'!$F$11+1),PMT(((1+'Instrumentos Financeiros'!$I$43)^(1/12)-1),$F$11,-$I$68),0)</f>
        <v>0</v>
      </c>
      <c r="AO149" s="1312">
        <f t="shared" si="70"/>
        <v>0</v>
      </c>
      <c r="AP149" s="1312">
        <f>AQ148*((1+'Instrumentos Financeiros'!$I$43)^(1/12)-1)</f>
        <v>0</v>
      </c>
      <c r="AQ149" s="1312">
        <f t="shared" si="40"/>
        <v>0</v>
      </c>
      <c r="AR149" s="1312">
        <f>IF(AND(C149&gt;$F$69,'Instrumentos Financeiros'!C149&lt;'Instrumentos Financeiros'!$F$69+'Instrumentos Financeiros'!$F$11+1),PMT(((1+'Instrumentos Financeiros'!$I$43)^(1/12)-1),$F$11,-$I$69),0)</f>
        <v>0</v>
      </c>
      <c r="AS149" s="1312">
        <f t="shared" si="71"/>
        <v>0</v>
      </c>
      <c r="AT149" s="1312">
        <f>AU148*((1+'Instrumentos Financeiros'!$I$43)^(1/12)-1)</f>
        <v>0</v>
      </c>
      <c r="AU149" s="1312">
        <f t="shared" si="41"/>
        <v>0</v>
      </c>
      <c r="AV149" s="1312">
        <f>IF(AND(C149&gt;$F$70,'Instrumentos Financeiros'!C149&lt;'Instrumentos Financeiros'!$F$70+'Instrumentos Financeiros'!$F$11+1),PMT(((1+'Instrumentos Financeiros'!$J$43)^(1/12)-1),$F$11,-$I$70),0)</f>
        <v>0</v>
      </c>
      <c r="AW149" s="1312">
        <f t="shared" si="72"/>
        <v>0</v>
      </c>
      <c r="AX149" s="1312">
        <f>AY148*((1+'Instrumentos Financeiros'!$J$43)^(1/12)-1)</f>
        <v>0</v>
      </c>
      <c r="AY149" s="1312">
        <f t="shared" si="42"/>
        <v>0</v>
      </c>
      <c r="AZ149" s="1312">
        <f>IF(AND(C149&gt;$F$71,'Instrumentos Financeiros'!C149&lt;'Instrumentos Financeiros'!$F$71+'Instrumentos Financeiros'!$F$11+1),PMT(((1+'Instrumentos Financeiros'!$J$43)^(1/12)-1),$F$11,-$I$71),0)</f>
        <v>0</v>
      </c>
      <c r="BA149" s="1312">
        <f t="shared" si="73"/>
        <v>0</v>
      </c>
      <c r="BB149" s="1312">
        <f>BC148*((1+'Instrumentos Financeiros'!$J$43)^(1/12)-1)</f>
        <v>0</v>
      </c>
      <c r="BC149" s="1312">
        <f t="shared" si="43"/>
        <v>0</v>
      </c>
      <c r="BD149" s="1312">
        <f>IF(AND(C149&gt;$F$72,'Instrumentos Financeiros'!C149&lt;'Instrumentos Financeiros'!$F$72+'Instrumentos Financeiros'!$F$11+1),PMT(((1+'Instrumentos Financeiros'!$J$43)^(1/12)-1),$F$11,-'Instrumentos Financeiros'!$G$7*$G$72),0)</f>
        <v>0</v>
      </c>
      <c r="BE149" s="1312">
        <f t="shared" si="74"/>
        <v>0</v>
      </c>
      <c r="BF149" s="1312">
        <f>BG148*((1+'Instrumentos Financeiros'!$J$43)^(1/12)-1)</f>
        <v>0</v>
      </c>
      <c r="BG149" s="1312">
        <f t="shared" si="44"/>
        <v>0</v>
      </c>
      <c r="BH149" s="1312">
        <f>IF(AND(C149&gt;$F$73,'Instrumentos Financeiros'!C149&lt;'Instrumentos Financeiros'!$F$73+'Instrumentos Financeiros'!$F$11+1),PMT(((1+'Instrumentos Financeiros'!$J$43)^(1/12)-1),$F$11,-$I$73),0)</f>
        <v>0</v>
      </c>
      <c r="BI149" s="1312">
        <f t="shared" si="75"/>
        <v>0</v>
      </c>
      <c r="BJ149" s="1312">
        <f>BK148*((1+'Instrumentos Financeiros'!$J$43)^(1/12)-1)</f>
        <v>0</v>
      </c>
      <c r="BK149" s="1312">
        <f t="shared" si="45"/>
        <v>0</v>
      </c>
      <c r="BL149" s="1312">
        <f>IF(AND(C149&gt;$F$77,'Instrumentos Financeiros'!C149&lt;'Instrumentos Financeiros'!$F$77+'Instrumentos Financeiros'!$F$12+1),PMT(((1+'Instrumentos Financeiros'!$K$43)^(1/12)-1),$F$12,-$I$77),0)</f>
        <v>0</v>
      </c>
      <c r="BM149" s="1312">
        <f t="shared" si="46"/>
        <v>0</v>
      </c>
      <c r="BN149" s="1312">
        <f>BO148*((1+'Instrumentos Financeiros'!$K$43)^(1/12)-1)</f>
        <v>0</v>
      </c>
      <c r="BO149" s="1312">
        <f t="shared" si="47"/>
        <v>0</v>
      </c>
      <c r="BP149" s="1312">
        <f>IF(AND(C149&gt;$F$78,'Instrumentos Financeiros'!C149&lt;'Instrumentos Financeiros'!$F$78+'Instrumentos Financeiros'!$F$12+1),PMT(((1+'Instrumentos Financeiros'!$L$43)^(1/12)-1),$F$12,-$I$78),0)</f>
        <v>0</v>
      </c>
      <c r="BQ149" s="1312">
        <f t="shared" si="48"/>
        <v>0</v>
      </c>
      <c r="BR149" s="1312">
        <f>BS148*((1+'Instrumentos Financeiros'!$L$43)^(1/12)-1)</f>
        <v>0</v>
      </c>
      <c r="BS149" s="1312">
        <f t="shared" si="49"/>
        <v>0</v>
      </c>
      <c r="BT149" s="1312">
        <f>IF(AND(C149&gt;$F$79,'Instrumentos Financeiros'!C149&lt;'Instrumentos Financeiros'!$F$79+'Instrumentos Financeiros'!$F$12+1),PMT(((1+'Instrumentos Financeiros'!$L$43)^(1/12)-1),$F$12,-$I$79),0)</f>
        <v>0</v>
      </c>
      <c r="BU149" s="1312">
        <f t="shared" si="50"/>
        <v>0</v>
      </c>
      <c r="BV149" s="1312">
        <f>BW148*((1+'Instrumentos Financeiros'!$L$43)^(1/12)-1)</f>
        <v>0</v>
      </c>
      <c r="BW149" s="1312">
        <f t="shared" si="51"/>
        <v>0</v>
      </c>
      <c r="BX149" s="1312">
        <f>IF(AND(C149&gt;$F$80,'Instrumentos Financeiros'!C149&lt;'Instrumentos Financeiros'!$F$80+'Instrumentos Financeiros'!$F$12+1),PMT(((1+'Instrumentos Financeiros'!$L$43)^(1/12)-1),$F$12,-$I$80),0)</f>
        <v>0</v>
      </c>
      <c r="BY149" s="1312">
        <f t="shared" si="52"/>
        <v>0</v>
      </c>
      <c r="BZ149" s="1312">
        <f>CA148*((1+'Instrumentos Financeiros'!$L$43)^(1/12)-1)</f>
        <v>0</v>
      </c>
      <c r="CA149" s="1312">
        <f t="shared" si="53"/>
        <v>0</v>
      </c>
      <c r="CB149" s="1312">
        <f>IF(AND(C149&gt;$F$83,'Instrumentos Financeiros'!C149&lt;'Instrumentos Financeiros'!$F$83+'Instrumentos Financeiros'!$F$13+1),PMT(((1+'Instrumentos Financeiros'!$P$43)^(1/12)-1),$F$13,-$I$83),0)</f>
        <v>0</v>
      </c>
      <c r="CC149" s="1312">
        <f t="shared" si="54"/>
        <v>0</v>
      </c>
      <c r="CD149" s="1312">
        <f>CE148*((1+'Instrumentos Financeiros'!$P$43)^(1/12)-1)</f>
        <v>0</v>
      </c>
      <c r="CE149" s="1312">
        <f t="shared" si="55"/>
        <v>0</v>
      </c>
      <c r="CF149" s="1312">
        <f>IF(AND(C149&gt;$F$84,'Instrumentos Financeiros'!C149&lt;'Instrumentos Financeiros'!$F$84+'Instrumentos Financeiros'!$F$13+1),PMT(((1+'Instrumentos Financeiros'!$Q$43)^(1/12)-1),$F$13,-$I$84),0)</f>
        <v>0</v>
      </c>
      <c r="CG149" s="1312">
        <f t="shared" si="56"/>
        <v>0</v>
      </c>
      <c r="CH149" s="1312">
        <f>CI148*((1+'Instrumentos Financeiros'!$Q$43)^(1/12)-1)</f>
        <v>0</v>
      </c>
      <c r="CI149" s="1312">
        <f t="shared" si="57"/>
        <v>0</v>
      </c>
      <c r="CJ149" s="1312">
        <f>IF(AND(C149&gt;$F$85,'Instrumentos Financeiros'!C149&lt;'Instrumentos Financeiros'!$F$85+'Instrumentos Financeiros'!$F$13+1),PMT(((1+'Instrumentos Financeiros'!$Q$43)^(1/12)-1),$F$13,-$I$85),0)</f>
        <v>0</v>
      </c>
      <c r="CK149" s="1312">
        <f t="shared" si="58"/>
        <v>0</v>
      </c>
      <c r="CL149" s="1312">
        <f>CM148*((1+'Instrumentos Financeiros'!$Q$43)^(1/12)-1)</f>
        <v>0</v>
      </c>
      <c r="CM149" s="1312">
        <f t="shared" si="59"/>
        <v>0</v>
      </c>
      <c r="CN149" s="1312">
        <f>IF(AND(C149&gt;$F$86,'Instrumentos Financeiros'!C149&lt;'Instrumentos Financeiros'!$F$86+'Instrumentos Financeiros'!$F$13+1),PMT(((1+'Instrumentos Financeiros'!$Q$43)^(1/12)-1),$F$13,-$I$86),0)</f>
        <v>0</v>
      </c>
      <c r="CO149" s="1312">
        <f t="shared" si="60"/>
        <v>0</v>
      </c>
      <c r="CP149" s="1312">
        <f>CQ148*((1+'Instrumentos Financeiros'!$Q$43)^(1/12)-1)</f>
        <v>0</v>
      </c>
      <c r="CQ149" s="1312">
        <f t="shared" si="61"/>
        <v>0</v>
      </c>
      <c r="CR149" s="1312">
        <f t="shared" si="29"/>
        <v>0</v>
      </c>
      <c r="CS149" s="1312">
        <f t="shared" si="29"/>
        <v>0</v>
      </c>
      <c r="CT149" s="1312">
        <f t="shared" si="29"/>
        <v>0</v>
      </c>
      <c r="CU149" s="1312">
        <f t="shared" si="29"/>
        <v>0</v>
      </c>
    </row>
    <row r="150" spans="3:99" x14ac:dyDescent="0.35">
      <c r="C150" s="1315">
        <f t="shared" si="30"/>
        <v>57</v>
      </c>
      <c r="D150" s="1312">
        <f>IF(AND(C150&gt;$F$59,'Instrumentos Financeiros'!C150&lt;'Instrumentos Financeiros'!$F$59+'Instrumentos Financeiros'!$F$11+1),PMT(((1+'Instrumentos Financeiros'!$G$43)^(1/12)-1),$F$11,-$I$59),0)</f>
        <v>0</v>
      </c>
      <c r="E150" s="1312">
        <f t="shared" si="14"/>
        <v>0</v>
      </c>
      <c r="F150" s="1312">
        <f>G149*((1+'Instrumentos Financeiros'!$G$43)^(1/12)-1)</f>
        <v>0</v>
      </c>
      <c r="G150" s="1312">
        <f t="shared" si="31"/>
        <v>0</v>
      </c>
      <c r="H150" s="1312">
        <f>IF(AND(C150&gt;$F$60,'Instrumentos Financeiros'!C150&lt;'Instrumentos Financeiros'!$F$60+'Instrumentos Financeiros'!$F$11+1),PMT(((1+'Instrumentos Financeiros'!$G$43)^(1/12)-1),$F$11,-$I$60),0)</f>
        <v>0</v>
      </c>
      <c r="I150" s="1312">
        <f t="shared" si="62"/>
        <v>0</v>
      </c>
      <c r="J150" s="1312">
        <f>K149*((1+'Instrumentos Financeiros'!$G$43)^(1/12)-1)</f>
        <v>0</v>
      </c>
      <c r="K150" s="1312">
        <f t="shared" si="32"/>
        <v>0</v>
      </c>
      <c r="L150" s="1312">
        <f>IF(AND(C150&gt;$F$61,'Instrumentos Financeiros'!C150&lt;'Instrumentos Financeiros'!$F$61+'Instrumentos Financeiros'!$F$11+1),PMT(((1+'Instrumentos Financeiros'!$G$43)^(1/12)-1),$F$11,-$I$61),0)</f>
        <v>0</v>
      </c>
      <c r="M150" s="1312">
        <f t="shared" si="63"/>
        <v>0</v>
      </c>
      <c r="N150" s="1312">
        <f>O149*((1+'Instrumentos Financeiros'!$G$43)^(1/12)-1)</f>
        <v>0</v>
      </c>
      <c r="O150" s="1312">
        <f t="shared" si="33"/>
        <v>0</v>
      </c>
      <c r="P150" s="1312">
        <f>IF(AND(C150&gt;$F$62,'Instrumentos Financeiros'!C150&lt;'Instrumentos Financeiros'!$F$62+'Instrumentos Financeiros'!$F$11+1),PMT(((1+'Instrumentos Financeiros'!$H$43)^(1/12)-1),$F$11,-$I$62),0)</f>
        <v>0</v>
      </c>
      <c r="Q150" s="1312">
        <f t="shared" si="64"/>
        <v>0</v>
      </c>
      <c r="R150" s="1312">
        <f>S149*((1+'Instrumentos Financeiros'!$H$43)^(1/12)-1)</f>
        <v>0</v>
      </c>
      <c r="S150" s="1312">
        <f t="shared" si="34"/>
        <v>0</v>
      </c>
      <c r="T150" s="1312">
        <f>IF(AND(C150&gt;$F$63,'Instrumentos Financeiros'!C150&lt;'Instrumentos Financeiros'!$F$63+'Instrumentos Financeiros'!$F$11+1),PMT(((1+'Instrumentos Financeiros'!$H$43)^(1/12)-1),$F$11,-$I$63),0)</f>
        <v>0</v>
      </c>
      <c r="U150" s="1312">
        <f t="shared" si="65"/>
        <v>0</v>
      </c>
      <c r="V150" s="1312">
        <f>W149*((1+'Instrumentos Financeiros'!$H$43)^(1/12)-1)</f>
        <v>0</v>
      </c>
      <c r="W150" s="1312">
        <f t="shared" si="35"/>
        <v>0</v>
      </c>
      <c r="X150" s="1312">
        <f>IF(AND(C150&gt;$F$64,'Instrumentos Financeiros'!C150&lt;'Instrumentos Financeiros'!$F$64+'Instrumentos Financeiros'!$F$11+1),PMT(((1+'Instrumentos Financeiros'!$H$43)^(1/12)-1),$F$11,-$I$64),0)</f>
        <v>0</v>
      </c>
      <c r="Y150" s="1312">
        <f t="shared" si="66"/>
        <v>0</v>
      </c>
      <c r="Z150" s="1312">
        <f>AA149*((1+'Instrumentos Financeiros'!$H$43)^(1/12)-1)</f>
        <v>0</v>
      </c>
      <c r="AA150" s="1312">
        <f t="shared" si="36"/>
        <v>0</v>
      </c>
      <c r="AB150" s="1312">
        <f>IF(AND(C150&gt;$F$65,'Instrumentos Financeiros'!C150&lt;'Instrumentos Financeiros'!$F$65+'Instrumentos Financeiros'!$F$11+1),PMT(((1+'Instrumentos Financeiros'!$H$43)^(1/12)-1),$F$11,-$I$65),0)</f>
        <v>0</v>
      </c>
      <c r="AC150" s="1312">
        <f t="shared" si="67"/>
        <v>0</v>
      </c>
      <c r="AD150" s="1312">
        <f>AE149*((1+'Instrumentos Financeiros'!$H$43)^(1/12)-1)</f>
        <v>0</v>
      </c>
      <c r="AE150" s="1312">
        <f t="shared" si="37"/>
        <v>0</v>
      </c>
      <c r="AF150" s="1312">
        <f>IF(AND(C150&gt;$F$66,'Instrumentos Financeiros'!C150&lt;'Instrumentos Financeiros'!$F$66+'Instrumentos Financeiros'!$F$11+1),PMT(((1+'Instrumentos Financeiros'!$I$43)^(1/12)-1),$F$11,-$I$66),0)</f>
        <v>0</v>
      </c>
      <c r="AG150" s="1312">
        <f t="shared" si="68"/>
        <v>0</v>
      </c>
      <c r="AH150" s="1312">
        <f>AI149*((1+'Instrumentos Financeiros'!$I$43)^(1/12)-1)</f>
        <v>0</v>
      </c>
      <c r="AI150" s="1312">
        <f t="shared" si="38"/>
        <v>0</v>
      </c>
      <c r="AJ150" s="1312">
        <f>IF(AND(C150&gt;$F$67,'Instrumentos Financeiros'!C150&lt;'Instrumentos Financeiros'!$F$67+'Instrumentos Financeiros'!$F$11+1),PMT(((1+'Instrumentos Financeiros'!$I$43)^(1/12)-1),$F$11,-$I$67),0)</f>
        <v>0</v>
      </c>
      <c r="AK150" s="1312">
        <f t="shared" si="69"/>
        <v>0</v>
      </c>
      <c r="AL150" s="1312">
        <f>AM149*((1+'Instrumentos Financeiros'!$I$43)^(1/12)-1)</f>
        <v>0</v>
      </c>
      <c r="AM150" s="1312">
        <f t="shared" si="39"/>
        <v>0</v>
      </c>
      <c r="AN150" s="1312">
        <f>IF(AND(C150&gt;$F$68,'Instrumentos Financeiros'!C150&lt;'Instrumentos Financeiros'!$F$68+'Instrumentos Financeiros'!$F$11+1),PMT(((1+'Instrumentos Financeiros'!$I$43)^(1/12)-1),$F$11,-$I$68),0)</f>
        <v>0</v>
      </c>
      <c r="AO150" s="1312">
        <f t="shared" si="70"/>
        <v>0</v>
      </c>
      <c r="AP150" s="1312">
        <f>AQ149*((1+'Instrumentos Financeiros'!$I$43)^(1/12)-1)</f>
        <v>0</v>
      </c>
      <c r="AQ150" s="1312">
        <f t="shared" si="40"/>
        <v>0</v>
      </c>
      <c r="AR150" s="1312">
        <f>IF(AND(C150&gt;$F$69,'Instrumentos Financeiros'!C150&lt;'Instrumentos Financeiros'!$F$69+'Instrumentos Financeiros'!$F$11+1),PMT(((1+'Instrumentos Financeiros'!$I$43)^(1/12)-1),$F$11,-$I$69),0)</f>
        <v>0</v>
      </c>
      <c r="AS150" s="1312">
        <f t="shared" si="71"/>
        <v>0</v>
      </c>
      <c r="AT150" s="1312">
        <f>AU149*((1+'Instrumentos Financeiros'!$I$43)^(1/12)-1)</f>
        <v>0</v>
      </c>
      <c r="AU150" s="1312">
        <f t="shared" si="41"/>
        <v>0</v>
      </c>
      <c r="AV150" s="1312">
        <f>IF(AND(C150&gt;$F$70,'Instrumentos Financeiros'!C150&lt;'Instrumentos Financeiros'!$F$70+'Instrumentos Financeiros'!$F$11+1),PMT(((1+'Instrumentos Financeiros'!$J$43)^(1/12)-1),$F$11,-$I$70),0)</f>
        <v>0</v>
      </c>
      <c r="AW150" s="1312">
        <f t="shared" si="72"/>
        <v>0</v>
      </c>
      <c r="AX150" s="1312">
        <f>AY149*((1+'Instrumentos Financeiros'!$J$43)^(1/12)-1)</f>
        <v>0</v>
      </c>
      <c r="AY150" s="1312">
        <f t="shared" si="42"/>
        <v>0</v>
      </c>
      <c r="AZ150" s="1312">
        <f>IF(AND(C150&gt;$F$71,'Instrumentos Financeiros'!C150&lt;'Instrumentos Financeiros'!$F$71+'Instrumentos Financeiros'!$F$11+1),PMT(((1+'Instrumentos Financeiros'!$J$43)^(1/12)-1),$F$11,-$I$71),0)</f>
        <v>0</v>
      </c>
      <c r="BA150" s="1312">
        <f t="shared" si="73"/>
        <v>0</v>
      </c>
      <c r="BB150" s="1312">
        <f>BC149*((1+'Instrumentos Financeiros'!$J$43)^(1/12)-1)</f>
        <v>0</v>
      </c>
      <c r="BC150" s="1312">
        <f t="shared" si="43"/>
        <v>0</v>
      </c>
      <c r="BD150" s="1312">
        <f>IF(AND(C150&gt;$F$72,'Instrumentos Financeiros'!C150&lt;'Instrumentos Financeiros'!$F$72+'Instrumentos Financeiros'!$F$11+1),PMT(((1+'Instrumentos Financeiros'!$J$43)^(1/12)-1),$F$11,-'Instrumentos Financeiros'!$G$7*$G$72),0)</f>
        <v>0</v>
      </c>
      <c r="BE150" s="1312">
        <f t="shared" si="74"/>
        <v>0</v>
      </c>
      <c r="BF150" s="1312">
        <f>BG149*((1+'Instrumentos Financeiros'!$J$43)^(1/12)-1)</f>
        <v>0</v>
      </c>
      <c r="BG150" s="1312">
        <f t="shared" si="44"/>
        <v>0</v>
      </c>
      <c r="BH150" s="1312">
        <f>IF(AND(C150&gt;$F$73,'Instrumentos Financeiros'!C150&lt;'Instrumentos Financeiros'!$F$73+'Instrumentos Financeiros'!$F$11+1),PMT(((1+'Instrumentos Financeiros'!$J$43)^(1/12)-1),$F$11,-$I$73),0)</f>
        <v>0</v>
      </c>
      <c r="BI150" s="1312">
        <f t="shared" si="75"/>
        <v>0</v>
      </c>
      <c r="BJ150" s="1312">
        <f>BK149*((1+'Instrumentos Financeiros'!$J$43)^(1/12)-1)</f>
        <v>0</v>
      </c>
      <c r="BK150" s="1312">
        <f t="shared" si="45"/>
        <v>0</v>
      </c>
      <c r="BL150" s="1312">
        <f>IF(AND(C150&gt;$F$77,'Instrumentos Financeiros'!C150&lt;'Instrumentos Financeiros'!$F$77+'Instrumentos Financeiros'!$F$12+1),PMT(((1+'Instrumentos Financeiros'!$K$43)^(1/12)-1),$F$12,-$I$77),0)</f>
        <v>0</v>
      </c>
      <c r="BM150" s="1312">
        <f t="shared" si="46"/>
        <v>0</v>
      </c>
      <c r="BN150" s="1312">
        <f>BO149*((1+'Instrumentos Financeiros'!$K$43)^(1/12)-1)</f>
        <v>0</v>
      </c>
      <c r="BO150" s="1312">
        <f t="shared" si="47"/>
        <v>0</v>
      </c>
      <c r="BP150" s="1312">
        <f>IF(AND(C150&gt;$F$78,'Instrumentos Financeiros'!C150&lt;'Instrumentos Financeiros'!$F$78+'Instrumentos Financeiros'!$F$12+1),PMT(((1+'Instrumentos Financeiros'!$L$43)^(1/12)-1),$F$12,-$I$78),0)</f>
        <v>0</v>
      </c>
      <c r="BQ150" s="1312">
        <f t="shared" si="48"/>
        <v>0</v>
      </c>
      <c r="BR150" s="1312">
        <f>BS149*((1+'Instrumentos Financeiros'!$L$43)^(1/12)-1)</f>
        <v>0</v>
      </c>
      <c r="BS150" s="1312">
        <f t="shared" si="49"/>
        <v>0</v>
      </c>
      <c r="BT150" s="1312">
        <f>IF(AND(C150&gt;$F$79,'Instrumentos Financeiros'!C150&lt;'Instrumentos Financeiros'!$F$79+'Instrumentos Financeiros'!$F$12+1),PMT(((1+'Instrumentos Financeiros'!$L$43)^(1/12)-1),$F$12,-$I$79),0)</f>
        <v>0</v>
      </c>
      <c r="BU150" s="1312">
        <f t="shared" si="50"/>
        <v>0</v>
      </c>
      <c r="BV150" s="1312">
        <f>BW149*((1+'Instrumentos Financeiros'!$L$43)^(1/12)-1)</f>
        <v>0</v>
      </c>
      <c r="BW150" s="1312">
        <f t="shared" si="51"/>
        <v>0</v>
      </c>
      <c r="BX150" s="1312">
        <f>IF(AND(C150&gt;$F$80,'Instrumentos Financeiros'!C150&lt;'Instrumentos Financeiros'!$F$80+'Instrumentos Financeiros'!$F$12+1),PMT(((1+'Instrumentos Financeiros'!$L$43)^(1/12)-1),$F$12,-$I$80),0)</f>
        <v>0</v>
      </c>
      <c r="BY150" s="1312">
        <f t="shared" si="52"/>
        <v>0</v>
      </c>
      <c r="BZ150" s="1312">
        <f>CA149*((1+'Instrumentos Financeiros'!$L$43)^(1/12)-1)</f>
        <v>0</v>
      </c>
      <c r="CA150" s="1312">
        <f t="shared" si="53"/>
        <v>0</v>
      </c>
      <c r="CB150" s="1312">
        <f>IF(AND(C150&gt;$F$83,'Instrumentos Financeiros'!C150&lt;'Instrumentos Financeiros'!$F$83+'Instrumentos Financeiros'!$F$13+1),PMT(((1+'Instrumentos Financeiros'!$P$43)^(1/12)-1),$F$13,-$I$83),0)</f>
        <v>0</v>
      </c>
      <c r="CC150" s="1312">
        <f t="shared" si="54"/>
        <v>0</v>
      </c>
      <c r="CD150" s="1312">
        <f>CE149*((1+'Instrumentos Financeiros'!$P$43)^(1/12)-1)</f>
        <v>0</v>
      </c>
      <c r="CE150" s="1312">
        <f t="shared" si="55"/>
        <v>0</v>
      </c>
      <c r="CF150" s="1312">
        <f>IF(AND(C150&gt;$F$84,'Instrumentos Financeiros'!C150&lt;'Instrumentos Financeiros'!$F$84+'Instrumentos Financeiros'!$F$13+1),PMT(((1+'Instrumentos Financeiros'!$Q$43)^(1/12)-1),$F$13,-$I$84),0)</f>
        <v>0</v>
      </c>
      <c r="CG150" s="1312">
        <f t="shared" si="56"/>
        <v>0</v>
      </c>
      <c r="CH150" s="1312">
        <f>CI149*((1+'Instrumentos Financeiros'!$Q$43)^(1/12)-1)</f>
        <v>0</v>
      </c>
      <c r="CI150" s="1312">
        <f t="shared" si="57"/>
        <v>0</v>
      </c>
      <c r="CJ150" s="1312">
        <f>IF(AND(C150&gt;$F$85,'Instrumentos Financeiros'!C150&lt;'Instrumentos Financeiros'!$F$85+'Instrumentos Financeiros'!$F$13+1),PMT(((1+'Instrumentos Financeiros'!$Q$43)^(1/12)-1),$F$13,-$I$85),0)</f>
        <v>0</v>
      </c>
      <c r="CK150" s="1312">
        <f t="shared" si="58"/>
        <v>0</v>
      </c>
      <c r="CL150" s="1312">
        <f>CM149*((1+'Instrumentos Financeiros'!$Q$43)^(1/12)-1)</f>
        <v>0</v>
      </c>
      <c r="CM150" s="1312">
        <f t="shared" si="59"/>
        <v>0</v>
      </c>
      <c r="CN150" s="1312">
        <f>IF(AND(C150&gt;$F$86,'Instrumentos Financeiros'!C150&lt;'Instrumentos Financeiros'!$F$86+'Instrumentos Financeiros'!$F$13+1),PMT(((1+'Instrumentos Financeiros'!$Q$43)^(1/12)-1),$F$13,-$I$86),0)</f>
        <v>0</v>
      </c>
      <c r="CO150" s="1312">
        <f t="shared" si="60"/>
        <v>0</v>
      </c>
      <c r="CP150" s="1312">
        <f>CQ149*((1+'Instrumentos Financeiros'!$Q$43)^(1/12)-1)</f>
        <v>0</v>
      </c>
      <c r="CQ150" s="1312">
        <f t="shared" si="61"/>
        <v>0</v>
      </c>
      <c r="CR150" s="1312">
        <f t="shared" si="29"/>
        <v>0</v>
      </c>
      <c r="CS150" s="1312">
        <f t="shared" si="29"/>
        <v>0</v>
      </c>
      <c r="CT150" s="1312">
        <f t="shared" si="29"/>
        <v>0</v>
      </c>
      <c r="CU150" s="1312">
        <f t="shared" si="29"/>
        <v>0</v>
      </c>
    </row>
    <row r="151" spans="3:99" x14ac:dyDescent="0.35">
      <c r="C151" s="1315">
        <f t="shared" si="30"/>
        <v>58</v>
      </c>
      <c r="D151" s="1312">
        <f>IF(AND(C151&gt;$F$59,'Instrumentos Financeiros'!C151&lt;'Instrumentos Financeiros'!$F$59+'Instrumentos Financeiros'!$F$11+1),PMT(((1+'Instrumentos Financeiros'!$G$43)^(1/12)-1),$F$11,-$I$59),0)</f>
        <v>0</v>
      </c>
      <c r="E151" s="1312">
        <f t="shared" si="14"/>
        <v>0</v>
      </c>
      <c r="F151" s="1312">
        <f>G150*((1+'Instrumentos Financeiros'!$G$43)^(1/12)-1)</f>
        <v>0</v>
      </c>
      <c r="G151" s="1312">
        <f t="shared" si="31"/>
        <v>0</v>
      </c>
      <c r="H151" s="1312">
        <f>IF(AND(C151&gt;$F$60,'Instrumentos Financeiros'!C151&lt;'Instrumentos Financeiros'!$F$60+'Instrumentos Financeiros'!$F$11+1),PMT(((1+'Instrumentos Financeiros'!$G$43)^(1/12)-1),$F$11,-$I$60),0)</f>
        <v>0</v>
      </c>
      <c r="I151" s="1312">
        <f t="shared" si="62"/>
        <v>0</v>
      </c>
      <c r="J151" s="1312">
        <f>K150*((1+'Instrumentos Financeiros'!$G$43)^(1/12)-1)</f>
        <v>0</v>
      </c>
      <c r="K151" s="1312">
        <f t="shared" si="32"/>
        <v>0</v>
      </c>
      <c r="L151" s="1312">
        <f>IF(AND(C151&gt;$F$61,'Instrumentos Financeiros'!C151&lt;'Instrumentos Financeiros'!$F$61+'Instrumentos Financeiros'!$F$11+1),PMT(((1+'Instrumentos Financeiros'!$G$43)^(1/12)-1),$F$11,-$I$61),0)</f>
        <v>0</v>
      </c>
      <c r="M151" s="1312">
        <f t="shared" si="63"/>
        <v>0</v>
      </c>
      <c r="N151" s="1312">
        <f>O150*((1+'Instrumentos Financeiros'!$G$43)^(1/12)-1)</f>
        <v>0</v>
      </c>
      <c r="O151" s="1312">
        <f t="shared" si="33"/>
        <v>0</v>
      </c>
      <c r="P151" s="1312">
        <f>IF(AND(C151&gt;$F$62,'Instrumentos Financeiros'!C151&lt;'Instrumentos Financeiros'!$F$62+'Instrumentos Financeiros'!$F$11+1),PMT(((1+'Instrumentos Financeiros'!$H$43)^(1/12)-1),$F$11,-$I$62),0)</f>
        <v>0</v>
      </c>
      <c r="Q151" s="1312">
        <f t="shared" si="64"/>
        <v>0</v>
      </c>
      <c r="R151" s="1312">
        <f>S150*((1+'Instrumentos Financeiros'!$H$43)^(1/12)-1)</f>
        <v>0</v>
      </c>
      <c r="S151" s="1312">
        <f t="shared" si="34"/>
        <v>0</v>
      </c>
      <c r="T151" s="1312">
        <f>IF(AND(C151&gt;$F$63,'Instrumentos Financeiros'!C151&lt;'Instrumentos Financeiros'!$F$63+'Instrumentos Financeiros'!$F$11+1),PMT(((1+'Instrumentos Financeiros'!$H$43)^(1/12)-1),$F$11,-$I$63),0)</f>
        <v>0</v>
      </c>
      <c r="U151" s="1312">
        <f t="shared" si="65"/>
        <v>0</v>
      </c>
      <c r="V151" s="1312">
        <f>W150*((1+'Instrumentos Financeiros'!$H$43)^(1/12)-1)</f>
        <v>0</v>
      </c>
      <c r="W151" s="1312">
        <f t="shared" si="35"/>
        <v>0</v>
      </c>
      <c r="X151" s="1312">
        <f>IF(AND(C151&gt;$F$64,'Instrumentos Financeiros'!C151&lt;'Instrumentos Financeiros'!$F$64+'Instrumentos Financeiros'!$F$11+1),PMT(((1+'Instrumentos Financeiros'!$H$43)^(1/12)-1),$F$11,-$I$64),0)</f>
        <v>0</v>
      </c>
      <c r="Y151" s="1312">
        <f t="shared" si="66"/>
        <v>0</v>
      </c>
      <c r="Z151" s="1312">
        <f>AA150*((1+'Instrumentos Financeiros'!$H$43)^(1/12)-1)</f>
        <v>0</v>
      </c>
      <c r="AA151" s="1312">
        <f t="shared" si="36"/>
        <v>0</v>
      </c>
      <c r="AB151" s="1312">
        <f>IF(AND(C151&gt;$F$65,'Instrumentos Financeiros'!C151&lt;'Instrumentos Financeiros'!$F$65+'Instrumentos Financeiros'!$F$11+1),PMT(((1+'Instrumentos Financeiros'!$H$43)^(1/12)-1),$F$11,-$I$65),0)</f>
        <v>0</v>
      </c>
      <c r="AC151" s="1312">
        <f t="shared" si="67"/>
        <v>0</v>
      </c>
      <c r="AD151" s="1312">
        <f>AE150*((1+'Instrumentos Financeiros'!$H$43)^(1/12)-1)</f>
        <v>0</v>
      </c>
      <c r="AE151" s="1312">
        <f t="shared" si="37"/>
        <v>0</v>
      </c>
      <c r="AF151" s="1312">
        <f>IF(AND(C151&gt;$F$66,'Instrumentos Financeiros'!C151&lt;'Instrumentos Financeiros'!$F$66+'Instrumentos Financeiros'!$F$11+1),PMT(((1+'Instrumentos Financeiros'!$I$43)^(1/12)-1),$F$11,-$I$66),0)</f>
        <v>0</v>
      </c>
      <c r="AG151" s="1312">
        <f t="shared" si="68"/>
        <v>0</v>
      </c>
      <c r="AH151" s="1312">
        <f>AI150*((1+'Instrumentos Financeiros'!$I$43)^(1/12)-1)</f>
        <v>0</v>
      </c>
      <c r="AI151" s="1312">
        <f t="shared" si="38"/>
        <v>0</v>
      </c>
      <c r="AJ151" s="1312">
        <f>IF(AND(C151&gt;$F$67,'Instrumentos Financeiros'!C151&lt;'Instrumentos Financeiros'!$F$67+'Instrumentos Financeiros'!$F$11+1),PMT(((1+'Instrumentos Financeiros'!$I$43)^(1/12)-1),$F$11,-$I$67),0)</f>
        <v>0</v>
      </c>
      <c r="AK151" s="1312">
        <f t="shared" si="69"/>
        <v>0</v>
      </c>
      <c r="AL151" s="1312">
        <f>AM150*((1+'Instrumentos Financeiros'!$I$43)^(1/12)-1)</f>
        <v>0</v>
      </c>
      <c r="AM151" s="1312">
        <f t="shared" si="39"/>
        <v>0</v>
      </c>
      <c r="AN151" s="1312">
        <f>IF(AND(C151&gt;$F$68,'Instrumentos Financeiros'!C151&lt;'Instrumentos Financeiros'!$F$68+'Instrumentos Financeiros'!$F$11+1),PMT(((1+'Instrumentos Financeiros'!$I$43)^(1/12)-1),$F$11,-$I$68),0)</f>
        <v>0</v>
      </c>
      <c r="AO151" s="1312">
        <f t="shared" si="70"/>
        <v>0</v>
      </c>
      <c r="AP151" s="1312">
        <f>AQ150*((1+'Instrumentos Financeiros'!$I$43)^(1/12)-1)</f>
        <v>0</v>
      </c>
      <c r="AQ151" s="1312">
        <f t="shared" si="40"/>
        <v>0</v>
      </c>
      <c r="AR151" s="1312">
        <f>IF(AND(C151&gt;$F$69,'Instrumentos Financeiros'!C151&lt;'Instrumentos Financeiros'!$F$69+'Instrumentos Financeiros'!$F$11+1),PMT(((1+'Instrumentos Financeiros'!$I$43)^(1/12)-1),$F$11,-$I$69),0)</f>
        <v>0</v>
      </c>
      <c r="AS151" s="1312">
        <f t="shared" si="71"/>
        <v>0</v>
      </c>
      <c r="AT151" s="1312">
        <f>AU150*((1+'Instrumentos Financeiros'!$I$43)^(1/12)-1)</f>
        <v>0</v>
      </c>
      <c r="AU151" s="1312">
        <f t="shared" si="41"/>
        <v>0</v>
      </c>
      <c r="AV151" s="1312">
        <f>IF(AND(C151&gt;$F$70,'Instrumentos Financeiros'!C151&lt;'Instrumentos Financeiros'!$F$70+'Instrumentos Financeiros'!$F$11+1),PMT(((1+'Instrumentos Financeiros'!$J$43)^(1/12)-1),$F$11,-$I$70),0)</f>
        <v>0</v>
      </c>
      <c r="AW151" s="1312">
        <f t="shared" si="72"/>
        <v>0</v>
      </c>
      <c r="AX151" s="1312">
        <f>AY150*((1+'Instrumentos Financeiros'!$J$43)^(1/12)-1)</f>
        <v>0</v>
      </c>
      <c r="AY151" s="1312">
        <f t="shared" si="42"/>
        <v>0</v>
      </c>
      <c r="AZ151" s="1312">
        <f>IF(AND(C151&gt;$F$71,'Instrumentos Financeiros'!C151&lt;'Instrumentos Financeiros'!$F$71+'Instrumentos Financeiros'!$F$11+1),PMT(((1+'Instrumentos Financeiros'!$J$43)^(1/12)-1),$F$11,-$I$71),0)</f>
        <v>0</v>
      </c>
      <c r="BA151" s="1312">
        <f t="shared" si="73"/>
        <v>0</v>
      </c>
      <c r="BB151" s="1312">
        <f>BC150*((1+'Instrumentos Financeiros'!$J$43)^(1/12)-1)</f>
        <v>0</v>
      </c>
      <c r="BC151" s="1312">
        <f t="shared" si="43"/>
        <v>0</v>
      </c>
      <c r="BD151" s="1312">
        <f>IF(AND(C151&gt;$F$72,'Instrumentos Financeiros'!C151&lt;'Instrumentos Financeiros'!$F$72+'Instrumentos Financeiros'!$F$11+1),PMT(((1+'Instrumentos Financeiros'!$J$43)^(1/12)-1),$F$11,-'Instrumentos Financeiros'!$G$7*$G$72),0)</f>
        <v>0</v>
      </c>
      <c r="BE151" s="1312">
        <f t="shared" si="74"/>
        <v>0</v>
      </c>
      <c r="BF151" s="1312">
        <f>BG150*((1+'Instrumentos Financeiros'!$J$43)^(1/12)-1)</f>
        <v>0</v>
      </c>
      <c r="BG151" s="1312">
        <f t="shared" si="44"/>
        <v>0</v>
      </c>
      <c r="BH151" s="1312">
        <f>IF(AND(C151&gt;$F$73,'Instrumentos Financeiros'!C151&lt;'Instrumentos Financeiros'!$F$73+'Instrumentos Financeiros'!$F$11+1),PMT(((1+'Instrumentos Financeiros'!$J$43)^(1/12)-1),$F$11,-$I$73),0)</f>
        <v>0</v>
      </c>
      <c r="BI151" s="1312">
        <f t="shared" si="75"/>
        <v>0</v>
      </c>
      <c r="BJ151" s="1312">
        <f>BK150*((1+'Instrumentos Financeiros'!$J$43)^(1/12)-1)</f>
        <v>0</v>
      </c>
      <c r="BK151" s="1312">
        <f t="shared" si="45"/>
        <v>0</v>
      </c>
      <c r="BL151" s="1312">
        <f>IF(AND(C151&gt;$F$77,'Instrumentos Financeiros'!C151&lt;'Instrumentos Financeiros'!$F$77+'Instrumentos Financeiros'!$F$12+1),PMT(((1+'Instrumentos Financeiros'!$K$43)^(1/12)-1),$F$12,-$I$77),0)</f>
        <v>0</v>
      </c>
      <c r="BM151" s="1312">
        <f t="shared" si="46"/>
        <v>0</v>
      </c>
      <c r="BN151" s="1312">
        <f>BO150*((1+'Instrumentos Financeiros'!$K$43)^(1/12)-1)</f>
        <v>0</v>
      </c>
      <c r="BO151" s="1312">
        <f t="shared" si="47"/>
        <v>0</v>
      </c>
      <c r="BP151" s="1312">
        <f>IF(AND(C151&gt;$F$78,'Instrumentos Financeiros'!C151&lt;'Instrumentos Financeiros'!$F$78+'Instrumentos Financeiros'!$F$12+1),PMT(((1+'Instrumentos Financeiros'!$L$43)^(1/12)-1),$F$12,-$I$78),0)</f>
        <v>0</v>
      </c>
      <c r="BQ151" s="1312">
        <f t="shared" si="48"/>
        <v>0</v>
      </c>
      <c r="BR151" s="1312">
        <f>BS150*((1+'Instrumentos Financeiros'!$L$43)^(1/12)-1)</f>
        <v>0</v>
      </c>
      <c r="BS151" s="1312">
        <f t="shared" si="49"/>
        <v>0</v>
      </c>
      <c r="BT151" s="1312">
        <f>IF(AND(C151&gt;$F$79,'Instrumentos Financeiros'!C151&lt;'Instrumentos Financeiros'!$F$79+'Instrumentos Financeiros'!$F$12+1),PMT(((1+'Instrumentos Financeiros'!$L$43)^(1/12)-1),$F$12,-$I$79),0)</f>
        <v>0</v>
      </c>
      <c r="BU151" s="1312">
        <f t="shared" si="50"/>
        <v>0</v>
      </c>
      <c r="BV151" s="1312">
        <f>BW150*((1+'Instrumentos Financeiros'!$L$43)^(1/12)-1)</f>
        <v>0</v>
      </c>
      <c r="BW151" s="1312">
        <f t="shared" si="51"/>
        <v>0</v>
      </c>
      <c r="BX151" s="1312">
        <f>IF(AND(C151&gt;$F$80,'Instrumentos Financeiros'!C151&lt;'Instrumentos Financeiros'!$F$80+'Instrumentos Financeiros'!$F$12+1),PMT(((1+'Instrumentos Financeiros'!$L$43)^(1/12)-1),$F$12,-$I$80),0)</f>
        <v>0</v>
      </c>
      <c r="BY151" s="1312">
        <f t="shared" si="52"/>
        <v>0</v>
      </c>
      <c r="BZ151" s="1312">
        <f>CA150*((1+'Instrumentos Financeiros'!$L$43)^(1/12)-1)</f>
        <v>0</v>
      </c>
      <c r="CA151" s="1312">
        <f t="shared" si="53"/>
        <v>0</v>
      </c>
      <c r="CB151" s="1312">
        <f>IF(AND(C151&gt;$F$83,'Instrumentos Financeiros'!C151&lt;'Instrumentos Financeiros'!$F$83+'Instrumentos Financeiros'!$F$13+1),PMT(((1+'Instrumentos Financeiros'!$P$43)^(1/12)-1),$F$13,-$I$83),0)</f>
        <v>0</v>
      </c>
      <c r="CC151" s="1312">
        <f t="shared" si="54"/>
        <v>0</v>
      </c>
      <c r="CD151" s="1312">
        <f>CE150*((1+'Instrumentos Financeiros'!$P$43)^(1/12)-1)</f>
        <v>0</v>
      </c>
      <c r="CE151" s="1312">
        <f t="shared" si="55"/>
        <v>0</v>
      </c>
      <c r="CF151" s="1312">
        <f>IF(AND(C151&gt;$F$84,'Instrumentos Financeiros'!C151&lt;'Instrumentos Financeiros'!$F$84+'Instrumentos Financeiros'!$F$13+1),PMT(((1+'Instrumentos Financeiros'!$Q$43)^(1/12)-1),$F$13,-$I$84),0)</f>
        <v>0</v>
      </c>
      <c r="CG151" s="1312">
        <f t="shared" si="56"/>
        <v>0</v>
      </c>
      <c r="CH151" s="1312">
        <f>CI150*((1+'Instrumentos Financeiros'!$Q$43)^(1/12)-1)</f>
        <v>0</v>
      </c>
      <c r="CI151" s="1312">
        <f t="shared" si="57"/>
        <v>0</v>
      </c>
      <c r="CJ151" s="1312">
        <f>IF(AND(C151&gt;$F$85,'Instrumentos Financeiros'!C151&lt;'Instrumentos Financeiros'!$F$85+'Instrumentos Financeiros'!$F$13+1),PMT(((1+'Instrumentos Financeiros'!$Q$43)^(1/12)-1),$F$13,-$I$85),0)</f>
        <v>0</v>
      </c>
      <c r="CK151" s="1312">
        <f t="shared" si="58"/>
        <v>0</v>
      </c>
      <c r="CL151" s="1312">
        <f>CM150*((1+'Instrumentos Financeiros'!$Q$43)^(1/12)-1)</f>
        <v>0</v>
      </c>
      <c r="CM151" s="1312">
        <f t="shared" si="59"/>
        <v>0</v>
      </c>
      <c r="CN151" s="1312">
        <f>IF(AND(C151&gt;$F$86,'Instrumentos Financeiros'!C151&lt;'Instrumentos Financeiros'!$F$86+'Instrumentos Financeiros'!$F$13+1),PMT(((1+'Instrumentos Financeiros'!$Q$43)^(1/12)-1),$F$13,-$I$86),0)</f>
        <v>0</v>
      </c>
      <c r="CO151" s="1312">
        <f t="shared" si="60"/>
        <v>0</v>
      </c>
      <c r="CP151" s="1312">
        <f>CQ150*((1+'Instrumentos Financeiros'!$Q$43)^(1/12)-1)</f>
        <v>0</v>
      </c>
      <c r="CQ151" s="1312">
        <f t="shared" si="61"/>
        <v>0</v>
      </c>
      <c r="CR151" s="1312">
        <f t="shared" si="29"/>
        <v>0</v>
      </c>
      <c r="CS151" s="1312">
        <f t="shared" si="29"/>
        <v>0</v>
      </c>
      <c r="CT151" s="1312">
        <f t="shared" si="29"/>
        <v>0</v>
      </c>
      <c r="CU151" s="1312">
        <f t="shared" si="29"/>
        <v>0</v>
      </c>
    </row>
    <row r="152" spans="3:99" x14ac:dyDescent="0.35">
      <c r="C152" s="1315">
        <f t="shared" si="30"/>
        <v>59</v>
      </c>
      <c r="D152" s="1312">
        <f>IF(AND(C152&gt;$F$59,'Instrumentos Financeiros'!C152&lt;'Instrumentos Financeiros'!$F$59+'Instrumentos Financeiros'!$F$11+1),PMT(((1+'Instrumentos Financeiros'!$G$43)^(1/12)-1),$F$11,-$I$59),0)</f>
        <v>0</v>
      </c>
      <c r="E152" s="1312">
        <f t="shared" si="14"/>
        <v>0</v>
      </c>
      <c r="F152" s="1312">
        <f>G151*((1+'Instrumentos Financeiros'!$G$43)^(1/12)-1)</f>
        <v>0</v>
      </c>
      <c r="G152" s="1312">
        <f t="shared" si="31"/>
        <v>0</v>
      </c>
      <c r="H152" s="1312">
        <f>IF(AND(C152&gt;$F$60,'Instrumentos Financeiros'!C152&lt;'Instrumentos Financeiros'!$F$60+'Instrumentos Financeiros'!$F$11+1),PMT(((1+'Instrumentos Financeiros'!$G$43)^(1/12)-1),$F$11,-$I$60),0)</f>
        <v>0</v>
      </c>
      <c r="I152" s="1312">
        <f t="shared" si="62"/>
        <v>0</v>
      </c>
      <c r="J152" s="1312">
        <f>K151*((1+'Instrumentos Financeiros'!$G$43)^(1/12)-1)</f>
        <v>0</v>
      </c>
      <c r="K152" s="1312">
        <f t="shared" si="32"/>
        <v>0</v>
      </c>
      <c r="L152" s="1312">
        <f>IF(AND(C152&gt;$F$61,'Instrumentos Financeiros'!C152&lt;'Instrumentos Financeiros'!$F$61+'Instrumentos Financeiros'!$F$11+1),PMT(((1+'Instrumentos Financeiros'!$G$43)^(1/12)-1),$F$11,-$I$61),0)</f>
        <v>0</v>
      </c>
      <c r="M152" s="1312">
        <f t="shared" si="63"/>
        <v>0</v>
      </c>
      <c r="N152" s="1312">
        <f>O151*((1+'Instrumentos Financeiros'!$G$43)^(1/12)-1)</f>
        <v>0</v>
      </c>
      <c r="O152" s="1312">
        <f t="shared" si="33"/>
        <v>0</v>
      </c>
      <c r="P152" s="1312">
        <f>IF(AND(C152&gt;$F$62,'Instrumentos Financeiros'!C152&lt;'Instrumentos Financeiros'!$F$62+'Instrumentos Financeiros'!$F$11+1),PMT(((1+'Instrumentos Financeiros'!$H$43)^(1/12)-1),$F$11,-$I$62),0)</f>
        <v>0</v>
      </c>
      <c r="Q152" s="1312">
        <f t="shared" si="64"/>
        <v>0</v>
      </c>
      <c r="R152" s="1312">
        <f>S151*((1+'Instrumentos Financeiros'!$H$43)^(1/12)-1)</f>
        <v>0</v>
      </c>
      <c r="S152" s="1312">
        <f t="shared" si="34"/>
        <v>0</v>
      </c>
      <c r="T152" s="1312">
        <f>IF(AND(C152&gt;$F$63,'Instrumentos Financeiros'!C152&lt;'Instrumentos Financeiros'!$F$63+'Instrumentos Financeiros'!$F$11+1),PMT(((1+'Instrumentos Financeiros'!$H$43)^(1/12)-1),$F$11,-$I$63),0)</f>
        <v>0</v>
      </c>
      <c r="U152" s="1312">
        <f t="shared" si="65"/>
        <v>0</v>
      </c>
      <c r="V152" s="1312">
        <f>W151*((1+'Instrumentos Financeiros'!$H$43)^(1/12)-1)</f>
        <v>0</v>
      </c>
      <c r="W152" s="1312">
        <f t="shared" si="35"/>
        <v>0</v>
      </c>
      <c r="X152" s="1312">
        <f>IF(AND(C152&gt;$F$64,'Instrumentos Financeiros'!C152&lt;'Instrumentos Financeiros'!$F$64+'Instrumentos Financeiros'!$F$11+1),PMT(((1+'Instrumentos Financeiros'!$H$43)^(1/12)-1),$F$11,-$I$64),0)</f>
        <v>0</v>
      </c>
      <c r="Y152" s="1312">
        <f t="shared" si="66"/>
        <v>0</v>
      </c>
      <c r="Z152" s="1312">
        <f>AA151*((1+'Instrumentos Financeiros'!$H$43)^(1/12)-1)</f>
        <v>0</v>
      </c>
      <c r="AA152" s="1312">
        <f t="shared" si="36"/>
        <v>0</v>
      </c>
      <c r="AB152" s="1312">
        <f>IF(AND(C152&gt;$F$65,'Instrumentos Financeiros'!C152&lt;'Instrumentos Financeiros'!$F$65+'Instrumentos Financeiros'!$F$11+1),PMT(((1+'Instrumentos Financeiros'!$H$43)^(1/12)-1),$F$11,-$I$65),0)</f>
        <v>0</v>
      </c>
      <c r="AC152" s="1312">
        <f t="shared" si="67"/>
        <v>0</v>
      </c>
      <c r="AD152" s="1312">
        <f>AE151*((1+'Instrumentos Financeiros'!$H$43)^(1/12)-1)</f>
        <v>0</v>
      </c>
      <c r="AE152" s="1312">
        <f t="shared" si="37"/>
        <v>0</v>
      </c>
      <c r="AF152" s="1312">
        <f>IF(AND(C152&gt;$F$66,'Instrumentos Financeiros'!C152&lt;'Instrumentos Financeiros'!$F$66+'Instrumentos Financeiros'!$F$11+1),PMT(((1+'Instrumentos Financeiros'!$I$43)^(1/12)-1),$F$11,-$I$66),0)</f>
        <v>0</v>
      </c>
      <c r="AG152" s="1312">
        <f t="shared" si="68"/>
        <v>0</v>
      </c>
      <c r="AH152" s="1312">
        <f>AI151*((1+'Instrumentos Financeiros'!$I$43)^(1/12)-1)</f>
        <v>0</v>
      </c>
      <c r="AI152" s="1312">
        <f t="shared" si="38"/>
        <v>0</v>
      </c>
      <c r="AJ152" s="1312">
        <f>IF(AND(C152&gt;$F$67,'Instrumentos Financeiros'!C152&lt;'Instrumentos Financeiros'!$F$67+'Instrumentos Financeiros'!$F$11+1),PMT(((1+'Instrumentos Financeiros'!$I$43)^(1/12)-1),$F$11,-$I$67),0)</f>
        <v>0</v>
      </c>
      <c r="AK152" s="1312">
        <f t="shared" si="69"/>
        <v>0</v>
      </c>
      <c r="AL152" s="1312">
        <f>AM151*((1+'Instrumentos Financeiros'!$I$43)^(1/12)-1)</f>
        <v>0</v>
      </c>
      <c r="AM152" s="1312">
        <f t="shared" si="39"/>
        <v>0</v>
      </c>
      <c r="AN152" s="1312">
        <f>IF(AND(C152&gt;$F$68,'Instrumentos Financeiros'!C152&lt;'Instrumentos Financeiros'!$F$68+'Instrumentos Financeiros'!$F$11+1),PMT(((1+'Instrumentos Financeiros'!$I$43)^(1/12)-1),$F$11,-$I$68),0)</f>
        <v>0</v>
      </c>
      <c r="AO152" s="1312">
        <f t="shared" si="70"/>
        <v>0</v>
      </c>
      <c r="AP152" s="1312">
        <f>AQ151*((1+'Instrumentos Financeiros'!$I$43)^(1/12)-1)</f>
        <v>0</v>
      </c>
      <c r="AQ152" s="1312">
        <f t="shared" si="40"/>
        <v>0</v>
      </c>
      <c r="AR152" s="1312">
        <f>IF(AND(C152&gt;$F$69,'Instrumentos Financeiros'!C152&lt;'Instrumentos Financeiros'!$F$69+'Instrumentos Financeiros'!$F$11+1),PMT(((1+'Instrumentos Financeiros'!$I$43)^(1/12)-1),$F$11,-$I$69),0)</f>
        <v>0</v>
      </c>
      <c r="AS152" s="1312">
        <f t="shared" si="71"/>
        <v>0</v>
      </c>
      <c r="AT152" s="1312">
        <f>AU151*((1+'Instrumentos Financeiros'!$I$43)^(1/12)-1)</f>
        <v>0</v>
      </c>
      <c r="AU152" s="1312">
        <f t="shared" si="41"/>
        <v>0</v>
      </c>
      <c r="AV152" s="1312">
        <f>IF(AND(C152&gt;$F$70,'Instrumentos Financeiros'!C152&lt;'Instrumentos Financeiros'!$F$70+'Instrumentos Financeiros'!$F$11+1),PMT(((1+'Instrumentos Financeiros'!$J$43)^(1/12)-1),$F$11,-$I$70),0)</f>
        <v>0</v>
      </c>
      <c r="AW152" s="1312">
        <f t="shared" si="72"/>
        <v>0</v>
      </c>
      <c r="AX152" s="1312">
        <f>AY151*((1+'Instrumentos Financeiros'!$J$43)^(1/12)-1)</f>
        <v>0</v>
      </c>
      <c r="AY152" s="1312">
        <f t="shared" si="42"/>
        <v>0</v>
      </c>
      <c r="AZ152" s="1312">
        <f>IF(AND(C152&gt;$F$71,'Instrumentos Financeiros'!C152&lt;'Instrumentos Financeiros'!$F$71+'Instrumentos Financeiros'!$F$11+1),PMT(((1+'Instrumentos Financeiros'!$J$43)^(1/12)-1),$F$11,-$I$71),0)</f>
        <v>0</v>
      </c>
      <c r="BA152" s="1312">
        <f t="shared" si="73"/>
        <v>0</v>
      </c>
      <c r="BB152" s="1312">
        <f>BC151*((1+'Instrumentos Financeiros'!$J$43)^(1/12)-1)</f>
        <v>0</v>
      </c>
      <c r="BC152" s="1312">
        <f t="shared" si="43"/>
        <v>0</v>
      </c>
      <c r="BD152" s="1312">
        <f>IF(AND(C152&gt;$F$72,'Instrumentos Financeiros'!C152&lt;'Instrumentos Financeiros'!$F$72+'Instrumentos Financeiros'!$F$11+1),PMT(((1+'Instrumentos Financeiros'!$J$43)^(1/12)-1),$F$11,-'Instrumentos Financeiros'!$G$7*$G$72),0)</f>
        <v>0</v>
      </c>
      <c r="BE152" s="1312">
        <f t="shared" si="74"/>
        <v>0</v>
      </c>
      <c r="BF152" s="1312">
        <f>BG151*((1+'Instrumentos Financeiros'!$J$43)^(1/12)-1)</f>
        <v>0</v>
      </c>
      <c r="BG152" s="1312">
        <f t="shared" si="44"/>
        <v>0</v>
      </c>
      <c r="BH152" s="1312">
        <f>IF(AND(C152&gt;$F$73,'Instrumentos Financeiros'!C152&lt;'Instrumentos Financeiros'!$F$73+'Instrumentos Financeiros'!$F$11+1),PMT(((1+'Instrumentos Financeiros'!$J$43)^(1/12)-1),$F$11,-$I$73),0)</f>
        <v>0</v>
      </c>
      <c r="BI152" s="1312">
        <f t="shared" si="75"/>
        <v>0</v>
      </c>
      <c r="BJ152" s="1312">
        <f>BK151*((1+'Instrumentos Financeiros'!$J$43)^(1/12)-1)</f>
        <v>0</v>
      </c>
      <c r="BK152" s="1312">
        <f t="shared" si="45"/>
        <v>0</v>
      </c>
      <c r="BL152" s="1312">
        <f>IF(AND(C152&gt;$F$77,'Instrumentos Financeiros'!C152&lt;'Instrumentos Financeiros'!$F$77+'Instrumentos Financeiros'!$F$12+1),PMT(((1+'Instrumentos Financeiros'!$K$43)^(1/12)-1),$F$12,-$I$77),0)</f>
        <v>0</v>
      </c>
      <c r="BM152" s="1312">
        <f t="shared" si="46"/>
        <v>0</v>
      </c>
      <c r="BN152" s="1312">
        <f>BO151*((1+'Instrumentos Financeiros'!$K$43)^(1/12)-1)</f>
        <v>0</v>
      </c>
      <c r="BO152" s="1312">
        <f t="shared" si="47"/>
        <v>0</v>
      </c>
      <c r="BP152" s="1312">
        <f>IF(AND(C152&gt;$F$78,'Instrumentos Financeiros'!C152&lt;'Instrumentos Financeiros'!$F$78+'Instrumentos Financeiros'!$F$12+1),PMT(((1+'Instrumentos Financeiros'!$L$43)^(1/12)-1),$F$12,-$I$78),0)</f>
        <v>0</v>
      </c>
      <c r="BQ152" s="1312">
        <f t="shared" si="48"/>
        <v>0</v>
      </c>
      <c r="BR152" s="1312">
        <f>BS151*((1+'Instrumentos Financeiros'!$L$43)^(1/12)-1)</f>
        <v>0</v>
      </c>
      <c r="BS152" s="1312">
        <f t="shared" si="49"/>
        <v>0</v>
      </c>
      <c r="BT152" s="1312">
        <f>IF(AND(C152&gt;$F$79,'Instrumentos Financeiros'!C152&lt;'Instrumentos Financeiros'!$F$79+'Instrumentos Financeiros'!$F$12+1),PMT(((1+'Instrumentos Financeiros'!$L$43)^(1/12)-1),$F$12,-$I$79),0)</f>
        <v>0</v>
      </c>
      <c r="BU152" s="1312">
        <f t="shared" si="50"/>
        <v>0</v>
      </c>
      <c r="BV152" s="1312">
        <f>BW151*((1+'Instrumentos Financeiros'!$L$43)^(1/12)-1)</f>
        <v>0</v>
      </c>
      <c r="BW152" s="1312">
        <f t="shared" si="51"/>
        <v>0</v>
      </c>
      <c r="BX152" s="1312">
        <f>IF(AND(C152&gt;$F$80,'Instrumentos Financeiros'!C152&lt;'Instrumentos Financeiros'!$F$80+'Instrumentos Financeiros'!$F$12+1),PMT(((1+'Instrumentos Financeiros'!$L$43)^(1/12)-1),$F$12,-$I$80),0)</f>
        <v>0</v>
      </c>
      <c r="BY152" s="1312">
        <f t="shared" si="52"/>
        <v>0</v>
      </c>
      <c r="BZ152" s="1312">
        <f>CA151*((1+'Instrumentos Financeiros'!$L$43)^(1/12)-1)</f>
        <v>0</v>
      </c>
      <c r="CA152" s="1312">
        <f t="shared" si="53"/>
        <v>0</v>
      </c>
      <c r="CB152" s="1312">
        <f>IF(AND(C152&gt;$F$83,'Instrumentos Financeiros'!C152&lt;'Instrumentos Financeiros'!$F$83+'Instrumentos Financeiros'!$F$13+1),PMT(((1+'Instrumentos Financeiros'!$P$43)^(1/12)-1),$F$13,-$I$83),0)</f>
        <v>0</v>
      </c>
      <c r="CC152" s="1312">
        <f t="shared" si="54"/>
        <v>0</v>
      </c>
      <c r="CD152" s="1312">
        <f>CE151*((1+'Instrumentos Financeiros'!$P$43)^(1/12)-1)</f>
        <v>0</v>
      </c>
      <c r="CE152" s="1312">
        <f t="shared" si="55"/>
        <v>0</v>
      </c>
      <c r="CF152" s="1312">
        <f>IF(AND(C152&gt;$F$84,'Instrumentos Financeiros'!C152&lt;'Instrumentos Financeiros'!$F$84+'Instrumentos Financeiros'!$F$13+1),PMT(((1+'Instrumentos Financeiros'!$Q$43)^(1/12)-1),$F$13,-$I$84),0)</f>
        <v>0</v>
      </c>
      <c r="CG152" s="1312">
        <f t="shared" si="56"/>
        <v>0</v>
      </c>
      <c r="CH152" s="1312">
        <f>CI151*((1+'Instrumentos Financeiros'!$Q$43)^(1/12)-1)</f>
        <v>0</v>
      </c>
      <c r="CI152" s="1312">
        <f t="shared" si="57"/>
        <v>0</v>
      </c>
      <c r="CJ152" s="1312">
        <f>IF(AND(C152&gt;$F$85,'Instrumentos Financeiros'!C152&lt;'Instrumentos Financeiros'!$F$85+'Instrumentos Financeiros'!$F$13+1),PMT(((1+'Instrumentos Financeiros'!$Q$43)^(1/12)-1),$F$13,-$I$85),0)</f>
        <v>0</v>
      </c>
      <c r="CK152" s="1312">
        <f t="shared" si="58"/>
        <v>0</v>
      </c>
      <c r="CL152" s="1312">
        <f>CM151*((1+'Instrumentos Financeiros'!$Q$43)^(1/12)-1)</f>
        <v>0</v>
      </c>
      <c r="CM152" s="1312">
        <f t="shared" si="59"/>
        <v>0</v>
      </c>
      <c r="CN152" s="1312">
        <f>IF(AND(C152&gt;$F$86,'Instrumentos Financeiros'!C152&lt;'Instrumentos Financeiros'!$F$86+'Instrumentos Financeiros'!$F$13+1),PMT(((1+'Instrumentos Financeiros'!$Q$43)^(1/12)-1),$F$13,-$I$86),0)</f>
        <v>0</v>
      </c>
      <c r="CO152" s="1312">
        <f t="shared" si="60"/>
        <v>0</v>
      </c>
      <c r="CP152" s="1312">
        <f>CQ151*((1+'Instrumentos Financeiros'!$Q$43)^(1/12)-1)</f>
        <v>0</v>
      </c>
      <c r="CQ152" s="1312">
        <f t="shared" si="61"/>
        <v>0</v>
      </c>
      <c r="CR152" s="1312">
        <f t="shared" si="29"/>
        <v>0</v>
      </c>
      <c r="CS152" s="1312">
        <f t="shared" si="29"/>
        <v>0</v>
      </c>
      <c r="CT152" s="1312">
        <f t="shared" si="29"/>
        <v>0</v>
      </c>
      <c r="CU152" s="1312">
        <f t="shared" si="29"/>
        <v>0</v>
      </c>
    </row>
    <row r="153" spans="3:99" x14ac:dyDescent="0.35">
      <c r="C153" s="1316">
        <f t="shared" si="30"/>
        <v>60</v>
      </c>
      <c r="D153" s="1313">
        <f>IF(AND(C153&gt;$F$59,'Instrumentos Financeiros'!C153&lt;'Instrumentos Financeiros'!$F$59+'Instrumentos Financeiros'!$F$11+1),PMT(((1+'Instrumentos Financeiros'!$G$43)^(1/12)-1),$F$11,-$I$59),0)</f>
        <v>0</v>
      </c>
      <c r="E153" s="1313">
        <f t="shared" si="14"/>
        <v>0</v>
      </c>
      <c r="F153" s="1313">
        <f>G152*((1+'Instrumentos Financeiros'!$G$43)^(1/12)-1)</f>
        <v>0</v>
      </c>
      <c r="G153" s="1313">
        <f t="shared" si="31"/>
        <v>0</v>
      </c>
      <c r="H153" s="1313">
        <f>IF(AND(C153&gt;$F$60,'Instrumentos Financeiros'!C153&lt;'Instrumentos Financeiros'!$F$60+'Instrumentos Financeiros'!$F$11+1),PMT(((1+'Instrumentos Financeiros'!$G$43)^(1/12)-1),$F$11,-$I$60),0)</f>
        <v>0</v>
      </c>
      <c r="I153" s="1313">
        <f t="shared" si="62"/>
        <v>0</v>
      </c>
      <c r="J153" s="1313">
        <f>K152*((1+'Instrumentos Financeiros'!$G$43)^(1/12)-1)</f>
        <v>0</v>
      </c>
      <c r="K153" s="1313">
        <f t="shared" si="32"/>
        <v>0</v>
      </c>
      <c r="L153" s="1313">
        <f>IF(AND(C153&gt;$F$61,'Instrumentos Financeiros'!C153&lt;'Instrumentos Financeiros'!$F$61+'Instrumentos Financeiros'!$F$11+1),PMT(((1+'Instrumentos Financeiros'!$G$43)^(1/12)-1),$F$11,-$I$61),0)</f>
        <v>0</v>
      </c>
      <c r="M153" s="1313">
        <f t="shared" si="63"/>
        <v>0</v>
      </c>
      <c r="N153" s="1313">
        <f>O152*((1+'Instrumentos Financeiros'!$G$43)^(1/12)-1)</f>
        <v>0</v>
      </c>
      <c r="O153" s="1313">
        <f t="shared" si="33"/>
        <v>0</v>
      </c>
      <c r="P153" s="1313">
        <f>IF(AND(C153&gt;$F$62,'Instrumentos Financeiros'!C153&lt;'Instrumentos Financeiros'!$F$62+'Instrumentos Financeiros'!$F$11+1),PMT(((1+'Instrumentos Financeiros'!$H$43)^(1/12)-1),$F$11,-$I$62),0)</f>
        <v>0</v>
      </c>
      <c r="Q153" s="1313">
        <f t="shared" si="64"/>
        <v>0</v>
      </c>
      <c r="R153" s="1313">
        <f>S152*((1+'Instrumentos Financeiros'!$H$43)^(1/12)-1)</f>
        <v>0</v>
      </c>
      <c r="S153" s="1313">
        <f t="shared" si="34"/>
        <v>0</v>
      </c>
      <c r="T153" s="1313">
        <f>IF(AND(C153&gt;$F$63,'Instrumentos Financeiros'!C153&lt;'Instrumentos Financeiros'!$F$63+'Instrumentos Financeiros'!$F$11+1),PMT(((1+'Instrumentos Financeiros'!$H$43)^(1/12)-1),$F$11,-$I$63),0)</f>
        <v>0</v>
      </c>
      <c r="U153" s="1313">
        <f t="shared" si="65"/>
        <v>0</v>
      </c>
      <c r="V153" s="1313">
        <f>W152*((1+'Instrumentos Financeiros'!$H$43)^(1/12)-1)</f>
        <v>0</v>
      </c>
      <c r="W153" s="1313">
        <f t="shared" si="35"/>
        <v>0</v>
      </c>
      <c r="X153" s="1313">
        <f>IF(AND(C153&gt;$F$64,'Instrumentos Financeiros'!C153&lt;'Instrumentos Financeiros'!$F$64+'Instrumentos Financeiros'!$F$11+1),PMT(((1+'Instrumentos Financeiros'!$H$43)^(1/12)-1),$F$11,-$I$64),0)</f>
        <v>0</v>
      </c>
      <c r="Y153" s="1313">
        <f t="shared" si="66"/>
        <v>0</v>
      </c>
      <c r="Z153" s="1313">
        <f>AA152*((1+'Instrumentos Financeiros'!$H$43)^(1/12)-1)</f>
        <v>0</v>
      </c>
      <c r="AA153" s="1313">
        <f t="shared" si="36"/>
        <v>0</v>
      </c>
      <c r="AB153" s="1313">
        <f>IF(AND(C153&gt;$F$65,'Instrumentos Financeiros'!C153&lt;'Instrumentos Financeiros'!$F$65+'Instrumentos Financeiros'!$F$11+1),PMT(((1+'Instrumentos Financeiros'!$H$43)^(1/12)-1),$F$11,-$I$65),0)</f>
        <v>0</v>
      </c>
      <c r="AC153" s="1313">
        <f t="shared" si="67"/>
        <v>0</v>
      </c>
      <c r="AD153" s="1313">
        <f>AE152*((1+'Instrumentos Financeiros'!$H$43)^(1/12)-1)</f>
        <v>0</v>
      </c>
      <c r="AE153" s="1313">
        <f t="shared" si="37"/>
        <v>0</v>
      </c>
      <c r="AF153" s="1313">
        <f>IF(AND(C153&gt;$F$66,'Instrumentos Financeiros'!C153&lt;'Instrumentos Financeiros'!$F$66+'Instrumentos Financeiros'!$F$11+1),PMT(((1+'Instrumentos Financeiros'!$I$43)^(1/12)-1),$F$11,-$I$66),0)</f>
        <v>0</v>
      </c>
      <c r="AG153" s="1313">
        <f t="shared" si="68"/>
        <v>0</v>
      </c>
      <c r="AH153" s="1313">
        <f>AI152*((1+'Instrumentos Financeiros'!$I$43)^(1/12)-1)</f>
        <v>0</v>
      </c>
      <c r="AI153" s="1313">
        <f t="shared" si="38"/>
        <v>0</v>
      </c>
      <c r="AJ153" s="1313">
        <f>IF(AND(C153&gt;$F$67,'Instrumentos Financeiros'!C153&lt;'Instrumentos Financeiros'!$F$67+'Instrumentos Financeiros'!$F$11+1),PMT(((1+'Instrumentos Financeiros'!$I$43)^(1/12)-1),$F$11,-$I$67),0)</f>
        <v>0</v>
      </c>
      <c r="AK153" s="1313">
        <f t="shared" si="69"/>
        <v>0</v>
      </c>
      <c r="AL153" s="1313">
        <f>AM152*((1+'Instrumentos Financeiros'!$I$43)^(1/12)-1)</f>
        <v>0</v>
      </c>
      <c r="AM153" s="1313">
        <f t="shared" si="39"/>
        <v>0</v>
      </c>
      <c r="AN153" s="1313">
        <f>IF(AND(C153&gt;$F$68,'Instrumentos Financeiros'!C153&lt;'Instrumentos Financeiros'!$F$68+'Instrumentos Financeiros'!$F$11+1),PMT(((1+'Instrumentos Financeiros'!$I$43)^(1/12)-1),$F$11,-$I$68),0)</f>
        <v>0</v>
      </c>
      <c r="AO153" s="1313">
        <f t="shared" si="70"/>
        <v>0</v>
      </c>
      <c r="AP153" s="1313">
        <f>AQ152*((1+'Instrumentos Financeiros'!$I$43)^(1/12)-1)</f>
        <v>0</v>
      </c>
      <c r="AQ153" s="1313">
        <f t="shared" si="40"/>
        <v>0</v>
      </c>
      <c r="AR153" s="1313">
        <f>IF(AND(C153&gt;$F$69,'Instrumentos Financeiros'!C153&lt;'Instrumentos Financeiros'!$F$69+'Instrumentos Financeiros'!$F$11+1),PMT(((1+'Instrumentos Financeiros'!$I$43)^(1/12)-1),$F$11,-$I$69),0)</f>
        <v>0</v>
      </c>
      <c r="AS153" s="1313">
        <f t="shared" si="71"/>
        <v>0</v>
      </c>
      <c r="AT153" s="1313">
        <f>AU152*((1+'Instrumentos Financeiros'!$I$43)^(1/12)-1)</f>
        <v>0</v>
      </c>
      <c r="AU153" s="1313">
        <f t="shared" si="41"/>
        <v>0</v>
      </c>
      <c r="AV153" s="1313">
        <f>IF(AND(C153&gt;$F$70,'Instrumentos Financeiros'!C153&lt;'Instrumentos Financeiros'!$F$70+'Instrumentos Financeiros'!$F$11+1),PMT(((1+'Instrumentos Financeiros'!$J$43)^(1/12)-1),$F$11,-$I$70),0)</f>
        <v>0</v>
      </c>
      <c r="AW153" s="1313">
        <f t="shared" si="72"/>
        <v>0</v>
      </c>
      <c r="AX153" s="1313">
        <f>AY152*((1+'Instrumentos Financeiros'!$J$43)^(1/12)-1)</f>
        <v>0</v>
      </c>
      <c r="AY153" s="1313">
        <f t="shared" si="42"/>
        <v>0</v>
      </c>
      <c r="AZ153" s="1313">
        <f>IF(AND(C153&gt;$F$71,'Instrumentos Financeiros'!C153&lt;'Instrumentos Financeiros'!$F$71+'Instrumentos Financeiros'!$F$11+1),PMT(((1+'Instrumentos Financeiros'!$J$43)^(1/12)-1),$F$11,-$I$71),0)</f>
        <v>0</v>
      </c>
      <c r="BA153" s="1313">
        <f t="shared" si="73"/>
        <v>0</v>
      </c>
      <c r="BB153" s="1313">
        <f>BC152*((1+'Instrumentos Financeiros'!$J$43)^(1/12)-1)</f>
        <v>0</v>
      </c>
      <c r="BC153" s="1313">
        <f t="shared" si="43"/>
        <v>0</v>
      </c>
      <c r="BD153" s="1313">
        <f>IF(AND(C153&gt;$F$72,'Instrumentos Financeiros'!C153&lt;'Instrumentos Financeiros'!$F$72+'Instrumentos Financeiros'!$F$11+1),PMT(((1+'Instrumentos Financeiros'!$J$43)^(1/12)-1),$F$11,-'Instrumentos Financeiros'!$G$7*$G$72),0)</f>
        <v>0</v>
      </c>
      <c r="BE153" s="1313">
        <f t="shared" si="74"/>
        <v>0</v>
      </c>
      <c r="BF153" s="1313">
        <f>BG152*((1+'Instrumentos Financeiros'!$J$43)^(1/12)-1)</f>
        <v>0</v>
      </c>
      <c r="BG153" s="1313">
        <f t="shared" si="44"/>
        <v>0</v>
      </c>
      <c r="BH153" s="1313">
        <f>IF(AND(C153&gt;$F$73,'Instrumentos Financeiros'!C153&lt;'Instrumentos Financeiros'!$F$73+'Instrumentos Financeiros'!$F$11+1),PMT(((1+'Instrumentos Financeiros'!$J$43)^(1/12)-1),$F$11,-$I$73),0)</f>
        <v>0</v>
      </c>
      <c r="BI153" s="1313">
        <f t="shared" si="75"/>
        <v>0</v>
      </c>
      <c r="BJ153" s="1313">
        <f>BK152*((1+'Instrumentos Financeiros'!$J$43)^(1/12)-1)</f>
        <v>0</v>
      </c>
      <c r="BK153" s="1313">
        <f t="shared" si="45"/>
        <v>0</v>
      </c>
      <c r="BL153" s="1313">
        <f>IF(AND(C153&gt;$F$77,'Instrumentos Financeiros'!C153&lt;'Instrumentos Financeiros'!$F$77+'Instrumentos Financeiros'!$F$12+1),PMT(((1+'Instrumentos Financeiros'!$K$43)^(1/12)-1),$F$12,-$I$77),0)</f>
        <v>0</v>
      </c>
      <c r="BM153" s="1313">
        <f t="shared" si="46"/>
        <v>0</v>
      </c>
      <c r="BN153" s="1313">
        <f>BO152*((1+'Instrumentos Financeiros'!$K$43)^(1/12)-1)</f>
        <v>0</v>
      </c>
      <c r="BO153" s="1313">
        <f t="shared" si="47"/>
        <v>0</v>
      </c>
      <c r="BP153" s="1313">
        <f>IF(AND(C153&gt;$F$78,'Instrumentos Financeiros'!C153&lt;'Instrumentos Financeiros'!$F$78+'Instrumentos Financeiros'!$F$12+1),PMT(((1+'Instrumentos Financeiros'!$L$43)^(1/12)-1),$F$12,-$I$78),0)</f>
        <v>0</v>
      </c>
      <c r="BQ153" s="1313">
        <f t="shared" si="48"/>
        <v>0</v>
      </c>
      <c r="BR153" s="1313">
        <f>BS152*((1+'Instrumentos Financeiros'!$L$43)^(1/12)-1)</f>
        <v>0</v>
      </c>
      <c r="BS153" s="1313">
        <f t="shared" si="49"/>
        <v>0</v>
      </c>
      <c r="BT153" s="1313">
        <f>IF(AND(C153&gt;$F$79,'Instrumentos Financeiros'!C153&lt;'Instrumentos Financeiros'!$F$79+'Instrumentos Financeiros'!$F$12+1),PMT(((1+'Instrumentos Financeiros'!$L$43)^(1/12)-1),$F$12,-$I$79),0)</f>
        <v>0</v>
      </c>
      <c r="BU153" s="1313">
        <f t="shared" si="50"/>
        <v>0</v>
      </c>
      <c r="BV153" s="1313">
        <f>BW152*((1+'Instrumentos Financeiros'!$L$43)^(1/12)-1)</f>
        <v>0</v>
      </c>
      <c r="BW153" s="1313">
        <f t="shared" si="51"/>
        <v>0</v>
      </c>
      <c r="BX153" s="1313">
        <f>IF(AND(C153&gt;$F$80,'Instrumentos Financeiros'!C153&lt;'Instrumentos Financeiros'!$F$80+'Instrumentos Financeiros'!$F$12+1),PMT(((1+'Instrumentos Financeiros'!$L$43)^(1/12)-1),$F$12,-$I$80),0)</f>
        <v>0</v>
      </c>
      <c r="BY153" s="1313">
        <f t="shared" si="52"/>
        <v>0</v>
      </c>
      <c r="BZ153" s="1313">
        <f>CA152*((1+'Instrumentos Financeiros'!$L$43)^(1/12)-1)</f>
        <v>0</v>
      </c>
      <c r="CA153" s="1313">
        <f t="shared" si="53"/>
        <v>0</v>
      </c>
      <c r="CB153" s="1313">
        <f>IF(AND(C153&gt;$F$83,'Instrumentos Financeiros'!C153&lt;'Instrumentos Financeiros'!$F$83+'Instrumentos Financeiros'!$F$13+1),PMT(((1+'Instrumentos Financeiros'!$P$43)^(1/12)-1),$F$13,-$I$83),0)</f>
        <v>0</v>
      </c>
      <c r="CC153" s="1313">
        <f t="shared" si="54"/>
        <v>0</v>
      </c>
      <c r="CD153" s="1313">
        <f>CE152*((1+'Instrumentos Financeiros'!$P$43)^(1/12)-1)</f>
        <v>0</v>
      </c>
      <c r="CE153" s="1313">
        <f t="shared" si="55"/>
        <v>0</v>
      </c>
      <c r="CF153" s="1313">
        <f>IF(AND(C153&gt;$F$84,'Instrumentos Financeiros'!C153&lt;'Instrumentos Financeiros'!$F$84+'Instrumentos Financeiros'!$F$13+1),PMT(((1+'Instrumentos Financeiros'!$Q$43)^(1/12)-1),$F$13,-$I$84),0)</f>
        <v>0</v>
      </c>
      <c r="CG153" s="1313">
        <f t="shared" si="56"/>
        <v>0</v>
      </c>
      <c r="CH153" s="1313">
        <f>CI152*((1+'Instrumentos Financeiros'!$Q$43)^(1/12)-1)</f>
        <v>0</v>
      </c>
      <c r="CI153" s="1313">
        <f t="shared" si="57"/>
        <v>0</v>
      </c>
      <c r="CJ153" s="1313">
        <f>IF(AND(C153&gt;$F$85,'Instrumentos Financeiros'!C153&lt;'Instrumentos Financeiros'!$F$85+'Instrumentos Financeiros'!$F$13+1),PMT(((1+'Instrumentos Financeiros'!$Q$43)^(1/12)-1),$F$13,-$I$85),0)</f>
        <v>0</v>
      </c>
      <c r="CK153" s="1313">
        <f t="shared" si="58"/>
        <v>0</v>
      </c>
      <c r="CL153" s="1313">
        <f>CM152*((1+'Instrumentos Financeiros'!$Q$43)^(1/12)-1)</f>
        <v>0</v>
      </c>
      <c r="CM153" s="1313">
        <f t="shared" si="59"/>
        <v>0</v>
      </c>
      <c r="CN153" s="1313">
        <f>IF(AND(C153&gt;$F$86,'Instrumentos Financeiros'!C153&lt;'Instrumentos Financeiros'!$F$86+'Instrumentos Financeiros'!$F$13+1),PMT(((1+'Instrumentos Financeiros'!$Q$43)^(1/12)-1),$F$13,-$I$86),0)</f>
        <v>0</v>
      </c>
      <c r="CO153" s="1313">
        <f t="shared" si="60"/>
        <v>0</v>
      </c>
      <c r="CP153" s="1313">
        <f>CQ152*((1+'Instrumentos Financeiros'!$Q$43)^(1/12)-1)</f>
        <v>0</v>
      </c>
      <c r="CQ153" s="1313">
        <f t="shared" si="61"/>
        <v>0</v>
      </c>
      <c r="CR153" s="1313">
        <f t="shared" si="29"/>
        <v>0</v>
      </c>
      <c r="CS153" s="1313">
        <f t="shared" si="29"/>
        <v>0</v>
      </c>
      <c r="CT153" s="1313">
        <f t="shared" si="29"/>
        <v>0</v>
      </c>
      <c r="CU153" s="1313">
        <f t="shared" si="29"/>
        <v>0</v>
      </c>
    </row>
    <row r="154" spans="3:99" x14ac:dyDescent="0.35">
      <c r="C154" s="1315">
        <f t="shared" si="30"/>
        <v>61</v>
      </c>
      <c r="D154" s="1312">
        <f>IF(AND(C154&gt;$F$59,'Instrumentos Financeiros'!C154&lt;'Instrumentos Financeiros'!$F$59+'Instrumentos Financeiros'!$F$11+1),PMT(((1+'Instrumentos Financeiros'!$G$43)^(1/12)-1),$F$11,-$I$59),0)</f>
        <v>0</v>
      </c>
      <c r="E154" s="1312">
        <f t="shared" si="14"/>
        <v>0</v>
      </c>
      <c r="F154" s="1312">
        <f>G153*((1+'Instrumentos Financeiros'!$G$43)^(1/12)-1)</f>
        <v>0</v>
      </c>
      <c r="G154" s="1312">
        <f t="shared" si="31"/>
        <v>0</v>
      </c>
      <c r="H154" s="1312">
        <f>IF(AND(C154&gt;$F$60,'Instrumentos Financeiros'!C154&lt;'Instrumentos Financeiros'!$F$60+'Instrumentos Financeiros'!$F$11+1),PMT(((1+'Instrumentos Financeiros'!$G$43)^(1/12)-1),$F$11,-$I$60),0)</f>
        <v>0</v>
      </c>
      <c r="I154" s="1312">
        <f t="shared" si="62"/>
        <v>0</v>
      </c>
      <c r="J154" s="1312">
        <f>K153*((1+'Instrumentos Financeiros'!$G$43)^(1/12)-1)</f>
        <v>0</v>
      </c>
      <c r="K154" s="1312">
        <f t="shared" si="32"/>
        <v>0</v>
      </c>
      <c r="L154" s="1312">
        <f>IF(AND(C154&gt;$F$61,'Instrumentos Financeiros'!C154&lt;'Instrumentos Financeiros'!$F$61+'Instrumentos Financeiros'!$F$11+1),PMT(((1+'Instrumentos Financeiros'!$G$43)^(1/12)-1),$F$11,-$I$61),0)</f>
        <v>0</v>
      </c>
      <c r="M154" s="1312">
        <f t="shared" si="63"/>
        <v>0</v>
      </c>
      <c r="N154" s="1312">
        <f>O153*((1+'Instrumentos Financeiros'!$G$43)^(1/12)-1)</f>
        <v>0</v>
      </c>
      <c r="O154" s="1312">
        <f t="shared" si="33"/>
        <v>0</v>
      </c>
      <c r="P154" s="1312">
        <f>IF(AND(C154&gt;$F$62,'Instrumentos Financeiros'!C154&lt;'Instrumentos Financeiros'!$F$62+'Instrumentos Financeiros'!$F$11+1),PMT(((1+'Instrumentos Financeiros'!$H$43)^(1/12)-1),$F$11,-$I$62),0)</f>
        <v>0</v>
      </c>
      <c r="Q154" s="1312">
        <f t="shared" si="64"/>
        <v>0</v>
      </c>
      <c r="R154" s="1312">
        <f>S153*((1+'Instrumentos Financeiros'!$H$43)^(1/12)-1)</f>
        <v>0</v>
      </c>
      <c r="S154" s="1312">
        <f t="shared" si="34"/>
        <v>0</v>
      </c>
      <c r="T154" s="1312">
        <f>IF(AND(C154&gt;$F$63,'Instrumentos Financeiros'!C154&lt;'Instrumentos Financeiros'!$F$63+'Instrumentos Financeiros'!$F$11+1),PMT(((1+'Instrumentos Financeiros'!$H$43)^(1/12)-1),$F$11,-$I$63),0)</f>
        <v>0</v>
      </c>
      <c r="U154" s="1312">
        <f t="shared" si="65"/>
        <v>0</v>
      </c>
      <c r="V154" s="1312">
        <f>W153*((1+'Instrumentos Financeiros'!$H$43)^(1/12)-1)</f>
        <v>0</v>
      </c>
      <c r="W154" s="1312">
        <f t="shared" si="35"/>
        <v>0</v>
      </c>
      <c r="X154" s="1312">
        <f>IF(AND(C154&gt;$F$64,'Instrumentos Financeiros'!C154&lt;'Instrumentos Financeiros'!$F$64+'Instrumentos Financeiros'!$F$11+1),PMT(((1+'Instrumentos Financeiros'!$H$43)^(1/12)-1),$F$11,-$I$64),0)</f>
        <v>0</v>
      </c>
      <c r="Y154" s="1312">
        <f t="shared" si="66"/>
        <v>0</v>
      </c>
      <c r="Z154" s="1312">
        <f>AA153*((1+'Instrumentos Financeiros'!$H$43)^(1/12)-1)</f>
        <v>0</v>
      </c>
      <c r="AA154" s="1312">
        <f t="shared" si="36"/>
        <v>0</v>
      </c>
      <c r="AB154" s="1312">
        <f>IF(AND(C154&gt;$F$65,'Instrumentos Financeiros'!C154&lt;'Instrumentos Financeiros'!$F$65+'Instrumentos Financeiros'!$F$11+1),PMT(((1+'Instrumentos Financeiros'!$H$43)^(1/12)-1),$F$11,-$I$65),0)</f>
        <v>0</v>
      </c>
      <c r="AC154" s="1312">
        <f t="shared" si="67"/>
        <v>0</v>
      </c>
      <c r="AD154" s="1312">
        <f>AE153*((1+'Instrumentos Financeiros'!$H$43)^(1/12)-1)</f>
        <v>0</v>
      </c>
      <c r="AE154" s="1312">
        <f t="shared" si="37"/>
        <v>0</v>
      </c>
      <c r="AF154" s="1312">
        <f>IF(AND(C154&gt;$F$66,'Instrumentos Financeiros'!C154&lt;'Instrumentos Financeiros'!$F$66+'Instrumentos Financeiros'!$F$11+1),PMT(((1+'Instrumentos Financeiros'!$I$43)^(1/12)-1),$F$11,-$I$66),0)</f>
        <v>0</v>
      </c>
      <c r="AG154" s="1312">
        <f t="shared" si="68"/>
        <v>0</v>
      </c>
      <c r="AH154" s="1312">
        <f>AI153*((1+'Instrumentos Financeiros'!$I$43)^(1/12)-1)</f>
        <v>0</v>
      </c>
      <c r="AI154" s="1312">
        <f t="shared" si="38"/>
        <v>0</v>
      </c>
      <c r="AJ154" s="1312">
        <f>IF(AND(C154&gt;$F$67,'Instrumentos Financeiros'!C154&lt;'Instrumentos Financeiros'!$F$67+'Instrumentos Financeiros'!$F$11+1),PMT(((1+'Instrumentos Financeiros'!$I$43)^(1/12)-1),$F$11,-$I$67),0)</f>
        <v>0</v>
      </c>
      <c r="AK154" s="1312">
        <f t="shared" si="69"/>
        <v>0</v>
      </c>
      <c r="AL154" s="1312">
        <f>AM153*((1+'Instrumentos Financeiros'!$I$43)^(1/12)-1)</f>
        <v>0</v>
      </c>
      <c r="AM154" s="1312">
        <f t="shared" si="39"/>
        <v>0</v>
      </c>
      <c r="AN154" s="1312">
        <f>IF(AND(C154&gt;$F$68,'Instrumentos Financeiros'!C154&lt;'Instrumentos Financeiros'!$F$68+'Instrumentos Financeiros'!$F$11+1),PMT(((1+'Instrumentos Financeiros'!$I$43)^(1/12)-1),$F$11,-$I$68),0)</f>
        <v>0</v>
      </c>
      <c r="AO154" s="1312">
        <f t="shared" si="70"/>
        <v>0</v>
      </c>
      <c r="AP154" s="1312">
        <f>AQ153*((1+'Instrumentos Financeiros'!$I$43)^(1/12)-1)</f>
        <v>0</v>
      </c>
      <c r="AQ154" s="1312">
        <f t="shared" si="40"/>
        <v>0</v>
      </c>
      <c r="AR154" s="1312">
        <f>IF(AND(C154&gt;$F$69,'Instrumentos Financeiros'!C154&lt;'Instrumentos Financeiros'!$F$69+'Instrumentos Financeiros'!$F$11+1),PMT(((1+'Instrumentos Financeiros'!$I$43)^(1/12)-1),$F$11,-$I$69),0)</f>
        <v>0</v>
      </c>
      <c r="AS154" s="1312">
        <f t="shared" si="71"/>
        <v>0</v>
      </c>
      <c r="AT154" s="1312">
        <f>AU153*((1+'Instrumentos Financeiros'!$I$43)^(1/12)-1)</f>
        <v>0</v>
      </c>
      <c r="AU154" s="1312">
        <f t="shared" si="41"/>
        <v>0</v>
      </c>
      <c r="AV154" s="1312">
        <f>IF(AND(C154&gt;$F$70,'Instrumentos Financeiros'!C154&lt;'Instrumentos Financeiros'!$F$70+'Instrumentos Financeiros'!$F$11+1),PMT(((1+'Instrumentos Financeiros'!$J$43)^(1/12)-1),$F$11,-$I$70),0)</f>
        <v>0</v>
      </c>
      <c r="AW154" s="1312">
        <f t="shared" si="72"/>
        <v>0</v>
      </c>
      <c r="AX154" s="1312">
        <f>AY153*((1+'Instrumentos Financeiros'!$J$43)^(1/12)-1)</f>
        <v>0</v>
      </c>
      <c r="AY154" s="1312">
        <f t="shared" si="42"/>
        <v>0</v>
      </c>
      <c r="AZ154" s="1312">
        <f>IF(AND(C154&gt;$F$71,'Instrumentos Financeiros'!C154&lt;'Instrumentos Financeiros'!$F$71+'Instrumentos Financeiros'!$F$11+1),PMT(((1+'Instrumentos Financeiros'!$J$43)^(1/12)-1),$F$11,-$I$71),0)</f>
        <v>0</v>
      </c>
      <c r="BA154" s="1312">
        <f t="shared" si="73"/>
        <v>0</v>
      </c>
      <c r="BB154" s="1312">
        <f>BC153*((1+'Instrumentos Financeiros'!$J$43)^(1/12)-1)</f>
        <v>0</v>
      </c>
      <c r="BC154" s="1312">
        <f t="shared" si="43"/>
        <v>0</v>
      </c>
      <c r="BD154" s="1312">
        <f>IF(AND(C154&gt;$F$72,'Instrumentos Financeiros'!C154&lt;'Instrumentos Financeiros'!$F$72+'Instrumentos Financeiros'!$F$11+1),PMT(((1+'Instrumentos Financeiros'!$J$43)^(1/12)-1),$F$11,-'Instrumentos Financeiros'!$G$7*$G$72),0)</f>
        <v>0</v>
      </c>
      <c r="BE154" s="1312">
        <f t="shared" si="74"/>
        <v>0</v>
      </c>
      <c r="BF154" s="1312">
        <f>BG153*((1+'Instrumentos Financeiros'!$J$43)^(1/12)-1)</f>
        <v>0</v>
      </c>
      <c r="BG154" s="1312">
        <f t="shared" si="44"/>
        <v>0</v>
      </c>
      <c r="BH154" s="1312">
        <f>IF(AND(C154&gt;$F$73,'Instrumentos Financeiros'!C154&lt;'Instrumentos Financeiros'!$F$73+'Instrumentos Financeiros'!$F$11+1),PMT(((1+'Instrumentos Financeiros'!$J$43)^(1/12)-1),$F$11,-$I$73),0)</f>
        <v>0</v>
      </c>
      <c r="BI154" s="1312">
        <f t="shared" si="75"/>
        <v>0</v>
      </c>
      <c r="BJ154" s="1312">
        <f>BK153*((1+'Instrumentos Financeiros'!$J$43)^(1/12)-1)</f>
        <v>0</v>
      </c>
      <c r="BK154" s="1312">
        <f t="shared" si="45"/>
        <v>0</v>
      </c>
      <c r="BL154" s="1312">
        <f>IF(AND(C154&gt;$F$77,'Instrumentos Financeiros'!C154&lt;'Instrumentos Financeiros'!$F$77+'Instrumentos Financeiros'!$F$12+1),PMT(((1+'Instrumentos Financeiros'!$K$43)^(1/12)-1),$F$12,-$I$77),0)</f>
        <v>0</v>
      </c>
      <c r="BM154" s="1312">
        <f t="shared" si="46"/>
        <v>0</v>
      </c>
      <c r="BN154" s="1312">
        <f>BO153*((1+'Instrumentos Financeiros'!$K$43)^(1/12)-1)</f>
        <v>0</v>
      </c>
      <c r="BO154" s="1312">
        <f t="shared" si="47"/>
        <v>0</v>
      </c>
      <c r="BP154" s="1312">
        <f>IF(AND(C154&gt;$F$78,'Instrumentos Financeiros'!C154&lt;'Instrumentos Financeiros'!$F$78+'Instrumentos Financeiros'!$F$12+1),PMT(((1+'Instrumentos Financeiros'!$L$43)^(1/12)-1),$F$12,-$I$78),0)</f>
        <v>0</v>
      </c>
      <c r="BQ154" s="1312">
        <f t="shared" si="48"/>
        <v>0</v>
      </c>
      <c r="BR154" s="1312">
        <f>BS153*((1+'Instrumentos Financeiros'!$L$43)^(1/12)-1)</f>
        <v>0</v>
      </c>
      <c r="BS154" s="1312">
        <f t="shared" si="49"/>
        <v>0</v>
      </c>
      <c r="BT154" s="1312">
        <f>IF(AND(C154&gt;$F$79,'Instrumentos Financeiros'!C154&lt;'Instrumentos Financeiros'!$F$79+'Instrumentos Financeiros'!$F$12+1),PMT(((1+'Instrumentos Financeiros'!$L$43)^(1/12)-1),$F$12,-$I$79),0)</f>
        <v>0</v>
      </c>
      <c r="BU154" s="1312">
        <f t="shared" si="50"/>
        <v>0</v>
      </c>
      <c r="BV154" s="1312">
        <f>BW153*((1+'Instrumentos Financeiros'!$L$43)^(1/12)-1)</f>
        <v>0</v>
      </c>
      <c r="BW154" s="1312">
        <f t="shared" si="51"/>
        <v>0</v>
      </c>
      <c r="BX154" s="1312">
        <f>IF(AND(C154&gt;$F$80,'Instrumentos Financeiros'!C154&lt;'Instrumentos Financeiros'!$F$80+'Instrumentos Financeiros'!$F$12+1),PMT(((1+'Instrumentos Financeiros'!$L$43)^(1/12)-1),$F$12,-$I$80),0)</f>
        <v>0</v>
      </c>
      <c r="BY154" s="1312">
        <f t="shared" si="52"/>
        <v>0</v>
      </c>
      <c r="BZ154" s="1312">
        <f>CA153*((1+'Instrumentos Financeiros'!$L$43)^(1/12)-1)</f>
        <v>0</v>
      </c>
      <c r="CA154" s="1312">
        <f t="shared" si="53"/>
        <v>0</v>
      </c>
      <c r="CB154" s="1312">
        <f>IF(AND(C154&gt;$F$83,'Instrumentos Financeiros'!C154&lt;'Instrumentos Financeiros'!$F$83+'Instrumentos Financeiros'!$F$13+1),PMT(((1+'Instrumentos Financeiros'!$P$43)^(1/12)-1),$F$13,-$I$83),0)</f>
        <v>0</v>
      </c>
      <c r="CC154" s="1312">
        <f t="shared" si="54"/>
        <v>0</v>
      </c>
      <c r="CD154" s="1312">
        <f>CE153*((1+'Instrumentos Financeiros'!$P$43)^(1/12)-1)</f>
        <v>0</v>
      </c>
      <c r="CE154" s="1312">
        <f t="shared" si="55"/>
        <v>0</v>
      </c>
      <c r="CF154" s="1312">
        <f>IF(AND(C154&gt;$F$84,'Instrumentos Financeiros'!C154&lt;'Instrumentos Financeiros'!$F$84+'Instrumentos Financeiros'!$F$13+1),PMT(((1+'Instrumentos Financeiros'!$Q$43)^(1/12)-1),$F$13,-$I$84),0)</f>
        <v>0</v>
      </c>
      <c r="CG154" s="1312">
        <f t="shared" si="56"/>
        <v>0</v>
      </c>
      <c r="CH154" s="1312">
        <f>CI153*((1+'Instrumentos Financeiros'!$Q$43)^(1/12)-1)</f>
        <v>0</v>
      </c>
      <c r="CI154" s="1312">
        <f t="shared" si="57"/>
        <v>0</v>
      </c>
      <c r="CJ154" s="1312">
        <f>IF(AND(C154&gt;$F$85,'Instrumentos Financeiros'!C154&lt;'Instrumentos Financeiros'!$F$85+'Instrumentos Financeiros'!$F$13+1),PMT(((1+'Instrumentos Financeiros'!$Q$43)^(1/12)-1),$F$13,-$I$85),0)</f>
        <v>0</v>
      </c>
      <c r="CK154" s="1312">
        <f t="shared" si="58"/>
        <v>0</v>
      </c>
      <c r="CL154" s="1312">
        <f>CM153*((1+'Instrumentos Financeiros'!$Q$43)^(1/12)-1)</f>
        <v>0</v>
      </c>
      <c r="CM154" s="1312">
        <f t="shared" si="59"/>
        <v>0</v>
      </c>
      <c r="CN154" s="1312">
        <f>IF(AND(C154&gt;$F$86,'Instrumentos Financeiros'!C154&lt;'Instrumentos Financeiros'!$F$86+'Instrumentos Financeiros'!$F$13+1),PMT(((1+'Instrumentos Financeiros'!$Q$43)^(1/12)-1),$F$13,-$I$86),0)</f>
        <v>0</v>
      </c>
      <c r="CO154" s="1312">
        <f t="shared" si="60"/>
        <v>0</v>
      </c>
      <c r="CP154" s="1312">
        <f>CQ153*((1+'Instrumentos Financeiros'!$Q$43)^(1/12)-1)</f>
        <v>0</v>
      </c>
      <c r="CQ154" s="1312">
        <f t="shared" si="61"/>
        <v>0</v>
      </c>
      <c r="CR154" s="1312">
        <f t="shared" si="29"/>
        <v>0</v>
      </c>
      <c r="CS154" s="1312">
        <f t="shared" si="29"/>
        <v>0</v>
      </c>
      <c r="CT154" s="1312">
        <f t="shared" si="29"/>
        <v>0</v>
      </c>
      <c r="CU154" s="1312">
        <f t="shared" si="29"/>
        <v>0</v>
      </c>
    </row>
    <row r="155" spans="3:99" x14ac:dyDescent="0.35">
      <c r="C155" s="1315">
        <f t="shared" si="30"/>
        <v>62</v>
      </c>
      <c r="D155" s="1312">
        <f>IF(AND(C155&gt;$F$59,'Instrumentos Financeiros'!C155&lt;'Instrumentos Financeiros'!$F$59+'Instrumentos Financeiros'!$F$11+1),PMT(((1+'Instrumentos Financeiros'!$G$43)^(1/12)-1),$F$11,-$I$59),0)</f>
        <v>0</v>
      </c>
      <c r="E155" s="1312">
        <f t="shared" si="14"/>
        <v>0</v>
      </c>
      <c r="F155" s="1312">
        <f>G154*((1+'Instrumentos Financeiros'!$G$43)^(1/12)-1)</f>
        <v>0</v>
      </c>
      <c r="G155" s="1312">
        <f t="shared" si="31"/>
        <v>0</v>
      </c>
      <c r="H155" s="1312">
        <f>IF(AND(C155&gt;$F$60,'Instrumentos Financeiros'!C155&lt;'Instrumentos Financeiros'!$F$60+'Instrumentos Financeiros'!$F$11+1),PMT(((1+'Instrumentos Financeiros'!$G$43)^(1/12)-1),$F$11,-$I$60),0)</f>
        <v>0</v>
      </c>
      <c r="I155" s="1312">
        <f t="shared" si="62"/>
        <v>0</v>
      </c>
      <c r="J155" s="1312">
        <f>K154*((1+'Instrumentos Financeiros'!$G$43)^(1/12)-1)</f>
        <v>0</v>
      </c>
      <c r="K155" s="1312">
        <f t="shared" si="32"/>
        <v>0</v>
      </c>
      <c r="L155" s="1312">
        <f>IF(AND(C155&gt;$F$61,'Instrumentos Financeiros'!C155&lt;'Instrumentos Financeiros'!$F$61+'Instrumentos Financeiros'!$F$11+1),PMT(((1+'Instrumentos Financeiros'!$G$43)^(1/12)-1),$F$11,-$I$61),0)</f>
        <v>0</v>
      </c>
      <c r="M155" s="1312">
        <f t="shared" si="63"/>
        <v>0</v>
      </c>
      <c r="N155" s="1312">
        <f>O154*((1+'Instrumentos Financeiros'!$G$43)^(1/12)-1)</f>
        <v>0</v>
      </c>
      <c r="O155" s="1312">
        <f t="shared" si="33"/>
        <v>0</v>
      </c>
      <c r="P155" s="1312">
        <f>IF(AND(C155&gt;$F$62,'Instrumentos Financeiros'!C155&lt;'Instrumentos Financeiros'!$F$62+'Instrumentos Financeiros'!$F$11+1),PMT(((1+'Instrumentos Financeiros'!$H$43)^(1/12)-1),$F$11,-$I$62),0)</f>
        <v>0</v>
      </c>
      <c r="Q155" s="1312">
        <f t="shared" si="64"/>
        <v>0</v>
      </c>
      <c r="R155" s="1312">
        <f>S154*((1+'Instrumentos Financeiros'!$H$43)^(1/12)-1)</f>
        <v>0</v>
      </c>
      <c r="S155" s="1312">
        <f t="shared" si="34"/>
        <v>0</v>
      </c>
      <c r="T155" s="1312">
        <f>IF(AND(C155&gt;$F$63,'Instrumentos Financeiros'!C155&lt;'Instrumentos Financeiros'!$F$63+'Instrumentos Financeiros'!$F$11+1),PMT(((1+'Instrumentos Financeiros'!$H$43)^(1/12)-1),$F$11,-$I$63),0)</f>
        <v>0</v>
      </c>
      <c r="U155" s="1312">
        <f t="shared" si="65"/>
        <v>0</v>
      </c>
      <c r="V155" s="1312">
        <f>W154*((1+'Instrumentos Financeiros'!$H$43)^(1/12)-1)</f>
        <v>0</v>
      </c>
      <c r="W155" s="1312">
        <f t="shared" si="35"/>
        <v>0</v>
      </c>
      <c r="X155" s="1312">
        <f>IF(AND(C155&gt;$F$64,'Instrumentos Financeiros'!C155&lt;'Instrumentos Financeiros'!$F$64+'Instrumentos Financeiros'!$F$11+1),PMT(((1+'Instrumentos Financeiros'!$H$43)^(1/12)-1),$F$11,-$I$64),0)</f>
        <v>0</v>
      </c>
      <c r="Y155" s="1312">
        <f t="shared" si="66"/>
        <v>0</v>
      </c>
      <c r="Z155" s="1312">
        <f>AA154*((1+'Instrumentos Financeiros'!$H$43)^(1/12)-1)</f>
        <v>0</v>
      </c>
      <c r="AA155" s="1312">
        <f t="shared" si="36"/>
        <v>0</v>
      </c>
      <c r="AB155" s="1312">
        <f>IF(AND(C155&gt;$F$65,'Instrumentos Financeiros'!C155&lt;'Instrumentos Financeiros'!$F$65+'Instrumentos Financeiros'!$F$11+1),PMT(((1+'Instrumentos Financeiros'!$H$43)^(1/12)-1),$F$11,-$I$65),0)</f>
        <v>0</v>
      </c>
      <c r="AC155" s="1312">
        <f t="shared" si="67"/>
        <v>0</v>
      </c>
      <c r="AD155" s="1312">
        <f>AE154*((1+'Instrumentos Financeiros'!$H$43)^(1/12)-1)</f>
        <v>0</v>
      </c>
      <c r="AE155" s="1312">
        <f t="shared" si="37"/>
        <v>0</v>
      </c>
      <c r="AF155" s="1312">
        <f>IF(AND(C155&gt;$F$66,'Instrumentos Financeiros'!C155&lt;'Instrumentos Financeiros'!$F$66+'Instrumentos Financeiros'!$F$11+1),PMT(((1+'Instrumentos Financeiros'!$I$43)^(1/12)-1),$F$11,-$I$66),0)</f>
        <v>0</v>
      </c>
      <c r="AG155" s="1312">
        <f t="shared" si="68"/>
        <v>0</v>
      </c>
      <c r="AH155" s="1312">
        <f>AI154*((1+'Instrumentos Financeiros'!$I$43)^(1/12)-1)</f>
        <v>0</v>
      </c>
      <c r="AI155" s="1312">
        <f t="shared" si="38"/>
        <v>0</v>
      </c>
      <c r="AJ155" s="1312">
        <f>IF(AND(C155&gt;$F$67,'Instrumentos Financeiros'!C155&lt;'Instrumentos Financeiros'!$F$67+'Instrumentos Financeiros'!$F$11+1),PMT(((1+'Instrumentos Financeiros'!$I$43)^(1/12)-1),$F$11,-$I$67),0)</f>
        <v>0</v>
      </c>
      <c r="AK155" s="1312">
        <f t="shared" si="69"/>
        <v>0</v>
      </c>
      <c r="AL155" s="1312">
        <f>AM154*((1+'Instrumentos Financeiros'!$I$43)^(1/12)-1)</f>
        <v>0</v>
      </c>
      <c r="AM155" s="1312">
        <f t="shared" si="39"/>
        <v>0</v>
      </c>
      <c r="AN155" s="1312">
        <f>IF(AND(C155&gt;$F$68,'Instrumentos Financeiros'!C155&lt;'Instrumentos Financeiros'!$F$68+'Instrumentos Financeiros'!$F$11+1),PMT(((1+'Instrumentos Financeiros'!$I$43)^(1/12)-1),$F$11,-$I$68),0)</f>
        <v>0</v>
      </c>
      <c r="AO155" s="1312">
        <f t="shared" si="70"/>
        <v>0</v>
      </c>
      <c r="AP155" s="1312">
        <f>AQ154*((1+'Instrumentos Financeiros'!$I$43)^(1/12)-1)</f>
        <v>0</v>
      </c>
      <c r="AQ155" s="1312">
        <f t="shared" si="40"/>
        <v>0</v>
      </c>
      <c r="AR155" s="1312">
        <f>IF(AND(C155&gt;$F$69,'Instrumentos Financeiros'!C155&lt;'Instrumentos Financeiros'!$F$69+'Instrumentos Financeiros'!$F$11+1),PMT(((1+'Instrumentos Financeiros'!$I$43)^(1/12)-1),$F$11,-$I$69),0)</f>
        <v>0</v>
      </c>
      <c r="AS155" s="1312">
        <f t="shared" si="71"/>
        <v>0</v>
      </c>
      <c r="AT155" s="1312">
        <f>AU154*((1+'Instrumentos Financeiros'!$I$43)^(1/12)-1)</f>
        <v>0</v>
      </c>
      <c r="AU155" s="1312">
        <f t="shared" si="41"/>
        <v>0</v>
      </c>
      <c r="AV155" s="1312">
        <f>IF(AND(C155&gt;$F$70,'Instrumentos Financeiros'!C155&lt;'Instrumentos Financeiros'!$F$70+'Instrumentos Financeiros'!$F$11+1),PMT(((1+'Instrumentos Financeiros'!$J$43)^(1/12)-1),$F$11,-$I$70),0)</f>
        <v>0</v>
      </c>
      <c r="AW155" s="1312">
        <f t="shared" si="72"/>
        <v>0</v>
      </c>
      <c r="AX155" s="1312">
        <f>AY154*((1+'Instrumentos Financeiros'!$J$43)^(1/12)-1)</f>
        <v>0</v>
      </c>
      <c r="AY155" s="1312">
        <f t="shared" si="42"/>
        <v>0</v>
      </c>
      <c r="AZ155" s="1312">
        <f>IF(AND(C155&gt;$F$71,'Instrumentos Financeiros'!C155&lt;'Instrumentos Financeiros'!$F$71+'Instrumentos Financeiros'!$F$11+1),PMT(((1+'Instrumentos Financeiros'!$J$43)^(1/12)-1),$F$11,-$I$71),0)</f>
        <v>0</v>
      </c>
      <c r="BA155" s="1312">
        <f t="shared" si="73"/>
        <v>0</v>
      </c>
      <c r="BB155" s="1312">
        <f>BC154*((1+'Instrumentos Financeiros'!$J$43)^(1/12)-1)</f>
        <v>0</v>
      </c>
      <c r="BC155" s="1312">
        <f t="shared" si="43"/>
        <v>0</v>
      </c>
      <c r="BD155" s="1312">
        <f>IF(AND(C155&gt;$F$72,'Instrumentos Financeiros'!C155&lt;'Instrumentos Financeiros'!$F$72+'Instrumentos Financeiros'!$F$11+1),PMT(((1+'Instrumentos Financeiros'!$J$43)^(1/12)-1),$F$11,-'Instrumentos Financeiros'!$G$7*$G$72),0)</f>
        <v>0</v>
      </c>
      <c r="BE155" s="1312">
        <f t="shared" si="74"/>
        <v>0</v>
      </c>
      <c r="BF155" s="1312">
        <f>BG154*((1+'Instrumentos Financeiros'!$J$43)^(1/12)-1)</f>
        <v>0</v>
      </c>
      <c r="BG155" s="1312">
        <f t="shared" si="44"/>
        <v>0</v>
      </c>
      <c r="BH155" s="1312">
        <f>IF(AND(C155&gt;$F$73,'Instrumentos Financeiros'!C155&lt;'Instrumentos Financeiros'!$F$73+'Instrumentos Financeiros'!$F$11+1),PMT(((1+'Instrumentos Financeiros'!$J$43)^(1/12)-1),$F$11,-$I$73),0)</f>
        <v>0</v>
      </c>
      <c r="BI155" s="1312">
        <f t="shared" si="75"/>
        <v>0</v>
      </c>
      <c r="BJ155" s="1312">
        <f>BK154*((1+'Instrumentos Financeiros'!$J$43)^(1/12)-1)</f>
        <v>0</v>
      </c>
      <c r="BK155" s="1312">
        <f t="shared" si="45"/>
        <v>0</v>
      </c>
      <c r="BL155" s="1312">
        <f>IF(AND(C155&gt;$F$77,'Instrumentos Financeiros'!C155&lt;'Instrumentos Financeiros'!$F$77+'Instrumentos Financeiros'!$F$12+1),PMT(((1+'Instrumentos Financeiros'!$K$43)^(1/12)-1),$F$12,-$I$77),0)</f>
        <v>0</v>
      </c>
      <c r="BM155" s="1312">
        <f t="shared" si="46"/>
        <v>0</v>
      </c>
      <c r="BN155" s="1312">
        <f>BO154*((1+'Instrumentos Financeiros'!$K$43)^(1/12)-1)</f>
        <v>0</v>
      </c>
      <c r="BO155" s="1312">
        <f t="shared" si="47"/>
        <v>0</v>
      </c>
      <c r="BP155" s="1312">
        <f>IF(AND(C155&gt;$F$78,'Instrumentos Financeiros'!C155&lt;'Instrumentos Financeiros'!$F$78+'Instrumentos Financeiros'!$F$12+1),PMT(((1+'Instrumentos Financeiros'!$L$43)^(1/12)-1),$F$12,-$I$78),0)</f>
        <v>0</v>
      </c>
      <c r="BQ155" s="1312">
        <f t="shared" si="48"/>
        <v>0</v>
      </c>
      <c r="BR155" s="1312">
        <f>BS154*((1+'Instrumentos Financeiros'!$L$43)^(1/12)-1)</f>
        <v>0</v>
      </c>
      <c r="BS155" s="1312">
        <f t="shared" si="49"/>
        <v>0</v>
      </c>
      <c r="BT155" s="1312">
        <f>IF(AND(C155&gt;$F$79,'Instrumentos Financeiros'!C155&lt;'Instrumentos Financeiros'!$F$79+'Instrumentos Financeiros'!$F$12+1),PMT(((1+'Instrumentos Financeiros'!$L$43)^(1/12)-1),$F$12,-$I$79),0)</f>
        <v>0</v>
      </c>
      <c r="BU155" s="1312">
        <f t="shared" si="50"/>
        <v>0</v>
      </c>
      <c r="BV155" s="1312">
        <f>BW154*((1+'Instrumentos Financeiros'!$L$43)^(1/12)-1)</f>
        <v>0</v>
      </c>
      <c r="BW155" s="1312">
        <f t="shared" si="51"/>
        <v>0</v>
      </c>
      <c r="BX155" s="1312">
        <f>IF(AND(C155&gt;$F$80,'Instrumentos Financeiros'!C155&lt;'Instrumentos Financeiros'!$F$80+'Instrumentos Financeiros'!$F$12+1),PMT(((1+'Instrumentos Financeiros'!$L$43)^(1/12)-1),$F$12,-$I$80),0)</f>
        <v>0</v>
      </c>
      <c r="BY155" s="1312">
        <f t="shared" si="52"/>
        <v>0</v>
      </c>
      <c r="BZ155" s="1312">
        <f>CA154*((1+'Instrumentos Financeiros'!$L$43)^(1/12)-1)</f>
        <v>0</v>
      </c>
      <c r="CA155" s="1312">
        <f t="shared" si="53"/>
        <v>0</v>
      </c>
      <c r="CB155" s="1312">
        <f>IF(AND(C155&gt;$F$83,'Instrumentos Financeiros'!C155&lt;'Instrumentos Financeiros'!$F$83+'Instrumentos Financeiros'!$F$13+1),PMT(((1+'Instrumentos Financeiros'!$P$43)^(1/12)-1),$F$13,-$I$83),0)</f>
        <v>0</v>
      </c>
      <c r="CC155" s="1312">
        <f t="shared" si="54"/>
        <v>0</v>
      </c>
      <c r="CD155" s="1312">
        <f>CE154*((1+'Instrumentos Financeiros'!$P$43)^(1/12)-1)</f>
        <v>0</v>
      </c>
      <c r="CE155" s="1312">
        <f t="shared" si="55"/>
        <v>0</v>
      </c>
      <c r="CF155" s="1312">
        <f>IF(AND(C155&gt;$F$84,'Instrumentos Financeiros'!C155&lt;'Instrumentos Financeiros'!$F$84+'Instrumentos Financeiros'!$F$13+1),PMT(((1+'Instrumentos Financeiros'!$Q$43)^(1/12)-1),$F$13,-$I$84),0)</f>
        <v>0</v>
      </c>
      <c r="CG155" s="1312">
        <f t="shared" si="56"/>
        <v>0</v>
      </c>
      <c r="CH155" s="1312">
        <f>CI154*((1+'Instrumentos Financeiros'!$Q$43)^(1/12)-1)</f>
        <v>0</v>
      </c>
      <c r="CI155" s="1312">
        <f t="shared" si="57"/>
        <v>0</v>
      </c>
      <c r="CJ155" s="1312">
        <f>IF(AND(C155&gt;$F$85,'Instrumentos Financeiros'!C155&lt;'Instrumentos Financeiros'!$F$85+'Instrumentos Financeiros'!$F$13+1),PMT(((1+'Instrumentos Financeiros'!$Q$43)^(1/12)-1),$F$13,-$I$85),0)</f>
        <v>0</v>
      </c>
      <c r="CK155" s="1312">
        <f t="shared" si="58"/>
        <v>0</v>
      </c>
      <c r="CL155" s="1312">
        <f>CM154*((1+'Instrumentos Financeiros'!$Q$43)^(1/12)-1)</f>
        <v>0</v>
      </c>
      <c r="CM155" s="1312">
        <f t="shared" si="59"/>
        <v>0</v>
      </c>
      <c r="CN155" s="1312">
        <f>IF(AND(C155&gt;$F$86,'Instrumentos Financeiros'!C155&lt;'Instrumentos Financeiros'!$F$86+'Instrumentos Financeiros'!$F$13+1),PMT(((1+'Instrumentos Financeiros'!$Q$43)^(1/12)-1),$F$13,-$I$86),0)</f>
        <v>0</v>
      </c>
      <c r="CO155" s="1312">
        <f t="shared" si="60"/>
        <v>0</v>
      </c>
      <c r="CP155" s="1312">
        <f>CQ154*((1+'Instrumentos Financeiros'!$Q$43)^(1/12)-1)</f>
        <v>0</v>
      </c>
      <c r="CQ155" s="1312">
        <f t="shared" si="61"/>
        <v>0</v>
      </c>
      <c r="CR155" s="1312">
        <f t="shared" si="29"/>
        <v>0</v>
      </c>
      <c r="CS155" s="1312">
        <f t="shared" si="29"/>
        <v>0</v>
      </c>
      <c r="CT155" s="1312">
        <f t="shared" si="29"/>
        <v>0</v>
      </c>
      <c r="CU155" s="1312">
        <f t="shared" si="29"/>
        <v>0</v>
      </c>
    </row>
    <row r="156" spans="3:99" x14ac:dyDescent="0.35">
      <c r="C156" s="1315">
        <f t="shared" si="30"/>
        <v>63</v>
      </c>
      <c r="D156" s="1312">
        <f>IF(AND(C156&gt;$F$59,'Instrumentos Financeiros'!C156&lt;'Instrumentos Financeiros'!$F$59+'Instrumentos Financeiros'!$F$11+1),PMT(((1+'Instrumentos Financeiros'!$G$43)^(1/12)-1),$F$11,-$I$59),0)</f>
        <v>0</v>
      </c>
      <c r="E156" s="1312">
        <f t="shared" si="14"/>
        <v>0</v>
      </c>
      <c r="F156" s="1312">
        <f>G155*((1+'Instrumentos Financeiros'!$G$43)^(1/12)-1)</f>
        <v>0</v>
      </c>
      <c r="G156" s="1312">
        <f t="shared" si="31"/>
        <v>0</v>
      </c>
      <c r="H156" s="1312">
        <f>IF(AND(C156&gt;$F$60,'Instrumentos Financeiros'!C156&lt;'Instrumentos Financeiros'!$F$60+'Instrumentos Financeiros'!$F$11+1),PMT(((1+'Instrumentos Financeiros'!$G$43)^(1/12)-1),$F$11,-$I$60),0)</f>
        <v>0</v>
      </c>
      <c r="I156" s="1312">
        <f t="shared" si="62"/>
        <v>0</v>
      </c>
      <c r="J156" s="1312">
        <f>K155*((1+'Instrumentos Financeiros'!$G$43)^(1/12)-1)</f>
        <v>0</v>
      </c>
      <c r="K156" s="1312">
        <f t="shared" si="32"/>
        <v>0</v>
      </c>
      <c r="L156" s="1312">
        <f>IF(AND(C156&gt;$F$61,'Instrumentos Financeiros'!C156&lt;'Instrumentos Financeiros'!$F$61+'Instrumentos Financeiros'!$F$11+1),PMT(((1+'Instrumentos Financeiros'!$G$43)^(1/12)-1),$F$11,-$I$61),0)</f>
        <v>0</v>
      </c>
      <c r="M156" s="1312">
        <f t="shared" si="63"/>
        <v>0</v>
      </c>
      <c r="N156" s="1312">
        <f>O155*((1+'Instrumentos Financeiros'!$G$43)^(1/12)-1)</f>
        <v>0</v>
      </c>
      <c r="O156" s="1312">
        <f t="shared" si="33"/>
        <v>0</v>
      </c>
      <c r="P156" s="1312">
        <f>IF(AND(C156&gt;$F$62,'Instrumentos Financeiros'!C156&lt;'Instrumentos Financeiros'!$F$62+'Instrumentos Financeiros'!$F$11+1),PMT(((1+'Instrumentos Financeiros'!$H$43)^(1/12)-1),$F$11,-$I$62),0)</f>
        <v>0</v>
      </c>
      <c r="Q156" s="1312">
        <f t="shared" si="64"/>
        <v>0</v>
      </c>
      <c r="R156" s="1312">
        <f>S155*((1+'Instrumentos Financeiros'!$H$43)^(1/12)-1)</f>
        <v>0</v>
      </c>
      <c r="S156" s="1312">
        <f t="shared" si="34"/>
        <v>0</v>
      </c>
      <c r="T156" s="1312">
        <f>IF(AND(C156&gt;$F$63,'Instrumentos Financeiros'!C156&lt;'Instrumentos Financeiros'!$F$63+'Instrumentos Financeiros'!$F$11+1),PMT(((1+'Instrumentos Financeiros'!$H$43)^(1/12)-1),$F$11,-$I$63),0)</f>
        <v>0</v>
      </c>
      <c r="U156" s="1312">
        <f t="shared" si="65"/>
        <v>0</v>
      </c>
      <c r="V156" s="1312">
        <f>W155*((1+'Instrumentos Financeiros'!$H$43)^(1/12)-1)</f>
        <v>0</v>
      </c>
      <c r="W156" s="1312">
        <f t="shared" si="35"/>
        <v>0</v>
      </c>
      <c r="X156" s="1312">
        <f>IF(AND(C156&gt;$F$64,'Instrumentos Financeiros'!C156&lt;'Instrumentos Financeiros'!$F$64+'Instrumentos Financeiros'!$F$11+1),PMT(((1+'Instrumentos Financeiros'!$H$43)^(1/12)-1),$F$11,-$I$64),0)</f>
        <v>0</v>
      </c>
      <c r="Y156" s="1312">
        <f t="shared" si="66"/>
        <v>0</v>
      </c>
      <c r="Z156" s="1312">
        <f>AA155*((1+'Instrumentos Financeiros'!$H$43)^(1/12)-1)</f>
        <v>0</v>
      </c>
      <c r="AA156" s="1312">
        <f t="shared" si="36"/>
        <v>0</v>
      </c>
      <c r="AB156" s="1312">
        <f>IF(AND(C156&gt;$F$65,'Instrumentos Financeiros'!C156&lt;'Instrumentos Financeiros'!$F$65+'Instrumentos Financeiros'!$F$11+1),PMT(((1+'Instrumentos Financeiros'!$H$43)^(1/12)-1),$F$11,-$I$65),0)</f>
        <v>0</v>
      </c>
      <c r="AC156" s="1312">
        <f t="shared" si="67"/>
        <v>0</v>
      </c>
      <c r="AD156" s="1312">
        <f>AE155*((1+'Instrumentos Financeiros'!$H$43)^(1/12)-1)</f>
        <v>0</v>
      </c>
      <c r="AE156" s="1312">
        <f t="shared" si="37"/>
        <v>0</v>
      </c>
      <c r="AF156" s="1312">
        <f>IF(AND(C156&gt;$F$66,'Instrumentos Financeiros'!C156&lt;'Instrumentos Financeiros'!$F$66+'Instrumentos Financeiros'!$F$11+1),PMT(((1+'Instrumentos Financeiros'!$I$43)^(1/12)-1),$F$11,-$I$66),0)</f>
        <v>0</v>
      </c>
      <c r="AG156" s="1312">
        <f t="shared" si="68"/>
        <v>0</v>
      </c>
      <c r="AH156" s="1312">
        <f>AI155*((1+'Instrumentos Financeiros'!$I$43)^(1/12)-1)</f>
        <v>0</v>
      </c>
      <c r="AI156" s="1312">
        <f t="shared" si="38"/>
        <v>0</v>
      </c>
      <c r="AJ156" s="1312">
        <f>IF(AND(C156&gt;$F$67,'Instrumentos Financeiros'!C156&lt;'Instrumentos Financeiros'!$F$67+'Instrumentos Financeiros'!$F$11+1),PMT(((1+'Instrumentos Financeiros'!$I$43)^(1/12)-1),$F$11,-$I$67),0)</f>
        <v>0</v>
      </c>
      <c r="AK156" s="1312">
        <f t="shared" si="69"/>
        <v>0</v>
      </c>
      <c r="AL156" s="1312">
        <f>AM155*((1+'Instrumentos Financeiros'!$I$43)^(1/12)-1)</f>
        <v>0</v>
      </c>
      <c r="AM156" s="1312">
        <f t="shared" si="39"/>
        <v>0</v>
      </c>
      <c r="AN156" s="1312">
        <f>IF(AND(C156&gt;$F$68,'Instrumentos Financeiros'!C156&lt;'Instrumentos Financeiros'!$F$68+'Instrumentos Financeiros'!$F$11+1),PMT(((1+'Instrumentos Financeiros'!$I$43)^(1/12)-1),$F$11,-$I$68),0)</f>
        <v>0</v>
      </c>
      <c r="AO156" s="1312">
        <f t="shared" si="70"/>
        <v>0</v>
      </c>
      <c r="AP156" s="1312">
        <f>AQ155*((1+'Instrumentos Financeiros'!$I$43)^(1/12)-1)</f>
        <v>0</v>
      </c>
      <c r="AQ156" s="1312">
        <f t="shared" si="40"/>
        <v>0</v>
      </c>
      <c r="AR156" s="1312">
        <f>IF(AND(C156&gt;$F$69,'Instrumentos Financeiros'!C156&lt;'Instrumentos Financeiros'!$F$69+'Instrumentos Financeiros'!$F$11+1),PMT(((1+'Instrumentos Financeiros'!$I$43)^(1/12)-1),$F$11,-$I$69),0)</f>
        <v>0</v>
      </c>
      <c r="AS156" s="1312">
        <f t="shared" si="71"/>
        <v>0</v>
      </c>
      <c r="AT156" s="1312">
        <f>AU155*((1+'Instrumentos Financeiros'!$I$43)^(1/12)-1)</f>
        <v>0</v>
      </c>
      <c r="AU156" s="1312">
        <f t="shared" si="41"/>
        <v>0</v>
      </c>
      <c r="AV156" s="1312">
        <f>IF(AND(C156&gt;$F$70,'Instrumentos Financeiros'!C156&lt;'Instrumentos Financeiros'!$F$70+'Instrumentos Financeiros'!$F$11+1),PMT(((1+'Instrumentos Financeiros'!$J$43)^(1/12)-1),$F$11,-$I$70),0)</f>
        <v>0</v>
      </c>
      <c r="AW156" s="1312">
        <f t="shared" si="72"/>
        <v>0</v>
      </c>
      <c r="AX156" s="1312">
        <f>AY155*((1+'Instrumentos Financeiros'!$J$43)^(1/12)-1)</f>
        <v>0</v>
      </c>
      <c r="AY156" s="1312">
        <f t="shared" si="42"/>
        <v>0</v>
      </c>
      <c r="AZ156" s="1312">
        <f>IF(AND(C156&gt;$F$71,'Instrumentos Financeiros'!C156&lt;'Instrumentos Financeiros'!$F$71+'Instrumentos Financeiros'!$F$11+1),PMT(((1+'Instrumentos Financeiros'!$J$43)^(1/12)-1),$F$11,-$I$71),0)</f>
        <v>0</v>
      </c>
      <c r="BA156" s="1312">
        <f t="shared" si="73"/>
        <v>0</v>
      </c>
      <c r="BB156" s="1312">
        <f>BC155*((1+'Instrumentos Financeiros'!$J$43)^(1/12)-1)</f>
        <v>0</v>
      </c>
      <c r="BC156" s="1312">
        <f t="shared" si="43"/>
        <v>0</v>
      </c>
      <c r="BD156" s="1312">
        <f>IF(AND(C156&gt;$F$72,'Instrumentos Financeiros'!C156&lt;'Instrumentos Financeiros'!$F$72+'Instrumentos Financeiros'!$F$11+1),PMT(((1+'Instrumentos Financeiros'!$J$43)^(1/12)-1),$F$11,-'Instrumentos Financeiros'!$G$7*$G$72),0)</f>
        <v>0</v>
      </c>
      <c r="BE156" s="1312">
        <f t="shared" si="74"/>
        <v>0</v>
      </c>
      <c r="BF156" s="1312">
        <f>BG155*((1+'Instrumentos Financeiros'!$J$43)^(1/12)-1)</f>
        <v>0</v>
      </c>
      <c r="BG156" s="1312">
        <f t="shared" si="44"/>
        <v>0</v>
      </c>
      <c r="BH156" s="1312">
        <f>IF(AND(C156&gt;$F$73,'Instrumentos Financeiros'!C156&lt;'Instrumentos Financeiros'!$F$73+'Instrumentos Financeiros'!$F$11+1),PMT(((1+'Instrumentos Financeiros'!$J$43)^(1/12)-1),$F$11,-$I$73),0)</f>
        <v>0</v>
      </c>
      <c r="BI156" s="1312">
        <f t="shared" si="75"/>
        <v>0</v>
      </c>
      <c r="BJ156" s="1312">
        <f>BK155*((1+'Instrumentos Financeiros'!$J$43)^(1/12)-1)</f>
        <v>0</v>
      </c>
      <c r="BK156" s="1312">
        <f t="shared" si="45"/>
        <v>0</v>
      </c>
      <c r="BL156" s="1312">
        <f>IF(AND(C156&gt;$F$77,'Instrumentos Financeiros'!C156&lt;'Instrumentos Financeiros'!$F$77+'Instrumentos Financeiros'!$F$12+1),PMT(((1+'Instrumentos Financeiros'!$K$43)^(1/12)-1),$F$12,-$I$77),0)</f>
        <v>0</v>
      </c>
      <c r="BM156" s="1312">
        <f t="shared" si="46"/>
        <v>0</v>
      </c>
      <c r="BN156" s="1312">
        <f>BO155*((1+'Instrumentos Financeiros'!$K$43)^(1/12)-1)</f>
        <v>0</v>
      </c>
      <c r="BO156" s="1312">
        <f t="shared" si="47"/>
        <v>0</v>
      </c>
      <c r="BP156" s="1312">
        <f>IF(AND(C156&gt;$F$78,'Instrumentos Financeiros'!C156&lt;'Instrumentos Financeiros'!$F$78+'Instrumentos Financeiros'!$F$12+1),PMT(((1+'Instrumentos Financeiros'!$L$43)^(1/12)-1),$F$12,-$I$78),0)</f>
        <v>0</v>
      </c>
      <c r="BQ156" s="1312">
        <f t="shared" si="48"/>
        <v>0</v>
      </c>
      <c r="BR156" s="1312">
        <f>BS155*((1+'Instrumentos Financeiros'!$L$43)^(1/12)-1)</f>
        <v>0</v>
      </c>
      <c r="BS156" s="1312">
        <f t="shared" si="49"/>
        <v>0</v>
      </c>
      <c r="BT156" s="1312">
        <f>IF(AND(C156&gt;$F$79,'Instrumentos Financeiros'!C156&lt;'Instrumentos Financeiros'!$F$79+'Instrumentos Financeiros'!$F$12+1),PMT(((1+'Instrumentos Financeiros'!$L$43)^(1/12)-1),$F$12,-$I$79),0)</f>
        <v>0</v>
      </c>
      <c r="BU156" s="1312">
        <f t="shared" si="50"/>
        <v>0</v>
      </c>
      <c r="BV156" s="1312">
        <f>BW155*((1+'Instrumentos Financeiros'!$L$43)^(1/12)-1)</f>
        <v>0</v>
      </c>
      <c r="BW156" s="1312">
        <f t="shared" si="51"/>
        <v>0</v>
      </c>
      <c r="BX156" s="1312">
        <f>IF(AND(C156&gt;$F$80,'Instrumentos Financeiros'!C156&lt;'Instrumentos Financeiros'!$F$80+'Instrumentos Financeiros'!$F$12+1),PMT(((1+'Instrumentos Financeiros'!$L$43)^(1/12)-1),$F$12,-$I$80),0)</f>
        <v>0</v>
      </c>
      <c r="BY156" s="1312">
        <f t="shared" si="52"/>
        <v>0</v>
      </c>
      <c r="BZ156" s="1312">
        <f>CA155*((1+'Instrumentos Financeiros'!$L$43)^(1/12)-1)</f>
        <v>0</v>
      </c>
      <c r="CA156" s="1312">
        <f t="shared" si="53"/>
        <v>0</v>
      </c>
      <c r="CB156" s="1312">
        <f>IF(AND(C156&gt;$F$83,'Instrumentos Financeiros'!C156&lt;'Instrumentos Financeiros'!$F$83+'Instrumentos Financeiros'!$F$13+1),PMT(((1+'Instrumentos Financeiros'!$P$43)^(1/12)-1),$F$13,-$I$83),0)</f>
        <v>0</v>
      </c>
      <c r="CC156" s="1312">
        <f t="shared" si="54"/>
        <v>0</v>
      </c>
      <c r="CD156" s="1312">
        <f>CE155*((1+'Instrumentos Financeiros'!$P$43)^(1/12)-1)</f>
        <v>0</v>
      </c>
      <c r="CE156" s="1312">
        <f t="shared" si="55"/>
        <v>0</v>
      </c>
      <c r="CF156" s="1312">
        <f>IF(AND(C156&gt;$F$84,'Instrumentos Financeiros'!C156&lt;'Instrumentos Financeiros'!$F$84+'Instrumentos Financeiros'!$F$13+1),PMT(((1+'Instrumentos Financeiros'!$Q$43)^(1/12)-1),$F$13,-$I$84),0)</f>
        <v>0</v>
      </c>
      <c r="CG156" s="1312">
        <f t="shared" si="56"/>
        <v>0</v>
      </c>
      <c r="CH156" s="1312">
        <f>CI155*((1+'Instrumentos Financeiros'!$Q$43)^(1/12)-1)</f>
        <v>0</v>
      </c>
      <c r="CI156" s="1312">
        <f t="shared" si="57"/>
        <v>0</v>
      </c>
      <c r="CJ156" s="1312">
        <f>IF(AND(C156&gt;$F$85,'Instrumentos Financeiros'!C156&lt;'Instrumentos Financeiros'!$F$85+'Instrumentos Financeiros'!$F$13+1),PMT(((1+'Instrumentos Financeiros'!$Q$43)^(1/12)-1),$F$13,-$I$85),0)</f>
        <v>0</v>
      </c>
      <c r="CK156" s="1312">
        <f t="shared" si="58"/>
        <v>0</v>
      </c>
      <c r="CL156" s="1312">
        <f>CM155*((1+'Instrumentos Financeiros'!$Q$43)^(1/12)-1)</f>
        <v>0</v>
      </c>
      <c r="CM156" s="1312">
        <f t="shared" si="59"/>
        <v>0</v>
      </c>
      <c r="CN156" s="1312">
        <f>IF(AND(C156&gt;$F$86,'Instrumentos Financeiros'!C156&lt;'Instrumentos Financeiros'!$F$86+'Instrumentos Financeiros'!$F$13+1),PMT(((1+'Instrumentos Financeiros'!$Q$43)^(1/12)-1),$F$13,-$I$86),0)</f>
        <v>0</v>
      </c>
      <c r="CO156" s="1312">
        <f t="shared" si="60"/>
        <v>0</v>
      </c>
      <c r="CP156" s="1312">
        <f>CQ155*((1+'Instrumentos Financeiros'!$Q$43)^(1/12)-1)</f>
        <v>0</v>
      </c>
      <c r="CQ156" s="1312">
        <f t="shared" si="61"/>
        <v>0</v>
      </c>
      <c r="CR156" s="1312">
        <f t="shared" si="29"/>
        <v>0</v>
      </c>
      <c r="CS156" s="1312">
        <f t="shared" si="29"/>
        <v>0</v>
      </c>
      <c r="CT156" s="1312">
        <f t="shared" si="29"/>
        <v>0</v>
      </c>
      <c r="CU156" s="1312">
        <f t="shared" si="29"/>
        <v>0</v>
      </c>
    </row>
    <row r="157" spans="3:99" x14ac:dyDescent="0.35">
      <c r="C157" s="1315">
        <f t="shared" si="30"/>
        <v>64</v>
      </c>
      <c r="D157" s="1312">
        <f>IF(AND(C157&gt;$F$59,'Instrumentos Financeiros'!C157&lt;'Instrumentos Financeiros'!$F$59+'Instrumentos Financeiros'!$F$11+1),PMT(((1+'Instrumentos Financeiros'!$G$43)^(1/12)-1),$F$11,-$I$59),0)</f>
        <v>0</v>
      </c>
      <c r="E157" s="1312">
        <f t="shared" ref="E157:E220" si="76">D157-F157</f>
        <v>0</v>
      </c>
      <c r="F157" s="1312">
        <f>G156*((1+'Instrumentos Financeiros'!$G$43)^(1/12)-1)</f>
        <v>0</v>
      </c>
      <c r="G157" s="1312">
        <f t="shared" si="31"/>
        <v>0</v>
      </c>
      <c r="H157" s="1312">
        <f>IF(AND(C157&gt;$F$60,'Instrumentos Financeiros'!C157&lt;'Instrumentos Financeiros'!$F$60+'Instrumentos Financeiros'!$F$11+1),PMT(((1+'Instrumentos Financeiros'!$G$43)^(1/12)-1),$F$11,-$I$60),0)</f>
        <v>0</v>
      </c>
      <c r="I157" s="1312">
        <f t="shared" si="62"/>
        <v>0</v>
      </c>
      <c r="J157" s="1312">
        <f>K156*((1+'Instrumentos Financeiros'!$G$43)^(1/12)-1)</f>
        <v>0</v>
      </c>
      <c r="K157" s="1312">
        <f t="shared" si="32"/>
        <v>0</v>
      </c>
      <c r="L157" s="1312">
        <f>IF(AND(C157&gt;$F$61,'Instrumentos Financeiros'!C157&lt;'Instrumentos Financeiros'!$F$61+'Instrumentos Financeiros'!$F$11+1),PMT(((1+'Instrumentos Financeiros'!$G$43)^(1/12)-1),$F$11,-$I$61),0)</f>
        <v>0</v>
      </c>
      <c r="M157" s="1312">
        <f t="shared" si="63"/>
        <v>0</v>
      </c>
      <c r="N157" s="1312">
        <f>O156*((1+'Instrumentos Financeiros'!$G$43)^(1/12)-1)</f>
        <v>0</v>
      </c>
      <c r="O157" s="1312">
        <f t="shared" si="33"/>
        <v>0</v>
      </c>
      <c r="P157" s="1312">
        <f>IF(AND(C157&gt;$F$62,'Instrumentos Financeiros'!C157&lt;'Instrumentos Financeiros'!$F$62+'Instrumentos Financeiros'!$F$11+1),PMT(((1+'Instrumentos Financeiros'!$H$43)^(1/12)-1),$F$11,-$I$62),0)</f>
        <v>0</v>
      </c>
      <c r="Q157" s="1312">
        <f t="shared" si="64"/>
        <v>0</v>
      </c>
      <c r="R157" s="1312">
        <f>S156*((1+'Instrumentos Financeiros'!$H$43)^(1/12)-1)</f>
        <v>0</v>
      </c>
      <c r="S157" s="1312">
        <f t="shared" si="34"/>
        <v>0</v>
      </c>
      <c r="T157" s="1312">
        <f>IF(AND(C157&gt;$F$63,'Instrumentos Financeiros'!C157&lt;'Instrumentos Financeiros'!$F$63+'Instrumentos Financeiros'!$F$11+1),PMT(((1+'Instrumentos Financeiros'!$H$43)^(1/12)-1),$F$11,-$I$63),0)</f>
        <v>0</v>
      </c>
      <c r="U157" s="1312">
        <f t="shared" si="65"/>
        <v>0</v>
      </c>
      <c r="V157" s="1312">
        <f>W156*((1+'Instrumentos Financeiros'!$H$43)^(1/12)-1)</f>
        <v>0</v>
      </c>
      <c r="W157" s="1312">
        <f t="shared" si="35"/>
        <v>0</v>
      </c>
      <c r="X157" s="1312">
        <f>IF(AND(C157&gt;$F$64,'Instrumentos Financeiros'!C157&lt;'Instrumentos Financeiros'!$F$64+'Instrumentos Financeiros'!$F$11+1),PMT(((1+'Instrumentos Financeiros'!$H$43)^(1/12)-1),$F$11,-$I$64),0)</f>
        <v>0</v>
      </c>
      <c r="Y157" s="1312">
        <f t="shared" si="66"/>
        <v>0</v>
      </c>
      <c r="Z157" s="1312">
        <f>AA156*((1+'Instrumentos Financeiros'!$H$43)^(1/12)-1)</f>
        <v>0</v>
      </c>
      <c r="AA157" s="1312">
        <f t="shared" si="36"/>
        <v>0</v>
      </c>
      <c r="AB157" s="1312">
        <f>IF(AND(C157&gt;$F$65,'Instrumentos Financeiros'!C157&lt;'Instrumentos Financeiros'!$F$65+'Instrumentos Financeiros'!$F$11+1),PMT(((1+'Instrumentos Financeiros'!$H$43)^(1/12)-1),$F$11,-$I$65),0)</f>
        <v>0</v>
      </c>
      <c r="AC157" s="1312">
        <f t="shared" si="67"/>
        <v>0</v>
      </c>
      <c r="AD157" s="1312">
        <f>AE156*((1+'Instrumentos Financeiros'!$H$43)^(1/12)-1)</f>
        <v>0</v>
      </c>
      <c r="AE157" s="1312">
        <f t="shared" si="37"/>
        <v>0</v>
      </c>
      <c r="AF157" s="1312">
        <f>IF(AND(C157&gt;$F$66,'Instrumentos Financeiros'!C157&lt;'Instrumentos Financeiros'!$F$66+'Instrumentos Financeiros'!$F$11+1),PMT(((1+'Instrumentos Financeiros'!$I$43)^(1/12)-1),$F$11,-$I$66),0)</f>
        <v>0</v>
      </c>
      <c r="AG157" s="1312">
        <f t="shared" si="68"/>
        <v>0</v>
      </c>
      <c r="AH157" s="1312">
        <f>AI156*((1+'Instrumentos Financeiros'!$I$43)^(1/12)-1)</f>
        <v>0</v>
      </c>
      <c r="AI157" s="1312">
        <f t="shared" si="38"/>
        <v>0</v>
      </c>
      <c r="AJ157" s="1312">
        <f>IF(AND(C157&gt;$F$67,'Instrumentos Financeiros'!C157&lt;'Instrumentos Financeiros'!$F$67+'Instrumentos Financeiros'!$F$11+1),PMT(((1+'Instrumentos Financeiros'!$I$43)^(1/12)-1),$F$11,-$I$67),0)</f>
        <v>0</v>
      </c>
      <c r="AK157" s="1312">
        <f t="shared" si="69"/>
        <v>0</v>
      </c>
      <c r="AL157" s="1312">
        <f>AM156*((1+'Instrumentos Financeiros'!$I$43)^(1/12)-1)</f>
        <v>0</v>
      </c>
      <c r="AM157" s="1312">
        <f t="shared" si="39"/>
        <v>0</v>
      </c>
      <c r="AN157" s="1312">
        <f>IF(AND(C157&gt;$F$68,'Instrumentos Financeiros'!C157&lt;'Instrumentos Financeiros'!$F$68+'Instrumentos Financeiros'!$F$11+1),PMT(((1+'Instrumentos Financeiros'!$I$43)^(1/12)-1),$F$11,-$I$68),0)</f>
        <v>0</v>
      </c>
      <c r="AO157" s="1312">
        <f t="shared" si="70"/>
        <v>0</v>
      </c>
      <c r="AP157" s="1312">
        <f>AQ156*((1+'Instrumentos Financeiros'!$I$43)^(1/12)-1)</f>
        <v>0</v>
      </c>
      <c r="AQ157" s="1312">
        <f t="shared" si="40"/>
        <v>0</v>
      </c>
      <c r="AR157" s="1312">
        <f>IF(AND(C157&gt;$F$69,'Instrumentos Financeiros'!C157&lt;'Instrumentos Financeiros'!$F$69+'Instrumentos Financeiros'!$F$11+1),PMT(((1+'Instrumentos Financeiros'!$I$43)^(1/12)-1),$F$11,-$I$69),0)</f>
        <v>0</v>
      </c>
      <c r="AS157" s="1312">
        <f t="shared" si="71"/>
        <v>0</v>
      </c>
      <c r="AT157" s="1312">
        <f>AU156*((1+'Instrumentos Financeiros'!$I$43)^(1/12)-1)</f>
        <v>0</v>
      </c>
      <c r="AU157" s="1312">
        <f t="shared" si="41"/>
        <v>0</v>
      </c>
      <c r="AV157" s="1312">
        <f>IF(AND(C157&gt;$F$70,'Instrumentos Financeiros'!C157&lt;'Instrumentos Financeiros'!$F$70+'Instrumentos Financeiros'!$F$11+1),PMT(((1+'Instrumentos Financeiros'!$J$43)^(1/12)-1),$F$11,-$I$70),0)</f>
        <v>0</v>
      </c>
      <c r="AW157" s="1312">
        <f t="shared" si="72"/>
        <v>0</v>
      </c>
      <c r="AX157" s="1312">
        <f>AY156*((1+'Instrumentos Financeiros'!$J$43)^(1/12)-1)</f>
        <v>0</v>
      </c>
      <c r="AY157" s="1312">
        <f t="shared" si="42"/>
        <v>0</v>
      </c>
      <c r="AZ157" s="1312">
        <f>IF(AND(C157&gt;$F$71,'Instrumentos Financeiros'!C157&lt;'Instrumentos Financeiros'!$F$71+'Instrumentos Financeiros'!$F$11+1),PMT(((1+'Instrumentos Financeiros'!$J$43)^(1/12)-1),$F$11,-$I$71),0)</f>
        <v>0</v>
      </c>
      <c r="BA157" s="1312">
        <f t="shared" si="73"/>
        <v>0</v>
      </c>
      <c r="BB157" s="1312">
        <f>BC156*((1+'Instrumentos Financeiros'!$J$43)^(1/12)-1)</f>
        <v>0</v>
      </c>
      <c r="BC157" s="1312">
        <f t="shared" si="43"/>
        <v>0</v>
      </c>
      <c r="BD157" s="1312">
        <f>IF(AND(C157&gt;$F$72,'Instrumentos Financeiros'!C157&lt;'Instrumentos Financeiros'!$F$72+'Instrumentos Financeiros'!$F$11+1),PMT(((1+'Instrumentos Financeiros'!$J$43)^(1/12)-1),$F$11,-'Instrumentos Financeiros'!$G$7*$G$72),0)</f>
        <v>0</v>
      </c>
      <c r="BE157" s="1312">
        <f t="shared" si="74"/>
        <v>0</v>
      </c>
      <c r="BF157" s="1312">
        <f>BG156*((1+'Instrumentos Financeiros'!$J$43)^(1/12)-1)</f>
        <v>0</v>
      </c>
      <c r="BG157" s="1312">
        <f t="shared" si="44"/>
        <v>0</v>
      </c>
      <c r="BH157" s="1312">
        <f>IF(AND(C157&gt;$F$73,'Instrumentos Financeiros'!C157&lt;'Instrumentos Financeiros'!$F$73+'Instrumentos Financeiros'!$F$11+1),PMT(((1+'Instrumentos Financeiros'!$J$43)^(1/12)-1),$F$11,-$I$73),0)</f>
        <v>0</v>
      </c>
      <c r="BI157" s="1312">
        <f t="shared" si="75"/>
        <v>0</v>
      </c>
      <c r="BJ157" s="1312">
        <f>BK156*((1+'Instrumentos Financeiros'!$J$43)^(1/12)-1)</f>
        <v>0</v>
      </c>
      <c r="BK157" s="1312">
        <f t="shared" si="45"/>
        <v>0</v>
      </c>
      <c r="BL157" s="1312">
        <f>IF(AND(C157&gt;$F$77,'Instrumentos Financeiros'!C157&lt;'Instrumentos Financeiros'!$F$77+'Instrumentos Financeiros'!$F$12+1),PMT(((1+'Instrumentos Financeiros'!$K$43)^(1/12)-1),$F$12,-$I$77),0)</f>
        <v>0</v>
      </c>
      <c r="BM157" s="1312">
        <f t="shared" si="46"/>
        <v>0</v>
      </c>
      <c r="BN157" s="1312">
        <f>BO156*((1+'Instrumentos Financeiros'!$K$43)^(1/12)-1)</f>
        <v>0</v>
      </c>
      <c r="BO157" s="1312">
        <f t="shared" si="47"/>
        <v>0</v>
      </c>
      <c r="BP157" s="1312">
        <f>IF(AND(C157&gt;$F$78,'Instrumentos Financeiros'!C157&lt;'Instrumentos Financeiros'!$F$78+'Instrumentos Financeiros'!$F$12+1),PMT(((1+'Instrumentos Financeiros'!$L$43)^(1/12)-1),$F$12,-$I$78),0)</f>
        <v>0</v>
      </c>
      <c r="BQ157" s="1312">
        <f t="shared" si="48"/>
        <v>0</v>
      </c>
      <c r="BR157" s="1312">
        <f>BS156*((1+'Instrumentos Financeiros'!$L$43)^(1/12)-1)</f>
        <v>0</v>
      </c>
      <c r="BS157" s="1312">
        <f t="shared" si="49"/>
        <v>0</v>
      </c>
      <c r="BT157" s="1312">
        <f>IF(AND(C157&gt;$F$79,'Instrumentos Financeiros'!C157&lt;'Instrumentos Financeiros'!$F$79+'Instrumentos Financeiros'!$F$12+1),PMT(((1+'Instrumentos Financeiros'!$L$43)^(1/12)-1),$F$12,-$I$79),0)</f>
        <v>0</v>
      </c>
      <c r="BU157" s="1312">
        <f t="shared" si="50"/>
        <v>0</v>
      </c>
      <c r="BV157" s="1312">
        <f>BW156*((1+'Instrumentos Financeiros'!$L$43)^(1/12)-1)</f>
        <v>0</v>
      </c>
      <c r="BW157" s="1312">
        <f t="shared" si="51"/>
        <v>0</v>
      </c>
      <c r="BX157" s="1312">
        <f>IF(AND(C157&gt;$F$80,'Instrumentos Financeiros'!C157&lt;'Instrumentos Financeiros'!$F$80+'Instrumentos Financeiros'!$F$12+1),PMT(((1+'Instrumentos Financeiros'!$L$43)^(1/12)-1),$F$12,-$I$80),0)</f>
        <v>0</v>
      </c>
      <c r="BY157" s="1312">
        <f t="shared" si="52"/>
        <v>0</v>
      </c>
      <c r="BZ157" s="1312">
        <f>CA156*((1+'Instrumentos Financeiros'!$L$43)^(1/12)-1)</f>
        <v>0</v>
      </c>
      <c r="CA157" s="1312">
        <f t="shared" si="53"/>
        <v>0</v>
      </c>
      <c r="CB157" s="1312">
        <f>IF(AND(C157&gt;$F$83,'Instrumentos Financeiros'!C157&lt;'Instrumentos Financeiros'!$F$83+'Instrumentos Financeiros'!$F$13+1),PMT(((1+'Instrumentos Financeiros'!$P$43)^(1/12)-1),$F$13,-$I$83),0)</f>
        <v>0</v>
      </c>
      <c r="CC157" s="1312">
        <f t="shared" si="54"/>
        <v>0</v>
      </c>
      <c r="CD157" s="1312">
        <f>CE156*((1+'Instrumentos Financeiros'!$P$43)^(1/12)-1)</f>
        <v>0</v>
      </c>
      <c r="CE157" s="1312">
        <f t="shared" si="55"/>
        <v>0</v>
      </c>
      <c r="CF157" s="1312">
        <f>IF(AND(C157&gt;$F$84,'Instrumentos Financeiros'!C157&lt;'Instrumentos Financeiros'!$F$84+'Instrumentos Financeiros'!$F$13+1),PMT(((1+'Instrumentos Financeiros'!$Q$43)^(1/12)-1),$F$13,-$I$84),0)</f>
        <v>0</v>
      </c>
      <c r="CG157" s="1312">
        <f t="shared" si="56"/>
        <v>0</v>
      </c>
      <c r="CH157" s="1312">
        <f>CI156*((1+'Instrumentos Financeiros'!$Q$43)^(1/12)-1)</f>
        <v>0</v>
      </c>
      <c r="CI157" s="1312">
        <f t="shared" si="57"/>
        <v>0</v>
      </c>
      <c r="CJ157" s="1312">
        <f>IF(AND(C157&gt;$F$85,'Instrumentos Financeiros'!C157&lt;'Instrumentos Financeiros'!$F$85+'Instrumentos Financeiros'!$F$13+1),PMT(((1+'Instrumentos Financeiros'!$Q$43)^(1/12)-1),$F$13,-$I$85),0)</f>
        <v>0</v>
      </c>
      <c r="CK157" s="1312">
        <f t="shared" si="58"/>
        <v>0</v>
      </c>
      <c r="CL157" s="1312">
        <f>CM156*((1+'Instrumentos Financeiros'!$Q$43)^(1/12)-1)</f>
        <v>0</v>
      </c>
      <c r="CM157" s="1312">
        <f t="shared" si="59"/>
        <v>0</v>
      </c>
      <c r="CN157" s="1312">
        <f>IF(AND(C157&gt;$F$86,'Instrumentos Financeiros'!C157&lt;'Instrumentos Financeiros'!$F$86+'Instrumentos Financeiros'!$F$13+1),PMT(((1+'Instrumentos Financeiros'!$Q$43)^(1/12)-1),$F$13,-$I$86),0)</f>
        <v>0</v>
      </c>
      <c r="CO157" s="1312">
        <f t="shared" si="60"/>
        <v>0</v>
      </c>
      <c r="CP157" s="1312">
        <f>CQ156*((1+'Instrumentos Financeiros'!$Q$43)^(1/12)-1)</f>
        <v>0</v>
      </c>
      <c r="CQ157" s="1312">
        <f t="shared" si="61"/>
        <v>0</v>
      </c>
      <c r="CR157" s="1312">
        <f t="shared" si="29"/>
        <v>0</v>
      </c>
      <c r="CS157" s="1312">
        <f t="shared" si="29"/>
        <v>0</v>
      </c>
      <c r="CT157" s="1312">
        <f t="shared" si="29"/>
        <v>0</v>
      </c>
      <c r="CU157" s="1312">
        <f t="shared" ref="CU157" si="77">G157+K157+O157+S157+W157+AA157+AE157+AI157+AM157+AQ157+AU157+AY157+BC157+BG157+BK157+BO157+BS157+BW157+CA157+CE157+CI157+CM157+CQ157</f>
        <v>0</v>
      </c>
    </row>
    <row r="158" spans="3:99" x14ac:dyDescent="0.35">
      <c r="C158" s="1315">
        <f t="shared" si="30"/>
        <v>65</v>
      </c>
      <c r="D158" s="1312">
        <f>IF(AND(C158&gt;$F$59,'Instrumentos Financeiros'!C158&lt;'Instrumentos Financeiros'!$F$59+'Instrumentos Financeiros'!$F$11+1),PMT(((1+'Instrumentos Financeiros'!$G$43)^(1/12)-1),$F$11,-$I$59),0)</f>
        <v>0</v>
      </c>
      <c r="E158" s="1312">
        <f t="shared" si="76"/>
        <v>0</v>
      </c>
      <c r="F158" s="1312">
        <f>G157*((1+'Instrumentos Financeiros'!$G$43)^(1/12)-1)</f>
        <v>0</v>
      </c>
      <c r="G158" s="1312">
        <f t="shared" si="31"/>
        <v>0</v>
      </c>
      <c r="H158" s="1312">
        <f>IF(AND(C158&gt;$F$60,'Instrumentos Financeiros'!C158&lt;'Instrumentos Financeiros'!$F$60+'Instrumentos Financeiros'!$F$11+1),PMT(((1+'Instrumentos Financeiros'!$G$43)^(1/12)-1),$F$11,-$I$60),0)</f>
        <v>0</v>
      </c>
      <c r="I158" s="1312">
        <f t="shared" si="62"/>
        <v>0</v>
      </c>
      <c r="J158" s="1312">
        <f>K157*((1+'Instrumentos Financeiros'!$G$43)^(1/12)-1)</f>
        <v>0</v>
      </c>
      <c r="K158" s="1312">
        <f t="shared" si="32"/>
        <v>0</v>
      </c>
      <c r="L158" s="1312">
        <f>IF(AND(C158&gt;$F$61,'Instrumentos Financeiros'!C158&lt;'Instrumentos Financeiros'!$F$61+'Instrumentos Financeiros'!$F$11+1),PMT(((1+'Instrumentos Financeiros'!$G$43)^(1/12)-1),$F$11,-$I$61),0)</f>
        <v>0</v>
      </c>
      <c r="M158" s="1312">
        <f t="shared" si="63"/>
        <v>0</v>
      </c>
      <c r="N158" s="1312">
        <f>O157*((1+'Instrumentos Financeiros'!$G$43)^(1/12)-1)</f>
        <v>0</v>
      </c>
      <c r="O158" s="1312">
        <f t="shared" si="33"/>
        <v>0</v>
      </c>
      <c r="P158" s="1312">
        <f>IF(AND(C158&gt;$F$62,'Instrumentos Financeiros'!C158&lt;'Instrumentos Financeiros'!$F$62+'Instrumentos Financeiros'!$F$11+1),PMT(((1+'Instrumentos Financeiros'!$H$43)^(1/12)-1),$F$11,-$I$62),0)</f>
        <v>0</v>
      </c>
      <c r="Q158" s="1312">
        <f t="shared" si="64"/>
        <v>0</v>
      </c>
      <c r="R158" s="1312">
        <f>S157*((1+'Instrumentos Financeiros'!$H$43)^(1/12)-1)</f>
        <v>0</v>
      </c>
      <c r="S158" s="1312">
        <f t="shared" si="34"/>
        <v>0</v>
      </c>
      <c r="T158" s="1312">
        <f>IF(AND(C158&gt;$F$63,'Instrumentos Financeiros'!C158&lt;'Instrumentos Financeiros'!$F$63+'Instrumentos Financeiros'!$F$11+1),PMT(((1+'Instrumentos Financeiros'!$H$43)^(1/12)-1),$F$11,-$I$63),0)</f>
        <v>0</v>
      </c>
      <c r="U158" s="1312">
        <f t="shared" si="65"/>
        <v>0</v>
      </c>
      <c r="V158" s="1312">
        <f>W157*((1+'Instrumentos Financeiros'!$H$43)^(1/12)-1)</f>
        <v>0</v>
      </c>
      <c r="W158" s="1312">
        <f t="shared" si="35"/>
        <v>0</v>
      </c>
      <c r="X158" s="1312">
        <f>IF(AND(C158&gt;$F$64,'Instrumentos Financeiros'!C158&lt;'Instrumentos Financeiros'!$F$64+'Instrumentos Financeiros'!$F$11+1),PMT(((1+'Instrumentos Financeiros'!$H$43)^(1/12)-1),$F$11,-$I$64),0)</f>
        <v>0</v>
      </c>
      <c r="Y158" s="1312">
        <f t="shared" si="66"/>
        <v>0</v>
      </c>
      <c r="Z158" s="1312">
        <f>AA157*((1+'Instrumentos Financeiros'!$H$43)^(1/12)-1)</f>
        <v>0</v>
      </c>
      <c r="AA158" s="1312">
        <f t="shared" si="36"/>
        <v>0</v>
      </c>
      <c r="AB158" s="1312">
        <f>IF(AND(C158&gt;$F$65,'Instrumentos Financeiros'!C158&lt;'Instrumentos Financeiros'!$F$65+'Instrumentos Financeiros'!$F$11+1),PMT(((1+'Instrumentos Financeiros'!$H$43)^(1/12)-1),$F$11,-$I$65),0)</f>
        <v>0</v>
      </c>
      <c r="AC158" s="1312">
        <f t="shared" si="67"/>
        <v>0</v>
      </c>
      <c r="AD158" s="1312">
        <f>AE157*((1+'Instrumentos Financeiros'!$H$43)^(1/12)-1)</f>
        <v>0</v>
      </c>
      <c r="AE158" s="1312">
        <f t="shared" si="37"/>
        <v>0</v>
      </c>
      <c r="AF158" s="1312">
        <f>IF(AND(C158&gt;$F$66,'Instrumentos Financeiros'!C158&lt;'Instrumentos Financeiros'!$F$66+'Instrumentos Financeiros'!$F$11+1),PMT(((1+'Instrumentos Financeiros'!$I$43)^(1/12)-1),$F$11,-$I$66),0)</f>
        <v>0</v>
      </c>
      <c r="AG158" s="1312">
        <f t="shared" si="68"/>
        <v>0</v>
      </c>
      <c r="AH158" s="1312">
        <f>AI157*((1+'Instrumentos Financeiros'!$I$43)^(1/12)-1)</f>
        <v>0</v>
      </c>
      <c r="AI158" s="1312">
        <f t="shared" si="38"/>
        <v>0</v>
      </c>
      <c r="AJ158" s="1312">
        <f>IF(AND(C158&gt;$F$67,'Instrumentos Financeiros'!C158&lt;'Instrumentos Financeiros'!$F$67+'Instrumentos Financeiros'!$F$11+1),PMT(((1+'Instrumentos Financeiros'!$I$43)^(1/12)-1),$F$11,-$I$67),0)</f>
        <v>0</v>
      </c>
      <c r="AK158" s="1312">
        <f t="shared" si="69"/>
        <v>0</v>
      </c>
      <c r="AL158" s="1312">
        <f>AM157*((1+'Instrumentos Financeiros'!$I$43)^(1/12)-1)</f>
        <v>0</v>
      </c>
      <c r="AM158" s="1312">
        <f t="shared" si="39"/>
        <v>0</v>
      </c>
      <c r="AN158" s="1312">
        <f>IF(AND(C158&gt;$F$68,'Instrumentos Financeiros'!C158&lt;'Instrumentos Financeiros'!$F$68+'Instrumentos Financeiros'!$F$11+1),PMT(((1+'Instrumentos Financeiros'!$I$43)^(1/12)-1),$F$11,-$I$68),0)</f>
        <v>0</v>
      </c>
      <c r="AO158" s="1312">
        <f t="shared" si="70"/>
        <v>0</v>
      </c>
      <c r="AP158" s="1312">
        <f>AQ157*((1+'Instrumentos Financeiros'!$I$43)^(1/12)-1)</f>
        <v>0</v>
      </c>
      <c r="AQ158" s="1312">
        <f t="shared" si="40"/>
        <v>0</v>
      </c>
      <c r="AR158" s="1312">
        <f>IF(AND(C158&gt;$F$69,'Instrumentos Financeiros'!C158&lt;'Instrumentos Financeiros'!$F$69+'Instrumentos Financeiros'!$F$11+1),PMT(((1+'Instrumentos Financeiros'!$I$43)^(1/12)-1),$F$11,-$I$69),0)</f>
        <v>0</v>
      </c>
      <c r="AS158" s="1312">
        <f t="shared" si="71"/>
        <v>0</v>
      </c>
      <c r="AT158" s="1312">
        <f>AU157*((1+'Instrumentos Financeiros'!$I$43)^(1/12)-1)</f>
        <v>0</v>
      </c>
      <c r="AU158" s="1312">
        <f t="shared" si="41"/>
        <v>0</v>
      </c>
      <c r="AV158" s="1312">
        <f>IF(AND(C158&gt;$F$70,'Instrumentos Financeiros'!C158&lt;'Instrumentos Financeiros'!$F$70+'Instrumentos Financeiros'!$F$11+1),PMT(((1+'Instrumentos Financeiros'!$J$43)^(1/12)-1),$F$11,-$I$70),0)</f>
        <v>0</v>
      </c>
      <c r="AW158" s="1312">
        <f t="shared" si="72"/>
        <v>0</v>
      </c>
      <c r="AX158" s="1312">
        <f>AY157*((1+'Instrumentos Financeiros'!$J$43)^(1/12)-1)</f>
        <v>0</v>
      </c>
      <c r="AY158" s="1312">
        <f t="shared" si="42"/>
        <v>0</v>
      </c>
      <c r="AZ158" s="1312">
        <f>IF(AND(C158&gt;$F$71,'Instrumentos Financeiros'!C158&lt;'Instrumentos Financeiros'!$F$71+'Instrumentos Financeiros'!$F$11+1),PMT(((1+'Instrumentos Financeiros'!$J$43)^(1/12)-1),$F$11,-$I$71),0)</f>
        <v>0</v>
      </c>
      <c r="BA158" s="1312">
        <f t="shared" si="73"/>
        <v>0</v>
      </c>
      <c r="BB158" s="1312">
        <f>BC157*((1+'Instrumentos Financeiros'!$J$43)^(1/12)-1)</f>
        <v>0</v>
      </c>
      <c r="BC158" s="1312">
        <f t="shared" si="43"/>
        <v>0</v>
      </c>
      <c r="BD158" s="1312">
        <f>IF(AND(C158&gt;$F$72,'Instrumentos Financeiros'!C158&lt;'Instrumentos Financeiros'!$F$72+'Instrumentos Financeiros'!$F$11+1),PMT(((1+'Instrumentos Financeiros'!$J$43)^(1/12)-1),$F$11,-'Instrumentos Financeiros'!$G$7*$G$72),0)</f>
        <v>0</v>
      </c>
      <c r="BE158" s="1312">
        <f t="shared" si="74"/>
        <v>0</v>
      </c>
      <c r="BF158" s="1312">
        <f>BG157*((1+'Instrumentos Financeiros'!$J$43)^(1/12)-1)</f>
        <v>0</v>
      </c>
      <c r="BG158" s="1312">
        <f t="shared" si="44"/>
        <v>0</v>
      </c>
      <c r="BH158" s="1312">
        <f>IF(AND(C158&gt;$F$73,'Instrumentos Financeiros'!C158&lt;'Instrumentos Financeiros'!$F$73+'Instrumentos Financeiros'!$F$11+1),PMT(((1+'Instrumentos Financeiros'!$J$43)^(1/12)-1),$F$11,-$I$73),0)</f>
        <v>0</v>
      </c>
      <c r="BI158" s="1312">
        <f t="shared" si="75"/>
        <v>0</v>
      </c>
      <c r="BJ158" s="1312">
        <f>BK157*((1+'Instrumentos Financeiros'!$J$43)^(1/12)-1)</f>
        <v>0</v>
      </c>
      <c r="BK158" s="1312">
        <f t="shared" si="45"/>
        <v>0</v>
      </c>
      <c r="BL158" s="1312">
        <f>IF(AND(C158&gt;$F$77,'Instrumentos Financeiros'!C158&lt;'Instrumentos Financeiros'!$F$77+'Instrumentos Financeiros'!$F$12+1),PMT(((1+'Instrumentos Financeiros'!$K$43)^(1/12)-1),$F$12,-$I$77),0)</f>
        <v>0</v>
      </c>
      <c r="BM158" s="1312">
        <f t="shared" si="46"/>
        <v>0</v>
      </c>
      <c r="BN158" s="1312">
        <f>BO157*((1+'Instrumentos Financeiros'!$K$43)^(1/12)-1)</f>
        <v>0</v>
      </c>
      <c r="BO158" s="1312">
        <f t="shared" si="47"/>
        <v>0</v>
      </c>
      <c r="BP158" s="1312">
        <f>IF(AND(C158&gt;$F$78,'Instrumentos Financeiros'!C158&lt;'Instrumentos Financeiros'!$F$78+'Instrumentos Financeiros'!$F$12+1),PMT(((1+'Instrumentos Financeiros'!$L$43)^(1/12)-1),$F$12,-$I$78),0)</f>
        <v>0</v>
      </c>
      <c r="BQ158" s="1312">
        <f t="shared" si="48"/>
        <v>0</v>
      </c>
      <c r="BR158" s="1312">
        <f>BS157*((1+'Instrumentos Financeiros'!$L$43)^(1/12)-1)</f>
        <v>0</v>
      </c>
      <c r="BS158" s="1312">
        <f t="shared" si="49"/>
        <v>0</v>
      </c>
      <c r="BT158" s="1312">
        <f>IF(AND(C158&gt;$F$79,'Instrumentos Financeiros'!C158&lt;'Instrumentos Financeiros'!$F$79+'Instrumentos Financeiros'!$F$12+1),PMT(((1+'Instrumentos Financeiros'!$L$43)^(1/12)-1),$F$12,-$I$79),0)</f>
        <v>0</v>
      </c>
      <c r="BU158" s="1312">
        <f t="shared" si="50"/>
        <v>0</v>
      </c>
      <c r="BV158" s="1312">
        <f>BW157*((1+'Instrumentos Financeiros'!$L$43)^(1/12)-1)</f>
        <v>0</v>
      </c>
      <c r="BW158" s="1312">
        <f t="shared" si="51"/>
        <v>0</v>
      </c>
      <c r="BX158" s="1312">
        <f>IF(AND(C158&gt;$F$80,'Instrumentos Financeiros'!C158&lt;'Instrumentos Financeiros'!$F$80+'Instrumentos Financeiros'!$F$12+1),PMT(((1+'Instrumentos Financeiros'!$L$43)^(1/12)-1),$F$12,-$I$80),0)</f>
        <v>0</v>
      </c>
      <c r="BY158" s="1312">
        <f t="shared" si="52"/>
        <v>0</v>
      </c>
      <c r="BZ158" s="1312">
        <f>CA157*((1+'Instrumentos Financeiros'!$L$43)^(1/12)-1)</f>
        <v>0</v>
      </c>
      <c r="CA158" s="1312">
        <f t="shared" si="53"/>
        <v>0</v>
      </c>
      <c r="CB158" s="1312">
        <f>IF(AND(C158&gt;$F$83,'Instrumentos Financeiros'!C158&lt;'Instrumentos Financeiros'!$F$83+'Instrumentos Financeiros'!$F$13+1),PMT(((1+'Instrumentos Financeiros'!$P$43)^(1/12)-1),$F$13,-$I$83),0)</f>
        <v>0</v>
      </c>
      <c r="CC158" s="1312">
        <f t="shared" si="54"/>
        <v>0</v>
      </c>
      <c r="CD158" s="1312">
        <f>CE157*((1+'Instrumentos Financeiros'!$P$43)^(1/12)-1)</f>
        <v>0</v>
      </c>
      <c r="CE158" s="1312">
        <f t="shared" si="55"/>
        <v>0</v>
      </c>
      <c r="CF158" s="1312">
        <f>IF(AND(C158&gt;$F$84,'Instrumentos Financeiros'!C158&lt;'Instrumentos Financeiros'!$F$84+'Instrumentos Financeiros'!$F$13+1),PMT(((1+'Instrumentos Financeiros'!$Q$43)^(1/12)-1),$F$13,-$I$84),0)</f>
        <v>0</v>
      </c>
      <c r="CG158" s="1312">
        <f t="shared" si="56"/>
        <v>0</v>
      </c>
      <c r="CH158" s="1312">
        <f>CI157*((1+'Instrumentos Financeiros'!$Q$43)^(1/12)-1)</f>
        <v>0</v>
      </c>
      <c r="CI158" s="1312">
        <f t="shared" si="57"/>
        <v>0</v>
      </c>
      <c r="CJ158" s="1312">
        <f>IF(AND(C158&gt;$F$85,'Instrumentos Financeiros'!C158&lt;'Instrumentos Financeiros'!$F$85+'Instrumentos Financeiros'!$F$13+1),PMT(((1+'Instrumentos Financeiros'!$Q$43)^(1/12)-1),$F$13,-$I$85),0)</f>
        <v>0</v>
      </c>
      <c r="CK158" s="1312">
        <f t="shared" si="58"/>
        <v>0</v>
      </c>
      <c r="CL158" s="1312">
        <f>CM157*((1+'Instrumentos Financeiros'!$Q$43)^(1/12)-1)</f>
        <v>0</v>
      </c>
      <c r="CM158" s="1312">
        <f t="shared" si="59"/>
        <v>0</v>
      </c>
      <c r="CN158" s="1312">
        <f>IF(AND(C158&gt;$F$86,'Instrumentos Financeiros'!C158&lt;'Instrumentos Financeiros'!$F$86+'Instrumentos Financeiros'!$F$13+1),PMT(((1+'Instrumentos Financeiros'!$Q$43)^(1/12)-1),$F$13,-$I$86),0)</f>
        <v>0</v>
      </c>
      <c r="CO158" s="1312">
        <f t="shared" si="60"/>
        <v>0</v>
      </c>
      <c r="CP158" s="1312">
        <f>CQ157*((1+'Instrumentos Financeiros'!$Q$43)^(1/12)-1)</f>
        <v>0</v>
      </c>
      <c r="CQ158" s="1312">
        <f t="shared" si="61"/>
        <v>0</v>
      </c>
      <c r="CR158" s="1312">
        <f t="shared" ref="CR158:CU221" si="78">D158+H158+L158+P158+T158+X158+AB158+AF158+AJ158+AN158+AR158+AV158+AZ158+BD158+BH158+BL158+BP158+BT158+BX158+CB158+CF158+CJ158+CN158</f>
        <v>0</v>
      </c>
      <c r="CS158" s="1312">
        <f t="shared" si="78"/>
        <v>0</v>
      </c>
      <c r="CT158" s="1312">
        <f t="shared" si="78"/>
        <v>0</v>
      </c>
      <c r="CU158" s="1312">
        <f t="shared" si="78"/>
        <v>0</v>
      </c>
    </row>
    <row r="159" spans="3:99" x14ac:dyDescent="0.35">
      <c r="C159" s="1315">
        <f t="shared" ref="C159:C222" si="79">C158+1</f>
        <v>66</v>
      </c>
      <c r="D159" s="1312">
        <f>IF(AND(C159&gt;$F$59,'Instrumentos Financeiros'!C159&lt;'Instrumentos Financeiros'!$F$59+'Instrumentos Financeiros'!$F$11+1),PMT(((1+'Instrumentos Financeiros'!$G$43)^(1/12)-1),$F$11,-$I$59),0)</f>
        <v>0</v>
      </c>
      <c r="E159" s="1312">
        <f t="shared" si="76"/>
        <v>0</v>
      </c>
      <c r="F159" s="1312">
        <f>G158*((1+'Instrumentos Financeiros'!$G$43)^(1/12)-1)</f>
        <v>0</v>
      </c>
      <c r="G159" s="1312">
        <f>IF(C159=$F$59,$I$59,G158-E159)</f>
        <v>11682843.229858823</v>
      </c>
      <c r="H159" s="1312">
        <f>IF(AND(C159&gt;$F$60,'Instrumentos Financeiros'!C159&lt;'Instrumentos Financeiros'!$F$60+'Instrumentos Financeiros'!$F$11+1),PMT(((1+'Instrumentos Financeiros'!$G$43)^(1/12)-1),$F$11,-$I$60),0)</f>
        <v>0</v>
      </c>
      <c r="I159" s="1312">
        <f t="shared" si="62"/>
        <v>0</v>
      </c>
      <c r="J159" s="1312">
        <f>K158*((1+'Instrumentos Financeiros'!$G$43)^(1/12)-1)</f>
        <v>0</v>
      </c>
      <c r="K159" s="1312">
        <f t="shared" ref="K159:K222" si="80">IF(C159=$F$60,$I$60,K158-I159)</f>
        <v>0</v>
      </c>
      <c r="L159" s="1312">
        <f>IF(AND(C159&gt;$F$61,'Instrumentos Financeiros'!C159&lt;'Instrumentos Financeiros'!$F$61+'Instrumentos Financeiros'!$F$11+1),PMT(((1+'Instrumentos Financeiros'!$G$43)^(1/12)-1),$F$11,-$I$61),0)</f>
        <v>0</v>
      </c>
      <c r="M159" s="1312">
        <f t="shared" si="63"/>
        <v>0</v>
      </c>
      <c r="N159" s="1312">
        <f>O158*((1+'Instrumentos Financeiros'!$G$43)^(1/12)-1)</f>
        <v>0</v>
      </c>
      <c r="O159" s="1312">
        <f t="shared" ref="O159:O222" si="81">IF(C159=$F$61,$I$61,O158-M159)</f>
        <v>0</v>
      </c>
      <c r="P159" s="1312">
        <f>IF(AND(C159&gt;$F$62,'Instrumentos Financeiros'!C159&lt;'Instrumentos Financeiros'!$F$62+'Instrumentos Financeiros'!$F$11+1),PMT(((1+'Instrumentos Financeiros'!$H$43)^(1/12)-1),$F$11,-$I$62),0)</f>
        <v>0</v>
      </c>
      <c r="Q159" s="1312">
        <f t="shared" si="64"/>
        <v>0</v>
      </c>
      <c r="R159" s="1312">
        <f>S158*((1+'Instrumentos Financeiros'!$H$43)^(1/12)-1)</f>
        <v>0</v>
      </c>
      <c r="S159" s="1312">
        <f t="shared" ref="S159:S222" si="82">IF(C159=$F$62,$I$62,S158-Q159)</f>
        <v>0</v>
      </c>
      <c r="T159" s="1312">
        <f>IF(AND(C159&gt;$F$63,'Instrumentos Financeiros'!C159&lt;'Instrumentos Financeiros'!$F$63+'Instrumentos Financeiros'!$F$11+1),PMT(((1+'Instrumentos Financeiros'!$H$43)^(1/12)-1),$F$11,-$I$63),0)</f>
        <v>0</v>
      </c>
      <c r="U159" s="1312">
        <f t="shared" si="65"/>
        <v>0</v>
      </c>
      <c r="V159" s="1312">
        <f>W158*((1+'Instrumentos Financeiros'!$H$43)^(1/12)-1)</f>
        <v>0</v>
      </c>
      <c r="W159" s="1312">
        <f t="shared" ref="W159:W222" si="83">IF(C159=$F$63,$I$63,W158-U159)</f>
        <v>0</v>
      </c>
      <c r="X159" s="1312">
        <f>IF(AND(C159&gt;$F$64,'Instrumentos Financeiros'!C159&lt;'Instrumentos Financeiros'!$F$64+'Instrumentos Financeiros'!$F$11+1),PMT(((1+'Instrumentos Financeiros'!$H$43)^(1/12)-1),$F$11,-$I$64),0)</f>
        <v>0</v>
      </c>
      <c r="Y159" s="1312">
        <f t="shared" si="66"/>
        <v>0</v>
      </c>
      <c r="Z159" s="1312">
        <f>AA158*((1+'Instrumentos Financeiros'!$H$43)^(1/12)-1)</f>
        <v>0</v>
      </c>
      <c r="AA159" s="1312">
        <f t="shared" ref="AA159:AA222" si="84">IF(C159=$F$64,$I$64,AA158-Y159)</f>
        <v>0</v>
      </c>
      <c r="AB159" s="1312">
        <f>IF(AND(C159&gt;$F$65,'Instrumentos Financeiros'!C159&lt;'Instrumentos Financeiros'!$F$65+'Instrumentos Financeiros'!$F$11+1),PMT(((1+'Instrumentos Financeiros'!$H$43)^(1/12)-1),$F$11,-$I$65),0)</f>
        <v>0</v>
      </c>
      <c r="AC159" s="1312">
        <f t="shared" si="67"/>
        <v>0</v>
      </c>
      <c r="AD159" s="1312">
        <f>AE158*((1+'Instrumentos Financeiros'!$H$43)^(1/12)-1)</f>
        <v>0</v>
      </c>
      <c r="AE159" s="1312">
        <f t="shared" ref="AE159:AE222" si="85">IF(C159=$F$65,$I$65,AE158-AC159)</f>
        <v>0</v>
      </c>
      <c r="AF159" s="1312">
        <f>IF(AND(C159&gt;$F$66,'Instrumentos Financeiros'!C159&lt;'Instrumentos Financeiros'!$F$66+'Instrumentos Financeiros'!$F$11+1),PMT(((1+'Instrumentos Financeiros'!$I$43)^(1/12)-1),$F$11,-$I$66),0)</f>
        <v>0</v>
      </c>
      <c r="AG159" s="1312">
        <f t="shared" si="68"/>
        <v>0</v>
      </c>
      <c r="AH159" s="1312">
        <f>AI158*((1+'Instrumentos Financeiros'!$I$43)^(1/12)-1)</f>
        <v>0</v>
      </c>
      <c r="AI159" s="1312">
        <f t="shared" ref="AI159:AI222" si="86">IF(C159=$F$66,$I$66,AI158-AG159)</f>
        <v>0</v>
      </c>
      <c r="AJ159" s="1312">
        <f>IF(AND(C159&gt;$F$67,'Instrumentos Financeiros'!C159&lt;'Instrumentos Financeiros'!$F$67+'Instrumentos Financeiros'!$F$11+1),PMT(((1+'Instrumentos Financeiros'!$I$43)^(1/12)-1),$F$11,-$I$67),0)</f>
        <v>0</v>
      </c>
      <c r="AK159" s="1312">
        <f t="shared" si="69"/>
        <v>0</v>
      </c>
      <c r="AL159" s="1312">
        <f>AM158*((1+'Instrumentos Financeiros'!$I$43)^(1/12)-1)</f>
        <v>0</v>
      </c>
      <c r="AM159" s="1312">
        <f t="shared" ref="AM159:AM222" si="87">IF(C159=$F$67,$I$67,AM158-AK159)</f>
        <v>0</v>
      </c>
      <c r="AN159" s="1312">
        <f>IF(AND(C159&gt;$F$68,'Instrumentos Financeiros'!C159&lt;'Instrumentos Financeiros'!$F$68+'Instrumentos Financeiros'!$F$11+1),PMT(((1+'Instrumentos Financeiros'!$I$43)^(1/12)-1),$F$11,-$I$68),0)</f>
        <v>0</v>
      </c>
      <c r="AO159" s="1312">
        <f t="shared" si="70"/>
        <v>0</v>
      </c>
      <c r="AP159" s="1312">
        <f>AQ158*((1+'Instrumentos Financeiros'!$I$43)^(1/12)-1)</f>
        <v>0</v>
      </c>
      <c r="AQ159" s="1312">
        <f t="shared" ref="AQ159:AQ222" si="88">IF(C159=$F$68,$I$68,AQ158-AO159)</f>
        <v>0</v>
      </c>
      <c r="AR159" s="1312">
        <f>IF(AND(C159&gt;$F$69,'Instrumentos Financeiros'!C159&lt;'Instrumentos Financeiros'!$F$69+'Instrumentos Financeiros'!$F$11+1),PMT(((1+'Instrumentos Financeiros'!$I$43)^(1/12)-1),$F$11,-$I$69),0)</f>
        <v>0</v>
      </c>
      <c r="AS159" s="1312">
        <f t="shared" si="71"/>
        <v>0</v>
      </c>
      <c r="AT159" s="1312">
        <f>AU158*((1+'Instrumentos Financeiros'!$I$43)^(1/12)-1)</f>
        <v>0</v>
      </c>
      <c r="AU159" s="1312">
        <f t="shared" ref="AU159:AU222" si="89">IF(C159=$F$69,$I$69,AU158-AS159)</f>
        <v>0</v>
      </c>
      <c r="AV159" s="1312">
        <f>IF(AND(C159&gt;$F$70,'Instrumentos Financeiros'!C159&lt;'Instrumentos Financeiros'!$F$70+'Instrumentos Financeiros'!$F$11+1),PMT(((1+'Instrumentos Financeiros'!$J$43)^(1/12)-1),$F$11,-$I$70),0)</f>
        <v>0</v>
      </c>
      <c r="AW159" s="1312">
        <f t="shared" si="72"/>
        <v>0</v>
      </c>
      <c r="AX159" s="1312">
        <f>AY158*((1+'Instrumentos Financeiros'!$J$43)^(1/12)-1)</f>
        <v>0</v>
      </c>
      <c r="AY159" s="1312">
        <f t="shared" ref="AY159:AY222" si="90">IF(C159=$F$70,$I$70,AY158-AW159)</f>
        <v>0</v>
      </c>
      <c r="AZ159" s="1312">
        <f>IF(AND(C159&gt;$F$71,'Instrumentos Financeiros'!C159&lt;'Instrumentos Financeiros'!$F$71+'Instrumentos Financeiros'!$F$11+1),PMT(((1+'Instrumentos Financeiros'!$J$43)^(1/12)-1),$F$11,-$I$71),0)</f>
        <v>0</v>
      </c>
      <c r="BA159" s="1312">
        <f t="shared" si="73"/>
        <v>0</v>
      </c>
      <c r="BB159" s="1312">
        <f>BC158*((1+'Instrumentos Financeiros'!$J$43)^(1/12)-1)</f>
        <v>0</v>
      </c>
      <c r="BC159" s="1312">
        <f t="shared" ref="BC159:BC222" si="91">IF(C159=$F$71,$I$71,BC158-BA159)</f>
        <v>0</v>
      </c>
      <c r="BD159" s="1312">
        <f>IF(AND(C159&gt;$F$72,'Instrumentos Financeiros'!C159&lt;'Instrumentos Financeiros'!$F$72+'Instrumentos Financeiros'!$F$11+1),PMT(((1+'Instrumentos Financeiros'!$J$43)^(1/12)-1),$F$11,-'Instrumentos Financeiros'!$G$7*$G$72),0)</f>
        <v>0</v>
      </c>
      <c r="BE159" s="1312">
        <f t="shared" si="74"/>
        <v>0</v>
      </c>
      <c r="BF159" s="1312">
        <f>BG158*((1+'Instrumentos Financeiros'!$J$43)^(1/12)-1)</f>
        <v>0</v>
      </c>
      <c r="BG159" s="1312">
        <f t="shared" ref="BG159:BG222" si="92">IF(C159=$F$72,$I$72,BG158-BE159)</f>
        <v>0</v>
      </c>
      <c r="BH159" s="1312">
        <f>IF(AND(C159&gt;$F$73,'Instrumentos Financeiros'!C159&lt;'Instrumentos Financeiros'!$F$73+'Instrumentos Financeiros'!$F$11+1),PMT(((1+'Instrumentos Financeiros'!$J$43)^(1/12)-1),$F$11,-$I$73),0)</f>
        <v>0</v>
      </c>
      <c r="BI159" s="1312">
        <f t="shared" si="75"/>
        <v>0</v>
      </c>
      <c r="BJ159" s="1312">
        <f>BK158*((1+'Instrumentos Financeiros'!$J$43)^(1/12)-1)</f>
        <v>0</v>
      </c>
      <c r="BK159" s="1312">
        <f t="shared" ref="BK159:BK222" si="93">IF(C159=$F$73,$I$73,BK158-BI159)</f>
        <v>0</v>
      </c>
      <c r="BL159" s="1312">
        <f>IF(AND(C159&gt;$F$77,'Instrumentos Financeiros'!C159&lt;'Instrumentos Financeiros'!$F$77+'Instrumentos Financeiros'!$F$12+1),PMT(((1+'Instrumentos Financeiros'!$K$43)^(1/12)-1),$F$12,-$I$77),0)</f>
        <v>0</v>
      </c>
      <c r="BM159" s="1312">
        <f t="shared" ref="BM159:BM222" si="94">BL159-BN159</f>
        <v>0</v>
      </c>
      <c r="BN159" s="1312">
        <f>BO158*((1+'Instrumentos Financeiros'!$K$43)^(1/12)-1)</f>
        <v>0</v>
      </c>
      <c r="BO159" s="1312">
        <f t="shared" ref="BO159:BO222" si="95">IF(C159=$F$77,$I$77,BO158-BM159)</f>
        <v>0</v>
      </c>
      <c r="BP159" s="1312">
        <f>IF(AND(C159&gt;$F$78,'Instrumentos Financeiros'!C159&lt;'Instrumentos Financeiros'!$F$78+'Instrumentos Financeiros'!$F$12+1),PMT(((1+'Instrumentos Financeiros'!$L$43)^(1/12)-1),$F$12,-$I$78),0)</f>
        <v>0</v>
      </c>
      <c r="BQ159" s="1312">
        <f t="shared" ref="BQ159:BQ222" si="96">BP159-BR159</f>
        <v>0</v>
      </c>
      <c r="BR159" s="1312">
        <f>BS158*((1+'Instrumentos Financeiros'!$L$43)^(1/12)-1)</f>
        <v>0</v>
      </c>
      <c r="BS159" s="1312">
        <f t="shared" ref="BS159:BS222" si="97">IF(C159=$F$78,$I$78,BS158-BQ159)</f>
        <v>0</v>
      </c>
      <c r="BT159" s="1312">
        <f>IF(AND(C159&gt;$F$79,'Instrumentos Financeiros'!C159&lt;'Instrumentos Financeiros'!$F$79+'Instrumentos Financeiros'!$F$12+1),PMT(((1+'Instrumentos Financeiros'!$L$43)^(1/12)-1),$F$12,-$I$79),0)</f>
        <v>0</v>
      </c>
      <c r="BU159" s="1312">
        <f t="shared" ref="BU159:BU222" si="98">BT159-BV159</f>
        <v>0</v>
      </c>
      <c r="BV159" s="1312">
        <f>BW158*((1+'Instrumentos Financeiros'!$L$43)^(1/12)-1)</f>
        <v>0</v>
      </c>
      <c r="BW159" s="1312">
        <f t="shared" ref="BW159:BW222" si="99">IF(C159=$F$79,$I$79,BW158-BU159)</f>
        <v>0</v>
      </c>
      <c r="BX159" s="1312">
        <f>IF(AND(C159&gt;$F$80,'Instrumentos Financeiros'!C159&lt;'Instrumentos Financeiros'!$F$80+'Instrumentos Financeiros'!$F$12+1),PMT(((1+'Instrumentos Financeiros'!$L$43)^(1/12)-1),$F$12,-$I$80),0)</f>
        <v>0</v>
      </c>
      <c r="BY159" s="1312">
        <f t="shared" ref="BY159:BY222" si="100">BX159-BZ159</f>
        <v>0</v>
      </c>
      <c r="BZ159" s="1312">
        <f>CA158*((1+'Instrumentos Financeiros'!$L$43)^(1/12)-1)</f>
        <v>0</v>
      </c>
      <c r="CA159" s="1312">
        <f t="shared" ref="CA159:CA222" si="101">IF(C159=$F$80,$I$80,CA158-BY159)</f>
        <v>0</v>
      </c>
      <c r="CB159" s="1312">
        <f>IF(AND(C159&gt;$F$83,'Instrumentos Financeiros'!C159&lt;'Instrumentos Financeiros'!$F$83+'Instrumentos Financeiros'!$F$13+1),PMT(((1+'Instrumentos Financeiros'!$P$43)^(1/12)-1),$F$13,-$I$83),0)</f>
        <v>0</v>
      </c>
      <c r="CC159" s="1312">
        <f t="shared" ref="CC159:CC222" si="102">CB159-CD159</f>
        <v>0</v>
      </c>
      <c r="CD159" s="1312">
        <f>CE158*((1+'Instrumentos Financeiros'!$P$43)^(1/12)-1)</f>
        <v>0</v>
      </c>
      <c r="CE159" s="1312">
        <f t="shared" ref="CE159:CE222" si="103">IF(C159=$F$83,$I$83,CE158-CC159)</f>
        <v>0</v>
      </c>
      <c r="CF159" s="1312">
        <f>IF(AND(C159&gt;$F$84,'Instrumentos Financeiros'!C159&lt;'Instrumentos Financeiros'!$F$84+'Instrumentos Financeiros'!$F$13+1),PMT(((1+'Instrumentos Financeiros'!$Q$43)^(1/12)-1),$F$13,-$I$84),0)</f>
        <v>0</v>
      </c>
      <c r="CG159" s="1312">
        <f t="shared" ref="CG159:CG222" si="104">CF159-CH159</f>
        <v>0</v>
      </c>
      <c r="CH159" s="1312">
        <f>CI158*((1+'Instrumentos Financeiros'!$Q$43)^(1/12)-1)</f>
        <v>0</v>
      </c>
      <c r="CI159" s="1312">
        <f t="shared" ref="CI159:CI222" si="105">IF(C159=$F$84,$I$84,CI158-CG159)</f>
        <v>0</v>
      </c>
      <c r="CJ159" s="1312">
        <f>IF(AND(C159&gt;$F$85,'Instrumentos Financeiros'!C159&lt;'Instrumentos Financeiros'!$F$85+'Instrumentos Financeiros'!$F$13+1),PMT(((1+'Instrumentos Financeiros'!$Q$43)^(1/12)-1),$F$13,-$I$85),0)</f>
        <v>0</v>
      </c>
      <c r="CK159" s="1312">
        <f t="shared" ref="CK159:CK222" si="106">CJ159-CL159</f>
        <v>0</v>
      </c>
      <c r="CL159" s="1312">
        <f>CM158*((1+'Instrumentos Financeiros'!$Q$43)^(1/12)-1)</f>
        <v>0</v>
      </c>
      <c r="CM159" s="1312">
        <f t="shared" ref="CM159:CM222" si="107">IF(C159=$F$85,$I$85,CM158-CK159)</f>
        <v>0</v>
      </c>
      <c r="CN159" s="1312">
        <f>IF(AND(C159&gt;$F$86,'Instrumentos Financeiros'!C159&lt;'Instrumentos Financeiros'!$F$86+'Instrumentos Financeiros'!$F$13+1),PMT(((1+'Instrumentos Financeiros'!$Q$43)^(1/12)-1),$F$13,-$I$86),0)</f>
        <v>0</v>
      </c>
      <c r="CO159" s="1312">
        <f t="shared" ref="CO159:CO222" si="108">CN159-CP159</f>
        <v>0</v>
      </c>
      <c r="CP159" s="1312">
        <f>CQ158*((1+'Instrumentos Financeiros'!$Q$43)^(1/12)-1)</f>
        <v>0</v>
      </c>
      <c r="CQ159" s="1312">
        <f t="shared" ref="CQ159:CQ222" si="109">IF(C159=$F$86,$I$86,CQ158-CO159)</f>
        <v>0</v>
      </c>
      <c r="CR159" s="1312">
        <f t="shared" si="78"/>
        <v>0</v>
      </c>
      <c r="CS159" s="1312">
        <f t="shared" si="78"/>
        <v>0</v>
      </c>
      <c r="CT159" s="1312">
        <f t="shared" si="78"/>
        <v>0</v>
      </c>
      <c r="CU159" s="1312">
        <f t="shared" si="78"/>
        <v>11682843.229858823</v>
      </c>
    </row>
    <row r="160" spans="3:99" x14ac:dyDescent="0.35">
      <c r="C160" s="1315">
        <f t="shared" si="79"/>
        <v>67</v>
      </c>
      <c r="D160" s="1312">
        <f>IF(AND(C160&gt;$F$59,'Instrumentos Financeiros'!C160&lt;'Instrumentos Financeiros'!$F$59+'Instrumentos Financeiros'!$F$11+1),PMT(((1+'Instrumentos Financeiros'!$G$43)^(1/12)-1),$F$11,-$I$59),0)</f>
        <v>91768.589635900134</v>
      </c>
      <c r="E160" s="1312">
        <f t="shared" si="76"/>
        <v>44081.553448100873</v>
      </c>
      <c r="F160" s="1312">
        <f>G159*((1+'Instrumentos Financeiros'!$G$43)^(1/12)-1)</f>
        <v>47687.036187799262</v>
      </c>
      <c r="G160" s="1312">
        <f t="shared" ref="G160:G223" si="110">IF(C160=$F$59,$I$59,G159-E160)</f>
        <v>11638761.676410722</v>
      </c>
      <c r="H160" s="1312">
        <f>IF(AND(C160&gt;$F$60,'Instrumentos Financeiros'!C160&lt;'Instrumentos Financeiros'!$F$60+'Instrumentos Financeiros'!$F$11+1),PMT(((1+'Instrumentos Financeiros'!$G$43)^(1/12)-1),$F$11,-$I$60),0)</f>
        <v>0</v>
      </c>
      <c r="I160" s="1312">
        <f t="shared" si="62"/>
        <v>0</v>
      </c>
      <c r="J160" s="1312">
        <f>K159*((1+'Instrumentos Financeiros'!$G$43)^(1/12)-1)</f>
        <v>0</v>
      </c>
      <c r="K160" s="1312">
        <f t="shared" si="80"/>
        <v>0</v>
      </c>
      <c r="L160" s="1312">
        <f>IF(AND(C160&gt;$F$61,'Instrumentos Financeiros'!C160&lt;'Instrumentos Financeiros'!$F$61+'Instrumentos Financeiros'!$F$11+1),PMT(((1+'Instrumentos Financeiros'!$G$43)^(1/12)-1),$F$11,-$I$61),0)</f>
        <v>0</v>
      </c>
      <c r="M160" s="1312">
        <f t="shared" si="63"/>
        <v>0</v>
      </c>
      <c r="N160" s="1312">
        <f>O159*((1+'Instrumentos Financeiros'!$G$43)^(1/12)-1)</f>
        <v>0</v>
      </c>
      <c r="O160" s="1312">
        <f t="shared" si="81"/>
        <v>0</v>
      </c>
      <c r="P160" s="1312">
        <f>IF(AND(C160&gt;$F$62,'Instrumentos Financeiros'!C160&lt;'Instrumentos Financeiros'!$F$62+'Instrumentos Financeiros'!$F$11+1),PMT(((1+'Instrumentos Financeiros'!$H$43)^(1/12)-1),$F$11,-$I$62),0)</f>
        <v>0</v>
      </c>
      <c r="Q160" s="1312">
        <f t="shared" si="64"/>
        <v>0</v>
      </c>
      <c r="R160" s="1312">
        <f>S159*((1+'Instrumentos Financeiros'!$H$43)^(1/12)-1)</f>
        <v>0</v>
      </c>
      <c r="S160" s="1312">
        <f t="shared" si="82"/>
        <v>0</v>
      </c>
      <c r="T160" s="1312">
        <f>IF(AND(C160&gt;$F$63,'Instrumentos Financeiros'!C160&lt;'Instrumentos Financeiros'!$F$63+'Instrumentos Financeiros'!$F$11+1),PMT(((1+'Instrumentos Financeiros'!$H$43)^(1/12)-1),$F$11,-$I$63),0)</f>
        <v>0</v>
      </c>
      <c r="U160" s="1312">
        <f t="shared" si="65"/>
        <v>0</v>
      </c>
      <c r="V160" s="1312">
        <f>W159*((1+'Instrumentos Financeiros'!$H$43)^(1/12)-1)</f>
        <v>0</v>
      </c>
      <c r="W160" s="1312">
        <f t="shared" si="83"/>
        <v>0</v>
      </c>
      <c r="X160" s="1312">
        <f>IF(AND(C160&gt;$F$64,'Instrumentos Financeiros'!C160&lt;'Instrumentos Financeiros'!$F$64+'Instrumentos Financeiros'!$F$11+1),PMT(((1+'Instrumentos Financeiros'!$H$43)^(1/12)-1),$F$11,-$I$64),0)</f>
        <v>0</v>
      </c>
      <c r="Y160" s="1312">
        <f t="shared" si="66"/>
        <v>0</v>
      </c>
      <c r="Z160" s="1312">
        <f>AA159*((1+'Instrumentos Financeiros'!$H$43)^(1/12)-1)</f>
        <v>0</v>
      </c>
      <c r="AA160" s="1312">
        <f t="shared" si="84"/>
        <v>0</v>
      </c>
      <c r="AB160" s="1312">
        <f>IF(AND(C160&gt;$F$65,'Instrumentos Financeiros'!C160&lt;'Instrumentos Financeiros'!$F$65+'Instrumentos Financeiros'!$F$11+1),PMT(((1+'Instrumentos Financeiros'!$H$43)^(1/12)-1),$F$11,-$I$65),0)</f>
        <v>0</v>
      </c>
      <c r="AC160" s="1312">
        <f t="shared" si="67"/>
        <v>0</v>
      </c>
      <c r="AD160" s="1312">
        <f>AE159*((1+'Instrumentos Financeiros'!$H$43)^(1/12)-1)</f>
        <v>0</v>
      </c>
      <c r="AE160" s="1312">
        <f t="shared" si="85"/>
        <v>0</v>
      </c>
      <c r="AF160" s="1312">
        <f>IF(AND(C160&gt;$F$66,'Instrumentos Financeiros'!C160&lt;'Instrumentos Financeiros'!$F$66+'Instrumentos Financeiros'!$F$11+1),PMT(((1+'Instrumentos Financeiros'!$I$43)^(1/12)-1),$F$11,-$I$66),0)</f>
        <v>0</v>
      </c>
      <c r="AG160" s="1312">
        <f t="shared" si="68"/>
        <v>0</v>
      </c>
      <c r="AH160" s="1312">
        <f>AI159*((1+'Instrumentos Financeiros'!$I$43)^(1/12)-1)</f>
        <v>0</v>
      </c>
      <c r="AI160" s="1312">
        <f t="shared" si="86"/>
        <v>0</v>
      </c>
      <c r="AJ160" s="1312">
        <f>IF(AND(C160&gt;$F$67,'Instrumentos Financeiros'!C160&lt;'Instrumentos Financeiros'!$F$67+'Instrumentos Financeiros'!$F$11+1),PMT(((1+'Instrumentos Financeiros'!$I$43)^(1/12)-1),$F$11,-$I$67),0)</f>
        <v>0</v>
      </c>
      <c r="AK160" s="1312">
        <f t="shared" si="69"/>
        <v>0</v>
      </c>
      <c r="AL160" s="1312">
        <f>AM159*((1+'Instrumentos Financeiros'!$I$43)^(1/12)-1)</f>
        <v>0</v>
      </c>
      <c r="AM160" s="1312">
        <f t="shared" si="87"/>
        <v>0</v>
      </c>
      <c r="AN160" s="1312">
        <f>IF(AND(C160&gt;$F$68,'Instrumentos Financeiros'!C160&lt;'Instrumentos Financeiros'!$F$68+'Instrumentos Financeiros'!$F$11+1),PMT(((1+'Instrumentos Financeiros'!$I$43)^(1/12)-1),$F$11,-$I$68),0)</f>
        <v>0</v>
      </c>
      <c r="AO160" s="1312">
        <f t="shared" si="70"/>
        <v>0</v>
      </c>
      <c r="AP160" s="1312">
        <f>AQ159*((1+'Instrumentos Financeiros'!$I$43)^(1/12)-1)</f>
        <v>0</v>
      </c>
      <c r="AQ160" s="1312">
        <f t="shared" si="88"/>
        <v>0</v>
      </c>
      <c r="AR160" s="1312">
        <f>IF(AND(C160&gt;$F$69,'Instrumentos Financeiros'!C160&lt;'Instrumentos Financeiros'!$F$69+'Instrumentos Financeiros'!$F$11+1),PMT(((1+'Instrumentos Financeiros'!$I$43)^(1/12)-1),$F$11,-$I$69),0)</f>
        <v>0</v>
      </c>
      <c r="AS160" s="1312">
        <f t="shared" si="71"/>
        <v>0</v>
      </c>
      <c r="AT160" s="1312">
        <f>AU159*((1+'Instrumentos Financeiros'!$I$43)^(1/12)-1)</f>
        <v>0</v>
      </c>
      <c r="AU160" s="1312">
        <f t="shared" si="89"/>
        <v>0</v>
      </c>
      <c r="AV160" s="1312">
        <f>IF(AND(C160&gt;$F$70,'Instrumentos Financeiros'!C160&lt;'Instrumentos Financeiros'!$F$70+'Instrumentos Financeiros'!$F$11+1),PMT(((1+'Instrumentos Financeiros'!$J$43)^(1/12)-1),$F$11,-$I$70),0)</f>
        <v>0</v>
      </c>
      <c r="AW160" s="1312">
        <f t="shared" si="72"/>
        <v>0</v>
      </c>
      <c r="AX160" s="1312">
        <f>AY159*((1+'Instrumentos Financeiros'!$J$43)^(1/12)-1)</f>
        <v>0</v>
      </c>
      <c r="AY160" s="1312">
        <f t="shared" si="90"/>
        <v>0</v>
      </c>
      <c r="AZ160" s="1312">
        <f>IF(AND(C160&gt;$F$71,'Instrumentos Financeiros'!C160&lt;'Instrumentos Financeiros'!$F$71+'Instrumentos Financeiros'!$F$11+1),PMT(((1+'Instrumentos Financeiros'!$J$43)^(1/12)-1),$F$11,-$I$71),0)</f>
        <v>0</v>
      </c>
      <c r="BA160" s="1312">
        <f t="shared" si="73"/>
        <v>0</v>
      </c>
      <c r="BB160" s="1312">
        <f>BC159*((1+'Instrumentos Financeiros'!$J$43)^(1/12)-1)</f>
        <v>0</v>
      </c>
      <c r="BC160" s="1312">
        <f t="shared" si="91"/>
        <v>0</v>
      </c>
      <c r="BD160" s="1312">
        <f>IF(AND(C160&gt;$F$72,'Instrumentos Financeiros'!C160&lt;'Instrumentos Financeiros'!$F$72+'Instrumentos Financeiros'!$F$11+1),PMT(((1+'Instrumentos Financeiros'!$J$43)^(1/12)-1),$F$11,-'Instrumentos Financeiros'!$G$7*$G$72),0)</f>
        <v>0</v>
      </c>
      <c r="BE160" s="1312">
        <f t="shared" si="74"/>
        <v>0</v>
      </c>
      <c r="BF160" s="1312">
        <f>BG159*((1+'Instrumentos Financeiros'!$J$43)^(1/12)-1)</f>
        <v>0</v>
      </c>
      <c r="BG160" s="1312">
        <f t="shared" si="92"/>
        <v>0</v>
      </c>
      <c r="BH160" s="1312">
        <f>IF(AND(C160&gt;$F$73,'Instrumentos Financeiros'!C160&lt;'Instrumentos Financeiros'!$F$73+'Instrumentos Financeiros'!$F$11+1),PMT(((1+'Instrumentos Financeiros'!$J$43)^(1/12)-1),$F$11,-$I$73),0)</f>
        <v>0</v>
      </c>
      <c r="BI160" s="1312">
        <f t="shared" si="75"/>
        <v>0</v>
      </c>
      <c r="BJ160" s="1312">
        <f>BK159*((1+'Instrumentos Financeiros'!$J$43)^(1/12)-1)</f>
        <v>0</v>
      </c>
      <c r="BK160" s="1312">
        <f t="shared" si="93"/>
        <v>0</v>
      </c>
      <c r="BL160" s="1312">
        <f>IF(AND(C160&gt;$F$77,'Instrumentos Financeiros'!C160&lt;'Instrumentos Financeiros'!$F$77+'Instrumentos Financeiros'!$F$12+1),PMT(((1+'Instrumentos Financeiros'!$K$43)^(1/12)-1),$F$12,-$I$77),0)</f>
        <v>0</v>
      </c>
      <c r="BM160" s="1312">
        <f t="shared" si="94"/>
        <v>0</v>
      </c>
      <c r="BN160" s="1312">
        <f>BO159*((1+'Instrumentos Financeiros'!$K$43)^(1/12)-1)</f>
        <v>0</v>
      </c>
      <c r="BO160" s="1312">
        <f t="shared" si="95"/>
        <v>0</v>
      </c>
      <c r="BP160" s="1312">
        <f>IF(AND(C160&gt;$F$78,'Instrumentos Financeiros'!C160&lt;'Instrumentos Financeiros'!$F$78+'Instrumentos Financeiros'!$F$12+1),PMT(((1+'Instrumentos Financeiros'!$L$43)^(1/12)-1),$F$12,-$I$78),0)</f>
        <v>0</v>
      </c>
      <c r="BQ160" s="1312">
        <f t="shared" si="96"/>
        <v>0</v>
      </c>
      <c r="BR160" s="1312">
        <f>BS159*((1+'Instrumentos Financeiros'!$L$43)^(1/12)-1)</f>
        <v>0</v>
      </c>
      <c r="BS160" s="1312">
        <f t="shared" si="97"/>
        <v>0</v>
      </c>
      <c r="BT160" s="1312">
        <f>IF(AND(C160&gt;$F$79,'Instrumentos Financeiros'!C160&lt;'Instrumentos Financeiros'!$F$79+'Instrumentos Financeiros'!$F$12+1),PMT(((1+'Instrumentos Financeiros'!$L$43)^(1/12)-1),$F$12,-$I$79),0)</f>
        <v>0</v>
      </c>
      <c r="BU160" s="1312">
        <f t="shared" si="98"/>
        <v>0</v>
      </c>
      <c r="BV160" s="1312">
        <f>BW159*((1+'Instrumentos Financeiros'!$L$43)^(1/12)-1)</f>
        <v>0</v>
      </c>
      <c r="BW160" s="1312">
        <f t="shared" si="99"/>
        <v>0</v>
      </c>
      <c r="BX160" s="1312">
        <f>IF(AND(C160&gt;$F$80,'Instrumentos Financeiros'!C160&lt;'Instrumentos Financeiros'!$F$80+'Instrumentos Financeiros'!$F$12+1),PMT(((1+'Instrumentos Financeiros'!$L$43)^(1/12)-1),$F$12,-$I$80),0)</f>
        <v>0</v>
      </c>
      <c r="BY160" s="1312">
        <f t="shared" si="100"/>
        <v>0</v>
      </c>
      <c r="BZ160" s="1312">
        <f>CA159*((1+'Instrumentos Financeiros'!$L$43)^(1/12)-1)</f>
        <v>0</v>
      </c>
      <c r="CA160" s="1312">
        <f t="shared" si="101"/>
        <v>0</v>
      </c>
      <c r="CB160" s="1312">
        <f>IF(AND(C160&gt;$F$83,'Instrumentos Financeiros'!C160&lt;'Instrumentos Financeiros'!$F$83+'Instrumentos Financeiros'!$F$13+1),PMT(((1+'Instrumentos Financeiros'!$P$43)^(1/12)-1),$F$13,-$I$83),0)</f>
        <v>0</v>
      </c>
      <c r="CC160" s="1312">
        <f t="shared" si="102"/>
        <v>0</v>
      </c>
      <c r="CD160" s="1312">
        <f>CE159*((1+'Instrumentos Financeiros'!$P$43)^(1/12)-1)</f>
        <v>0</v>
      </c>
      <c r="CE160" s="1312">
        <f t="shared" si="103"/>
        <v>0</v>
      </c>
      <c r="CF160" s="1312">
        <f>IF(AND(C160&gt;$F$84,'Instrumentos Financeiros'!C160&lt;'Instrumentos Financeiros'!$F$84+'Instrumentos Financeiros'!$F$13+1),PMT(((1+'Instrumentos Financeiros'!$Q$43)^(1/12)-1),$F$13,-$I$84),0)</f>
        <v>0</v>
      </c>
      <c r="CG160" s="1312">
        <f t="shared" si="104"/>
        <v>0</v>
      </c>
      <c r="CH160" s="1312">
        <f>CI159*((1+'Instrumentos Financeiros'!$Q$43)^(1/12)-1)</f>
        <v>0</v>
      </c>
      <c r="CI160" s="1312">
        <f t="shared" si="105"/>
        <v>0</v>
      </c>
      <c r="CJ160" s="1312">
        <f>IF(AND(C160&gt;$F$85,'Instrumentos Financeiros'!C160&lt;'Instrumentos Financeiros'!$F$85+'Instrumentos Financeiros'!$F$13+1),PMT(((1+'Instrumentos Financeiros'!$Q$43)^(1/12)-1),$F$13,-$I$85),0)</f>
        <v>0</v>
      </c>
      <c r="CK160" s="1312">
        <f t="shared" si="106"/>
        <v>0</v>
      </c>
      <c r="CL160" s="1312">
        <f>CM159*((1+'Instrumentos Financeiros'!$Q$43)^(1/12)-1)</f>
        <v>0</v>
      </c>
      <c r="CM160" s="1312">
        <f t="shared" si="107"/>
        <v>0</v>
      </c>
      <c r="CN160" s="1312">
        <f>IF(AND(C160&gt;$F$86,'Instrumentos Financeiros'!C160&lt;'Instrumentos Financeiros'!$F$86+'Instrumentos Financeiros'!$F$13+1),PMT(((1+'Instrumentos Financeiros'!$Q$43)^(1/12)-1),$F$13,-$I$86),0)</f>
        <v>0</v>
      </c>
      <c r="CO160" s="1312">
        <f t="shared" si="108"/>
        <v>0</v>
      </c>
      <c r="CP160" s="1312">
        <f>CQ159*((1+'Instrumentos Financeiros'!$Q$43)^(1/12)-1)</f>
        <v>0</v>
      </c>
      <c r="CQ160" s="1312">
        <f t="shared" si="109"/>
        <v>0</v>
      </c>
      <c r="CR160" s="1312">
        <f t="shared" si="78"/>
        <v>91768.589635900134</v>
      </c>
      <c r="CS160" s="1312">
        <f t="shared" si="78"/>
        <v>44081.553448100873</v>
      </c>
      <c r="CT160" s="1312">
        <f t="shared" si="78"/>
        <v>47687.036187799262</v>
      </c>
      <c r="CU160" s="1312">
        <f t="shared" si="78"/>
        <v>11638761.676410722</v>
      </c>
    </row>
    <row r="161" spans="3:99" x14ac:dyDescent="0.35">
      <c r="C161" s="1315">
        <f t="shared" si="79"/>
        <v>68</v>
      </c>
      <c r="D161" s="1312">
        <f>IF(AND(C161&gt;$F$59,'Instrumentos Financeiros'!C161&lt;'Instrumentos Financeiros'!$F$59+'Instrumentos Financeiros'!$F$11+1),PMT(((1+'Instrumentos Financeiros'!$G$43)^(1/12)-1),$F$11,-$I$59),0)</f>
        <v>91768.589635900134</v>
      </c>
      <c r="E161" s="1312">
        <f t="shared" si="76"/>
        <v>44261.485558216118</v>
      </c>
      <c r="F161" s="1312">
        <f>G160*((1+'Instrumentos Financeiros'!$G$43)^(1/12)-1)</f>
        <v>47507.104077684016</v>
      </c>
      <c r="G161" s="1312">
        <f t="shared" si="110"/>
        <v>11594500.190852506</v>
      </c>
      <c r="H161" s="1312">
        <f>IF(AND(C161&gt;$F$60,'Instrumentos Financeiros'!C161&lt;'Instrumentos Financeiros'!$F$60+'Instrumentos Financeiros'!$F$11+1),PMT(((1+'Instrumentos Financeiros'!$G$43)^(1/12)-1),$F$11,-$I$60),0)</f>
        <v>0</v>
      </c>
      <c r="I161" s="1312">
        <f t="shared" si="62"/>
        <v>0</v>
      </c>
      <c r="J161" s="1312">
        <f>K160*((1+'Instrumentos Financeiros'!$G$43)^(1/12)-1)</f>
        <v>0</v>
      </c>
      <c r="K161" s="1312">
        <f t="shared" si="80"/>
        <v>0</v>
      </c>
      <c r="L161" s="1312">
        <f>IF(AND(C161&gt;$F$61,'Instrumentos Financeiros'!C161&lt;'Instrumentos Financeiros'!$F$61+'Instrumentos Financeiros'!$F$11+1),PMT(((1+'Instrumentos Financeiros'!$G$43)^(1/12)-1),$F$11,-$I$61),0)</f>
        <v>0</v>
      </c>
      <c r="M161" s="1312">
        <f t="shared" si="63"/>
        <v>0</v>
      </c>
      <c r="N161" s="1312">
        <f>O160*((1+'Instrumentos Financeiros'!$G$43)^(1/12)-1)</f>
        <v>0</v>
      </c>
      <c r="O161" s="1312">
        <f t="shared" si="81"/>
        <v>0</v>
      </c>
      <c r="P161" s="1312">
        <f>IF(AND(C161&gt;$F$62,'Instrumentos Financeiros'!C161&lt;'Instrumentos Financeiros'!$F$62+'Instrumentos Financeiros'!$F$11+1),PMT(((1+'Instrumentos Financeiros'!$H$43)^(1/12)-1),$F$11,-$I$62),0)</f>
        <v>0</v>
      </c>
      <c r="Q161" s="1312">
        <f t="shared" si="64"/>
        <v>0</v>
      </c>
      <c r="R161" s="1312">
        <f>S160*((1+'Instrumentos Financeiros'!$H$43)^(1/12)-1)</f>
        <v>0</v>
      </c>
      <c r="S161" s="1312">
        <f t="shared" si="82"/>
        <v>0</v>
      </c>
      <c r="T161" s="1312">
        <f>IF(AND(C161&gt;$F$63,'Instrumentos Financeiros'!C161&lt;'Instrumentos Financeiros'!$F$63+'Instrumentos Financeiros'!$F$11+1),PMT(((1+'Instrumentos Financeiros'!$H$43)^(1/12)-1),$F$11,-$I$63),0)</f>
        <v>0</v>
      </c>
      <c r="U161" s="1312">
        <f t="shared" si="65"/>
        <v>0</v>
      </c>
      <c r="V161" s="1312">
        <f>W160*((1+'Instrumentos Financeiros'!$H$43)^(1/12)-1)</f>
        <v>0</v>
      </c>
      <c r="W161" s="1312">
        <f t="shared" si="83"/>
        <v>0</v>
      </c>
      <c r="X161" s="1312">
        <f>IF(AND(C161&gt;$F$64,'Instrumentos Financeiros'!C161&lt;'Instrumentos Financeiros'!$F$64+'Instrumentos Financeiros'!$F$11+1),PMT(((1+'Instrumentos Financeiros'!$H$43)^(1/12)-1),$F$11,-$I$64),0)</f>
        <v>0</v>
      </c>
      <c r="Y161" s="1312">
        <f t="shared" si="66"/>
        <v>0</v>
      </c>
      <c r="Z161" s="1312">
        <f>AA160*((1+'Instrumentos Financeiros'!$H$43)^(1/12)-1)</f>
        <v>0</v>
      </c>
      <c r="AA161" s="1312">
        <f t="shared" si="84"/>
        <v>0</v>
      </c>
      <c r="AB161" s="1312">
        <f>IF(AND(C161&gt;$F$65,'Instrumentos Financeiros'!C161&lt;'Instrumentos Financeiros'!$F$65+'Instrumentos Financeiros'!$F$11+1),PMT(((1+'Instrumentos Financeiros'!$H$43)^(1/12)-1),$F$11,-$I$65),0)</f>
        <v>0</v>
      </c>
      <c r="AC161" s="1312">
        <f t="shared" si="67"/>
        <v>0</v>
      </c>
      <c r="AD161" s="1312">
        <f>AE160*((1+'Instrumentos Financeiros'!$H$43)^(1/12)-1)</f>
        <v>0</v>
      </c>
      <c r="AE161" s="1312">
        <f t="shared" si="85"/>
        <v>0</v>
      </c>
      <c r="AF161" s="1312">
        <f>IF(AND(C161&gt;$F$66,'Instrumentos Financeiros'!C161&lt;'Instrumentos Financeiros'!$F$66+'Instrumentos Financeiros'!$F$11+1),PMT(((1+'Instrumentos Financeiros'!$I$43)^(1/12)-1),$F$11,-$I$66),0)</f>
        <v>0</v>
      </c>
      <c r="AG161" s="1312">
        <f t="shared" si="68"/>
        <v>0</v>
      </c>
      <c r="AH161" s="1312">
        <f>AI160*((1+'Instrumentos Financeiros'!$I$43)^(1/12)-1)</f>
        <v>0</v>
      </c>
      <c r="AI161" s="1312">
        <f t="shared" si="86"/>
        <v>0</v>
      </c>
      <c r="AJ161" s="1312">
        <f>IF(AND(C161&gt;$F$67,'Instrumentos Financeiros'!C161&lt;'Instrumentos Financeiros'!$F$67+'Instrumentos Financeiros'!$F$11+1),PMT(((1+'Instrumentos Financeiros'!$I$43)^(1/12)-1),$F$11,-$I$67),0)</f>
        <v>0</v>
      </c>
      <c r="AK161" s="1312">
        <f t="shared" si="69"/>
        <v>0</v>
      </c>
      <c r="AL161" s="1312">
        <f>AM160*((1+'Instrumentos Financeiros'!$I$43)^(1/12)-1)</f>
        <v>0</v>
      </c>
      <c r="AM161" s="1312">
        <f t="shared" si="87"/>
        <v>0</v>
      </c>
      <c r="AN161" s="1312">
        <f>IF(AND(C161&gt;$F$68,'Instrumentos Financeiros'!C161&lt;'Instrumentos Financeiros'!$F$68+'Instrumentos Financeiros'!$F$11+1),PMT(((1+'Instrumentos Financeiros'!$I$43)^(1/12)-1),$F$11,-$I$68),0)</f>
        <v>0</v>
      </c>
      <c r="AO161" s="1312">
        <f t="shared" si="70"/>
        <v>0</v>
      </c>
      <c r="AP161" s="1312">
        <f>AQ160*((1+'Instrumentos Financeiros'!$I$43)^(1/12)-1)</f>
        <v>0</v>
      </c>
      <c r="AQ161" s="1312">
        <f t="shared" si="88"/>
        <v>0</v>
      </c>
      <c r="AR161" s="1312">
        <f>IF(AND(C161&gt;$F$69,'Instrumentos Financeiros'!C161&lt;'Instrumentos Financeiros'!$F$69+'Instrumentos Financeiros'!$F$11+1),PMT(((1+'Instrumentos Financeiros'!$I$43)^(1/12)-1),$F$11,-$I$69),0)</f>
        <v>0</v>
      </c>
      <c r="AS161" s="1312">
        <f t="shared" si="71"/>
        <v>0</v>
      </c>
      <c r="AT161" s="1312">
        <f>AU160*((1+'Instrumentos Financeiros'!$I$43)^(1/12)-1)</f>
        <v>0</v>
      </c>
      <c r="AU161" s="1312">
        <f t="shared" si="89"/>
        <v>0</v>
      </c>
      <c r="AV161" s="1312">
        <f>IF(AND(C161&gt;$F$70,'Instrumentos Financeiros'!C161&lt;'Instrumentos Financeiros'!$F$70+'Instrumentos Financeiros'!$F$11+1),PMT(((1+'Instrumentos Financeiros'!$J$43)^(1/12)-1),$F$11,-$I$70),0)</f>
        <v>0</v>
      </c>
      <c r="AW161" s="1312">
        <f t="shared" si="72"/>
        <v>0</v>
      </c>
      <c r="AX161" s="1312">
        <f>AY160*((1+'Instrumentos Financeiros'!$J$43)^(1/12)-1)</f>
        <v>0</v>
      </c>
      <c r="AY161" s="1312">
        <f t="shared" si="90"/>
        <v>0</v>
      </c>
      <c r="AZ161" s="1312">
        <f>IF(AND(C161&gt;$F$71,'Instrumentos Financeiros'!C161&lt;'Instrumentos Financeiros'!$F$71+'Instrumentos Financeiros'!$F$11+1),PMT(((1+'Instrumentos Financeiros'!$J$43)^(1/12)-1),$F$11,-$I$71),0)</f>
        <v>0</v>
      </c>
      <c r="BA161" s="1312">
        <f t="shared" si="73"/>
        <v>0</v>
      </c>
      <c r="BB161" s="1312">
        <f>BC160*((1+'Instrumentos Financeiros'!$J$43)^(1/12)-1)</f>
        <v>0</v>
      </c>
      <c r="BC161" s="1312">
        <f t="shared" si="91"/>
        <v>0</v>
      </c>
      <c r="BD161" s="1312">
        <f>IF(AND(C161&gt;$F$72,'Instrumentos Financeiros'!C161&lt;'Instrumentos Financeiros'!$F$72+'Instrumentos Financeiros'!$F$11+1),PMT(((1+'Instrumentos Financeiros'!$J$43)^(1/12)-1),$F$11,-'Instrumentos Financeiros'!$G$7*$G$72),0)</f>
        <v>0</v>
      </c>
      <c r="BE161" s="1312">
        <f t="shared" si="74"/>
        <v>0</v>
      </c>
      <c r="BF161" s="1312">
        <f>BG160*((1+'Instrumentos Financeiros'!$J$43)^(1/12)-1)</f>
        <v>0</v>
      </c>
      <c r="BG161" s="1312">
        <f t="shared" si="92"/>
        <v>0</v>
      </c>
      <c r="BH161" s="1312">
        <f>IF(AND(C161&gt;$F$73,'Instrumentos Financeiros'!C161&lt;'Instrumentos Financeiros'!$F$73+'Instrumentos Financeiros'!$F$11+1),PMT(((1+'Instrumentos Financeiros'!$J$43)^(1/12)-1),$F$11,-$I$73),0)</f>
        <v>0</v>
      </c>
      <c r="BI161" s="1312">
        <f t="shared" si="75"/>
        <v>0</v>
      </c>
      <c r="BJ161" s="1312">
        <f>BK160*((1+'Instrumentos Financeiros'!$J$43)^(1/12)-1)</f>
        <v>0</v>
      </c>
      <c r="BK161" s="1312">
        <f t="shared" si="93"/>
        <v>0</v>
      </c>
      <c r="BL161" s="1312">
        <f>IF(AND(C161&gt;$F$77,'Instrumentos Financeiros'!C161&lt;'Instrumentos Financeiros'!$F$77+'Instrumentos Financeiros'!$F$12+1),PMT(((1+'Instrumentos Financeiros'!$K$43)^(1/12)-1),$F$12,-$I$77),0)</f>
        <v>0</v>
      </c>
      <c r="BM161" s="1312">
        <f t="shared" si="94"/>
        <v>0</v>
      </c>
      <c r="BN161" s="1312">
        <f>BO160*((1+'Instrumentos Financeiros'!$K$43)^(1/12)-1)</f>
        <v>0</v>
      </c>
      <c r="BO161" s="1312">
        <f t="shared" si="95"/>
        <v>0</v>
      </c>
      <c r="BP161" s="1312">
        <f>IF(AND(C161&gt;$F$78,'Instrumentos Financeiros'!C161&lt;'Instrumentos Financeiros'!$F$78+'Instrumentos Financeiros'!$F$12+1),PMT(((1+'Instrumentos Financeiros'!$L$43)^(1/12)-1),$F$12,-$I$78),0)</f>
        <v>0</v>
      </c>
      <c r="BQ161" s="1312">
        <f t="shared" si="96"/>
        <v>0</v>
      </c>
      <c r="BR161" s="1312">
        <f>BS160*((1+'Instrumentos Financeiros'!$L$43)^(1/12)-1)</f>
        <v>0</v>
      </c>
      <c r="BS161" s="1312">
        <f t="shared" si="97"/>
        <v>0</v>
      </c>
      <c r="BT161" s="1312">
        <f>IF(AND(C161&gt;$F$79,'Instrumentos Financeiros'!C161&lt;'Instrumentos Financeiros'!$F$79+'Instrumentos Financeiros'!$F$12+1),PMT(((1+'Instrumentos Financeiros'!$L$43)^(1/12)-1),$F$12,-$I$79),0)</f>
        <v>0</v>
      </c>
      <c r="BU161" s="1312">
        <f t="shared" si="98"/>
        <v>0</v>
      </c>
      <c r="BV161" s="1312">
        <f>BW160*((1+'Instrumentos Financeiros'!$L$43)^(1/12)-1)</f>
        <v>0</v>
      </c>
      <c r="BW161" s="1312">
        <f t="shared" si="99"/>
        <v>0</v>
      </c>
      <c r="BX161" s="1312">
        <f>IF(AND(C161&gt;$F$80,'Instrumentos Financeiros'!C161&lt;'Instrumentos Financeiros'!$F$80+'Instrumentos Financeiros'!$F$12+1),PMT(((1+'Instrumentos Financeiros'!$L$43)^(1/12)-1),$F$12,-$I$80),0)</f>
        <v>0</v>
      </c>
      <c r="BY161" s="1312">
        <f t="shared" si="100"/>
        <v>0</v>
      </c>
      <c r="BZ161" s="1312">
        <f>CA160*((1+'Instrumentos Financeiros'!$L$43)^(1/12)-1)</f>
        <v>0</v>
      </c>
      <c r="CA161" s="1312">
        <f t="shared" si="101"/>
        <v>0</v>
      </c>
      <c r="CB161" s="1312">
        <f>IF(AND(C161&gt;$F$83,'Instrumentos Financeiros'!C161&lt;'Instrumentos Financeiros'!$F$83+'Instrumentos Financeiros'!$F$13+1),PMT(((1+'Instrumentos Financeiros'!$P$43)^(1/12)-1),$F$13,-$I$83),0)</f>
        <v>0</v>
      </c>
      <c r="CC161" s="1312">
        <f t="shared" si="102"/>
        <v>0</v>
      </c>
      <c r="CD161" s="1312">
        <f>CE160*((1+'Instrumentos Financeiros'!$P$43)^(1/12)-1)</f>
        <v>0</v>
      </c>
      <c r="CE161" s="1312">
        <f t="shared" si="103"/>
        <v>0</v>
      </c>
      <c r="CF161" s="1312">
        <f>IF(AND(C161&gt;$F$84,'Instrumentos Financeiros'!C161&lt;'Instrumentos Financeiros'!$F$84+'Instrumentos Financeiros'!$F$13+1),PMT(((1+'Instrumentos Financeiros'!$Q$43)^(1/12)-1),$F$13,-$I$84),0)</f>
        <v>0</v>
      </c>
      <c r="CG161" s="1312">
        <f t="shared" si="104"/>
        <v>0</v>
      </c>
      <c r="CH161" s="1312">
        <f>CI160*((1+'Instrumentos Financeiros'!$Q$43)^(1/12)-1)</f>
        <v>0</v>
      </c>
      <c r="CI161" s="1312">
        <f t="shared" si="105"/>
        <v>0</v>
      </c>
      <c r="CJ161" s="1312">
        <f>IF(AND(C161&gt;$F$85,'Instrumentos Financeiros'!C161&lt;'Instrumentos Financeiros'!$F$85+'Instrumentos Financeiros'!$F$13+1),PMT(((1+'Instrumentos Financeiros'!$Q$43)^(1/12)-1),$F$13,-$I$85),0)</f>
        <v>0</v>
      </c>
      <c r="CK161" s="1312">
        <f t="shared" si="106"/>
        <v>0</v>
      </c>
      <c r="CL161" s="1312">
        <f>CM160*((1+'Instrumentos Financeiros'!$Q$43)^(1/12)-1)</f>
        <v>0</v>
      </c>
      <c r="CM161" s="1312">
        <f t="shared" si="107"/>
        <v>0</v>
      </c>
      <c r="CN161" s="1312">
        <f>IF(AND(C161&gt;$F$86,'Instrumentos Financeiros'!C161&lt;'Instrumentos Financeiros'!$F$86+'Instrumentos Financeiros'!$F$13+1),PMT(((1+'Instrumentos Financeiros'!$Q$43)^(1/12)-1),$F$13,-$I$86),0)</f>
        <v>0</v>
      </c>
      <c r="CO161" s="1312">
        <f t="shared" si="108"/>
        <v>0</v>
      </c>
      <c r="CP161" s="1312">
        <f>CQ160*((1+'Instrumentos Financeiros'!$Q$43)^(1/12)-1)</f>
        <v>0</v>
      </c>
      <c r="CQ161" s="1312">
        <f t="shared" si="109"/>
        <v>0</v>
      </c>
      <c r="CR161" s="1312">
        <f t="shared" si="78"/>
        <v>91768.589635900134</v>
      </c>
      <c r="CS161" s="1312">
        <f t="shared" si="78"/>
        <v>44261.485558216118</v>
      </c>
      <c r="CT161" s="1312">
        <f t="shared" si="78"/>
        <v>47507.104077684016</v>
      </c>
      <c r="CU161" s="1312">
        <f t="shared" si="78"/>
        <v>11594500.190852506</v>
      </c>
    </row>
    <row r="162" spans="3:99" x14ac:dyDescent="0.35">
      <c r="C162" s="1315">
        <f t="shared" si="79"/>
        <v>69</v>
      </c>
      <c r="D162" s="1312">
        <f>IF(AND(C162&gt;$F$59,'Instrumentos Financeiros'!C162&lt;'Instrumentos Financeiros'!$F$59+'Instrumentos Financeiros'!$F$11+1),PMT(((1+'Instrumentos Financeiros'!$G$43)^(1/12)-1),$F$11,-$I$59),0)</f>
        <v>91768.589635900134</v>
      </c>
      <c r="E162" s="1312">
        <f t="shared" si="76"/>
        <v>44442.152115321485</v>
      </c>
      <c r="F162" s="1312">
        <f>G161*((1+'Instrumentos Financeiros'!$G$43)^(1/12)-1)</f>
        <v>47326.437520578649</v>
      </c>
      <c r="G162" s="1312">
        <f t="shared" si="110"/>
        <v>11550058.038737185</v>
      </c>
      <c r="H162" s="1312">
        <f>IF(AND(C162&gt;$F$60,'Instrumentos Financeiros'!C162&lt;'Instrumentos Financeiros'!$F$60+'Instrumentos Financeiros'!$F$11+1),PMT(((1+'Instrumentos Financeiros'!$G$43)^(1/12)-1),$F$11,-$I$60),0)</f>
        <v>0</v>
      </c>
      <c r="I162" s="1312">
        <f t="shared" si="62"/>
        <v>0</v>
      </c>
      <c r="J162" s="1312">
        <f>K161*((1+'Instrumentos Financeiros'!$G$43)^(1/12)-1)</f>
        <v>0</v>
      </c>
      <c r="K162" s="1312">
        <f t="shared" si="80"/>
        <v>0</v>
      </c>
      <c r="L162" s="1312">
        <f>IF(AND(C162&gt;$F$61,'Instrumentos Financeiros'!C162&lt;'Instrumentos Financeiros'!$F$61+'Instrumentos Financeiros'!$F$11+1),PMT(((1+'Instrumentos Financeiros'!$G$43)^(1/12)-1),$F$11,-$I$61),0)</f>
        <v>0</v>
      </c>
      <c r="M162" s="1312">
        <f t="shared" si="63"/>
        <v>0</v>
      </c>
      <c r="N162" s="1312">
        <f>O161*((1+'Instrumentos Financeiros'!$G$43)^(1/12)-1)</f>
        <v>0</v>
      </c>
      <c r="O162" s="1312">
        <f t="shared" si="81"/>
        <v>0</v>
      </c>
      <c r="P162" s="1312">
        <f>IF(AND(C162&gt;$F$62,'Instrumentos Financeiros'!C162&lt;'Instrumentos Financeiros'!$F$62+'Instrumentos Financeiros'!$F$11+1),PMT(((1+'Instrumentos Financeiros'!$H$43)^(1/12)-1),$F$11,-$I$62),0)</f>
        <v>0</v>
      </c>
      <c r="Q162" s="1312">
        <f t="shared" si="64"/>
        <v>0</v>
      </c>
      <c r="R162" s="1312">
        <f>S161*((1+'Instrumentos Financeiros'!$H$43)^(1/12)-1)</f>
        <v>0</v>
      </c>
      <c r="S162" s="1312">
        <f t="shared" si="82"/>
        <v>0</v>
      </c>
      <c r="T162" s="1312">
        <f>IF(AND(C162&gt;$F$63,'Instrumentos Financeiros'!C162&lt;'Instrumentos Financeiros'!$F$63+'Instrumentos Financeiros'!$F$11+1),PMT(((1+'Instrumentos Financeiros'!$H$43)^(1/12)-1),$F$11,-$I$63),0)</f>
        <v>0</v>
      </c>
      <c r="U162" s="1312">
        <f t="shared" si="65"/>
        <v>0</v>
      </c>
      <c r="V162" s="1312">
        <f>W161*((1+'Instrumentos Financeiros'!$H$43)^(1/12)-1)</f>
        <v>0</v>
      </c>
      <c r="W162" s="1312">
        <f t="shared" si="83"/>
        <v>0</v>
      </c>
      <c r="X162" s="1312">
        <f>IF(AND(C162&gt;$F$64,'Instrumentos Financeiros'!C162&lt;'Instrumentos Financeiros'!$F$64+'Instrumentos Financeiros'!$F$11+1),PMT(((1+'Instrumentos Financeiros'!$H$43)^(1/12)-1),$F$11,-$I$64),0)</f>
        <v>0</v>
      </c>
      <c r="Y162" s="1312">
        <f t="shared" si="66"/>
        <v>0</v>
      </c>
      <c r="Z162" s="1312">
        <f>AA161*((1+'Instrumentos Financeiros'!$H$43)^(1/12)-1)</f>
        <v>0</v>
      </c>
      <c r="AA162" s="1312">
        <f t="shared" si="84"/>
        <v>0</v>
      </c>
      <c r="AB162" s="1312">
        <f>IF(AND(C162&gt;$F$65,'Instrumentos Financeiros'!C162&lt;'Instrumentos Financeiros'!$F$65+'Instrumentos Financeiros'!$F$11+1),PMT(((1+'Instrumentos Financeiros'!$H$43)^(1/12)-1),$F$11,-$I$65),0)</f>
        <v>0</v>
      </c>
      <c r="AC162" s="1312">
        <f t="shared" si="67"/>
        <v>0</v>
      </c>
      <c r="AD162" s="1312">
        <f>AE161*((1+'Instrumentos Financeiros'!$H$43)^(1/12)-1)</f>
        <v>0</v>
      </c>
      <c r="AE162" s="1312">
        <f t="shared" si="85"/>
        <v>0</v>
      </c>
      <c r="AF162" s="1312">
        <f>IF(AND(C162&gt;$F$66,'Instrumentos Financeiros'!C162&lt;'Instrumentos Financeiros'!$F$66+'Instrumentos Financeiros'!$F$11+1),PMT(((1+'Instrumentos Financeiros'!$I$43)^(1/12)-1),$F$11,-$I$66),0)</f>
        <v>0</v>
      </c>
      <c r="AG162" s="1312">
        <f t="shared" si="68"/>
        <v>0</v>
      </c>
      <c r="AH162" s="1312">
        <f>AI161*((1+'Instrumentos Financeiros'!$I$43)^(1/12)-1)</f>
        <v>0</v>
      </c>
      <c r="AI162" s="1312">
        <f t="shared" si="86"/>
        <v>0</v>
      </c>
      <c r="AJ162" s="1312">
        <f>IF(AND(C162&gt;$F$67,'Instrumentos Financeiros'!C162&lt;'Instrumentos Financeiros'!$F$67+'Instrumentos Financeiros'!$F$11+1),PMT(((1+'Instrumentos Financeiros'!$I$43)^(1/12)-1),$F$11,-$I$67),0)</f>
        <v>0</v>
      </c>
      <c r="AK162" s="1312">
        <f t="shared" si="69"/>
        <v>0</v>
      </c>
      <c r="AL162" s="1312">
        <f>AM161*((1+'Instrumentos Financeiros'!$I$43)^(1/12)-1)</f>
        <v>0</v>
      </c>
      <c r="AM162" s="1312">
        <f t="shared" si="87"/>
        <v>0</v>
      </c>
      <c r="AN162" s="1312">
        <f>IF(AND(C162&gt;$F$68,'Instrumentos Financeiros'!C162&lt;'Instrumentos Financeiros'!$F$68+'Instrumentos Financeiros'!$F$11+1),PMT(((1+'Instrumentos Financeiros'!$I$43)^(1/12)-1),$F$11,-$I$68),0)</f>
        <v>0</v>
      </c>
      <c r="AO162" s="1312">
        <f t="shared" si="70"/>
        <v>0</v>
      </c>
      <c r="AP162" s="1312">
        <f>AQ161*((1+'Instrumentos Financeiros'!$I$43)^(1/12)-1)</f>
        <v>0</v>
      </c>
      <c r="AQ162" s="1312">
        <f t="shared" si="88"/>
        <v>0</v>
      </c>
      <c r="AR162" s="1312">
        <f>IF(AND(C162&gt;$F$69,'Instrumentos Financeiros'!C162&lt;'Instrumentos Financeiros'!$F$69+'Instrumentos Financeiros'!$F$11+1),PMT(((1+'Instrumentos Financeiros'!$I$43)^(1/12)-1),$F$11,-$I$69),0)</f>
        <v>0</v>
      </c>
      <c r="AS162" s="1312">
        <f t="shared" si="71"/>
        <v>0</v>
      </c>
      <c r="AT162" s="1312">
        <f>AU161*((1+'Instrumentos Financeiros'!$I$43)^(1/12)-1)</f>
        <v>0</v>
      </c>
      <c r="AU162" s="1312">
        <f t="shared" si="89"/>
        <v>0</v>
      </c>
      <c r="AV162" s="1312">
        <f>IF(AND(C162&gt;$F$70,'Instrumentos Financeiros'!C162&lt;'Instrumentos Financeiros'!$F$70+'Instrumentos Financeiros'!$F$11+1),PMT(((1+'Instrumentos Financeiros'!$J$43)^(1/12)-1),$F$11,-$I$70),0)</f>
        <v>0</v>
      </c>
      <c r="AW162" s="1312">
        <f t="shared" si="72"/>
        <v>0</v>
      </c>
      <c r="AX162" s="1312">
        <f>AY161*((1+'Instrumentos Financeiros'!$J$43)^(1/12)-1)</f>
        <v>0</v>
      </c>
      <c r="AY162" s="1312">
        <f t="shared" si="90"/>
        <v>0</v>
      </c>
      <c r="AZ162" s="1312">
        <f>IF(AND(C162&gt;$F$71,'Instrumentos Financeiros'!C162&lt;'Instrumentos Financeiros'!$F$71+'Instrumentos Financeiros'!$F$11+1),PMT(((1+'Instrumentos Financeiros'!$J$43)^(1/12)-1),$F$11,-$I$71),0)</f>
        <v>0</v>
      </c>
      <c r="BA162" s="1312">
        <f t="shared" si="73"/>
        <v>0</v>
      </c>
      <c r="BB162" s="1312">
        <f>BC161*((1+'Instrumentos Financeiros'!$J$43)^(1/12)-1)</f>
        <v>0</v>
      </c>
      <c r="BC162" s="1312">
        <f t="shared" si="91"/>
        <v>0</v>
      </c>
      <c r="BD162" s="1312">
        <f>IF(AND(C162&gt;$F$72,'Instrumentos Financeiros'!C162&lt;'Instrumentos Financeiros'!$F$72+'Instrumentos Financeiros'!$F$11+1),PMT(((1+'Instrumentos Financeiros'!$J$43)^(1/12)-1),$F$11,-'Instrumentos Financeiros'!$G$7*$G$72),0)</f>
        <v>0</v>
      </c>
      <c r="BE162" s="1312">
        <f t="shared" si="74"/>
        <v>0</v>
      </c>
      <c r="BF162" s="1312">
        <f>BG161*((1+'Instrumentos Financeiros'!$J$43)^(1/12)-1)</f>
        <v>0</v>
      </c>
      <c r="BG162" s="1312">
        <f t="shared" si="92"/>
        <v>0</v>
      </c>
      <c r="BH162" s="1312">
        <f>IF(AND(C162&gt;$F$73,'Instrumentos Financeiros'!C162&lt;'Instrumentos Financeiros'!$F$73+'Instrumentos Financeiros'!$F$11+1),PMT(((1+'Instrumentos Financeiros'!$J$43)^(1/12)-1),$F$11,-$I$73),0)</f>
        <v>0</v>
      </c>
      <c r="BI162" s="1312">
        <f t="shared" si="75"/>
        <v>0</v>
      </c>
      <c r="BJ162" s="1312">
        <f>BK161*((1+'Instrumentos Financeiros'!$J$43)^(1/12)-1)</f>
        <v>0</v>
      </c>
      <c r="BK162" s="1312">
        <f t="shared" si="93"/>
        <v>0</v>
      </c>
      <c r="BL162" s="1312">
        <f>IF(AND(C162&gt;$F$77,'Instrumentos Financeiros'!C162&lt;'Instrumentos Financeiros'!$F$77+'Instrumentos Financeiros'!$F$12+1),PMT(((1+'Instrumentos Financeiros'!$K$43)^(1/12)-1),$F$12,-$I$77),0)</f>
        <v>0</v>
      </c>
      <c r="BM162" s="1312">
        <f t="shared" si="94"/>
        <v>0</v>
      </c>
      <c r="BN162" s="1312">
        <f>BO161*((1+'Instrumentos Financeiros'!$K$43)^(1/12)-1)</f>
        <v>0</v>
      </c>
      <c r="BO162" s="1312">
        <f t="shared" si="95"/>
        <v>0</v>
      </c>
      <c r="BP162" s="1312">
        <f>IF(AND(C162&gt;$F$78,'Instrumentos Financeiros'!C162&lt;'Instrumentos Financeiros'!$F$78+'Instrumentos Financeiros'!$F$12+1),PMT(((1+'Instrumentos Financeiros'!$L$43)^(1/12)-1),$F$12,-$I$78),0)</f>
        <v>0</v>
      </c>
      <c r="BQ162" s="1312">
        <f t="shared" si="96"/>
        <v>0</v>
      </c>
      <c r="BR162" s="1312">
        <f>BS161*((1+'Instrumentos Financeiros'!$L$43)^(1/12)-1)</f>
        <v>0</v>
      </c>
      <c r="BS162" s="1312">
        <f t="shared" si="97"/>
        <v>0</v>
      </c>
      <c r="BT162" s="1312">
        <f>IF(AND(C162&gt;$F$79,'Instrumentos Financeiros'!C162&lt;'Instrumentos Financeiros'!$F$79+'Instrumentos Financeiros'!$F$12+1),PMT(((1+'Instrumentos Financeiros'!$L$43)^(1/12)-1),$F$12,-$I$79),0)</f>
        <v>0</v>
      </c>
      <c r="BU162" s="1312">
        <f t="shared" si="98"/>
        <v>0</v>
      </c>
      <c r="BV162" s="1312">
        <f>BW161*((1+'Instrumentos Financeiros'!$L$43)^(1/12)-1)</f>
        <v>0</v>
      </c>
      <c r="BW162" s="1312">
        <f t="shared" si="99"/>
        <v>0</v>
      </c>
      <c r="BX162" s="1312">
        <f>IF(AND(C162&gt;$F$80,'Instrumentos Financeiros'!C162&lt;'Instrumentos Financeiros'!$F$80+'Instrumentos Financeiros'!$F$12+1),PMT(((1+'Instrumentos Financeiros'!$L$43)^(1/12)-1),$F$12,-$I$80),0)</f>
        <v>0</v>
      </c>
      <c r="BY162" s="1312">
        <f t="shared" si="100"/>
        <v>0</v>
      </c>
      <c r="BZ162" s="1312">
        <f>CA161*((1+'Instrumentos Financeiros'!$L$43)^(1/12)-1)</f>
        <v>0</v>
      </c>
      <c r="CA162" s="1312">
        <f t="shared" si="101"/>
        <v>0</v>
      </c>
      <c r="CB162" s="1312">
        <f>IF(AND(C162&gt;$F$83,'Instrumentos Financeiros'!C162&lt;'Instrumentos Financeiros'!$F$83+'Instrumentos Financeiros'!$F$13+1),PMT(((1+'Instrumentos Financeiros'!$P$43)^(1/12)-1),$F$13,-$I$83),0)</f>
        <v>0</v>
      </c>
      <c r="CC162" s="1312">
        <f t="shared" si="102"/>
        <v>0</v>
      </c>
      <c r="CD162" s="1312">
        <f>CE161*((1+'Instrumentos Financeiros'!$P$43)^(1/12)-1)</f>
        <v>0</v>
      </c>
      <c r="CE162" s="1312">
        <f t="shared" si="103"/>
        <v>0</v>
      </c>
      <c r="CF162" s="1312">
        <f>IF(AND(C162&gt;$F$84,'Instrumentos Financeiros'!C162&lt;'Instrumentos Financeiros'!$F$84+'Instrumentos Financeiros'!$F$13+1),PMT(((1+'Instrumentos Financeiros'!$Q$43)^(1/12)-1),$F$13,-$I$84),0)</f>
        <v>0</v>
      </c>
      <c r="CG162" s="1312">
        <f t="shared" si="104"/>
        <v>0</v>
      </c>
      <c r="CH162" s="1312">
        <f>CI161*((1+'Instrumentos Financeiros'!$Q$43)^(1/12)-1)</f>
        <v>0</v>
      </c>
      <c r="CI162" s="1312">
        <f t="shared" si="105"/>
        <v>0</v>
      </c>
      <c r="CJ162" s="1312">
        <f>IF(AND(C162&gt;$F$85,'Instrumentos Financeiros'!C162&lt;'Instrumentos Financeiros'!$F$85+'Instrumentos Financeiros'!$F$13+1),PMT(((1+'Instrumentos Financeiros'!$Q$43)^(1/12)-1),$F$13,-$I$85),0)</f>
        <v>0</v>
      </c>
      <c r="CK162" s="1312">
        <f t="shared" si="106"/>
        <v>0</v>
      </c>
      <c r="CL162" s="1312">
        <f>CM161*((1+'Instrumentos Financeiros'!$Q$43)^(1/12)-1)</f>
        <v>0</v>
      </c>
      <c r="CM162" s="1312">
        <f t="shared" si="107"/>
        <v>0</v>
      </c>
      <c r="CN162" s="1312">
        <f>IF(AND(C162&gt;$F$86,'Instrumentos Financeiros'!C162&lt;'Instrumentos Financeiros'!$F$86+'Instrumentos Financeiros'!$F$13+1),PMT(((1+'Instrumentos Financeiros'!$Q$43)^(1/12)-1),$F$13,-$I$86),0)</f>
        <v>0</v>
      </c>
      <c r="CO162" s="1312">
        <f t="shared" si="108"/>
        <v>0</v>
      </c>
      <c r="CP162" s="1312">
        <f>CQ161*((1+'Instrumentos Financeiros'!$Q$43)^(1/12)-1)</f>
        <v>0</v>
      </c>
      <c r="CQ162" s="1312">
        <f t="shared" si="109"/>
        <v>0</v>
      </c>
      <c r="CR162" s="1312">
        <f t="shared" si="78"/>
        <v>91768.589635900134</v>
      </c>
      <c r="CS162" s="1312">
        <f t="shared" si="78"/>
        <v>44442.152115321485</v>
      </c>
      <c r="CT162" s="1312">
        <f t="shared" si="78"/>
        <v>47326.437520578649</v>
      </c>
      <c r="CU162" s="1312">
        <f t="shared" si="78"/>
        <v>11550058.038737185</v>
      </c>
    </row>
    <row r="163" spans="3:99" x14ac:dyDescent="0.35">
      <c r="C163" s="1315">
        <f t="shared" si="79"/>
        <v>70</v>
      </c>
      <c r="D163" s="1312">
        <f>IF(AND(C163&gt;$F$59,'Instrumentos Financeiros'!C163&lt;'Instrumentos Financeiros'!$F$59+'Instrumentos Financeiros'!$F$11+1),PMT(((1+'Instrumentos Financeiros'!$G$43)^(1/12)-1),$F$11,-$I$59),0)</f>
        <v>91768.589635900134</v>
      </c>
      <c r="E163" s="1312">
        <f t="shared" si="76"/>
        <v>44623.556117283137</v>
      </c>
      <c r="F163" s="1312">
        <f>G162*((1+'Instrumentos Financeiros'!$G$43)^(1/12)-1)</f>
        <v>47145.033518616998</v>
      </c>
      <c r="G163" s="1312">
        <f t="shared" si="110"/>
        <v>11505434.482619902</v>
      </c>
      <c r="H163" s="1312">
        <f>IF(AND(C163&gt;$F$60,'Instrumentos Financeiros'!C163&lt;'Instrumentos Financeiros'!$F$60+'Instrumentos Financeiros'!$F$11+1),PMT(((1+'Instrumentos Financeiros'!$G$43)^(1/12)-1),$F$11,-$I$60),0)</f>
        <v>0</v>
      </c>
      <c r="I163" s="1312">
        <f t="shared" si="62"/>
        <v>0</v>
      </c>
      <c r="J163" s="1312">
        <f>K162*((1+'Instrumentos Financeiros'!$G$43)^(1/12)-1)</f>
        <v>0</v>
      </c>
      <c r="K163" s="1312">
        <f t="shared" si="80"/>
        <v>0</v>
      </c>
      <c r="L163" s="1312">
        <f>IF(AND(C163&gt;$F$61,'Instrumentos Financeiros'!C163&lt;'Instrumentos Financeiros'!$F$61+'Instrumentos Financeiros'!$F$11+1),PMT(((1+'Instrumentos Financeiros'!$G$43)^(1/12)-1),$F$11,-$I$61),0)</f>
        <v>0</v>
      </c>
      <c r="M163" s="1312">
        <f t="shared" si="63"/>
        <v>0</v>
      </c>
      <c r="N163" s="1312">
        <f>O162*((1+'Instrumentos Financeiros'!$G$43)^(1/12)-1)</f>
        <v>0</v>
      </c>
      <c r="O163" s="1312">
        <f t="shared" si="81"/>
        <v>0</v>
      </c>
      <c r="P163" s="1312">
        <f>IF(AND(C163&gt;$F$62,'Instrumentos Financeiros'!C163&lt;'Instrumentos Financeiros'!$F$62+'Instrumentos Financeiros'!$F$11+1),PMT(((1+'Instrumentos Financeiros'!$H$43)^(1/12)-1),$F$11,-$I$62),0)</f>
        <v>0</v>
      </c>
      <c r="Q163" s="1312">
        <f t="shared" si="64"/>
        <v>0</v>
      </c>
      <c r="R163" s="1312">
        <f>S162*((1+'Instrumentos Financeiros'!$H$43)^(1/12)-1)</f>
        <v>0</v>
      </c>
      <c r="S163" s="1312">
        <f t="shared" si="82"/>
        <v>0</v>
      </c>
      <c r="T163" s="1312">
        <f>IF(AND(C163&gt;$F$63,'Instrumentos Financeiros'!C163&lt;'Instrumentos Financeiros'!$F$63+'Instrumentos Financeiros'!$F$11+1),PMT(((1+'Instrumentos Financeiros'!$H$43)^(1/12)-1),$F$11,-$I$63),0)</f>
        <v>0</v>
      </c>
      <c r="U163" s="1312">
        <f t="shared" si="65"/>
        <v>0</v>
      </c>
      <c r="V163" s="1312">
        <f>W162*((1+'Instrumentos Financeiros'!$H$43)^(1/12)-1)</f>
        <v>0</v>
      </c>
      <c r="W163" s="1312">
        <f t="shared" si="83"/>
        <v>0</v>
      </c>
      <c r="X163" s="1312">
        <f>IF(AND(C163&gt;$F$64,'Instrumentos Financeiros'!C163&lt;'Instrumentos Financeiros'!$F$64+'Instrumentos Financeiros'!$F$11+1),PMT(((1+'Instrumentos Financeiros'!$H$43)^(1/12)-1),$F$11,-$I$64),0)</f>
        <v>0</v>
      </c>
      <c r="Y163" s="1312">
        <f t="shared" si="66"/>
        <v>0</v>
      </c>
      <c r="Z163" s="1312">
        <f>AA162*((1+'Instrumentos Financeiros'!$H$43)^(1/12)-1)</f>
        <v>0</v>
      </c>
      <c r="AA163" s="1312">
        <f t="shared" si="84"/>
        <v>0</v>
      </c>
      <c r="AB163" s="1312">
        <f>IF(AND(C163&gt;$F$65,'Instrumentos Financeiros'!C163&lt;'Instrumentos Financeiros'!$F$65+'Instrumentos Financeiros'!$F$11+1),PMT(((1+'Instrumentos Financeiros'!$H$43)^(1/12)-1),$F$11,-$I$65),0)</f>
        <v>0</v>
      </c>
      <c r="AC163" s="1312">
        <f t="shared" si="67"/>
        <v>0</v>
      </c>
      <c r="AD163" s="1312">
        <f>AE162*((1+'Instrumentos Financeiros'!$H$43)^(1/12)-1)</f>
        <v>0</v>
      </c>
      <c r="AE163" s="1312">
        <f t="shared" si="85"/>
        <v>0</v>
      </c>
      <c r="AF163" s="1312">
        <f>IF(AND(C163&gt;$F$66,'Instrumentos Financeiros'!C163&lt;'Instrumentos Financeiros'!$F$66+'Instrumentos Financeiros'!$F$11+1),PMT(((1+'Instrumentos Financeiros'!$I$43)^(1/12)-1),$F$11,-$I$66),0)</f>
        <v>0</v>
      </c>
      <c r="AG163" s="1312">
        <f t="shared" si="68"/>
        <v>0</v>
      </c>
      <c r="AH163" s="1312">
        <f>AI162*((1+'Instrumentos Financeiros'!$I$43)^(1/12)-1)</f>
        <v>0</v>
      </c>
      <c r="AI163" s="1312">
        <f t="shared" si="86"/>
        <v>0</v>
      </c>
      <c r="AJ163" s="1312">
        <f>IF(AND(C163&gt;$F$67,'Instrumentos Financeiros'!C163&lt;'Instrumentos Financeiros'!$F$67+'Instrumentos Financeiros'!$F$11+1),PMT(((1+'Instrumentos Financeiros'!$I$43)^(1/12)-1),$F$11,-$I$67),0)</f>
        <v>0</v>
      </c>
      <c r="AK163" s="1312">
        <f t="shared" si="69"/>
        <v>0</v>
      </c>
      <c r="AL163" s="1312">
        <f>AM162*((1+'Instrumentos Financeiros'!$I$43)^(1/12)-1)</f>
        <v>0</v>
      </c>
      <c r="AM163" s="1312">
        <f t="shared" si="87"/>
        <v>0</v>
      </c>
      <c r="AN163" s="1312">
        <f>IF(AND(C163&gt;$F$68,'Instrumentos Financeiros'!C163&lt;'Instrumentos Financeiros'!$F$68+'Instrumentos Financeiros'!$F$11+1),PMT(((1+'Instrumentos Financeiros'!$I$43)^(1/12)-1),$F$11,-$I$68),0)</f>
        <v>0</v>
      </c>
      <c r="AO163" s="1312">
        <f t="shared" si="70"/>
        <v>0</v>
      </c>
      <c r="AP163" s="1312">
        <f>AQ162*((1+'Instrumentos Financeiros'!$I$43)^(1/12)-1)</f>
        <v>0</v>
      </c>
      <c r="AQ163" s="1312">
        <f t="shared" si="88"/>
        <v>0</v>
      </c>
      <c r="AR163" s="1312">
        <f>IF(AND(C163&gt;$F$69,'Instrumentos Financeiros'!C163&lt;'Instrumentos Financeiros'!$F$69+'Instrumentos Financeiros'!$F$11+1),PMT(((1+'Instrumentos Financeiros'!$I$43)^(1/12)-1),$F$11,-$I$69),0)</f>
        <v>0</v>
      </c>
      <c r="AS163" s="1312">
        <f t="shared" si="71"/>
        <v>0</v>
      </c>
      <c r="AT163" s="1312">
        <f>AU162*((1+'Instrumentos Financeiros'!$I$43)^(1/12)-1)</f>
        <v>0</v>
      </c>
      <c r="AU163" s="1312">
        <f t="shared" si="89"/>
        <v>0</v>
      </c>
      <c r="AV163" s="1312">
        <f>IF(AND(C163&gt;$F$70,'Instrumentos Financeiros'!C163&lt;'Instrumentos Financeiros'!$F$70+'Instrumentos Financeiros'!$F$11+1),PMT(((1+'Instrumentos Financeiros'!$J$43)^(1/12)-1),$F$11,-$I$70),0)</f>
        <v>0</v>
      </c>
      <c r="AW163" s="1312">
        <f t="shared" si="72"/>
        <v>0</v>
      </c>
      <c r="AX163" s="1312">
        <f>AY162*((1+'Instrumentos Financeiros'!$J$43)^(1/12)-1)</f>
        <v>0</v>
      </c>
      <c r="AY163" s="1312">
        <f t="shared" si="90"/>
        <v>0</v>
      </c>
      <c r="AZ163" s="1312">
        <f>IF(AND(C163&gt;$F$71,'Instrumentos Financeiros'!C163&lt;'Instrumentos Financeiros'!$F$71+'Instrumentos Financeiros'!$F$11+1),PMT(((1+'Instrumentos Financeiros'!$J$43)^(1/12)-1),$F$11,-$I$71),0)</f>
        <v>0</v>
      </c>
      <c r="BA163" s="1312">
        <f t="shared" si="73"/>
        <v>0</v>
      </c>
      <c r="BB163" s="1312">
        <f>BC162*((1+'Instrumentos Financeiros'!$J$43)^(1/12)-1)</f>
        <v>0</v>
      </c>
      <c r="BC163" s="1312">
        <f t="shared" si="91"/>
        <v>0</v>
      </c>
      <c r="BD163" s="1312">
        <f>IF(AND(C163&gt;$F$72,'Instrumentos Financeiros'!C163&lt;'Instrumentos Financeiros'!$F$72+'Instrumentos Financeiros'!$F$11+1),PMT(((1+'Instrumentos Financeiros'!$J$43)^(1/12)-1),$F$11,-'Instrumentos Financeiros'!$G$7*$G$72),0)</f>
        <v>0</v>
      </c>
      <c r="BE163" s="1312">
        <f t="shared" si="74"/>
        <v>0</v>
      </c>
      <c r="BF163" s="1312">
        <f>BG162*((1+'Instrumentos Financeiros'!$J$43)^(1/12)-1)</f>
        <v>0</v>
      </c>
      <c r="BG163" s="1312">
        <f t="shared" si="92"/>
        <v>0</v>
      </c>
      <c r="BH163" s="1312">
        <f>IF(AND(C163&gt;$F$73,'Instrumentos Financeiros'!C163&lt;'Instrumentos Financeiros'!$F$73+'Instrumentos Financeiros'!$F$11+1),PMT(((1+'Instrumentos Financeiros'!$J$43)^(1/12)-1),$F$11,-$I$73),0)</f>
        <v>0</v>
      </c>
      <c r="BI163" s="1312">
        <f t="shared" si="75"/>
        <v>0</v>
      </c>
      <c r="BJ163" s="1312">
        <f>BK162*((1+'Instrumentos Financeiros'!$J$43)^(1/12)-1)</f>
        <v>0</v>
      </c>
      <c r="BK163" s="1312">
        <f t="shared" si="93"/>
        <v>0</v>
      </c>
      <c r="BL163" s="1312">
        <f>IF(AND(C163&gt;$F$77,'Instrumentos Financeiros'!C163&lt;'Instrumentos Financeiros'!$F$77+'Instrumentos Financeiros'!$F$12+1),PMT(((1+'Instrumentos Financeiros'!$K$43)^(1/12)-1),$F$12,-$I$77),0)</f>
        <v>0</v>
      </c>
      <c r="BM163" s="1312">
        <f t="shared" si="94"/>
        <v>0</v>
      </c>
      <c r="BN163" s="1312">
        <f>BO162*((1+'Instrumentos Financeiros'!$K$43)^(1/12)-1)</f>
        <v>0</v>
      </c>
      <c r="BO163" s="1312">
        <f t="shared" si="95"/>
        <v>0</v>
      </c>
      <c r="BP163" s="1312">
        <f>IF(AND(C163&gt;$F$78,'Instrumentos Financeiros'!C163&lt;'Instrumentos Financeiros'!$F$78+'Instrumentos Financeiros'!$F$12+1),PMT(((1+'Instrumentos Financeiros'!$L$43)^(1/12)-1),$F$12,-$I$78),0)</f>
        <v>0</v>
      </c>
      <c r="BQ163" s="1312">
        <f t="shared" si="96"/>
        <v>0</v>
      </c>
      <c r="BR163" s="1312">
        <f>BS162*((1+'Instrumentos Financeiros'!$L$43)^(1/12)-1)</f>
        <v>0</v>
      </c>
      <c r="BS163" s="1312">
        <f t="shared" si="97"/>
        <v>0</v>
      </c>
      <c r="BT163" s="1312">
        <f>IF(AND(C163&gt;$F$79,'Instrumentos Financeiros'!C163&lt;'Instrumentos Financeiros'!$F$79+'Instrumentos Financeiros'!$F$12+1),PMT(((1+'Instrumentos Financeiros'!$L$43)^(1/12)-1),$F$12,-$I$79),0)</f>
        <v>0</v>
      </c>
      <c r="BU163" s="1312">
        <f t="shared" si="98"/>
        <v>0</v>
      </c>
      <c r="BV163" s="1312">
        <f>BW162*((1+'Instrumentos Financeiros'!$L$43)^(1/12)-1)</f>
        <v>0</v>
      </c>
      <c r="BW163" s="1312">
        <f t="shared" si="99"/>
        <v>0</v>
      </c>
      <c r="BX163" s="1312">
        <f>IF(AND(C163&gt;$F$80,'Instrumentos Financeiros'!C163&lt;'Instrumentos Financeiros'!$F$80+'Instrumentos Financeiros'!$F$12+1),PMT(((1+'Instrumentos Financeiros'!$L$43)^(1/12)-1),$F$12,-$I$80),0)</f>
        <v>0</v>
      </c>
      <c r="BY163" s="1312">
        <f t="shared" si="100"/>
        <v>0</v>
      </c>
      <c r="BZ163" s="1312">
        <f>CA162*((1+'Instrumentos Financeiros'!$L$43)^(1/12)-1)</f>
        <v>0</v>
      </c>
      <c r="CA163" s="1312">
        <f t="shared" si="101"/>
        <v>0</v>
      </c>
      <c r="CB163" s="1312">
        <f>IF(AND(C163&gt;$F$83,'Instrumentos Financeiros'!C163&lt;'Instrumentos Financeiros'!$F$83+'Instrumentos Financeiros'!$F$13+1),PMT(((1+'Instrumentos Financeiros'!$P$43)^(1/12)-1),$F$13,-$I$83),0)</f>
        <v>0</v>
      </c>
      <c r="CC163" s="1312">
        <f t="shared" si="102"/>
        <v>0</v>
      </c>
      <c r="CD163" s="1312">
        <f>CE162*((1+'Instrumentos Financeiros'!$P$43)^(1/12)-1)</f>
        <v>0</v>
      </c>
      <c r="CE163" s="1312">
        <f t="shared" si="103"/>
        <v>0</v>
      </c>
      <c r="CF163" s="1312">
        <f>IF(AND(C163&gt;$F$84,'Instrumentos Financeiros'!C163&lt;'Instrumentos Financeiros'!$F$84+'Instrumentos Financeiros'!$F$13+1),PMT(((1+'Instrumentos Financeiros'!$Q$43)^(1/12)-1),$F$13,-$I$84),0)</f>
        <v>0</v>
      </c>
      <c r="CG163" s="1312">
        <f t="shared" si="104"/>
        <v>0</v>
      </c>
      <c r="CH163" s="1312">
        <f>CI162*((1+'Instrumentos Financeiros'!$Q$43)^(1/12)-1)</f>
        <v>0</v>
      </c>
      <c r="CI163" s="1312">
        <f t="shared" si="105"/>
        <v>0</v>
      </c>
      <c r="CJ163" s="1312">
        <f>IF(AND(C163&gt;$F$85,'Instrumentos Financeiros'!C163&lt;'Instrumentos Financeiros'!$F$85+'Instrumentos Financeiros'!$F$13+1),PMT(((1+'Instrumentos Financeiros'!$Q$43)^(1/12)-1),$F$13,-$I$85),0)</f>
        <v>0</v>
      </c>
      <c r="CK163" s="1312">
        <f t="shared" si="106"/>
        <v>0</v>
      </c>
      <c r="CL163" s="1312">
        <f>CM162*((1+'Instrumentos Financeiros'!$Q$43)^(1/12)-1)</f>
        <v>0</v>
      </c>
      <c r="CM163" s="1312">
        <f t="shared" si="107"/>
        <v>0</v>
      </c>
      <c r="CN163" s="1312">
        <f>IF(AND(C163&gt;$F$86,'Instrumentos Financeiros'!C163&lt;'Instrumentos Financeiros'!$F$86+'Instrumentos Financeiros'!$F$13+1),PMT(((1+'Instrumentos Financeiros'!$Q$43)^(1/12)-1),$F$13,-$I$86),0)</f>
        <v>0</v>
      </c>
      <c r="CO163" s="1312">
        <f t="shared" si="108"/>
        <v>0</v>
      </c>
      <c r="CP163" s="1312">
        <f>CQ162*((1+'Instrumentos Financeiros'!$Q$43)^(1/12)-1)</f>
        <v>0</v>
      </c>
      <c r="CQ163" s="1312">
        <f t="shared" si="109"/>
        <v>0</v>
      </c>
      <c r="CR163" s="1312">
        <f t="shared" si="78"/>
        <v>91768.589635900134</v>
      </c>
      <c r="CS163" s="1312">
        <f t="shared" si="78"/>
        <v>44623.556117283137</v>
      </c>
      <c r="CT163" s="1312">
        <f t="shared" si="78"/>
        <v>47145.033518616998</v>
      </c>
      <c r="CU163" s="1312">
        <f t="shared" si="78"/>
        <v>11505434.482619902</v>
      </c>
    </row>
    <row r="164" spans="3:99" x14ac:dyDescent="0.35">
      <c r="C164" s="1315">
        <f t="shared" si="79"/>
        <v>71</v>
      </c>
      <c r="D164" s="1312">
        <f>IF(AND(C164&gt;$F$59,'Instrumentos Financeiros'!C164&lt;'Instrumentos Financeiros'!$F$59+'Instrumentos Financeiros'!$F$11+1),PMT(((1+'Instrumentos Financeiros'!$G$43)^(1/12)-1),$F$11,-$I$59),0)</f>
        <v>91768.589635900134</v>
      </c>
      <c r="E164" s="1312">
        <f t="shared" si="76"/>
        <v>44805.700574203911</v>
      </c>
      <c r="F164" s="1312">
        <f>G163*((1+'Instrumentos Financeiros'!$G$43)^(1/12)-1)</f>
        <v>46962.889061696224</v>
      </c>
      <c r="G164" s="1312">
        <f t="shared" si="110"/>
        <v>11460628.782045698</v>
      </c>
      <c r="H164" s="1312">
        <f>IF(AND(C164&gt;$F$60,'Instrumentos Financeiros'!C164&lt;'Instrumentos Financeiros'!$F$60+'Instrumentos Financeiros'!$F$11+1),PMT(((1+'Instrumentos Financeiros'!$G$43)^(1/12)-1),$F$11,-$I$60),0)</f>
        <v>0</v>
      </c>
      <c r="I164" s="1312">
        <f t="shared" si="62"/>
        <v>0</v>
      </c>
      <c r="J164" s="1312">
        <f>K163*((1+'Instrumentos Financeiros'!$G$43)^(1/12)-1)</f>
        <v>0</v>
      </c>
      <c r="K164" s="1312">
        <f t="shared" si="80"/>
        <v>0</v>
      </c>
      <c r="L164" s="1312">
        <f>IF(AND(C164&gt;$F$61,'Instrumentos Financeiros'!C164&lt;'Instrumentos Financeiros'!$F$61+'Instrumentos Financeiros'!$F$11+1),PMT(((1+'Instrumentos Financeiros'!$G$43)^(1/12)-1),$F$11,-$I$61),0)</f>
        <v>0</v>
      </c>
      <c r="M164" s="1312">
        <f t="shared" si="63"/>
        <v>0</v>
      </c>
      <c r="N164" s="1312">
        <f>O163*((1+'Instrumentos Financeiros'!$G$43)^(1/12)-1)</f>
        <v>0</v>
      </c>
      <c r="O164" s="1312">
        <f t="shared" si="81"/>
        <v>0</v>
      </c>
      <c r="P164" s="1312">
        <f>IF(AND(C164&gt;$F$62,'Instrumentos Financeiros'!C164&lt;'Instrumentos Financeiros'!$F$62+'Instrumentos Financeiros'!$F$11+1),PMT(((1+'Instrumentos Financeiros'!$H$43)^(1/12)-1),$F$11,-$I$62),0)</f>
        <v>0</v>
      </c>
      <c r="Q164" s="1312">
        <f t="shared" si="64"/>
        <v>0</v>
      </c>
      <c r="R164" s="1312">
        <f>S163*((1+'Instrumentos Financeiros'!$H$43)^(1/12)-1)</f>
        <v>0</v>
      </c>
      <c r="S164" s="1312">
        <f t="shared" si="82"/>
        <v>0</v>
      </c>
      <c r="T164" s="1312">
        <f>IF(AND(C164&gt;$F$63,'Instrumentos Financeiros'!C164&lt;'Instrumentos Financeiros'!$F$63+'Instrumentos Financeiros'!$F$11+1),PMT(((1+'Instrumentos Financeiros'!$H$43)^(1/12)-1),$F$11,-$I$63),0)</f>
        <v>0</v>
      </c>
      <c r="U164" s="1312">
        <f t="shared" si="65"/>
        <v>0</v>
      </c>
      <c r="V164" s="1312">
        <f>W163*((1+'Instrumentos Financeiros'!$H$43)^(1/12)-1)</f>
        <v>0</v>
      </c>
      <c r="W164" s="1312">
        <f t="shared" si="83"/>
        <v>0</v>
      </c>
      <c r="X164" s="1312">
        <f>IF(AND(C164&gt;$F$64,'Instrumentos Financeiros'!C164&lt;'Instrumentos Financeiros'!$F$64+'Instrumentos Financeiros'!$F$11+1),PMT(((1+'Instrumentos Financeiros'!$H$43)^(1/12)-1),$F$11,-$I$64),0)</f>
        <v>0</v>
      </c>
      <c r="Y164" s="1312">
        <f t="shared" si="66"/>
        <v>0</v>
      </c>
      <c r="Z164" s="1312">
        <f>AA163*((1+'Instrumentos Financeiros'!$H$43)^(1/12)-1)</f>
        <v>0</v>
      </c>
      <c r="AA164" s="1312">
        <f t="shared" si="84"/>
        <v>0</v>
      </c>
      <c r="AB164" s="1312">
        <f>IF(AND(C164&gt;$F$65,'Instrumentos Financeiros'!C164&lt;'Instrumentos Financeiros'!$F$65+'Instrumentos Financeiros'!$F$11+1),PMT(((1+'Instrumentos Financeiros'!$H$43)^(1/12)-1),$F$11,-$I$65),0)</f>
        <v>0</v>
      </c>
      <c r="AC164" s="1312">
        <f t="shared" si="67"/>
        <v>0</v>
      </c>
      <c r="AD164" s="1312">
        <f>AE163*((1+'Instrumentos Financeiros'!$H$43)^(1/12)-1)</f>
        <v>0</v>
      </c>
      <c r="AE164" s="1312">
        <f t="shared" si="85"/>
        <v>0</v>
      </c>
      <c r="AF164" s="1312">
        <f>IF(AND(C164&gt;$F$66,'Instrumentos Financeiros'!C164&lt;'Instrumentos Financeiros'!$F$66+'Instrumentos Financeiros'!$F$11+1),PMT(((1+'Instrumentos Financeiros'!$I$43)^(1/12)-1),$F$11,-$I$66),0)</f>
        <v>0</v>
      </c>
      <c r="AG164" s="1312">
        <f t="shared" si="68"/>
        <v>0</v>
      </c>
      <c r="AH164" s="1312">
        <f>AI163*((1+'Instrumentos Financeiros'!$I$43)^(1/12)-1)</f>
        <v>0</v>
      </c>
      <c r="AI164" s="1312">
        <f t="shared" si="86"/>
        <v>0</v>
      </c>
      <c r="AJ164" s="1312">
        <f>IF(AND(C164&gt;$F$67,'Instrumentos Financeiros'!C164&lt;'Instrumentos Financeiros'!$F$67+'Instrumentos Financeiros'!$F$11+1),PMT(((1+'Instrumentos Financeiros'!$I$43)^(1/12)-1),$F$11,-$I$67),0)</f>
        <v>0</v>
      </c>
      <c r="AK164" s="1312">
        <f t="shared" si="69"/>
        <v>0</v>
      </c>
      <c r="AL164" s="1312">
        <f>AM163*((1+'Instrumentos Financeiros'!$I$43)^(1/12)-1)</f>
        <v>0</v>
      </c>
      <c r="AM164" s="1312">
        <f t="shared" si="87"/>
        <v>0</v>
      </c>
      <c r="AN164" s="1312">
        <f>IF(AND(C164&gt;$F$68,'Instrumentos Financeiros'!C164&lt;'Instrumentos Financeiros'!$F$68+'Instrumentos Financeiros'!$F$11+1),PMT(((1+'Instrumentos Financeiros'!$I$43)^(1/12)-1),$F$11,-$I$68),0)</f>
        <v>0</v>
      </c>
      <c r="AO164" s="1312">
        <f t="shared" si="70"/>
        <v>0</v>
      </c>
      <c r="AP164" s="1312">
        <f>AQ163*((1+'Instrumentos Financeiros'!$I$43)^(1/12)-1)</f>
        <v>0</v>
      </c>
      <c r="AQ164" s="1312">
        <f t="shared" si="88"/>
        <v>0</v>
      </c>
      <c r="AR164" s="1312">
        <f>IF(AND(C164&gt;$F$69,'Instrumentos Financeiros'!C164&lt;'Instrumentos Financeiros'!$F$69+'Instrumentos Financeiros'!$F$11+1),PMT(((1+'Instrumentos Financeiros'!$I$43)^(1/12)-1),$F$11,-$I$69),0)</f>
        <v>0</v>
      </c>
      <c r="AS164" s="1312">
        <f t="shared" si="71"/>
        <v>0</v>
      </c>
      <c r="AT164" s="1312">
        <f>AU163*((1+'Instrumentos Financeiros'!$I$43)^(1/12)-1)</f>
        <v>0</v>
      </c>
      <c r="AU164" s="1312">
        <f t="shared" si="89"/>
        <v>0</v>
      </c>
      <c r="AV164" s="1312">
        <f>IF(AND(C164&gt;$F$70,'Instrumentos Financeiros'!C164&lt;'Instrumentos Financeiros'!$F$70+'Instrumentos Financeiros'!$F$11+1),PMT(((1+'Instrumentos Financeiros'!$J$43)^(1/12)-1),$F$11,-$I$70),0)</f>
        <v>0</v>
      </c>
      <c r="AW164" s="1312">
        <f t="shared" si="72"/>
        <v>0</v>
      </c>
      <c r="AX164" s="1312">
        <f>AY163*((1+'Instrumentos Financeiros'!$J$43)^(1/12)-1)</f>
        <v>0</v>
      </c>
      <c r="AY164" s="1312">
        <f t="shared" si="90"/>
        <v>0</v>
      </c>
      <c r="AZ164" s="1312">
        <f>IF(AND(C164&gt;$F$71,'Instrumentos Financeiros'!C164&lt;'Instrumentos Financeiros'!$F$71+'Instrumentos Financeiros'!$F$11+1),PMT(((1+'Instrumentos Financeiros'!$J$43)^(1/12)-1),$F$11,-$I$71),0)</f>
        <v>0</v>
      </c>
      <c r="BA164" s="1312">
        <f t="shared" si="73"/>
        <v>0</v>
      </c>
      <c r="BB164" s="1312">
        <f>BC163*((1+'Instrumentos Financeiros'!$J$43)^(1/12)-1)</f>
        <v>0</v>
      </c>
      <c r="BC164" s="1312">
        <f t="shared" si="91"/>
        <v>0</v>
      </c>
      <c r="BD164" s="1312">
        <f>IF(AND(C164&gt;$F$72,'Instrumentos Financeiros'!C164&lt;'Instrumentos Financeiros'!$F$72+'Instrumentos Financeiros'!$F$11+1),PMT(((1+'Instrumentos Financeiros'!$J$43)^(1/12)-1),$F$11,-'Instrumentos Financeiros'!$G$7*$G$72),0)</f>
        <v>0</v>
      </c>
      <c r="BE164" s="1312">
        <f t="shared" si="74"/>
        <v>0</v>
      </c>
      <c r="BF164" s="1312">
        <f>BG163*((1+'Instrumentos Financeiros'!$J$43)^(1/12)-1)</f>
        <v>0</v>
      </c>
      <c r="BG164" s="1312">
        <f t="shared" si="92"/>
        <v>0</v>
      </c>
      <c r="BH164" s="1312">
        <f>IF(AND(C164&gt;$F$73,'Instrumentos Financeiros'!C164&lt;'Instrumentos Financeiros'!$F$73+'Instrumentos Financeiros'!$F$11+1),PMT(((1+'Instrumentos Financeiros'!$J$43)^(1/12)-1),$F$11,-$I$73),0)</f>
        <v>0</v>
      </c>
      <c r="BI164" s="1312">
        <f t="shared" si="75"/>
        <v>0</v>
      </c>
      <c r="BJ164" s="1312">
        <f>BK163*((1+'Instrumentos Financeiros'!$J$43)^(1/12)-1)</f>
        <v>0</v>
      </c>
      <c r="BK164" s="1312">
        <f t="shared" si="93"/>
        <v>0</v>
      </c>
      <c r="BL164" s="1312">
        <f>IF(AND(C164&gt;$F$77,'Instrumentos Financeiros'!C164&lt;'Instrumentos Financeiros'!$F$77+'Instrumentos Financeiros'!$F$12+1),PMT(((1+'Instrumentos Financeiros'!$K$43)^(1/12)-1),$F$12,-$I$77),0)</f>
        <v>0</v>
      </c>
      <c r="BM164" s="1312">
        <f t="shared" si="94"/>
        <v>0</v>
      </c>
      <c r="BN164" s="1312">
        <f>BO163*((1+'Instrumentos Financeiros'!$K$43)^(1/12)-1)</f>
        <v>0</v>
      </c>
      <c r="BO164" s="1312">
        <f t="shared" si="95"/>
        <v>0</v>
      </c>
      <c r="BP164" s="1312">
        <f>IF(AND(C164&gt;$F$78,'Instrumentos Financeiros'!C164&lt;'Instrumentos Financeiros'!$F$78+'Instrumentos Financeiros'!$F$12+1),PMT(((1+'Instrumentos Financeiros'!$L$43)^(1/12)-1),$F$12,-$I$78),0)</f>
        <v>0</v>
      </c>
      <c r="BQ164" s="1312">
        <f t="shared" si="96"/>
        <v>0</v>
      </c>
      <c r="BR164" s="1312">
        <f>BS163*((1+'Instrumentos Financeiros'!$L$43)^(1/12)-1)</f>
        <v>0</v>
      </c>
      <c r="BS164" s="1312">
        <f t="shared" si="97"/>
        <v>0</v>
      </c>
      <c r="BT164" s="1312">
        <f>IF(AND(C164&gt;$F$79,'Instrumentos Financeiros'!C164&lt;'Instrumentos Financeiros'!$F$79+'Instrumentos Financeiros'!$F$12+1),PMT(((1+'Instrumentos Financeiros'!$L$43)^(1/12)-1),$F$12,-$I$79),0)</f>
        <v>0</v>
      </c>
      <c r="BU164" s="1312">
        <f t="shared" si="98"/>
        <v>0</v>
      </c>
      <c r="BV164" s="1312">
        <f>BW163*((1+'Instrumentos Financeiros'!$L$43)^(1/12)-1)</f>
        <v>0</v>
      </c>
      <c r="BW164" s="1312">
        <f t="shared" si="99"/>
        <v>0</v>
      </c>
      <c r="BX164" s="1312">
        <f>IF(AND(C164&gt;$F$80,'Instrumentos Financeiros'!C164&lt;'Instrumentos Financeiros'!$F$80+'Instrumentos Financeiros'!$F$12+1),PMT(((1+'Instrumentos Financeiros'!$L$43)^(1/12)-1),$F$12,-$I$80),0)</f>
        <v>0</v>
      </c>
      <c r="BY164" s="1312">
        <f t="shared" si="100"/>
        <v>0</v>
      </c>
      <c r="BZ164" s="1312">
        <f>CA163*((1+'Instrumentos Financeiros'!$L$43)^(1/12)-1)</f>
        <v>0</v>
      </c>
      <c r="CA164" s="1312">
        <f t="shared" si="101"/>
        <v>0</v>
      </c>
      <c r="CB164" s="1312">
        <f>IF(AND(C164&gt;$F$83,'Instrumentos Financeiros'!C164&lt;'Instrumentos Financeiros'!$F$83+'Instrumentos Financeiros'!$F$13+1),PMT(((1+'Instrumentos Financeiros'!$P$43)^(1/12)-1),$F$13,-$I$83),0)</f>
        <v>0</v>
      </c>
      <c r="CC164" s="1312">
        <f t="shared" si="102"/>
        <v>0</v>
      </c>
      <c r="CD164" s="1312">
        <f>CE163*((1+'Instrumentos Financeiros'!$P$43)^(1/12)-1)</f>
        <v>0</v>
      </c>
      <c r="CE164" s="1312">
        <f t="shared" si="103"/>
        <v>0</v>
      </c>
      <c r="CF164" s="1312">
        <f>IF(AND(C164&gt;$F$84,'Instrumentos Financeiros'!C164&lt;'Instrumentos Financeiros'!$F$84+'Instrumentos Financeiros'!$F$13+1),PMT(((1+'Instrumentos Financeiros'!$Q$43)^(1/12)-1),$F$13,-$I$84),0)</f>
        <v>0</v>
      </c>
      <c r="CG164" s="1312">
        <f t="shared" si="104"/>
        <v>0</v>
      </c>
      <c r="CH164" s="1312">
        <f>CI163*((1+'Instrumentos Financeiros'!$Q$43)^(1/12)-1)</f>
        <v>0</v>
      </c>
      <c r="CI164" s="1312">
        <f t="shared" si="105"/>
        <v>0</v>
      </c>
      <c r="CJ164" s="1312">
        <f>IF(AND(C164&gt;$F$85,'Instrumentos Financeiros'!C164&lt;'Instrumentos Financeiros'!$F$85+'Instrumentos Financeiros'!$F$13+1),PMT(((1+'Instrumentos Financeiros'!$Q$43)^(1/12)-1),$F$13,-$I$85),0)</f>
        <v>0</v>
      </c>
      <c r="CK164" s="1312">
        <f t="shared" si="106"/>
        <v>0</v>
      </c>
      <c r="CL164" s="1312">
        <f>CM163*((1+'Instrumentos Financeiros'!$Q$43)^(1/12)-1)</f>
        <v>0</v>
      </c>
      <c r="CM164" s="1312">
        <f t="shared" si="107"/>
        <v>0</v>
      </c>
      <c r="CN164" s="1312">
        <f>IF(AND(C164&gt;$F$86,'Instrumentos Financeiros'!C164&lt;'Instrumentos Financeiros'!$F$86+'Instrumentos Financeiros'!$F$13+1),PMT(((1+'Instrumentos Financeiros'!$Q$43)^(1/12)-1),$F$13,-$I$86),0)</f>
        <v>0</v>
      </c>
      <c r="CO164" s="1312">
        <f t="shared" si="108"/>
        <v>0</v>
      </c>
      <c r="CP164" s="1312">
        <f>CQ163*((1+'Instrumentos Financeiros'!$Q$43)^(1/12)-1)</f>
        <v>0</v>
      </c>
      <c r="CQ164" s="1312">
        <f t="shared" si="109"/>
        <v>0</v>
      </c>
      <c r="CR164" s="1312">
        <f t="shared" si="78"/>
        <v>91768.589635900134</v>
      </c>
      <c r="CS164" s="1312">
        <f t="shared" si="78"/>
        <v>44805.700574203911</v>
      </c>
      <c r="CT164" s="1312">
        <f t="shared" si="78"/>
        <v>46962.889061696224</v>
      </c>
      <c r="CU164" s="1312">
        <f t="shared" si="78"/>
        <v>11460628.782045698</v>
      </c>
    </row>
    <row r="165" spans="3:99" x14ac:dyDescent="0.35">
      <c r="C165" s="1316">
        <f t="shared" si="79"/>
        <v>72</v>
      </c>
      <c r="D165" s="1313">
        <f>IF(AND(C165&gt;$F$59,'Instrumentos Financeiros'!C165&lt;'Instrumentos Financeiros'!$F$59+'Instrumentos Financeiros'!$F$11+1),PMT(((1+'Instrumentos Financeiros'!$G$43)^(1/12)-1),$F$11,-$I$59),0)</f>
        <v>91768.589635900134</v>
      </c>
      <c r="E165" s="1313">
        <f t="shared" si="76"/>
        <v>44988.58850847328</v>
      </c>
      <c r="F165" s="1313">
        <f>G164*((1+'Instrumentos Financeiros'!$G$43)^(1/12)-1)</f>
        <v>46780.001127426855</v>
      </c>
      <c r="G165" s="1313">
        <f t="shared" si="110"/>
        <v>11415640.193537224</v>
      </c>
      <c r="H165" s="1313">
        <f>IF(AND(C165&gt;$F$60,'Instrumentos Financeiros'!C165&lt;'Instrumentos Financeiros'!$F$60+'Instrumentos Financeiros'!$F$11+1),PMT(((1+'Instrumentos Financeiros'!$G$43)^(1/12)-1),$F$11,-$I$60),0)</f>
        <v>0</v>
      </c>
      <c r="I165" s="1313">
        <f t="shared" si="62"/>
        <v>0</v>
      </c>
      <c r="J165" s="1313">
        <f>K164*((1+'Instrumentos Financeiros'!$G$43)^(1/12)-1)</f>
        <v>0</v>
      </c>
      <c r="K165" s="1313">
        <f t="shared" si="80"/>
        <v>0</v>
      </c>
      <c r="L165" s="1313">
        <f>IF(AND(C165&gt;$F$61,'Instrumentos Financeiros'!C165&lt;'Instrumentos Financeiros'!$F$61+'Instrumentos Financeiros'!$F$11+1),PMT(((1+'Instrumentos Financeiros'!$G$43)^(1/12)-1),$F$11,-$I$61),0)</f>
        <v>0</v>
      </c>
      <c r="M165" s="1313">
        <f t="shared" si="63"/>
        <v>0</v>
      </c>
      <c r="N165" s="1313">
        <f>O164*((1+'Instrumentos Financeiros'!$G$43)^(1/12)-1)</f>
        <v>0</v>
      </c>
      <c r="O165" s="1313">
        <f t="shared" si="81"/>
        <v>0</v>
      </c>
      <c r="P165" s="1313">
        <f>IF(AND(C165&gt;$F$62,'Instrumentos Financeiros'!C165&lt;'Instrumentos Financeiros'!$F$62+'Instrumentos Financeiros'!$F$11+1),PMT(((1+'Instrumentos Financeiros'!$H$43)^(1/12)-1),$F$11,-$I$62),0)</f>
        <v>0</v>
      </c>
      <c r="Q165" s="1313">
        <f t="shared" si="64"/>
        <v>0</v>
      </c>
      <c r="R165" s="1313">
        <f>S164*((1+'Instrumentos Financeiros'!$H$43)^(1/12)-1)</f>
        <v>0</v>
      </c>
      <c r="S165" s="1313">
        <f t="shared" si="82"/>
        <v>0</v>
      </c>
      <c r="T165" s="1313">
        <f>IF(AND(C165&gt;$F$63,'Instrumentos Financeiros'!C165&lt;'Instrumentos Financeiros'!$F$63+'Instrumentos Financeiros'!$F$11+1),PMT(((1+'Instrumentos Financeiros'!$H$43)^(1/12)-1),$F$11,-$I$63),0)</f>
        <v>0</v>
      </c>
      <c r="U165" s="1313">
        <f t="shared" si="65"/>
        <v>0</v>
      </c>
      <c r="V165" s="1313">
        <f>W164*((1+'Instrumentos Financeiros'!$H$43)^(1/12)-1)</f>
        <v>0</v>
      </c>
      <c r="W165" s="1313">
        <f t="shared" si="83"/>
        <v>0</v>
      </c>
      <c r="X165" s="1313">
        <f>IF(AND(C165&gt;$F$64,'Instrumentos Financeiros'!C165&lt;'Instrumentos Financeiros'!$F$64+'Instrumentos Financeiros'!$F$11+1),PMT(((1+'Instrumentos Financeiros'!$H$43)^(1/12)-1),$F$11,-$I$64),0)</f>
        <v>0</v>
      </c>
      <c r="Y165" s="1313">
        <f t="shared" si="66"/>
        <v>0</v>
      </c>
      <c r="Z165" s="1313">
        <f>AA164*((1+'Instrumentos Financeiros'!$H$43)^(1/12)-1)</f>
        <v>0</v>
      </c>
      <c r="AA165" s="1313">
        <f t="shared" si="84"/>
        <v>0</v>
      </c>
      <c r="AB165" s="1313">
        <f>IF(AND(C165&gt;$F$65,'Instrumentos Financeiros'!C165&lt;'Instrumentos Financeiros'!$F$65+'Instrumentos Financeiros'!$F$11+1),PMT(((1+'Instrumentos Financeiros'!$H$43)^(1/12)-1),$F$11,-$I$65),0)</f>
        <v>0</v>
      </c>
      <c r="AC165" s="1313">
        <f t="shared" si="67"/>
        <v>0</v>
      </c>
      <c r="AD165" s="1313">
        <f>AE164*((1+'Instrumentos Financeiros'!$H$43)^(1/12)-1)</f>
        <v>0</v>
      </c>
      <c r="AE165" s="1313">
        <f t="shared" si="85"/>
        <v>0</v>
      </c>
      <c r="AF165" s="1313">
        <f>IF(AND(C165&gt;$F$66,'Instrumentos Financeiros'!C165&lt;'Instrumentos Financeiros'!$F$66+'Instrumentos Financeiros'!$F$11+1),PMT(((1+'Instrumentos Financeiros'!$I$43)^(1/12)-1),$F$11,-$I$66),0)</f>
        <v>0</v>
      </c>
      <c r="AG165" s="1313">
        <f t="shared" si="68"/>
        <v>0</v>
      </c>
      <c r="AH165" s="1313">
        <f>AI164*((1+'Instrumentos Financeiros'!$I$43)^(1/12)-1)</f>
        <v>0</v>
      </c>
      <c r="AI165" s="1313">
        <f t="shared" si="86"/>
        <v>0</v>
      </c>
      <c r="AJ165" s="1313">
        <f>IF(AND(C165&gt;$F$67,'Instrumentos Financeiros'!C165&lt;'Instrumentos Financeiros'!$F$67+'Instrumentos Financeiros'!$F$11+1),PMT(((1+'Instrumentos Financeiros'!$I$43)^(1/12)-1),$F$11,-$I$67),0)</f>
        <v>0</v>
      </c>
      <c r="AK165" s="1313">
        <f t="shared" si="69"/>
        <v>0</v>
      </c>
      <c r="AL165" s="1313">
        <f>AM164*((1+'Instrumentos Financeiros'!$I$43)^(1/12)-1)</f>
        <v>0</v>
      </c>
      <c r="AM165" s="1313">
        <f t="shared" si="87"/>
        <v>0</v>
      </c>
      <c r="AN165" s="1313">
        <f>IF(AND(C165&gt;$F$68,'Instrumentos Financeiros'!C165&lt;'Instrumentos Financeiros'!$F$68+'Instrumentos Financeiros'!$F$11+1),PMT(((1+'Instrumentos Financeiros'!$I$43)^(1/12)-1),$F$11,-$I$68),0)</f>
        <v>0</v>
      </c>
      <c r="AO165" s="1313">
        <f t="shared" si="70"/>
        <v>0</v>
      </c>
      <c r="AP165" s="1313">
        <f>AQ164*((1+'Instrumentos Financeiros'!$I$43)^(1/12)-1)</f>
        <v>0</v>
      </c>
      <c r="AQ165" s="1313">
        <f t="shared" si="88"/>
        <v>0</v>
      </c>
      <c r="AR165" s="1313">
        <f>IF(AND(C165&gt;$F$69,'Instrumentos Financeiros'!C165&lt;'Instrumentos Financeiros'!$F$69+'Instrumentos Financeiros'!$F$11+1),PMT(((1+'Instrumentos Financeiros'!$I$43)^(1/12)-1),$F$11,-$I$69),0)</f>
        <v>0</v>
      </c>
      <c r="AS165" s="1313">
        <f t="shared" si="71"/>
        <v>0</v>
      </c>
      <c r="AT165" s="1313">
        <f>AU164*((1+'Instrumentos Financeiros'!$I$43)^(1/12)-1)</f>
        <v>0</v>
      </c>
      <c r="AU165" s="1313">
        <f t="shared" si="89"/>
        <v>0</v>
      </c>
      <c r="AV165" s="1313">
        <f>IF(AND(C165&gt;$F$70,'Instrumentos Financeiros'!C165&lt;'Instrumentos Financeiros'!$F$70+'Instrumentos Financeiros'!$F$11+1),PMT(((1+'Instrumentos Financeiros'!$J$43)^(1/12)-1),$F$11,-$I$70),0)</f>
        <v>0</v>
      </c>
      <c r="AW165" s="1313">
        <f t="shared" si="72"/>
        <v>0</v>
      </c>
      <c r="AX165" s="1313">
        <f>AY164*((1+'Instrumentos Financeiros'!$J$43)^(1/12)-1)</f>
        <v>0</v>
      </c>
      <c r="AY165" s="1313">
        <f t="shared" si="90"/>
        <v>0</v>
      </c>
      <c r="AZ165" s="1313">
        <f>IF(AND(C165&gt;$F$71,'Instrumentos Financeiros'!C165&lt;'Instrumentos Financeiros'!$F$71+'Instrumentos Financeiros'!$F$11+1),PMT(((1+'Instrumentos Financeiros'!$J$43)^(1/12)-1),$F$11,-$I$71),0)</f>
        <v>0</v>
      </c>
      <c r="BA165" s="1313">
        <f t="shared" si="73"/>
        <v>0</v>
      </c>
      <c r="BB165" s="1313">
        <f>BC164*((1+'Instrumentos Financeiros'!$J$43)^(1/12)-1)</f>
        <v>0</v>
      </c>
      <c r="BC165" s="1313">
        <f t="shared" si="91"/>
        <v>0</v>
      </c>
      <c r="BD165" s="1313">
        <f>IF(AND(C165&gt;$F$72,'Instrumentos Financeiros'!C165&lt;'Instrumentos Financeiros'!$F$72+'Instrumentos Financeiros'!$F$11+1),PMT(((1+'Instrumentos Financeiros'!$J$43)^(1/12)-1),$F$11,-'Instrumentos Financeiros'!$G$7*$G$72),0)</f>
        <v>0</v>
      </c>
      <c r="BE165" s="1313">
        <f t="shared" si="74"/>
        <v>0</v>
      </c>
      <c r="BF165" s="1313">
        <f>BG164*((1+'Instrumentos Financeiros'!$J$43)^(1/12)-1)</f>
        <v>0</v>
      </c>
      <c r="BG165" s="1313">
        <f t="shared" si="92"/>
        <v>0</v>
      </c>
      <c r="BH165" s="1313">
        <f>IF(AND(C165&gt;$F$73,'Instrumentos Financeiros'!C165&lt;'Instrumentos Financeiros'!$F$73+'Instrumentos Financeiros'!$F$11+1),PMT(((1+'Instrumentos Financeiros'!$J$43)^(1/12)-1),$F$11,-$I$73),0)</f>
        <v>0</v>
      </c>
      <c r="BI165" s="1313">
        <f t="shared" si="75"/>
        <v>0</v>
      </c>
      <c r="BJ165" s="1313">
        <f>BK164*((1+'Instrumentos Financeiros'!$J$43)^(1/12)-1)</f>
        <v>0</v>
      </c>
      <c r="BK165" s="1313">
        <f t="shared" si="93"/>
        <v>0</v>
      </c>
      <c r="BL165" s="1313">
        <f>IF(AND(C165&gt;$F$77,'Instrumentos Financeiros'!C165&lt;'Instrumentos Financeiros'!$F$77+'Instrumentos Financeiros'!$F$12+1),PMT(((1+'Instrumentos Financeiros'!$K$43)^(1/12)-1),$F$12,-$I$77),0)</f>
        <v>0</v>
      </c>
      <c r="BM165" s="1313">
        <f t="shared" si="94"/>
        <v>0</v>
      </c>
      <c r="BN165" s="1313">
        <f>BO164*((1+'Instrumentos Financeiros'!$K$43)^(1/12)-1)</f>
        <v>0</v>
      </c>
      <c r="BO165" s="1313">
        <f t="shared" si="95"/>
        <v>0</v>
      </c>
      <c r="BP165" s="1313">
        <f>IF(AND(C165&gt;$F$78,'Instrumentos Financeiros'!C165&lt;'Instrumentos Financeiros'!$F$78+'Instrumentos Financeiros'!$F$12+1),PMT(((1+'Instrumentos Financeiros'!$L$43)^(1/12)-1),$F$12,-$I$78),0)</f>
        <v>0</v>
      </c>
      <c r="BQ165" s="1313">
        <f t="shared" si="96"/>
        <v>0</v>
      </c>
      <c r="BR165" s="1313">
        <f>BS164*((1+'Instrumentos Financeiros'!$L$43)^(1/12)-1)</f>
        <v>0</v>
      </c>
      <c r="BS165" s="1313">
        <f t="shared" si="97"/>
        <v>0</v>
      </c>
      <c r="BT165" s="1313">
        <f>IF(AND(C165&gt;$F$79,'Instrumentos Financeiros'!C165&lt;'Instrumentos Financeiros'!$F$79+'Instrumentos Financeiros'!$F$12+1),PMT(((1+'Instrumentos Financeiros'!$L$43)^(1/12)-1),$F$12,-$I$79),0)</f>
        <v>0</v>
      </c>
      <c r="BU165" s="1313">
        <f t="shared" si="98"/>
        <v>0</v>
      </c>
      <c r="BV165" s="1313">
        <f>BW164*((1+'Instrumentos Financeiros'!$L$43)^(1/12)-1)</f>
        <v>0</v>
      </c>
      <c r="BW165" s="1313">
        <f t="shared" si="99"/>
        <v>0</v>
      </c>
      <c r="BX165" s="1313">
        <f>IF(AND(C165&gt;$F$80,'Instrumentos Financeiros'!C165&lt;'Instrumentos Financeiros'!$F$80+'Instrumentos Financeiros'!$F$12+1),PMT(((1+'Instrumentos Financeiros'!$L$43)^(1/12)-1),$F$12,-$I$80),0)</f>
        <v>0</v>
      </c>
      <c r="BY165" s="1313">
        <f t="shared" si="100"/>
        <v>0</v>
      </c>
      <c r="BZ165" s="1313">
        <f>CA164*((1+'Instrumentos Financeiros'!$L$43)^(1/12)-1)</f>
        <v>0</v>
      </c>
      <c r="CA165" s="1313">
        <f t="shared" si="101"/>
        <v>0</v>
      </c>
      <c r="CB165" s="1313">
        <f>IF(AND(C165&gt;$F$83,'Instrumentos Financeiros'!C165&lt;'Instrumentos Financeiros'!$F$83+'Instrumentos Financeiros'!$F$13+1),PMT(((1+'Instrumentos Financeiros'!$P$43)^(1/12)-1),$F$13,-$I$83),0)</f>
        <v>0</v>
      </c>
      <c r="CC165" s="1313">
        <f t="shared" si="102"/>
        <v>0</v>
      </c>
      <c r="CD165" s="1313">
        <f>CE164*((1+'Instrumentos Financeiros'!$P$43)^(1/12)-1)</f>
        <v>0</v>
      </c>
      <c r="CE165" s="1313">
        <f t="shared" si="103"/>
        <v>0</v>
      </c>
      <c r="CF165" s="1313">
        <f>IF(AND(C165&gt;$F$84,'Instrumentos Financeiros'!C165&lt;'Instrumentos Financeiros'!$F$84+'Instrumentos Financeiros'!$F$13+1),PMT(((1+'Instrumentos Financeiros'!$Q$43)^(1/12)-1),$F$13,-$I$84),0)</f>
        <v>0</v>
      </c>
      <c r="CG165" s="1313">
        <f t="shared" si="104"/>
        <v>0</v>
      </c>
      <c r="CH165" s="1313">
        <f>CI164*((1+'Instrumentos Financeiros'!$Q$43)^(1/12)-1)</f>
        <v>0</v>
      </c>
      <c r="CI165" s="1313">
        <f t="shared" si="105"/>
        <v>0</v>
      </c>
      <c r="CJ165" s="1313">
        <f>IF(AND(C165&gt;$F$85,'Instrumentos Financeiros'!C165&lt;'Instrumentos Financeiros'!$F$85+'Instrumentos Financeiros'!$F$13+1),PMT(((1+'Instrumentos Financeiros'!$Q$43)^(1/12)-1),$F$13,-$I$85),0)</f>
        <v>0</v>
      </c>
      <c r="CK165" s="1313">
        <f t="shared" si="106"/>
        <v>0</v>
      </c>
      <c r="CL165" s="1313">
        <f>CM164*((1+'Instrumentos Financeiros'!$Q$43)^(1/12)-1)</f>
        <v>0</v>
      </c>
      <c r="CM165" s="1313">
        <f t="shared" si="107"/>
        <v>0</v>
      </c>
      <c r="CN165" s="1313">
        <f>IF(AND(C165&gt;$F$86,'Instrumentos Financeiros'!C165&lt;'Instrumentos Financeiros'!$F$86+'Instrumentos Financeiros'!$F$13+1),PMT(((1+'Instrumentos Financeiros'!$Q$43)^(1/12)-1),$F$13,-$I$86),0)</f>
        <v>0</v>
      </c>
      <c r="CO165" s="1313">
        <f t="shared" si="108"/>
        <v>0</v>
      </c>
      <c r="CP165" s="1313">
        <f>CQ164*((1+'Instrumentos Financeiros'!$Q$43)^(1/12)-1)</f>
        <v>0</v>
      </c>
      <c r="CQ165" s="1313">
        <f t="shared" si="109"/>
        <v>0</v>
      </c>
      <c r="CR165" s="1313">
        <f t="shared" si="78"/>
        <v>91768.589635900134</v>
      </c>
      <c r="CS165" s="1313">
        <f t="shared" si="78"/>
        <v>44988.58850847328</v>
      </c>
      <c r="CT165" s="1313">
        <f t="shared" si="78"/>
        <v>46780.001127426855</v>
      </c>
      <c r="CU165" s="1313">
        <f t="shared" si="78"/>
        <v>11415640.193537224</v>
      </c>
    </row>
    <row r="166" spans="3:99" x14ac:dyDescent="0.35">
      <c r="C166" s="1315">
        <f t="shared" si="79"/>
        <v>73</v>
      </c>
      <c r="D166" s="1312">
        <f>IF(AND(C166&gt;$F$59,'Instrumentos Financeiros'!C166&lt;'Instrumentos Financeiros'!$F$59+'Instrumentos Financeiros'!$F$11+1),PMT(((1+'Instrumentos Financeiros'!$G$43)^(1/12)-1),$F$11,-$I$59),0)</f>
        <v>91768.589635900134</v>
      </c>
      <c r="E166" s="1312">
        <f t="shared" si="76"/>
        <v>45172.222954817516</v>
      </c>
      <c r="F166" s="1312">
        <f>G165*((1+'Instrumentos Financeiros'!$G$43)^(1/12)-1)</f>
        <v>46596.366681082618</v>
      </c>
      <c r="G166" s="1312">
        <f t="shared" si="110"/>
        <v>11370467.970582407</v>
      </c>
      <c r="H166" s="1312">
        <f>IF(AND(C166&gt;$F$60,'Instrumentos Financeiros'!C166&lt;'Instrumentos Financeiros'!$F$60+'Instrumentos Financeiros'!$F$11+1),PMT(((1+'Instrumentos Financeiros'!$G$43)^(1/12)-1),$F$11,-$I$60),0)</f>
        <v>0</v>
      </c>
      <c r="I166" s="1312">
        <f t="shared" ref="I166:I229" si="111">H166-J166</f>
        <v>0</v>
      </c>
      <c r="J166" s="1312">
        <f>K165*((1+'Instrumentos Financeiros'!$G$43)^(1/12)-1)</f>
        <v>0</v>
      </c>
      <c r="K166" s="1312">
        <f t="shared" si="80"/>
        <v>0</v>
      </c>
      <c r="L166" s="1312">
        <f>IF(AND(C166&gt;$F$61,'Instrumentos Financeiros'!C166&lt;'Instrumentos Financeiros'!$F$61+'Instrumentos Financeiros'!$F$11+1),PMT(((1+'Instrumentos Financeiros'!$G$43)^(1/12)-1),$F$11,-$I$61),0)</f>
        <v>0</v>
      </c>
      <c r="M166" s="1312">
        <f t="shared" ref="M166:M229" si="112">L166-N166</f>
        <v>0</v>
      </c>
      <c r="N166" s="1312">
        <f>O165*((1+'Instrumentos Financeiros'!$G$43)^(1/12)-1)</f>
        <v>0</v>
      </c>
      <c r="O166" s="1312">
        <f t="shared" si="81"/>
        <v>0</v>
      </c>
      <c r="P166" s="1312">
        <f>IF(AND(C166&gt;$F$62,'Instrumentos Financeiros'!C166&lt;'Instrumentos Financeiros'!$F$62+'Instrumentos Financeiros'!$F$11+1),PMT(((1+'Instrumentos Financeiros'!$H$43)^(1/12)-1),$F$11,-$I$62),0)</f>
        <v>0</v>
      </c>
      <c r="Q166" s="1312">
        <f t="shared" ref="Q166:Q229" si="113">P166-R166</f>
        <v>0</v>
      </c>
      <c r="R166" s="1312">
        <f>S165*((1+'Instrumentos Financeiros'!$H$43)^(1/12)-1)</f>
        <v>0</v>
      </c>
      <c r="S166" s="1312">
        <f t="shared" si="82"/>
        <v>0</v>
      </c>
      <c r="T166" s="1312">
        <f>IF(AND(C166&gt;$F$63,'Instrumentos Financeiros'!C166&lt;'Instrumentos Financeiros'!$F$63+'Instrumentos Financeiros'!$F$11+1),PMT(((1+'Instrumentos Financeiros'!$H$43)^(1/12)-1),$F$11,-$I$63),0)</f>
        <v>0</v>
      </c>
      <c r="U166" s="1312">
        <f t="shared" ref="U166:U229" si="114">T166-V166</f>
        <v>0</v>
      </c>
      <c r="V166" s="1312">
        <f>W165*((1+'Instrumentos Financeiros'!$H$43)^(1/12)-1)</f>
        <v>0</v>
      </c>
      <c r="W166" s="1312">
        <f t="shared" si="83"/>
        <v>0</v>
      </c>
      <c r="X166" s="1312">
        <f>IF(AND(C166&gt;$F$64,'Instrumentos Financeiros'!C166&lt;'Instrumentos Financeiros'!$F$64+'Instrumentos Financeiros'!$F$11+1),PMT(((1+'Instrumentos Financeiros'!$H$43)^(1/12)-1),$F$11,-$I$64),0)</f>
        <v>0</v>
      </c>
      <c r="Y166" s="1312">
        <f t="shared" ref="Y166:Y229" si="115">X166-Z166</f>
        <v>0</v>
      </c>
      <c r="Z166" s="1312">
        <f>AA165*((1+'Instrumentos Financeiros'!$H$43)^(1/12)-1)</f>
        <v>0</v>
      </c>
      <c r="AA166" s="1312">
        <f t="shared" si="84"/>
        <v>0</v>
      </c>
      <c r="AB166" s="1312">
        <f>IF(AND(C166&gt;$F$65,'Instrumentos Financeiros'!C166&lt;'Instrumentos Financeiros'!$F$65+'Instrumentos Financeiros'!$F$11+1),PMT(((1+'Instrumentos Financeiros'!$H$43)^(1/12)-1),$F$11,-$I$65),0)</f>
        <v>0</v>
      </c>
      <c r="AC166" s="1312">
        <f t="shared" ref="AC166:AC229" si="116">AB166-AD166</f>
        <v>0</v>
      </c>
      <c r="AD166" s="1312">
        <f>AE165*((1+'Instrumentos Financeiros'!$H$43)^(1/12)-1)</f>
        <v>0</v>
      </c>
      <c r="AE166" s="1312">
        <f t="shared" si="85"/>
        <v>0</v>
      </c>
      <c r="AF166" s="1312">
        <f>IF(AND(C166&gt;$F$66,'Instrumentos Financeiros'!C166&lt;'Instrumentos Financeiros'!$F$66+'Instrumentos Financeiros'!$F$11+1),PMT(((1+'Instrumentos Financeiros'!$I$43)^(1/12)-1),$F$11,-$I$66),0)</f>
        <v>0</v>
      </c>
      <c r="AG166" s="1312">
        <f t="shared" ref="AG166:AG229" si="117">AF166-AH166</f>
        <v>0</v>
      </c>
      <c r="AH166" s="1312">
        <f>AI165*((1+'Instrumentos Financeiros'!$I$43)^(1/12)-1)</f>
        <v>0</v>
      </c>
      <c r="AI166" s="1312">
        <f t="shared" si="86"/>
        <v>0</v>
      </c>
      <c r="AJ166" s="1312">
        <f>IF(AND(C166&gt;$F$67,'Instrumentos Financeiros'!C166&lt;'Instrumentos Financeiros'!$F$67+'Instrumentos Financeiros'!$F$11+1),PMT(((1+'Instrumentos Financeiros'!$I$43)^(1/12)-1),$F$11,-$I$67),0)</f>
        <v>0</v>
      </c>
      <c r="AK166" s="1312">
        <f t="shared" ref="AK166:AK229" si="118">AJ166-AL166</f>
        <v>0</v>
      </c>
      <c r="AL166" s="1312">
        <f>AM165*((1+'Instrumentos Financeiros'!$I$43)^(1/12)-1)</f>
        <v>0</v>
      </c>
      <c r="AM166" s="1312">
        <f t="shared" si="87"/>
        <v>0</v>
      </c>
      <c r="AN166" s="1312">
        <f>IF(AND(C166&gt;$F$68,'Instrumentos Financeiros'!C166&lt;'Instrumentos Financeiros'!$F$68+'Instrumentos Financeiros'!$F$11+1),PMT(((1+'Instrumentos Financeiros'!$I$43)^(1/12)-1),$F$11,-$I$68),0)</f>
        <v>0</v>
      </c>
      <c r="AO166" s="1312">
        <f t="shared" ref="AO166:AO229" si="119">AN166-AP166</f>
        <v>0</v>
      </c>
      <c r="AP166" s="1312">
        <f>AQ165*((1+'Instrumentos Financeiros'!$I$43)^(1/12)-1)</f>
        <v>0</v>
      </c>
      <c r="AQ166" s="1312">
        <f t="shared" si="88"/>
        <v>0</v>
      </c>
      <c r="AR166" s="1312">
        <f>IF(AND(C166&gt;$F$69,'Instrumentos Financeiros'!C166&lt;'Instrumentos Financeiros'!$F$69+'Instrumentos Financeiros'!$F$11+1),PMT(((1+'Instrumentos Financeiros'!$I$43)^(1/12)-1),$F$11,-$I$69),0)</f>
        <v>0</v>
      </c>
      <c r="AS166" s="1312">
        <f t="shared" ref="AS166:AS229" si="120">AR166-AT166</f>
        <v>0</v>
      </c>
      <c r="AT166" s="1312">
        <f>AU165*((1+'Instrumentos Financeiros'!$I$43)^(1/12)-1)</f>
        <v>0</v>
      </c>
      <c r="AU166" s="1312">
        <f t="shared" si="89"/>
        <v>0</v>
      </c>
      <c r="AV166" s="1312">
        <f>IF(AND(C166&gt;$F$70,'Instrumentos Financeiros'!C166&lt;'Instrumentos Financeiros'!$F$70+'Instrumentos Financeiros'!$F$11+1),PMT(((1+'Instrumentos Financeiros'!$J$43)^(1/12)-1),$F$11,-$I$70),0)</f>
        <v>0</v>
      </c>
      <c r="AW166" s="1312">
        <f t="shared" ref="AW166:AW229" si="121">AV166-AX166</f>
        <v>0</v>
      </c>
      <c r="AX166" s="1312">
        <f>AY165*((1+'Instrumentos Financeiros'!$J$43)^(1/12)-1)</f>
        <v>0</v>
      </c>
      <c r="AY166" s="1312">
        <f t="shared" si="90"/>
        <v>0</v>
      </c>
      <c r="AZ166" s="1312">
        <f>IF(AND(C166&gt;$F$71,'Instrumentos Financeiros'!C166&lt;'Instrumentos Financeiros'!$F$71+'Instrumentos Financeiros'!$F$11+1),PMT(((1+'Instrumentos Financeiros'!$J$43)^(1/12)-1),$F$11,-$I$71),0)</f>
        <v>0</v>
      </c>
      <c r="BA166" s="1312">
        <f t="shared" ref="BA166:BA229" si="122">AZ166-BB166</f>
        <v>0</v>
      </c>
      <c r="BB166" s="1312">
        <f>BC165*((1+'Instrumentos Financeiros'!$J$43)^(1/12)-1)</f>
        <v>0</v>
      </c>
      <c r="BC166" s="1312">
        <f t="shared" si="91"/>
        <v>0</v>
      </c>
      <c r="BD166" s="1312">
        <f>IF(AND(C166&gt;$F$72,'Instrumentos Financeiros'!C166&lt;'Instrumentos Financeiros'!$F$72+'Instrumentos Financeiros'!$F$11+1),PMT(((1+'Instrumentos Financeiros'!$J$43)^(1/12)-1),$F$11,-'Instrumentos Financeiros'!$G$7*$G$72),0)</f>
        <v>0</v>
      </c>
      <c r="BE166" s="1312">
        <f t="shared" ref="BE166:BE229" si="123">BD166-BF166</f>
        <v>0</v>
      </c>
      <c r="BF166" s="1312">
        <f>BG165*((1+'Instrumentos Financeiros'!$J$43)^(1/12)-1)</f>
        <v>0</v>
      </c>
      <c r="BG166" s="1312">
        <f t="shared" si="92"/>
        <v>0</v>
      </c>
      <c r="BH166" s="1312">
        <f>IF(AND(C166&gt;$F$73,'Instrumentos Financeiros'!C166&lt;'Instrumentos Financeiros'!$F$73+'Instrumentos Financeiros'!$F$11+1),PMT(((1+'Instrumentos Financeiros'!$J$43)^(1/12)-1),$F$11,-$I$73),0)</f>
        <v>0</v>
      </c>
      <c r="BI166" s="1312">
        <f t="shared" ref="BI166:BI229" si="124">BH166-BJ166</f>
        <v>0</v>
      </c>
      <c r="BJ166" s="1312">
        <f>BK165*((1+'Instrumentos Financeiros'!$J$43)^(1/12)-1)</f>
        <v>0</v>
      </c>
      <c r="BK166" s="1312">
        <f t="shared" si="93"/>
        <v>0</v>
      </c>
      <c r="BL166" s="1312">
        <f>IF(AND(C166&gt;$F$77,'Instrumentos Financeiros'!C166&lt;'Instrumentos Financeiros'!$F$77+'Instrumentos Financeiros'!$F$12+1),PMT(((1+'Instrumentos Financeiros'!$K$43)^(1/12)-1),$F$12,-$I$77),0)</f>
        <v>0</v>
      </c>
      <c r="BM166" s="1312">
        <f t="shared" si="94"/>
        <v>0</v>
      </c>
      <c r="BN166" s="1312">
        <f>BO165*((1+'Instrumentos Financeiros'!$K$43)^(1/12)-1)</f>
        <v>0</v>
      </c>
      <c r="BO166" s="1312">
        <f t="shared" si="95"/>
        <v>0</v>
      </c>
      <c r="BP166" s="1312">
        <f>IF(AND(C166&gt;$F$78,'Instrumentos Financeiros'!C166&lt;'Instrumentos Financeiros'!$F$78+'Instrumentos Financeiros'!$F$12+1),PMT(((1+'Instrumentos Financeiros'!$L$43)^(1/12)-1),$F$12,-$I$78),0)</f>
        <v>0</v>
      </c>
      <c r="BQ166" s="1312">
        <f t="shared" si="96"/>
        <v>0</v>
      </c>
      <c r="BR166" s="1312">
        <f>BS165*((1+'Instrumentos Financeiros'!$L$43)^(1/12)-1)</f>
        <v>0</v>
      </c>
      <c r="BS166" s="1312">
        <f t="shared" si="97"/>
        <v>0</v>
      </c>
      <c r="BT166" s="1312">
        <f>IF(AND(C166&gt;$F$79,'Instrumentos Financeiros'!C166&lt;'Instrumentos Financeiros'!$F$79+'Instrumentos Financeiros'!$F$12+1),PMT(((1+'Instrumentos Financeiros'!$L$43)^(1/12)-1),$F$12,-$I$79),0)</f>
        <v>0</v>
      </c>
      <c r="BU166" s="1312">
        <f t="shared" si="98"/>
        <v>0</v>
      </c>
      <c r="BV166" s="1312">
        <f>BW165*((1+'Instrumentos Financeiros'!$L$43)^(1/12)-1)</f>
        <v>0</v>
      </c>
      <c r="BW166" s="1312">
        <f t="shared" si="99"/>
        <v>0</v>
      </c>
      <c r="BX166" s="1312">
        <f>IF(AND(C166&gt;$F$80,'Instrumentos Financeiros'!C166&lt;'Instrumentos Financeiros'!$F$80+'Instrumentos Financeiros'!$F$12+1),PMT(((1+'Instrumentos Financeiros'!$L$43)^(1/12)-1),$F$12,-$I$80),0)</f>
        <v>0</v>
      </c>
      <c r="BY166" s="1312">
        <f t="shared" si="100"/>
        <v>0</v>
      </c>
      <c r="BZ166" s="1312">
        <f>CA165*((1+'Instrumentos Financeiros'!$L$43)^(1/12)-1)</f>
        <v>0</v>
      </c>
      <c r="CA166" s="1312">
        <f t="shared" si="101"/>
        <v>0</v>
      </c>
      <c r="CB166" s="1312">
        <f>IF(AND(C166&gt;$F$83,'Instrumentos Financeiros'!C166&lt;'Instrumentos Financeiros'!$F$83+'Instrumentos Financeiros'!$F$13+1),PMT(((1+'Instrumentos Financeiros'!$P$43)^(1/12)-1),$F$13,-$I$83),0)</f>
        <v>0</v>
      </c>
      <c r="CC166" s="1312">
        <f t="shared" si="102"/>
        <v>0</v>
      </c>
      <c r="CD166" s="1312">
        <f>CE165*((1+'Instrumentos Financeiros'!$P$43)^(1/12)-1)</f>
        <v>0</v>
      </c>
      <c r="CE166" s="1312">
        <f t="shared" si="103"/>
        <v>0</v>
      </c>
      <c r="CF166" s="1312">
        <f>IF(AND(C166&gt;$F$84,'Instrumentos Financeiros'!C166&lt;'Instrumentos Financeiros'!$F$84+'Instrumentos Financeiros'!$F$13+1),PMT(((1+'Instrumentos Financeiros'!$Q$43)^(1/12)-1),$F$13,-$I$84),0)</f>
        <v>0</v>
      </c>
      <c r="CG166" s="1312">
        <f t="shared" si="104"/>
        <v>0</v>
      </c>
      <c r="CH166" s="1312">
        <f>CI165*((1+'Instrumentos Financeiros'!$Q$43)^(1/12)-1)</f>
        <v>0</v>
      </c>
      <c r="CI166" s="1312">
        <f t="shared" si="105"/>
        <v>0</v>
      </c>
      <c r="CJ166" s="1312">
        <f>IF(AND(C166&gt;$F$85,'Instrumentos Financeiros'!C166&lt;'Instrumentos Financeiros'!$F$85+'Instrumentos Financeiros'!$F$13+1),PMT(((1+'Instrumentos Financeiros'!$Q$43)^(1/12)-1),$F$13,-$I$85),0)</f>
        <v>0</v>
      </c>
      <c r="CK166" s="1312">
        <f t="shared" si="106"/>
        <v>0</v>
      </c>
      <c r="CL166" s="1312">
        <f>CM165*((1+'Instrumentos Financeiros'!$Q$43)^(1/12)-1)</f>
        <v>0</v>
      </c>
      <c r="CM166" s="1312">
        <f t="shared" si="107"/>
        <v>0</v>
      </c>
      <c r="CN166" s="1312">
        <f>IF(AND(C166&gt;$F$86,'Instrumentos Financeiros'!C166&lt;'Instrumentos Financeiros'!$F$86+'Instrumentos Financeiros'!$F$13+1),PMT(((1+'Instrumentos Financeiros'!$Q$43)^(1/12)-1),$F$13,-$I$86),0)</f>
        <v>0</v>
      </c>
      <c r="CO166" s="1312">
        <f t="shared" si="108"/>
        <v>0</v>
      </c>
      <c r="CP166" s="1312">
        <f>CQ165*((1+'Instrumentos Financeiros'!$Q$43)^(1/12)-1)</f>
        <v>0</v>
      </c>
      <c r="CQ166" s="1312">
        <f t="shared" si="109"/>
        <v>0</v>
      </c>
      <c r="CR166" s="1312">
        <f t="shared" si="78"/>
        <v>91768.589635900134</v>
      </c>
      <c r="CS166" s="1312">
        <f t="shared" si="78"/>
        <v>45172.222954817516</v>
      </c>
      <c r="CT166" s="1312">
        <f t="shared" si="78"/>
        <v>46596.366681082618</v>
      </c>
      <c r="CU166" s="1312">
        <f t="shared" si="78"/>
        <v>11370467.970582407</v>
      </c>
    </row>
    <row r="167" spans="3:99" x14ac:dyDescent="0.35">
      <c r="C167" s="1315">
        <f t="shared" si="79"/>
        <v>74</v>
      </c>
      <c r="D167" s="1312">
        <f>IF(AND(C167&gt;$F$59,'Instrumentos Financeiros'!C167&lt;'Instrumentos Financeiros'!$F$59+'Instrumentos Financeiros'!$F$11+1),PMT(((1+'Instrumentos Financeiros'!$G$43)^(1/12)-1),$F$11,-$I$59),0)</f>
        <v>91768.589635900134</v>
      </c>
      <c r="E167" s="1312">
        <f t="shared" si="76"/>
        <v>45356.606960350022</v>
      </c>
      <c r="F167" s="1312">
        <f>G166*((1+'Instrumentos Financeiros'!$G$43)^(1/12)-1)</f>
        <v>46411.982675550113</v>
      </c>
      <c r="G167" s="1312">
        <f t="shared" si="110"/>
        <v>11325111.363622056</v>
      </c>
      <c r="H167" s="1312">
        <f>IF(AND(C167&gt;$F$60,'Instrumentos Financeiros'!C167&lt;'Instrumentos Financeiros'!$F$60+'Instrumentos Financeiros'!$F$11+1),PMT(((1+'Instrumentos Financeiros'!$G$43)^(1/12)-1),$F$11,-$I$60),0)</f>
        <v>0</v>
      </c>
      <c r="I167" s="1312">
        <f t="shared" si="111"/>
        <v>0</v>
      </c>
      <c r="J167" s="1312">
        <f>K166*((1+'Instrumentos Financeiros'!$G$43)^(1/12)-1)</f>
        <v>0</v>
      </c>
      <c r="K167" s="1312">
        <f t="shared" si="80"/>
        <v>0</v>
      </c>
      <c r="L167" s="1312">
        <f>IF(AND(C167&gt;$F$61,'Instrumentos Financeiros'!C167&lt;'Instrumentos Financeiros'!$F$61+'Instrumentos Financeiros'!$F$11+1),PMT(((1+'Instrumentos Financeiros'!$G$43)^(1/12)-1),$F$11,-$I$61),0)</f>
        <v>0</v>
      </c>
      <c r="M167" s="1312">
        <f t="shared" si="112"/>
        <v>0</v>
      </c>
      <c r="N167" s="1312">
        <f>O166*((1+'Instrumentos Financeiros'!$G$43)^(1/12)-1)</f>
        <v>0</v>
      </c>
      <c r="O167" s="1312">
        <f t="shared" si="81"/>
        <v>0</v>
      </c>
      <c r="P167" s="1312">
        <f>IF(AND(C167&gt;$F$62,'Instrumentos Financeiros'!C167&lt;'Instrumentos Financeiros'!$F$62+'Instrumentos Financeiros'!$F$11+1),PMT(((1+'Instrumentos Financeiros'!$H$43)^(1/12)-1),$F$11,-$I$62),0)</f>
        <v>0</v>
      </c>
      <c r="Q167" s="1312">
        <f t="shared" si="113"/>
        <v>0</v>
      </c>
      <c r="R167" s="1312">
        <f>S166*((1+'Instrumentos Financeiros'!$H$43)^(1/12)-1)</f>
        <v>0</v>
      </c>
      <c r="S167" s="1312">
        <f t="shared" si="82"/>
        <v>0</v>
      </c>
      <c r="T167" s="1312">
        <f>IF(AND(C167&gt;$F$63,'Instrumentos Financeiros'!C167&lt;'Instrumentos Financeiros'!$F$63+'Instrumentos Financeiros'!$F$11+1),PMT(((1+'Instrumentos Financeiros'!$H$43)^(1/12)-1),$F$11,-$I$63),0)</f>
        <v>0</v>
      </c>
      <c r="U167" s="1312">
        <f t="shared" si="114"/>
        <v>0</v>
      </c>
      <c r="V167" s="1312">
        <f>W166*((1+'Instrumentos Financeiros'!$H$43)^(1/12)-1)</f>
        <v>0</v>
      </c>
      <c r="W167" s="1312">
        <f t="shared" si="83"/>
        <v>0</v>
      </c>
      <c r="X167" s="1312">
        <f>IF(AND(C167&gt;$F$64,'Instrumentos Financeiros'!C167&lt;'Instrumentos Financeiros'!$F$64+'Instrumentos Financeiros'!$F$11+1),PMT(((1+'Instrumentos Financeiros'!$H$43)^(1/12)-1),$F$11,-$I$64),0)</f>
        <v>0</v>
      </c>
      <c r="Y167" s="1312">
        <f t="shared" si="115"/>
        <v>0</v>
      </c>
      <c r="Z167" s="1312">
        <f>AA166*((1+'Instrumentos Financeiros'!$H$43)^(1/12)-1)</f>
        <v>0</v>
      </c>
      <c r="AA167" s="1312">
        <f t="shared" si="84"/>
        <v>0</v>
      </c>
      <c r="AB167" s="1312">
        <f>IF(AND(C167&gt;$F$65,'Instrumentos Financeiros'!C167&lt;'Instrumentos Financeiros'!$F$65+'Instrumentos Financeiros'!$F$11+1),PMT(((1+'Instrumentos Financeiros'!$H$43)^(1/12)-1),$F$11,-$I$65),0)</f>
        <v>0</v>
      </c>
      <c r="AC167" s="1312">
        <f t="shared" si="116"/>
        <v>0</v>
      </c>
      <c r="AD167" s="1312">
        <f>AE166*((1+'Instrumentos Financeiros'!$H$43)^(1/12)-1)</f>
        <v>0</v>
      </c>
      <c r="AE167" s="1312">
        <f t="shared" si="85"/>
        <v>0</v>
      </c>
      <c r="AF167" s="1312">
        <f>IF(AND(C167&gt;$F$66,'Instrumentos Financeiros'!C167&lt;'Instrumentos Financeiros'!$F$66+'Instrumentos Financeiros'!$F$11+1),PMT(((1+'Instrumentos Financeiros'!$I$43)^(1/12)-1),$F$11,-$I$66),0)</f>
        <v>0</v>
      </c>
      <c r="AG167" s="1312">
        <f t="shared" si="117"/>
        <v>0</v>
      </c>
      <c r="AH167" s="1312">
        <f>AI166*((1+'Instrumentos Financeiros'!$I$43)^(1/12)-1)</f>
        <v>0</v>
      </c>
      <c r="AI167" s="1312">
        <f t="shared" si="86"/>
        <v>0</v>
      </c>
      <c r="AJ167" s="1312">
        <f>IF(AND(C167&gt;$F$67,'Instrumentos Financeiros'!C167&lt;'Instrumentos Financeiros'!$F$67+'Instrumentos Financeiros'!$F$11+1),PMT(((1+'Instrumentos Financeiros'!$I$43)^(1/12)-1),$F$11,-$I$67),0)</f>
        <v>0</v>
      </c>
      <c r="AK167" s="1312">
        <f t="shared" si="118"/>
        <v>0</v>
      </c>
      <c r="AL167" s="1312">
        <f>AM166*((1+'Instrumentos Financeiros'!$I$43)^(1/12)-1)</f>
        <v>0</v>
      </c>
      <c r="AM167" s="1312">
        <f t="shared" si="87"/>
        <v>0</v>
      </c>
      <c r="AN167" s="1312">
        <f>IF(AND(C167&gt;$F$68,'Instrumentos Financeiros'!C167&lt;'Instrumentos Financeiros'!$F$68+'Instrumentos Financeiros'!$F$11+1),PMT(((1+'Instrumentos Financeiros'!$I$43)^(1/12)-1),$F$11,-$I$68),0)</f>
        <v>0</v>
      </c>
      <c r="AO167" s="1312">
        <f t="shared" si="119"/>
        <v>0</v>
      </c>
      <c r="AP167" s="1312">
        <f>AQ166*((1+'Instrumentos Financeiros'!$I$43)^(1/12)-1)</f>
        <v>0</v>
      </c>
      <c r="AQ167" s="1312">
        <f t="shared" si="88"/>
        <v>0</v>
      </c>
      <c r="AR167" s="1312">
        <f>IF(AND(C167&gt;$F$69,'Instrumentos Financeiros'!C167&lt;'Instrumentos Financeiros'!$F$69+'Instrumentos Financeiros'!$F$11+1),PMT(((1+'Instrumentos Financeiros'!$I$43)^(1/12)-1),$F$11,-$I$69),0)</f>
        <v>0</v>
      </c>
      <c r="AS167" s="1312">
        <f t="shared" si="120"/>
        <v>0</v>
      </c>
      <c r="AT167" s="1312">
        <f>AU166*((1+'Instrumentos Financeiros'!$I$43)^(1/12)-1)</f>
        <v>0</v>
      </c>
      <c r="AU167" s="1312">
        <f t="shared" si="89"/>
        <v>0</v>
      </c>
      <c r="AV167" s="1312">
        <f>IF(AND(C167&gt;$F$70,'Instrumentos Financeiros'!C167&lt;'Instrumentos Financeiros'!$F$70+'Instrumentos Financeiros'!$F$11+1),PMT(((1+'Instrumentos Financeiros'!$J$43)^(1/12)-1),$F$11,-$I$70),0)</f>
        <v>0</v>
      </c>
      <c r="AW167" s="1312">
        <f t="shared" si="121"/>
        <v>0</v>
      </c>
      <c r="AX167" s="1312">
        <f>AY166*((1+'Instrumentos Financeiros'!$J$43)^(1/12)-1)</f>
        <v>0</v>
      </c>
      <c r="AY167" s="1312">
        <f t="shared" si="90"/>
        <v>0</v>
      </c>
      <c r="AZ167" s="1312">
        <f>IF(AND(C167&gt;$F$71,'Instrumentos Financeiros'!C167&lt;'Instrumentos Financeiros'!$F$71+'Instrumentos Financeiros'!$F$11+1),PMT(((1+'Instrumentos Financeiros'!$J$43)^(1/12)-1),$F$11,-$I$71),0)</f>
        <v>0</v>
      </c>
      <c r="BA167" s="1312">
        <f t="shared" si="122"/>
        <v>0</v>
      </c>
      <c r="BB167" s="1312">
        <f>BC166*((1+'Instrumentos Financeiros'!$J$43)^(1/12)-1)</f>
        <v>0</v>
      </c>
      <c r="BC167" s="1312">
        <f t="shared" si="91"/>
        <v>0</v>
      </c>
      <c r="BD167" s="1312">
        <f>IF(AND(C167&gt;$F$72,'Instrumentos Financeiros'!C167&lt;'Instrumentos Financeiros'!$F$72+'Instrumentos Financeiros'!$F$11+1),PMT(((1+'Instrumentos Financeiros'!$J$43)^(1/12)-1),$F$11,-'Instrumentos Financeiros'!$G$7*$G$72),0)</f>
        <v>0</v>
      </c>
      <c r="BE167" s="1312">
        <f t="shared" si="123"/>
        <v>0</v>
      </c>
      <c r="BF167" s="1312">
        <f>BG166*((1+'Instrumentos Financeiros'!$J$43)^(1/12)-1)</f>
        <v>0</v>
      </c>
      <c r="BG167" s="1312">
        <f t="shared" si="92"/>
        <v>0</v>
      </c>
      <c r="BH167" s="1312">
        <f>IF(AND(C167&gt;$F$73,'Instrumentos Financeiros'!C167&lt;'Instrumentos Financeiros'!$F$73+'Instrumentos Financeiros'!$F$11+1),PMT(((1+'Instrumentos Financeiros'!$J$43)^(1/12)-1),$F$11,-$I$73),0)</f>
        <v>0</v>
      </c>
      <c r="BI167" s="1312">
        <f t="shared" si="124"/>
        <v>0</v>
      </c>
      <c r="BJ167" s="1312">
        <f>BK166*((1+'Instrumentos Financeiros'!$J$43)^(1/12)-1)</f>
        <v>0</v>
      </c>
      <c r="BK167" s="1312">
        <f t="shared" si="93"/>
        <v>0</v>
      </c>
      <c r="BL167" s="1312">
        <f>IF(AND(C167&gt;$F$77,'Instrumentos Financeiros'!C167&lt;'Instrumentos Financeiros'!$F$77+'Instrumentos Financeiros'!$F$12+1),PMT(((1+'Instrumentos Financeiros'!$K$43)^(1/12)-1),$F$12,-$I$77),0)</f>
        <v>0</v>
      </c>
      <c r="BM167" s="1312">
        <f t="shared" si="94"/>
        <v>0</v>
      </c>
      <c r="BN167" s="1312">
        <f>BO166*((1+'Instrumentos Financeiros'!$K$43)^(1/12)-1)</f>
        <v>0</v>
      </c>
      <c r="BO167" s="1312">
        <f t="shared" si="95"/>
        <v>0</v>
      </c>
      <c r="BP167" s="1312">
        <f>IF(AND(C167&gt;$F$78,'Instrumentos Financeiros'!C167&lt;'Instrumentos Financeiros'!$F$78+'Instrumentos Financeiros'!$F$12+1),PMT(((1+'Instrumentos Financeiros'!$L$43)^(1/12)-1),$F$12,-$I$78),0)</f>
        <v>0</v>
      </c>
      <c r="BQ167" s="1312">
        <f t="shared" si="96"/>
        <v>0</v>
      </c>
      <c r="BR167" s="1312">
        <f>BS166*((1+'Instrumentos Financeiros'!$L$43)^(1/12)-1)</f>
        <v>0</v>
      </c>
      <c r="BS167" s="1312">
        <f t="shared" si="97"/>
        <v>0</v>
      </c>
      <c r="BT167" s="1312">
        <f>IF(AND(C167&gt;$F$79,'Instrumentos Financeiros'!C167&lt;'Instrumentos Financeiros'!$F$79+'Instrumentos Financeiros'!$F$12+1),PMT(((1+'Instrumentos Financeiros'!$L$43)^(1/12)-1),$F$12,-$I$79),0)</f>
        <v>0</v>
      </c>
      <c r="BU167" s="1312">
        <f t="shared" si="98"/>
        <v>0</v>
      </c>
      <c r="BV167" s="1312">
        <f>BW166*((1+'Instrumentos Financeiros'!$L$43)^(1/12)-1)</f>
        <v>0</v>
      </c>
      <c r="BW167" s="1312">
        <f t="shared" si="99"/>
        <v>0</v>
      </c>
      <c r="BX167" s="1312">
        <f>IF(AND(C167&gt;$F$80,'Instrumentos Financeiros'!C167&lt;'Instrumentos Financeiros'!$F$80+'Instrumentos Financeiros'!$F$12+1),PMT(((1+'Instrumentos Financeiros'!$L$43)^(1/12)-1),$F$12,-$I$80),0)</f>
        <v>0</v>
      </c>
      <c r="BY167" s="1312">
        <f t="shared" si="100"/>
        <v>0</v>
      </c>
      <c r="BZ167" s="1312">
        <f>CA166*((1+'Instrumentos Financeiros'!$L$43)^(1/12)-1)</f>
        <v>0</v>
      </c>
      <c r="CA167" s="1312">
        <f t="shared" si="101"/>
        <v>0</v>
      </c>
      <c r="CB167" s="1312">
        <f>IF(AND(C167&gt;$F$83,'Instrumentos Financeiros'!C167&lt;'Instrumentos Financeiros'!$F$83+'Instrumentos Financeiros'!$F$13+1),PMT(((1+'Instrumentos Financeiros'!$P$43)^(1/12)-1),$F$13,-$I$83),0)</f>
        <v>0</v>
      </c>
      <c r="CC167" s="1312">
        <f t="shared" si="102"/>
        <v>0</v>
      </c>
      <c r="CD167" s="1312">
        <f>CE166*((1+'Instrumentos Financeiros'!$P$43)^(1/12)-1)</f>
        <v>0</v>
      </c>
      <c r="CE167" s="1312">
        <f t="shared" si="103"/>
        <v>0</v>
      </c>
      <c r="CF167" s="1312">
        <f>IF(AND(C167&gt;$F$84,'Instrumentos Financeiros'!C167&lt;'Instrumentos Financeiros'!$F$84+'Instrumentos Financeiros'!$F$13+1),PMT(((1+'Instrumentos Financeiros'!$Q$43)^(1/12)-1),$F$13,-$I$84),0)</f>
        <v>0</v>
      </c>
      <c r="CG167" s="1312">
        <f t="shared" si="104"/>
        <v>0</v>
      </c>
      <c r="CH167" s="1312">
        <f>CI166*((1+'Instrumentos Financeiros'!$Q$43)^(1/12)-1)</f>
        <v>0</v>
      </c>
      <c r="CI167" s="1312">
        <f t="shared" si="105"/>
        <v>0</v>
      </c>
      <c r="CJ167" s="1312">
        <f>IF(AND(C167&gt;$F$85,'Instrumentos Financeiros'!C167&lt;'Instrumentos Financeiros'!$F$85+'Instrumentos Financeiros'!$F$13+1),PMT(((1+'Instrumentos Financeiros'!$Q$43)^(1/12)-1),$F$13,-$I$85),0)</f>
        <v>0</v>
      </c>
      <c r="CK167" s="1312">
        <f t="shared" si="106"/>
        <v>0</v>
      </c>
      <c r="CL167" s="1312">
        <f>CM166*((1+'Instrumentos Financeiros'!$Q$43)^(1/12)-1)</f>
        <v>0</v>
      </c>
      <c r="CM167" s="1312">
        <f t="shared" si="107"/>
        <v>0</v>
      </c>
      <c r="CN167" s="1312">
        <f>IF(AND(C167&gt;$F$86,'Instrumentos Financeiros'!C167&lt;'Instrumentos Financeiros'!$F$86+'Instrumentos Financeiros'!$F$13+1),PMT(((1+'Instrumentos Financeiros'!$Q$43)^(1/12)-1),$F$13,-$I$86),0)</f>
        <v>0</v>
      </c>
      <c r="CO167" s="1312">
        <f t="shared" si="108"/>
        <v>0</v>
      </c>
      <c r="CP167" s="1312">
        <f>CQ166*((1+'Instrumentos Financeiros'!$Q$43)^(1/12)-1)</f>
        <v>0</v>
      </c>
      <c r="CQ167" s="1312">
        <f t="shared" si="109"/>
        <v>0</v>
      </c>
      <c r="CR167" s="1312">
        <f t="shared" si="78"/>
        <v>91768.589635900134</v>
      </c>
      <c r="CS167" s="1312">
        <f t="shared" si="78"/>
        <v>45356.606960350022</v>
      </c>
      <c r="CT167" s="1312">
        <f t="shared" si="78"/>
        <v>46411.982675550113</v>
      </c>
      <c r="CU167" s="1312">
        <f t="shared" si="78"/>
        <v>11325111.363622056</v>
      </c>
    </row>
    <row r="168" spans="3:99" x14ac:dyDescent="0.35">
      <c r="C168" s="1315">
        <f t="shared" si="79"/>
        <v>75</v>
      </c>
      <c r="D168" s="1312">
        <f>IF(AND(C168&gt;$F$59,'Instrumentos Financeiros'!C168&lt;'Instrumentos Financeiros'!$F$59+'Instrumentos Financeiros'!$F$11+1),PMT(((1+'Instrumentos Financeiros'!$G$43)^(1/12)-1),$F$11,-$I$59),0)</f>
        <v>91768.589635900134</v>
      </c>
      <c r="E168" s="1312">
        <f t="shared" si="76"/>
        <v>45541.74358462193</v>
      </c>
      <c r="F168" s="1312">
        <f>G167*((1+'Instrumentos Financeiros'!$G$43)^(1/12)-1)</f>
        <v>46226.846051278204</v>
      </c>
      <c r="G168" s="1312">
        <f t="shared" si="110"/>
        <v>11279569.620037435</v>
      </c>
      <c r="H168" s="1312">
        <f>IF(AND(C168&gt;$F$60,'Instrumentos Financeiros'!C168&lt;'Instrumentos Financeiros'!$F$60+'Instrumentos Financeiros'!$F$11+1),PMT(((1+'Instrumentos Financeiros'!$G$43)^(1/12)-1),$F$11,-$I$60),0)</f>
        <v>0</v>
      </c>
      <c r="I168" s="1312">
        <f t="shared" si="111"/>
        <v>0</v>
      </c>
      <c r="J168" s="1312">
        <f>K167*((1+'Instrumentos Financeiros'!$G$43)^(1/12)-1)</f>
        <v>0</v>
      </c>
      <c r="K168" s="1312">
        <f t="shared" si="80"/>
        <v>0</v>
      </c>
      <c r="L168" s="1312">
        <f>IF(AND(C168&gt;$F$61,'Instrumentos Financeiros'!C168&lt;'Instrumentos Financeiros'!$F$61+'Instrumentos Financeiros'!$F$11+1),PMT(((1+'Instrumentos Financeiros'!$G$43)^(1/12)-1),$F$11,-$I$61),0)</f>
        <v>0</v>
      </c>
      <c r="M168" s="1312">
        <f t="shared" si="112"/>
        <v>0</v>
      </c>
      <c r="N168" s="1312">
        <f>O167*((1+'Instrumentos Financeiros'!$G$43)^(1/12)-1)</f>
        <v>0</v>
      </c>
      <c r="O168" s="1312">
        <f t="shared" si="81"/>
        <v>0</v>
      </c>
      <c r="P168" s="1312">
        <f>IF(AND(C168&gt;$F$62,'Instrumentos Financeiros'!C168&lt;'Instrumentos Financeiros'!$F$62+'Instrumentos Financeiros'!$F$11+1),PMT(((1+'Instrumentos Financeiros'!$H$43)^(1/12)-1),$F$11,-$I$62),0)</f>
        <v>0</v>
      </c>
      <c r="Q168" s="1312">
        <f t="shared" si="113"/>
        <v>0</v>
      </c>
      <c r="R168" s="1312">
        <f>S167*((1+'Instrumentos Financeiros'!$H$43)^(1/12)-1)</f>
        <v>0</v>
      </c>
      <c r="S168" s="1312">
        <f t="shared" si="82"/>
        <v>0</v>
      </c>
      <c r="T168" s="1312">
        <f>IF(AND(C168&gt;$F$63,'Instrumentos Financeiros'!C168&lt;'Instrumentos Financeiros'!$F$63+'Instrumentos Financeiros'!$F$11+1),PMT(((1+'Instrumentos Financeiros'!$H$43)^(1/12)-1),$F$11,-$I$63),0)</f>
        <v>0</v>
      </c>
      <c r="U168" s="1312">
        <f t="shared" si="114"/>
        <v>0</v>
      </c>
      <c r="V168" s="1312">
        <f>W167*((1+'Instrumentos Financeiros'!$H$43)^(1/12)-1)</f>
        <v>0</v>
      </c>
      <c r="W168" s="1312">
        <f t="shared" si="83"/>
        <v>0</v>
      </c>
      <c r="X168" s="1312">
        <f>IF(AND(C168&gt;$F$64,'Instrumentos Financeiros'!C168&lt;'Instrumentos Financeiros'!$F$64+'Instrumentos Financeiros'!$F$11+1),PMT(((1+'Instrumentos Financeiros'!$H$43)^(1/12)-1),$F$11,-$I$64),0)</f>
        <v>0</v>
      </c>
      <c r="Y168" s="1312">
        <f t="shared" si="115"/>
        <v>0</v>
      </c>
      <c r="Z168" s="1312">
        <f>AA167*((1+'Instrumentos Financeiros'!$H$43)^(1/12)-1)</f>
        <v>0</v>
      </c>
      <c r="AA168" s="1312">
        <f t="shared" si="84"/>
        <v>0</v>
      </c>
      <c r="AB168" s="1312">
        <f>IF(AND(C168&gt;$F$65,'Instrumentos Financeiros'!C168&lt;'Instrumentos Financeiros'!$F$65+'Instrumentos Financeiros'!$F$11+1),PMT(((1+'Instrumentos Financeiros'!$H$43)^(1/12)-1),$F$11,-$I$65),0)</f>
        <v>0</v>
      </c>
      <c r="AC168" s="1312">
        <f t="shared" si="116"/>
        <v>0</v>
      </c>
      <c r="AD168" s="1312">
        <f>AE167*((1+'Instrumentos Financeiros'!$H$43)^(1/12)-1)</f>
        <v>0</v>
      </c>
      <c r="AE168" s="1312">
        <f t="shared" si="85"/>
        <v>0</v>
      </c>
      <c r="AF168" s="1312">
        <f>IF(AND(C168&gt;$F$66,'Instrumentos Financeiros'!C168&lt;'Instrumentos Financeiros'!$F$66+'Instrumentos Financeiros'!$F$11+1),PMT(((1+'Instrumentos Financeiros'!$I$43)^(1/12)-1),$F$11,-$I$66),0)</f>
        <v>0</v>
      </c>
      <c r="AG168" s="1312">
        <f t="shared" si="117"/>
        <v>0</v>
      </c>
      <c r="AH168" s="1312">
        <f>AI167*((1+'Instrumentos Financeiros'!$I$43)^(1/12)-1)</f>
        <v>0</v>
      </c>
      <c r="AI168" s="1312">
        <f t="shared" si="86"/>
        <v>0</v>
      </c>
      <c r="AJ168" s="1312">
        <f>IF(AND(C168&gt;$F$67,'Instrumentos Financeiros'!C168&lt;'Instrumentos Financeiros'!$F$67+'Instrumentos Financeiros'!$F$11+1),PMT(((1+'Instrumentos Financeiros'!$I$43)^(1/12)-1),$F$11,-$I$67),0)</f>
        <v>0</v>
      </c>
      <c r="AK168" s="1312">
        <f t="shared" si="118"/>
        <v>0</v>
      </c>
      <c r="AL168" s="1312">
        <f>AM167*((1+'Instrumentos Financeiros'!$I$43)^(1/12)-1)</f>
        <v>0</v>
      </c>
      <c r="AM168" s="1312">
        <f t="shared" si="87"/>
        <v>0</v>
      </c>
      <c r="AN168" s="1312">
        <f>IF(AND(C168&gt;$F$68,'Instrumentos Financeiros'!C168&lt;'Instrumentos Financeiros'!$F$68+'Instrumentos Financeiros'!$F$11+1),PMT(((1+'Instrumentos Financeiros'!$I$43)^(1/12)-1),$F$11,-$I$68),0)</f>
        <v>0</v>
      </c>
      <c r="AO168" s="1312">
        <f t="shared" si="119"/>
        <v>0</v>
      </c>
      <c r="AP168" s="1312">
        <f>AQ167*((1+'Instrumentos Financeiros'!$I$43)^(1/12)-1)</f>
        <v>0</v>
      </c>
      <c r="AQ168" s="1312">
        <f t="shared" si="88"/>
        <v>0</v>
      </c>
      <c r="AR168" s="1312">
        <f>IF(AND(C168&gt;$F$69,'Instrumentos Financeiros'!C168&lt;'Instrumentos Financeiros'!$F$69+'Instrumentos Financeiros'!$F$11+1),PMT(((1+'Instrumentos Financeiros'!$I$43)^(1/12)-1),$F$11,-$I$69),0)</f>
        <v>0</v>
      </c>
      <c r="AS168" s="1312">
        <f t="shared" si="120"/>
        <v>0</v>
      </c>
      <c r="AT168" s="1312">
        <f>AU167*((1+'Instrumentos Financeiros'!$I$43)^(1/12)-1)</f>
        <v>0</v>
      </c>
      <c r="AU168" s="1312">
        <f t="shared" si="89"/>
        <v>0</v>
      </c>
      <c r="AV168" s="1312">
        <f>IF(AND(C168&gt;$F$70,'Instrumentos Financeiros'!C168&lt;'Instrumentos Financeiros'!$F$70+'Instrumentos Financeiros'!$F$11+1),PMT(((1+'Instrumentos Financeiros'!$J$43)^(1/12)-1),$F$11,-$I$70),0)</f>
        <v>0</v>
      </c>
      <c r="AW168" s="1312">
        <f t="shared" si="121"/>
        <v>0</v>
      </c>
      <c r="AX168" s="1312">
        <f>AY167*((1+'Instrumentos Financeiros'!$J$43)^(1/12)-1)</f>
        <v>0</v>
      </c>
      <c r="AY168" s="1312">
        <f t="shared" si="90"/>
        <v>0</v>
      </c>
      <c r="AZ168" s="1312">
        <f>IF(AND(C168&gt;$F$71,'Instrumentos Financeiros'!C168&lt;'Instrumentos Financeiros'!$F$71+'Instrumentos Financeiros'!$F$11+1),PMT(((1+'Instrumentos Financeiros'!$J$43)^(1/12)-1),$F$11,-$I$71),0)</f>
        <v>0</v>
      </c>
      <c r="BA168" s="1312">
        <f t="shared" si="122"/>
        <v>0</v>
      </c>
      <c r="BB168" s="1312">
        <f>BC167*((1+'Instrumentos Financeiros'!$J$43)^(1/12)-1)</f>
        <v>0</v>
      </c>
      <c r="BC168" s="1312">
        <f t="shared" si="91"/>
        <v>0</v>
      </c>
      <c r="BD168" s="1312">
        <f>IF(AND(C168&gt;$F$72,'Instrumentos Financeiros'!C168&lt;'Instrumentos Financeiros'!$F$72+'Instrumentos Financeiros'!$F$11+1),PMT(((1+'Instrumentos Financeiros'!$J$43)^(1/12)-1),$F$11,-'Instrumentos Financeiros'!$G$7*$G$72),0)</f>
        <v>0</v>
      </c>
      <c r="BE168" s="1312">
        <f t="shared" si="123"/>
        <v>0</v>
      </c>
      <c r="BF168" s="1312">
        <f>BG167*((1+'Instrumentos Financeiros'!$J$43)^(1/12)-1)</f>
        <v>0</v>
      </c>
      <c r="BG168" s="1312">
        <f t="shared" si="92"/>
        <v>0</v>
      </c>
      <c r="BH168" s="1312">
        <f>IF(AND(C168&gt;$F$73,'Instrumentos Financeiros'!C168&lt;'Instrumentos Financeiros'!$F$73+'Instrumentos Financeiros'!$F$11+1),PMT(((1+'Instrumentos Financeiros'!$J$43)^(1/12)-1),$F$11,-$I$73),0)</f>
        <v>0</v>
      </c>
      <c r="BI168" s="1312">
        <f t="shared" si="124"/>
        <v>0</v>
      </c>
      <c r="BJ168" s="1312">
        <f>BK167*((1+'Instrumentos Financeiros'!$J$43)^(1/12)-1)</f>
        <v>0</v>
      </c>
      <c r="BK168" s="1312">
        <f t="shared" si="93"/>
        <v>0</v>
      </c>
      <c r="BL168" s="1312">
        <f>IF(AND(C168&gt;$F$77,'Instrumentos Financeiros'!C168&lt;'Instrumentos Financeiros'!$F$77+'Instrumentos Financeiros'!$F$12+1),PMT(((1+'Instrumentos Financeiros'!$K$43)^(1/12)-1),$F$12,-$I$77),0)</f>
        <v>0</v>
      </c>
      <c r="BM168" s="1312">
        <f t="shared" si="94"/>
        <v>0</v>
      </c>
      <c r="BN168" s="1312">
        <f>BO167*((1+'Instrumentos Financeiros'!$K$43)^(1/12)-1)</f>
        <v>0</v>
      </c>
      <c r="BO168" s="1312">
        <f t="shared" si="95"/>
        <v>0</v>
      </c>
      <c r="BP168" s="1312">
        <f>IF(AND(C168&gt;$F$78,'Instrumentos Financeiros'!C168&lt;'Instrumentos Financeiros'!$F$78+'Instrumentos Financeiros'!$F$12+1),PMT(((1+'Instrumentos Financeiros'!$L$43)^(1/12)-1),$F$12,-$I$78),0)</f>
        <v>0</v>
      </c>
      <c r="BQ168" s="1312">
        <f t="shared" si="96"/>
        <v>0</v>
      </c>
      <c r="BR168" s="1312">
        <f>BS167*((1+'Instrumentos Financeiros'!$L$43)^(1/12)-1)</f>
        <v>0</v>
      </c>
      <c r="BS168" s="1312">
        <f t="shared" si="97"/>
        <v>0</v>
      </c>
      <c r="BT168" s="1312">
        <f>IF(AND(C168&gt;$F$79,'Instrumentos Financeiros'!C168&lt;'Instrumentos Financeiros'!$F$79+'Instrumentos Financeiros'!$F$12+1),PMT(((1+'Instrumentos Financeiros'!$L$43)^(1/12)-1),$F$12,-$I$79),0)</f>
        <v>0</v>
      </c>
      <c r="BU168" s="1312">
        <f t="shared" si="98"/>
        <v>0</v>
      </c>
      <c r="BV168" s="1312">
        <f>BW167*((1+'Instrumentos Financeiros'!$L$43)^(1/12)-1)</f>
        <v>0</v>
      </c>
      <c r="BW168" s="1312">
        <f t="shared" si="99"/>
        <v>0</v>
      </c>
      <c r="BX168" s="1312">
        <f>IF(AND(C168&gt;$F$80,'Instrumentos Financeiros'!C168&lt;'Instrumentos Financeiros'!$F$80+'Instrumentos Financeiros'!$F$12+1),PMT(((1+'Instrumentos Financeiros'!$L$43)^(1/12)-1),$F$12,-$I$80),0)</f>
        <v>0</v>
      </c>
      <c r="BY168" s="1312">
        <f t="shared" si="100"/>
        <v>0</v>
      </c>
      <c r="BZ168" s="1312">
        <f>CA167*((1+'Instrumentos Financeiros'!$L$43)^(1/12)-1)</f>
        <v>0</v>
      </c>
      <c r="CA168" s="1312">
        <f t="shared" si="101"/>
        <v>0</v>
      </c>
      <c r="CB168" s="1312">
        <f>IF(AND(C168&gt;$F$83,'Instrumentos Financeiros'!C168&lt;'Instrumentos Financeiros'!$F$83+'Instrumentos Financeiros'!$F$13+1),PMT(((1+'Instrumentos Financeiros'!$P$43)^(1/12)-1),$F$13,-$I$83),0)</f>
        <v>0</v>
      </c>
      <c r="CC168" s="1312">
        <f t="shared" si="102"/>
        <v>0</v>
      </c>
      <c r="CD168" s="1312">
        <f>CE167*((1+'Instrumentos Financeiros'!$P$43)^(1/12)-1)</f>
        <v>0</v>
      </c>
      <c r="CE168" s="1312">
        <f t="shared" si="103"/>
        <v>0</v>
      </c>
      <c r="CF168" s="1312">
        <f>IF(AND(C168&gt;$F$84,'Instrumentos Financeiros'!C168&lt;'Instrumentos Financeiros'!$F$84+'Instrumentos Financeiros'!$F$13+1),PMT(((1+'Instrumentos Financeiros'!$Q$43)^(1/12)-1),$F$13,-$I$84),0)</f>
        <v>0</v>
      </c>
      <c r="CG168" s="1312">
        <f t="shared" si="104"/>
        <v>0</v>
      </c>
      <c r="CH168" s="1312">
        <f>CI167*((1+'Instrumentos Financeiros'!$Q$43)^(1/12)-1)</f>
        <v>0</v>
      </c>
      <c r="CI168" s="1312">
        <f t="shared" si="105"/>
        <v>0</v>
      </c>
      <c r="CJ168" s="1312">
        <f>IF(AND(C168&gt;$F$85,'Instrumentos Financeiros'!C168&lt;'Instrumentos Financeiros'!$F$85+'Instrumentos Financeiros'!$F$13+1),PMT(((1+'Instrumentos Financeiros'!$Q$43)^(1/12)-1),$F$13,-$I$85),0)</f>
        <v>0</v>
      </c>
      <c r="CK168" s="1312">
        <f t="shared" si="106"/>
        <v>0</v>
      </c>
      <c r="CL168" s="1312">
        <f>CM167*((1+'Instrumentos Financeiros'!$Q$43)^(1/12)-1)</f>
        <v>0</v>
      </c>
      <c r="CM168" s="1312">
        <f t="shared" si="107"/>
        <v>0</v>
      </c>
      <c r="CN168" s="1312">
        <f>IF(AND(C168&gt;$F$86,'Instrumentos Financeiros'!C168&lt;'Instrumentos Financeiros'!$F$86+'Instrumentos Financeiros'!$F$13+1),PMT(((1+'Instrumentos Financeiros'!$Q$43)^(1/12)-1),$F$13,-$I$86),0)</f>
        <v>0</v>
      </c>
      <c r="CO168" s="1312">
        <f t="shared" si="108"/>
        <v>0</v>
      </c>
      <c r="CP168" s="1312">
        <f>CQ167*((1+'Instrumentos Financeiros'!$Q$43)^(1/12)-1)</f>
        <v>0</v>
      </c>
      <c r="CQ168" s="1312">
        <f t="shared" si="109"/>
        <v>0</v>
      </c>
      <c r="CR168" s="1312">
        <f t="shared" si="78"/>
        <v>91768.589635900134</v>
      </c>
      <c r="CS168" s="1312">
        <f t="shared" si="78"/>
        <v>45541.74358462193</v>
      </c>
      <c r="CT168" s="1312">
        <f t="shared" si="78"/>
        <v>46226.846051278204</v>
      </c>
      <c r="CU168" s="1312">
        <f t="shared" si="78"/>
        <v>11279569.620037435</v>
      </c>
    </row>
    <row r="169" spans="3:99" x14ac:dyDescent="0.35">
      <c r="C169" s="1315">
        <f t="shared" si="79"/>
        <v>76</v>
      </c>
      <c r="D169" s="1312">
        <f>IF(AND(C169&gt;$F$59,'Instrumentos Financeiros'!C169&lt;'Instrumentos Financeiros'!$F$59+'Instrumentos Financeiros'!$F$11+1),PMT(((1+'Instrumentos Financeiros'!$G$43)^(1/12)-1),$F$11,-$I$59),0)</f>
        <v>91768.589635900134</v>
      </c>
      <c r="E169" s="1312">
        <f t="shared" si="76"/>
        <v>45727.635899672845</v>
      </c>
      <c r="F169" s="1312">
        <f>G168*((1+'Instrumentos Financeiros'!$G$43)^(1/12)-1)</f>
        <v>46040.953736227289</v>
      </c>
      <c r="G169" s="1312">
        <f t="shared" si="110"/>
        <v>11233841.984137762</v>
      </c>
      <c r="H169" s="1312">
        <f>IF(AND(C169&gt;$F$60,'Instrumentos Financeiros'!C169&lt;'Instrumentos Financeiros'!$F$60+'Instrumentos Financeiros'!$F$11+1),PMT(((1+'Instrumentos Financeiros'!$G$43)^(1/12)-1),$F$11,-$I$60),0)</f>
        <v>0</v>
      </c>
      <c r="I169" s="1312">
        <f t="shared" si="111"/>
        <v>0</v>
      </c>
      <c r="J169" s="1312">
        <f>K168*((1+'Instrumentos Financeiros'!$G$43)^(1/12)-1)</f>
        <v>0</v>
      </c>
      <c r="K169" s="1312">
        <f t="shared" si="80"/>
        <v>0</v>
      </c>
      <c r="L169" s="1312">
        <f>IF(AND(C169&gt;$F$61,'Instrumentos Financeiros'!C169&lt;'Instrumentos Financeiros'!$F$61+'Instrumentos Financeiros'!$F$11+1),PMT(((1+'Instrumentos Financeiros'!$G$43)^(1/12)-1),$F$11,-$I$61),0)</f>
        <v>0</v>
      </c>
      <c r="M169" s="1312">
        <f t="shared" si="112"/>
        <v>0</v>
      </c>
      <c r="N169" s="1312">
        <f>O168*((1+'Instrumentos Financeiros'!$G$43)^(1/12)-1)</f>
        <v>0</v>
      </c>
      <c r="O169" s="1312">
        <f t="shared" si="81"/>
        <v>0</v>
      </c>
      <c r="P169" s="1312">
        <f>IF(AND(C169&gt;$F$62,'Instrumentos Financeiros'!C169&lt;'Instrumentos Financeiros'!$F$62+'Instrumentos Financeiros'!$F$11+1),PMT(((1+'Instrumentos Financeiros'!$H$43)^(1/12)-1),$F$11,-$I$62),0)</f>
        <v>0</v>
      </c>
      <c r="Q169" s="1312">
        <f t="shared" si="113"/>
        <v>0</v>
      </c>
      <c r="R169" s="1312">
        <f>S168*((1+'Instrumentos Financeiros'!$H$43)^(1/12)-1)</f>
        <v>0</v>
      </c>
      <c r="S169" s="1312">
        <f t="shared" si="82"/>
        <v>0</v>
      </c>
      <c r="T169" s="1312">
        <f>IF(AND(C169&gt;$F$63,'Instrumentos Financeiros'!C169&lt;'Instrumentos Financeiros'!$F$63+'Instrumentos Financeiros'!$F$11+1),PMT(((1+'Instrumentos Financeiros'!$H$43)^(1/12)-1),$F$11,-$I$63),0)</f>
        <v>0</v>
      </c>
      <c r="U169" s="1312">
        <f t="shared" si="114"/>
        <v>0</v>
      </c>
      <c r="V169" s="1312">
        <f>W168*((1+'Instrumentos Financeiros'!$H$43)^(1/12)-1)</f>
        <v>0</v>
      </c>
      <c r="W169" s="1312">
        <f t="shared" si="83"/>
        <v>0</v>
      </c>
      <c r="X169" s="1312">
        <f>IF(AND(C169&gt;$F$64,'Instrumentos Financeiros'!C169&lt;'Instrumentos Financeiros'!$F$64+'Instrumentos Financeiros'!$F$11+1),PMT(((1+'Instrumentos Financeiros'!$H$43)^(1/12)-1),$F$11,-$I$64),0)</f>
        <v>0</v>
      </c>
      <c r="Y169" s="1312">
        <f t="shared" si="115"/>
        <v>0</v>
      </c>
      <c r="Z169" s="1312">
        <f>AA168*((1+'Instrumentos Financeiros'!$H$43)^(1/12)-1)</f>
        <v>0</v>
      </c>
      <c r="AA169" s="1312">
        <f t="shared" si="84"/>
        <v>0</v>
      </c>
      <c r="AB169" s="1312">
        <f>IF(AND(C169&gt;$F$65,'Instrumentos Financeiros'!C169&lt;'Instrumentos Financeiros'!$F$65+'Instrumentos Financeiros'!$F$11+1),PMT(((1+'Instrumentos Financeiros'!$H$43)^(1/12)-1),$F$11,-$I$65),0)</f>
        <v>0</v>
      </c>
      <c r="AC169" s="1312">
        <f t="shared" si="116"/>
        <v>0</v>
      </c>
      <c r="AD169" s="1312">
        <f>AE168*((1+'Instrumentos Financeiros'!$H$43)^(1/12)-1)</f>
        <v>0</v>
      </c>
      <c r="AE169" s="1312">
        <f t="shared" si="85"/>
        <v>0</v>
      </c>
      <c r="AF169" s="1312">
        <f>IF(AND(C169&gt;$F$66,'Instrumentos Financeiros'!C169&lt;'Instrumentos Financeiros'!$F$66+'Instrumentos Financeiros'!$F$11+1),PMT(((1+'Instrumentos Financeiros'!$I$43)^(1/12)-1),$F$11,-$I$66),0)</f>
        <v>0</v>
      </c>
      <c r="AG169" s="1312">
        <f t="shared" si="117"/>
        <v>0</v>
      </c>
      <c r="AH169" s="1312">
        <f>AI168*((1+'Instrumentos Financeiros'!$I$43)^(1/12)-1)</f>
        <v>0</v>
      </c>
      <c r="AI169" s="1312">
        <f t="shared" si="86"/>
        <v>0</v>
      </c>
      <c r="AJ169" s="1312">
        <f>IF(AND(C169&gt;$F$67,'Instrumentos Financeiros'!C169&lt;'Instrumentos Financeiros'!$F$67+'Instrumentos Financeiros'!$F$11+1),PMT(((1+'Instrumentos Financeiros'!$I$43)^(1/12)-1),$F$11,-$I$67),0)</f>
        <v>0</v>
      </c>
      <c r="AK169" s="1312">
        <f t="shared" si="118"/>
        <v>0</v>
      </c>
      <c r="AL169" s="1312">
        <f>AM168*((1+'Instrumentos Financeiros'!$I$43)^(1/12)-1)</f>
        <v>0</v>
      </c>
      <c r="AM169" s="1312">
        <f t="shared" si="87"/>
        <v>0</v>
      </c>
      <c r="AN169" s="1312">
        <f>IF(AND(C169&gt;$F$68,'Instrumentos Financeiros'!C169&lt;'Instrumentos Financeiros'!$F$68+'Instrumentos Financeiros'!$F$11+1),PMT(((1+'Instrumentos Financeiros'!$I$43)^(1/12)-1),$F$11,-$I$68),0)</f>
        <v>0</v>
      </c>
      <c r="AO169" s="1312">
        <f t="shared" si="119"/>
        <v>0</v>
      </c>
      <c r="AP169" s="1312">
        <f>AQ168*((1+'Instrumentos Financeiros'!$I$43)^(1/12)-1)</f>
        <v>0</v>
      </c>
      <c r="AQ169" s="1312">
        <f t="shared" si="88"/>
        <v>0</v>
      </c>
      <c r="AR169" s="1312">
        <f>IF(AND(C169&gt;$F$69,'Instrumentos Financeiros'!C169&lt;'Instrumentos Financeiros'!$F$69+'Instrumentos Financeiros'!$F$11+1),PMT(((1+'Instrumentos Financeiros'!$I$43)^(1/12)-1),$F$11,-$I$69),0)</f>
        <v>0</v>
      </c>
      <c r="AS169" s="1312">
        <f t="shared" si="120"/>
        <v>0</v>
      </c>
      <c r="AT169" s="1312">
        <f>AU168*((1+'Instrumentos Financeiros'!$I$43)^(1/12)-1)</f>
        <v>0</v>
      </c>
      <c r="AU169" s="1312">
        <f t="shared" si="89"/>
        <v>0</v>
      </c>
      <c r="AV169" s="1312">
        <f>IF(AND(C169&gt;$F$70,'Instrumentos Financeiros'!C169&lt;'Instrumentos Financeiros'!$F$70+'Instrumentos Financeiros'!$F$11+1),PMT(((1+'Instrumentos Financeiros'!$J$43)^(1/12)-1),$F$11,-$I$70),0)</f>
        <v>0</v>
      </c>
      <c r="AW169" s="1312">
        <f t="shared" si="121"/>
        <v>0</v>
      </c>
      <c r="AX169" s="1312">
        <f>AY168*((1+'Instrumentos Financeiros'!$J$43)^(1/12)-1)</f>
        <v>0</v>
      </c>
      <c r="AY169" s="1312">
        <f t="shared" si="90"/>
        <v>0</v>
      </c>
      <c r="AZ169" s="1312">
        <f>IF(AND(C169&gt;$F$71,'Instrumentos Financeiros'!C169&lt;'Instrumentos Financeiros'!$F$71+'Instrumentos Financeiros'!$F$11+1),PMT(((1+'Instrumentos Financeiros'!$J$43)^(1/12)-1),$F$11,-$I$71),0)</f>
        <v>0</v>
      </c>
      <c r="BA169" s="1312">
        <f t="shared" si="122"/>
        <v>0</v>
      </c>
      <c r="BB169" s="1312">
        <f>BC168*((1+'Instrumentos Financeiros'!$J$43)^(1/12)-1)</f>
        <v>0</v>
      </c>
      <c r="BC169" s="1312">
        <f t="shared" si="91"/>
        <v>0</v>
      </c>
      <c r="BD169" s="1312">
        <f>IF(AND(C169&gt;$F$72,'Instrumentos Financeiros'!C169&lt;'Instrumentos Financeiros'!$F$72+'Instrumentos Financeiros'!$F$11+1),PMT(((1+'Instrumentos Financeiros'!$J$43)^(1/12)-1),$F$11,-'Instrumentos Financeiros'!$G$7*$G$72),0)</f>
        <v>0</v>
      </c>
      <c r="BE169" s="1312">
        <f t="shared" si="123"/>
        <v>0</v>
      </c>
      <c r="BF169" s="1312">
        <f>BG168*((1+'Instrumentos Financeiros'!$J$43)^(1/12)-1)</f>
        <v>0</v>
      </c>
      <c r="BG169" s="1312">
        <f t="shared" si="92"/>
        <v>0</v>
      </c>
      <c r="BH169" s="1312">
        <f>IF(AND(C169&gt;$F$73,'Instrumentos Financeiros'!C169&lt;'Instrumentos Financeiros'!$F$73+'Instrumentos Financeiros'!$F$11+1),PMT(((1+'Instrumentos Financeiros'!$J$43)^(1/12)-1),$F$11,-$I$73),0)</f>
        <v>0</v>
      </c>
      <c r="BI169" s="1312">
        <f t="shared" si="124"/>
        <v>0</v>
      </c>
      <c r="BJ169" s="1312">
        <f>BK168*((1+'Instrumentos Financeiros'!$J$43)^(1/12)-1)</f>
        <v>0</v>
      </c>
      <c r="BK169" s="1312">
        <f t="shared" si="93"/>
        <v>0</v>
      </c>
      <c r="BL169" s="1312">
        <f>IF(AND(C169&gt;$F$77,'Instrumentos Financeiros'!C169&lt;'Instrumentos Financeiros'!$F$77+'Instrumentos Financeiros'!$F$12+1),PMT(((1+'Instrumentos Financeiros'!$K$43)^(1/12)-1),$F$12,-$I$77),0)</f>
        <v>0</v>
      </c>
      <c r="BM169" s="1312">
        <f t="shared" si="94"/>
        <v>0</v>
      </c>
      <c r="BN169" s="1312">
        <f>BO168*((1+'Instrumentos Financeiros'!$K$43)^(1/12)-1)</f>
        <v>0</v>
      </c>
      <c r="BO169" s="1312">
        <f t="shared" si="95"/>
        <v>0</v>
      </c>
      <c r="BP169" s="1312">
        <f>IF(AND(C169&gt;$F$78,'Instrumentos Financeiros'!C169&lt;'Instrumentos Financeiros'!$F$78+'Instrumentos Financeiros'!$F$12+1),PMT(((1+'Instrumentos Financeiros'!$L$43)^(1/12)-1),$F$12,-$I$78),0)</f>
        <v>0</v>
      </c>
      <c r="BQ169" s="1312">
        <f t="shared" si="96"/>
        <v>0</v>
      </c>
      <c r="BR169" s="1312">
        <f>BS168*((1+'Instrumentos Financeiros'!$L$43)^(1/12)-1)</f>
        <v>0</v>
      </c>
      <c r="BS169" s="1312">
        <f t="shared" si="97"/>
        <v>0</v>
      </c>
      <c r="BT169" s="1312">
        <f>IF(AND(C169&gt;$F$79,'Instrumentos Financeiros'!C169&lt;'Instrumentos Financeiros'!$F$79+'Instrumentos Financeiros'!$F$12+1),PMT(((1+'Instrumentos Financeiros'!$L$43)^(1/12)-1),$F$12,-$I$79),0)</f>
        <v>0</v>
      </c>
      <c r="BU169" s="1312">
        <f t="shared" si="98"/>
        <v>0</v>
      </c>
      <c r="BV169" s="1312">
        <f>BW168*((1+'Instrumentos Financeiros'!$L$43)^(1/12)-1)</f>
        <v>0</v>
      </c>
      <c r="BW169" s="1312">
        <f t="shared" si="99"/>
        <v>0</v>
      </c>
      <c r="BX169" s="1312">
        <f>IF(AND(C169&gt;$F$80,'Instrumentos Financeiros'!C169&lt;'Instrumentos Financeiros'!$F$80+'Instrumentos Financeiros'!$F$12+1),PMT(((1+'Instrumentos Financeiros'!$L$43)^(1/12)-1),$F$12,-$I$80),0)</f>
        <v>0</v>
      </c>
      <c r="BY169" s="1312">
        <f t="shared" si="100"/>
        <v>0</v>
      </c>
      <c r="BZ169" s="1312">
        <f>CA168*((1+'Instrumentos Financeiros'!$L$43)^(1/12)-1)</f>
        <v>0</v>
      </c>
      <c r="CA169" s="1312">
        <f t="shared" si="101"/>
        <v>0</v>
      </c>
      <c r="CB169" s="1312">
        <f>IF(AND(C169&gt;$F$83,'Instrumentos Financeiros'!C169&lt;'Instrumentos Financeiros'!$F$83+'Instrumentos Financeiros'!$F$13+1),PMT(((1+'Instrumentos Financeiros'!$P$43)^(1/12)-1),$F$13,-$I$83),0)</f>
        <v>0</v>
      </c>
      <c r="CC169" s="1312">
        <f t="shared" si="102"/>
        <v>0</v>
      </c>
      <c r="CD169" s="1312">
        <f>CE168*((1+'Instrumentos Financeiros'!$P$43)^(1/12)-1)</f>
        <v>0</v>
      </c>
      <c r="CE169" s="1312">
        <f t="shared" si="103"/>
        <v>0</v>
      </c>
      <c r="CF169" s="1312">
        <f>IF(AND(C169&gt;$F$84,'Instrumentos Financeiros'!C169&lt;'Instrumentos Financeiros'!$F$84+'Instrumentos Financeiros'!$F$13+1),PMT(((1+'Instrumentos Financeiros'!$Q$43)^(1/12)-1),$F$13,-$I$84),0)</f>
        <v>0</v>
      </c>
      <c r="CG169" s="1312">
        <f t="shared" si="104"/>
        <v>0</v>
      </c>
      <c r="CH169" s="1312">
        <f>CI168*((1+'Instrumentos Financeiros'!$Q$43)^(1/12)-1)</f>
        <v>0</v>
      </c>
      <c r="CI169" s="1312">
        <f t="shared" si="105"/>
        <v>0</v>
      </c>
      <c r="CJ169" s="1312">
        <f>IF(AND(C169&gt;$F$85,'Instrumentos Financeiros'!C169&lt;'Instrumentos Financeiros'!$F$85+'Instrumentos Financeiros'!$F$13+1),PMT(((1+'Instrumentos Financeiros'!$Q$43)^(1/12)-1),$F$13,-$I$85),0)</f>
        <v>0</v>
      </c>
      <c r="CK169" s="1312">
        <f t="shared" si="106"/>
        <v>0</v>
      </c>
      <c r="CL169" s="1312">
        <f>CM168*((1+'Instrumentos Financeiros'!$Q$43)^(1/12)-1)</f>
        <v>0</v>
      </c>
      <c r="CM169" s="1312">
        <f t="shared" si="107"/>
        <v>0</v>
      </c>
      <c r="CN169" s="1312">
        <f>IF(AND(C169&gt;$F$86,'Instrumentos Financeiros'!C169&lt;'Instrumentos Financeiros'!$F$86+'Instrumentos Financeiros'!$F$13+1),PMT(((1+'Instrumentos Financeiros'!$Q$43)^(1/12)-1),$F$13,-$I$86),0)</f>
        <v>0</v>
      </c>
      <c r="CO169" s="1312">
        <f t="shared" si="108"/>
        <v>0</v>
      </c>
      <c r="CP169" s="1312">
        <f>CQ168*((1+'Instrumentos Financeiros'!$Q$43)^(1/12)-1)</f>
        <v>0</v>
      </c>
      <c r="CQ169" s="1312">
        <f t="shared" si="109"/>
        <v>0</v>
      </c>
      <c r="CR169" s="1312">
        <f t="shared" si="78"/>
        <v>91768.589635900134</v>
      </c>
      <c r="CS169" s="1312">
        <f t="shared" si="78"/>
        <v>45727.635899672845</v>
      </c>
      <c r="CT169" s="1312">
        <f t="shared" si="78"/>
        <v>46040.953736227289</v>
      </c>
      <c r="CU169" s="1312">
        <f t="shared" si="78"/>
        <v>11233841.984137762</v>
      </c>
    </row>
    <row r="170" spans="3:99" x14ac:dyDescent="0.35">
      <c r="C170" s="1315">
        <f t="shared" si="79"/>
        <v>77</v>
      </c>
      <c r="D170" s="1312">
        <f>IF(AND(C170&gt;$F$59,'Instrumentos Financeiros'!C170&lt;'Instrumentos Financeiros'!$F$59+'Instrumentos Financeiros'!$F$11+1),PMT(((1+'Instrumentos Financeiros'!$G$43)^(1/12)-1),$F$11,-$I$59),0)</f>
        <v>91768.589635900134</v>
      </c>
      <c r="E170" s="1312">
        <f t="shared" si="76"/>
        <v>45914.286990081811</v>
      </c>
      <c r="F170" s="1312">
        <f>G169*((1+'Instrumentos Financeiros'!$G$43)^(1/12)-1)</f>
        <v>45854.302645818323</v>
      </c>
      <c r="G170" s="1312">
        <f t="shared" si="110"/>
        <v>11187927.69714768</v>
      </c>
      <c r="H170" s="1312">
        <f>IF(AND(C170&gt;$F$60,'Instrumentos Financeiros'!C170&lt;'Instrumentos Financeiros'!$F$60+'Instrumentos Financeiros'!$F$11+1),PMT(((1+'Instrumentos Financeiros'!$G$43)^(1/12)-1),$F$11,-$I$60),0)</f>
        <v>0</v>
      </c>
      <c r="I170" s="1312">
        <f t="shared" si="111"/>
        <v>0</v>
      </c>
      <c r="J170" s="1312">
        <f>K169*((1+'Instrumentos Financeiros'!$G$43)^(1/12)-1)</f>
        <v>0</v>
      </c>
      <c r="K170" s="1312">
        <f t="shared" si="80"/>
        <v>0</v>
      </c>
      <c r="L170" s="1312">
        <f>IF(AND(C170&gt;$F$61,'Instrumentos Financeiros'!C170&lt;'Instrumentos Financeiros'!$F$61+'Instrumentos Financeiros'!$F$11+1),PMT(((1+'Instrumentos Financeiros'!$G$43)^(1/12)-1),$F$11,-$I$61),0)</f>
        <v>0</v>
      </c>
      <c r="M170" s="1312">
        <f t="shared" si="112"/>
        <v>0</v>
      </c>
      <c r="N170" s="1312">
        <f>O169*((1+'Instrumentos Financeiros'!$G$43)^(1/12)-1)</f>
        <v>0</v>
      </c>
      <c r="O170" s="1312">
        <f t="shared" si="81"/>
        <v>0</v>
      </c>
      <c r="P170" s="1312">
        <f>IF(AND(C170&gt;$F$62,'Instrumentos Financeiros'!C170&lt;'Instrumentos Financeiros'!$F$62+'Instrumentos Financeiros'!$F$11+1),PMT(((1+'Instrumentos Financeiros'!$H$43)^(1/12)-1),$F$11,-$I$62),0)</f>
        <v>0</v>
      </c>
      <c r="Q170" s="1312">
        <f t="shared" si="113"/>
        <v>0</v>
      </c>
      <c r="R170" s="1312">
        <f>S169*((1+'Instrumentos Financeiros'!$H$43)^(1/12)-1)</f>
        <v>0</v>
      </c>
      <c r="S170" s="1312">
        <f t="shared" si="82"/>
        <v>0</v>
      </c>
      <c r="T170" s="1312">
        <f>IF(AND(C170&gt;$F$63,'Instrumentos Financeiros'!C170&lt;'Instrumentos Financeiros'!$F$63+'Instrumentos Financeiros'!$F$11+1),PMT(((1+'Instrumentos Financeiros'!$H$43)^(1/12)-1),$F$11,-$I$63),0)</f>
        <v>0</v>
      </c>
      <c r="U170" s="1312">
        <f t="shared" si="114"/>
        <v>0</v>
      </c>
      <c r="V170" s="1312">
        <f>W169*((1+'Instrumentos Financeiros'!$H$43)^(1/12)-1)</f>
        <v>0</v>
      </c>
      <c r="W170" s="1312">
        <f t="shared" si="83"/>
        <v>0</v>
      </c>
      <c r="X170" s="1312">
        <f>IF(AND(C170&gt;$F$64,'Instrumentos Financeiros'!C170&lt;'Instrumentos Financeiros'!$F$64+'Instrumentos Financeiros'!$F$11+1),PMT(((1+'Instrumentos Financeiros'!$H$43)^(1/12)-1),$F$11,-$I$64),0)</f>
        <v>0</v>
      </c>
      <c r="Y170" s="1312">
        <f t="shared" si="115"/>
        <v>0</v>
      </c>
      <c r="Z170" s="1312">
        <f>AA169*((1+'Instrumentos Financeiros'!$H$43)^(1/12)-1)</f>
        <v>0</v>
      </c>
      <c r="AA170" s="1312">
        <f t="shared" si="84"/>
        <v>0</v>
      </c>
      <c r="AB170" s="1312">
        <f>IF(AND(C170&gt;$F$65,'Instrumentos Financeiros'!C170&lt;'Instrumentos Financeiros'!$F$65+'Instrumentos Financeiros'!$F$11+1),PMT(((1+'Instrumentos Financeiros'!$H$43)^(1/12)-1),$F$11,-$I$65),0)</f>
        <v>0</v>
      </c>
      <c r="AC170" s="1312">
        <f t="shared" si="116"/>
        <v>0</v>
      </c>
      <c r="AD170" s="1312">
        <f>AE169*((1+'Instrumentos Financeiros'!$H$43)^(1/12)-1)</f>
        <v>0</v>
      </c>
      <c r="AE170" s="1312">
        <f t="shared" si="85"/>
        <v>0</v>
      </c>
      <c r="AF170" s="1312">
        <f>IF(AND(C170&gt;$F$66,'Instrumentos Financeiros'!C170&lt;'Instrumentos Financeiros'!$F$66+'Instrumentos Financeiros'!$F$11+1),PMT(((1+'Instrumentos Financeiros'!$I$43)^(1/12)-1),$F$11,-$I$66),0)</f>
        <v>0</v>
      </c>
      <c r="AG170" s="1312">
        <f t="shared" si="117"/>
        <v>0</v>
      </c>
      <c r="AH170" s="1312">
        <f>AI169*((1+'Instrumentos Financeiros'!$I$43)^(1/12)-1)</f>
        <v>0</v>
      </c>
      <c r="AI170" s="1312">
        <f t="shared" si="86"/>
        <v>0</v>
      </c>
      <c r="AJ170" s="1312">
        <f>IF(AND(C170&gt;$F$67,'Instrumentos Financeiros'!C170&lt;'Instrumentos Financeiros'!$F$67+'Instrumentos Financeiros'!$F$11+1),PMT(((1+'Instrumentos Financeiros'!$I$43)^(1/12)-1),$F$11,-$I$67),0)</f>
        <v>0</v>
      </c>
      <c r="AK170" s="1312">
        <f t="shared" si="118"/>
        <v>0</v>
      </c>
      <c r="AL170" s="1312">
        <f>AM169*((1+'Instrumentos Financeiros'!$I$43)^(1/12)-1)</f>
        <v>0</v>
      </c>
      <c r="AM170" s="1312">
        <f t="shared" si="87"/>
        <v>0</v>
      </c>
      <c r="AN170" s="1312">
        <f>IF(AND(C170&gt;$F$68,'Instrumentos Financeiros'!C170&lt;'Instrumentos Financeiros'!$F$68+'Instrumentos Financeiros'!$F$11+1),PMT(((1+'Instrumentos Financeiros'!$I$43)^(1/12)-1),$F$11,-$I$68),0)</f>
        <v>0</v>
      </c>
      <c r="AO170" s="1312">
        <f t="shared" si="119"/>
        <v>0</v>
      </c>
      <c r="AP170" s="1312">
        <f>AQ169*((1+'Instrumentos Financeiros'!$I$43)^(1/12)-1)</f>
        <v>0</v>
      </c>
      <c r="AQ170" s="1312">
        <f t="shared" si="88"/>
        <v>0</v>
      </c>
      <c r="AR170" s="1312">
        <f>IF(AND(C170&gt;$F$69,'Instrumentos Financeiros'!C170&lt;'Instrumentos Financeiros'!$F$69+'Instrumentos Financeiros'!$F$11+1),PMT(((1+'Instrumentos Financeiros'!$I$43)^(1/12)-1),$F$11,-$I$69),0)</f>
        <v>0</v>
      </c>
      <c r="AS170" s="1312">
        <f t="shared" si="120"/>
        <v>0</v>
      </c>
      <c r="AT170" s="1312">
        <f>AU169*((1+'Instrumentos Financeiros'!$I$43)^(1/12)-1)</f>
        <v>0</v>
      </c>
      <c r="AU170" s="1312">
        <f t="shared" si="89"/>
        <v>0</v>
      </c>
      <c r="AV170" s="1312">
        <f>IF(AND(C170&gt;$F$70,'Instrumentos Financeiros'!C170&lt;'Instrumentos Financeiros'!$F$70+'Instrumentos Financeiros'!$F$11+1),PMT(((1+'Instrumentos Financeiros'!$J$43)^(1/12)-1),$F$11,-$I$70),0)</f>
        <v>0</v>
      </c>
      <c r="AW170" s="1312">
        <f t="shared" si="121"/>
        <v>0</v>
      </c>
      <c r="AX170" s="1312">
        <f>AY169*((1+'Instrumentos Financeiros'!$J$43)^(1/12)-1)</f>
        <v>0</v>
      </c>
      <c r="AY170" s="1312">
        <f t="shared" si="90"/>
        <v>0</v>
      </c>
      <c r="AZ170" s="1312">
        <f>IF(AND(C170&gt;$F$71,'Instrumentos Financeiros'!C170&lt;'Instrumentos Financeiros'!$F$71+'Instrumentos Financeiros'!$F$11+1),PMT(((1+'Instrumentos Financeiros'!$J$43)^(1/12)-1),$F$11,-$I$71),0)</f>
        <v>0</v>
      </c>
      <c r="BA170" s="1312">
        <f t="shared" si="122"/>
        <v>0</v>
      </c>
      <c r="BB170" s="1312">
        <f>BC169*((1+'Instrumentos Financeiros'!$J$43)^(1/12)-1)</f>
        <v>0</v>
      </c>
      <c r="BC170" s="1312">
        <f t="shared" si="91"/>
        <v>0</v>
      </c>
      <c r="BD170" s="1312">
        <f>IF(AND(C170&gt;$F$72,'Instrumentos Financeiros'!C170&lt;'Instrumentos Financeiros'!$F$72+'Instrumentos Financeiros'!$F$11+1),PMT(((1+'Instrumentos Financeiros'!$J$43)^(1/12)-1),$F$11,-'Instrumentos Financeiros'!$G$7*$G$72),0)</f>
        <v>0</v>
      </c>
      <c r="BE170" s="1312">
        <f t="shared" si="123"/>
        <v>0</v>
      </c>
      <c r="BF170" s="1312">
        <f>BG169*((1+'Instrumentos Financeiros'!$J$43)^(1/12)-1)</f>
        <v>0</v>
      </c>
      <c r="BG170" s="1312">
        <f t="shared" si="92"/>
        <v>0</v>
      </c>
      <c r="BH170" s="1312">
        <f>IF(AND(C170&gt;$F$73,'Instrumentos Financeiros'!C170&lt;'Instrumentos Financeiros'!$F$73+'Instrumentos Financeiros'!$F$11+1),PMT(((1+'Instrumentos Financeiros'!$J$43)^(1/12)-1),$F$11,-$I$73),0)</f>
        <v>0</v>
      </c>
      <c r="BI170" s="1312">
        <f t="shared" si="124"/>
        <v>0</v>
      </c>
      <c r="BJ170" s="1312">
        <f>BK169*((1+'Instrumentos Financeiros'!$J$43)^(1/12)-1)</f>
        <v>0</v>
      </c>
      <c r="BK170" s="1312">
        <f t="shared" si="93"/>
        <v>0</v>
      </c>
      <c r="BL170" s="1312">
        <f>IF(AND(C170&gt;$F$77,'Instrumentos Financeiros'!C170&lt;'Instrumentos Financeiros'!$F$77+'Instrumentos Financeiros'!$F$12+1),PMT(((1+'Instrumentos Financeiros'!$K$43)^(1/12)-1),$F$12,-$I$77),0)</f>
        <v>0</v>
      </c>
      <c r="BM170" s="1312">
        <f t="shared" si="94"/>
        <v>0</v>
      </c>
      <c r="BN170" s="1312">
        <f>BO169*((1+'Instrumentos Financeiros'!$K$43)^(1/12)-1)</f>
        <v>0</v>
      </c>
      <c r="BO170" s="1312">
        <f t="shared" si="95"/>
        <v>0</v>
      </c>
      <c r="BP170" s="1312">
        <f>IF(AND(C170&gt;$F$78,'Instrumentos Financeiros'!C170&lt;'Instrumentos Financeiros'!$F$78+'Instrumentos Financeiros'!$F$12+1),PMT(((1+'Instrumentos Financeiros'!$L$43)^(1/12)-1),$F$12,-$I$78),0)</f>
        <v>0</v>
      </c>
      <c r="BQ170" s="1312">
        <f t="shared" si="96"/>
        <v>0</v>
      </c>
      <c r="BR170" s="1312">
        <f>BS169*((1+'Instrumentos Financeiros'!$L$43)^(1/12)-1)</f>
        <v>0</v>
      </c>
      <c r="BS170" s="1312">
        <f t="shared" si="97"/>
        <v>0</v>
      </c>
      <c r="BT170" s="1312">
        <f>IF(AND(C170&gt;$F$79,'Instrumentos Financeiros'!C170&lt;'Instrumentos Financeiros'!$F$79+'Instrumentos Financeiros'!$F$12+1),PMT(((1+'Instrumentos Financeiros'!$L$43)^(1/12)-1),$F$12,-$I$79),0)</f>
        <v>0</v>
      </c>
      <c r="BU170" s="1312">
        <f t="shared" si="98"/>
        <v>0</v>
      </c>
      <c r="BV170" s="1312">
        <f>BW169*((1+'Instrumentos Financeiros'!$L$43)^(1/12)-1)</f>
        <v>0</v>
      </c>
      <c r="BW170" s="1312">
        <f t="shared" si="99"/>
        <v>0</v>
      </c>
      <c r="BX170" s="1312">
        <f>IF(AND(C170&gt;$F$80,'Instrumentos Financeiros'!C170&lt;'Instrumentos Financeiros'!$F$80+'Instrumentos Financeiros'!$F$12+1),PMT(((1+'Instrumentos Financeiros'!$L$43)^(1/12)-1),$F$12,-$I$80),0)</f>
        <v>0</v>
      </c>
      <c r="BY170" s="1312">
        <f t="shared" si="100"/>
        <v>0</v>
      </c>
      <c r="BZ170" s="1312">
        <f>CA169*((1+'Instrumentos Financeiros'!$L$43)^(1/12)-1)</f>
        <v>0</v>
      </c>
      <c r="CA170" s="1312">
        <f t="shared" si="101"/>
        <v>0</v>
      </c>
      <c r="CB170" s="1312">
        <f>IF(AND(C170&gt;$F$83,'Instrumentos Financeiros'!C170&lt;'Instrumentos Financeiros'!$F$83+'Instrumentos Financeiros'!$F$13+1),PMT(((1+'Instrumentos Financeiros'!$P$43)^(1/12)-1),$F$13,-$I$83),0)</f>
        <v>0</v>
      </c>
      <c r="CC170" s="1312">
        <f t="shared" si="102"/>
        <v>0</v>
      </c>
      <c r="CD170" s="1312">
        <f>CE169*((1+'Instrumentos Financeiros'!$P$43)^(1/12)-1)</f>
        <v>0</v>
      </c>
      <c r="CE170" s="1312">
        <f t="shared" si="103"/>
        <v>0</v>
      </c>
      <c r="CF170" s="1312">
        <f>IF(AND(C170&gt;$F$84,'Instrumentos Financeiros'!C170&lt;'Instrumentos Financeiros'!$F$84+'Instrumentos Financeiros'!$F$13+1),PMT(((1+'Instrumentos Financeiros'!$Q$43)^(1/12)-1),$F$13,-$I$84),0)</f>
        <v>0</v>
      </c>
      <c r="CG170" s="1312">
        <f t="shared" si="104"/>
        <v>0</v>
      </c>
      <c r="CH170" s="1312">
        <f>CI169*((1+'Instrumentos Financeiros'!$Q$43)^(1/12)-1)</f>
        <v>0</v>
      </c>
      <c r="CI170" s="1312">
        <f t="shared" si="105"/>
        <v>0</v>
      </c>
      <c r="CJ170" s="1312">
        <f>IF(AND(C170&gt;$F$85,'Instrumentos Financeiros'!C170&lt;'Instrumentos Financeiros'!$F$85+'Instrumentos Financeiros'!$F$13+1),PMT(((1+'Instrumentos Financeiros'!$Q$43)^(1/12)-1),$F$13,-$I$85),0)</f>
        <v>0</v>
      </c>
      <c r="CK170" s="1312">
        <f t="shared" si="106"/>
        <v>0</v>
      </c>
      <c r="CL170" s="1312">
        <f>CM169*((1+'Instrumentos Financeiros'!$Q$43)^(1/12)-1)</f>
        <v>0</v>
      </c>
      <c r="CM170" s="1312">
        <f t="shared" si="107"/>
        <v>0</v>
      </c>
      <c r="CN170" s="1312">
        <f>IF(AND(C170&gt;$F$86,'Instrumentos Financeiros'!C170&lt;'Instrumentos Financeiros'!$F$86+'Instrumentos Financeiros'!$F$13+1),PMT(((1+'Instrumentos Financeiros'!$Q$43)^(1/12)-1),$F$13,-$I$86),0)</f>
        <v>0</v>
      </c>
      <c r="CO170" s="1312">
        <f t="shared" si="108"/>
        <v>0</v>
      </c>
      <c r="CP170" s="1312">
        <f>CQ169*((1+'Instrumentos Financeiros'!$Q$43)^(1/12)-1)</f>
        <v>0</v>
      </c>
      <c r="CQ170" s="1312">
        <f t="shared" si="109"/>
        <v>0</v>
      </c>
      <c r="CR170" s="1312">
        <f t="shared" si="78"/>
        <v>91768.589635900134</v>
      </c>
      <c r="CS170" s="1312">
        <f t="shared" si="78"/>
        <v>45914.286990081811</v>
      </c>
      <c r="CT170" s="1312">
        <f t="shared" si="78"/>
        <v>45854.302645818323</v>
      </c>
      <c r="CU170" s="1312">
        <f t="shared" si="78"/>
        <v>11187927.69714768</v>
      </c>
    </row>
    <row r="171" spans="3:99" x14ac:dyDescent="0.35">
      <c r="C171" s="1315">
        <f t="shared" si="79"/>
        <v>78</v>
      </c>
      <c r="D171" s="1312">
        <f>IF(AND(C171&gt;$F$59,'Instrumentos Financeiros'!C171&lt;'Instrumentos Financeiros'!$F$59+'Instrumentos Financeiros'!$F$11+1),PMT(((1+'Instrumentos Financeiros'!$G$43)^(1/12)-1),$F$11,-$I$59),0)</f>
        <v>91768.589635900134</v>
      </c>
      <c r="E171" s="1312">
        <f t="shared" si="76"/>
        <v>46101.699953018535</v>
      </c>
      <c r="F171" s="1312">
        <f>G170*((1+'Instrumentos Financeiros'!$G$43)^(1/12)-1)</f>
        <v>45666.8896828816</v>
      </c>
      <c r="G171" s="1312">
        <f t="shared" si="110"/>
        <v>11141825.997194663</v>
      </c>
      <c r="H171" s="1312">
        <f>IF(AND(C171&gt;$F$60,'Instrumentos Financeiros'!C171&lt;'Instrumentos Financeiros'!$F$60+'Instrumentos Financeiros'!$F$11+1),PMT(((1+'Instrumentos Financeiros'!$G$43)^(1/12)-1),$F$11,-$I$60),0)</f>
        <v>0</v>
      </c>
      <c r="I171" s="1312">
        <f t="shared" si="111"/>
        <v>0</v>
      </c>
      <c r="J171" s="1312">
        <f>K170*((1+'Instrumentos Financeiros'!$G$43)^(1/12)-1)</f>
        <v>0</v>
      </c>
      <c r="K171" s="1312">
        <f t="shared" si="80"/>
        <v>0</v>
      </c>
      <c r="L171" s="1312">
        <f>IF(AND(C171&gt;$F$61,'Instrumentos Financeiros'!C171&lt;'Instrumentos Financeiros'!$F$61+'Instrumentos Financeiros'!$F$11+1),PMT(((1+'Instrumentos Financeiros'!$G$43)^(1/12)-1),$F$11,-$I$61),0)</f>
        <v>0</v>
      </c>
      <c r="M171" s="1312">
        <f t="shared" si="112"/>
        <v>0</v>
      </c>
      <c r="N171" s="1312">
        <f>O170*((1+'Instrumentos Financeiros'!$G$43)^(1/12)-1)</f>
        <v>0</v>
      </c>
      <c r="O171" s="1312">
        <f t="shared" si="81"/>
        <v>0</v>
      </c>
      <c r="P171" s="1312">
        <f>IF(AND(C171&gt;$F$62,'Instrumentos Financeiros'!C171&lt;'Instrumentos Financeiros'!$F$62+'Instrumentos Financeiros'!$F$11+1),PMT(((1+'Instrumentos Financeiros'!$H$43)^(1/12)-1),$F$11,-$I$62),0)</f>
        <v>0</v>
      </c>
      <c r="Q171" s="1312">
        <f t="shared" si="113"/>
        <v>0</v>
      </c>
      <c r="R171" s="1312">
        <f>S170*((1+'Instrumentos Financeiros'!$H$43)^(1/12)-1)</f>
        <v>0</v>
      </c>
      <c r="S171" s="1312">
        <f t="shared" si="82"/>
        <v>0</v>
      </c>
      <c r="T171" s="1312">
        <f>IF(AND(C171&gt;$F$63,'Instrumentos Financeiros'!C171&lt;'Instrumentos Financeiros'!$F$63+'Instrumentos Financeiros'!$F$11+1),PMT(((1+'Instrumentos Financeiros'!$H$43)^(1/12)-1),$F$11,-$I$63),0)</f>
        <v>0</v>
      </c>
      <c r="U171" s="1312">
        <f t="shared" si="114"/>
        <v>0</v>
      </c>
      <c r="V171" s="1312">
        <f>W170*((1+'Instrumentos Financeiros'!$H$43)^(1/12)-1)</f>
        <v>0</v>
      </c>
      <c r="W171" s="1312">
        <f t="shared" si="83"/>
        <v>0</v>
      </c>
      <c r="X171" s="1312">
        <f>IF(AND(C171&gt;$F$64,'Instrumentos Financeiros'!C171&lt;'Instrumentos Financeiros'!$F$64+'Instrumentos Financeiros'!$F$11+1),PMT(((1+'Instrumentos Financeiros'!$H$43)^(1/12)-1),$F$11,-$I$64),0)</f>
        <v>0</v>
      </c>
      <c r="Y171" s="1312">
        <f t="shared" si="115"/>
        <v>0</v>
      </c>
      <c r="Z171" s="1312">
        <f>AA170*((1+'Instrumentos Financeiros'!$H$43)^(1/12)-1)</f>
        <v>0</v>
      </c>
      <c r="AA171" s="1312">
        <f t="shared" si="84"/>
        <v>0</v>
      </c>
      <c r="AB171" s="1312">
        <f>IF(AND(C171&gt;$F$65,'Instrumentos Financeiros'!C171&lt;'Instrumentos Financeiros'!$F$65+'Instrumentos Financeiros'!$F$11+1),PMT(((1+'Instrumentos Financeiros'!$H$43)^(1/12)-1),$F$11,-$I$65),0)</f>
        <v>0</v>
      </c>
      <c r="AC171" s="1312">
        <f t="shared" si="116"/>
        <v>0</v>
      </c>
      <c r="AD171" s="1312">
        <f>AE170*((1+'Instrumentos Financeiros'!$H$43)^(1/12)-1)</f>
        <v>0</v>
      </c>
      <c r="AE171" s="1312">
        <f t="shared" si="85"/>
        <v>0</v>
      </c>
      <c r="AF171" s="1312">
        <f>IF(AND(C171&gt;$F$66,'Instrumentos Financeiros'!C171&lt;'Instrumentos Financeiros'!$F$66+'Instrumentos Financeiros'!$F$11+1),PMT(((1+'Instrumentos Financeiros'!$I$43)^(1/12)-1),$F$11,-$I$66),0)</f>
        <v>0</v>
      </c>
      <c r="AG171" s="1312">
        <f t="shared" si="117"/>
        <v>0</v>
      </c>
      <c r="AH171" s="1312">
        <f>AI170*((1+'Instrumentos Financeiros'!$I$43)^(1/12)-1)</f>
        <v>0</v>
      </c>
      <c r="AI171" s="1312">
        <f t="shared" si="86"/>
        <v>0</v>
      </c>
      <c r="AJ171" s="1312">
        <f>IF(AND(C171&gt;$F$67,'Instrumentos Financeiros'!C171&lt;'Instrumentos Financeiros'!$F$67+'Instrumentos Financeiros'!$F$11+1),PMT(((1+'Instrumentos Financeiros'!$I$43)^(1/12)-1),$F$11,-$I$67),0)</f>
        <v>0</v>
      </c>
      <c r="AK171" s="1312">
        <f t="shared" si="118"/>
        <v>0</v>
      </c>
      <c r="AL171" s="1312">
        <f>AM170*((1+'Instrumentos Financeiros'!$I$43)^(1/12)-1)</f>
        <v>0</v>
      </c>
      <c r="AM171" s="1312">
        <f t="shared" si="87"/>
        <v>0</v>
      </c>
      <c r="AN171" s="1312">
        <f>IF(AND(C171&gt;$F$68,'Instrumentos Financeiros'!C171&lt;'Instrumentos Financeiros'!$F$68+'Instrumentos Financeiros'!$F$11+1),PMT(((1+'Instrumentos Financeiros'!$I$43)^(1/12)-1),$F$11,-$I$68),0)</f>
        <v>0</v>
      </c>
      <c r="AO171" s="1312">
        <f t="shared" si="119"/>
        <v>0</v>
      </c>
      <c r="AP171" s="1312">
        <f>AQ170*((1+'Instrumentos Financeiros'!$I$43)^(1/12)-1)</f>
        <v>0</v>
      </c>
      <c r="AQ171" s="1312">
        <f t="shared" si="88"/>
        <v>0</v>
      </c>
      <c r="AR171" s="1312">
        <f>IF(AND(C171&gt;$F$69,'Instrumentos Financeiros'!C171&lt;'Instrumentos Financeiros'!$F$69+'Instrumentos Financeiros'!$F$11+1),PMT(((1+'Instrumentos Financeiros'!$I$43)^(1/12)-1),$F$11,-$I$69),0)</f>
        <v>0</v>
      </c>
      <c r="AS171" s="1312">
        <f t="shared" si="120"/>
        <v>0</v>
      </c>
      <c r="AT171" s="1312">
        <f>AU170*((1+'Instrumentos Financeiros'!$I$43)^(1/12)-1)</f>
        <v>0</v>
      </c>
      <c r="AU171" s="1312">
        <f t="shared" si="89"/>
        <v>0</v>
      </c>
      <c r="AV171" s="1312">
        <f>IF(AND(C171&gt;$F$70,'Instrumentos Financeiros'!C171&lt;'Instrumentos Financeiros'!$F$70+'Instrumentos Financeiros'!$F$11+1),PMT(((1+'Instrumentos Financeiros'!$J$43)^(1/12)-1),$F$11,-$I$70),0)</f>
        <v>0</v>
      </c>
      <c r="AW171" s="1312">
        <f t="shared" si="121"/>
        <v>0</v>
      </c>
      <c r="AX171" s="1312">
        <f>AY170*((1+'Instrumentos Financeiros'!$J$43)^(1/12)-1)</f>
        <v>0</v>
      </c>
      <c r="AY171" s="1312">
        <f t="shared" si="90"/>
        <v>0</v>
      </c>
      <c r="AZ171" s="1312">
        <f>IF(AND(C171&gt;$F$71,'Instrumentos Financeiros'!C171&lt;'Instrumentos Financeiros'!$F$71+'Instrumentos Financeiros'!$F$11+1),PMT(((1+'Instrumentos Financeiros'!$J$43)^(1/12)-1),$F$11,-$I$71),0)</f>
        <v>0</v>
      </c>
      <c r="BA171" s="1312">
        <f t="shared" si="122"/>
        <v>0</v>
      </c>
      <c r="BB171" s="1312">
        <f>BC170*((1+'Instrumentos Financeiros'!$J$43)^(1/12)-1)</f>
        <v>0</v>
      </c>
      <c r="BC171" s="1312">
        <f t="shared" si="91"/>
        <v>0</v>
      </c>
      <c r="BD171" s="1312">
        <f>IF(AND(C171&gt;$F$72,'Instrumentos Financeiros'!C171&lt;'Instrumentos Financeiros'!$F$72+'Instrumentos Financeiros'!$F$11+1),PMT(((1+'Instrumentos Financeiros'!$J$43)^(1/12)-1),$F$11,-'Instrumentos Financeiros'!$G$7*$G$72),0)</f>
        <v>0</v>
      </c>
      <c r="BE171" s="1312">
        <f t="shared" si="123"/>
        <v>0</v>
      </c>
      <c r="BF171" s="1312">
        <f>BG170*((1+'Instrumentos Financeiros'!$J$43)^(1/12)-1)</f>
        <v>0</v>
      </c>
      <c r="BG171" s="1312">
        <f t="shared" si="92"/>
        <v>0</v>
      </c>
      <c r="BH171" s="1312">
        <f>IF(AND(C171&gt;$F$73,'Instrumentos Financeiros'!C171&lt;'Instrumentos Financeiros'!$F$73+'Instrumentos Financeiros'!$F$11+1),PMT(((1+'Instrumentos Financeiros'!$J$43)^(1/12)-1),$F$11,-$I$73),0)</f>
        <v>0</v>
      </c>
      <c r="BI171" s="1312">
        <f t="shared" si="124"/>
        <v>0</v>
      </c>
      <c r="BJ171" s="1312">
        <f>BK170*((1+'Instrumentos Financeiros'!$J$43)^(1/12)-1)</f>
        <v>0</v>
      </c>
      <c r="BK171" s="1312">
        <f t="shared" si="93"/>
        <v>0</v>
      </c>
      <c r="BL171" s="1312">
        <f>IF(AND(C171&gt;$F$77,'Instrumentos Financeiros'!C171&lt;'Instrumentos Financeiros'!$F$77+'Instrumentos Financeiros'!$F$12+1),PMT(((1+'Instrumentos Financeiros'!$K$43)^(1/12)-1),$F$12,-$I$77),0)</f>
        <v>0</v>
      </c>
      <c r="BM171" s="1312">
        <f t="shared" si="94"/>
        <v>0</v>
      </c>
      <c r="BN171" s="1312">
        <f>BO170*((1+'Instrumentos Financeiros'!$K$43)^(1/12)-1)</f>
        <v>0</v>
      </c>
      <c r="BO171" s="1312">
        <f t="shared" si="95"/>
        <v>0</v>
      </c>
      <c r="BP171" s="1312">
        <f>IF(AND(C171&gt;$F$78,'Instrumentos Financeiros'!C171&lt;'Instrumentos Financeiros'!$F$78+'Instrumentos Financeiros'!$F$12+1),PMT(((1+'Instrumentos Financeiros'!$L$43)^(1/12)-1),$F$12,-$I$78),0)</f>
        <v>0</v>
      </c>
      <c r="BQ171" s="1312">
        <f t="shared" si="96"/>
        <v>0</v>
      </c>
      <c r="BR171" s="1312">
        <f>BS170*((1+'Instrumentos Financeiros'!$L$43)^(1/12)-1)</f>
        <v>0</v>
      </c>
      <c r="BS171" s="1312">
        <f t="shared" si="97"/>
        <v>0</v>
      </c>
      <c r="BT171" s="1312">
        <f>IF(AND(C171&gt;$F$79,'Instrumentos Financeiros'!C171&lt;'Instrumentos Financeiros'!$F$79+'Instrumentos Financeiros'!$F$12+1),PMT(((1+'Instrumentos Financeiros'!$L$43)^(1/12)-1),$F$12,-$I$79),0)</f>
        <v>0</v>
      </c>
      <c r="BU171" s="1312">
        <f t="shared" si="98"/>
        <v>0</v>
      </c>
      <c r="BV171" s="1312">
        <f>BW170*((1+'Instrumentos Financeiros'!$L$43)^(1/12)-1)</f>
        <v>0</v>
      </c>
      <c r="BW171" s="1312">
        <f t="shared" si="99"/>
        <v>0</v>
      </c>
      <c r="BX171" s="1312">
        <f>IF(AND(C171&gt;$F$80,'Instrumentos Financeiros'!C171&lt;'Instrumentos Financeiros'!$F$80+'Instrumentos Financeiros'!$F$12+1),PMT(((1+'Instrumentos Financeiros'!$L$43)^(1/12)-1),$F$12,-$I$80),0)</f>
        <v>0</v>
      </c>
      <c r="BY171" s="1312">
        <f t="shared" si="100"/>
        <v>0</v>
      </c>
      <c r="BZ171" s="1312">
        <f>CA170*((1+'Instrumentos Financeiros'!$L$43)^(1/12)-1)</f>
        <v>0</v>
      </c>
      <c r="CA171" s="1312">
        <f t="shared" si="101"/>
        <v>0</v>
      </c>
      <c r="CB171" s="1312">
        <f>IF(AND(C171&gt;$F$83,'Instrumentos Financeiros'!C171&lt;'Instrumentos Financeiros'!$F$83+'Instrumentos Financeiros'!$F$13+1),PMT(((1+'Instrumentos Financeiros'!$P$43)^(1/12)-1),$F$13,-$I$83),0)</f>
        <v>0</v>
      </c>
      <c r="CC171" s="1312">
        <f t="shared" si="102"/>
        <v>0</v>
      </c>
      <c r="CD171" s="1312">
        <f>CE170*((1+'Instrumentos Financeiros'!$P$43)^(1/12)-1)</f>
        <v>0</v>
      </c>
      <c r="CE171" s="1312">
        <f t="shared" si="103"/>
        <v>0</v>
      </c>
      <c r="CF171" s="1312">
        <f>IF(AND(C171&gt;$F$84,'Instrumentos Financeiros'!C171&lt;'Instrumentos Financeiros'!$F$84+'Instrumentos Financeiros'!$F$13+1),PMT(((1+'Instrumentos Financeiros'!$Q$43)^(1/12)-1),$F$13,-$I$84),0)</f>
        <v>0</v>
      </c>
      <c r="CG171" s="1312">
        <f t="shared" si="104"/>
        <v>0</v>
      </c>
      <c r="CH171" s="1312">
        <f>CI170*((1+'Instrumentos Financeiros'!$Q$43)^(1/12)-1)</f>
        <v>0</v>
      </c>
      <c r="CI171" s="1312">
        <f t="shared" si="105"/>
        <v>0</v>
      </c>
      <c r="CJ171" s="1312">
        <f>IF(AND(C171&gt;$F$85,'Instrumentos Financeiros'!C171&lt;'Instrumentos Financeiros'!$F$85+'Instrumentos Financeiros'!$F$13+1),PMT(((1+'Instrumentos Financeiros'!$Q$43)^(1/12)-1),$F$13,-$I$85),0)</f>
        <v>0</v>
      </c>
      <c r="CK171" s="1312">
        <f t="shared" si="106"/>
        <v>0</v>
      </c>
      <c r="CL171" s="1312">
        <f>CM170*((1+'Instrumentos Financeiros'!$Q$43)^(1/12)-1)</f>
        <v>0</v>
      </c>
      <c r="CM171" s="1312">
        <f t="shared" si="107"/>
        <v>0</v>
      </c>
      <c r="CN171" s="1312">
        <f>IF(AND(C171&gt;$F$86,'Instrumentos Financeiros'!C171&lt;'Instrumentos Financeiros'!$F$86+'Instrumentos Financeiros'!$F$13+1),PMT(((1+'Instrumentos Financeiros'!$Q$43)^(1/12)-1),$F$13,-$I$86),0)</f>
        <v>0</v>
      </c>
      <c r="CO171" s="1312">
        <f t="shared" si="108"/>
        <v>0</v>
      </c>
      <c r="CP171" s="1312">
        <f>CQ170*((1+'Instrumentos Financeiros'!$Q$43)^(1/12)-1)</f>
        <v>0</v>
      </c>
      <c r="CQ171" s="1312">
        <f t="shared" si="109"/>
        <v>0</v>
      </c>
      <c r="CR171" s="1312">
        <f t="shared" si="78"/>
        <v>91768.589635900134</v>
      </c>
      <c r="CS171" s="1312">
        <f t="shared" si="78"/>
        <v>46101.699953018535</v>
      </c>
      <c r="CT171" s="1312">
        <f t="shared" si="78"/>
        <v>45666.8896828816</v>
      </c>
      <c r="CU171" s="1312">
        <f t="shared" si="78"/>
        <v>11141825.997194663</v>
      </c>
    </row>
    <row r="172" spans="3:99" x14ac:dyDescent="0.35">
      <c r="C172" s="1315">
        <f t="shared" si="79"/>
        <v>79</v>
      </c>
      <c r="D172" s="1312">
        <f>IF(AND(C172&gt;$F$59,'Instrumentos Financeiros'!C172&lt;'Instrumentos Financeiros'!$F$59+'Instrumentos Financeiros'!$F$11+1),PMT(((1+'Instrumentos Financeiros'!$G$43)^(1/12)-1),$F$11,-$I$59),0)</f>
        <v>91768.589635900134</v>
      </c>
      <c r="E172" s="1312">
        <f t="shared" si="76"/>
        <v>46289.877898294719</v>
      </c>
      <c r="F172" s="1312">
        <f>G171*((1+'Instrumentos Financeiros'!$G$43)^(1/12)-1)</f>
        <v>45478.711737605416</v>
      </c>
      <c r="G172" s="1312">
        <f t="shared" si="110"/>
        <v>11095536.119296368</v>
      </c>
      <c r="H172" s="1312">
        <f>IF(AND(C172&gt;$F$60,'Instrumentos Financeiros'!C172&lt;'Instrumentos Financeiros'!$F$60+'Instrumentos Financeiros'!$F$11+1),PMT(((1+'Instrumentos Financeiros'!$G$43)^(1/12)-1),$F$11,-$I$60),0)</f>
        <v>0</v>
      </c>
      <c r="I172" s="1312">
        <f t="shared" si="111"/>
        <v>0</v>
      </c>
      <c r="J172" s="1312">
        <f>K171*((1+'Instrumentos Financeiros'!$G$43)^(1/12)-1)</f>
        <v>0</v>
      </c>
      <c r="K172" s="1312">
        <f t="shared" si="80"/>
        <v>0</v>
      </c>
      <c r="L172" s="1312">
        <f>IF(AND(C172&gt;$F$61,'Instrumentos Financeiros'!C172&lt;'Instrumentos Financeiros'!$F$61+'Instrumentos Financeiros'!$F$11+1),PMT(((1+'Instrumentos Financeiros'!$G$43)^(1/12)-1),$F$11,-$I$61),0)</f>
        <v>0</v>
      </c>
      <c r="M172" s="1312">
        <f t="shared" si="112"/>
        <v>0</v>
      </c>
      <c r="N172" s="1312">
        <f>O171*((1+'Instrumentos Financeiros'!$G$43)^(1/12)-1)</f>
        <v>0</v>
      </c>
      <c r="O172" s="1312">
        <f t="shared" si="81"/>
        <v>0</v>
      </c>
      <c r="P172" s="1312">
        <f>IF(AND(C172&gt;$F$62,'Instrumentos Financeiros'!C172&lt;'Instrumentos Financeiros'!$F$62+'Instrumentos Financeiros'!$F$11+1),PMT(((1+'Instrumentos Financeiros'!$H$43)^(1/12)-1),$F$11,-$I$62),0)</f>
        <v>0</v>
      </c>
      <c r="Q172" s="1312">
        <f t="shared" si="113"/>
        <v>0</v>
      </c>
      <c r="R172" s="1312">
        <f>S171*((1+'Instrumentos Financeiros'!$H$43)^(1/12)-1)</f>
        <v>0</v>
      </c>
      <c r="S172" s="1312">
        <f t="shared" si="82"/>
        <v>0</v>
      </c>
      <c r="T172" s="1312">
        <f>IF(AND(C172&gt;$F$63,'Instrumentos Financeiros'!C172&lt;'Instrumentos Financeiros'!$F$63+'Instrumentos Financeiros'!$F$11+1),PMT(((1+'Instrumentos Financeiros'!$H$43)^(1/12)-1),$F$11,-$I$63),0)</f>
        <v>0</v>
      </c>
      <c r="U172" s="1312">
        <f t="shared" si="114"/>
        <v>0</v>
      </c>
      <c r="V172" s="1312">
        <f>W171*((1+'Instrumentos Financeiros'!$H$43)^(1/12)-1)</f>
        <v>0</v>
      </c>
      <c r="W172" s="1312">
        <f t="shared" si="83"/>
        <v>0</v>
      </c>
      <c r="X172" s="1312">
        <f>IF(AND(C172&gt;$F$64,'Instrumentos Financeiros'!C172&lt;'Instrumentos Financeiros'!$F$64+'Instrumentos Financeiros'!$F$11+1),PMT(((1+'Instrumentos Financeiros'!$H$43)^(1/12)-1),$F$11,-$I$64),0)</f>
        <v>0</v>
      </c>
      <c r="Y172" s="1312">
        <f t="shared" si="115"/>
        <v>0</v>
      </c>
      <c r="Z172" s="1312">
        <f>AA171*((1+'Instrumentos Financeiros'!$H$43)^(1/12)-1)</f>
        <v>0</v>
      </c>
      <c r="AA172" s="1312">
        <f t="shared" si="84"/>
        <v>0</v>
      </c>
      <c r="AB172" s="1312">
        <f>IF(AND(C172&gt;$F$65,'Instrumentos Financeiros'!C172&lt;'Instrumentos Financeiros'!$F$65+'Instrumentos Financeiros'!$F$11+1),PMT(((1+'Instrumentos Financeiros'!$H$43)^(1/12)-1),$F$11,-$I$65),0)</f>
        <v>0</v>
      </c>
      <c r="AC172" s="1312">
        <f t="shared" si="116"/>
        <v>0</v>
      </c>
      <c r="AD172" s="1312">
        <f>AE171*((1+'Instrumentos Financeiros'!$H$43)^(1/12)-1)</f>
        <v>0</v>
      </c>
      <c r="AE172" s="1312">
        <f t="shared" si="85"/>
        <v>0</v>
      </c>
      <c r="AF172" s="1312">
        <f>IF(AND(C172&gt;$F$66,'Instrumentos Financeiros'!C172&lt;'Instrumentos Financeiros'!$F$66+'Instrumentos Financeiros'!$F$11+1),PMT(((1+'Instrumentos Financeiros'!$I$43)^(1/12)-1),$F$11,-$I$66),0)</f>
        <v>0</v>
      </c>
      <c r="AG172" s="1312">
        <f t="shared" si="117"/>
        <v>0</v>
      </c>
      <c r="AH172" s="1312">
        <f>AI171*((1+'Instrumentos Financeiros'!$I$43)^(1/12)-1)</f>
        <v>0</v>
      </c>
      <c r="AI172" s="1312">
        <f t="shared" si="86"/>
        <v>0</v>
      </c>
      <c r="AJ172" s="1312">
        <f>IF(AND(C172&gt;$F$67,'Instrumentos Financeiros'!C172&lt;'Instrumentos Financeiros'!$F$67+'Instrumentos Financeiros'!$F$11+1),PMT(((1+'Instrumentos Financeiros'!$I$43)^(1/12)-1),$F$11,-$I$67),0)</f>
        <v>0</v>
      </c>
      <c r="AK172" s="1312">
        <f t="shared" si="118"/>
        <v>0</v>
      </c>
      <c r="AL172" s="1312">
        <f>AM171*((1+'Instrumentos Financeiros'!$I$43)^(1/12)-1)</f>
        <v>0</v>
      </c>
      <c r="AM172" s="1312">
        <f t="shared" si="87"/>
        <v>0</v>
      </c>
      <c r="AN172" s="1312">
        <f>IF(AND(C172&gt;$F$68,'Instrumentos Financeiros'!C172&lt;'Instrumentos Financeiros'!$F$68+'Instrumentos Financeiros'!$F$11+1),PMT(((1+'Instrumentos Financeiros'!$I$43)^(1/12)-1),$F$11,-$I$68),0)</f>
        <v>0</v>
      </c>
      <c r="AO172" s="1312">
        <f t="shared" si="119"/>
        <v>0</v>
      </c>
      <c r="AP172" s="1312">
        <f>AQ171*((1+'Instrumentos Financeiros'!$I$43)^(1/12)-1)</f>
        <v>0</v>
      </c>
      <c r="AQ172" s="1312">
        <f t="shared" si="88"/>
        <v>0</v>
      </c>
      <c r="AR172" s="1312">
        <f>IF(AND(C172&gt;$F$69,'Instrumentos Financeiros'!C172&lt;'Instrumentos Financeiros'!$F$69+'Instrumentos Financeiros'!$F$11+1),PMT(((1+'Instrumentos Financeiros'!$I$43)^(1/12)-1),$F$11,-$I$69),0)</f>
        <v>0</v>
      </c>
      <c r="AS172" s="1312">
        <f t="shared" si="120"/>
        <v>0</v>
      </c>
      <c r="AT172" s="1312">
        <f>AU171*((1+'Instrumentos Financeiros'!$I$43)^(1/12)-1)</f>
        <v>0</v>
      </c>
      <c r="AU172" s="1312">
        <f t="shared" si="89"/>
        <v>0</v>
      </c>
      <c r="AV172" s="1312">
        <f>IF(AND(C172&gt;$F$70,'Instrumentos Financeiros'!C172&lt;'Instrumentos Financeiros'!$F$70+'Instrumentos Financeiros'!$F$11+1),PMT(((1+'Instrumentos Financeiros'!$J$43)^(1/12)-1),$F$11,-$I$70),0)</f>
        <v>0</v>
      </c>
      <c r="AW172" s="1312">
        <f t="shared" si="121"/>
        <v>0</v>
      </c>
      <c r="AX172" s="1312">
        <f>AY171*((1+'Instrumentos Financeiros'!$J$43)^(1/12)-1)</f>
        <v>0</v>
      </c>
      <c r="AY172" s="1312">
        <f t="shared" si="90"/>
        <v>0</v>
      </c>
      <c r="AZ172" s="1312">
        <f>IF(AND(C172&gt;$F$71,'Instrumentos Financeiros'!C172&lt;'Instrumentos Financeiros'!$F$71+'Instrumentos Financeiros'!$F$11+1),PMT(((1+'Instrumentos Financeiros'!$J$43)^(1/12)-1),$F$11,-$I$71),0)</f>
        <v>0</v>
      </c>
      <c r="BA172" s="1312">
        <f t="shared" si="122"/>
        <v>0</v>
      </c>
      <c r="BB172" s="1312">
        <f>BC171*((1+'Instrumentos Financeiros'!$J$43)^(1/12)-1)</f>
        <v>0</v>
      </c>
      <c r="BC172" s="1312">
        <f t="shared" si="91"/>
        <v>0</v>
      </c>
      <c r="BD172" s="1312">
        <f>IF(AND(C172&gt;$F$72,'Instrumentos Financeiros'!C172&lt;'Instrumentos Financeiros'!$F$72+'Instrumentos Financeiros'!$F$11+1),PMT(((1+'Instrumentos Financeiros'!$J$43)^(1/12)-1),$F$11,-'Instrumentos Financeiros'!$G$7*$G$72),0)</f>
        <v>0</v>
      </c>
      <c r="BE172" s="1312">
        <f t="shared" si="123"/>
        <v>0</v>
      </c>
      <c r="BF172" s="1312">
        <f>BG171*((1+'Instrumentos Financeiros'!$J$43)^(1/12)-1)</f>
        <v>0</v>
      </c>
      <c r="BG172" s="1312">
        <f t="shared" si="92"/>
        <v>0</v>
      </c>
      <c r="BH172" s="1312">
        <f>IF(AND(C172&gt;$F$73,'Instrumentos Financeiros'!C172&lt;'Instrumentos Financeiros'!$F$73+'Instrumentos Financeiros'!$F$11+1),PMT(((1+'Instrumentos Financeiros'!$J$43)^(1/12)-1),$F$11,-$I$73),0)</f>
        <v>0</v>
      </c>
      <c r="BI172" s="1312">
        <f t="shared" si="124"/>
        <v>0</v>
      </c>
      <c r="BJ172" s="1312">
        <f>BK171*((1+'Instrumentos Financeiros'!$J$43)^(1/12)-1)</f>
        <v>0</v>
      </c>
      <c r="BK172" s="1312">
        <f t="shared" si="93"/>
        <v>0</v>
      </c>
      <c r="BL172" s="1312">
        <f>IF(AND(C172&gt;$F$77,'Instrumentos Financeiros'!C172&lt;'Instrumentos Financeiros'!$F$77+'Instrumentos Financeiros'!$F$12+1),PMT(((1+'Instrumentos Financeiros'!$K$43)^(1/12)-1),$F$12,-$I$77),0)</f>
        <v>0</v>
      </c>
      <c r="BM172" s="1312">
        <f t="shared" si="94"/>
        <v>0</v>
      </c>
      <c r="BN172" s="1312">
        <f>BO171*((1+'Instrumentos Financeiros'!$K$43)^(1/12)-1)</f>
        <v>0</v>
      </c>
      <c r="BO172" s="1312">
        <f t="shared" si="95"/>
        <v>0</v>
      </c>
      <c r="BP172" s="1312">
        <f>IF(AND(C172&gt;$F$78,'Instrumentos Financeiros'!C172&lt;'Instrumentos Financeiros'!$F$78+'Instrumentos Financeiros'!$F$12+1),PMT(((1+'Instrumentos Financeiros'!$L$43)^(1/12)-1),$F$12,-$I$78),0)</f>
        <v>0</v>
      </c>
      <c r="BQ172" s="1312">
        <f t="shared" si="96"/>
        <v>0</v>
      </c>
      <c r="BR172" s="1312">
        <f>BS171*((1+'Instrumentos Financeiros'!$L$43)^(1/12)-1)</f>
        <v>0</v>
      </c>
      <c r="BS172" s="1312">
        <f t="shared" si="97"/>
        <v>0</v>
      </c>
      <c r="BT172" s="1312">
        <f>IF(AND(C172&gt;$F$79,'Instrumentos Financeiros'!C172&lt;'Instrumentos Financeiros'!$F$79+'Instrumentos Financeiros'!$F$12+1),PMT(((1+'Instrumentos Financeiros'!$L$43)^(1/12)-1),$F$12,-$I$79),0)</f>
        <v>0</v>
      </c>
      <c r="BU172" s="1312">
        <f t="shared" si="98"/>
        <v>0</v>
      </c>
      <c r="BV172" s="1312">
        <f>BW171*((1+'Instrumentos Financeiros'!$L$43)^(1/12)-1)</f>
        <v>0</v>
      </c>
      <c r="BW172" s="1312">
        <f t="shared" si="99"/>
        <v>0</v>
      </c>
      <c r="BX172" s="1312">
        <f>IF(AND(C172&gt;$F$80,'Instrumentos Financeiros'!C172&lt;'Instrumentos Financeiros'!$F$80+'Instrumentos Financeiros'!$F$12+1),PMT(((1+'Instrumentos Financeiros'!$L$43)^(1/12)-1),$F$12,-$I$80),0)</f>
        <v>0</v>
      </c>
      <c r="BY172" s="1312">
        <f t="shared" si="100"/>
        <v>0</v>
      </c>
      <c r="BZ172" s="1312">
        <f>CA171*((1+'Instrumentos Financeiros'!$L$43)^(1/12)-1)</f>
        <v>0</v>
      </c>
      <c r="CA172" s="1312">
        <f t="shared" si="101"/>
        <v>0</v>
      </c>
      <c r="CB172" s="1312">
        <f>IF(AND(C172&gt;$F$83,'Instrumentos Financeiros'!C172&lt;'Instrumentos Financeiros'!$F$83+'Instrumentos Financeiros'!$F$13+1),PMT(((1+'Instrumentos Financeiros'!$P$43)^(1/12)-1),$F$13,-$I$83),0)</f>
        <v>0</v>
      </c>
      <c r="CC172" s="1312">
        <f t="shared" si="102"/>
        <v>0</v>
      </c>
      <c r="CD172" s="1312">
        <f>CE171*((1+'Instrumentos Financeiros'!$P$43)^(1/12)-1)</f>
        <v>0</v>
      </c>
      <c r="CE172" s="1312">
        <f t="shared" si="103"/>
        <v>0</v>
      </c>
      <c r="CF172" s="1312">
        <f>IF(AND(C172&gt;$F$84,'Instrumentos Financeiros'!C172&lt;'Instrumentos Financeiros'!$F$84+'Instrumentos Financeiros'!$F$13+1),PMT(((1+'Instrumentos Financeiros'!$Q$43)^(1/12)-1),$F$13,-$I$84),0)</f>
        <v>0</v>
      </c>
      <c r="CG172" s="1312">
        <f t="shared" si="104"/>
        <v>0</v>
      </c>
      <c r="CH172" s="1312">
        <f>CI171*((1+'Instrumentos Financeiros'!$Q$43)^(1/12)-1)</f>
        <v>0</v>
      </c>
      <c r="CI172" s="1312">
        <f t="shared" si="105"/>
        <v>0</v>
      </c>
      <c r="CJ172" s="1312">
        <f>IF(AND(C172&gt;$F$85,'Instrumentos Financeiros'!C172&lt;'Instrumentos Financeiros'!$F$85+'Instrumentos Financeiros'!$F$13+1),PMT(((1+'Instrumentos Financeiros'!$Q$43)^(1/12)-1),$F$13,-$I$85),0)</f>
        <v>0</v>
      </c>
      <c r="CK172" s="1312">
        <f t="shared" si="106"/>
        <v>0</v>
      </c>
      <c r="CL172" s="1312">
        <f>CM171*((1+'Instrumentos Financeiros'!$Q$43)^(1/12)-1)</f>
        <v>0</v>
      </c>
      <c r="CM172" s="1312">
        <f t="shared" si="107"/>
        <v>0</v>
      </c>
      <c r="CN172" s="1312">
        <f>IF(AND(C172&gt;$F$86,'Instrumentos Financeiros'!C172&lt;'Instrumentos Financeiros'!$F$86+'Instrumentos Financeiros'!$F$13+1),PMT(((1+'Instrumentos Financeiros'!$Q$43)^(1/12)-1),$F$13,-$I$86),0)</f>
        <v>0</v>
      </c>
      <c r="CO172" s="1312">
        <f t="shared" si="108"/>
        <v>0</v>
      </c>
      <c r="CP172" s="1312">
        <f>CQ171*((1+'Instrumentos Financeiros'!$Q$43)^(1/12)-1)</f>
        <v>0</v>
      </c>
      <c r="CQ172" s="1312">
        <f t="shared" si="109"/>
        <v>0</v>
      </c>
      <c r="CR172" s="1312">
        <f t="shared" si="78"/>
        <v>91768.589635900134</v>
      </c>
      <c r="CS172" s="1312">
        <f t="shared" si="78"/>
        <v>46289.877898294719</v>
      </c>
      <c r="CT172" s="1312">
        <f t="shared" si="78"/>
        <v>45478.711737605416</v>
      </c>
      <c r="CU172" s="1312">
        <f t="shared" si="78"/>
        <v>11095536.119296368</v>
      </c>
    </row>
    <row r="173" spans="3:99" x14ac:dyDescent="0.35">
      <c r="C173" s="1315">
        <f t="shared" si="79"/>
        <v>80</v>
      </c>
      <c r="D173" s="1312">
        <f>IF(AND(C173&gt;$F$59,'Instrumentos Financeiros'!C173&lt;'Instrumentos Financeiros'!$F$59+'Instrumentos Financeiros'!$F$11+1),PMT(((1+'Instrumentos Financeiros'!$G$43)^(1/12)-1),$F$11,-$I$59),0)</f>
        <v>91768.589635900134</v>
      </c>
      <c r="E173" s="1312">
        <f t="shared" si="76"/>
        <v>46478.823948415724</v>
      </c>
      <c r="F173" s="1312">
        <f>G172*((1+'Instrumentos Financeiros'!$G$43)^(1/12)-1)</f>
        <v>45289.765687484411</v>
      </c>
      <c r="G173" s="1312">
        <f t="shared" si="110"/>
        <v>11049057.295347953</v>
      </c>
      <c r="H173" s="1312">
        <f>IF(AND(C173&gt;$F$60,'Instrumentos Financeiros'!C173&lt;'Instrumentos Financeiros'!$F$60+'Instrumentos Financeiros'!$F$11+1),PMT(((1+'Instrumentos Financeiros'!$G$43)^(1/12)-1),$F$11,-$I$60),0)</f>
        <v>0</v>
      </c>
      <c r="I173" s="1312">
        <f t="shared" si="111"/>
        <v>0</v>
      </c>
      <c r="J173" s="1312">
        <f>K172*((1+'Instrumentos Financeiros'!$G$43)^(1/12)-1)</f>
        <v>0</v>
      </c>
      <c r="K173" s="1312">
        <f t="shared" si="80"/>
        <v>0</v>
      </c>
      <c r="L173" s="1312">
        <f>IF(AND(C173&gt;$F$61,'Instrumentos Financeiros'!C173&lt;'Instrumentos Financeiros'!$F$61+'Instrumentos Financeiros'!$F$11+1),PMT(((1+'Instrumentos Financeiros'!$G$43)^(1/12)-1),$F$11,-$I$61),0)</f>
        <v>0</v>
      </c>
      <c r="M173" s="1312">
        <f t="shared" si="112"/>
        <v>0</v>
      </c>
      <c r="N173" s="1312">
        <f>O172*((1+'Instrumentos Financeiros'!$G$43)^(1/12)-1)</f>
        <v>0</v>
      </c>
      <c r="O173" s="1312">
        <f t="shared" si="81"/>
        <v>0</v>
      </c>
      <c r="P173" s="1312">
        <f>IF(AND(C173&gt;$F$62,'Instrumentos Financeiros'!C173&lt;'Instrumentos Financeiros'!$F$62+'Instrumentos Financeiros'!$F$11+1),PMT(((1+'Instrumentos Financeiros'!$H$43)^(1/12)-1),$F$11,-$I$62),0)</f>
        <v>0</v>
      </c>
      <c r="Q173" s="1312">
        <f t="shared" si="113"/>
        <v>0</v>
      </c>
      <c r="R173" s="1312">
        <f>S172*((1+'Instrumentos Financeiros'!$H$43)^(1/12)-1)</f>
        <v>0</v>
      </c>
      <c r="S173" s="1312">
        <f t="shared" si="82"/>
        <v>0</v>
      </c>
      <c r="T173" s="1312">
        <f>IF(AND(C173&gt;$F$63,'Instrumentos Financeiros'!C173&lt;'Instrumentos Financeiros'!$F$63+'Instrumentos Financeiros'!$F$11+1),PMT(((1+'Instrumentos Financeiros'!$H$43)^(1/12)-1),$F$11,-$I$63),0)</f>
        <v>0</v>
      </c>
      <c r="U173" s="1312">
        <f t="shared" si="114"/>
        <v>0</v>
      </c>
      <c r="V173" s="1312">
        <f>W172*((1+'Instrumentos Financeiros'!$H$43)^(1/12)-1)</f>
        <v>0</v>
      </c>
      <c r="W173" s="1312">
        <f t="shared" si="83"/>
        <v>0</v>
      </c>
      <c r="X173" s="1312">
        <f>IF(AND(C173&gt;$F$64,'Instrumentos Financeiros'!C173&lt;'Instrumentos Financeiros'!$F$64+'Instrumentos Financeiros'!$F$11+1),PMT(((1+'Instrumentos Financeiros'!$H$43)^(1/12)-1),$F$11,-$I$64),0)</f>
        <v>0</v>
      </c>
      <c r="Y173" s="1312">
        <f t="shared" si="115"/>
        <v>0</v>
      </c>
      <c r="Z173" s="1312">
        <f>AA172*((1+'Instrumentos Financeiros'!$H$43)^(1/12)-1)</f>
        <v>0</v>
      </c>
      <c r="AA173" s="1312">
        <f t="shared" si="84"/>
        <v>0</v>
      </c>
      <c r="AB173" s="1312">
        <f>IF(AND(C173&gt;$F$65,'Instrumentos Financeiros'!C173&lt;'Instrumentos Financeiros'!$F$65+'Instrumentos Financeiros'!$F$11+1),PMT(((1+'Instrumentos Financeiros'!$H$43)^(1/12)-1),$F$11,-$I$65),0)</f>
        <v>0</v>
      </c>
      <c r="AC173" s="1312">
        <f t="shared" si="116"/>
        <v>0</v>
      </c>
      <c r="AD173" s="1312">
        <f>AE172*((1+'Instrumentos Financeiros'!$H$43)^(1/12)-1)</f>
        <v>0</v>
      </c>
      <c r="AE173" s="1312">
        <f t="shared" si="85"/>
        <v>0</v>
      </c>
      <c r="AF173" s="1312">
        <f>IF(AND(C173&gt;$F$66,'Instrumentos Financeiros'!C173&lt;'Instrumentos Financeiros'!$F$66+'Instrumentos Financeiros'!$F$11+1),PMT(((1+'Instrumentos Financeiros'!$I$43)^(1/12)-1),$F$11,-$I$66),0)</f>
        <v>0</v>
      </c>
      <c r="AG173" s="1312">
        <f t="shared" si="117"/>
        <v>0</v>
      </c>
      <c r="AH173" s="1312">
        <f>AI172*((1+'Instrumentos Financeiros'!$I$43)^(1/12)-1)</f>
        <v>0</v>
      </c>
      <c r="AI173" s="1312">
        <f t="shared" si="86"/>
        <v>0</v>
      </c>
      <c r="AJ173" s="1312">
        <f>IF(AND(C173&gt;$F$67,'Instrumentos Financeiros'!C173&lt;'Instrumentos Financeiros'!$F$67+'Instrumentos Financeiros'!$F$11+1),PMT(((1+'Instrumentos Financeiros'!$I$43)^(1/12)-1),$F$11,-$I$67),0)</f>
        <v>0</v>
      </c>
      <c r="AK173" s="1312">
        <f t="shared" si="118"/>
        <v>0</v>
      </c>
      <c r="AL173" s="1312">
        <f>AM172*((1+'Instrumentos Financeiros'!$I$43)^(1/12)-1)</f>
        <v>0</v>
      </c>
      <c r="AM173" s="1312">
        <f t="shared" si="87"/>
        <v>0</v>
      </c>
      <c r="AN173" s="1312">
        <f>IF(AND(C173&gt;$F$68,'Instrumentos Financeiros'!C173&lt;'Instrumentos Financeiros'!$F$68+'Instrumentos Financeiros'!$F$11+1),PMT(((1+'Instrumentos Financeiros'!$I$43)^(1/12)-1),$F$11,-$I$68),0)</f>
        <v>0</v>
      </c>
      <c r="AO173" s="1312">
        <f t="shared" si="119"/>
        <v>0</v>
      </c>
      <c r="AP173" s="1312">
        <f>AQ172*((1+'Instrumentos Financeiros'!$I$43)^(1/12)-1)</f>
        <v>0</v>
      </c>
      <c r="AQ173" s="1312">
        <f t="shared" si="88"/>
        <v>0</v>
      </c>
      <c r="AR173" s="1312">
        <f>IF(AND(C173&gt;$F$69,'Instrumentos Financeiros'!C173&lt;'Instrumentos Financeiros'!$F$69+'Instrumentos Financeiros'!$F$11+1),PMT(((1+'Instrumentos Financeiros'!$I$43)^(1/12)-1),$F$11,-$I$69),0)</f>
        <v>0</v>
      </c>
      <c r="AS173" s="1312">
        <f t="shared" si="120"/>
        <v>0</v>
      </c>
      <c r="AT173" s="1312">
        <f>AU172*((1+'Instrumentos Financeiros'!$I$43)^(1/12)-1)</f>
        <v>0</v>
      </c>
      <c r="AU173" s="1312">
        <f t="shared" si="89"/>
        <v>0</v>
      </c>
      <c r="AV173" s="1312">
        <f>IF(AND(C173&gt;$F$70,'Instrumentos Financeiros'!C173&lt;'Instrumentos Financeiros'!$F$70+'Instrumentos Financeiros'!$F$11+1),PMT(((1+'Instrumentos Financeiros'!$J$43)^(1/12)-1),$F$11,-$I$70),0)</f>
        <v>0</v>
      </c>
      <c r="AW173" s="1312">
        <f t="shared" si="121"/>
        <v>0</v>
      </c>
      <c r="AX173" s="1312">
        <f>AY172*((1+'Instrumentos Financeiros'!$J$43)^(1/12)-1)</f>
        <v>0</v>
      </c>
      <c r="AY173" s="1312">
        <f t="shared" si="90"/>
        <v>0</v>
      </c>
      <c r="AZ173" s="1312">
        <f>IF(AND(C173&gt;$F$71,'Instrumentos Financeiros'!C173&lt;'Instrumentos Financeiros'!$F$71+'Instrumentos Financeiros'!$F$11+1),PMT(((1+'Instrumentos Financeiros'!$J$43)^(1/12)-1),$F$11,-$I$71),0)</f>
        <v>0</v>
      </c>
      <c r="BA173" s="1312">
        <f t="shared" si="122"/>
        <v>0</v>
      </c>
      <c r="BB173" s="1312">
        <f>BC172*((1+'Instrumentos Financeiros'!$J$43)^(1/12)-1)</f>
        <v>0</v>
      </c>
      <c r="BC173" s="1312">
        <f t="shared" si="91"/>
        <v>0</v>
      </c>
      <c r="BD173" s="1312">
        <f>IF(AND(C173&gt;$F$72,'Instrumentos Financeiros'!C173&lt;'Instrumentos Financeiros'!$F$72+'Instrumentos Financeiros'!$F$11+1),PMT(((1+'Instrumentos Financeiros'!$J$43)^(1/12)-1),$F$11,-'Instrumentos Financeiros'!$G$7*$G$72),0)</f>
        <v>0</v>
      </c>
      <c r="BE173" s="1312">
        <f t="shared" si="123"/>
        <v>0</v>
      </c>
      <c r="BF173" s="1312">
        <f>BG172*((1+'Instrumentos Financeiros'!$J$43)^(1/12)-1)</f>
        <v>0</v>
      </c>
      <c r="BG173" s="1312">
        <f t="shared" si="92"/>
        <v>0</v>
      </c>
      <c r="BH173" s="1312">
        <f>IF(AND(C173&gt;$F$73,'Instrumentos Financeiros'!C173&lt;'Instrumentos Financeiros'!$F$73+'Instrumentos Financeiros'!$F$11+1),PMT(((1+'Instrumentos Financeiros'!$J$43)^(1/12)-1),$F$11,-$I$73),0)</f>
        <v>0</v>
      </c>
      <c r="BI173" s="1312">
        <f t="shared" si="124"/>
        <v>0</v>
      </c>
      <c r="BJ173" s="1312">
        <f>BK172*((1+'Instrumentos Financeiros'!$J$43)^(1/12)-1)</f>
        <v>0</v>
      </c>
      <c r="BK173" s="1312">
        <f t="shared" si="93"/>
        <v>0</v>
      </c>
      <c r="BL173" s="1312">
        <f>IF(AND(C173&gt;$F$77,'Instrumentos Financeiros'!C173&lt;'Instrumentos Financeiros'!$F$77+'Instrumentos Financeiros'!$F$12+1),PMT(((1+'Instrumentos Financeiros'!$K$43)^(1/12)-1),$F$12,-$I$77),0)</f>
        <v>0</v>
      </c>
      <c r="BM173" s="1312">
        <f t="shared" si="94"/>
        <v>0</v>
      </c>
      <c r="BN173" s="1312">
        <f>BO172*((1+'Instrumentos Financeiros'!$K$43)^(1/12)-1)</f>
        <v>0</v>
      </c>
      <c r="BO173" s="1312">
        <f t="shared" si="95"/>
        <v>0</v>
      </c>
      <c r="BP173" s="1312">
        <f>IF(AND(C173&gt;$F$78,'Instrumentos Financeiros'!C173&lt;'Instrumentos Financeiros'!$F$78+'Instrumentos Financeiros'!$F$12+1),PMT(((1+'Instrumentos Financeiros'!$L$43)^(1/12)-1),$F$12,-$I$78),0)</f>
        <v>0</v>
      </c>
      <c r="BQ173" s="1312">
        <f t="shared" si="96"/>
        <v>0</v>
      </c>
      <c r="BR173" s="1312">
        <f>BS172*((1+'Instrumentos Financeiros'!$L$43)^(1/12)-1)</f>
        <v>0</v>
      </c>
      <c r="BS173" s="1312">
        <f t="shared" si="97"/>
        <v>0</v>
      </c>
      <c r="BT173" s="1312">
        <f>IF(AND(C173&gt;$F$79,'Instrumentos Financeiros'!C173&lt;'Instrumentos Financeiros'!$F$79+'Instrumentos Financeiros'!$F$12+1),PMT(((1+'Instrumentos Financeiros'!$L$43)^(1/12)-1),$F$12,-$I$79),0)</f>
        <v>0</v>
      </c>
      <c r="BU173" s="1312">
        <f t="shared" si="98"/>
        <v>0</v>
      </c>
      <c r="BV173" s="1312">
        <f>BW172*((1+'Instrumentos Financeiros'!$L$43)^(1/12)-1)</f>
        <v>0</v>
      </c>
      <c r="BW173" s="1312">
        <f t="shared" si="99"/>
        <v>0</v>
      </c>
      <c r="BX173" s="1312">
        <f>IF(AND(C173&gt;$F$80,'Instrumentos Financeiros'!C173&lt;'Instrumentos Financeiros'!$F$80+'Instrumentos Financeiros'!$F$12+1),PMT(((1+'Instrumentos Financeiros'!$L$43)^(1/12)-1),$F$12,-$I$80),0)</f>
        <v>0</v>
      </c>
      <c r="BY173" s="1312">
        <f t="shared" si="100"/>
        <v>0</v>
      </c>
      <c r="BZ173" s="1312">
        <f>CA172*((1+'Instrumentos Financeiros'!$L$43)^(1/12)-1)</f>
        <v>0</v>
      </c>
      <c r="CA173" s="1312">
        <f t="shared" si="101"/>
        <v>0</v>
      </c>
      <c r="CB173" s="1312">
        <f>IF(AND(C173&gt;$F$83,'Instrumentos Financeiros'!C173&lt;'Instrumentos Financeiros'!$F$83+'Instrumentos Financeiros'!$F$13+1),PMT(((1+'Instrumentos Financeiros'!$P$43)^(1/12)-1),$F$13,-$I$83),0)</f>
        <v>0</v>
      </c>
      <c r="CC173" s="1312">
        <f t="shared" si="102"/>
        <v>0</v>
      </c>
      <c r="CD173" s="1312">
        <f>CE172*((1+'Instrumentos Financeiros'!$P$43)^(1/12)-1)</f>
        <v>0</v>
      </c>
      <c r="CE173" s="1312">
        <f t="shared" si="103"/>
        <v>0</v>
      </c>
      <c r="CF173" s="1312">
        <f>IF(AND(C173&gt;$F$84,'Instrumentos Financeiros'!C173&lt;'Instrumentos Financeiros'!$F$84+'Instrumentos Financeiros'!$F$13+1),PMT(((1+'Instrumentos Financeiros'!$Q$43)^(1/12)-1),$F$13,-$I$84),0)</f>
        <v>0</v>
      </c>
      <c r="CG173" s="1312">
        <f t="shared" si="104"/>
        <v>0</v>
      </c>
      <c r="CH173" s="1312">
        <f>CI172*((1+'Instrumentos Financeiros'!$Q$43)^(1/12)-1)</f>
        <v>0</v>
      </c>
      <c r="CI173" s="1312">
        <f t="shared" si="105"/>
        <v>0</v>
      </c>
      <c r="CJ173" s="1312">
        <f>IF(AND(C173&gt;$F$85,'Instrumentos Financeiros'!C173&lt;'Instrumentos Financeiros'!$F$85+'Instrumentos Financeiros'!$F$13+1),PMT(((1+'Instrumentos Financeiros'!$Q$43)^(1/12)-1),$F$13,-$I$85),0)</f>
        <v>0</v>
      </c>
      <c r="CK173" s="1312">
        <f t="shared" si="106"/>
        <v>0</v>
      </c>
      <c r="CL173" s="1312">
        <f>CM172*((1+'Instrumentos Financeiros'!$Q$43)^(1/12)-1)</f>
        <v>0</v>
      </c>
      <c r="CM173" s="1312">
        <f t="shared" si="107"/>
        <v>0</v>
      </c>
      <c r="CN173" s="1312">
        <f>IF(AND(C173&gt;$F$86,'Instrumentos Financeiros'!C173&lt;'Instrumentos Financeiros'!$F$86+'Instrumentos Financeiros'!$F$13+1),PMT(((1+'Instrumentos Financeiros'!$Q$43)^(1/12)-1),$F$13,-$I$86),0)</f>
        <v>0</v>
      </c>
      <c r="CO173" s="1312">
        <f t="shared" si="108"/>
        <v>0</v>
      </c>
      <c r="CP173" s="1312">
        <f>CQ172*((1+'Instrumentos Financeiros'!$Q$43)^(1/12)-1)</f>
        <v>0</v>
      </c>
      <c r="CQ173" s="1312">
        <f t="shared" si="109"/>
        <v>0</v>
      </c>
      <c r="CR173" s="1312">
        <f t="shared" si="78"/>
        <v>91768.589635900134</v>
      </c>
      <c r="CS173" s="1312">
        <f t="shared" si="78"/>
        <v>46478.823948415724</v>
      </c>
      <c r="CT173" s="1312">
        <f t="shared" si="78"/>
        <v>45289.765687484411</v>
      </c>
      <c r="CU173" s="1312">
        <f t="shared" si="78"/>
        <v>11049057.295347953</v>
      </c>
    </row>
    <row r="174" spans="3:99" x14ac:dyDescent="0.35">
      <c r="C174" s="1315">
        <f t="shared" si="79"/>
        <v>81</v>
      </c>
      <c r="D174" s="1312">
        <f>IF(AND(C174&gt;$F$59,'Instrumentos Financeiros'!C174&lt;'Instrumentos Financeiros'!$F$59+'Instrumentos Financeiros'!$F$11+1),PMT(((1+'Instrumentos Financeiros'!$G$43)^(1/12)-1),$F$11,-$I$59),0)</f>
        <v>91768.589635900134</v>
      </c>
      <c r="E174" s="1312">
        <f t="shared" si="76"/>
        <v>46668.541238632344</v>
      </c>
      <c r="F174" s="1312">
        <f>G173*((1+'Instrumentos Financeiros'!$G$43)^(1/12)-1)</f>
        <v>45100.04839726779</v>
      </c>
      <c r="G174" s="1312">
        <f t="shared" si="110"/>
        <v>11002388.754109321</v>
      </c>
      <c r="H174" s="1312">
        <f>IF(AND(C174&gt;$F$60,'Instrumentos Financeiros'!C174&lt;'Instrumentos Financeiros'!$F$60+'Instrumentos Financeiros'!$F$11+1),PMT(((1+'Instrumentos Financeiros'!$G$43)^(1/12)-1),$F$11,-$I$60),0)</f>
        <v>0</v>
      </c>
      <c r="I174" s="1312">
        <f t="shared" si="111"/>
        <v>0</v>
      </c>
      <c r="J174" s="1312">
        <f>K173*((1+'Instrumentos Financeiros'!$G$43)^(1/12)-1)</f>
        <v>0</v>
      </c>
      <c r="K174" s="1312">
        <f t="shared" si="80"/>
        <v>0</v>
      </c>
      <c r="L174" s="1312">
        <f>IF(AND(C174&gt;$F$61,'Instrumentos Financeiros'!C174&lt;'Instrumentos Financeiros'!$F$61+'Instrumentos Financeiros'!$F$11+1),PMT(((1+'Instrumentos Financeiros'!$G$43)^(1/12)-1),$F$11,-$I$61),0)</f>
        <v>0</v>
      </c>
      <c r="M174" s="1312">
        <f t="shared" si="112"/>
        <v>0</v>
      </c>
      <c r="N174" s="1312">
        <f>O173*((1+'Instrumentos Financeiros'!$G$43)^(1/12)-1)</f>
        <v>0</v>
      </c>
      <c r="O174" s="1312">
        <f t="shared" si="81"/>
        <v>0</v>
      </c>
      <c r="P174" s="1312">
        <f>IF(AND(C174&gt;$F$62,'Instrumentos Financeiros'!C174&lt;'Instrumentos Financeiros'!$F$62+'Instrumentos Financeiros'!$F$11+1),PMT(((1+'Instrumentos Financeiros'!$H$43)^(1/12)-1),$F$11,-$I$62),0)</f>
        <v>0</v>
      </c>
      <c r="Q174" s="1312">
        <f t="shared" si="113"/>
        <v>0</v>
      </c>
      <c r="R174" s="1312">
        <f>S173*((1+'Instrumentos Financeiros'!$H$43)^(1/12)-1)</f>
        <v>0</v>
      </c>
      <c r="S174" s="1312">
        <f t="shared" si="82"/>
        <v>0</v>
      </c>
      <c r="T174" s="1312">
        <f>IF(AND(C174&gt;$F$63,'Instrumentos Financeiros'!C174&lt;'Instrumentos Financeiros'!$F$63+'Instrumentos Financeiros'!$F$11+1),PMT(((1+'Instrumentos Financeiros'!$H$43)^(1/12)-1),$F$11,-$I$63),0)</f>
        <v>0</v>
      </c>
      <c r="U174" s="1312">
        <f t="shared" si="114"/>
        <v>0</v>
      </c>
      <c r="V174" s="1312">
        <f>W173*((1+'Instrumentos Financeiros'!$H$43)^(1/12)-1)</f>
        <v>0</v>
      </c>
      <c r="W174" s="1312">
        <f t="shared" si="83"/>
        <v>0</v>
      </c>
      <c r="X174" s="1312">
        <f>IF(AND(C174&gt;$F$64,'Instrumentos Financeiros'!C174&lt;'Instrumentos Financeiros'!$F$64+'Instrumentos Financeiros'!$F$11+1),PMT(((1+'Instrumentos Financeiros'!$H$43)^(1/12)-1),$F$11,-$I$64),0)</f>
        <v>0</v>
      </c>
      <c r="Y174" s="1312">
        <f t="shared" si="115"/>
        <v>0</v>
      </c>
      <c r="Z174" s="1312">
        <f>AA173*((1+'Instrumentos Financeiros'!$H$43)^(1/12)-1)</f>
        <v>0</v>
      </c>
      <c r="AA174" s="1312">
        <f t="shared" si="84"/>
        <v>0</v>
      </c>
      <c r="AB174" s="1312">
        <f>IF(AND(C174&gt;$F$65,'Instrumentos Financeiros'!C174&lt;'Instrumentos Financeiros'!$F$65+'Instrumentos Financeiros'!$F$11+1),PMT(((1+'Instrumentos Financeiros'!$H$43)^(1/12)-1),$F$11,-$I$65),0)</f>
        <v>0</v>
      </c>
      <c r="AC174" s="1312">
        <f t="shared" si="116"/>
        <v>0</v>
      </c>
      <c r="AD174" s="1312">
        <f>AE173*((1+'Instrumentos Financeiros'!$H$43)^(1/12)-1)</f>
        <v>0</v>
      </c>
      <c r="AE174" s="1312">
        <f t="shared" si="85"/>
        <v>0</v>
      </c>
      <c r="AF174" s="1312">
        <f>IF(AND(C174&gt;$F$66,'Instrumentos Financeiros'!C174&lt;'Instrumentos Financeiros'!$F$66+'Instrumentos Financeiros'!$F$11+1),PMT(((1+'Instrumentos Financeiros'!$I$43)^(1/12)-1),$F$11,-$I$66),0)</f>
        <v>0</v>
      </c>
      <c r="AG174" s="1312">
        <f t="shared" si="117"/>
        <v>0</v>
      </c>
      <c r="AH174" s="1312">
        <f>AI173*((1+'Instrumentos Financeiros'!$I$43)^(1/12)-1)</f>
        <v>0</v>
      </c>
      <c r="AI174" s="1312">
        <f t="shared" si="86"/>
        <v>0</v>
      </c>
      <c r="AJ174" s="1312">
        <f>IF(AND(C174&gt;$F$67,'Instrumentos Financeiros'!C174&lt;'Instrumentos Financeiros'!$F$67+'Instrumentos Financeiros'!$F$11+1),PMT(((1+'Instrumentos Financeiros'!$I$43)^(1/12)-1),$F$11,-$I$67),0)</f>
        <v>0</v>
      </c>
      <c r="AK174" s="1312">
        <f t="shared" si="118"/>
        <v>0</v>
      </c>
      <c r="AL174" s="1312">
        <f>AM173*((1+'Instrumentos Financeiros'!$I$43)^(1/12)-1)</f>
        <v>0</v>
      </c>
      <c r="AM174" s="1312">
        <f t="shared" si="87"/>
        <v>0</v>
      </c>
      <c r="AN174" s="1312">
        <f>IF(AND(C174&gt;$F$68,'Instrumentos Financeiros'!C174&lt;'Instrumentos Financeiros'!$F$68+'Instrumentos Financeiros'!$F$11+1),PMT(((1+'Instrumentos Financeiros'!$I$43)^(1/12)-1),$F$11,-$I$68),0)</f>
        <v>0</v>
      </c>
      <c r="AO174" s="1312">
        <f t="shared" si="119"/>
        <v>0</v>
      </c>
      <c r="AP174" s="1312">
        <f>AQ173*((1+'Instrumentos Financeiros'!$I$43)^(1/12)-1)</f>
        <v>0</v>
      </c>
      <c r="AQ174" s="1312">
        <f t="shared" si="88"/>
        <v>0</v>
      </c>
      <c r="AR174" s="1312">
        <f>IF(AND(C174&gt;$F$69,'Instrumentos Financeiros'!C174&lt;'Instrumentos Financeiros'!$F$69+'Instrumentos Financeiros'!$F$11+1),PMT(((1+'Instrumentos Financeiros'!$I$43)^(1/12)-1),$F$11,-$I$69),0)</f>
        <v>0</v>
      </c>
      <c r="AS174" s="1312">
        <f t="shared" si="120"/>
        <v>0</v>
      </c>
      <c r="AT174" s="1312">
        <f>AU173*((1+'Instrumentos Financeiros'!$I$43)^(1/12)-1)</f>
        <v>0</v>
      </c>
      <c r="AU174" s="1312">
        <f t="shared" si="89"/>
        <v>0</v>
      </c>
      <c r="AV174" s="1312">
        <f>IF(AND(C174&gt;$F$70,'Instrumentos Financeiros'!C174&lt;'Instrumentos Financeiros'!$F$70+'Instrumentos Financeiros'!$F$11+1),PMT(((1+'Instrumentos Financeiros'!$J$43)^(1/12)-1),$F$11,-$I$70),0)</f>
        <v>0</v>
      </c>
      <c r="AW174" s="1312">
        <f t="shared" si="121"/>
        <v>0</v>
      </c>
      <c r="AX174" s="1312">
        <f>AY173*((1+'Instrumentos Financeiros'!$J$43)^(1/12)-1)</f>
        <v>0</v>
      </c>
      <c r="AY174" s="1312">
        <f t="shared" si="90"/>
        <v>0</v>
      </c>
      <c r="AZ174" s="1312">
        <f>IF(AND(C174&gt;$F$71,'Instrumentos Financeiros'!C174&lt;'Instrumentos Financeiros'!$F$71+'Instrumentos Financeiros'!$F$11+1),PMT(((1+'Instrumentos Financeiros'!$J$43)^(1/12)-1),$F$11,-$I$71),0)</f>
        <v>0</v>
      </c>
      <c r="BA174" s="1312">
        <f t="shared" si="122"/>
        <v>0</v>
      </c>
      <c r="BB174" s="1312">
        <f>BC173*((1+'Instrumentos Financeiros'!$J$43)^(1/12)-1)</f>
        <v>0</v>
      </c>
      <c r="BC174" s="1312">
        <f t="shared" si="91"/>
        <v>0</v>
      </c>
      <c r="BD174" s="1312">
        <f>IF(AND(C174&gt;$F$72,'Instrumentos Financeiros'!C174&lt;'Instrumentos Financeiros'!$F$72+'Instrumentos Financeiros'!$F$11+1),PMT(((1+'Instrumentos Financeiros'!$J$43)^(1/12)-1),$F$11,-'Instrumentos Financeiros'!$G$7*$G$72),0)</f>
        <v>0</v>
      </c>
      <c r="BE174" s="1312">
        <f t="shared" si="123"/>
        <v>0</v>
      </c>
      <c r="BF174" s="1312">
        <f>BG173*((1+'Instrumentos Financeiros'!$J$43)^(1/12)-1)</f>
        <v>0</v>
      </c>
      <c r="BG174" s="1312">
        <f t="shared" si="92"/>
        <v>0</v>
      </c>
      <c r="BH174" s="1312">
        <f>IF(AND(C174&gt;$F$73,'Instrumentos Financeiros'!C174&lt;'Instrumentos Financeiros'!$F$73+'Instrumentos Financeiros'!$F$11+1),PMT(((1+'Instrumentos Financeiros'!$J$43)^(1/12)-1),$F$11,-$I$73),0)</f>
        <v>0</v>
      </c>
      <c r="BI174" s="1312">
        <f t="shared" si="124"/>
        <v>0</v>
      </c>
      <c r="BJ174" s="1312">
        <f>BK173*((1+'Instrumentos Financeiros'!$J$43)^(1/12)-1)</f>
        <v>0</v>
      </c>
      <c r="BK174" s="1312">
        <f t="shared" si="93"/>
        <v>0</v>
      </c>
      <c r="BL174" s="1312">
        <f>IF(AND(C174&gt;$F$77,'Instrumentos Financeiros'!C174&lt;'Instrumentos Financeiros'!$F$77+'Instrumentos Financeiros'!$F$12+1),PMT(((1+'Instrumentos Financeiros'!$K$43)^(1/12)-1),$F$12,-$I$77),0)</f>
        <v>0</v>
      </c>
      <c r="BM174" s="1312">
        <f t="shared" si="94"/>
        <v>0</v>
      </c>
      <c r="BN174" s="1312">
        <f>BO173*((1+'Instrumentos Financeiros'!$K$43)^(1/12)-1)</f>
        <v>0</v>
      </c>
      <c r="BO174" s="1312">
        <f t="shared" si="95"/>
        <v>0</v>
      </c>
      <c r="BP174" s="1312">
        <f>IF(AND(C174&gt;$F$78,'Instrumentos Financeiros'!C174&lt;'Instrumentos Financeiros'!$F$78+'Instrumentos Financeiros'!$F$12+1),PMT(((1+'Instrumentos Financeiros'!$L$43)^(1/12)-1),$F$12,-$I$78),0)</f>
        <v>0</v>
      </c>
      <c r="BQ174" s="1312">
        <f t="shared" si="96"/>
        <v>0</v>
      </c>
      <c r="BR174" s="1312">
        <f>BS173*((1+'Instrumentos Financeiros'!$L$43)^(1/12)-1)</f>
        <v>0</v>
      </c>
      <c r="BS174" s="1312">
        <f t="shared" si="97"/>
        <v>0</v>
      </c>
      <c r="BT174" s="1312">
        <f>IF(AND(C174&gt;$F$79,'Instrumentos Financeiros'!C174&lt;'Instrumentos Financeiros'!$F$79+'Instrumentos Financeiros'!$F$12+1),PMT(((1+'Instrumentos Financeiros'!$L$43)^(1/12)-1),$F$12,-$I$79),0)</f>
        <v>0</v>
      </c>
      <c r="BU174" s="1312">
        <f t="shared" si="98"/>
        <v>0</v>
      </c>
      <c r="BV174" s="1312">
        <f>BW173*((1+'Instrumentos Financeiros'!$L$43)^(1/12)-1)</f>
        <v>0</v>
      </c>
      <c r="BW174" s="1312">
        <f t="shared" si="99"/>
        <v>0</v>
      </c>
      <c r="BX174" s="1312">
        <f>IF(AND(C174&gt;$F$80,'Instrumentos Financeiros'!C174&lt;'Instrumentos Financeiros'!$F$80+'Instrumentos Financeiros'!$F$12+1),PMT(((1+'Instrumentos Financeiros'!$L$43)^(1/12)-1),$F$12,-$I$80),0)</f>
        <v>0</v>
      </c>
      <c r="BY174" s="1312">
        <f t="shared" si="100"/>
        <v>0</v>
      </c>
      <c r="BZ174" s="1312">
        <f>CA173*((1+'Instrumentos Financeiros'!$L$43)^(1/12)-1)</f>
        <v>0</v>
      </c>
      <c r="CA174" s="1312">
        <f t="shared" si="101"/>
        <v>0</v>
      </c>
      <c r="CB174" s="1312">
        <f>IF(AND(C174&gt;$F$83,'Instrumentos Financeiros'!C174&lt;'Instrumentos Financeiros'!$F$83+'Instrumentos Financeiros'!$F$13+1),PMT(((1+'Instrumentos Financeiros'!$P$43)^(1/12)-1),$F$13,-$I$83),0)</f>
        <v>0</v>
      </c>
      <c r="CC174" s="1312">
        <f t="shared" si="102"/>
        <v>0</v>
      </c>
      <c r="CD174" s="1312">
        <f>CE173*((1+'Instrumentos Financeiros'!$P$43)^(1/12)-1)</f>
        <v>0</v>
      </c>
      <c r="CE174" s="1312">
        <f t="shared" si="103"/>
        <v>0</v>
      </c>
      <c r="CF174" s="1312">
        <f>IF(AND(C174&gt;$F$84,'Instrumentos Financeiros'!C174&lt;'Instrumentos Financeiros'!$F$84+'Instrumentos Financeiros'!$F$13+1),PMT(((1+'Instrumentos Financeiros'!$Q$43)^(1/12)-1),$F$13,-$I$84),0)</f>
        <v>0</v>
      </c>
      <c r="CG174" s="1312">
        <f t="shared" si="104"/>
        <v>0</v>
      </c>
      <c r="CH174" s="1312">
        <f>CI173*((1+'Instrumentos Financeiros'!$Q$43)^(1/12)-1)</f>
        <v>0</v>
      </c>
      <c r="CI174" s="1312">
        <f t="shared" si="105"/>
        <v>0</v>
      </c>
      <c r="CJ174" s="1312">
        <f>IF(AND(C174&gt;$F$85,'Instrumentos Financeiros'!C174&lt;'Instrumentos Financeiros'!$F$85+'Instrumentos Financeiros'!$F$13+1),PMT(((1+'Instrumentos Financeiros'!$Q$43)^(1/12)-1),$F$13,-$I$85),0)</f>
        <v>0</v>
      </c>
      <c r="CK174" s="1312">
        <f t="shared" si="106"/>
        <v>0</v>
      </c>
      <c r="CL174" s="1312">
        <f>CM173*((1+'Instrumentos Financeiros'!$Q$43)^(1/12)-1)</f>
        <v>0</v>
      </c>
      <c r="CM174" s="1312">
        <f t="shared" si="107"/>
        <v>0</v>
      </c>
      <c r="CN174" s="1312">
        <f>IF(AND(C174&gt;$F$86,'Instrumentos Financeiros'!C174&lt;'Instrumentos Financeiros'!$F$86+'Instrumentos Financeiros'!$F$13+1),PMT(((1+'Instrumentos Financeiros'!$Q$43)^(1/12)-1),$F$13,-$I$86),0)</f>
        <v>0</v>
      </c>
      <c r="CO174" s="1312">
        <f t="shared" si="108"/>
        <v>0</v>
      </c>
      <c r="CP174" s="1312">
        <f>CQ173*((1+'Instrumentos Financeiros'!$Q$43)^(1/12)-1)</f>
        <v>0</v>
      </c>
      <c r="CQ174" s="1312">
        <f t="shared" si="109"/>
        <v>0</v>
      </c>
      <c r="CR174" s="1312">
        <f t="shared" si="78"/>
        <v>91768.589635900134</v>
      </c>
      <c r="CS174" s="1312">
        <f t="shared" si="78"/>
        <v>46668.541238632344</v>
      </c>
      <c r="CT174" s="1312">
        <f t="shared" si="78"/>
        <v>45100.04839726779</v>
      </c>
      <c r="CU174" s="1312">
        <f t="shared" si="78"/>
        <v>11002388.754109321</v>
      </c>
    </row>
    <row r="175" spans="3:99" x14ac:dyDescent="0.35">
      <c r="C175" s="1315">
        <f t="shared" si="79"/>
        <v>82</v>
      </c>
      <c r="D175" s="1312">
        <f>IF(AND(C175&gt;$F$59,'Instrumentos Financeiros'!C175&lt;'Instrumentos Financeiros'!$F$59+'Instrumentos Financeiros'!$F$11+1),PMT(((1+'Instrumentos Financeiros'!$G$43)^(1/12)-1),$F$11,-$I$59),0)</f>
        <v>91768.589635900134</v>
      </c>
      <c r="E175" s="1312">
        <f t="shared" si="76"/>
        <v>46859.032916992852</v>
      </c>
      <c r="F175" s="1312">
        <f>G174*((1+'Instrumentos Financeiros'!$G$43)^(1/12)-1)</f>
        <v>44909.556718907283</v>
      </c>
      <c r="G175" s="1312">
        <f t="shared" si="110"/>
        <v>10955529.721192328</v>
      </c>
      <c r="H175" s="1312">
        <f>IF(AND(C175&gt;$F$60,'Instrumentos Financeiros'!C175&lt;'Instrumentos Financeiros'!$F$60+'Instrumentos Financeiros'!$F$11+1),PMT(((1+'Instrumentos Financeiros'!$G$43)^(1/12)-1),$F$11,-$I$60),0)</f>
        <v>0</v>
      </c>
      <c r="I175" s="1312">
        <f t="shared" si="111"/>
        <v>0</v>
      </c>
      <c r="J175" s="1312">
        <f>K174*((1+'Instrumentos Financeiros'!$G$43)^(1/12)-1)</f>
        <v>0</v>
      </c>
      <c r="K175" s="1312">
        <f t="shared" si="80"/>
        <v>0</v>
      </c>
      <c r="L175" s="1312">
        <f>IF(AND(C175&gt;$F$61,'Instrumentos Financeiros'!C175&lt;'Instrumentos Financeiros'!$F$61+'Instrumentos Financeiros'!$F$11+1),PMT(((1+'Instrumentos Financeiros'!$G$43)^(1/12)-1),$F$11,-$I$61),0)</f>
        <v>0</v>
      </c>
      <c r="M175" s="1312">
        <f t="shared" si="112"/>
        <v>0</v>
      </c>
      <c r="N175" s="1312">
        <f>O174*((1+'Instrumentos Financeiros'!$G$43)^(1/12)-1)</f>
        <v>0</v>
      </c>
      <c r="O175" s="1312">
        <f t="shared" si="81"/>
        <v>0</v>
      </c>
      <c r="P175" s="1312">
        <f>IF(AND(C175&gt;$F$62,'Instrumentos Financeiros'!C175&lt;'Instrumentos Financeiros'!$F$62+'Instrumentos Financeiros'!$F$11+1),PMT(((1+'Instrumentos Financeiros'!$H$43)^(1/12)-1),$F$11,-$I$62),0)</f>
        <v>0</v>
      </c>
      <c r="Q175" s="1312">
        <f t="shared" si="113"/>
        <v>0</v>
      </c>
      <c r="R175" s="1312">
        <f>S174*((1+'Instrumentos Financeiros'!$H$43)^(1/12)-1)</f>
        <v>0</v>
      </c>
      <c r="S175" s="1312">
        <f t="shared" si="82"/>
        <v>0</v>
      </c>
      <c r="T175" s="1312">
        <f>IF(AND(C175&gt;$F$63,'Instrumentos Financeiros'!C175&lt;'Instrumentos Financeiros'!$F$63+'Instrumentos Financeiros'!$F$11+1),PMT(((1+'Instrumentos Financeiros'!$H$43)^(1/12)-1),$F$11,-$I$63),0)</f>
        <v>0</v>
      </c>
      <c r="U175" s="1312">
        <f t="shared" si="114"/>
        <v>0</v>
      </c>
      <c r="V175" s="1312">
        <f>W174*((1+'Instrumentos Financeiros'!$H$43)^(1/12)-1)</f>
        <v>0</v>
      </c>
      <c r="W175" s="1312">
        <f t="shared" si="83"/>
        <v>0</v>
      </c>
      <c r="X175" s="1312">
        <f>IF(AND(C175&gt;$F$64,'Instrumentos Financeiros'!C175&lt;'Instrumentos Financeiros'!$F$64+'Instrumentos Financeiros'!$F$11+1),PMT(((1+'Instrumentos Financeiros'!$H$43)^(1/12)-1),$F$11,-$I$64),0)</f>
        <v>0</v>
      </c>
      <c r="Y175" s="1312">
        <f t="shared" si="115"/>
        <v>0</v>
      </c>
      <c r="Z175" s="1312">
        <f>AA174*((1+'Instrumentos Financeiros'!$H$43)^(1/12)-1)</f>
        <v>0</v>
      </c>
      <c r="AA175" s="1312">
        <f t="shared" si="84"/>
        <v>0</v>
      </c>
      <c r="AB175" s="1312">
        <f>IF(AND(C175&gt;$F$65,'Instrumentos Financeiros'!C175&lt;'Instrumentos Financeiros'!$F$65+'Instrumentos Financeiros'!$F$11+1),PMT(((1+'Instrumentos Financeiros'!$H$43)^(1/12)-1),$F$11,-$I$65),0)</f>
        <v>0</v>
      </c>
      <c r="AC175" s="1312">
        <f t="shared" si="116"/>
        <v>0</v>
      </c>
      <c r="AD175" s="1312">
        <f>AE174*((1+'Instrumentos Financeiros'!$H$43)^(1/12)-1)</f>
        <v>0</v>
      </c>
      <c r="AE175" s="1312">
        <f t="shared" si="85"/>
        <v>0</v>
      </c>
      <c r="AF175" s="1312">
        <f>IF(AND(C175&gt;$F$66,'Instrumentos Financeiros'!C175&lt;'Instrumentos Financeiros'!$F$66+'Instrumentos Financeiros'!$F$11+1),PMT(((1+'Instrumentos Financeiros'!$I$43)^(1/12)-1),$F$11,-$I$66),0)</f>
        <v>0</v>
      </c>
      <c r="AG175" s="1312">
        <f t="shared" si="117"/>
        <v>0</v>
      </c>
      <c r="AH175" s="1312">
        <f>AI174*((1+'Instrumentos Financeiros'!$I$43)^(1/12)-1)</f>
        <v>0</v>
      </c>
      <c r="AI175" s="1312">
        <f t="shared" si="86"/>
        <v>0</v>
      </c>
      <c r="AJ175" s="1312">
        <f>IF(AND(C175&gt;$F$67,'Instrumentos Financeiros'!C175&lt;'Instrumentos Financeiros'!$F$67+'Instrumentos Financeiros'!$F$11+1),PMT(((1+'Instrumentos Financeiros'!$I$43)^(1/12)-1),$F$11,-$I$67),0)</f>
        <v>0</v>
      </c>
      <c r="AK175" s="1312">
        <f t="shared" si="118"/>
        <v>0</v>
      </c>
      <c r="AL175" s="1312">
        <f>AM174*((1+'Instrumentos Financeiros'!$I$43)^(1/12)-1)</f>
        <v>0</v>
      </c>
      <c r="AM175" s="1312">
        <f t="shared" si="87"/>
        <v>0</v>
      </c>
      <c r="AN175" s="1312">
        <f>IF(AND(C175&gt;$F$68,'Instrumentos Financeiros'!C175&lt;'Instrumentos Financeiros'!$F$68+'Instrumentos Financeiros'!$F$11+1),PMT(((1+'Instrumentos Financeiros'!$I$43)^(1/12)-1),$F$11,-$I$68),0)</f>
        <v>0</v>
      </c>
      <c r="AO175" s="1312">
        <f t="shared" si="119"/>
        <v>0</v>
      </c>
      <c r="AP175" s="1312">
        <f>AQ174*((1+'Instrumentos Financeiros'!$I$43)^(1/12)-1)</f>
        <v>0</v>
      </c>
      <c r="AQ175" s="1312">
        <f t="shared" si="88"/>
        <v>0</v>
      </c>
      <c r="AR175" s="1312">
        <f>IF(AND(C175&gt;$F$69,'Instrumentos Financeiros'!C175&lt;'Instrumentos Financeiros'!$F$69+'Instrumentos Financeiros'!$F$11+1),PMT(((1+'Instrumentos Financeiros'!$I$43)^(1/12)-1),$F$11,-$I$69),0)</f>
        <v>0</v>
      </c>
      <c r="AS175" s="1312">
        <f t="shared" si="120"/>
        <v>0</v>
      </c>
      <c r="AT175" s="1312">
        <f>AU174*((1+'Instrumentos Financeiros'!$I$43)^(1/12)-1)</f>
        <v>0</v>
      </c>
      <c r="AU175" s="1312">
        <f t="shared" si="89"/>
        <v>0</v>
      </c>
      <c r="AV175" s="1312">
        <f>IF(AND(C175&gt;$F$70,'Instrumentos Financeiros'!C175&lt;'Instrumentos Financeiros'!$F$70+'Instrumentos Financeiros'!$F$11+1),PMT(((1+'Instrumentos Financeiros'!$J$43)^(1/12)-1),$F$11,-$I$70),0)</f>
        <v>0</v>
      </c>
      <c r="AW175" s="1312">
        <f t="shared" si="121"/>
        <v>0</v>
      </c>
      <c r="AX175" s="1312">
        <f>AY174*((1+'Instrumentos Financeiros'!$J$43)^(1/12)-1)</f>
        <v>0</v>
      </c>
      <c r="AY175" s="1312">
        <f t="shared" si="90"/>
        <v>0</v>
      </c>
      <c r="AZ175" s="1312">
        <f>IF(AND(C175&gt;$F$71,'Instrumentos Financeiros'!C175&lt;'Instrumentos Financeiros'!$F$71+'Instrumentos Financeiros'!$F$11+1),PMT(((1+'Instrumentos Financeiros'!$J$43)^(1/12)-1),$F$11,-$I$71),0)</f>
        <v>0</v>
      </c>
      <c r="BA175" s="1312">
        <f t="shared" si="122"/>
        <v>0</v>
      </c>
      <c r="BB175" s="1312">
        <f>BC174*((1+'Instrumentos Financeiros'!$J$43)^(1/12)-1)</f>
        <v>0</v>
      </c>
      <c r="BC175" s="1312">
        <f t="shared" si="91"/>
        <v>0</v>
      </c>
      <c r="BD175" s="1312">
        <f>IF(AND(C175&gt;$F$72,'Instrumentos Financeiros'!C175&lt;'Instrumentos Financeiros'!$F$72+'Instrumentos Financeiros'!$F$11+1),PMT(((1+'Instrumentos Financeiros'!$J$43)^(1/12)-1),$F$11,-'Instrumentos Financeiros'!$G$7*$G$72),0)</f>
        <v>0</v>
      </c>
      <c r="BE175" s="1312">
        <f t="shared" si="123"/>
        <v>0</v>
      </c>
      <c r="BF175" s="1312">
        <f>BG174*((1+'Instrumentos Financeiros'!$J$43)^(1/12)-1)</f>
        <v>0</v>
      </c>
      <c r="BG175" s="1312">
        <f t="shared" si="92"/>
        <v>0</v>
      </c>
      <c r="BH175" s="1312">
        <f>IF(AND(C175&gt;$F$73,'Instrumentos Financeiros'!C175&lt;'Instrumentos Financeiros'!$F$73+'Instrumentos Financeiros'!$F$11+1),PMT(((1+'Instrumentos Financeiros'!$J$43)^(1/12)-1),$F$11,-$I$73),0)</f>
        <v>0</v>
      </c>
      <c r="BI175" s="1312">
        <f t="shared" si="124"/>
        <v>0</v>
      </c>
      <c r="BJ175" s="1312">
        <f>BK174*((1+'Instrumentos Financeiros'!$J$43)^(1/12)-1)</f>
        <v>0</v>
      </c>
      <c r="BK175" s="1312">
        <f t="shared" si="93"/>
        <v>0</v>
      </c>
      <c r="BL175" s="1312">
        <f>IF(AND(C175&gt;$F$77,'Instrumentos Financeiros'!C175&lt;'Instrumentos Financeiros'!$F$77+'Instrumentos Financeiros'!$F$12+1),PMT(((1+'Instrumentos Financeiros'!$K$43)^(1/12)-1),$F$12,-$I$77),0)</f>
        <v>0</v>
      </c>
      <c r="BM175" s="1312">
        <f t="shared" si="94"/>
        <v>0</v>
      </c>
      <c r="BN175" s="1312">
        <f>BO174*((1+'Instrumentos Financeiros'!$K$43)^(1/12)-1)</f>
        <v>0</v>
      </c>
      <c r="BO175" s="1312">
        <f t="shared" si="95"/>
        <v>0</v>
      </c>
      <c r="BP175" s="1312">
        <f>IF(AND(C175&gt;$F$78,'Instrumentos Financeiros'!C175&lt;'Instrumentos Financeiros'!$F$78+'Instrumentos Financeiros'!$F$12+1),PMT(((1+'Instrumentos Financeiros'!$L$43)^(1/12)-1),$F$12,-$I$78),0)</f>
        <v>0</v>
      </c>
      <c r="BQ175" s="1312">
        <f t="shared" si="96"/>
        <v>0</v>
      </c>
      <c r="BR175" s="1312">
        <f>BS174*((1+'Instrumentos Financeiros'!$L$43)^(1/12)-1)</f>
        <v>0</v>
      </c>
      <c r="BS175" s="1312">
        <f t="shared" si="97"/>
        <v>0</v>
      </c>
      <c r="BT175" s="1312">
        <f>IF(AND(C175&gt;$F$79,'Instrumentos Financeiros'!C175&lt;'Instrumentos Financeiros'!$F$79+'Instrumentos Financeiros'!$F$12+1),PMT(((1+'Instrumentos Financeiros'!$L$43)^(1/12)-1),$F$12,-$I$79),0)</f>
        <v>0</v>
      </c>
      <c r="BU175" s="1312">
        <f t="shared" si="98"/>
        <v>0</v>
      </c>
      <c r="BV175" s="1312">
        <f>BW174*((1+'Instrumentos Financeiros'!$L$43)^(1/12)-1)</f>
        <v>0</v>
      </c>
      <c r="BW175" s="1312">
        <f t="shared" si="99"/>
        <v>0</v>
      </c>
      <c r="BX175" s="1312">
        <f>IF(AND(C175&gt;$F$80,'Instrumentos Financeiros'!C175&lt;'Instrumentos Financeiros'!$F$80+'Instrumentos Financeiros'!$F$12+1),PMT(((1+'Instrumentos Financeiros'!$L$43)^(1/12)-1),$F$12,-$I$80),0)</f>
        <v>0</v>
      </c>
      <c r="BY175" s="1312">
        <f t="shared" si="100"/>
        <v>0</v>
      </c>
      <c r="BZ175" s="1312">
        <f>CA174*((1+'Instrumentos Financeiros'!$L$43)^(1/12)-1)</f>
        <v>0</v>
      </c>
      <c r="CA175" s="1312">
        <f t="shared" si="101"/>
        <v>0</v>
      </c>
      <c r="CB175" s="1312">
        <f>IF(AND(C175&gt;$F$83,'Instrumentos Financeiros'!C175&lt;'Instrumentos Financeiros'!$F$83+'Instrumentos Financeiros'!$F$13+1),PMT(((1+'Instrumentos Financeiros'!$P$43)^(1/12)-1),$F$13,-$I$83),0)</f>
        <v>0</v>
      </c>
      <c r="CC175" s="1312">
        <f t="shared" si="102"/>
        <v>0</v>
      </c>
      <c r="CD175" s="1312">
        <f>CE174*((1+'Instrumentos Financeiros'!$P$43)^(1/12)-1)</f>
        <v>0</v>
      </c>
      <c r="CE175" s="1312">
        <f t="shared" si="103"/>
        <v>0</v>
      </c>
      <c r="CF175" s="1312">
        <f>IF(AND(C175&gt;$F$84,'Instrumentos Financeiros'!C175&lt;'Instrumentos Financeiros'!$F$84+'Instrumentos Financeiros'!$F$13+1),PMT(((1+'Instrumentos Financeiros'!$Q$43)^(1/12)-1),$F$13,-$I$84),0)</f>
        <v>0</v>
      </c>
      <c r="CG175" s="1312">
        <f t="shared" si="104"/>
        <v>0</v>
      </c>
      <c r="CH175" s="1312">
        <f>CI174*((1+'Instrumentos Financeiros'!$Q$43)^(1/12)-1)</f>
        <v>0</v>
      </c>
      <c r="CI175" s="1312">
        <f t="shared" si="105"/>
        <v>0</v>
      </c>
      <c r="CJ175" s="1312">
        <f>IF(AND(C175&gt;$F$85,'Instrumentos Financeiros'!C175&lt;'Instrumentos Financeiros'!$F$85+'Instrumentos Financeiros'!$F$13+1),PMT(((1+'Instrumentos Financeiros'!$Q$43)^(1/12)-1),$F$13,-$I$85),0)</f>
        <v>0</v>
      </c>
      <c r="CK175" s="1312">
        <f t="shared" si="106"/>
        <v>0</v>
      </c>
      <c r="CL175" s="1312">
        <f>CM174*((1+'Instrumentos Financeiros'!$Q$43)^(1/12)-1)</f>
        <v>0</v>
      </c>
      <c r="CM175" s="1312">
        <f t="shared" si="107"/>
        <v>0</v>
      </c>
      <c r="CN175" s="1312">
        <f>IF(AND(C175&gt;$F$86,'Instrumentos Financeiros'!C175&lt;'Instrumentos Financeiros'!$F$86+'Instrumentos Financeiros'!$F$13+1),PMT(((1+'Instrumentos Financeiros'!$Q$43)^(1/12)-1),$F$13,-$I$86),0)</f>
        <v>0</v>
      </c>
      <c r="CO175" s="1312">
        <f t="shared" si="108"/>
        <v>0</v>
      </c>
      <c r="CP175" s="1312">
        <f>CQ174*((1+'Instrumentos Financeiros'!$Q$43)^(1/12)-1)</f>
        <v>0</v>
      </c>
      <c r="CQ175" s="1312">
        <f t="shared" si="109"/>
        <v>0</v>
      </c>
      <c r="CR175" s="1312">
        <f t="shared" si="78"/>
        <v>91768.589635900134</v>
      </c>
      <c r="CS175" s="1312">
        <f t="shared" si="78"/>
        <v>46859.032916992852</v>
      </c>
      <c r="CT175" s="1312">
        <f t="shared" si="78"/>
        <v>44909.556718907283</v>
      </c>
      <c r="CU175" s="1312">
        <f t="shared" si="78"/>
        <v>10955529.721192328</v>
      </c>
    </row>
    <row r="176" spans="3:99" x14ac:dyDescent="0.35">
      <c r="C176" s="1315">
        <f t="shared" si="79"/>
        <v>83</v>
      </c>
      <c r="D176" s="1312">
        <f>IF(AND(C176&gt;$F$59,'Instrumentos Financeiros'!C176&lt;'Instrumentos Financeiros'!$F$59+'Instrumentos Financeiros'!$F$11+1),PMT(((1+'Instrumentos Financeiros'!$G$43)^(1/12)-1),$F$11,-$I$59),0)</f>
        <v>91768.589635900134</v>
      </c>
      <c r="E176" s="1312">
        <f t="shared" si="76"/>
        <v>47050.302144395202</v>
      </c>
      <c r="F176" s="1312">
        <f>G175*((1+'Instrumentos Financeiros'!$G$43)^(1/12)-1)</f>
        <v>44718.287491504932</v>
      </c>
      <c r="G176" s="1312">
        <f t="shared" si="110"/>
        <v>10908479.419047933</v>
      </c>
      <c r="H176" s="1312">
        <f>IF(AND(C176&gt;$F$60,'Instrumentos Financeiros'!C176&lt;'Instrumentos Financeiros'!$F$60+'Instrumentos Financeiros'!$F$11+1),PMT(((1+'Instrumentos Financeiros'!$G$43)^(1/12)-1),$F$11,-$I$60),0)</f>
        <v>0</v>
      </c>
      <c r="I176" s="1312">
        <f t="shared" si="111"/>
        <v>0</v>
      </c>
      <c r="J176" s="1312">
        <f>K175*((1+'Instrumentos Financeiros'!$G$43)^(1/12)-1)</f>
        <v>0</v>
      </c>
      <c r="K176" s="1312">
        <f t="shared" si="80"/>
        <v>0</v>
      </c>
      <c r="L176" s="1312">
        <f>IF(AND(C176&gt;$F$61,'Instrumentos Financeiros'!C176&lt;'Instrumentos Financeiros'!$F$61+'Instrumentos Financeiros'!$F$11+1),PMT(((1+'Instrumentos Financeiros'!$G$43)^(1/12)-1),$F$11,-$I$61),0)</f>
        <v>0</v>
      </c>
      <c r="M176" s="1312">
        <f t="shared" si="112"/>
        <v>0</v>
      </c>
      <c r="N176" s="1312">
        <f>O175*((1+'Instrumentos Financeiros'!$G$43)^(1/12)-1)</f>
        <v>0</v>
      </c>
      <c r="O176" s="1312">
        <f t="shared" si="81"/>
        <v>0</v>
      </c>
      <c r="P176" s="1312">
        <f>IF(AND(C176&gt;$F$62,'Instrumentos Financeiros'!C176&lt;'Instrumentos Financeiros'!$F$62+'Instrumentos Financeiros'!$F$11+1),PMT(((1+'Instrumentos Financeiros'!$H$43)^(1/12)-1),$F$11,-$I$62),0)</f>
        <v>0</v>
      </c>
      <c r="Q176" s="1312">
        <f t="shared" si="113"/>
        <v>0</v>
      </c>
      <c r="R176" s="1312">
        <f>S175*((1+'Instrumentos Financeiros'!$H$43)^(1/12)-1)</f>
        <v>0</v>
      </c>
      <c r="S176" s="1312">
        <f t="shared" si="82"/>
        <v>0</v>
      </c>
      <c r="T176" s="1312">
        <f>IF(AND(C176&gt;$F$63,'Instrumentos Financeiros'!C176&lt;'Instrumentos Financeiros'!$F$63+'Instrumentos Financeiros'!$F$11+1),PMT(((1+'Instrumentos Financeiros'!$H$43)^(1/12)-1),$F$11,-$I$63),0)</f>
        <v>0</v>
      </c>
      <c r="U176" s="1312">
        <f t="shared" si="114"/>
        <v>0</v>
      </c>
      <c r="V176" s="1312">
        <f>W175*((1+'Instrumentos Financeiros'!$H$43)^(1/12)-1)</f>
        <v>0</v>
      </c>
      <c r="W176" s="1312">
        <f t="shared" si="83"/>
        <v>0</v>
      </c>
      <c r="X176" s="1312">
        <f>IF(AND(C176&gt;$F$64,'Instrumentos Financeiros'!C176&lt;'Instrumentos Financeiros'!$F$64+'Instrumentos Financeiros'!$F$11+1),PMT(((1+'Instrumentos Financeiros'!$H$43)^(1/12)-1),$F$11,-$I$64),0)</f>
        <v>0</v>
      </c>
      <c r="Y176" s="1312">
        <f t="shared" si="115"/>
        <v>0</v>
      </c>
      <c r="Z176" s="1312">
        <f>AA175*((1+'Instrumentos Financeiros'!$H$43)^(1/12)-1)</f>
        <v>0</v>
      </c>
      <c r="AA176" s="1312">
        <f t="shared" si="84"/>
        <v>0</v>
      </c>
      <c r="AB176" s="1312">
        <f>IF(AND(C176&gt;$F$65,'Instrumentos Financeiros'!C176&lt;'Instrumentos Financeiros'!$F$65+'Instrumentos Financeiros'!$F$11+1),PMT(((1+'Instrumentos Financeiros'!$H$43)^(1/12)-1),$F$11,-$I$65),0)</f>
        <v>0</v>
      </c>
      <c r="AC176" s="1312">
        <f t="shared" si="116"/>
        <v>0</v>
      </c>
      <c r="AD176" s="1312">
        <f>AE175*((1+'Instrumentos Financeiros'!$H$43)^(1/12)-1)</f>
        <v>0</v>
      </c>
      <c r="AE176" s="1312">
        <f t="shared" si="85"/>
        <v>0</v>
      </c>
      <c r="AF176" s="1312">
        <f>IF(AND(C176&gt;$F$66,'Instrumentos Financeiros'!C176&lt;'Instrumentos Financeiros'!$F$66+'Instrumentos Financeiros'!$F$11+1),PMT(((1+'Instrumentos Financeiros'!$I$43)^(1/12)-1),$F$11,-$I$66),0)</f>
        <v>0</v>
      </c>
      <c r="AG176" s="1312">
        <f t="shared" si="117"/>
        <v>0</v>
      </c>
      <c r="AH176" s="1312">
        <f>AI175*((1+'Instrumentos Financeiros'!$I$43)^(1/12)-1)</f>
        <v>0</v>
      </c>
      <c r="AI176" s="1312">
        <f t="shared" si="86"/>
        <v>0</v>
      </c>
      <c r="AJ176" s="1312">
        <f>IF(AND(C176&gt;$F$67,'Instrumentos Financeiros'!C176&lt;'Instrumentos Financeiros'!$F$67+'Instrumentos Financeiros'!$F$11+1),PMT(((1+'Instrumentos Financeiros'!$I$43)^(1/12)-1),$F$11,-$I$67),0)</f>
        <v>0</v>
      </c>
      <c r="AK176" s="1312">
        <f t="shared" si="118"/>
        <v>0</v>
      </c>
      <c r="AL176" s="1312">
        <f>AM175*((1+'Instrumentos Financeiros'!$I$43)^(1/12)-1)</f>
        <v>0</v>
      </c>
      <c r="AM176" s="1312">
        <f t="shared" si="87"/>
        <v>0</v>
      </c>
      <c r="AN176" s="1312">
        <f>IF(AND(C176&gt;$F$68,'Instrumentos Financeiros'!C176&lt;'Instrumentos Financeiros'!$F$68+'Instrumentos Financeiros'!$F$11+1),PMT(((1+'Instrumentos Financeiros'!$I$43)^(1/12)-1),$F$11,-$I$68),0)</f>
        <v>0</v>
      </c>
      <c r="AO176" s="1312">
        <f t="shared" si="119"/>
        <v>0</v>
      </c>
      <c r="AP176" s="1312">
        <f>AQ175*((1+'Instrumentos Financeiros'!$I$43)^(1/12)-1)</f>
        <v>0</v>
      </c>
      <c r="AQ176" s="1312">
        <f t="shared" si="88"/>
        <v>0</v>
      </c>
      <c r="AR176" s="1312">
        <f>IF(AND(C176&gt;$F$69,'Instrumentos Financeiros'!C176&lt;'Instrumentos Financeiros'!$F$69+'Instrumentos Financeiros'!$F$11+1),PMT(((1+'Instrumentos Financeiros'!$I$43)^(1/12)-1),$F$11,-$I$69),0)</f>
        <v>0</v>
      </c>
      <c r="AS176" s="1312">
        <f t="shared" si="120"/>
        <v>0</v>
      </c>
      <c r="AT176" s="1312">
        <f>AU175*((1+'Instrumentos Financeiros'!$I$43)^(1/12)-1)</f>
        <v>0</v>
      </c>
      <c r="AU176" s="1312">
        <f t="shared" si="89"/>
        <v>0</v>
      </c>
      <c r="AV176" s="1312">
        <f>IF(AND(C176&gt;$F$70,'Instrumentos Financeiros'!C176&lt;'Instrumentos Financeiros'!$F$70+'Instrumentos Financeiros'!$F$11+1),PMT(((1+'Instrumentos Financeiros'!$J$43)^(1/12)-1),$F$11,-$I$70),0)</f>
        <v>0</v>
      </c>
      <c r="AW176" s="1312">
        <f t="shared" si="121"/>
        <v>0</v>
      </c>
      <c r="AX176" s="1312">
        <f>AY175*((1+'Instrumentos Financeiros'!$J$43)^(1/12)-1)</f>
        <v>0</v>
      </c>
      <c r="AY176" s="1312">
        <f t="shared" si="90"/>
        <v>0</v>
      </c>
      <c r="AZ176" s="1312">
        <f>IF(AND(C176&gt;$F$71,'Instrumentos Financeiros'!C176&lt;'Instrumentos Financeiros'!$F$71+'Instrumentos Financeiros'!$F$11+1),PMT(((1+'Instrumentos Financeiros'!$J$43)^(1/12)-1),$F$11,-$I$71),0)</f>
        <v>0</v>
      </c>
      <c r="BA176" s="1312">
        <f t="shared" si="122"/>
        <v>0</v>
      </c>
      <c r="BB176" s="1312">
        <f>BC175*((1+'Instrumentos Financeiros'!$J$43)^(1/12)-1)</f>
        <v>0</v>
      </c>
      <c r="BC176" s="1312">
        <f t="shared" si="91"/>
        <v>0</v>
      </c>
      <c r="BD176" s="1312">
        <f>IF(AND(C176&gt;$F$72,'Instrumentos Financeiros'!C176&lt;'Instrumentos Financeiros'!$F$72+'Instrumentos Financeiros'!$F$11+1),PMT(((1+'Instrumentos Financeiros'!$J$43)^(1/12)-1),$F$11,-'Instrumentos Financeiros'!$G$7*$G$72),0)</f>
        <v>0</v>
      </c>
      <c r="BE176" s="1312">
        <f t="shared" si="123"/>
        <v>0</v>
      </c>
      <c r="BF176" s="1312">
        <f>BG175*((1+'Instrumentos Financeiros'!$J$43)^(1/12)-1)</f>
        <v>0</v>
      </c>
      <c r="BG176" s="1312">
        <f t="shared" si="92"/>
        <v>0</v>
      </c>
      <c r="BH176" s="1312">
        <f>IF(AND(C176&gt;$F$73,'Instrumentos Financeiros'!C176&lt;'Instrumentos Financeiros'!$F$73+'Instrumentos Financeiros'!$F$11+1),PMT(((1+'Instrumentos Financeiros'!$J$43)^(1/12)-1),$F$11,-$I$73),0)</f>
        <v>0</v>
      </c>
      <c r="BI176" s="1312">
        <f t="shared" si="124"/>
        <v>0</v>
      </c>
      <c r="BJ176" s="1312">
        <f>BK175*((1+'Instrumentos Financeiros'!$J$43)^(1/12)-1)</f>
        <v>0</v>
      </c>
      <c r="BK176" s="1312">
        <f t="shared" si="93"/>
        <v>0</v>
      </c>
      <c r="BL176" s="1312">
        <f>IF(AND(C176&gt;$F$77,'Instrumentos Financeiros'!C176&lt;'Instrumentos Financeiros'!$F$77+'Instrumentos Financeiros'!$F$12+1),PMT(((1+'Instrumentos Financeiros'!$K$43)^(1/12)-1),$F$12,-$I$77),0)</f>
        <v>0</v>
      </c>
      <c r="BM176" s="1312">
        <f t="shared" si="94"/>
        <v>0</v>
      </c>
      <c r="BN176" s="1312">
        <f>BO175*((1+'Instrumentos Financeiros'!$K$43)^(1/12)-1)</f>
        <v>0</v>
      </c>
      <c r="BO176" s="1312">
        <f t="shared" si="95"/>
        <v>0</v>
      </c>
      <c r="BP176" s="1312">
        <f>IF(AND(C176&gt;$F$78,'Instrumentos Financeiros'!C176&lt;'Instrumentos Financeiros'!$F$78+'Instrumentos Financeiros'!$F$12+1),PMT(((1+'Instrumentos Financeiros'!$L$43)^(1/12)-1),$F$12,-$I$78),0)</f>
        <v>0</v>
      </c>
      <c r="BQ176" s="1312">
        <f t="shared" si="96"/>
        <v>0</v>
      </c>
      <c r="BR176" s="1312">
        <f>BS175*((1+'Instrumentos Financeiros'!$L$43)^(1/12)-1)</f>
        <v>0</v>
      </c>
      <c r="BS176" s="1312">
        <f t="shared" si="97"/>
        <v>0</v>
      </c>
      <c r="BT176" s="1312">
        <f>IF(AND(C176&gt;$F$79,'Instrumentos Financeiros'!C176&lt;'Instrumentos Financeiros'!$F$79+'Instrumentos Financeiros'!$F$12+1),PMT(((1+'Instrumentos Financeiros'!$L$43)^(1/12)-1),$F$12,-$I$79),0)</f>
        <v>0</v>
      </c>
      <c r="BU176" s="1312">
        <f t="shared" si="98"/>
        <v>0</v>
      </c>
      <c r="BV176" s="1312">
        <f>BW175*((1+'Instrumentos Financeiros'!$L$43)^(1/12)-1)</f>
        <v>0</v>
      </c>
      <c r="BW176" s="1312">
        <f t="shared" si="99"/>
        <v>0</v>
      </c>
      <c r="BX176" s="1312">
        <f>IF(AND(C176&gt;$F$80,'Instrumentos Financeiros'!C176&lt;'Instrumentos Financeiros'!$F$80+'Instrumentos Financeiros'!$F$12+1),PMT(((1+'Instrumentos Financeiros'!$L$43)^(1/12)-1),$F$12,-$I$80),0)</f>
        <v>0</v>
      </c>
      <c r="BY176" s="1312">
        <f t="shared" si="100"/>
        <v>0</v>
      </c>
      <c r="BZ176" s="1312">
        <f>CA175*((1+'Instrumentos Financeiros'!$L$43)^(1/12)-1)</f>
        <v>0</v>
      </c>
      <c r="CA176" s="1312">
        <f t="shared" si="101"/>
        <v>0</v>
      </c>
      <c r="CB176" s="1312">
        <f>IF(AND(C176&gt;$F$83,'Instrumentos Financeiros'!C176&lt;'Instrumentos Financeiros'!$F$83+'Instrumentos Financeiros'!$F$13+1),PMT(((1+'Instrumentos Financeiros'!$P$43)^(1/12)-1),$F$13,-$I$83),0)</f>
        <v>0</v>
      </c>
      <c r="CC176" s="1312">
        <f t="shared" si="102"/>
        <v>0</v>
      </c>
      <c r="CD176" s="1312">
        <f>CE175*((1+'Instrumentos Financeiros'!$P$43)^(1/12)-1)</f>
        <v>0</v>
      </c>
      <c r="CE176" s="1312">
        <f t="shared" si="103"/>
        <v>0</v>
      </c>
      <c r="CF176" s="1312">
        <f>IF(AND(C176&gt;$F$84,'Instrumentos Financeiros'!C176&lt;'Instrumentos Financeiros'!$F$84+'Instrumentos Financeiros'!$F$13+1),PMT(((1+'Instrumentos Financeiros'!$Q$43)^(1/12)-1),$F$13,-$I$84),0)</f>
        <v>0</v>
      </c>
      <c r="CG176" s="1312">
        <f t="shared" si="104"/>
        <v>0</v>
      </c>
      <c r="CH176" s="1312">
        <f>CI175*((1+'Instrumentos Financeiros'!$Q$43)^(1/12)-1)</f>
        <v>0</v>
      </c>
      <c r="CI176" s="1312">
        <f t="shared" si="105"/>
        <v>0</v>
      </c>
      <c r="CJ176" s="1312">
        <f>IF(AND(C176&gt;$F$85,'Instrumentos Financeiros'!C176&lt;'Instrumentos Financeiros'!$F$85+'Instrumentos Financeiros'!$F$13+1),PMT(((1+'Instrumentos Financeiros'!$Q$43)^(1/12)-1),$F$13,-$I$85),0)</f>
        <v>0</v>
      </c>
      <c r="CK176" s="1312">
        <f t="shared" si="106"/>
        <v>0</v>
      </c>
      <c r="CL176" s="1312">
        <f>CM175*((1+'Instrumentos Financeiros'!$Q$43)^(1/12)-1)</f>
        <v>0</v>
      </c>
      <c r="CM176" s="1312">
        <f t="shared" si="107"/>
        <v>0</v>
      </c>
      <c r="CN176" s="1312">
        <f>IF(AND(C176&gt;$F$86,'Instrumentos Financeiros'!C176&lt;'Instrumentos Financeiros'!$F$86+'Instrumentos Financeiros'!$F$13+1),PMT(((1+'Instrumentos Financeiros'!$Q$43)^(1/12)-1),$F$13,-$I$86),0)</f>
        <v>0</v>
      </c>
      <c r="CO176" s="1312">
        <f t="shared" si="108"/>
        <v>0</v>
      </c>
      <c r="CP176" s="1312">
        <f>CQ175*((1+'Instrumentos Financeiros'!$Q$43)^(1/12)-1)</f>
        <v>0</v>
      </c>
      <c r="CQ176" s="1312">
        <f t="shared" si="109"/>
        <v>0</v>
      </c>
      <c r="CR176" s="1312">
        <f t="shared" si="78"/>
        <v>91768.589635900134</v>
      </c>
      <c r="CS176" s="1312">
        <f t="shared" si="78"/>
        <v>47050.302144395202</v>
      </c>
      <c r="CT176" s="1312">
        <f t="shared" si="78"/>
        <v>44718.287491504932</v>
      </c>
      <c r="CU176" s="1312">
        <f t="shared" si="78"/>
        <v>10908479.419047933</v>
      </c>
    </row>
    <row r="177" spans="3:99" x14ac:dyDescent="0.35">
      <c r="C177" s="1316">
        <f t="shared" si="79"/>
        <v>84</v>
      </c>
      <c r="D177" s="1313">
        <f>IF(AND(C177&gt;$F$59,'Instrumentos Financeiros'!C177&lt;'Instrumentos Financeiros'!$F$59+'Instrumentos Financeiros'!$F$11+1),PMT(((1+'Instrumentos Financeiros'!$G$43)^(1/12)-1),$F$11,-$I$59),0)</f>
        <v>91768.589635900134</v>
      </c>
      <c r="E177" s="1313">
        <f t="shared" si="76"/>
        <v>47242.352094639529</v>
      </c>
      <c r="F177" s="1313">
        <f>G176*((1+'Instrumentos Financeiros'!$G$43)^(1/12)-1)</f>
        <v>44526.237541260605</v>
      </c>
      <c r="G177" s="1313">
        <f t="shared" si="110"/>
        <v>10861237.066953294</v>
      </c>
      <c r="H177" s="1313">
        <f>IF(AND(C177&gt;$F$60,'Instrumentos Financeiros'!C177&lt;'Instrumentos Financeiros'!$F$60+'Instrumentos Financeiros'!$F$11+1),PMT(((1+'Instrumentos Financeiros'!$G$43)^(1/12)-1),$F$11,-$I$60),0)</f>
        <v>0</v>
      </c>
      <c r="I177" s="1313">
        <f t="shared" si="111"/>
        <v>0</v>
      </c>
      <c r="J177" s="1313">
        <f>K176*((1+'Instrumentos Financeiros'!$G$43)^(1/12)-1)</f>
        <v>0</v>
      </c>
      <c r="K177" s="1313">
        <f t="shared" si="80"/>
        <v>0</v>
      </c>
      <c r="L177" s="1313">
        <f>IF(AND(C177&gt;$F$61,'Instrumentos Financeiros'!C177&lt;'Instrumentos Financeiros'!$F$61+'Instrumentos Financeiros'!$F$11+1),PMT(((1+'Instrumentos Financeiros'!$G$43)^(1/12)-1),$F$11,-$I$61),0)</f>
        <v>0</v>
      </c>
      <c r="M177" s="1313">
        <f t="shared" si="112"/>
        <v>0</v>
      </c>
      <c r="N177" s="1313">
        <f>O176*((1+'Instrumentos Financeiros'!$G$43)^(1/12)-1)</f>
        <v>0</v>
      </c>
      <c r="O177" s="1313">
        <f t="shared" si="81"/>
        <v>0</v>
      </c>
      <c r="P177" s="1313">
        <f>IF(AND(C177&gt;$F$62,'Instrumentos Financeiros'!C177&lt;'Instrumentos Financeiros'!$F$62+'Instrumentos Financeiros'!$F$11+1),PMT(((1+'Instrumentos Financeiros'!$H$43)^(1/12)-1),$F$11,-$I$62),0)</f>
        <v>0</v>
      </c>
      <c r="Q177" s="1313">
        <f t="shared" si="113"/>
        <v>0</v>
      </c>
      <c r="R177" s="1313">
        <f>S176*((1+'Instrumentos Financeiros'!$H$43)^(1/12)-1)</f>
        <v>0</v>
      </c>
      <c r="S177" s="1313">
        <f t="shared" si="82"/>
        <v>0</v>
      </c>
      <c r="T177" s="1313">
        <f>IF(AND(C177&gt;$F$63,'Instrumentos Financeiros'!C177&lt;'Instrumentos Financeiros'!$F$63+'Instrumentos Financeiros'!$F$11+1),PMT(((1+'Instrumentos Financeiros'!$H$43)^(1/12)-1),$F$11,-$I$63),0)</f>
        <v>0</v>
      </c>
      <c r="U177" s="1313">
        <f t="shared" si="114"/>
        <v>0</v>
      </c>
      <c r="V177" s="1313">
        <f>W176*((1+'Instrumentos Financeiros'!$H$43)^(1/12)-1)</f>
        <v>0</v>
      </c>
      <c r="W177" s="1313">
        <f t="shared" si="83"/>
        <v>0</v>
      </c>
      <c r="X177" s="1313">
        <f>IF(AND(C177&gt;$F$64,'Instrumentos Financeiros'!C177&lt;'Instrumentos Financeiros'!$F$64+'Instrumentos Financeiros'!$F$11+1),PMT(((1+'Instrumentos Financeiros'!$H$43)^(1/12)-1),$F$11,-$I$64),0)</f>
        <v>0</v>
      </c>
      <c r="Y177" s="1313">
        <f t="shared" si="115"/>
        <v>0</v>
      </c>
      <c r="Z177" s="1313">
        <f>AA176*((1+'Instrumentos Financeiros'!$H$43)^(1/12)-1)</f>
        <v>0</v>
      </c>
      <c r="AA177" s="1313">
        <f t="shared" si="84"/>
        <v>0</v>
      </c>
      <c r="AB177" s="1313">
        <f>IF(AND(C177&gt;$F$65,'Instrumentos Financeiros'!C177&lt;'Instrumentos Financeiros'!$F$65+'Instrumentos Financeiros'!$F$11+1),PMT(((1+'Instrumentos Financeiros'!$H$43)^(1/12)-1),$F$11,-$I$65),0)</f>
        <v>0</v>
      </c>
      <c r="AC177" s="1313">
        <f t="shared" si="116"/>
        <v>0</v>
      </c>
      <c r="AD177" s="1313">
        <f>AE176*((1+'Instrumentos Financeiros'!$H$43)^(1/12)-1)</f>
        <v>0</v>
      </c>
      <c r="AE177" s="1313">
        <f t="shared" si="85"/>
        <v>9571636.5298522562</v>
      </c>
      <c r="AF177" s="1313">
        <f>IF(AND(C177&gt;$F$66,'Instrumentos Financeiros'!C177&lt;'Instrumentos Financeiros'!$F$66+'Instrumentos Financeiros'!$F$11+1),PMT(((1+'Instrumentos Financeiros'!$I$43)^(1/12)-1),$F$11,-$I$66),0)</f>
        <v>0</v>
      </c>
      <c r="AG177" s="1313">
        <f t="shared" si="117"/>
        <v>0</v>
      </c>
      <c r="AH177" s="1313">
        <f>AI176*((1+'Instrumentos Financeiros'!$I$43)^(1/12)-1)</f>
        <v>0</v>
      </c>
      <c r="AI177" s="1313">
        <f t="shared" si="86"/>
        <v>0</v>
      </c>
      <c r="AJ177" s="1313">
        <f>IF(AND(C177&gt;$F$67,'Instrumentos Financeiros'!C177&lt;'Instrumentos Financeiros'!$F$67+'Instrumentos Financeiros'!$F$11+1),PMT(((1+'Instrumentos Financeiros'!$I$43)^(1/12)-1),$F$11,-$I$67),0)</f>
        <v>0</v>
      </c>
      <c r="AK177" s="1313">
        <f t="shared" si="118"/>
        <v>0</v>
      </c>
      <c r="AL177" s="1313">
        <f>AM176*((1+'Instrumentos Financeiros'!$I$43)^(1/12)-1)</f>
        <v>0</v>
      </c>
      <c r="AM177" s="1313">
        <f t="shared" si="87"/>
        <v>0</v>
      </c>
      <c r="AN177" s="1313">
        <f>IF(AND(C177&gt;$F$68,'Instrumentos Financeiros'!C177&lt;'Instrumentos Financeiros'!$F$68+'Instrumentos Financeiros'!$F$11+1),PMT(((1+'Instrumentos Financeiros'!$I$43)^(1/12)-1),$F$11,-$I$68),0)</f>
        <v>0</v>
      </c>
      <c r="AO177" s="1313">
        <f t="shared" si="119"/>
        <v>0</v>
      </c>
      <c r="AP177" s="1313">
        <f>AQ176*((1+'Instrumentos Financeiros'!$I$43)^(1/12)-1)</f>
        <v>0</v>
      </c>
      <c r="AQ177" s="1313">
        <f t="shared" si="88"/>
        <v>0</v>
      </c>
      <c r="AR177" s="1313">
        <f>IF(AND(C177&gt;$F$69,'Instrumentos Financeiros'!C177&lt;'Instrumentos Financeiros'!$F$69+'Instrumentos Financeiros'!$F$11+1),PMT(((1+'Instrumentos Financeiros'!$I$43)^(1/12)-1),$F$11,-$I$69),0)</f>
        <v>0</v>
      </c>
      <c r="AS177" s="1313">
        <f t="shared" si="120"/>
        <v>0</v>
      </c>
      <c r="AT177" s="1313">
        <f>AU176*((1+'Instrumentos Financeiros'!$I$43)^(1/12)-1)</f>
        <v>0</v>
      </c>
      <c r="AU177" s="1313">
        <f t="shared" si="89"/>
        <v>0</v>
      </c>
      <c r="AV177" s="1313">
        <f>IF(AND(C177&gt;$F$70,'Instrumentos Financeiros'!C177&lt;'Instrumentos Financeiros'!$F$70+'Instrumentos Financeiros'!$F$11+1),PMT(((1+'Instrumentos Financeiros'!$J$43)^(1/12)-1),$F$11,-$I$70),0)</f>
        <v>0</v>
      </c>
      <c r="AW177" s="1313">
        <f t="shared" si="121"/>
        <v>0</v>
      </c>
      <c r="AX177" s="1313">
        <f>AY176*((1+'Instrumentos Financeiros'!$J$43)^(1/12)-1)</f>
        <v>0</v>
      </c>
      <c r="AY177" s="1313">
        <f t="shared" si="90"/>
        <v>0</v>
      </c>
      <c r="AZ177" s="1313">
        <f>IF(AND(C177&gt;$F$71,'Instrumentos Financeiros'!C177&lt;'Instrumentos Financeiros'!$F$71+'Instrumentos Financeiros'!$F$11+1),PMT(((1+'Instrumentos Financeiros'!$J$43)^(1/12)-1),$F$11,-$I$71),0)</f>
        <v>0</v>
      </c>
      <c r="BA177" s="1313">
        <f t="shared" si="122"/>
        <v>0</v>
      </c>
      <c r="BB177" s="1313">
        <f>BC176*((1+'Instrumentos Financeiros'!$J$43)^(1/12)-1)</f>
        <v>0</v>
      </c>
      <c r="BC177" s="1313">
        <f t="shared" si="91"/>
        <v>0</v>
      </c>
      <c r="BD177" s="1313">
        <f>IF(AND(C177&gt;$F$72,'Instrumentos Financeiros'!C177&lt;'Instrumentos Financeiros'!$F$72+'Instrumentos Financeiros'!$F$11+1),PMT(((1+'Instrumentos Financeiros'!$J$43)^(1/12)-1),$F$11,-'Instrumentos Financeiros'!$G$7*$G$72),0)</f>
        <v>0</v>
      </c>
      <c r="BE177" s="1313">
        <f t="shared" si="123"/>
        <v>0</v>
      </c>
      <c r="BF177" s="1313">
        <f>BG176*((1+'Instrumentos Financeiros'!$J$43)^(1/12)-1)</f>
        <v>0</v>
      </c>
      <c r="BG177" s="1313">
        <f t="shared" si="92"/>
        <v>0</v>
      </c>
      <c r="BH177" s="1313">
        <f>IF(AND(C177&gt;$F$73,'Instrumentos Financeiros'!C177&lt;'Instrumentos Financeiros'!$F$73+'Instrumentos Financeiros'!$F$11+1),PMT(((1+'Instrumentos Financeiros'!$J$43)^(1/12)-1),$F$11,-$I$73),0)</f>
        <v>0</v>
      </c>
      <c r="BI177" s="1313">
        <f t="shared" si="124"/>
        <v>0</v>
      </c>
      <c r="BJ177" s="1313">
        <f>BK176*((1+'Instrumentos Financeiros'!$J$43)^(1/12)-1)</f>
        <v>0</v>
      </c>
      <c r="BK177" s="1313">
        <f t="shared" si="93"/>
        <v>0</v>
      </c>
      <c r="BL177" s="1313">
        <f>IF(AND(C177&gt;$F$77,'Instrumentos Financeiros'!C177&lt;'Instrumentos Financeiros'!$F$77+'Instrumentos Financeiros'!$F$12+1),PMT(((1+'Instrumentos Financeiros'!$K$43)^(1/12)-1),$F$12,-$I$77),0)</f>
        <v>0</v>
      </c>
      <c r="BM177" s="1313">
        <f t="shared" si="94"/>
        <v>0</v>
      </c>
      <c r="BN177" s="1313">
        <f>BO176*((1+'Instrumentos Financeiros'!$K$43)^(1/12)-1)</f>
        <v>0</v>
      </c>
      <c r="BO177" s="1313">
        <f t="shared" si="95"/>
        <v>0</v>
      </c>
      <c r="BP177" s="1313">
        <f>IF(AND(C177&gt;$F$78,'Instrumentos Financeiros'!C177&lt;'Instrumentos Financeiros'!$F$78+'Instrumentos Financeiros'!$F$12+1),PMT(((1+'Instrumentos Financeiros'!$L$43)^(1/12)-1),$F$12,-$I$78),0)</f>
        <v>0</v>
      </c>
      <c r="BQ177" s="1313">
        <f t="shared" si="96"/>
        <v>0</v>
      </c>
      <c r="BR177" s="1313">
        <f>BS176*((1+'Instrumentos Financeiros'!$L$43)^(1/12)-1)</f>
        <v>0</v>
      </c>
      <c r="BS177" s="1313">
        <f t="shared" si="97"/>
        <v>0</v>
      </c>
      <c r="BT177" s="1313">
        <f>IF(AND(C177&gt;$F$79,'Instrumentos Financeiros'!C177&lt;'Instrumentos Financeiros'!$F$79+'Instrumentos Financeiros'!$F$12+1),PMT(((1+'Instrumentos Financeiros'!$L$43)^(1/12)-1),$F$12,-$I$79),0)</f>
        <v>0</v>
      </c>
      <c r="BU177" s="1313">
        <f t="shared" si="98"/>
        <v>0</v>
      </c>
      <c r="BV177" s="1313">
        <f>BW176*((1+'Instrumentos Financeiros'!$L$43)^(1/12)-1)</f>
        <v>0</v>
      </c>
      <c r="BW177" s="1313">
        <f t="shared" si="99"/>
        <v>0</v>
      </c>
      <c r="BX177" s="1313">
        <f>IF(AND(C177&gt;$F$80,'Instrumentos Financeiros'!C177&lt;'Instrumentos Financeiros'!$F$80+'Instrumentos Financeiros'!$F$12+1),PMT(((1+'Instrumentos Financeiros'!$L$43)^(1/12)-1),$F$12,-$I$80),0)</f>
        <v>0</v>
      </c>
      <c r="BY177" s="1313">
        <f t="shared" si="100"/>
        <v>0</v>
      </c>
      <c r="BZ177" s="1313">
        <f>CA176*((1+'Instrumentos Financeiros'!$L$43)^(1/12)-1)</f>
        <v>0</v>
      </c>
      <c r="CA177" s="1313">
        <f t="shared" si="101"/>
        <v>0</v>
      </c>
      <c r="CB177" s="1313">
        <f>IF(AND(C177&gt;$F$83,'Instrumentos Financeiros'!C177&lt;'Instrumentos Financeiros'!$F$83+'Instrumentos Financeiros'!$F$13+1),PMT(((1+'Instrumentos Financeiros'!$P$43)^(1/12)-1),$F$13,-$I$83),0)</f>
        <v>0</v>
      </c>
      <c r="CC177" s="1313">
        <f t="shared" si="102"/>
        <v>0</v>
      </c>
      <c r="CD177" s="1313">
        <f>CE176*((1+'Instrumentos Financeiros'!$P$43)^(1/12)-1)</f>
        <v>0</v>
      </c>
      <c r="CE177" s="1313">
        <f t="shared" si="103"/>
        <v>0</v>
      </c>
      <c r="CF177" s="1313">
        <f>IF(AND(C177&gt;$F$84,'Instrumentos Financeiros'!C177&lt;'Instrumentos Financeiros'!$F$84+'Instrumentos Financeiros'!$F$13+1),PMT(((1+'Instrumentos Financeiros'!$Q$43)^(1/12)-1),$F$13,-$I$84),0)</f>
        <v>0</v>
      </c>
      <c r="CG177" s="1313">
        <f t="shared" si="104"/>
        <v>0</v>
      </c>
      <c r="CH177" s="1313">
        <f>CI176*((1+'Instrumentos Financeiros'!$Q$43)^(1/12)-1)</f>
        <v>0</v>
      </c>
      <c r="CI177" s="1313">
        <f t="shared" si="105"/>
        <v>0</v>
      </c>
      <c r="CJ177" s="1313">
        <f>IF(AND(C177&gt;$F$85,'Instrumentos Financeiros'!C177&lt;'Instrumentos Financeiros'!$F$85+'Instrumentos Financeiros'!$F$13+1),PMT(((1+'Instrumentos Financeiros'!$Q$43)^(1/12)-1),$F$13,-$I$85),0)</f>
        <v>0</v>
      </c>
      <c r="CK177" s="1313">
        <f t="shared" si="106"/>
        <v>0</v>
      </c>
      <c r="CL177" s="1313">
        <f>CM176*((1+'Instrumentos Financeiros'!$Q$43)^(1/12)-1)</f>
        <v>0</v>
      </c>
      <c r="CM177" s="1313">
        <f t="shared" si="107"/>
        <v>0</v>
      </c>
      <c r="CN177" s="1313">
        <f>IF(AND(C177&gt;$F$86,'Instrumentos Financeiros'!C177&lt;'Instrumentos Financeiros'!$F$86+'Instrumentos Financeiros'!$F$13+1),PMT(((1+'Instrumentos Financeiros'!$Q$43)^(1/12)-1),$F$13,-$I$86),0)</f>
        <v>0</v>
      </c>
      <c r="CO177" s="1313">
        <f t="shared" si="108"/>
        <v>0</v>
      </c>
      <c r="CP177" s="1313">
        <f>CQ176*((1+'Instrumentos Financeiros'!$Q$43)^(1/12)-1)</f>
        <v>0</v>
      </c>
      <c r="CQ177" s="1313">
        <f t="shared" si="109"/>
        <v>0</v>
      </c>
      <c r="CR177" s="1313">
        <f t="shared" si="78"/>
        <v>91768.589635900134</v>
      </c>
      <c r="CS177" s="1313">
        <f t="shared" si="78"/>
        <v>47242.352094639529</v>
      </c>
      <c r="CT177" s="1313">
        <f t="shared" si="78"/>
        <v>44526.237541260605</v>
      </c>
      <c r="CU177" s="1313">
        <f t="shared" si="78"/>
        <v>20432873.59680555</v>
      </c>
    </row>
    <row r="178" spans="3:99" x14ac:dyDescent="0.35">
      <c r="C178" s="1315">
        <f t="shared" si="79"/>
        <v>85</v>
      </c>
      <c r="D178" s="1312">
        <f>IF(AND(C178&gt;$F$59,'Instrumentos Financeiros'!C178&lt;'Instrumentos Financeiros'!$F$59+'Instrumentos Financeiros'!$F$11+1),PMT(((1+'Instrumentos Financeiros'!$G$43)^(1/12)-1),$F$11,-$I$59),0)</f>
        <v>91768.589635900134</v>
      </c>
      <c r="E178" s="1312">
        <f t="shared" si="76"/>
        <v>47435.185954480774</v>
      </c>
      <c r="F178" s="1312">
        <f>G177*((1+'Instrumentos Financeiros'!$G$43)^(1/12)-1)</f>
        <v>44333.403681419361</v>
      </c>
      <c r="G178" s="1312">
        <f t="shared" si="110"/>
        <v>10813801.880998813</v>
      </c>
      <c r="H178" s="1312">
        <f>IF(AND(C178&gt;$F$60,'Instrumentos Financeiros'!C178&lt;'Instrumentos Financeiros'!$F$60+'Instrumentos Financeiros'!$F$11+1),PMT(((1+'Instrumentos Financeiros'!$G$43)^(1/12)-1),$F$11,-$I$60),0)</f>
        <v>0</v>
      </c>
      <c r="I178" s="1312">
        <f t="shared" si="111"/>
        <v>0</v>
      </c>
      <c r="J178" s="1312">
        <f>K177*((1+'Instrumentos Financeiros'!$G$43)^(1/12)-1)</f>
        <v>0</v>
      </c>
      <c r="K178" s="1312">
        <f t="shared" si="80"/>
        <v>0</v>
      </c>
      <c r="L178" s="1312">
        <f>IF(AND(C178&gt;$F$61,'Instrumentos Financeiros'!C178&lt;'Instrumentos Financeiros'!$F$61+'Instrumentos Financeiros'!$F$11+1),PMT(((1+'Instrumentos Financeiros'!$G$43)^(1/12)-1),$F$11,-$I$61),0)</f>
        <v>0</v>
      </c>
      <c r="M178" s="1312">
        <f t="shared" si="112"/>
        <v>0</v>
      </c>
      <c r="N178" s="1312">
        <f>O177*((1+'Instrumentos Financeiros'!$G$43)^(1/12)-1)</f>
        <v>0</v>
      </c>
      <c r="O178" s="1312">
        <f t="shared" si="81"/>
        <v>0</v>
      </c>
      <c r="P178" s="1312">
        <f>IF(AND(C178&gt;$F$62,'Instrumentos Financeiros'!C178&lt;'Instrumentos Financeiros'!$F$62+'Instrumentos Financeiros'!$F$11+1),PMT(((1+'Instrumentos Financeiros'!$H$43)^(1/12)-1),$F$11,-$I$62),0)</f>
        <v>0</v>
      </c>
      <c r="Q178" s="1312">
        <f t="shared" si="113"/>
        <v>0</v>
      </c>
      <c r="R178" s="1312">
        <f>S177*((1+'Instrumentos Financeiros'!$H$43)^(1/12)-1)</f>
        <v>0</v>
      </c>
      <c r="S178" s="1312">
        <f t="shared" si="82"/>
        <v>0</v>
      </c>
      <c r="T178" s="1312">
        <f>IF(AND(C178&gt;$F$63,'Instrumentos Financeiros'!C178&lt;'Instrumentos Financeiros'!$F$63+'Instrumentos Financeiros'!$F$11+1),PMT(((1+'Instrumentos Financeiros'!$H$43)^(1/12)-1),$F$11,-$I$63),0)</f>
        <v>0</v>
      </c>
      <c r="U178" s="1312">
        <f t="shared" si="114"/>
        <v>0</v>
      </c>
      <c r="V178" s="1312">
        <f>W177*((1+'Instrumentos Financeiros'!$H$43)^(1/12)-1)</f>
        <v>0</v>
      </c>
      <c r="W178" s="1312">
        <f t="shared" si="83"/>
        <v>0</v>
      </c>
      <c r="X178" s="1312">
        <f>IF(AND(C178&gt;$F$64,'Instrumentos Financeiros'!C178&lt;'Instrumentos Financeiros'!$F$64+'Instrumentos Financeiros'!$F$11+1),PMT(((1+'Instrumentos Financeiros'!$H$43)^(1/12)-1),$F$11,-$I$64),0)</f>
        <v>0</v>
      </c>
      <c r="Y178" s="1312">
        <f t="shared" si="115"/>
        <v>0</v>
      </c>
      <c r="Z178" s="1312">
        <f>AA177*((1+'Instrumentos Financeiros'!$H$43)^(1/12)-1)</f>
        <v>0</v>
      </c>
      <c r="AA178" s="1312">
        <f t="shared" si="84"/>
        <v>0</v>
      </c>
      <c r="AB178" s="1312">
        <f>IF(AND(C178&gt;$F$65,'Instrumentos Financeiros'!C178&lt;'Instrumentos Financeiros'!$F$65+'Instrumentos Financeiros'!$F$11+1),PMT(((1+'Instrumentos Financeiros'!$H$43)^(1/12)-1),$F$11,-$I$65),0)</f>
        <v>76636.661022032335</v>
      </c>
      <c r="AC178" s="1312">
        <f t="shared" si="116"/>
        <v>35248.801293342542</v>
      </c>
      <c r="AD178" s="1312">
        <f>AE177*((1+'Instrumentos Financeiros'!$H$43)^(1/12)-1)</f>
        <v>41387.859728689793</v>
      </c>
      <c r="AE178" s="1312">
        <f t="shared" si="85"/>
        <v>9536387.7285589129</v>
      </c>
      <c r="AF178" s="1312">
        <f>IF(AND(C178&gt;$F$66,'Instrumentos Financeiros'!C178&lt;'Instrumentos Financeiros'!$F$66+'Instrumentos Financeiros'!$F$11+1),PMT(((1+'Instrumentos Financeiros'!$I$43)^(1/12)-1),$F$11,-$I$66),0)</f>
        <v>0</v>
      </c>
      <c r="AG178" s="1312">
        <f t="shared" si="117"/>
        <v>0</v>
      </c>
      <c r="AH178" s="1312">
        <f>AI177*((1+'Instrumentos Financeiros'!$I$43)^(1/12)-1)</f>
        <v>0</v>
      </c>
      <c r="AI178" s="1312">
        <f t="shared" si="86"/>
        <v>0</v>
      </c>
      <c r="AJ178" s="1312">
        <f>IF(AND(C178&gt;$F$67,'Instrumentos Financeiros'!C178&lt;'Instrumentos Financeiros'!$F$67+'Instrumentos Financeiros'!$F$11+1),PMT(((1+'Instrumentos Financeiros'!$I$43)^(1/12)-1),$F$11,-$I$67),0)</f>
        <v>0</v>
      </c>
      <c r="AK178" s="1312">
        <f t="shared" si="118"/>
        <v>0</v>
      </c>
      <c r="AL178" s="1312">
        <f>AM177*((1+'Instrumentos Financeiros'!$I$43)^(1/12)-1)</f>
        <v>0</v>
      </c>
      <c r="AM178" s="1312">
        <f t="shared" si="87"/>
        <v>0</v>
      </c>
      <c r="AN178" s="1312">
        <f>IF(AND(C178&gt;$F$68,'Instrumentos Financeiros'!C178&lt;'Instrumentos Financeiros'!$F$68+'Instrumentos Financeiros'!$F$11+1),PMT(((1+'Instrumentos Financeiros'!$I$43)^(1/12)-1),$F$11,-$I$68),0)</f>
        <v>0</v>
      </c>
      <c r="AO178" s="1312">
        <f t="shared" si="119"/>
        <v>0</v>
      </c>
      <c r="AP178" s="1312">
        <f>AQ177*((1+'Instrumentos Financeiros'!$I$43)^(1/12)-1)</f>
        <v>0</v>
      </c>
      <c r="AQ178" s="1312">
        <f t="shared" si="88"/>
        <v>0</v>
      </c>
      <c r="AR178" s="1312">
        <f>IF(AND(C178&gt;$F$69,'Instrumentos Financeiros'!C178&lt;'Instrumentos Financeiros'!$F$69+'Instrumentos Financeiros'!$F$11+1),PMT(((1+'Instrumentos Financeiros'!$I$43)^(1/12)-1),$F$11,-$I$69),0)</f>
        <v>0</v>
      </c>
      <c r="AS178" s="1312">
        <f t="shared" si="120"/>
        <v>0</v>
      </c>
      <c r="AT178" s="1312">
        <f>AU177*((1+'Instrumentos Financeiros'!$I$43)^(1/12)-1)</f>
        <v>0</v>
      </c>
      <c r="AU178" s="1312">
        <f t="shared" si="89"/>
        <v>0</v>
      </c>
      <c r="AV178" s="1312">
        <f>IF(AND(C178&gt;$F$70,'Instrumentos Financeiros'!C178&lt;'Instrumentos Financeiros'!$F$70+'Instrumentos Financeiros'!$F$11+1),PMT(((1+'Instrumentos Financeiros'!$J$43)^(1/12)-1),$F$11,-$I$70),0)</f>
        <v>0</v>
      </c>
      <c r="AW178" s="1312">
        <f t="shared" si="121"/>
        <v>0</v>
      </c>
      <c r="AX178" s="1312">
        <f>AY177*((1+'Instrumentos Financeiros'!$J$43)^(1/12)-1)</f>
        <v>0</v>
      </c>
      <c r="AY178" s="1312">
        <f t="shared" si="90"/>
        <v>0</v>
      </c>
      <c r="AZ178" s="1312">
        <f>IF(AND(C178&gt;$F$71,'Instrumentos Financeiros'!C178&lt;'Instrumentos Financeiros'!$F$71+'Instrumentos Financeiros'!$F$11+1),PMT(((1+'Instrumentos Financeiros'!$J$43)^(1/12)-1),$F$11,-$I$71),0)</f>
        <v>0</v>
      </c>
      <c r="BA178" s="1312">
        <f t="shared" si="122"/>
        <v>0</v>
      </c>
      <c r="BB178" s="1312">
        <f>BC177*((1+'Instrumentos Financeiros'!$J$43)^(1/12)-1)</f>
        <v>0</v>
      </c>
      <c r="BC178" s="1312">
        <f t="shared" si="91"/>
        <v>0</v>
      </c>
      <c r="BD178" s="1312">
        <f>IF(AND(C178&gt;$F$72,'Instrumentos Financeiros'!C178&lt;'Instrumentos Financeiros'!$F$72+'Instrumentos Financeiros'!$F$11+1),PMT(((1+'Instrumentos Financeiros'!$J$43)^(1/12)-1),$F$11,-'Instrumentos Financeiros'!$G$7*$G$72),0)</f>
        <v>0</v>
      </c>
      <c r="BE178" s="1312">
        <f t="shared" si="123"/>
        <v>0</v>
      </c>
      <c r="BF178" s="1312">
        <f>BG177*((1+'Instrumentos Financeiros'!$J$43)^(1/12)-1)</f>
        <v>0</v>
      </c>
      <c r="BG178" s="1312">
        <f t="shared" si="92"/>
        <v>0</v>
      </c>
      <c r="BH178" s="1312">
        <f>IF(AND(C178&gt;$F$73,'Instrumentos Financeiros'!C178&lt;'Instrumentos Financeiros'!$F$73+'Instrumentos Financeiros'!$F$11+1),PMT(((1+'Instrumentos Financeiros'!$J$43)^(1/12)-1),$F$11,-$I$73),0)</f>
        <v>0</v>
      </c>
      <c r="BI178" s="1312">
        <f t="shared" si="124"/>
        <v>0</v>
      </c>
      <c r="BJ178" s="1312">
        <f>BK177*((1+'Instrumentos Financeiros'!$J$43)^(1/12)-1)</f>
        <v>0</v>
      </c>
      <c r="BK178" s="1312">
        <f t="shared" si="93"/>
        <v>0</v>
      </c>
      <c r="BL178" s="1312">
        <f>IF(AND(C178&gt;$F$77,'Instrumentos Financeiros'!C178&lt;'Instrumentos Financeiros'!$F$77+'Instrumentos Financeiros'!$F$12+1),PMT(((1+'Instrumentos Financeiros'!$K$43)^(1/12)-1),$F$12,-$I$77),0)</f>
        <v>0</v>
      </c>
      <c r="BM178" s="1312">
        <f t="shared" si="94"/>
        <v>0</v>
      </c>
      <c r="BN178" s="1312">
        <f>BO177*((1+'Instrumentos Financeiros'!$K$43)^(1/12)-1)</f>
        <v>0</v>
      </c>
      <c r="BO178" s="1312">
        <f t="shared" si="95"/>
        <v>0</v>
      </c>
      <c r="BP178" s="1312">
        <f>IF(AND(C178&gt;$F$78,'Instrumentos Financeiros'!C178&lt;'Instrumentos Financeiros'!$F$78+'Instrumentos Financeiros'!$F$12+1),PMT(((1+'Instrumentos Financeiros'!$L$43)^(1/12)-1),$F$12,-$I$78),0)</f>
        <v>0</v>
      </c>
      <c r="BQ178" s="1312">
        <f t="shared" si="96"/>
        <v>0</v>
      </c>
      <c r="BR178" s="1312">
        <f>BS177*((1+'Instrumentos Financeiros'!$L$43)^(1/12)-1)</f>
        <v>0</v>
      </c>
      <c r="BS178" s="1312">
        <f t="shared" si="97"/>
        <v>0</v>
      </c>
      <c r="BT178" s="1312">
        <f>IF(AND(C178&gt;$F$79,'Instrumentos Financeiros'!C178&lt;'Instrumentos Financeiros'!$F$79+'Instrumentos Financeiros'!$F$12+1),PMT(((1+'Instrumentos Financeiros'!$L$43)^(1/12)-1),$F$12,-$I$79),0)</f>
        <v>0</v>
      </c>
      <c r="BU178" s="1312">
        <f t="shared" si="98"/>
        <v>0</v>
      </c>
      <c r="BV178" s="1312">
        <f>BW177*((1+'Instrumentos Financeiros'!$L$43)^(1/12)-1)</f>
        <v>0</v>
      </c>
      <c r="BW178" s="1312">
        <f t="shared" si="99"/>
        <v>0</v>
      </c>
      <c r="BX178" s="1312">
        <f>IF(AND(C178&gt;$F$80,'Instrumentos Financeiros'!C178&lt;'Instrumentos Financeiros'!$F$80+'Instrumentos Financeiros'!$F$12+1),PMT(((1+'Instrumentos Financeiros'!$L$43)^(1/12)-1),$F$12,-$I$80),0)</f>
        <v>0</v>
      </c>
      <c r="BY178" s="1312">
        <f t="shared" si="100"/>
        <v>0</v>
      </c>
      <c r="BZ178" s="1312">
        <f>CA177*((1+'Instrumentos Financeiros'!$L$43)^(1/12)-1)</f>
        <v>0</v>
      </c>
      <c r="CA178" s="1312">
        <f t="shared" si="101"/>
        <v>0</v>
      </c>
      <c r="CB178" s="1312">
        <f>IF(AND(C178&gt;$F$83,'Instrumentos Financeiros'!C178&lt;'Instrumentos Financeiros'!$F$83+'Instrumentos Financeiros'!$F$13+1),PMT(((1+'Instrumentos Financeiros'!$P$43)^(1/12)-1),$F$13,-$I$83),0)</f>
        <v>0</v>
      </c>
      <c r="CC178" s="1312">
        <f t="shared" si="102"/>
        <v>0</v>
      </c>
      <c r="CD178" s="1312">
        <f>CE177*((1+'Instrumentos Financeiros'!$P$43)^(1/12)-1)</f>
        <v>0</v>
      </c>
      <c r="CE178" s="1312">
        <f t="shared" si="103"/>
        <v>0</v>
      </c>
      <c r="CF178" s="1312">
        <f>IF(AND(C178&gt;$F$84,'Instrumentos Financeiros'!C178&lt;'Instrumentos Financeiros'!$F$84+'Instrumentos Financeiros'!$F$13+1),PMT(((1+'Instrumentos Financeiros'!$Q$43)^(1/12)-1),$F$13,-$I$84),0)</f>
        <v>0</v>
      </c>
      <c r="CG178" s="1312">
        <f t="shared" si="104"/>
        <v>0</v>
      </c>
      <c r="CH178" s="1312">
        <f>CI177*((1+'Instrumentos Financeiros'!$Q$43)^(1/12)-1)</f>
        <v>0</v>
      </c>
      <c r="CI178" s="1312">
        <f t="shared" si="105"/>
        <v>0</v>
      </c>
      <c r="CJ178" s="1312">
        <f>IF(AND(C178&gt;$F$85,'Instrumentos Financeiros'!C178&lt;'Instrumentos Financeiros'!$F$85+'Instrumentos Financeiros'!$F$13+1),PMT(((1+'Instrumentos Financeiros'!$Q$43)^(1/12)-1),$F$13,-$I$85),0)</f>
        <v>0</v>
      </c>
      <c r="CK178" s="1312">
        <f t="shared" si="106"/>
        <v>0</v>
      </c>
      <c r="CL178" s="1312">
        <f>CM177*((1+'Instrumentos Financeiros'!$Q$43)^(1/12)-1)</f>
        <v>0</v>
      </c>
      <c r="CM178" s="1312">
        <f t="shared" si="107"/>
        <v>0</v>
      </c>
      <c r="CN178" s="1312">
        <f>IF(AND(C178&gt;$F$86,'Instrumentos Financeiros'!C178&lt;'Instrumentos Financeiros'!$F$86+'Instrumentos Financeiros'!$F$13+1),PMT(((1+'Instrumentos Financeiros'!$Q$43)^(1/12)-1),$F$13,-$I$86),0)</f>
        <v>0</v>
      </c>
      <c r="CO178" s="1312">
        <f t="shared" si="108"/>
        <v>0</v>
      </c>
      <c r="CP178" s="1312">
        <f>CQ177*((1+'Instrumentos Financeiros'!$Q$43)^(1/12)-1)</f>
        <v>0</v>
      </c>
      <c r="CQ178" s="1312">
        <f t="shared" si="109"/>
        <v>0</v>
      </c>
      <c r="CR178" s="1312">
        <f t="shared" si="78"/>
        <v>168405.25065793248</v>
      </c>
      <c r="CS178" s="1312">
        <f t="shared" si="78"/>
        <v>82683.987247823316</v>
      </c>
      <c r="CT178" s="1312">
        <f t="shared" si="78"/>
        <v>85721.263410109153</v>
      </c>
      <c r="CU178" s="1312">
        <f t="shared" si="78"/>
        <v>20350189.609557725</v>
      </c>
    </row>
    <row r="179" spans="3:99" x14ac:dyDescent="0.35">
      <c r="C179" s="1315">
        <f t="shared" si="79"/>
        <v>86</v>
      </c>
      <c r="D179" s="1312">
        <f>IF(AND(C179&gt;$F$59,'Instrumentos Financeiros'!C179&lt;'Instrumentos Financeiros'!$F$59+'Instrumentos Financeiros'!$F$11+1),PMT(((1+'Instrumentos Financeiros'!$G$43)^(1/12)-1),$F$11,-$I$59),0)</f>
        <v>91768.589635900134</v>
      </c>
      <c r="E179" s="1312">
        <f t="shared" si="76"/>
        <v>47628.806923681579</v>
      </c>
      <c r="F179" s="1312">
        <f>G178*((1+'Instrumentos Financeiros'!$G$43)^(1/12)-1)</f>
        <v>44139.782712218555</v>
      </c>
      <c r="G179" s="1312">
        <f t="shared" si="110"/>
        <v>10766173.074075131</v>
      </c>
      <c r="H179" s="1312">
        <f>IF(AND(C179&gt;$F$60,'Instrumentos Financeiros'!C179&lt;'Instrumentos Financeiros'!$F$60+'Instrumentos Financeiros'!$F$11+1),PMT(((1+'Instrumentos Financeiros'!$G$43)^(1/12)-1),$F$11,-$I$60),0)</f>
        <v>0</v>
      </c>
      <c r="I179" s="1312">
        <f t="shared" si="111"/>
        <v>0</v>
      </c>
      <c r="J179" s="1312">
        <f>K178*((1+'Instrumentos Financeiros'!$G$43)^(1/12)-1)</f>
        <v>0</v>
      </c>
      <c r="K179" s="1312">
        <f t="shared" si="80"/>
        <v>0</v>
      </c>
      <c r="L179" s="1312">
        <f>IF(AND(C179&gt;$F$61,'Instrumentos Financeiros'!C179&lt;'Instrumentos Financeiros'!$F$61+'Instrumentos Financeiros'!$F$11+1),PMT(((1+'Instrumentos Financeiros'!$G$43)^(1/12)-1),$F$11,-$I$61),0)</f>
        <v>0</v>
      </c>
      <c r="M179" s="1312">
        <f t="shared" si="112"/>
        <v>0</v>
      </c>
      <c r="N179" s="1312">
        <f>O178*((1+'Instrumentos Financeiros'!$G$43)^(1/12)-1)</f>
        <v>0</v>
      </c>
      <c r="O179" s="1312">
        <f t="shared" si="81"/>
        <v>0</v>
      </c>
      <c r="P179" s="1312">
        <f>IF(AND(C179&gt;$F$62,'Instrumentos Financeiros'!C179&lt;'Instrumentos Financeiros'!$F$62+'Instrumentos Financeiros'!$F$11+1),PMT(((1+'Instrumentos Financeiros'!$H$43)^(1/12)-1),$F$11,-$I$62),0)</f>
        <v>0</v>
      </c>
      <c r="Q179" s="1312">
        <f t="shared" si="113"/>
        <v>0</v>
      </c>
      <c r="R179" s="1312">
        <f>S178*((1+'Instrumentos Financeiros'!$H$43)^(1/12)-1)</f>
        <v>0</v>
      </c>
      <c r="S179" s="1312">
        <f t="shared" si="82"/>
        <v>0</v>
      </c>
      <c r="T179" s="1312">
        <f>IF(AND(C179&gt;$F$63,'Instrumentos Financeiros'!C179&lt;'Instrumentos Financeiros'!$F$63+'Instrumentos Financeiros'!$F$11+1),PMT(((1+'Instrumentos Financeiros'!$H$43)^(1/12)-1),$F$11,-$I$63),0)</f>
        <v>0</v>
      </c>
      <c r="U179" s="1312">
        <f t="shared" si="114"/>
        <v>0</v>
      </c>
      <c r="V179" s="1312">
        <f>W178*((1+'Instrumentos Financeiros'!$H$43)^(1/12)-1)</f>
        <v>0</v>
      </c>
      <c r="W179" s="1312">
        <f t="shared" si="83"/>
        <v>0</v>
      </c>
      <c r="X179" s="1312">
        <f>IF(AND(C179&gt;$F$64,'Instrumentos Financeiros'!C179&lt;'Instrumentos Financeiros'!$F$64+'Instrumentos Financeiros'!$F$11+1),PMT(((1+'Instrumentos Financeiros'!$H$43)^(1/12)-1),$F$11,-$I$64),0)</f>
        <v>0</v>
      </c>
      <c r="Y179" s="1312">
        <f t="shared" si="115"/>
        <v>0</v>
      </c>
      <c r="Z179" s="1312">
        <f>AA178*((1+'Instrumentos Financeiros'!$H$43)^(1/12)-1)</f>
        <v>0</v>
      </c>
      <c r="AA179" s="1312">
        <f t="shared" si="84"/>
        <v>0</v>
      </c>
      <c r="AB179" s="1312">
        <f>IF(AND(C179&gt;$F$65,'Instrumentos Financeiros'!C179&lt;'Instrumentos Financeiros'!$F$65+'Instrumentos Financeiros'!$F$11+1),PMT(((1+'Instrumentos Financeiros'!$H$43)^(1/12)-1),$F$11,-$I$65),0)</f>
        <v>76636.661022032335</v>
      </c>
      <c r="AC179" s="1312">
        <f t="shared" si="116"/>
        <v>35401.217490821771</v>
      </c>
      <c r="AD179" s="1312">
        <f>AE178*((1+'Instrumentos Financeiros'!$H$43)^(1/12)-1)</f>
        <v>41235.443531210563</v>
      </c>
      <c r="AE179" s="1312">
        <f t="shared" si="85"/>
        <v>9500986.5110680908</v>
      </c>
      <c r="AF179" s="1312">
        <f>IF(AND(C179&gt;$F$66,'Instrumentos Financeiros'!C179&lt;'Instrumentos Financeiros'!$F$66+'Instrumentos Financeiros'!$F$11+1),PMT(((1+'Instrumentos Financeiros'!$I$43)^(1/12)-1),$F$11,-$I$66),0)</f>
        <v>0</v>
      </c>
      <c r="AG179" s="1312">
        <f t="shared" si="117"/>
        <v>0</v>
      </c>
      <c r="AH179" s="1312">
        <f>AI178*((1+'Instrumentos Financeiros'!$I$43)^(1/12)-1)</f>
        <v>0</v>
      </c>
      <c r="AI179" s="1312">
        <f t="shared" si="86"/>
        <v>0</v>
      </c>
      <c r="AJ179" s="1312">
        <f>IF(AND(C179&gt;$F$67,'Instrumentos Financeiros'!C179&lt;'Instrumentos Financeiros'!$F$67+'Instrumentos Financeiros'!$F$11+1),PMT(((1+'Instrumentos Financeiros'!$I$43)^(1/12)-1),$F$11,-$I$67),0)</f>
        <v>0</v>
      </c>
      <c r="AK179" s="1312">
        <f t="shared" si="118"/>
        <v>0</v>
      </c>
      <c r="AL179" s="1312">
        <f>AM178*((1+'Instrumentos Financeiros'!$I$43)^(1/12)-1)</f>
        <v>0</v>
      </c>
      <c r="AM179" s="1312">
        <f t="shared" si="87"/>
        <v>0</v>
      </c>
      <c r="AN179" s="1312">
        <f>IF(AND(C179&gt;$F$68,'Instrumentos Financeiros'!C179&lt;'Instrumentos Financeiros'!$F$68+'Instrumentos Financeiros'!$F$11+1),PMT(((1+'Instrumentos Financeiros'!$I$43)^(1/12)-1),$F$11,-$I$68),0)</f>
        <v>0</v>
      </c>
      <c r="AO179" s="1312">
        <f t="shared" si="119"/>
        <v>0</v>
      </c>
      <c r="AP179" s="1312">
        <f>AQ178*((1+'Instrumentos Financeiros'!$I$43)^(1/12)-1)</f>
        <v>0</v>
      </c>
      <c r="AQ179" s="1312">
        <f t="shared" si="88"/>
        <v>0</v>
      </c>
      <c r="AR179" s="1312">
        <f>IF(AND(C179&gt;$F$69,'Instrumentos Financeiros'!C179&lt;'Instrumentos Financeiros'!$F$69+'Instrumentos Financeiros'!$F$11+1),PMT(((1+'Instrumentos Financeiros'!$I$43)^(1/12)-1),$F$11,-$I$69),0)</f>
        <v>0</v>
      </c>
      <c r="AS179" s="1312">
        <f t="shared" si="120"/>
        <v>0</v>
      </c>
      <c r="AT179" s="1312">
        <f>AU178*((1+'Instrumentos Financeiros'!$I$43)^(1/12)-1)</f>
        <v>0</v>
      </c>
      <c r="AU179" s="1312">
        <f t="shared" si="89"/>
        <v>0</v>
      </c>
      <c r="AV179" s="1312">
        <f>IF(AND(C179&gt;$F$70,'Instrumentos Financeiros'!C179&lt;'Instrumentos Financeiros'!$F$70+'Instrumentos Financeiros'!$F$11+1),PMT(((1+'Instrumentos Financeiros'!$J$43)^(1/12)-1),$F$11,-$I$70),0)</f>
        <v>0</v>
      </c>
      <c r="AW179" s="1312">
        <f t="shared" si="121"/>
        <v>0</v>
      </c>
      <c r="AX179" s="1312">
        <f>AY178*((1+'Instrumentos Financeiros'!$J$43)^(1/12)-1)</f>
        <v>0</v>
      </c>
      <c r="AY179" s="1312">
        <f t="shared" si="90"/>
        <v>0</v>
      </c>
      <c r="AZ179" s="1312">
        <f>IF(AND(C179&gt;$F$71,'Instrumentos Financeiros'!C179&lt;'Instrumentos Financeiros'!$F$71+'Instrumentos Financeiros'!$F$11+1),PMT(((1+'Instrumentos Financeiros'!$J$43)^(1/12)-1),$F$11,-$I$71),0)</f>
        <v>0</v>
      </c>
      <c r="BA179" s="1312">
        <f t="shared" si="122"/>
        <v>0</v>
      </c>
      <c r="BB179" s="1312">
        <f>BC178*((1+'Instrumentos Financeiros'!$J$43)^(1/12)-1)</f>
        <v>0</v>
      </c>
      <c r="BC179" s="1312">
        <f t="shared" si="91"/>
        <v>0</v>
      </c>
      <c r="BD179" s="1312">
        <f>IF(AND(C179&gt;$F$72,'Instrumentos Financeiros'!C179&lt;'Instrumentos Financeiros'!$F$72+'Instrumentos Financeiros'!$F$11+1),PMT(((1+'Instrumentos Financeiros'!$J$43)^(1/12)-1),$F$11,-'Instrumentos Financeiros'!$G$7*$G$72),0)</f>
        <v>0</v>
      </c>
      <c r="BE179" s="1312">
        <f t="shared" si="123"/>
        <v>0</v>
      </c>
      <c r="BF179" s="1312">
        <f>BG178*((1+'Instrumentos Financeiros'!$J$43)^(1/12)-1)</f>
        <v>0</v>
      </c>
      <c r="BG179" s="1312">
        <f t="shared" si="92"/>
        <v>0</v>
      </c>
      <c r="BH179" s="1312">
        <f>IF(AND(C179&gt;$F$73,'Instrumentos Financeiros'!C179&lt;'Instrumentos Financeiros'!$F$73+'Instrumentos Financeiros'!$F$11+1),PMT(((1+'Instrumentos Financeiros'!$J$43)^(1/12)-1),$F$11,-$I$73),0)</f>
        <v>0</v>
      </c>
      <c r="BI179" s="1312">
        <f t="shared" si="124"/>
        <v>0</v>
      </c>
      <c r="BJ179" s="1312">
        <f>BK178*((1+'Instrumentos Financeiros'!$J$43)^(1/12)-1)</f>
        <v>0</v>
      </c>
      <c r="BK179" s="1312">
        <f t="shared" si="93"/>
        <v>0</v>
      </c>
      <c r="BL179" s="1312">
        <f>IF(AND(C179&gt;$F$77,'Instrumentos Financeiros'!C179&lt;'Instrumentos Financeiros'!$F$77+'Instrumentos Financeiros'!$F$12+1),PMT(((1+'Instrumentos Financeiros'!$K$43)^(1/12)-1),$F$12,-$I$77),0)</f>
        <v>0</v>
      </c>
      <c r="BM179" s="1312">
        <f t="shared" si="94"/>
        <v>0</v>
      </c>
      <c r="BN179" s="1312">
        <f>BO178*((1+'Instrumentos Financeiros'!$K$43)^(1/12)-1)</f>
        <v>0</v>
      </c>
      <c r="BO179" s="1312">
        <f t="shared" si="95"/>
        <v>0</v>
      </c>
      <c r="BP179" s="1312">
        <f>IF(AND(C179&gt;$F$78,'Instrumentos Financeiros'!C179&lt;'Instrumentos Financeiros'!$F$78+'Instrumentos Financeiros'!$F$12+1),PMT(((1+'Instrumentos Financeiros'!$L$43)^(1/12)-1),$F$12,-$I$78),0)</f>
        <v>0</v>
      </c>
      <c r="BQ179" s="1312">
        <f t="shared" si="96"/>
        <v>0</v>
      </c>
      <c r="BR179" s="1312">
        <f>BS178*((1+'Instrumentos Financeiros'!$L$43)^(1/12)-1)</f>
        <v>0</v>
      </c>
      <c r="BS179" s="1312">
        <f t="shared" si="97"/>
        <v>0</v>
      </c>
      <c r="BT179" s="1312">
        <f>IF(AND(C179&gt;$F$79,'Instrumentos Financeiros'!C179&lt;'Instrumentos Financeiros'!$F$79+'Instrumentos Financeiros'!$F$12+1),PMT(((1+'Instrumentos Financeiros'!$L$43)^(1/12)-1),$F$12,-$I$79),0)</f>
        <v>0</v>
      </c>
      <c r="BU179" s="1312">
        <f t="shared" si="98"/>
        <v>0</v>
      </c>
      <c r="BV179" s="1312">
        <f>BW178*((1+'Instrumentos Financeiros'!$L$43)^(1/12)-1)</f>
        <v>0</v>
      </c>
      <c r="BW179" s="1312">
        <f t="shared" si="99"/>
        <v>0</v>
      </c>
      <c r="BX179" s="1312">
        <f>IF(AND(C179&gt;$F$80,'Instrumentos Financeiros'!C179&lt;'Instrumentos Financeiros'!$F$80+'Instrumentos Financeiros'!$F$12+1),PMT(((1+'Instrumentos Financeiros'!$L$43)^(1/12)-1),$F$12,-$I$80),0)</f>
        <v>0</v>
      </c>
      <c r="BY179" s="1312">
        <f t="shared" si="100"/>
        <v>0</v>
      </c>
      <c r="BZ179" s="1312">
        <f>CA178*((1+'Instrumentos Financeiros'!$L$43)^(1/12)-1)</f>
        <v>0</v>
      </c>
      <c r="CA179" s="1312">
        <f t="shared" si="101"/>
        <v>0</v>
      </c>
      <c r="CB179" s="1312">
        <f>IF(AND(C179&gt;$F$83,'Instrumentos Financeiros'!C179&lt;'Instrumentos Financeiros'!$F$83+'Instrumentos Financeiros'!$F$13+1),PMT(((1+'Instrumentos Financeiros'!$P$43)^(1/12)-1),$F$13,-$I$83),0)</f>
        <v>0</v>
      </c>
      <c r="CC179" s="1312">
        <f t="shared" si="102"/>
        <v>0</v>
      </c>
      <c r="CD179" s="1312">
        <f>CE178*((1+'Instrumentos Financeiros'!$P$43)^(1/12)-1)</f>
        <v>0</v>
      </c>
      <c r="CE179" s="1312">
        <f t="shared" si="103"/>
        <v>0</v>
      </c>
      <c r="CF179" s="1312">
        <f>IF(AND(C179&gt;$F$84,'Instrumentos Financeiros'!C179&lt;'Instrumentos Financeiros'!$F$84+'Instrumentos Financeiros'!$F$13+1),PMT(((1+'Instrumentos Financeiros'!$Q$43)^(1/12)-1),$F$13,-$I$84),0)</f>
        <v>0</v>
      </c>
      <c r="CG179" s="1312">
        <f t="shared" si="104"/>
        <v>0</v>
      </c>
      <c r="CH179" s="1312">
        <f>CI178*((1+'Instrumentos Financeiros'!$Q$43)^(1/12)-1)</f>
        <v>0</v>
      </c>
      <c r="CI179" s="1312">
        <f t="shared" si="105"/>
        <v>0</v>
      </c>
      <c r="CJ179" s="1312">
        <f>IF(AND(C179&gt;$F$85,'Instrumentos Financeiros'!C179&lt;'Instrumentos Financeiros'!$F$85+'Instrumentos Financeiros'!$F$13+1),PMT(((1+'Instrumentos Financeiros'!$Q$43)^(1/12)-1),$F$13,-$I$85),0)</f>
        <v>0</v>
      </c>
      <c r="CK179" s="1312">
        <f t="shared" si="106"/>
        <v>0</v>
      </c>
      <c r="CL179" s="1312">
        <f>CM178*((1+'Instrumentos Financeiros'!$Q$43)^(1/12)-1)</f>
        <v>0</v>
      </c>
      <c r="CM179" s="1312">
        <f t="shared" si="107"/>
        <v>0</v>
      </c>
      <c r="CN179" s="1312">
        <f>IF(AND(C179&gt;$F$86,'Instrumentos Financeiros'!C179&lt;'Instrumentos Financeiros'!$F$86+'Instrumentos Financeiros'!$F$13+1),PMT(((1+'Instrumentos Financeiros'!$Q$43)^(1/12)-1),$F$13,-$I$86),0)</f>
        <v>0</v>
      </c>
      <c r="CO179" s="1312">
        <f t="shared" si="108"/>
        <v>0</v>
      </c>
      <c r="CP179" s="1312">
        <f>CQ178*((1+'Instrumentos Financeiros'!$Q$43)^(1/12)-1)</f>
        <v>0</v>
      </c>
      <c r="CQ179" s="1312">
        <f t="shared" si="109"/>
        <v>0</v>
      </c>
      <c r="CR179" s="1312">
        <f t="shared" si="78"/>
        <v>168405.25065793248</v>
      </c>
      <c r="CS179" s="1312">
        <f t="shared" si="78"/>
        <v>83030.02441450335</v>
      </c>
      <c r="CT179" s="1312">
        <f t="shared" si="78"/>
        <v>85375.226243429119</v>
      </c>
      <c r="CU179" s="1312">
        <f t="shared" si="78"/>
        <v>20267159.585143223</v>
      </c>
    </row>
    <row r="180" spans="3:99" x14ac:dyDescent="0.35">
      <c r="C180" s="1315">
        <f t="shared" si="79"/>
        <v>87</v>
      </c>
      <c r="D180" s="1312">
        <f>IF(AND(C180&gt;$F$59,'Instrumentos Financeiros'!C180&lt;'Instrumentos Financeiros'!$F$59+'Instrumentos Financeiros'!$F$11+1),PMT(((1+'Instrumentos Financeiros'!$G$43)^(1/12)-1),$F$11,-$I$59),0)</f>
        <v>91768.589635900134</v>
      </c>
      <c r="E180" s="1312">
        <f t="shared" si="76"/>
        <v>47823.218215065375</v>
      </c>
      <c r="F180" s="1312">
        <f>G179*((1+'Instrumentos Financeiros'!$G$43)^(1/12)-1)</f>
        <v>43945.371420834759</v>
      </c>
      <c r="G180" s="1312">
        <f t="shared" si="110"/>
        <v>10718349.855860066</v>
      </c>
      <c r="H180" s="1312">
        <f>IF(AND(C180&gt;$F$60,'Instrumentos Financeiros'!C180&lt;'Instrumentos Financeiros'!$F$60+'Instrumentos Financeiros'!$F$11+1),PMT(((1+'Instrumentos Financeiros'!$G$43)^(1/12)-1),$F$11,-$I$60),0)</f>
        <v>0</v>
      </c>
      <c r="I180" s="1312">
        <f t="shared" si="111"/>
        <v>0</v>
      </c>
      <c r="J180" s="1312">
        <f>K179*((1+'Instrumentos Financeiros'!$G$43)^(1/12)-1)</f>
        <v>0</v>
      </c>
      <c r="K180" s="1312">
        <f t="shared" si="80"/>
        <v>0</v>
      </c>
      <c r="L180" s="1312">
        <f>IF(AND(C180&gt;$F$61,'Instrumentos Financeiros'!C180&lt;'Instrumentos Financeiros'!$F$61+'Instrumentos Financeiros'!$F$11+1),PMT(((1+'Instrumentos Financeiros'!$G$43)^(1/12)-1),$F$11,-$I$61),0)</f>
        <v>0</v>
      </c>
      <c r="M180" s="1312">
        <f t="shared" si="112"/>
        <v>0</v>
      </c>
      <c r="N180" s="1312">
        <f>O179*((1+'Instrumentos Financeiros'!$G$43)^(1/12)-1)</f>
        <v>0</v>
      </c>
      <c r="O180" s="1312">
        <f t="shared" si="81"/>
        <v>0</v>
      </c>
      <c r="P180" s="1312">
        <f>IF(AND(C180&gt;$F$62,'Instrumentos Financeiros'!C180&lt;'Instrumentos Financeiros'!$F$62+'Instrumentos Financeiros'!$F$11+1),PMT(((1+'Instrumentos Financeiros'!$H$43)^(1/12)-1),$F$11,-$I$62),0)</f>
        <v>0</v>
      </c>
      <c r="Q180" s="1312">
        <f t="shared" si="113"/>
        <v>0</v>
      </c>
      <c r="R180" s="1312">
        <f>S179*((1+'Instrumentos Financeiros'!$H$43)^(1/12)-1)</f>
        <v>0</v>
      </c>
      <c r="S180" s="1312">
        <f t="shared" si="82"/>
        <v>0</v>
      </c>
      <c r="T180" s="1312">
        <f>IF(AND(C180&gt;$F$63,'Instrumentos Financeiros'!C180&lt;'Instrumentos Financeiros'!$F$63+'Instrumentos Financeiros'!$F$11+1),PMT(((1+'Instrumentos Financeiros'!$H$43)^(1/12)-1),$F$11,-$I$63),0)</f>
        <v>0</v>
      </c>
      <c r="U180" s="1312">
        <f t="shared" si="114"/>
        <v>0</v>
      </c>
      <c r="V180" s="1312">
        <f>W179*((1+'Instrumentos Financeiros'!$H$43)^(1/12)-1)</f>
        <v>0</v>
      </c>
      <c r="W180" s="1312">
        <f t="shared" si="83"/>
        <v>0</v>
      </c>
      <c r="X180" s="1312">
        <f>IF(AND(C180&gt;$F$64,'Instrumentos Financeiros'!C180&lt;'Instrumentos Financeiros'!$F$64+'Instrumentos Financeiros'!$F$11+1),PMT(((1+'Instrumentos Financeiros'!$H$43)^(1/12)-1),$F$11,-$I$64),0)</f>
        <v>0</v>
      </c>
      <c r="Y180" s="1312">
        <f t="shared" si="115"/>
        <v>0</v>
      </c>
      <c r="Z180" s="1312">
        <f>AA179*((1+'Instrumentos Financeiros'!$H$43)^(1/12)-1)</f>
        <v>0</v>
      </c>
      <c r="AA180" s="1312">
        <f t="shared" si="84"/>
        <v>0</v>
      </c>
      <c r="AB180" s="1312">
        <f>IF(AND(C180&gt;$F$65,'Instrumentos Financeiros'!C180&lt;'Instrumentos Financeiros'!$F$65+'Instrumentos Financeiros'!$F$11+1),PMT(((1+'Instrumentos Financeiros'!$H$43)^(1/12)-1),$F$11,-$I$65),0)</f>
        <v>76636.661022032335</v>
      </c>
      <c r="AC180" s="1312">
        <f t="shared" si="116"/>
        <v>35554.29273758499</v>
      </c>
      <c r="AD180" s="1312">
        <f>AE179*((1+'Instrumentos Financeiros'!$H$43)^(1/12)-1)</f>
        <v>41082.368284447344</v>
      </c>
      <c r="AE180" s="1312">
        <f t="shared" si="85"/>
        <v>9465432.2183305062</v>
      </c>
      <c r="AF180" s="1312">
        <f>IF(AND(C180&gt;$F$66,'Instrumentos Financeiros'!C180&lt;'Instrumentos Financeiros'!$F$66+'Instrumentos Financeiros'!$F$11+1),PMT(((1+'Instrumentos Financeiros'!$I$43)^(1/12)-1),$F$11,-$I$66),0)</f>
        <v>0</v>
      </c>
      <c r="AG180" s="1312">
        <f t="shared" si="117"/>
        <v>0</v>
      </c>
      <c r="AH180" s="1312">
        <f>AI179*((1+'Instrumentos Financeiros'!$I$43)^(1/12)-1)</f>
        <v>0</v>
      </c>
      <c r="AI180" s="1312">
        <f t="shared" si="86"/>
        <v>9571636.5298522562</v>
      </c>
      <c r="AJ180" s="1312">
        <f>IF(AND(C180&gt;$F$67,'Instrumentos Financeiros'!C180&lt;'Instrumentos Financeiros'!$F$67+'Instrumentos Financeiros'!$F$11+1),PMT(((1+'Instrumentos Financeiros'!$I$43)^(1/12)-1),$F$11,-$I$67),0)</f>
        <v>0</v>
      </c>
      <c r="AK180" s="1312">
        <f t="shared" si="118"/>
        <v>0</v>
      </c>
      <c r="AL180" s="1312">
        <f>AM179*((1+'Instrumentos Financeiros'!$I$43)^(1/12)-1)</f>
        <v>0</v>
      </c>
      <c r="AM180" s="1312">
        <f t="shared" si="87"/>
        <v>0</v>
      </c>
      <c r="AN180" s="1312">
        <f>IF(AND(C180&gt;$F$68,'Instrumentos Financeiros'!C180&lt;'Instrumentos Financeiros'!$F$68+'Instrumentos Financeiros'!$F$11+1),PMT(((1+'Instrumentos Financeiros'!$I$43)^(1/12)-1),$F$11,-$I$68),0)</f>
        <v>0</v>
      </c>
      <c r="AO180" s="1312">
        <f t="shared" si="119"/>
        <v>0</v>
      </c>
      <c r="AP180" s="1312">
        <f>AQ179*((1+'Instrumentos Financeiros'!$I$43)^(1/12)-1)</f>
        <v>0</v>
      </c>
      <c r="AQ180" s="1312">
        <f t="shared" si="88"/>
        <v>0</v>
      </c>
      <c r="AR180" s="1312">
        <f>IF(AND(C180&gt;$F$69,'Instrumentos Financeiros'!C180&lt;'Instrumentos Financeiros'!$F$69+'Instrumentos Financeiros'!$F$11+1),PMT(((1+'Instrumentos Financeiros'!$I$43)^(1/12)-1),$F$11,-$I$69),0)</f>
        <v>0</v>
      </c>
      <c r="AS180" s="1312">
        <f t="shared" si="120"/>
        <v>0</v>
      </c>
      <c r="AT180" s="1312">
        <f>AU179*((1+'Instrumentos Financeiros'!$I$43)^(1/12)-1)</f>
        <v>0</v>
      </c>
      <c r="AU180" s="1312">
        <f t="shared" si="89"/>
        <v>0</v>
      </c>
      <c r="AV180" s="1312">
        <f>IF(AND(C180&gt;$F$70,'Instrumentos Financeiros'!C180&lt;'Instrumentos Financeiros'!$F$70+'Instrumentos Financeiros'!$F$11+1),PMT(((1+'Instrumentos Financeiros'!$J$43)^(1/12)-1),$F$11,-$I$70),0)</f>
        <v>0</v>
      </c>
      <c r="AW180" s="1312">
        <f t="shared" si="121"/>
        <v>0</v>
      </c>
      <c r="AX180" s="1312">
        <f>AY179*((1+'Instrumentos Financeiros'!$J$43)^(1/12)-1)</f>
        <v>0</v>
      </c>
      <c r="AY180" s="1312">
        <f t="shared" si="90"/>
        <v>0</v>
      </c>
      <c r="AZ180" s="1312">
        <f>IF(AND(C180&gt;$F$71,'Instrumentos Financeiros'!C180&lt;'Instrumentos Financeiros'!$F$71+'Instrumentos Financeiros'!$F$11+1),PMT(((1+'Instrumentos Financeiros'!$J$43)^(1/12)-1),$F$11,-$I$71),0)</f>
        <v>0</v>
      </c>
      <c r="BA180" s="1312">
        <f t="shared" si="122"/>
        <v>0</v>
      </c>
      <c r="BB180" s="1312">
        <f>BC179*((1+'Instrumentos Financeiros'!$J$43)^(1/12)-1)</f>
        <v>0</v>
      </c>
      <c r="BC180" s="1312">
        <f t="shared" si="91"/>
        <v>0</v>
      </c>
      <c r="BD180" s="1312">
        <f>IF(AND(C180&gt;$F$72,'Instrumentos Financeiros'!C180&lt;'Instrumentos Financeiros'!$F$72+'Instrumentos Financeiros'!$F$11+1),PMT(((1+'Instrumentos Financeiros'!$J$43)^(1/12)-1),$F$11,-'Instrumentos Financeiros'!$G$7*$G$72),0)</f>
        <v>0</v>
      </c>
      <c r="BE180" s="1312">
        <f t="shared" si="123"/>
        <v>0</v>
      </c>
      <c r="BF180" s="1312">
        <f>BG179*((1+'Instrumentos Financeiros'!$J$43)^(1/12)-1)</f>
        <v>0</v>
      </c>
      <c r="BG180" s="1312">
        <f t="shared" si="92"/>
        <v>0</v>
      </c>
      <c r="BH180" s="1312">
        <f>IF(AND(C180&gt;$F$73,'Instrumentos Financeiros'!C180&lt;'Instrumentos Financeiros'!$F$73+'Instrumentos Financeiros'!$F$11+1),PMT(((1+'Instrumentos Financeiros'!$J$43)^(1/12)-1),$F$11,-$I$73),0)</f>
        <v>0</v>
      </c>
      <c r="BI180" s="1312">
        <f t="shared" si="124"/>
        <v>0</v>
      </c>
      <c r="BJ180" s="1312">
        <f>BK179*((1+'Instrumentos Financeiros'!$J$43)^(1/12)-1)</f>
        <v>0</v>
      </c>
      <c r="BK180" s="1312">
        <f t="shared" si="93"/>
        <v>0</v>
      </c>
      <c r="BL180" s="1312">
        <f>IF(AND(C180&gt;$F$77,'Instrumentos Financeiros'!C180&lt;'Instrumentos Financeiros'!$F$77+'Instrumentos Financeiros'!$F$12+1),PMT(((1+'Instrumentos Financeiros'!$K$43)^(1/12)-1),$F$12,-$I$77),0)</f>
        <v>0</v>
      </c>
      <c r="BM180" s="1312">
        <f t="shared" si="94"/>
        <v>0</v>
      </c>
      <c r="BN180" s="1312">
        <f>BO179*((1+'Instrumentos Financeiros'!$K$43)^(1/12)-1)</f>
        <v>0</v>
      </c>
      <c r="BO180" s="1312">
        <f t="shared" si="95"/>
        <v>0</v>
      </c>
      <c r="BP180" s="1312">
        <f>IF(AND(C180&gt;$F$78,'Instrumentos Financeiros'!C180&lt;'Instrumentos Financeiros'!$F$78+'Instrumentos Financeiros'!$F$12+1),PMT(((1+'Instrumentos Financeiros'!$L$43)^(1/12)-1),$F$12,-$I$78),0)</f>
        <v>0</v>
      </c>
      <c r="BQ180" s="1312">
        <f t="shared" si="96"/>
        <v>0</v>
      </c>
      <c r="BR180" s="1312">
        <f>BS179*((1+'Instrumentos Financeiros'!$L$43)^(1/12)-1)</f>
        <v>0</v>
      </c>
      <c r="BS180" s="1312">
        <f t="shared" si="97"/>
        <v>0</v>
      </c>
      <c r="BT180" s="1312">
        <f>IF(AND(C180&gt;$F$79,'Instrumentos Financeiros'!C180&lt;'Instrumentos Financeiros'!$F$79+'Instrumentos Financeiros'!$F$12+1),PMT(((1+'Instrumentos Financeiros'!$L$43)^(1/12)-1),$F$12,-$I$79),0)</f>
        <v>0</v>
      </c>
      <c r="BU180" s="1312">
        <f t="shared" si="98"/>
        <v>0</v>
      </c>
      <c r="BV180" s="1312">
        <f>BW179*((1+'Instrumentos Financeiros'!$L$43)^(1/12)-1)</f>
        <v>0</v>
      </c>
      <c r="BW180" s="1312">
        <f t="shared" si="99"/>
        <v>0</v>
      </c>
      <c r="BX180" s="1312">
        <f>IF(AND(C180&gt;$F$80,'Instrumentos Financeiros'!C180&lt;'Instrumentos Financeiros'!$F$80+'Instrumentos Financeiros'!$F$12+1),PMT(((1+'Instrumentos Financeiros'!$L$43)^(1/12)-1),$F$12,-$I$80),0)</f>
        <v>0</v>
      </c>
      <c r="BY180" s="1312">
        <f t="shared" si="100"/>
        <v>0</v>
      </c>
      <c r="BZ180" s="1312">
        <f>CA179*((1+'Instrumentos Financeiros'!$L$43)^(1/12)-1)</f>
        <v>0</v>
      </c>
      <c r="CA180" s="1312">
        <f t="shared" si="101"/>
        <v>0</v>
      </c>
      <c r="CB180" s="1312">
        <f>IF(AND(C180&gt;$F$83,'Instrumentos Financeiros'!C180&lt;'Instrumentos Financeiros'!$F$83+'Instrumentos Financeiros'!$F$13+1),PMT(((1+'Instrumentos Financeiros'!$P$43)^(1/12)-1),$F$13,-$I$83),0)</f>
        <v>0</v>
      </c>
      <c r="CC180" s="1312">
        <f t="shared" si="102"/>
        <v>0</v>
      </c>
      <c r="CD180" s="1312">
        <f>CE179*((1+'Instrumentos Financeiros'!$P$43)^(1/12)-1)</f>
        <v>0</v>
      </c>
      <c r="CE180" s="1312">
        <f t="shared" si="103"/>
        <v>0</v>
      </c>
      <c r="CF180" s="1312">
        <f>IF(AND(C180&gt;$F$84,'Instrumentos Financeiros'!C180&lt;'Instrumentos Financeiros'!$F$84+'Instrumentos Financeiros'!$F$13+1),PMT(((1+'Instrumentos Financeiros'!$Q$43)^(1/12)-1),$F$13,-$I$84),0)</f>
        <v>0</v>
      </c>
      <c r="CG180" s="1312">
        <f t="shared" si="104"/>
        <v>0</v>
      </c>
      <c r="CH180" s="1312">
        <f>CI179*((1+'Instrumentos Financeiros'!$Q$43)^(1/12)-1)</f>
        <v>0</v>
      </c>
      <c r="CI180" s="1312">
        <f t="shared" si="105"/>
        <v>0</v>
      </c>
      <c r="CJ180" s="1312">
        <f>IF(AND(C180&gt;$F$85,'Instrumentos Financeiros'!C180&lt;'Instrumentos Financeiros'!$F$85+'Instrumentos Financeiros'!$F$13+1),PMT(((1+'Instrumentos Financeiros'!$Q$43)^(1/12)-1),$F$13,-$I$85),0)</f>
        <v>0</v>
      </c>
      <c r="CK180" s="1312">
        <f t="shared" si="106"/>
        <v>0</v>
      </c>
      <c r="CL180" s="1312">
        <f>CM179*((1+'Instrumentos Financeiros'!$Q$43)^(1/12)-1)</f>
        <v>0</v>
      </c>
      <c r="CM180" s="1312">
        <f t="shared" si="107"/>
        <v>0</v>
      </c>
      <c r="CN180" s="1312">
        <f>IF(AND(C180&gt;$F$86,'Instrumentos Financeiros'!C180&lt;'Instrumentos Financeiros'!$F$86+'Instrumentos Financeiros'!$F$13+1),PMT(((1+'Instrumentos Financeiros'!$Q$43)^(1/12)-1),$F$13,-$I$86),0)</f>
        <v>0</v>
      </c>
      <c r="CO180" s="1312">
        <f t="shared" si="108"/>
        <v>0</v>
      </c>
      <c r="CP180" s="1312">
        <f>CQ179*((1+'Instrumentos Financeiros'!$Q$43)^(1/12)-1)</f>
        <v>0</v>
      </c>
      <c r="CQ180" s="1312">
        <f t="shared" si="109"/>
        <v>0</v>
      </c>
      <c r="CR180" s="1312">
        <f t="shared" si="78"/>
        <v>168405.25065793248</v>
      </c>
      <c r="CS180" s="1312">
        <f t="shared" si="78"/>
        <v>83377.510952650366</v>
      </c>
      <c r="CT180" s="1312">
        <f t="shared" si="78"/>
        <v>85027.739705282103</v>
      </c>
      <c r="CU180" s="1312">
        <f t="shared" si="78"/>
        <v>29755418.604042828</v>
      </c>
    </row>
    <row r="181" spans="3:99" x14ac:dyDescent="0.35">
      <c r="C181" s="1315">
        <f t="shared" si="79"/>
        <v>88</v>
      </c>
      <c r="D181" s="1312">
        <f>IF(AND(C181&gt;$F$59,'Instrumentos Financeiros'!C181&lt;'Instrumentos Financeiros'!$F$59+'Instrumentos Financeiros'!$F$11+1),PMT(((1+'Instrumentos Financeiros'!$G$43)^(1/12)-1),$F$11,-$I$59),0)</f>
        <v>91768.589635900134</v>
      </c>
      <c r="E181" s="1312">
        <f t="shared" si="76"/>
        <v>48018.423054569706</v>
      </c>
      <c r="F181" s="1312">
        <f>G180*((1+'Instrumentos Financeiros'!$G$43)^(1/12)-1)</f>
        <v>43750.166581330428</v>
      </c>
      <c r="G181" s="1312">
        <f t="shared" si="110"/>
        <v>10670331.432805495</v>
      </c>
      <c r="H181" s="1312">
        <f>IF(AND(C181&gt;$F$60,'Instrumentos Financeiros'!C181&lt;'Instrumentos Financeiros'!$F$60+'Instrumentos Financeiros'!$F$11+1),PMT(((1+'Instrumentos Financeiros'!$G$43)^(1/12)-1),$F$11,-$I$60),0)</f>
        <v>0</v>
      </c>
      <c r="I181" s="1312">
        <f t="shared" si="111"/>
        <v>0</v>
      </c>
      <c r="J181" s="1312">
        <f>K180*((1+'Instrumentos Financeiros'!$G$43)^(1/12)-1)</f>
        <v>0</v>
      </c>
      <c r="K181" s="1312">
        <f t="shared" si="80"/>
        <v>0</v>
      </c>
      <c r="L181" s="1312">
        <f>IF(AND(C181&gt;$F$61,'Instrumentos Financeiros'!C181&lt;'Instrumentos Financeiros'!$F$61+'Instrumentos Financeiros'!$F$11+1),PMT(((1+'Instrumentos Financeiros'!$G$43)^(1/12)-1),$F$11,-$I$61),0)</f>
        <v>0</v>
      </c>
      <c r="M181" s="1312">
        <f t="shared" si="112"/>
        <v>0</v>
      </c>
      <c r="N181" s="1312">
        <f>O180*((1+'Instrumentos Financeiros'!$G$43)^(1/12)-1)</f>
        <v>0</v>
      </c>
      <c r="O181" s="1312">
        <f t="shared" si="81"/>
        <v>0</v>
      </c>
      <c r="P181" s="1312">
        <f>IF(AND(C181&gt;$F$62,'Instrumentos Financeiros'!C181&lt;'Instrumentos Financeiros'!$F$62+'Instrumentos Financeiros'!$F$11+1),PMT(((1+'Instrumentos Financeiros'!$H$43)^(1/12)-1),$F$11,-$I$62),0)</f>
        <v>0</v>
      </c>
      <c r="Q181" s="1312">
        <f t="shared" si="113"/>
        <v>0</v>
      </c>
      <c r="R181" s="1312">
        <f>S180*((1+'Instrumentos Financeiros'!$H$43)^(1/12)-1)</f>
        <v>0</v>
      </c>
      <c r="S181" s="1312">
        <f t="shared" si="82"/>
        <v>0</v>
      </c>
      <c r="T181" s="1312">
        <f>IF(AND(C181&gt;$F$63,'Instrumentos Financeiros'!C181&lt;'Instrumentos Financeiros'!$F$63+'Instrumentos Financeiros'!$F$11+1),PMT(((1+'Instrumentos Financeiros'!$H$43)^(1/12)-1),$F$11,-$I$63),0)</f>
        <v>0</v>
      </c>
      <c r="U181" s="1312">
        <f t="shared" si="114"/>
        <v>0</v>
      </c>
      <c r="V181" s="1312">
        <f>W180*((1+'Instrumentos Financeiros'!$H$43)^(1/12)-1)</f>
        <v>0</v>
      </c>
      <c r="W181" s="1312">
        <f t="shared" si="83"/>
        <v>0</v>
      </c>
      <c r="X181" s="1312">
        <f>IF(AND(C181&gt;$F$64,'Instrumentos Financeiros'!C181&lt;'Instrumentos Financeiros'!$F$64+'Instrumentos Financeiros'!$F$11+1),PMT(((1+'Instrumentos Financeiros'!$H$43)^(1/12)-1),$F$11,-$I$64),0)</f>
        <v>0</v>
      </c>
      <c r="Y181" s="1312">
        <f t="shared" si="115"/>
        <v>0</v>
      </c>
      <c r="Z181" s="1312">
        <f>AA180*((1+'Instrumentos Financeiros'!$H$43)^(1/12)-1)</f>
        <v>0</v>
      </c>
      <c r="AA181" s="1312">
        <f t="shared" si="84"/>
        <v>0</v>
      </c>
      <c r="AB181" s="1312">
        <f>IF(AND(C181&gt;$F$65,'Instrumentos Financeiros'!C181&lt;'Instrumentos Financeiros'!$F$65+'Instrumentos Financeiros'!$F$11+1),PMT(((1+'Instrumentos Financeiros'!$H$43)^(1/12)-1),$F$11,-$I$65),0)</f>
        <v>76636.661022032335</v>
      </c>
      <c r="AC181" s="1312">
        <f t="shared" si="116"/>
        <v>35708.029883368421</v>
      </c>
      <c r="AD181" s="1312">
        <f>AE180*((1+'Instrumentos Financeiros'!$H$43)^(1/12)-1)</f>
        <v>40928.631138663914</v>
      </c>
      <c r="AE181" s="1312">
        <f t="shared" si="85"/>
        <v>9429724.1884471383</v>
      </c>
      <c r="AF181" s="1312">
        <f>IF(AND(C181&gt;$F$66,'Instrumentos Financeiros'!C181&lt;'Instrumentos Financeiros'!$F$66+'Instrumentos Financeiros'!$F$11+1),PMT(((1+'Instrumentos Financeiros'!$I$43)^(1/12)-1),$F$11,-$I$66),0)</f>
        <v>76636.661022032335</v>
      </c>
      <c r="AG181" s="1312">
        <f t="shared" si="117"/>
        <v>35248.801293342542</v>
      </c>
      <c r="AH181" s="1312">
        <f>AI180*((1+'Instrumentos Financeiros'!$I$43)^(1/12)-1)</f>
        <v>41387.859728689793</v>
      </c>
      <c r="AI181" s="1312">
        <f t="shared" si="86"/>
        <v>9536387.7285589129</v>
      </c>
      <c r="AJ181" s="1312">
        <f>IF(AND(C181&gt;$F$67,'Instrumentos Financeiros'!C181&lt;'Instrumentos Financeiros'!$F$67+'Instrumentos Financeiros'!$F$11+1),PMT(((1+'Instrumentos Financeiros'!$I$43)^(1/12)-1),$F$11,-$I$67),0)</f>
        <v>0</v>
      </c>
      <c r="AK181" s="1312">
        <f t="shared" si="118"/>
        <v>0</v>
      </c>
      <c r="AL181" s="1312">
        <f>AM180*((1+'Instrumentos Financeiros'!$I$43)^(1/12)-1)</f>
        <v>0</v>
      </c>
      <c r="AM181" s="1312">
        <f t="shared" si="87"/>
        <v>0</v>
      </c>
      <c r="AN181" s="1312">
        <f>IF(AND(C181&gt;$F$68,'Instrumentos Financeiros'!C181&lt;'Instrumentos Financeiros'!$F$68+'Instrumentos Financeiros'!$F$11+1),PMT(((1+'Instrumentos Financeiros'!$I$43)^(1/12)-1),$F$11,-$I$68),0)</f>
        <v>0</v>
      </c>
      <c r="AO181" s="1312">
        <f t="shared" si="119"/>
        <v>0</v>
      </c>
      <c r="AP181" s="1312">
        <f>AQ180*((1+'Instrumentos Financeiros'!$I$43)^(1/12)-1)</f>
        <v>0</v>
      </c>
      <c r="AQ181" s="1312">
        <f t="shared" si="88"/>
        <v>0</v>
      </c>
      <c r="AR181" s="1312">
        <f>IF(AND(C181&gt;$F$69,'Instrumentos Financeiros'!C181&lt;'Instrumentos Financeiros'!$F$69+'Instrumentos Financeiros'!$F$11+1),PMT(((1+'Instrumentos Financeiros'!$I$43)^(1/12)-1),$F$11,-$I$69),0)</f>
        <v>0</v>
      </c>
      <c r="AS181" s="1312">
        <f t="shared" si="120"/>
        <v>0</v>
      </c>
      <c r="AT181" s="1312">
        <f>AU180*((1+'Instrumentos Financeiros'!$I$43)^(1/12)-1)</f>
        <v>0</v>
      </c>
      <c r="AU181" s="1312">
        <f t="shared" si="89"/>
        <v>0</v>
      </c>
      <c r="AV181" s="1312">
        <f>IF(AND(C181&gt;$F$70,'Instrumentos Financeiros'!C181&lt;'Instrumentos Financeiros'!$F$70+'Instrumentos Financeiros'!$F$11+1),PMT(((1+'Instrumentos Financeiros'!$J$43)^(1/12)-1),$F$11,-$I$70),0)</f>
        <v>0</v>
      </c>
      <c r="AW181" s="1312">
        <f t="shared" si="121"/>
        <v>0</v>
      </c>
      <c r="AX181" s="1312">
        <f>AY180*((1+'Instrumentos Financeiros'!$J$43)^(1/12)-1)</f>
        <v>0</v>
      </c>
      <c r="AY181" s="1312">
        <f t="shared" si="90"/>
        <v>0</v>
      </c>
      <c r="AZ181" s="1312">
        <f>IF(AND(C181&gt;$F$71,'Instrumentos Financeiros'!C181&lt;'Instrumentos Financeiros'!$F$71+'Instrumentos Financeiros'!$F$11+1),PMT(((1+'Instrumentos Financeiros'!$J$43)^(1/12)-1),$F$11,-$I$71),0)</f>
        <v>0</v>
      </c>
      <c r="BA181" s="1312">
        <f t="shared" si="122"/>
        <v>0</v>
      </c>
      <c r="BB181" s="1312">
        <f>BC180*((1+'Instrumentos Financeiros'!$J$43)^(1/12)-1)</f>
        <v>0</v>
      </c>
      <c r="BC181" s="1312">
        <f t="shared" si="91"/>
        <v>0</v>
      </c>
      <c r="BD181" s="1312">
        <f>IF(AND(C181&gt;$F$72,'Instrumentos Financeiros'!C181&lt;'Instrumentos Financeiros'!$F$72+'Instrumentos Financeiros'!$F$11+1),PMT(((1+'Instrumentos Financeiros'!$J$43)^(1/12)-1),$F$11,-'Instrumentos Financeiros'!$G$7*$G$72),0)</f>
        <v>0</v>
      </c>
      <c r="BE181" s="1312">
        <f t="shared" si="123"/>
        <v>0</v>
      </c>
      <c r="BF181" s="1312">
        <f>BG180*((1+'Instrumentos Financeiros'!$J$43)^(1/12)-1)</f>
        <v>0</v>
      </c>
      <c r="BG181" s="1312">
        <f t="shared" si="92"/>
        <v>0</v>
      </c>
      <c r="BH181" s="1312">
        <f>IF(AND(C181&gt;$F$73,'Instrumentos Financeiros'!C181&lt;'Instrumentos Financeiros'!$F$73+'Instrumentos Financeiros'!$F$11+1),PMT(((1+'Instrumentos Financeiros'!$J$43)^(1/12)-1),$F$11,-$I$73),0)</f>
        <v>0</v>
      </c>
      <c r="BI181" s="1312">
        <f t="shared" si="124"/>
        <v>0</v>
      </c>
      <c r="BJ181" s="1312">
        <f>BK180*((1+'Instrumentos Financeiros'!$J$43)^(1/12)-1)</f>
        <v>0</v>
      </c>
      <c r="BK181" s="1312">
        <f t="shared" si="93"/>
        <v>0</v>
      </c>
      <c r="BL181" s="1312">
        <f>IF(AND(C181&gt;$F$77,'Instrumentos Financeiros'!C181&lt;'Instrumentos Financeiros'!$F$77+'Instrumentos Financeiros'!$F$12+1),PMT(((1+'Instrumentos Financeiros'!$K$43)^(1/12)-1),$F$12,-$I$77),0)</f>
        <v>0</v>
      </c>
      <c r="BM181" s="1312">
        <f t="shared" si="94"/>
        <v>0</v>
      </c>
      <c r="BN181" s="1312">
        <f>BO180*((1+'Instrumentos Financeiros'!$K$43)^(1/12)-1)</f>
        <v>0</v>
      </c>
      <c r="BO181" s="1312">
        <f t="shared" si="95"/>
        <v>0</v>
      </c>
      <c r="BP181" s="1312">
        <f>IF(AND(C181&gt;$F$78,'Instrumentos Financeiros'!C181&lt;'Instrumentos Financeiros'!$F$78+'Instrumentos Financeiros'!$F$12+1),PMT(((1+'Instrumentos Financeiros'!$L$43)^(1/12)-1),$F$12,-$I$78),0)</f>
        <v>0</v>
      </c>
      <c r="BQ181" s="1312">
        <f t="shared" si="96"/>
        <v>0</v>
      </c>
      <c r="BR181" s="1312">
        <f>BS180*((1+'Instrumentos Financeiros'!$L$43)^(1/12)-1)</f>
        <v>0</v>
      </c>
      <c r="BS181" s="1312">
        <f t="shared" si="97"/>
        <v>0</v>
      </c>
      <c r="BT181" s="1312">
        <f>IF(AND(C181&gt;$F$79,'Instrumentos Financeiros'!C181&lt;'Instrumentos Financeiros'!$F$79+'Instrumentos Financeiros'!$F$12+1),PMT(((1+'Instrumentos Financeiros'!$L$43)^(1/12)-1),$F$12,-$I$79),0)</f>
        <v>0</v>
      </c>
      <c r="BU181" s="1312">
        <f t="shared" si="98"/>
        <v>0</v>
      </c>
      <c r="BV181" s="1312">
        <f>BW180*((1+'Instrumentos Financeiros'!$L$43)^(1/12)-1)</f>
        <v>0</v>
      </c>
      <c r="BW181" s="1312">
        <f t="shared" si="99"/>
        <v>0</v>
      </c>
      <c r="BX181" s="1312">
        <f>IF(AND(C181&gt;$F$80,'Instrumentos Financeiros'!C181&lt;'Instrumentos Financeiros'!$F$80+'Instrumentos Financeiros'!$F$12+1),PMT(((1+'Instrumentos Financeiros'!$L$43)^(1/12)-1),$F$12,-$I$80),0)</f>
        <v>0</v>
      </c>
      <c r="BY181" s="1312">
        <f t="shared" si="100"/>
        <v>0</v>
      </c>
      <c r="BZ181" s="1312">
        <f>CA180*((1+'Instrumentos Financeiros'!$L$43)^(1/12)-1)</f>
        <v>0</v>
      </c>
      <c r="CA181" s="1312">
        <f t="shared" si="101"/>
        <v>0</v>
      </c>
      <c r="CB181" s="1312">
        <f>IF(AND(C181&gt;$F$83,'Instrumentos Financeiros'!C181&lt;'Instrumentos Financeiros'!$F$83+'Instrumentos Financeiros'!$F$13+1),PMT(((1+'Instrumentos Financeiros'!$P$43)^(1/12)-1),$F$13,-$I$83),0)</f>
        <v>0</v>
      </c>
      <c r="CC181" s="1312">
        <f t="shared" si="102"/>
        <v>0</v>
      </c>
      <c r="CD181" s="1312">
        <f>CE180*((1+'Instrumentos Financeiros'!$P$43)^(1/12)-1)</f>
        <v>0</v>
      </c>
      <c r="CE181" s="1312">
        <f t="shared" si="103"/>
        <v>0</v>
      </c>
      <c r="CF181" s="1312">
        <f>IF(AND(C181&gt;$F$84,'Instrumentos Financeiros'!C181&lt;'Instrumentos Financeiros'!$F$84+'Instrumentos Financeiros'!$F$13+1),PMT(((1+'Instrumentos Financeiros'!$Q$43)^(1/12)-1),$F$13,-$I$84),0)</f>
        <v>0</v>
      </c>
      <c r="CG181" s="1312">
        <f t="shared" si="104"/>
        <v>0</v>
      </c>
      <c r="CH181" s="1312">
        <f>CI180*((1+'Instrumentos Financeiros'!$Q$43)^(1/12)-1)</f>
        <v>0</v>
      </c>
      <c r="CI181" s="1312">
        <f t="shared" si="105"/>
        <v>0</v>
      </c>
      <c r="CJ181" s="1312">
        <f>IF(AND(C181&gt;$F$85,'Instrumentos Financeiros'!C181&lt;'Instrumentos Financeiros'!$F$85+'Instrumentos Financeiros'!$F$13+1),PMT(((1+'Instrumentos Financeiros'!$Q$43)^(1/12)-1),$F$13,-$I$85),0)</f>
        <v>0</v>
      </c>
      <c r="CK181" s="1312">
        <f t="shared" si="106"/>
        <v>0</v>
      </c>
      <c r="CL181" s="1312">
        <f>CM180*((1+'Instrumentos Financeiros'!$Q$43)^(1/12)-1)</f>
        <v>0</v>
      </c>
      <c r="CM181" s="1312">
        <f t="shared" si="107"/>
        <v>0</v>
      </c>
      <c r="CN181" s="1312">
        <f>IF(AND(C181&gt;$F$86,'Instrumentos Financeiros'!C181&lt;'Instrumentos Financeiros'!$F$86+'Instrumentos Financeiros'!$F$13+1),PMT(((1+'Instrumentos Financeiros'!$Q$43)^(1/12)-1),$F$13,-$I$86),0)</f>
        <v>0</v>
      </c>
      <c r="CO181" s="1312">
        <f t="shared" si="108"/>
        <v>0</v>
      </c>
      <c r="CP181" s="1312">
        <f>CQ180*((1+'Instrumentos Financeiros'!$Q$43)^(1/12)-1)</f>
        <v>0</v>
      </c>
      <c r="CQ181" s="1312">
        <f t="shared" si="109"/>
        <v>0</v>
      </c>
      <c r="CR181" s="1312">
        <f t="shared" si="78"/>
        <v>245041.9116799648</v>
      </c>
      <c r="CS181" s="1312">
        <f t="shared" si="78"/>
        <v>118975.25423128068</v>
      </c>
      <c r="CT181" s="1312">
        <f t="shared" si="78"/>
        <v>126066.65744868413</v>
      </c>
      <c r="CU181" s="1312">
        <f t="shared" si="78"/>
        <v>29636443.349811547</v>
      </c>
    </row>
    <row r="182" spans="3:99" x14ac:dyDescent="0.35">
      <c r="C182" s="1315">
        <f t="shared" si="79"/>
        <v>89</v>
      </c>
      <c r="D182" s="1312">
        <f>IF(AND(C182&gt;$F$59,'Instrumentos Financeiros'!C182&lt;'Instrumentos Financeiros'!$F$59+'Instrumentos Financeiros'!$F$11+1),PMT(((1+'Instrumentos Financeiros'!$G$43)^(1/12)-1),$F$11,-$I$59),0)</f>
        <v>91768.589635900134</v>
      </c>
      <c r="E182" s="1312">
        <f t="shared" si="76"/>
        <v>48214.424681299744</v>
      </c>
      <c r="F182" s="1312">
        <f>G181*((1+'Instrumentos Financeiros'!$G$43)^(1/12)-1)</f>
        <v>43554.16495460039</v>
      </c>
      <c r="G182" s="1312">
        <f t="shared" si="110"/>
        <v>10622117.008124195</v>
      </c>
      <c r="H182" s="1312">
        <f>IF(AND(C182&gt;$F$60,'Instrumentos Financeiros'!C182&lt;'Instrumentos Financeiros'!$F$60+'Instrumentos Financeiros'!$F$11+1),PMT(((1+'Instrumentos Financeiros'!$G$43)^(1/12)-1),$F$11,-$I$60),0)</f>
        <v>0</v>
      </c>
      <c r="I182" s="1312">
        <f t="shared" si="111"/>
        <v>0</v>
      </c>
      <c r="J182" s="1312">
        <f>K181*((1+'Instrumentos Financeiros'!$G$43)^(1/12)-1)</f>
        <v>0</v>
      </c>
      <c r="K182" s="1312">
        <f t="shared" si="80"/>
        <v>0</v>
      </c>
      <c r="L182" s="1312">
        <f>IF(AND(C182&gt;$F$61,'Instrumentos Financeiros'!C182&lt;'Instrumentos Financeiros'!$F$61+'Instrumentos Financeiros'!$F$11+1),PMT(((1+'Instrumentos Financeiros'!$G$43)^(1/12)-1),$F$11,-$I$61),0)</f>
        <v>0</v>
      </c>
      <c r="M182" s="1312">
        <f t="shared" si="112"/>
        <v>0</v>
      </c>
      <c r="N182" s="1312">
        <f>O181*((1+'Instrumentos Financeiros'!$G$43)^(1/12)-1)</f>
        <v>0</v>
      </c>
      <c r="O182" s="1312">
        <f t="shared" si="81"/>
        <v>0</v>
      </c>
      <c r="P182" s="1312">
        <f>IF(AND(C182&gt;$F$62,'Instrumentos Financeiros'!C182&lt;'Instrumentos Financeiros'!$F$62+'Instrumentos Financeiros'!$F$11+1),PMT(((1+'Instrumentos Financeiros'!$H$43)^(1/12)-1),$F$11,-$I$62),0)</f>
        <v>0</v>
      </c>
      <c r="Q182" s="1312">
        <f t="shared" si="113"/>
        <v>0</v>
      </c>
      <c r="R182" s="1312">
        <f>S181*((1+'Instrumentos Financeiros'!$H$43)^(1/12)-1)</f>
        <v>0</v>
      </c>
      <c r="S182" s="1312">
        <f t="shared" si="82"/>
        <v>0</v>
      </c>
      <c r="T182" s="1312">
        <f>IF(AND(C182&gt;$F$63,'Instrumentos Financeiros'!C182&lt;'Instrumentos Financeiros'!$F$63+'Instrumentos Financeiros'!$F$11+1),PMT(((1+'Instrumentos Financeiros'!$H$43)^(1/12)-1),$F$11,-$I$63),0)</f>
        <v>0</v>
      </c>
      <c r="U182" s="1312">
        <f t="shared" si="114"/>
        <v>0</v>
      </c>
      <c r="V182" s="1312">
        <f>W181*((1+'Instrumentos Financeiros'!$H$43)^(1/12)-1)</f>
        <v>0</v>
      </c>
      <c r="W182" s="1312">
        <f t="shared" si="83"/>
        <v>0</v>
      </c>
      <c r="X182" s="1312">
        <f>IF(AND(C182&gt;$F$64,'Instrumentos Financeiros'!C182&lt;'Instrumentos Financeiros'!$F$64+'Instrumentos Financeiros'!$F$11+1),PMT(((1+'Instrumentos Financeiros'!$H$43)^(1/12)-1),$F$11,-$I$64),0)</f>
        <v>0</v>
      </c>
      <c r="Y182" s="1312">
        <f t="shared" si="115"/>
        <v>0</v>
      </c>
      <c r="Z182" s="1312">
        <f>AA181*((1+'Instrumentos Financeiros'!$H$43)^(1/12)-1)</f>
        <v>0</v>
      </c>
      <c r="AA182" s="1312">
        <f t="shared" si="84"/>
        <v>0</v>
      </c>
      <c r="AB182" s="1312">
        <f>IF(AND(C182&gt;$F$65,'Instrumentos Financeiros'!C182&lt;'Instrumentos Financeiros'!$F$65+'Instrumentos Financeiros'!$F$11+1),PMT(((1+'Instrumentos Financeiros'!$H$43)^(1/12)-1),$F$11,-$I$65),0)</f>
        <v>76636.661022032335</v>
      </c>
      <c r="AC182" s="1312">
        <f t="shared" si="116"/>
        <v>35862.431790230585</v>
      </c>
      <c r="AD182" s="1312">
        <f>AE181*((1+'Instrumentos Financeiros'!$H$43)^(1/12)-1)</f>
        <v>40774.22923180175</v>
      </c>
      <c r="AE182" s="1312">
        <f t="shared" si="85"/>
        <v>9393861.7566569075</v>
      </c>
      <c r="AF182" s="1312">
        <f>IF(AND(C182&gt;$F$66,'Instrumentos Financeiros'!C182&lt;'Instrumentos Financeiros'!$F$66+'Instrumentos Financeiros'!$F$11+1),PMT(((1+'Instrumentos Financeiros'!$I$43)^(1/12)-1),$F$11,-$I$66),0)</f>
        <v>76636.661022032335</v>
      </c>
      <c r="AG182" s="1312">
        <f t="shared" si="117"/>
        <v>35401.217490821771</v>
      </c>
      <c r="AH182" s="1312">
        <f>AI181*((1+'Instrumentos Financeiros'!$I$43)^(1/12)-1)</f>
        <v>41235.443531210563</v>
      </c>
      <c r="AI182" s="1312">
        <f t="shared" si="86"/>
        <v>9500986.5110680908</v>
      </c>
      <c r="AJ182" s="1312">
        <f>IF(AND(C182&gt;$F$67,'Instrumentos Financeiros'!C182&lt;'Instrumentos Financeiros'!$F$67+'Instrumentos Financeiros'!$F$11+1),PMT(((1+'Instrumentos Financeiros'!$I$43)^(1/12)-1),$F$11,-$I$67),0)</f>
        <v>0</v>
      </c>
      <c r="AK182" s="1312">
        <f t="shared" si="118"/>
        <v>0</v>
      </c>
      <c r="AL182" s="1312">
        <f>AM181*((1+'Instrumentos Financeiros'!$I$43)^(1/12)-1)</f>
        <v>0</v>
      </c>
      <c r="AM182" s="1312">
        <f t="shared" si="87"/>
        <v>0</v>
      </c>
      <c r="AN182" s="1312">
        <f>IF(AND(C182&gt;$F$68,'Instrumentos Financeiros'!C182&lt;'Instrumentos Financeiros'!$F$68+'Instrumentos Financeiros'!$F$11+1),PMT(((1+'Instrumentos Financeiros'!$I$43)^(1/12)-1),$F$11,-$I$68),0)</f>
        <v>0</v>
      </c>
      <c r="AO182" s="1312">
        <f t="shared" si="119"/>
        <v>0</v>
      </c>
      <c r="AP182" s="1312">
        <f>AQ181*((1+'Instrumentos Financeiros'!$I$43)^(1/12)-1)</f>
        <v>0</v>
      </c>
      <c r="AQ182" s="1312">
        <f t="shared" si="88"/>
        <v>0</v>
      </c>
      <c r="AR182" s="1312">
        <f>IF(AND(C182&gt;$F$69,'Instrumentos Financeiros'!C182&lt;'Instrumentos Financeiros'!$F$69+'Instrumentos Financeiros'!$F$11+1),PMT(((1+'Instrumentos Financeiros'!$I$43)^(1/12)-1),$F$11,-$I$69),0)</f>
        <v>0</v>
      </c>
      <c r="AS182" s="1312">
        <f t="shared" si="120"/>
        <v>0</v>
      </c>
      <c r="AT182" s="1312">
        <f>AU181*((1+'Instrumentos Financeiros'!$I$43)^(1/12)-1)</f>
        <v>0</v>
      </c>
      <c r="AU182" s="1312">
        <f t="shared" si="89"/>
        <v>0</v>
      </c>
      <c r="AV182" s="1312">
        <f>IF(AND(C182&gt;$F$70,'Instrumentos Financeiros'!C182&lt;'Instrumentos Financeiros'!$F$70+'Instrumentos Financeiros'!$F$11+1),PMT(((1+'Instrumentos Financeiros'!$J$43)^(1/12)-1),$F$11,-$I$70),0)</f>
        <v>0</v>
      </c>
      <c r="AW182" s="1312">
        <f t="shared" si="121"/>
        <v>0</v>
      </c>
      <c r="AX182" s="1312">
        <f>AY181*((1+'Instrumentos Financeiros'!$J$43)^(1/12)-1)</f>
        <v>0</v>
      </c>
      <c r="AY182" s="1312">
        <f t="shared" si="90"/>
        <v>0</v>
      </c>
      <c r="AZ182" s="1312">
        <f>IF(AND(C182&gt;$F$71,'Instrumentos Financeiros'!C182&lt;'Instrumentos Financeiros'!$F$71+'Instrumentos Financeiros'!$F$11+1),PMT(((1+'Instrumentos Financeiros'!$J$43)^(1/12)-1),$F$11,-$I$71),0)</f>
        <v>0</v>
      </c>
      <c r="BA182" s="1312">
        <f t="shared" si="122"/>
        <v>0</v>
      </c>
      <c r="BB182" s="1312">
        <f>BC181*((1+'Instrumentos Financeiros'!$J$43)^(1/12)-1)</f>
        <v>0</v>
      </c>
      <c r="BC182" s="1312">
        <f t="shared" si="91"/>
        <v>0</v>
      </c>
      <c r="BD182" s="1312">
        <f>IF(AND(C182&gt;$F$72,'Instrumentos Financeiros'!C182&lt;'Instrumentos Financeiros'!$F$72+'Instrumentos Financeiros'!$F$11+1),PMT(((1+'Instrumentos Financeiros'!$J$43)^(1/12)-1),$F$11,-'Instrumentos Financeiros'!$G$7*$G$72),0)</f>
        <v>0</v>
      </c>
      <c r="BE182" s="1312">
        <f t="shared" si="123"/>
        <v>0</v>
      </c>
      <c r="BF182" s="1312">
        <f>BG181*((1+'Instrumentos Financeiros'!$J$43)^(1/12)-1)</f>
        <v>0</v>
      </c>
      <c r="BG182" s="1312">
        <f t="shared" si="92"/>
        <v>0</v>
      </c>
      <c r="BH182" s="1312">
        <f>IF(AND(C182&gt;$F$73,'Instrumentos Financeiros'!C182&lt;'Instrumentos Financeiros'!$F$73+'Instrumentos Financeiros'!$F$11+1),PMT(((1+'Instrumentos Financeiros'!$J$43)^(1/12)-1),$F$11,-$I$73),0)</f>
        <v>0</v>
      </c>
      <c r="BI182" s="1312">
        <f t="shared" si="124"/>
        <v>0</v>
      </c>
      <c r="BJ182" s="1312">
        <f>BK181*((1+'Instrumentos Financeiros'!$J$43)^(1/12)-1)</f>
        <v>0</v>
      </c>
      <c r="BK182" s="1312">
        <f t="shared" si="93"/>
        <v>0</v>
      </c>
      <c r="BL182" s="1312">
        <f>IF(AND(C182&gt;$F$77,'Instrumentos Financeiros'!C182&lt;'Instrumentos Financeiros'!$F$77+'Instrumentos Financeiros'!$F$12+1),PMT(((1+'Instrumentos Financeiros'!$K$43)^(1/12)-1),$F$12,-$I$77),0)</f>
        <v>0</v>
      </c>
      <c r="BM182" s="1312">
        <f t="shared" si="94"/>
        <v>0</v>
      </c>
      <c r="BN182" s="1312">
        <f>BO181*((1+'Instrumentos Financeiros'!$K$43)^(1/12)-1)</f>
        <v>0</v>
      </c>
      <c r="BO182" s="1312">
        <f t="shared" si="95"/>
        <v>0</v>
      </c>
      <c r="BP182" s="1312">
        <f>IF(AND(C182&gt;$F$78,'Instrumentos Financeiros'!C182&lt;'Instrumentos Financeiros'!$F$78+'Instrumentos Financeiros'!$F$12+1),PMT(((1+'Instrumentos Financeiros'!$L$43)^(1/12)-1),$F$12,-$I$78),0)</f>
        <v>0</v>
      </c>
      <c r="BQ182" s="1312">
        <f t="shared" si="96"/>
        <v>0</v>
      </c>
      <c r="BR182" s="1312">
        <f>BS181*((1+'Instrumentos Financeiros'!$L$43)^(1/12)-1)</f>
        <v>0</v>
      </c>
      <c r="BS182" s="1312">
        <f t="shared" si="97"/>
        <v>0</v>
      </c>
      <c r="BT182" s="1312">
        <f>IF(AND(C182&gt;$F$79,'Instrumentos Financeiros'!C182&lt;'Instrumentos Financeiros'!$F$79+'Instrumentos Financeiros'!$F$12+1),PMT(((1+'Instrumentos Financeiros'!$L$43)^(1/12)-1),$F$12,-$I$79),0)</f>
        <v>0</v>
      </c>
      <c r="BU182" s="1312">
        <f t="shared" si="98"/>
        <v>0</v>
      </c>
      <c r="BV182" s="1312">
        <f>BW181*((1+'Instrumentos Financeiros'!$L$43)^(1/12)-1)</f>
        <v>0</v>
      </c>
      <c r="BW182" s="1312">
        <f t="shared" si="99"/>
        <v>0</v>
      </c>
      <c r="BX182" s="1312">
        <f>IF(AND(C182&gt;$F$80,'Instrumentos Financeiros'!C182&lt;'Instrumentos Financeiros'!$F$80+'Instrumentos Financeiros'!$F$12+1),PMT(((1+'Instrumentos Financeiros'!$L$43)^(1/12)-1),$F$12,-$I$80),0)</f>
        <v>0</v>
      </c>
      <c r="BY182" s="1312">
        <f t="shared" si="100"/>
        <v>0</v>
      </c>
      <c r="BZ182" s="1312">
        <f>CA181*((1+'Instrumentos Financeiros'!$L$43)^(1/12)-1)</f>
        <v>0</v>
      </c>
      <c r="CA182" s="1312">
        <f t="shared" si="101"/>
        <v>0</v>
      </c>
      <c r="CB182" s="1312">
        <f>IF(AND(C182&gt;$F$83,'Instrumentos Financeiros'!C182&lt;'Instrumentos Financeiros'!$F$83+'Instrumentos Financeiros'!$F$13+1),PMT(((1+'Instrumentos Financeiros'!$P$43)^(1/12)-1),$F$13,-$I$83),0)</f>
        <v>0</v>
      </c>
      <c r="CC182" s="1312">
        <f t="shared" si="102"/>
        <v>0</v>
      </c>
      <c r="CD182" s="1312">
        <f>CE181*((1+'Instrumentos Financeiros'!$P$43)^(1/12)-1)</f>
        <v>0</v>
      </c>
      <c r="CE182" s="1312">
        <f t="shared" si="103"/>
        <v>0</v>
      </c>
      <c r="CF182" s="1312">
        <f>IF(AND(C182&gt;$F$84,'Instrumentos Financeiros'!C182&lt;'Instrumentos Financeiros'!$F$84+'Instrumentos Financeiros'!$F$13+1),PMT(((1+'Instrumentos Financeiros'!$Q$43)^(1/12)-1),$F$13,-$I$84),0)</f>
        <v>0</v>
      </c>
      <c r="CG182" s="1312">
        <f t="shared" si="104"/>
        <v>0</v>
      </c>
      <c r="CH182" s="1312">
        <f>CI181*((1+'Instrumentos Financeiros'!$Q$43)^(1/12)-1)</f>
        <v>0</v>
      </c>
      <c r="CI182" s="1312">
        <f t="shared" si="105"/>
        <v>0</v>
      </c>
      <c r="CJ182" s="1312">
        <f>IF(AND(C182&gt;$F$85,'Instrumentos Financeiros'!C182&lt;'Instrumentos Financeiros'!$F$85+'Instrumentos Financeiros'!$F$13+1),PMT(((1+'Instrumentos Financeiros'!$Q$43)^(1/12)-1),$F$13,-$I$85),0)</f>
        <v>0</v>
      </c>
      <c r="CK182" s="1312">
        <f t="shared" si="106"/>
        <v>0</v>
      </c>
      <c r="CL182" s="1312">
        <f>CM181*((1+'Instrumentos Financeiros'!$Q$43)^(1/12)-1)</f>
        <v>0</v>
      </c>
      <c r="CM182" s="1312">
        <f t="shared" si="107"/>
        <v>0</v>
      </c>
      <c r="CN182" s="1312">
        <f>IF(AND(C182&gt;$F$86,'Instrumentos Financeiros'!C182&lt;'Instrumentos Financeiros'!$F$86+'Instrumentos Financeiros'!$F$13+1),PMT(((1+'Instrumentos Financeiros'!$Q$43)^(1/12)-1),$F$13,-$I$86),0)</f>
        <v>0</v>
      </c>
      <c r="CO182" s="1312">
        <f t="shared" si="108"/>
        <v>0</v>
      </c>
      <c r="CP182" s="1312">
        <f>CQ181*((1+'Instrumentos Financeiros'!$Q$43)^(1/12)-1)</f>
        <v>0</v>
      </c>
      <c r="CQ182" s="1312">
        <f t="shared" si="109"/>
        <v>0</v>
      </c>
      <c r="CR182" s="1312">
        <f t="shared" si="78"/>
        <v>245041.9116799648</v>
      </c>
      <c r="CS182" s="1312">
        <f t="shared" si="78"/>
        <v>119478.07396235211</v>
      </c>
      <c r="CT182" s="1312">
        <f t="shared" si="78"/>
        <v>125563.83771761271</v>
      </c>
      <c r="CU182" s="1312">
        <f t="shared" si="78"/>
        <v>29516965.275849193</v>
      </c>
    </row>
    <row r="183" spans="3:99" x14ac:dyDescent="0.35">
      <c r="C183" s="1315">
        <f t="shared" si="79"/>
        <v>90</v>
      </c>
      <c r="D183" s="1312">
        <f>IF(AND(C183&gt;$F$59,'Instrumentos Financeiros'!C183&lt;'Instrumentos Financeiros'!$F$59+'Instrumentos Financeiros'!$F$11+1),PMT(((1+'Instrumentos Financeiros'!$G$43)^(1/12)-1),$F$11,-$I$59),0)</f>
        <v>91768.589635900134</v>
      </c>
      <c r="E183" s="1312">
        <f t="shared" si="76"/>
        <v>48411.226347582044</v>
      </c>
      <c r="F183" s="1312">
        <f>G182*((1+'Instrumentos Financeiros'!$G$43)^(1/12)-1)</f>
        <v>43357.363288318091</v>
      </c>
      <c r="G183" s="1312">
        <f t="shared" si="110"/>
        <v>10573705.781776613</v>
      </c>
      <c r="H183" s="1312">
        <f>IF(AND(C183&gt;$F$60,'Instrumentos Financeiros'!C183&lt;'Instrumentos Financeiros'!$F$60+'Instrumentos Financeiros'!$F$11+1),PMT(((1+'Instrumentos Financeiros'!$G$43)^(1/12)-1),$F$11,-$I$60),0)</f>
        <v>0</v>
      </c>
      <c r="I183" s="1312">
        <f t="shared" si="111"/>
        <v>0</v>
      </c>
      <c r="J183" s="1312">
        <f>K182*((1+'Instrumentos Financeiros'!$G$43)^(1/12)-1)</f>
        <v>0</v>
      </c>
      <c r="K183" s="1312">
        <f t="shared" si="80"/>
        <v>0</v>
      </c>
      <c r="L183" s="1312">
        <f>IF(AND(C183&gt;$F$61,'Instrumentos Financeiros'!C183&lt;'Instrumentos Financeiros'!$F$61+'Instrumentos Financeiros'!$F$11+1),PMT(((1+'Instrumentos Financeiros'!$G$43)^(1/12)-1),$F$11,-$I$61),0)</f>
        <v>0</v>
      </c>
      <c r="M183" s="1312">
        <f t="shared" si="112"/>
        <v>0</v>
      </c>
      <c r="N183" s="1312">
        <f>O182*((1+'Instrumentos Financeiros'!$G$43)^(1/12)-1)</f>
        <v>0</v>
      </c>
      <c r="O183" s="1312">
        <f t="shared" si="81"/>
        <v>0</v>
      </c>
      <c r="P183" s="1312">
        <f>IF(AND(C183&gt;$F$62,'Instrumentos Financeiros'!C183&lt;'Instrumentos Financeiros'!$F$62+'Instrumentos Financeiros'!$F$11+1),PMT(((1+'Instrumentos Financeiros'!$H$43)^(1/12)-1),$F$11,-$I$62),0)</f>
        <v>0</v>
      </c>
      <c r="Q183" s="1312">
        <f t="shared" si="113"/>
        <v>0</v>
      </c>
      <c r="R183" s="1312">
        <f>S182*((1+'Instrumentos Financeiros'!$H$43)^(1/12)-1)</f>
        <v>0</v>
      </c>
      <c r="S183" s="1312">
        <f t="shared" si="82"/>
        <v>0</v>
      </c>
      <c r="T183" s="1312">
        <f>IF(AND(C183&gt;$F$63,'Instrumentos Financeiros'!C183&lt;'Instrumentos Financeiros'!$F$63+'Instrumentos Financeiros'!$F$11+1),PMT(((1+'Instrumentos Financeiros'!$H$43)^(1/12)-1),$F$11,-$I$63),0)</f>
        <v>0</v>
      </c>
      <c r="U183" s="1312">
        <f t="shared" si="114"/>
        <v>0</v>
      </c>
      <c r="V183" s="1312">
        <f>W182*((1+'Instrumentos Financeiros'!$H$43)^(1/12)-1)</f>
        <v>0</v>
      </c>
      <c r="W183" s="1312">
        <f t="shared" si="83"/>
        <v>0</v>
      </c>
      <c r="X183" s="1312">
        <f>IF(AND(C183&gt;$F$64,'Instrumentos Financeiros'!C183&lt;'Instrumentos Financeiros'!$F$64+'Instrumentos Financeiros'!$F$11+1),PMT(((1+'Instrumentos Financeiros'!$H$43)^(1/12)-1),$F$11,-$I$64),0)</f>
        <v>0</v>
      </c>
      <c r="Y183" s="1312">
        <f t="shared" si="115"/>
        <v>0</v>
      </c>
      <c r="Z183" s="1312">
        <f>AA182*((1+'Instrumentos Financeiros'!$H$43)^(1/12)-1)</f>
        <v>0</v>
      </c>
      <c r="AA183" s="1312">
        <f t="shared" si="84"/>
        <v>0</v>
      </c>
      <c r="AB183" s="1312">
        <f>IF(AND(C183&gt;$F$65,'Instrumentos Financeiros'!C183&lt;'Instrumentos Financeiros'!$F$65+'Instrumentos Financeiros'!$F$11+1),PMT(((1+'Instrumentos Financeiros'!$H$43)^(1/12)-1),$F$11,-$I$65),0)</f>
        <v>76636.661022032335</v>
      </c>
      <c r="AC183" s="1312">
        <f t="shared" si="116"/>
        <v>36017.501332605556</v>
      </c>
      <c r="AD183" s="1312">
        <f>AE182*((1+'Instrumentos Financeiros'!$H$43)^(1/12)-1)</f>
        <v>40619.159689426779</v>
      </c>
      <c r="AE183" s="1312">
        <f t="shared" si="85"/>
        <v>9357844.2553243022</v>
      </c>
      <c r="AF183" s="1312">
        <f>IF(AND(C183&gt;$F$66,'Instrumentos Financeiros'!C183&lt;'Instrumentos Financeiros'!$F$66+'Instrumentos Financeiros'!$F$11+1),PMT(((1+'Instrumentos Financeiros'!$I$43)^(1/12)-1),$F$11,-$I$66),0)</f>
        <v>76636.661022032335</v>
      </c>
      <c r="AG183" s="1312">
        <f t="shared" si="117"/>
        <v>35554.29273758499</v>
      </c>
      <c r="AH183" s="1312">
        <f>AI182*((1+'Instrumentos Financeiros'!$I$43)^(1/12)-1)</f>
        <v>41082.368284447344</v>
      </c>
      <c r="AI183" s="1312">
        <f t="shared" si="86"/>
        <v>9465432.2183305062</v>
      </c>
      <c r="AJ183" s="1312">
        <f>IF(AND(C183&gt;$F$67,'Instrumentos Financeiros'!C183&lt;'Instrumentos Financeiros'!$F$67+'Instrumentos Financeiros'!$F$11+1),PMT(((1+'Instrumentos Financeiros'!$I$43)^(1/12)-1),$F$11,-$I$67),0)</f>
        <v>0</v>
      </c>
      <c r="AK183" s="1312">
        <f t="shared" si="118"/>
        <v>0</v>
      </c>
      <c r="AL183" s="1312">
        <f>AM182*((1+'Instrumentos Financeiros'!$I$43)^(1/12)-1)</f>
        <v>0</v>
      </c>
      <c r="AM183" s="1312">
        <f t="shared" si="87"/>
        <v>9571636.5298522562</v>
      </c>
      <c r="AN183" s="1312">
        <f>IF(AND(C183&gt;$F$68,'Instrumentos Financeiros'!C183&lt;'Instrumentos Financeiros'!$F$68+'Instrumentos Financeiros'!$F$11+1),PMT(((1+'Instrumentos Financeiros'!$I$43)^(1/12)-1),$F$11,-$I$68),0)</f>
        <v>0</v>
      </c>
      <c r="AO183" s="1312">
        <f t="shared" si="119"/>
        <v>0</v>
      </c>
      <c r="AP183" s="1312">
        <f>AQ182*((1+'Instrumentos Financeiros'!$I$43)^(1/12)-1)</f>
        <v>0</v>
      </c>
      <c r="AQ183" s="1312">
        <f t="shared" si="88"/>
        <v>0</v>
      </c>
      <c r="AR183" s="1312">
        <f>IF(AND(C183&gt;$F$69,'Instrumentos Financeiros'!C183&lt;'Instrumentos Financeiros'!$F$69+'Instrumentos Financeiros'!$F$11+1),PMT(((1+'Instrumentos Financeiros'!$I$43)^(1/12)-1),$F$11,-$I$69),0)</f>
        <v>0</v>
      </c>
      <c r="AS183" s="1312">
        <f t="shared" si="120"/>
        <v>0</v>
      </c>
      <c r="AT183" s="1312">
        <f>AU182*((1+'Instrumentos Financeiros'!$I$43)^(1/12)-1)</f>
        <v>0</v>
      </c>
      <c r="AU183" s="1312">
        <f t="shared" si="89"/>
        <v>0</v>
      </c>
      <c r="AV183" s="1312">
        <f>IF(AND(C183&gt;$F$70,'Instrumentos Financeiros'!C183&lt;'Instrumentos Financeiros'!$F$70+'Instrumentos Financeiros'!$F$11+1),PMT(((1+'Instrumentos Financeiros'!$J$43)^(1/12)-1),$F$11,-$I$70),0)</f>
        <v>0</v>
      </c>
      <c r="AW183" s="1312">
        <f t="shared" si="121"/>
        <v>0</v>
      </c>
      <c r="AX183" s="1312">
        <f>AY182*((1+'Instrumentos Financeiros'!$J$43)^(1/12)-1)</f>
        <v>0</v>
      </c>
      <c r="AY183" s="1312">
        <f t="shared" si="90"/>
        <v>0</v>
      </c>
      <c r="AZ183" s="1312">
        <f>IF(AND(C183&gt;$F$71,'Instrumentos Financeiros'!C183&lt;'Instrumentos Financeiros'!$F$71+'Instrumentos Financeiros'!$F$11+1),PMT(((1+'Instrumentos Financeiros'!$J$43)^(1/12)-1),$F$11,-$I$71),0)</f>
        <v>0</v>
      </c>
      <c r="BA183" s="1312">
        <f t="shared" si="122"/>
        <v>0</v>
      </c>
      <c r="BB183" s="1312">
        <f>BC182*((1+'Instrumentos Financeiros'!$J$43)^(1/12)-1)</f>
        <v>0</v>
      </c>
      <c r="BC183" s="1312">
        <f t="shared" si="91"/>
        <v>0</v>
      </c>
      <c r="BD183" s="1312">
        <f>IF(AND(C183&gt;$F$72,'Instrumentos Financeiros'!C183&lt;'Instrumentos Financeiros'!$F$72+'Instrumentos Financeiros'!$F$11+1),PMT(((1+'Instrumentos Financeiros'!$J$43)^(1/12)-1),$F$11,-'Instrumentos Financeiros'!$G$7*$G$72),0)</f>
        <v>0</v>
      </c>
      <c r="BE183" s="1312">
        <f t="shared" si="123"/>
        <v>0</v>
      </c>
      <c r="BF183" s="1312">
        <f>BG182*((1+'Instrumentos Financeiros'!$J$43)^(1/12)-1)</f>
        <v>0</v>
      </c>
      <c r="BG183" s="1312">
        <f t="shared" si="92"/>
        <v>0</v>
      </c>
      <c r="BH183" s="1312">
        <f>IF(AND(C183&gt;$F$73,'Instrumentos Financeiros'!C183&lt;'Instrumentos Financeiros'!$F$73+'Instrumentos Financeiros'!$F$11+1),PMT(((1+'Instrumentos Financeiros'!$J$43)^(1/12)-1),$F$11,-$I$73),0)</f>
        <v>0</v>
      </c>
      <c r="BI183" s="1312">
        <f t="shared" si="124"/>
        <v>0</v>
      </c>
      <c r="BJ183" s="1312">
        <f>BK182*((1+'Instrumentos Financeiros'!$J$43)^(1/12)-1)</f>
        <v>0</v>
      </c>
      <c r="BK183" s="1312">
        <f t="shared" si="93"/>
        <v>0</v>
      </c>
      <c r="BL183" s="1312">
        <f>IF(AND(C183&gt;$F$77,'Instrumentos Financeiros'!C183&lt;'Instrumentos Financeiros'!$F$77+'Instrumentos Financeiros'!$F$12+1),PMT(((1+'Instrumentos Financeiros'!$K$43)^(1/12)-1),$F$12,-$I$77),0)</f>
        <v>0</v>
      </c>
      <c r="BM183" s="1312">
        <f t="shared" si="94"/>
        <v>0</v>
      </c>
      <c r="BN183" s="1312">
        <f>BO182*((1+'Instrumentos Financeiros'!$K$43)^(1/12)-1)</f>
        <v>0</v>
      </c>
      <c r="BO183" s="1312">
        <f t="shared" si="95"/>
        <v>0</v>
      </c>
      <c r="BP183" s="1312">
        <f>IF(AND(C183&gt;$F$78,'Instrumentos Financeiros'!C183&lt;'Instrumentos Financeiros'!$F$78+'Instrumentos Financeiros'!$F$12+1),PMT(((1+'Instrumentos Financeiros'!$L$43)^(1/12)-1),$F$12,-$I$78),0)</f>
        <v>0</v>
      </c>
      <c r="BQ183" s="1312">
        <f t="shared" si="96"/>
        <v>0</v>
      </c>
      <c r="BR183" s="1312">
        <f>BS182*((1+'Instrumentos Financeiros'!$L$43)^(1/12)-1)</f>
        <v>0</v>
      </c>
      <c r="BS183" s="1312">
        <f t="shared" si="97"/>
        <v>0</v>
      </c>
      <c r="BT183" s="1312">
        <f>IF(AND(C183&gt;$F$79,'Instrumentos Financeiros'!C183&lt;'Instrumentos Financeiros'!$F$79+'Instrumentos Financeiros'!$F$12+1),PMT(((1+'Instrumentos Financeiros'!$L$43)^(1/12)-1),$F$12,-$I$79),0)</f>
        <v>0</v>
      </c>
      <c r="BU183" s="1312">
        <f t="shared" si="98"/>
        <v>0</v>
      </c>
      <c r="BV183" s="1312">
        <f>BW182*((1+'Instrumentos Financeiros'!$L$43)^(1/12)-1)</f>
        <v>0</v>
      </c>
      <c r="BW183" s="1312">
        <f t="shared" si="99"/>
        <v>0</v>
      </c>
      <c r="BX183" s="1312">
        <f>IF(AND(C183&gt;$F$80,'Instrumentos Financeiros'!C183&lt;'Instrumentos Financeiros'!$F$80+'Instrumentos Financeiros'!$F$12+1),PMT(((1+'Instrumentos Financeiros'!$L$43)^(1/12)-1),$F$12,-$I$80),0)</f>
        <v>0</v>
      </c>
      <c r="BY183" s="1312">
        <f t="shared" si="100"/>
        <v>0</v>
      </c>
      <c r="BZ183" s="1312">
        <f>CA182*((1+'Instrumentos Financeiros'!$L$43)^(1/12)-1)</f>
        <v>0</v>
      </c>
      <c r="CA183" s="1312">
        <f t="shared" si="101"/>
        <v>0</v>
      </c>
      <c r="CB183" s="1312">
        <f>IF(AND(C183&gt;$F$83,'Instrumentos Financeiros'!C183&lt;'Instrumentos Financeiros'!$F$83+'Instrumentos Financeiros'!$F$13+1),PMT(((1+'Instrumentos Financeiros'!$P$43)^(1/12)-1),$F$13,-$I$83),0)</f>
        <v>0</v>
      </c>
      <c r="CC183" s="1312">
        <f t="shared" si="102"/>
        <v>0</v>
      </c>
      <c r="CD183" s="1312">
        <f>CE182*((1+'Instrumentos Financeiros'!$P$43)^(1/12)-1)</f>
        <v>0</v>
      </c>
      <c r="CE183" s="1312">
        <f t="shared" si="103"/>
        <v>0</v>
      </c>
      <c r="CF183" s="1312">
        <f>IF(AND(C183&gt;$F$84,'Instrumentos Financeiros'!C183&lt;'Instrumentos Financeiros'!$F$84+'Instrumentos Financeiros'!$F$13+1),PMT(((1+'Instrumentos Financeiros'!$Q$43)^(1/12)-1),$F$13,-$I$84),0)</f>
        <v>0</v>
      </c>
      <c r="CG183" s="1312">
        <f t="shared" si="104"/>
        <v>0</v>
      </c>
      <c r="CH183" s="1312">
        <f>CI182*((1+'Instrumentos Financeiros'!$Q$43)^(1/12)-1)</f>
        <v>0</v>
      </c>
      <c r="CI183" s="1312">
        <f t="shared" si="105"/>
        <v>0</v>
      </c>
      <c r="CJ183" s="1312">
        <f>IF(AND(C183&gt;$F$85,'Instrumentos Financeiros'!C183&lt;'Instrumentos Financeiros'!$F$85+'Instrumentos Financeiros'!$F$13+1),PMT(((1+'Instrumentos Financeiros'!$Q$43)^(1/12)-1),$F$13,-$I$85),0)</f>
        <v>0</v>
      </c>
      <c r="CK183" s="1312">
        <f t="shared" si="106"/>
        <v>0</v>
      </c>
      <c r="CL183" s="1312">
        <f>CM182*((1+'Instrumentos Financeiros'!$Q$43)^(1/12)-1)</f>
        <v>0</v>
      </c>
      <c r="CM183" s="1312">
        <f t="shared" si="107"/>
        <v>0</v>
      </c>
      <c r="CN183" s="1312">
        <f>IF(AND(C183&gt;$F$86,'Instrumentos Financeiros'!C183&lt;'Instrumentos Financeiros'!$F$86+'Instrumentos Financeiros'!$F$13+1),PMT(((1+'Instrumentos Financeiros'!$Q$43)^(1/12)-1),$F$13,-$I$86),0)</f>
        <v>0</v>
      </c>
      <c r="CO183" s="1312">
        <f t="shared" si="108"/>
        <v>0</v>
      </c>
      <c r="CP183" s="1312">
        <f>CQ182*((1+'Instrumentos Financeiros'!$Q$43)^(1/12)-1)</f>
        <v>0</v>
      </c>
      <c r="CQ183" s="1312">
        <f t="shared" si="109"/>
        <v>0</v>
      </c>
      <c r="CR183" s="1312">
        <f t="shared" si="78"/>
        <v>245041.9116799648</v>
      </c>
      <c r="CS183" s="1312">
        <f t="shared" si="78"/>
        <v>119983.02041777258</v>
      </c>
      <c r="CT183" s="1312">
        <f t="shared" si="78"/>
        <v>125058.89126219222</v>
      </c>
      <c r="CU183" s="1312">
        <f t="shared" si="78"/>
        <v>38968618.785283677</v>
      </c>
    </row>
    <row r="184" spans="3:99" x14ac:dyDescent="0.35">
      <c r="C184" s="1315">
        <f t="shared" si="79"/>
        <v>91</v>
      </c>
      <c r="D184" s="1312">
        <f>IF(AND(C184&gt;$F$59,'Instrumentos Financeiros'!C184&lt;'Instrumentos Financeiros'!$F$59+'Instrumentos Financeiros'!$F$11+1),PMT(((1+'Instrumentos Financeiros'!$G$43)^(1/12)-1),$F$11,-$I$59),0)</f>
        <v>91768.589635900134</v>
      </c>
      <c r="E184" s="1312">
        <f t="shared" si="76"/>
        <v>48608.831319018507</v>
      </c>
      <c r="F184" s="1312">
        <f>G183*((1+'Instrumentos Financeiros'!$G$43)^(1/12)-1)</f>
        <v>43159.758316881627</v>
      </c>
      <c r="G184" s="1312">
        <f t="shared" si="110"/>
        <v>10525096.950457593</v>
      </c>
      <c r="H184" s="1312">
        <f>IF(AND(C184&gt;$F$60,'Instrumentos Financeiros'!C184&lt;'Instrumentos Financeiros'!$F$60+'Instrumentos Financeiros'!$F$11+1),PMT(((1+'Instrumentos Financeiros'!$G$43)^(1/12)-1),$F$11,-$I$60),0)</f>
        <v>0</v>
      </c>
      <c r="I184" s="1312">
        <f t="shared" si="111"/>
        <v>0</v>
      </c>
      <c r="J184" s="1312">
        <f>K183*((1+'Instrumentos Financeiros'!$G$43)^(1/12)-1)</f>
        <v>0</v>
      </c>
      <c r="K184" s="1312">
        <f t="shared" si="80"/>
        <v>0</v>
      </c>
      <c r="L184" s="1312">
        <f>IF(AND(C184&gt;$F$61,'Instrumentos Financeiros'!C184&lt;'Instrumentos Financeiros'!$F$61+'Instrumentos Financeiros'!$F$11+1),PMT(((1+'Instrumentos Financeiros'!$G$43)^(1/12)-1),$F$11,-$I$61),0)</f>
        <v>0</v>
      </c>
      <c r="M184" s="1312">
        <f t="shared" si="112"/>
        <v>0</v>
      </c>
      <c r="N184" s="1312">
        <f>O183*((1+'Instrumentos Financeiros'!$G$43)^(1/12)-1)</f>
        <v>0</v>
      </c>
      <c r="O184" s="1312">
        <f t="shared" si="81"/>
        <v>0</v>
      </c>
      <c r="P184" s="1312">
        <f>IF(AND(C184&gt;$F$62,'Instrumentos Financeiros'!C184&lt;'Instrumentos Financeiros'!$F$62+'Instrumentos Financeiros'!$F$11+1),PMT(((1+'Instrumentos Financeiros'!$H$43)^(1/12)-1),$F$11,-$I$62),0)</f>
        <v>0</v>
      </c>
      <c r="Q184" s="1312">
        <f t="shared" si="113"/>
        <v>0</v>
      </c>
      <c r="R184" s="1312">
        <f>S183*((1+'Instrumentos Financeiros'!$H$43)^(1/12)-1)</f>
        <v>0</v>
      </c>
      <c r="S184" s="1312">
        <f t="shared" si="82"/>
        <v>0</v>
      </c>
      <c r="T184" s="1312">
        <f>IF(AND(C184&gt;$F$63,'Instrumentos Financeiros'!C184&lt;'Instrumentos Financeiros'!$F$63+'Instrumentos Financeiros'!$F$11+1),PMT(((1+'Instrumentos Financeiros'!$H$43)^(1/12)-1),$F$11,-$I$63),0)</f>
        <v>0</v>
      </c>
      <c r="U184" s="1312">
        <f t="shared" si="114"/>
        <v>0</v>
      </c>
      <c r="V184" s="1312">
        <f>W183*((1+'Instrumentos Financeiros'!$H$43)^(1/12)-1)</f>
        <v>0</v>
      </c>
      <c r="W184" s="1312">
        <f t="shared" si="83"/>
        <v>0</v>
      </c>
      <c r="X184" s="1312">
        <f>IF(AND(C184&gt;$F$64,'Instrumentos Financeiros'!C184&lt;'Instrumentos Financeiros'!$F$64+'Instrumentos Financeiros'!$F$11+1),PMT(((1+'Instrumentos Financeiros'!$H$43)^(1/12)-1),$F$11,-$I$64),0)</f>
        <v>0</v>
      </c>
      <c r="Y184" s="1312">
        <f t="shared" si="115"/>
        <v>0</v>
      </c>
      <c r="Z184" s="1312">
        <f>AA183*((1+'Instrumentos Financeiros'!$H$43)^(1/12)-1)</f>
        <v>0</v>
      </c>
      <c r="AA184" s="1312">
        <f t="shared" si="84"/>
        <v>0</v>
      </c>
      <c r="AB184" s="1312">
        <f>IF(AND(C184&gt;$F$65,'Instrumentos Financeiros'!C184&lt;'Instrumentos Financeiros'!$F$65+'Instrumentos Financeiros'!$F$11+1),PMT(((1+'Instrumentos Financeiros'!$H$43)^(1/12)-1),$F$11,-$I$65),0)</f>
        <v>76636.661022032335</v>
      </c>
      <c r="AC184" s="1312">
        <f t="shared" si="116"/>
        <v>36173.241397356505</v>
      </c>
      <c r="AD184" s="1312">
        <f>AE183*((1+'Instrumentos Financeiros'!$H$43)^(1/12)-1)</f>
        <v>40463.419624675829</v>
      </c>
      <c r="AE184" s="1312">
        <f t="shared" si="85"/>
        <v>9321671.0139269456</v>
      </c>
      <c r="AF184" s="1312">
        <f>IF(AND(C184&gt;$F$66,'Instrumentos Financeiros'!C184&lt;'Instrumentos Financeiros'!$F$66+'Instrumentos Financeiros'!$F$11+1),PMT(((1+'Instrumentos Financeiros'!$I$43)^(1/12)-1),$F$11,-$I$66),0)</f>
        <v>76636.661022032335</v>
      </c>
      <c r="AG184" s="1312">
        <f t="shared" si="117"/>
        <v>35708.029883368421</v>
      </c>
      <c r="AH184" s="1312">
        <f>AI183*((1+'Instrumentos Financeiros'!$I$43)^(1/12)-1)</f>
        <v>40928.631138663914</v>
      </c>
      <c r="AI184" s="1312">
        <f t="shared" si="86"/>
        <v>9429724.1884471383</v>
      </c>
      <c r="AJ184" s="1312">
        <f>IF(AND(C184&gt;$F$67,'Instrumentos Financeiros'!C184&lt;'Instrumentos Financeiros'!$F$67+'Instrumentos Financeiros'!$F$11+1),PMT(((1+'Instrumentos Financeiros'!$I$43)^(1/12)-1),$F$11,-$I$67),0)</f>
        <v>76636.661022032335</v>
      </c>
      <c r="AK184" s="1312">
        <f t="shared" si="118"/>
        <v>35248.801293342542</v>
      </c>
      <c r="AL184" s="1312">
        <f>AM183*((1+'Instrumentos Financeiros'!$I$43)^(1/12)-1)</f>
        <v>41387.859728689793</v>
      </c>
      <c r="AM184" s="1312">
        <f t="shared" si="87"/>
        <v>9536387.7285589129</v>
      </c>
      <c r="AN184" s="1312">
        <f>IF(AND(C184&gt;$F$68,'Instrumentos Financeiros'!C184&lt;'Instrumentos Financeiros'!$F$68+'Instrumentos Financeiros'!$F$11+1),PMT(((1+'Instrumentos Financeiros'!$I$43)^(1/12)-1),$F$11,-$I$68),0)</f>
        <v>0</v>
      </c>
      <c r="AO184" s="1312">
        <f t="shared" si="119"/>
        <v>0</v>
      </c>
      <c r="AP184" s="1312">
        <f>AQ183*((1+'Instrumentos Financeiros'!$I$43)^(1/12)-1)</f>
        <v>0</v>
      </c>
      <c r="AQ184" s="1312">
        <f t="shared" si="88"/>
        <v>0</v>
      </c>
      <c r="AR184" s="1312">
        <f>IF(AND(C184&gt;$F$69,'Instrumentos Financeiros'!C184&lt;'Instrumentos Financeiros'!$F$69+'Instrumentos Financeiros'!$F$11+1),PMT(((1+'Instrumentos Financeiros'!$I$43)^(1/12)-1),$F$11,-$I$69),0)</f>
        <v>0</v>
      </c>
      <c r="AS184" s="1312">
        <f t="shared" si="120"/>
        <v>0</v>
      </c>
      <c r="AT184" s="1312">
        <f>AU183*((1+'Instrumentos Financeiros'!$I$43)^(1/12)-1)</f>
        <v>0</v>
      </c>
      <c r="AU184" s="1312">
        <f t="shared" si="89"/>
        <v>0</v>
      </c>
      <c r="AV184" s="1312">
        <f>IF(AND(C184&gt;$F$70,'Instrumentos Financeiros'!C184&lt;'Instrumentos Financeiros'!$F$70+'Instrumentos Financeiros'!$F$11+1),PMT(((1+'Instrumentos Financeiros'!$J$43)^(1/12)-1),$F$11,-$I$70),0)</f>
        <v>0</v>
      </c>
      <c r="AW184" s="1312">
        <f t="shared" si="121"/>
        <v>0</v>
      </c>
      <c r="AX184" s="1312">
        <f>AY183*((1+'Instrumentos Financeiros'!$J$43)^(1/12)-1)</f>
        <v>0</v>
      </c>
      <c r="AY184" s="1312">
        <f t="shared" si="90"/>
        <v>0</v>
      </c>
      <c r="AZ184" s="1312">
        <f>IF(AND(C184&gt;$F$71,'Instrumentos Financeiros'!C184&lt;'Instrumentos Financeiros'!$F$71+'Instrumentos Financeiros'!$F$11+1),PMT(((1+'Instrumentos Financeiros'!$J$43)^(1/12)-1),$F$11,-$I$71),0)</f>
        <v>0</v>
      </c>
      <c r="BA184" s="1312">
        <f t="shared" si="122"/>
        <v>0</v>
      </c>
      <c r="BB184" s="1312">
        <f>BC183*((1+'Instrumentos Financeiros'!$J$43)^(1/12)-1)</f>
        <v>0</v>
      </c>
      <c r="BC184" s="1312">
        <f t="shared" si="91"/>
        <v>0</v>
      </c>
      <c r="BD184" s="1312">
        <f>IF(AND(C184&gt;$F$72,'Instrumentos Financeiros'!C184&lt;'Instrumentos Financeiros'!$F$72+'Instrumentos Financeiros'!$F$11+1),PMT(((1+'Instrumentos Financeiros'!$J$43)^(1/12)-1),$F$11,-'Instrumentos Financeiros'!$G$7*$G$72),0)</f>
        <v>0</v>
      </c>
      <c r="BE184" s="1312">
        <f t="shared" si="123"/>
        <v>0</v>
      </c>
      <c r="BF184" s="1312">
        <f>BG183*((1+'Instrumentos Financeiros'!$J$43)^(1/12)-1)</f>
        <v>0</v>
      </c>
      <c r="BG184" s="1312">
        <f t="shared" si="92"/>
        <v>0</v>
      </c>
      <c r="BH184" s="1312">
        <f>IF(AND(C184&gt;$F$73,'Instrumentos Financeiros'!C184&lt;'Instrumentos Financeiros'!$F$73+'Instrumentos Financeiros'!$F$11+1),PMT(((1+'Instrumentos Financeiros'!$J$43)^(1/12)-1),$F$11,-$I$73),0)</f>
        <v>0</v>
      </c>
      <c r="BI184" s="1312">
        <f t="shared" si="124"/>
        <v>0</v>
      </c>
      <c r="BJ184" s="1312">
        <f>BK183*((1+'Instrumentos Financeiros'!$J$43)^(1/12)-1)</f>
        <v>0</v>
      </c>
      <c r="BK184" s="1312">
        <f t="shared" si="93"/>
        <v>0</v>
      </c>
      <c r="BL184" s="1312">
        <f>IF(AND(C184&gt;$F$77,'Instrumentos Financeiros'!C184&lt;'Instrumentos Financeiros'!$F$77+'Instrumentos Financeiros'!$F$12+1),PMT(((1+'Instrumentos Financeiros'!$K$43)^(1/12)-1),$F$12,-$I$77),0)</f>
        <v>0</v>
      </c>
      <c r="BM184" s="1312">
        <f t="shared" si="94"/>
        <v>0</v>
      </c>
      <c r="BN184" s="1312">
        <f>BO183*((1+'Instrumentos Financeiros'!$K$43)^(1/12)-1)</f>
        <v>0</v>
      </c>
      <c r="BO184" s="1312">
        <f t="shared" si="95"/>
        <v>0</v>
      </c>
      <c r="BP184" s="1312">
        <f>IF(AND(C184&gt;$F$78,'Instrumentos Financeiros'!C184&lt;'Instrumentos Financeiros'!$F$78+'Instrumentos Financeiros'!$F$12+1),PMT(((1+'Instrumentos Financeiros'!$L$43)^(1/12)-1),$F$12,-$I$78),0)</f>
        <v>0</v>
      </c>
      <c r="BQ184" s="1312">
        <f t="shared" si="96"/>
        <v>0</v>
      </c>
      <c r="BR184" s="1312">
        <f>BS183*((1+'Instrumentos Financeiros'!$L$43)^(1/12)-1)</f>
        <v>0</v>
      </c>
      <c r="BS184" s="1312">
        <f t="shared" si="97"/>
        <v>0</v>
      </c>
      <c r="BT184" s="1312">
        <f>IF(AND(C184&gt;$F$79,'Instrumentos Financeiros'!C184&lt;'Instrumentos Financeiros'!$F$79+'Instrumentos Financeiros'!$F$12+1),PMT(((1+'Instrumentos Financeiros'!$L$43)^(1/12)-1),$F$12,-$I$79),0)</f>
        <v>0</v>
      </c>
      <c r="BU184" s="1312">
        <f t="shared" si="98"/>
        <v>0</v>
      </c>
      <c r="BV184" s="1312">
        <f>BW183*((1+'Instrumentos Financeiros'!$L$43)^(1/12)-1)</f>
        <v>0</v>
      </c>
      <c r="BW184" s="1312">
        <f t="shared" si="99"/>
        <v>0</v>
      </c>
      <c r="BX184" s="1312">
        <f>IF(AND(C184&gt;$F$80,'Instrumentos Financeiros'!C184&lt;'Instrumentos Financeiros'!$F$80+'Instrumentos Financeiros'!$F$12+1),PMT(((1+'Instrumentos Financeiros'!$L$43)^(1/12)-1),$F$12,-$I$80),0)</f>
        <v>0</v>
      </c>
      <c r="BY184" s="1312">
        <f t="shared" si="100"/>
        <v>0</v>
      </c>
      <c r="BZ184" s="1312">
        <f>CA183*((1+'Instrumentos Financeiros'!$L$43)^(1/12)-1)</f>
        <v>0</v>
      </c>
      <c r="CA184" s="1312">
        <f t="shared" si="101"/>
        <v>0</v>
      </c>
      <c r="CB184" s="1312">
        <f>IF(AND(C184&gt;$F$83,'Instrumentos Financeiros'!C184&lt;'Instrumentos Financeiros'!$F$83+'Instrumentos Financeiros'!$F$13+1),PMT(((1+'Instrumentos Financeiros'!$P$43)^(1/12)-1),$F$13,-$I$83),0)</f>
        <v>0</v>
      </c>
      <c r="CC184" s="1312">
        <f t="shared" si="102"/>
        <v>0</v>
      </c>
      <c r="CD184" s="1312">
        <f>CE183*((1+'Instrumentos Financeiros'!$P$43)^(1/12)-1)</f>
        <v>0</v>
      </c>
      <c r="CE184" s="1312">
        <f t="shared" si="103"/>
        <v>0</v>
      </c>
      <c r="CF184" s="1312">
        <f>IF(AND(C184&gt;$F$84,'Instrumentos Financeiros'!C184&lt;'Instrumentos Financeiros'!$F$84+'Instrumentos Financeiros'!$F$13+1),PMT(((1+'Instrumentos Financeiros'!$Q$43)^(1/12)-1),$F$13,-$I$84),0)</f>
        <v>0</v>
      </c>
      <c r="CG184" s="1312">
        <f t="shared" si="104"/>
        <v>0</v>
      </c>
      <c r="CH184" s="1312">
        <f>CI183*((1+'Instrumentos Financeiros'!$Q$43)^(1/12)-1)</f>
        <v>0</v>
      </c>
      <c r="CI184" s="1312">
        <f t="shared" si="105"/>
        <v>0</v>
      </c>
      <c r="CJ184" s="1312">
        <f>IF(AND(C184&gt;$F$85,'Instrumentos Financeiros'!C184&lt;'Instrumentos Financeiros'!$F$85+'Instrumentos Financeiros'!$F$13+1),PMT(((1+'Instrumentos Financeiros'!$Q$43)^(1/12)-1),$F$13,-$I$85),0)</f>
        <v>0</v>
      </c>
      <c r="CK184" s="1312">
        <f t="shared" si="106"/>
        <v>0</v>
      </c>
      <c r="CL184" s="1312">
        <f>CM183*((1+'Instrumentos Financeiros'!$Q$43)^(1/12)-1)</f>
        <v>0</v>
      </c>
      <c r="CM184" s="1312">
        <f t="shared" si="107"/>
        <v>0</v>
      </c>
      <c r="CN184" s="1312">
        <f>IF(AND(C184&gt;$F$86,'Instrumentos Financeiros'!C184&lt;'Instrumentos Financeiros'!$F$86+'Instrumentos Financeiros'!$F$13+1),PMT(((1+'Instrumentos Financeiros'!$Q$43)^(1/12)-1),$F$13,-$I$86),0)</f>
        <v>0</v>
      </c>
      <c r="CO184" s="1312">
        <f t="shared" si="108"/>
        <v>0</v>
      </c>
      <c r="CP184" s="1312">
        <f>CQ183*((1+'Instrumentos Financeiros'!$Q$43)^(1/12)-1)</f>
        <v>0</v>
      </c>
      <c r="CQ184" s="1312">
        <f t="shared" si="109"/>
        <v>0</v>
      </c>
      <c r="CR184" s="1312">
        <f t="shared" si="78"/>
        <v>321678.57270199712</v>
      </c>
      <c r="CS184" s="1312">
        <f t="shared" si="78"/>
        <v>155738.90389308598</v>
      </c>
      <c r="CT184" s="1312">
        <f t="shared" si="78"/>
        <v>165939.66880891117</v>
      </c>
      <c r="CU184" s="1312">
        <f t="shared" si="78"/>
        <v>38812879.881390594</v>
      </c>
    </row>
    <row r="185" spans="3:99" x14ac:dyDescent="0.35">
      <c r="C185" s="1315">
        <f t="shared" si="79"/>
        <v>92</v>
      </c>
      <c r="D185" s="1312">
        <f>IF(AND(C185&gt;$F$59,'Instrumentos Financeiros'!C185&lt;'Instrumentos Financeiros'!$F$59+'Instrumentos Financeiros'!$F$11+1),PMT(((1+'Instrumentos Financeiros'!$G$43)^(1/12)-1),$F$11,-$I$59),0)</f>
        <v>91768.589635900134</v>
      </c>
      <c r="E185" s="1312">
        <f t="shared" si="76"/>
        <v>48807.24287454057</v>
      </c>
      <c r="F185" s="1312">
        <f>G184*((1+'Instrumentos Financeiros'!$G$43)^(1/12)-1)</f>
        <v>42961.346761359564</v>
      </c>
      <c r="G185" s="1312">
        <f t="shared" si="110"/>
        <v>10476289.707583053</v>
      </c>
      <c r="H185" s="1312">
        <f>IF(AND(C185&gt;$F$60,'Instrumentos Financeiros'!C185&lt;'Instrumentos Financeiros'!$F$60+'Instrumentos Financeiros'!$F$11+1),PMT(((1+'Instrumentos Financeiros'!$G$43)^(1/12)-1),$F$11,-$I$60),0)</f>
        <v>0</v>
      </c>
      <c r="I185" s="1312">
        <f t="shared" si="111"/>
        <v>0</v>
      </c>
      <c r="J185" s="1312">
        <f>K184*((1+'Instrumentos Financeiros'!$G$43)^(1/12)-1)</f>
        <v>0</v>
      </c>
      <c r="K185" s="1312">
        <f t="shared" si="80"/>
        <v>0</v>
      </c>
      <c r="L185" s="1312">
        <f>IF(AND(C185&gt;$F$61,'Instrumentos Financeiros'!C185&lt;'Instrumentos Financeiros'!$F$61+'Instrumentos Financeiros'!$F$11+1),PMT(((1+'Instrumentos Financeiros'!$G$43)^(1/12)-1),$F$11,-$I$61),0)</f>
        <v>0</v>
      </c>
      <c r="M185" s="1312">
        <f t="shared" si="112"/>
        <v>0</v>
      </c>
      <c r="N185" s="1312">
        <f>O184*((1+'Instrumentos Financeiros'!$G$43)^(1/12)-1)</f>
        <v>0</v>
      </c>
      <c r="O185" s="1312">
        <f t="shared" si="81"/>
        <v>0</v>
      </c>
      <c r="P185" s="1312">
        <f>IF(AND(C185&gt;$F$62,'Instrumentos Financeiros'!C185&lt;'Instrumentos Financeiros'!$F$62+'Instrumentos Financeiros'!$F$11+1),PMT(((1+'Instrumentos Financeiros'!$H$43)^(1/12)-1),$F$11,-$I$62),0)</f>
        <v>0</v>
      </c>
      <c r="Q185" s="1312">
        <f t="shared" si="113"/>
        <v>0</v>
      </c>
      <c r="R185" s="1312">
        <f>S184*((1+'Instrumentos Financeiros'!$H$43)^(1/12)-1)</f>
        <v>0</v>
      </c>
      <c r="S185" s="1312">
        <f t="shared" si="82"/>
        <v>0</v>
      </c>
      <c r="T185" s="1312">
        <f>IF(AND(C185&gt;$F$63,'Instrumentos Financeiros'!C185&lt;'Instrumentos Financeiros'!$F$63+'Instrumentos Financeiros'!$F$11+1),PMT(((1+'Instrumentos Financeiros'!$H$43)^(1/12)-1),$F$11,-$I$63),0)</f>
        <v>0</v>
      </c>
      <c r="U185" s="1312">
        <f t="shared" si="114"/>
        <v>0</v>
      </c>
      <c r="V185" s="1312">
        <f>W184*((1+'Instrumentos Financeiros'!$H$43)^(1/12)-1)</f>
        <v>0</v>
      </c>
      <c r="W185" s="1312">
        <f t="shared" si="83"/>
        <v>0</v>
      </c>
      <c r="X185" s="1312">
        <f>IF(AND(C185&gt;$F$64,'Instrumentos Financeiros'!C185&lt;'Instrumentos Financeiros'!$F$64+'Instrumentos Financeiros'!$F$11+1),PMT(((1+'Instrumentos Financeiros'!$H$43)^(1/12)-1),$F$11,-$I$64),0)</f>
        <v>0</v>
      </c>
      <c r="Y185" s="1312">
        <f t="shared" si="115"/>
        <v>0</v>
      </c>
      <c r="Z185" s="1312">
        <f>AA184*((1+'Instrumentos Financeiros'!$H$43)^(1/12)-1)</f>
        <v>0</v>
      </c>
      <c r="AA185" s="1312">
        <f t="shared" si="84"/>
        <v>0</v>
      </c>
      <c r="AB185" s="1312">
        <f>IF(AND(C185&gt;$F$65,'Instrumentos Financeiros'!C185&lt;'Instrumentos Financeiros'!$F$65+'Instrumentos Financeiros'!$F$11+1),PMT(((1+'Instrumentos Financeiros'!$H$43)^(1/12)-1),$F$11,-$I$65),0)</f>
        <v>76636.661022032335</v>
      </c>
      <c r="AC185" s="1312">
        <f t="shared" si="116"/>
        <v>36329.654883829433</v>
      </c>
      <c r="AD185" s="1312">
        <f>AE184*((1+'Instrumentos Financeiros'!$H$43)^(1/12)-1)</f>
        <v>40307.006138202902</v>
      </c>
      <c r="AE185" s="1312">
        <f t="shared" si="85"/>
        <v>9285341.3590431157</v>
      </c>
      <c r="AF185" s="1312">
        <f>IF(AND(C185&gt;$F$66,'Instrumentos Financeiros'!C185&lt;'Instrumentos Financeiros'!$F$66+'Instrumentos Financeiros'!$F$11+1),PMT(((1+'Instrumentos Financeiros'!$I$43)^(1/12)-1),$F$11,-$I$66),0)</f>
        <v>76636.661022032335</v>
      </c>
      <c r="AG185" s="1312">
        <f t="shared" si="117"/>
        <v>35862.431790230585</v>
      </c>
      <c r="AH185" s="1312">
        <f>AI184*((1+'Instrumentos Financeiros'!$I$43)^(1/12)-1)</f>
        <v>40774.22923180175</v>
      </c>
      <c r="AI185" s="1312">
        <f t="shared" si="86"/>
        <v>9393861.7566569075</v>
      </c>
      <c r="AJ185" s="1312">
        <f>IF(AND(C185&gt;$F$67,'Instrumentos Financeiros'!C185&lt;'Instrumentos Financeiros'!$F$67+'Instrumentos Financeiros'!$F$11+1),PMT(((1+'Instrumentos Financeiros'!$I$43)^(1/12)-1),$F$11,-$I$67),0)</f>
        <v>76636.661022032335</v>
      </c>
      <c r="AK185" s="1312">
        <f t="shared" si="118"/>
        <v>35401.217490821771</v>
      </c>
      <c r="AL185" s="1312">
        <f>AM184*((1+'Instrumentos Financeiros'!$I$43)^(1/12)-1)</f>
        <v>41235.443531210563</v>
      </c>
      <c r="AM185" s="1312">
        <f t="shared" si="87"/>
        <v>9500986.5110680908</v>
      </c>
      <c r="AN185" s="1312">
        <f>IF(AND(C185&gt;$F$68,'Instrumentos Financeiros'!C185&lt;'Instrumentos Financeiros'!$F$68+'Instrumentos Financeiros'!$F$11+1),PMT(((1+'Instrumentos Financeiros'!$I$43)^(1/12)-1),$F$11,-$I$68),0)</f>
        <v>0</v>
      </c>
      <c r="AO185" s="1312">
        <f t="shared" si="119"/>
        <v>0</v>
      </c>
      <c r="AP185" s="1312">
        <f>AQ184*((1+'Instrumentos Financeiros'!$I$43)^(1/12)-1)</f>
        <v>0</v>
      </c>
      <c r="AQ185" s="1312">
        <f t="shared" si="88"/>
        <v>0</v>
      </c>
      <c r="AR185" s="1312">
        <f>IF(AND(C185&gt;$F$69,'Instrumentos Financeiros'!C185&lt;'Instrumentos Financeiros'!$F$69+'Instrumentos Financeiros'!$F$11+1),PMT(((1+'Instrumentos Financeiros'!$I$43)^(1/12)-1),$F$11,-$I$69),0)</f>
        <v>0</v>
      </c>
      <c r="AS185" s="1312">
        <f t="shared" si="120"/>
        <v>0</v>
      </c>
      <c r="AT185" s="1312">
        <f>AU184*((1+'Instrumentos Financeiros'!$I$43)^(1/12)-1)</f>
        <v>0</v>
      </c>
      <c r="AU185" s="1312">
        <f t="shared" si="89"/>
        <v>0</v>
      </c>
      <c r="AV185" s="1312">
        <f>IF(AND(C185&gt;$F$70,'Instrumentos Financeiros'!C185&lt;'Instrumentos Financeiros'!$F$70+'Instrumentos Financeiros'!$F$11+1),PMT(((1+'Instrumentos Financeiros'!$J$43)^(1/12)-1),$F$11,-$I$70),0)</f>
        <v>0</v>
      </c>
      <c r="AW185" s="1312">
        <f t="shared" si="121"/>
        <v>0</v>
      </c>
      <c r="AX185" s="1312">
        <f>AY184*((1+'Instrumentos Financeiros'!$J$43)^(1/12)-1)</f>
        <v>0</v>
      </c>
      <c r="AY185" s="1312">
        <f t="shared" si="90"/>
        <v>0</v>
      </c>
      <c r="AZ185" s="1312">
        <f>IF(AND(C185&gt;$F$71,'Instrumentos Financeiros'!C185&lt;'Instrumentos Financeiros'!$F$71+'Instrumentos Financeiros'!$F$11+1),PMT(((1+'Instrumentos Financeiros'!$J$43)^(1/12)-1),$F$11,-$I$71),0)</f>
        <v>0</v>
      </c>
      <c r="BA185" s="1312">
        <f t="shared" si="122"/>
        <v>0</v>
      </c>
      <c r="BB185" s="1312">
        <f>BC184*((1+'Instrumentos Financeiros'!$J$43)^(1/12)-1)</f>
        <v>0</v>
      </c>
      <c r="BC185" s="1312">
        <f t="shared" si="91"/>
        <v>0</v>
      </c>
      <c r="BD185" s="1312">
        <f>IF(AND(C185&gt;$F$72,'Instrumentos Financeiros'!C185&lt;'Instrumentos Financeiros'!$F$72+'Instrumentos Financeiros'!$F$11+1),PMT(((1+'Instrumentos Financeiros'!$J$43)^(1/12)-1),$F$11,-'Instrumentos Financeiros'!$G$7*$G$72),0)</f>
        <v>0</v>
      </c>
      <c r="BE185" s="1312">
        <f t="shared" si="123"/>
        <v>0</v>
      </c>
      <c r="BF185" s="1312">
        <f>BG184*((1+'Instrumentos Financeiros'!$J$43)^(1/12)-1)</f>
        <v>0</v>
      </c>
      <c r="BG185" s="1312">
        <f t="shared" si="92"/>
        <v>0</v>
      </c>
      <c r="BH185" s="1312">
        <f>IF(AND(C185&gt;$F$73,'Instrumentos Financeiros'!C185&lt;'Instrumentos Financeiros'!$F$73+'Instrumentos Financeiros'!$F$11+1),PMT(((1+'Instrumentos Financeiros'!$J$43)^(1/12)-1),$F$11,-$I$73),0)</f>
        <v>0</v>
      </c>
      <c r="BI185" s="1312">
        <f t="shared" si="124"/>
        <v>0</v>
      </c>
      <c r="BJ185" s="1312">
        <f>BK184*((1+'Instrumentos Financeiros'!$J$43)^(1/12)-1)</f>
        <v>0</v>
      </c>
      <c r="BK185" s="1312">
        <f t="shared" si="93"/>
        <v>0</v>
      </c>
      <c r="BL185" s="1312">
        <f>IF(AND(C185&gt;$F$77,'Instrumentos Financeiros'!C185&lt;'Instrumentos Financeiros'!$F$77+'Instrumentos Financeiros'!$F$12+1),PMT(((1+'Instrumentos Financeiros'!$K$43)^(1/12)-1),$F$12,-$I$77),0)</f>
        <v>0</v>
      </c>
      <c r="BM185" s="1312">
        <f t="shared" si="94"/>
        <v>0</v>
      </c>
      <c r="BN185" s="1312">
        <f>BO184*((1+'Instrumentos Financeiros'!$K$43)^(1/12)-1)</f>
        <v>0</v>
      </c>
      <c r="BO185" s="1312">
        <f t="shared" si="95"/>
        <v>0</v>
      </c>
      <c r="BP185" s="1312">
        <f>IF(AND(C185&gt;$F$78,'Instrumentos Financeiros'!C185&lt;'Instrumentos Financeiros'!$F$78+'Instrumentos Financeiros'!$F$12+1),PMT(((1+'Instrumentos Financeiros'!$L$43)^(1/12)-1),$F$12,-$I$78),0)</f>
        <v>0</v>
      </c>
      <c r="BQ185" s="1312">
        <f t="shared" si="96"/>
        <v>0</v>
      </c>
      <c r="BR185" s="1312">
        <f>BS184*((1+'Instrumentos Financeiros'!$L$43)^(1/12)-1)</f>
        <v>0</v>
      </c>
      <c r="BS185" s="1312">
        <f t="shared" si="97"/>
        <v>0</v>
      </c>
      <c r="BT185" s="1312">
        <f>IF(AND(C185&gt;$F$79,'Instrumentos Financeiros'!C185&lt;'Instrumentos Financeiros'!$F$79+'Instrumentos Financeiros'!$F$12+1),PMT(((1+'Instrumentos Financeiros'!$L$43)^(1/12)-1),$F$12,-$I$79),0)</f>
        <v>0</v>
      </c>
      <c r="BU185" s="1312">
        <f t="shared" si="98"/>
        <v>0</v>
      </c>
      <c r="BV185" s="1312">
        <f>BW184*((1+'Instrumentos Financeiros'!$L$43)^(1/12)-1)</f>
        <v>0</v>
      </c>
      <c r="BW185" s="1312">
        <f t="shared" si="99"/>
        <v>0</v>
      </c>
      <c r="BX185" s="1312">
        <f>IF(AND(C185&gt;$F$80,'Instrumentos Financeiros'!C185&lt;'Instrumentos Financeiros'!$F$80+'Instrumentos Financeiros'!$F$12+1),PMT(((1+'Instrumentos Financeiros'!$L$43)^(1/12)-1),$F$12,-$I$80),0)</f>
        <v>0</v>
      </c>
      <c r="BY185" s="1312">
        <f t="shared" si="100"/>
        <v>0</v>
      </c>
      <c r="BZ185" s="1312">
        <f>CA184*((1+'Instrumentos Financeiros'!$L$43)^(1/12)-1)</f>
        <v>0</v>
      </c>
      <c r="CA185" s="1312">
        <f t="shared" si="101"/>
        <v>0</v>
      </c>
      <c r="CB185" s="1312">
        <f>IF(AND(C185&gt;$F$83,'Instrumentos Financeiros'!C185&lt;'Instrumentos Financeiros'!$F$83+'Instrumentos Financeiros'!$F$13+1),PMT(((1+'Instrumentos Financeiros'!$P$43)^(1/12)-1),$F$13,-$I$83),0)</f>
        <v>0</v>
      </c>
      <c r="CC185" s="1312">
        <f t="shared" si="102"/>
        <v>0</v>
      </c>
      <c r="CD185" s="1312">
        <f>CE184*((1+'Instrumentos Financeiros'!$P$43)^(1/12)-1)</f>
        <v>0</v>
      </c>
      <c r="CE185" s="1312">
        <f t="shared" si="103"/>
        <v>0</v>
      </c>
      <c r="CF185" s="1312">
        <f>IF(AND(C185&gt;$F$84,'Instrumentos Financeiros'!C185&lt;'Instrumentos Financeiros'!$F$84+'Instrumentos Financeiros'!$F$13+1),PMT(((1+'Instrumentos Financeiros'!$Q$43)^(1/12)-1),$F$13,-$I$84),0)</f>
        <v>0</v>
      </c>
      <c r="CG185" s="1312">
        <f t="shared" si="104"/>
        <v>0</v>
      </c>
      <c r="CH185" s="1312">
        <f>CI184*((1+'Instrumentos Financeiros'!$Q$43)^(1/12)-1)</f>
        <v>0</v>
      </c>
      <c r="CI185" s="1312">
        <f t="shared" si="105"/>
        <v>0</v>
      </c>
      <c r="CJ185" s="1312">
        <f>IF(AND(C185&gt;$F$85,'Instrumentos Financeiros'!C185&lt;'Instrumentos Financeiros'!$F$85+'Instrumentos Financeiros'!$F$13+1),PMT(((1+'Instrumentos Financeiros'!$Q$43)^(1/12)-1),$F$13,-$I$85),0)</f>
        <v>0</v>
      </c>
      <c r="CK185" s="1312">
        <f t="shared" si="106"/>
        <v>0</v>
      </c>
      <c r="CL185" s="1312">
        <f>CM184*((1+'Instrumentos Financeiros'!$Q$43)^(1/12)-1)</f>
        <v>0</v>
      </c>
      <c r="CM185" s="1312">
        <f t="shared" si="107"/>
        <v>0</v>
      </c>
      <c r="CN185" s="1312">
        <f>IF(AND(C185&gt;$F$86,'Instrumentos Financeiros'!C185&lt;'Instrumentos Financeiros'!$F$86+'Instrumentos Financeiros'!$F$13+1),PMT(((1+'Instrumentos Financeiros'!$Q$43)^(1/12)-1),$F$13,-$I$86),0)</f>
        <v>0</v>
      </c>
      <c r="CO185" s="1312">
        <f t="shared" si="108"/>
        <v>0</v>
      </c>
      <c r="CP185" s="1312">
        <f>CQ184*((1+'Instrumentos Financeiros'!$Q$43)^(1/12)-1)</f>
        <v>0</v>
      </c>
      <c r="CQ185" s="1312">
        <f t="shared" si="109"/>
        <v>0</v>
      </c>
      <c r="CR185" s="1312">
        <f t="shared" si="78"/>
        <v>321678.57270199712</v>
      </c>
      <c r="CS185" s="1312">
        <f t="shared" si="78"/>
        <v>156400.54703942238</v>
      </c>
      <c r="CT185" s="1312">
        <f t="shared" si="78"/>
        <v>165278.02566257477</v>
      </c>
      <c r="CU185" s="1312">
        <f t="shared" si="78"/>
        <v>38656479.334351167</v>
      </c>
    </row>
    <row r="186" spans="3:99" x14ac:dyDescent="0.35">
      <c r="C186" s="1315">
        <f t="shared" si="79"/>
        <v>93</v>
      </c>
      <c r="D186" s="1312">
        <f>IF(AND(C186&gt;$F$59,'Instrumentos Financeiros'!C186&lt;'Instrumentos Financeiros'!$F$59+'Instrumentos Financeiros'!$F$11+1),PMT(((1+'Instrumentos Financeiros'!$G$43)^(1/12)-1),$F$11,-$I$59),0)</f>
        <v>91768.589635900134</v>
      </c>
      <c r="E186" s="1312">
        <f t="shared" si="76"/>
        <v>49006.464306463611</v>
      </c>
      <c r="F186" s="1312">
        <f>G185*((1+'Instrumentos Financeiros'!$G$43)^(1/12)-1)</f>
        <v>42762.125329436523</v>
      </c>
      <c r="G186" s="1312">
        <f t="shared" si="110"/>
        <v>10427283.243276589</v>
      </c>
      <c r="H186" s="1312">
        <f>IF(AND(C186&gt;$F$60,'Instrumentos Financeiros'!C186&lt;'Instrumentos Financeiros'!$F$60+'Instrumentos Financeiros'!$F$11+1),PMT(((1+'Instrumentos Financeiros'!$G$43)^(1/12)-1),$F$11,-$I$60),0)</f>
        <v>0</v>
      </c>
      <c r="I186" s="1312">
        <f t="shared" si="111"/>
        <v>0</v>
      </c>
      <c r="J186" s="1312">
        <f>K185*((1+'Instrumentos Financeiros'!$G$43)^(1/12)-1)</f>
        <v>0</v>
      </c>
      <c r="K186" s="1312">
        <f t="shared" si="80"/>
        <v>0</v>
      </c>
      <c r="L186" s="1312">
        <f>IF(AND(C186&gt;$F$61,'Instrumentos Financeiros'!C186&lt;'Instrumentos Financeiros'!$F$61+'Instrumentos Financeiros'!$F$11+1),PMT(((1+'Instrumentos Financeiros'!$G$43)^(1/12)-1),$F$11,-$I$61),0)</f>
        <v>0</v>
      </c>
      <c r="M186" s="1312">
        <f t="shared" si="112"/>
        <v>0</v>
      </c>
      <c r="N186" s="1312">
        <f>O185*((1+'Instrumentos Financeiros'!$G$43)^(1/12)-1)</f>
        <v>0</v>
      </c>
      <c r="O186" s="1312">
        <f t="shared" si="81"/>
        <v>0</v>
      </c>
      <c r="P186" s="1312">
        <f>IF(AND(C186&gt;$F$62,'Instrumentos Financeiros'!C186&lt;'Instrumentos Financeiros'!$F$62+'Instrumentos Financeiros'!$F$11+1),PMT(((1+'Instrumentos Financeiros'!$H$43)^(1/12)-1),$F$11,-$I$62),0)</f>
        <v>0</v>
      </c>
      <c r="Q186" s="1312">
        <f t="shared" si="113"/>
        <v>0</v>
      </c>
      <c r="R186" s="1312">
        <f>S185*((1+'Instrumentos Financeiros'!$H$43)^(1/12)-1)</f>
        <v>0</v>
      </c>
      <c r="S186" s="1312">
        <f t="shared" si="82"/>
        <v>0</v>
      </c>
      <c r="T186" s="1312">
        <f>IF(AND(C186&gt;$F$63,'Instrumentos Financeiros'!C186&lt;'Instrumentos Financeiros'!$F$63+'Instrumentos Financeiros'!$F$11+1),PMT(((1+'Instrumentos Financeiros'!$H$43)^(1/12)-1),$F$11,-$I$63),0)</f>
        <v>0</v>
      </c>
      <c r="U186" s="1312">
        <f t="shared" si="114"/>
        <v>0</v>
      </c>
      <c r="V186" s="1312">
        <f>W185*((1+'Instrumentos Financeiros'!$H$43)^(1/12)-1)</f>
        <v>0</v>
      </c>
      <c r="W186" s="1312">
        <f t="shared" si="83"/>
        <v>0</v>
      </c>
      <c r="X186" s="1312">
        <f>IF(AND(C186&gt;$F$64,'Instrumentos Financeiros'!C186&lt;'Instrumentos Financeiros'!$F$64+'Instrumentos Financeiros'!$F$11+1),PMT(((1+'Instrumentos Financeiros'!$H$43)^(1/12)-1),$F$11,-$I$64),0)</f>
        <v>0</v>
      </c>
      <c r="Y186" s="1312">
        <f t="shared" si="115"/>
        <v>0</v>
      </c>
      <c r="Z186" s="1312">
        <f>AA185*((1+'Instrumentos Financeiros'!$H$43)^(1/12)-1)</f>
        <v>0</v>
      </c>
      <c r="AA186" s="1312">
        <f t="shared" si="84"/>
        <v>0</v>
      </c>
      <c r="AB186" s="1312">
        <f>IF(AND(C186&gt;$F$65,'Instrumentos Financeiros'!C186&lt;'Instrumentos Financeiros'!$F$65+'Instrumentos Financeiros'!$F$11+1),PMT(((1+'Instrumentos Financeiros'!$H$43)^(1/12)-1),$F$11,-$I$65),0)</f>
        <v>76636.661022032335</v>
      </c>
      <c r="AC186" s="1312">
        <f t="shared" si="116"/>
        <v>36486.744703907141</v>
      </c>
      <c r="AD186" s="1312">
        <f>AE185*((1+'Instrumentos Financeiros'!$H$43)^(1/12)-1)</f>
        <v>40149.916318125193</v>
      </c>
      <c r="AE186" s="1312">
        <f t="shared" si="85"/>
        <v>9248854.6143392082</v>
      </c>
      <c r="AF186" s="1312">
        <f>IF(AND(C186&gt;$F$66,'Instrumentos Financeiros'!C186&lt;'Instrumentos Financeiros'!$F$66+'Instrumentos Financeiros'!$F$11+1),PMT(((1+'Instrumentos Financeiros'!$I$43)^(1/12)-1),$F$11,-$I$66),0)</f>
        <v>76636.661022032335</v>
      </c>
      <c r="AG186" s="1312">
        <f t="shared" si="117"/>
        <v>36017.501332605556</v>
      </c>
      <c r="AH186" s="1312">
        <f>AI185*((1+'Instrumentos Financeiros'!$I$43)^(1/12)-1)</f>
        <v>40619.159689426779</v>
      </c>
      <c r="AI186" s="1312">
        <f t="shared" si="86"/>
        <v>9357844.2553243022</v>
      </c>
      <c r="AJ186" s="1312">
        <f>IF(AND(C186&gt;$F$67,'Instrumentos Financeiros'!C186&lt;'Instrumentos Financeiros'!$F$67+'Instrumentos Financeiros'!$F$11+1),PMT(((1+'Instrumentos Financeiros'!$I$43)^(1/12)-1),$F$11,-$I$67),0)</f>
        <v>76636.661022032335</v>
      </c>
      <c r="AK186" s="1312">
        <f t="shared" si="118"/>
        <v>35554.29273758499</v>
      </c>
      <c r="AL186" s="1312">
        <f>AM185*((1+'Instrumentos Financeiros'!$I$43)^(1/12)-1)</f>
        <v>41082.368284447344</v>
      </c>
      <c r="AM186" s="1312">
        <f t="shared" si="87"/>
        <v>9465432.2183305062</v>
      </c>
      <c r="AN186" s="1312">
        <f>IF(AND(C186&gt;$F$68,'Instrumentos Financeiros'!C186&lt;'Instrumentos Financeiros'!$F$68+'Instrumentos Financeiros'!$F$11+1),PMT(((1+'Instrumentos Financeiros'!$I$43)^(1/12)-1),$F$11,-$I$68),0)</f>
        <v>0</v>
      </c>
      <c r="AO186" s="1312">
        <f t="shared" si="119"/>
        <v>0</v>
      </c>
      <c r="AP186" s="1312">
        <f>AQ185*((1+'Instrumentos Financeiros'!$I$43)^(1/12)-1)</f>
        <v>0</v>
      </c>
      <c r="AQ186" s="1312">
        <f t="shared" si="88"/>
        <v>9571636.5298522562</v>
      </c>
      <c r="AR186" s="1312">
        <f>IF(AND(C186&gt;$F$69,'Instrumentos Financeiros'!C186&lt;'Instrumentos Financeiros'!$F$69+'Instrumentos Financeiros'!$F$11+1),PMT(((1+'Instrumentos Financeiros'!$I$43)^(1/12)-1),$F$11,-$I$69),0)</f>
        <v>0</v>
      </c>
      <c r="AS186" s="1312">
        <f t="shared" si="120"/>
        <v>0</v>
      </c>
      <c r="AT186" s="1312">
        <f>AU185*((1+'Instrumentos Financeiros'!$I$43)^(1/12)-1)</f>
        <v>0</v>
      </c>
      <c r="AU186" s="1312">
        <f t="shared" si="89"/>
        <v>0</v>
      </c>
      <c r="AV186" s="1312">
        <f>IF(AND(C186&gt;$F$70,'Instrumentos Financeiros'!C186&lt;'Instrumentos Financeiros'!$F$70+'Instrumentos Financeiros'!$F$11+1),PMT(((1+'Instrumentos Financeiros'!$J$43)^(1/12)-1),$F$11,-$I$70),0)</f>
        <v>0</v>
      </c>
      <c r="AW186" s="1312">
        <f t="shared" si="121"/>
        <v>0</v>
      </c>
      <c r="AX186" s="1312">
        <f>AY185*((1+'Instrumentos Financeiros'!$J$43)^(1/12)-1)</f>
        <v>0</v>
      </c>
      <c r="AY186" s="1312">
        <f t="shared" si="90"/>
        <v>0</v>
      </c>
      <c r="AZ186" s="1312">
        <f>IF(AND(C186&gt;$F$71,'Instrumentos Financeiros'!C186&lt;'Instrumentos Financeiros'!$F$71+'Instrumentos Financeiros'!$F$11+1),PMT(((1+'Instrumentos Financeiros'!$J$43)^(1/12)-1),$F$11,-$I$71),0)</f>
        <v>0</v>
      </c>
      <c r="BA186" s="1312">
        <f t="shared" si="122"/>
        <v>0</v>
      </c>
      <c r="BB186" s="1312">
        <f>BC185*((1+'Instrumentos Financeiros'!$J$43)^(1/12)-1)</f>
        <v>0</v>
      </c>
      <c r="BC186" s="1312">
        <f t="shared" si="91"/>
        <v>0</v>
      </c>
      <c r="BD186" s="1312">
        <f>IF(AND(C186&gt;$F$72,'Instrumentos Financeiros'!C186&lt;'Instrumentos Financeiros'!$F$72+'Instrumentos Financeiros'!$F$11+1),PMT(((1+'Instrumentos Financeiros'!$J$43)^(1/12)-1),$F$11,-'Instrumentos Financeiros'!$G$7*$G$72),0)</f>
        <v>0</v>
      </c>
      <c r="BE186" s="1312">
        <f t="shared" si="123"/>
        <v>0</v>
      </c>
      <c r="BF186" s="1312">
        <f>BG185*((1+'Instrumentos Financeiros'!$J$43)^(1/12)-1)</f>
        <v>0</v>
      </c>
      <c r="BG186" s="1312">
        <f t="shared" si="92"/>
        <v>0</v>
      </c>
      <c r="BH186" s="1312">
        <f>IF(AND(C186&gt;$F$73,'Instrumentos Financeiros'!C186&lt;'Instrumentos Financeiros'!$F$73+'Instrumentos Financeiros'!$F$11+1),PMT(((1+'Instrumentos Financeiros'!$J$43)^(1/12)-1),$F$11,-$I$73),0)</f>
        <v>0</v>
      </c>
      <c r="BI186" s="1312">
        <f t="shared" si="124"/>
        <v>0</v>
      </c>
      <c r="BJ186" s="1312">
        <f>BK185*((1+'Instrumentos Financeiros'!$J$43)^(1/12)-1)</f>
        <v>0</v>
      </c>
      <c r="BK186" s="1312">
        <f t="shared" si="93"/>
        <v>0</v>
      </c>
      <c r="BL186" s="1312">
        <f>IF(AND(C186&gt;$F$77,'Instrumentos Financeiros'!C186&lt;'Instrumentos Financeiros'!$F$77+'Instrumentos Financeiros'!$F$12+1),PMT(((1+'Instrumentos Financeiros'!$K$43)^(1/12)-1),$F$12,-$I$77),0)</f>
        <v>0</v>
      </c>
      <c r="BM186" s="1312">
        <f t="shared" si="94"/>
        <v>0</v>
      </c>
      <c r="BN186" s="1312">
        <f>BO185*((1+'Instrumentos Financeiros'!$K$43)^(1/12)-1)</f>
        <v>0</v>
      </c>
      <c r="BO186" s="1312">
        <f t="shared" si="95"/>
        <v>0</v>
      </c>
      <c r="BP186" s="1312">
        <f>IF(AND(C186&gt;$F$78,'Instrumentos Financeiros'!C186&lt;'Instrumentos Financeiros'!$F$78+'Instrumentos Financeiros'!$F$12+1),PMT(((1+'Instrumentos Financeiros'!$L$43)^(1/12)-1),$F$12,-$I$78),0)</f>
        <v>0</v>
      </c>
      <c r="BQ186" s="1312">
        <f t="shared" si="96"/>
        <v>0</v>
      </c>
      <c r="BR186" s="1312">
        <f>BS185*((1+'Instrumentos Financeiros'!$L$43)^(1/12)-1)</f>
        <v>0</v>
      </c>
      <c r="BS186" s="1312">
        <f t="shared" si="97"/>
        <v>0</v>
      </c>
      <c r="BT186" s="1312">
        <f>IF(AND(C186&gt;$F$79,'Instrumentos Financeiros'!C186&lt;'Instrumentos Financeiros'!$F$79+'Instrumentos Financeiros'!$F$12+1),PMT(((1+'Instrumentos Financeiros'!$L$43)^(1/12)-1),$F$12,-$I$79),0)</f>
        <v>0</v>
      </c>
      <c r="BU186" s="1312">
        <f t="shared" si="98"/>
        <v>0</v>
      </c>
      <c r="BV186" s="1312">
        <f>BW185*((1+'Instrumentos Financeiros'!$L$43)^(1/12)-1)</f>
        <v>0</v>
      </c>
      <c r="BW186" s="1312">
        <f t="shared" si="99"/>
        <v>0</v>
      </c>
      <c r="BX186" s="1312">
        <f>IF(AND(C186&gt;$F$80,'Instrumentos Financeiros'!C186&lt;'Instrumentos Financeiros'!$F$80+'Instrumentos Financeiros'!$F$12+1),PMT(((1+'Instrumentos Financeiros'!$L$43)^(1/12)-1),$F$12,-$I$80),0)</f>
        <v>0</v>
      </c>
      <c r="BY186" s="1312">
        <f t="shared" si="100"/>
        <v>0</v>
      </c>
      <c r="BZ186" s="1312">
        <f>CA185*((1+'Instrumentos Financeiros'!$L$43)^(1/12)-1)</f>
        <v>0</v>
      </c>
      <c r="CA186" s="1312">
        <f t="shared" si="101"/>
        <v>0</v>
      </c>
      <c r="CB186" s="1312">
        <f>IF(AND(C186&gt;$F$83,'Instrumentos Financeiros'!C186&lt;'Instrumentos Financeiros'!$F$83+'Instrumentos Financeiros'!$F$13+1),PMT(((1+'Instrumentos Financeiros'!$P$43)^(1/12)-1),$F$13,-$I$83),0)</f>
        <v>0</v>
      </c>
      <c r="CC186" s="1312">
        <f t="shared" si="102"/>
        <v>0</v>
      </c>
      <c r="CD186" s="1312">
        <f>CE185*((1+'Instrumentos Financeiros'!$P$43)^(1/12)-1)</f>
        <v>0</v>
      </c>
      <c r="CE186" s="1312">
        <f t="shared" si="103"/>
        <v>0</v>
      </c>
      <c r="CF186" s="1312">
        <f>IF(AND(C186&gt;$F$84,'Instrumentos Financeiros'!C186&lt;'Instrumentos Financeiros'!$F$84+'Instrumentos Financeiros'!$F$13+1),PMT(((1+'Instrumentos Financeiros'!$Q$43)^(1/12)-1),$F$13,-$I$84),0)</f>
        <v>0</v>
      </c>
      <c r="CG186" s="1312">
        <f t="shared" si="104"/>
        <v>0</v>
      </c>
      <c r="CH186" s="1312">
        <f>CI185*((1+'Instrumentos Financeiros'!$Q$43)^(1/12)-1)</f>
        <v>0</v>
      </c>
      <c r="CI186" s="1312">
        <f t="shared" si="105"/>
        <v>0</v>
      </c>
      <c r="CJ186" s="1312">
        <f>IF(AND(C186&gt;$F$85,'Instrumentos Financeiros'!C186&lt;'Instrumentos Financeiros'!$F$85+'Instrumentos Financeiros'!$F$13+1),PMT(((1+'Instrumentos Financeiros'!$Q$43)^(1/12)-1),$F$13,-$I$85),0)</f>
        <v>0</v>
      </c>
      <c r="CK186" s="1312">
        <f t="shared" si="106"/>
        <v>0</v>
      </c>
      <c r="CL186" s="1312">
        <f>CM185*((1+'Instrumentos Financeiros'!$Q$43)^(1/12)-1)</f>
        <v>0</v>
      </c>
      <c r="CM186" s="1312">
        <f t="shared" si="107"/>
        <v>0</v>
      </c>
      <c r="CN186" s="1312">
        <f>IF(AND(C186&gt;$F$86,'Instrumentos Financeiros'!C186&lt;'Instrumentos Financeiros'!$F$86+'Instrumentos Financeiros'!$F$13+1),PMT(((1+'Instrumentos Financeiros'!$Q$43)^(1/12)-1),$F$13,-$I$86),0)</f>
        <v>0</v>
      </c>
      <c r="CO186" s="1312">
        <f t="shared" si="108"/>
        <v>0</v>
      </c>
      <c r="CP186" s="1312">
        <f>CQ185*((1+'Instrumentos Financeiros'!$Q$43)^(1/12)-1)</f>
        <v>0</v>
      </c>
      <c r="CQ186" s="1312">
        <f t="shared" si="109"/>
        <v>0</v>
      </c>
      <c r="CR186" s="1312">
        <f t="shared" si="78"/>
        <v>321678.57270199712</v>
      </c>
      <c r="CS186" s="1312">
        <f t="shared" si="78"/>
        <v>157065.00308056129</v>
      </c>
      <c r="CT186" s="1312">
        <f t="shared" si="78"/>
        <v>164613.56962143583</v>
      </c>
      <c r="CU186" s="1312">
        <f t="shared" si="78"/>
        <v>48071050.861122862</v>
      </c>
    </row>
    <row r="187" spans="3:99" x14ac:dyDescent="0.35">
      <c r="C187" s="1315">
        <f t="shared" si="79"/>
        <v>94</v>
      </c>
      <c r="D187" s="1312">
        <f>IF(AND(C187&gt;$F$59,'Instrumentos Financeiros'!C187&lt;'Instrumentos Financeiros'!$F$59+'Instrumentos Financeiros'!$F$11+1),PMT(((1+'Instrumentos Financeiros'!$G$43)^(1/12)-1),$F$11,-$I$59),0)</f>
        <v>91768.589635900134</v>
      </c>
      <c r="E187" s="1312">
        <f t="shared" si="76"/>
        <v>49206.498920541606</v>
      </c>
      <c r="F187" s="1312">
        <f>G186*((1+'Instrumentos Financeiros'!$G$43)^(1/12)-1)</f>
        <v>42562.090715358529</v>
      </c>
      <c r="G187" s="1312">
        <f t="shared" si="110"/>
        <v>10378076.744356047</v>
      </c>
      <c r="H187" s="1312">
        <f>IF(AND(C187&gt;$F$60,'Instrumentos Financeiros'!C187&lt;'Instrumentos Financeiros'!$F$60+'Instrumentos Financeiros'!$F$11+1),PMT(((1+'Instrumentos Financeiros'!$G$43)^(1/12)-1),$F$11,-$I$60),0)</f>
        <v>0</v>
      </c>
      <c r="I187" s="1312">
        <f t="shared" si="111"/>
        <v>0</v>
      </c>
      <c r="J187" s="1312">
        <f>K186*((1+'Instrumentos Financeiros'!$G$43)^(1/12)-1)</f>
        <v>0</v>
      </c>
      <c r="K187" s="1312">
        <f t="shared" si="80"/>
        <v>0</v>
      </c>
      <c r="L187" s="1312">
        <f>IF(AND(C187&gt;$F$61,'Instrumentos Financeiros'!C187&lt;'Instrumentos Financeiros'!$F$61+'Instrumentos Financeiros'!$F$11+1),PMT(((1+'Instrumentos Financeiros'!$G$43)^(1/12)-1),$F$11,-$I$61),0)</f>
        <v>0</v>
      </c>
      <c r="M187" s="1312">
        <f t="shared" si="112"/>
        <v>0</v>
      </c>
      <c r="N187" s="1312">
        <f>O186*((1+'Instrumentos Financeiros'!$G$43)^(1/12)-1)</f>
        <v>0</v>
      </c>
      <c r="O187" s="1312">
        <f t="shared" si="81"/>
        <v>0</v>
      </c>
      <c r="P187" s="1312">
        <f>IF(AND(C187&gt;$F$62,'Instrumentos Financeiros'!C187&lt;'Instrumentos Financeiros'!$F$62+'Instrumentos Financeiros'!$F$11+1),PMT(((1+'Instrumentos Financeiros'!$H$43)^(1/12)-1),$F$11,-$I$62),0)</f>
        <v>0</v>
      </c>
      <c r="Q187" s="1312">
        <f t="shared" si="113"/>
        <v>0</v>
      </c>
      <c r="R187" s="1312">
        <f>S186*((1+'Instrumentos Financeiros'!$H$43)^(1/12)-1)</f>
        <v>0</v>
      </c>
      <c r="S187" s="1312">
        <f t="shared" si="82"/>
        <v>0</v>
      </c>
      <c r="T187" s="1312">
        <f>IF(AND(C187&gt;$F$63,'Instrumentos Financeiros'!C187&lt;'Instrumentos Financeiros'!$F$63+'Instrumentos Financeiros'!$F$11+1),PMT(((1+'Instrumentos Financeiros'!$H$43)^(1/12)-1),$F$11,-$I$63),0)</f>
        <v>0</v>
      </c>
      <c r="U187" s="1312">
        <f t="shared" si="114"/>
        <v>0</v>
      </c>
      <c r="V187" s="1312">
        <f>W186*((1+'Instrumentos Financeiros'!$H$43)^(1/12)-1)</f>
        <v>0</v>
      </c>
      <c r="W187" s="1312">
        <f t="shared" si="83"/>
        <v>0</v>
      </c>
      <c r="X187" s="1312">
        <f>IF(AND(C187&gt;$F$64,'Instrumentos Financeiros'!C187&lt;'Instrumentos Financeiros'!$F$64+'Instrumentos Financeiros'!$F$11+1),PMT(((1+'Instrumentos Financeiros'!$H$43)^(1/12)-1),$F$11,-$I$64),0)</f>
        <v>0</v>
      </c>
      <c r="Y187" s="1312">
        <f t="shared" si="115"/>
        <v>0</v>
      </c>
      <c r="Z187" s="1312">
        <f>AA186*((1+'Instrumentos Financeiros'!$H$43)^(1/12)-1)</f>
        <v>0</v>
      </c>
      <c r="AA187" s="1312">
        <f t="shared" si="84"/>
        <v>0</v>
      </c>
      <c r="AB187" s="1312">
        <f>IF(AND(C187&gt;$F$65,'Instrumentos Financeiros'!C187&lt;'Instrumentos Financeiros'!$F$65+'Instrumentos Financeiros'!$F$11+1),PMT(((1+'Instrumentos Financeiros'!$H$43)^(1/12)-1),$F$11,-$I$65),0)</f>
        <v>76636.661022032335</v>
      </c>
      <c r="AC187" s="1312">
        <f t="shared" si="116"/>
        <v>36644.513782063426</v>
      </c>
      <c r="AD187" s="1312">
        <f>AE186*((1+'Instrumentos Financeiros'!$H$43)^(1/12)-1)</f>
        <v>39992.147239968908</v>
      </c>
      <c r="AE187" s="1312">
        <f t="shared" si="85"/>
        <v>9212210.1005571447</v>
      </c>
      <c r="AF187" s="1312">
        <f>IF(AND(C187&gt;$F$66,'Instrumentos Financeiros'!C187&lt;'Instrumentos Financeiros'!$F$66+'Instrumentos Financeiros'!$F$11+1),PMT(((1+'Instrumentos Financeiros'!$I$43)^(1/12)-1),$F$11,-$I$66),0)</f>
        <v>76636.661022032335</v>
      </c>
      <c r="AG187" s="1312">
        <f t="shared" si="117"/>
        <v>36173.241397356505</v>
      </c>
      <c r="AH187" s="1312">
        <f>AI186*((1+'Instrumentos Financeiros'!$I$43)^(1/12)-1)</f>
        <v>40463.419624675829</v>
      </c>
      <c r="AI187" s="1312">
        <f t="shared" si="86"/>
        <v>9321671.0139269456</v>
      </c>
      <c r="AJ187" s="1312">
        <f>IF(AND(C187&gt;$F$67,'Instrumentos Financeiros'!C187&lt;'Instrumentos Financeiros'!$F$67+'Instrumentos Financeiros'!$F$11+1),PMT(((1+'Instrumentos Financeiros'!$I$43)^(1/12)-1),$F$11,-$I$67),0)</f>
        <v>76636.661022032335</v>
      </c>
      <c r="AK187" s="1312">
        <f t="shared" si="118"/>
        <v>35708.029883368421</v>
      </c>
      <c r="AL187" s="1312">
        <f>AM186*((1+'Instrumentos Financeiros'!$I$43)^(1/12)-1)</f>
        <v>40928.631138663914</v>
      </c>
      <c r="AM187" s="1312">
        <f t="shared" si="87"/>
        <v>9429724.1884471383</v>
      </c>
      <c r="AN187" s="1312">
        <f>IF(AND(C187&gt;$F$68,'Instrumentos Financeiros'!C187&lt;'Instrumentos Financeiros'!$F$68+'Instrumentos Financeiros'!$F$11+1),PMT(((1+'Instrumentos Financeiros'!$I$43)^(1/12)-1),$F$11,-$I$68),0)</f>
        <v>76636.661022032335</v>
      </c>
      <c r="AO187" s="1312">
        <f t="shared" si="119"/>
        <v>35248.801293342542</v>
      </c>
      <c r="AP187" s="1312">
        <f>AQ186*((1+'Instrumentos Financeiros'!$I$43)^(1/12)-1)</f>
        <v>41387.859728689793</v>
      </c>
      <c r="AQ187" s="1312">
        <f t="shared" si="88"/>
        <v>9536387.7285589129</v>
      </c>
      <c r="AR187" s="1312">
        <f>IF(AND(C187&gt;$F$69,'Instrumentos Financeiros'!C187&lt;'Instrumentos Financeiros'!$F$69+'Instrumentos Financeiros'!$F$11+1),PMT(((1+'Instrumentos Financeiros'!$I$43)^(1/12)-1),$F$11,-$I$69),0)</f>
        <v>0</v>
      </c>
      <c r="AS187" s="1312">
        <f t="shared" si="120"/>
        <v>0</v>
      </c>
      <c r="AT187" s="1312">
        <f>AU186*((1+'Instrumentos Financeiros'!$I$43)^(1/12)-1)</f>
        <v>0</v>
      </c>
      <c r="AU187" s="1312">
        <f t="shared" si="89"/>
        <v>0</v>
      </c>
      <c r="AV187" s="1312">
        <f>IF(AND(C187&gt;$F$70,'Instrumentos Financeiros'!C187&lt;'Instrumentos Financeiros'!$F$70+'Instrumentos Financeiros'!$F$11+1),PMT(((1+'Instrumentos Financeiros'!$J$43)^(1/12)-1),$F$11,-$I$70),0)</f>
        <v>0</v>
      </c>
      <c r="AW187" s="1312">
        <f t="shared" si="121"/>
        <v>0</v>
      </c>
      <c r="AX187" s="1312">
        <f>AY186*((1+'Instrumentos Financeiros'!$J$43)^(1/12)-1)</f>
        <v>0</v>
      </c>
      <c r="AY187" s="1312">
        <f t="shared" si="90"/>
        <v>0</v>
      </c>
      <c r="AZ187" s="1312">
        <f>IF(AND(C187&gt;$F$71,'Instrumentos Financeiros'!C187&lt;'Instrumentos Financeiros'!$F$71+'Instrumentos Financeiros'!$F$11+1),PMT(((1+'Instrumentos Financeiros'!$J$43)^(1/12)-1),$F$11,-$I$71),0)</f>
        <v>0</v>
      </c>
      <c r="BA187" s="1312">
        <f t="shared" si="122"/>
        <v>0</v>
      </c>
      <c r="BB187" s="1312">
        <f>BC186*((1+'Instrumentos Financeiros'!$J$43)^(1/12)-1)</f>
        <v>0</v>
      </c>
      <c r="BC187" s="1312">
        <f t="shared" si="91"/>
        <v>0</v>
      </c>
      <c r="BD187" s="1312">
        <f>IF(AND(C187&gt;$F$72,'Instrumentos Financeiros'!C187&lt;'Instrumentos Financeiros'!$F$72+'Instrumentos Financeiros'!$F$11+1),PMT(((1+'Instrumentos Financeiros'!$J$43)^(1/12)-1),$F$11,-'Instrumentos Financeiros'!$G$7*$G$72),0)</f>
        <v>0</v>
      </c>
      <c r="BE187" s="1312">
        <f t="shared" si="123"/>
        <v>0</v>
      </c>
      <c r="BF187" s="1312">
        <f>BG186*((1+'Instrumentos Financeiros'!$J$43)^(1/12)-1)</f>
        <v>0</v>
      </c>
      <c r="BG187" s="1312">
        <f t="shared" si="92"/>
        <v>0</v>
      </c>
      <c r="BH187" s="1312">
        <f>IF(AND(C187&gt;$F$73,'Instrumentos Financeiros'!C187&lt;'Instrumentos Financeiros'!$F$73+'Instrumentos Financeiros'!$F$11+1),PMT(((1+'Instrumentos Financeiros'!$J$43)^(1/12)-1),$F$11,-$I$73),0)</f>
        <v>0</v>
      </c>
      <c r="BI187" s="1312">
        <f t="shared" si="124"/>
        <v>0</v>
      </c>
      <c r="BJ187" s="1312">
        <f>BK186*((1+'Instrumentos Financeiros'!$J$43)^(1/12)-1)</f>
        <v>0</v>
      </c>
      <c r="BK187" s="1312">
        <f t="shared" si="93"/>
        <v>0</v>
      </c>
      <c r="BL187" s="1312">
        <f>IF(AND(C187&gt;$F$77,'Instrumentos Financeiros'!C187&lt;'Instrumentos Financeiros'!$F$77+'Instrumentos Financeiros'!$F$12+1),PMT(((1+'Instrumentos Financeiros'!$K$43)^(1/12)-1),$F$12,-$I$77),0)</f>
        <v>0</v>
      </c>
      <c r="BM187" s="1312">
        <f t="shared" si="94"/>
        <v>0</v>
      </c>
      <c r="BN187" s="1312">
        <f>BO186*((1+'Instrumentos Financeiros'!$K$43)^(1/12)-1)</f>
        <v>0</v>
      </c>
      <c r="BO187" s="1312">
        <f t="shared" si="95"/>
        <v>0</v>
      </c>
      <c r="BP187" s="1312">
        <f>IF(AND(C187&gt;$F$78,'Instrumentos Financeiros'!C187&lt;'Instrumentos Financeiros'!$F$78+'Instrumentos Financeiros'!$F$12+1),PMT(((1+'Instrumentos Financeiros'!$L$43)^(1/12)-1),$F$12,-$I$78),0)</f>
        <v>0</v>
      </c>
      <c r="BQ187" s="1312">
        <f t="shared" si="96"/>
        <v>0</v>
      </c>
      <c r="BR187" s="1312">
        <f>BS186*((1+'Instrumentos Financeiros'!$L$43)^(1/12)-1)</f>
        <v>0</v>
      </c>
      <c r="BS187" s="1312">
        <f t="shared" si="97"/>
        <v>0</v>
      </c>
      <c r="BT187" s="1312">
        <f>IF(AND(C187&gt;$F$79,'Instrumentos Financeiros'!C187&lt;'Instrumentos Financeiros'!$F$79+'Instrumentos Financeiros'!$F$12+1),PMT(((1+'Instrumentos Financeiros'!$L$43)^(1/12)-1),$F$12,-$I$79),0)</f>
        <v>0</v>
      </c>
      <c r="BU187" s="1312">
        <f t="shared" si="98"/>
        <v>0</v>
      </c>
      <c r="BV187" s="1312">
        <f>BW186*((1+'Instrumentos Financeiros'!$L$43)^(1/12)-1)</f>
        <v>0</v>
      </c>
      <c r="BW187" s="1312">
        <f t="shared" si="99"/>
        <v>0</v>
      </c>
      <c r="BX187" s="1312">
        <f>IF(AND(C187&gt;$F$80,'Instrumentos Financeiros'!C187&lt;'Instrumentos Financeiros'!$F$80+'Instrumentos Financeiros'!$F$12+1),PMT(((1+'Instrumentos Financeiros'!$L$43)^(1/12)-1),$F$12,-$I$80),0)</f>
        <v>0</v>
      </c>
      <c r="BY187" s="1312">
        <f t="shared" si="100"/>
        <v>0</v>
      </c>
      <c r="BZ187" s="1312">
        <f>CA186*((1+'Instrumentos Financeiros'!$L$43)^(1/12)-1)</f>
        <v>0</v>
      </c>
      <c r="CA187" s="1312">
        <f t="shared" si="101"/>
        <v>0</v>
      </c>
      <c r="CB187" s="1312">
        <f>IF(AND(C187&gt;$F$83,'Instrumentos Financeiros'!C187&lt;'Instrumentos Financeiros'!$F$83+'Instrumentos Financeiros'!$F$13+1),PMT(((1+'Instrumentos Financeiros'!$P$43)^(1/12)-1),$F$13,-$I$83),0)</f>
        <v>0</v>
      </c>
      <c r="CC187" s="1312">
        <f t="shared" si="102"/>
        <v>0</v>
      </c>
      <c r="CD187" s="1312">
        <f>CE186*((1+'Instrumentos Financeiros'!$P$43)^(1/12)-1)</f>
        <v>0</v>
      </c>
      <c r="CE187" s="1312">
        <f t="shared" si="103"/>
        <v>0</v>
      </c>
      <c r="CF187" s="1312">
        <f>IF(AND(C187&gt;$F$84,'Instrumentos Financeiros'!C187&lt;'Instrumentos Financeiros'!$F$84+'Instrumentos Financeiros'!$F$13+1),PMT(((1+'Instrumentos Financeiros'!$Q$43)^(1/12)-1),$F$13,-$I$84),0)</f>
        <v>0</v>
      </c>
      <c r="CG187" s="1312">
        <f t="shared" si="104"/>
        <v>0</v>
      </c>
      <c r="CH187" s="1312">
        <f>CI186*((1+'Instrumentos Financeiros'!$Q$43)^(1/12)-1)</f>
        <v>0</v>
      </c>
      <c r="CI187" s="1312">
        <f t="shared" si="105"/>
        <v>0</v>
      </c>
      <c r="CJ187" s="1312">
        <f>IF(AND(C187&gt;$F$85,'Instrumentos Financeiros'!C187&lt;'Instrumentos Financeiros'!$F$85+'Instrumentos Financeiros'!$F$13+1),PMT(((1+'Instrumentos Financeiros'!$Q$43)^(1/12)-1),$F$13,-$I$85),0)</f>
        <v>0</v>
      </c>
      <c r="CK187" s="1312">
        <f t="shared" si="106"/>
        <v>0</v>
      </c>
      <c r="CL187" s="1312">
        <f>CM186*((1+'Instrumentos Financeiros'!$Q$43)^(1/12)-1)</f>
        <v>0</v>
      </c>
      <c r="CM187" s="1312">
        <f t="shared" si="107"/>
        <v>0</v>
      </c>
      <c r="CN187" s="1312">
        <f>IF(AND(C187&gt;$F$86,'Instrumentos Financeiros'!C187&lt;'Instrumentos Financeiros'!$F$86+'Instrumentos Financeiros'!$F$13+1),PMT(((1+'Instrumentos Financeiros'!$Q$43)^(1/12)-1),$F$13,-$I$86),0)</f>
        <v>0</v>
      </c>
      <c r="CO187" s="1312">
        <f t="shared" si="108"/>
        <v>0</v>
      </c>
      <c r="CP187" s="1312">
        <f>CQ186*((1+'Instrumentos Financeiros'!$Q$43)^(1/12)-1)</f>
        <v>0</v>
      </c>
      <c r="CQ187" s="1312">
        <f t="shared" si="109"/>
        <v>0</v>
      </c>
      <c r="CR187" s="1312">
        <f t="shared" si="78"/>
        <v>398315.23372402944</v>
      </c>
      <c r="CS187" s="1312">
        <f t="shared" si="78"/>
        <v>192981.0852766725</v>
      </c>
      <c r="CT187" s="1312">
        <f t="shared" si="78"/>
        <v>205334.14844735697</v>
      </c>
      <c r="CU187" s="1312">
        <f t="shared" si="78"/>
        <v>47878069.775846191</v>
      </c>
    </row>
    <row r="188" spans="3:99" x14ac:dyDescent="0.35">
      <c r="C188" s="1315">
        <f t="shared" si="79"/>
        <v>95</v>
      </c>
      <c r="D188" s="1312">
        <f>IF(AND(C188&gt;$F$59,'Instrumentos Financeiros'!C188&lt;'Instrumentos Financeiros'!$F$59+'Instrumentos Financeiros'!$F$11+1),PMT(((1+'Instrumentos Financeiros'!$G$43)^(1/12)-1),$F$11,-$I$59),0)</f>
        <v>91768.589635900134</v>
      </c>
      <c r="E188" s="1312">
        <f t="shared" si="76"/>
        <v>49407.350036021911</v>
      </c>
      <c r="F188" s="1312">
        <f>G187*((1+'Instrumentos Financeiros'!$G$43)^(1/12)-1)</f>
        <v>42361.239599878223</v>
      </c>
      <c r="G188" s="1312">
        <f t="shared" si="110"/>
        <v>10328669.394320026</v>
      </c>
      <c r="H188" s="1312">
        <f>IF(AND(C188&gt;$F$60,'Instrumentos Financeiros'!C188&lt;'Instrumentos Financeiros'!$F$60+'Instrumentos Financeiros'!$F$11+1),PMT(((1+'Instrumentos Financeiros'!$G$43)^(1/12)-1),$F$11,-$I$60),0)</f>
        <v>0</v>
      </c>
      <c r="I188" s="1312">
        <f t="shared" si="111"/>
        <v>0</v>
      </c>
      <c r="J188" s="1312">
        <f>K187*((1+'Instrumentos Financeiros'!$G$43)^(1/12)-1)</f>
        <v>0</v>
      </c>
      <c r="K188" s="1312">
        <f t="shared" si="80"/>
        <v>0</v>
      </c>
      <c r="L188" s="1312">
        <f>IF(AND(C188&gt;$F$61,'Instrumentos Financeiros'!C188&lt;'Instrumentos Financeiros'!$F$61+'Instrumentos Financeiros'!$F$11+1),PMT(((1+'Instrumentos Financeiros'!$G$43)^(1/12)-1),$F$11,-$I$61),0)</f>
        <v>0</v>
      </c>
      <c r="M188" s="1312">
        <f t="shared" si="112"/>
        <v>0</v>
      </c>
      <c r="N188" s="1312">
        <f>O187*((1+'Instrumentos Financeiros'!$G$43)^(1/12)-1)</f>
        <v>0</v>
      </c>
      <c r="O188" s="1312">
        <f t="shared" si="81"/>
        <v>0</v>
      </c>
      <c r="P188" s="1312">
        <f>IF(AND(C188&gt;$F$62,'Instrumentos Financeiros'!C188&lt;'Instrumentos Financeiros'!$F$62+'Instrumentos Financeiros'!$F$11+1),PMT(((1+'Instrumentos Financeiros'!$H$43)^(1/12)-1),$F$11,-$I$62),0)</f>
        <v>0</v>
      </c>
      <c r="Q188" s="1312">
        <f t="shared" si="113"/>
        <v>0</v>
      </c>
      <c r="R188" s="1312">
        <f>S187*((1+'Instrumentos Financeiros'!$H$43)^(1/12)-1)</f>
        <v>0</v>
      </c>
      <c r="S188" s="1312">
        <f t="shared" si="82"/>
        <v>0</v>
      </c>
      <c r="T188" s="1312">
        <f>IF(AND(C188&gt;$F$63,'Instrumentos Financeiros'!C188&lt;'Instrumentos Financeiros'!$F$63+'Instrumentos Financeiros'!$F$11+1),PMT(((1+'Instrumentos Financeiros'!$H$43)^(1/12)-1),$F$11,-$I$63),0)</f>
        <v>0</v>
      </c>
      <c r="U188" s="1312">
        <f t="shared" si="114"/>
        <v>0</v>
      </c>
      <c r="V188" s="1312">
        <f>W187*((1+'Instrumentos Financeiros'!$H$43)^(1/12)-1)</f>
        <v>0</v>
      </c>
      <c r="W188" s="1312">
        <f t="shared" si="83"/>
        <v>0</v>
      </c>
      <c r="X188" s="1312">
        <f>IF(AND(C188&gt;$F$64,'Instrumentos Financeiros'!C188&lt;'Instrumentos Financeiros'!$F$64+'Instrumentos Financeiros'!$F$11+1),PMT(((1+'Instrumentos Financeiros'!$H$43)^(1/12)-1),$F$11,-$I$64),0)</f>
        <v>0</v>
      </c>
      <c r="Y188" s="1312">
        <f t="shared" si="115"/>
        <v>0</v>
      </c>
      <c r="Z188" s="1312">
        <f>AA187*((1+'Instrumentos Financeiros'!$H$43)^(1/12)-1)</f>
        <v>0</v>
      </c>
      <c r="AA188" s="1312">
        <f t="shared" si="84"/>
        <v>0</v>
      </c>
      <c r="AB188" s="1312">
        <f>IF(AND(C188&gt;$F$65,'Instrumentos Financeiros'!C188&lt;'Instrumentos Financeiros'!$F$65+'Instrumentos Financeiros'!$F$11+1),PMT(((1+'Instrumentos Financeiros'!$H$43)^(1/12)-1),$F$11,-$I$65),0)</f>
        <v>76636.661022032335</v>
      </c>
      <c r="AC188" s="1312">
        <f t="shared" si="116"/>
        <v>36802.965055417568</v>
      </c>
      <c r="AD188" s="1312">
        <f>AE187*((1+'Instrumentos Financeiros'!$H$43)^(1/12)-1)</f>
        <v>39833.695966614767</v>
      </c>
      <c r="AE188" s="1312">
        <f t="shared" si="85"/>
        <v>9175407.1355017275</v>
      </c>
      <c r="AF188" s="1312">
        <f>IF(AND(C188&gt;$F$66,'Instrumentos Financeiros'!C188&lt;'Instrumentos Financeiros'!$F$66+'Instrumentos Financeiros'!$F$11+1),PMT(((1+'Instrumentos Financeiros'!$I$43)^(1/12)-1),$F$11,-$I$66),0)</f>
        <v>76636.661022032335</v>
      </c>
      <c r="AG188" s="1312">
        <f t="shared" si="117"/>
        <v>36329.654883829433</v>
      </c>
      <c r="AH188" s="1312">
        <f>AI187*((1+'Instrumentos Financeiros'!$I$43)^(1/12)-1)</f>
        <v>40307.006138202902</v>
      </c>
      <c r="AI188" s="1312">
        <f t="shared" si="86"/>
        <v>9285341.3590431157</v>
      </c>
      <c r="AJ188" s="1312">
        <f>IF(AND(C188&gt;$F$67,'Instrumentos Financeiros'!C188&lt;'Instrumentos Financeiros'!$F$67+'Instrumentos Financeiros'!$F$11+1),PMT(((1+'Instrumentos Financeiros'!$I$43)^(1/12)-1),$F$11,-$I$67),0)</f>
        <v>76636.661022032335</v>
      </c>
      <c r="AK188" s="1312">
        <f t="shared" si="118"/>
        <v>35862.431790230585</v>
      </c>
      <c r="AL188" s="1312">
        <f>AM187*((1+'Instrumentos Financeiros'!$I$43)^(1/12)-1)</f>
        <v>40774.22923180175</v>
      </c>
      <c r="AM188" s="1312">
        <f t="shared" si="87"/>
        <v>9393861.7566569075</v>
      </c>
      <c r="AN188" s="1312">
        <f>IF(AND(C188&gt;$F$68,'Instrumentos Financeiros'!C188&lt;'Instrumentos Financeiros'!$F$68+'Instrumentos Financeiros'!$F$11+1),PMT(((1+'Instrumentos Financeiros'!$I$43)^(1/12)-1),$F$11,-$I$68),0)</f>
        <v>76636.661022032335</v>
      </c>
      <c r="AO188" s="1312">
        <f t="shared" si="119"/>
        <v>35401.217490821771</v>
      </c>
      <c r="AP188" s="1312">
        <f>AQ187*((1+'Instrumentos Financeiros'!$I$43)^(1/12)-1)</f>
        <v>41235.443531210563</v>
      </c>
      <c r="AQ188" s="1312">
        <f t="shared" si="88"/>
        <v>9500986.5110680908</v>
      </c>
      <c r="AR188" s="1312">
        <f>IF(AND(C188&gt;$F$69,'Instrumentos Financeiros'!C188&lt;'Instrumentos Financeiros'!$F$69+'Instrumentos Financeiros'!$F$11+1),PMT(((1+'Instrumentos Financeiros'!$I$43)^(1/12)-1),$F$11,-$I$69),0)</f>
        <v>0</v>
      </c>
      <c r="AS188" s="1312">
        <f t="shared" si="120"/>
        <v>0</v>
      </c>
      <c r="AT188" s="1312">
        <f>AU187*((1+'Instrumentos Financeiros'!$I$43)^(1/12)-1)</f>
        <v>0</v>
      </c>
      <c r="AU188" s="1312">
        <f t="shared" si="89"/>
        <v>0</v>
      </c>
      <c r="AV188" s="1312">
        <f>IF(AND(C188&gt;$F$70,'Instrumentos Financeiros'!C188&lt;'Instrumentos Financeiros'!$F$70+'Instrumentos Financeiros'!$F$11+1),PMT(((1+'Instrumentos Financeiros'!$J$43)^(1/12)-1),$F$11,-$I$70),0)</f>
        <v>0</v>
      </c>
      <c r="AW188" s="1312">
        <f t="shared" si="121"/>
        <v>0</v>
      </c>
      <c r="AX188" s="1312">
        <f>AY187*((1+'Instrumentos Financeiros'!$J$43)^(1/12)-1)</f>
        <v>0</v>
      </c>
      <c r="AY188" s="1312">
        <f t="shared" si="90"/>
        <v>0</v>
      </c>
      <c r="AZ188" s="1312">
        <f>IF(AND(C188&gt;$F$71,'Instrumentos Financeiros'!C188&lt;'Instrumentos Financeiros'!$F$71+'Instrumentos Financeiros'!$F$11+1),PMT(((1+'Instrumentos Financeiros'!$J$43)^(1/12)-1),$F$11,-$I$71),0)</f>
        <v>0</v>
      </c>
      <c r="BA188" s="1312">
        <f t="shared" si="122"/>
        <v>0</v>
      </c>
      <c r="BB188" s="1312">
        <f>BC187*((1+'Instrumentos Financeiros'!$J$43)^(1/12)-1)</f>
        <v>0</v>
      </c>
      <c r="BC188" s="1312">
        <f t="shared" si="91"/>
        <v>0</v>
      </c>
      <c r="BD188" s="1312">
        <f>IF(AND(C188&gt;$F$72,'Instrumentos Financeiros'!C188&lt;'Instrumentos Financeiros'!$F$72+'Instrumentos Financeiros'!$F$11+1),PMT(((1+'Instrumentos Financeiros'!$J$43)^(1/12)-1),$F$11,-'Instrumentos Financeiros'!$G$7*$G$72),0)</f>
        <v>0</v>
      </c>
      <c r="BE188" s="1312">
        <f t="shared" si="123"/>
        <v>0</v>
      </c>
      <c r="BF188" s="1312">
        <f>BG187*((1+'Instrumentos Financeiros'!$J$43)^(1/12)-1)</f>
        <v>0</v>
      </c>
      <c r="BG188" s="1312">
        <f t="shared" si="92"/>
        <v>0</v>
      </c>
      <c r="BH188" s="1312">
        <f>IF(AND(C188&gt;$F$73,'Instrumentos Financeiros'!C188&lt;'Instrumentos Financeiros'!$F$73+'Instrumentos Financeiros'!$F$11+1),PMT(((1+'Instrumentos Financeiros'!$J$43)^(1/12)-1),$F$11,-$I$73),0)</f>
        <v>0</v>
      </c>
      <c r="BI188" s="1312">
        <f t="shared" si="124"/>
        <v>0</v>
      </c>
      <c r="BJ188" s="1312">
        <f>BK187*((1+'Instrumentos Financeiros'!$J$43)^(1/12)-1)</f>
        <v>0</v>
      </c>
      <c r="BK188" s="1312">
        <f t="shared" si="93"/>
        <v>0</v>
      </c>
      <c r="BL188" s="1312">
        <f>IF(AND(C188&gt;$F$77,'Instrumentos Financeiros'!C188&lt;'Instrumentos Financeiros'!$F$77+'Instrumentos Financeiros'!$F$12+1),PMT(((1+'Instrumentos Financeiros'!$K$43)^(1/12)-1),$F$12,-$I$77),0)</f>
        <v>0</v>
      </c>
      <c r="BM188" s="1312">
        <f t="shared" si="94"/>
        <v>0</v>
      </c>
      <c r="BN188" s="1312">
        <f>BO187*((1+'Instrumentos Financeiros'!$K$43)^(1/12)-1)</f>
        <v>0</v>
      </c>
      <c r="BO188" s="1312">
        <f t="shared" si="95"/>
        <v>0</v>
      </c>
      <c r="BP188" s="1312">
        <f>IF(AND(C188&gt;$F$78,'Instrumentos Financeiros'!C188&lt;'Instrumentos Financeiros'!$F$78+'Instrumentos Financeiros'!$F$12+1),PMT(((1+'Instrumentos Financeiros'!$L$43)^(1/12)-1),$F$12,-$I$78),0)</f>
        <v>0</v>
      </c>
      <c r="BQ188" s="1312">
        <f t="shared" si="96"/>
        <v>0</v>
      </c>
      <c r="BR188" s="1312">
        <f>BS187*((1+'Instrumentos Financeiros'!$L$43)^(1/12)-1)</f>
        <v>0</v>
      </c>
      <c r="BS188" s="1312">
        <f t="shared" si="97"/>
        <v>0</v>
      </c>
      <c r="BT188" s="1312">
        <f>IF(AND(C188&gt;$F$79,'Instrumentos Financeiros'!C188&lt;'Instrumentos Financeiros'!$F$79+'Instrumentos Financeiros'!$F$12+1),PMT(((1+'Instrumentos Financeiros'!$L$43)^(1/12)-1),$F$12,-$I$79),0)</f>
        <v>0</v>
      </c>
      <c r="BU188" s="1312">
        <f t="shared" si="98"/>
        <v>0</v>
      </c>
      <c r="BV188" s="1312">
        <f>BW187*((1+'Instrumentos Financeiros'!$L$43)^(1/12)-1)</f>
        <v>0</v>
      </c>
      <c r="BW188" s="1312">
        <f t="shared" si="99"/>
        <v>0</v>
      </c>
      <c r="BX188" s="1312">
        <f>IF(AND(C188&gt;$F$80,'Instrumentos Financeiros'!C188&lt;'Instrumentos Financeiros'!$F$80+'Instrumentos Financeiros'!$F$12+1),PMT(((1+'Instrumentos Financeiros'!$L$43)^(1/12)-1),$F$12,-$I$80),0)</f>
        <v>0</v>
      </c>
      <c r="BY188" s="1312">
        <f t="shared" si="100"/>
        <v>0</v>
      </c>
      <c r="BZ188" s="1312">
        <f>CA187*((1+'Instrumentos Financeiros'!$L$43)^(1/12)-1)</f>
        <v>0</v>
      </c>
      <c r="CA188" s="1312">
        <f t="shared" si="101"/>
        <v>0</v>
      </c>
      <c r="CB188" s="1312">
        <f>IF(AND(C188&gt;$F$83,'Instrumentos Financeiros'!C188&lt;'Instrumentos Financeiros'!$F$83+'Instrumentos Financeiros'!$F$13+1),PMT(((1+'Instrumentos Financeiros'!$P$43)^(1/12)-1),$F$13,-$I$83),0)</f>
        <v>0</v>
      </c>
      <c r="CC188" s="1312">
        <f t="shared" si="102"/>
        <v>0</v>
      </c>
      <c r="CD188" s="1312">
        <f>CE187*((1+'Instrumentos Financeiros'!$P$43)^(1/12)-1)</f>
        <v>0</v>
      </c>
      <c r="CE188" s="1312">
        <f t="shared" si="103"/>
        <v>0</v>
      </c>
      <c r="CF188" s="1312">
        <f>IF(AND(C188&gt;$F$84,'Instrumentos Financeiros'!C188&lt;'Instrumentos Financeiros'!$F$84+'Instrumentos Financeiros'!$F$13+1),PMT(((1+'Instrumentos Financeiros'!$Q$43)^(1/12)-1),$F$13,-$I$84),0)</f>
        <v>0</v>
      </c>
      <c r="CG188" s="1312">
        <f t="shared" si="104"/>
        <v>0</v>
      </c>
      <c r="CH188" s="1312">
        <f>CI187*((1+'Instrumentos Financeiros'!$Q$43)^(1/12)-1)</f>
        <v>0</v>
      </c>
      <c r="CI188" s="1312">
        <f t="shared" si="105"/>
        <v>0</v>
      </c>
      <c r="CJ188" s="1312">
        <f>IF(AND(C188&gt;$F$85,'Instrumentos Financeiros'!C188&lt;'Instrumentos Financeiros'!$F$85+'Instrumentos Financeiros'!$F$13+1),PMT(((1+'Instrumentos Financeiros'!$Q$43)^(1/12)-1),$F$13,-$I$85),0)</f>
        <v>0</v>
      </c>
      <c r="CK188" s="1312">
        <f t="shared" si="106"/>
        <v>0</v>
      </c>
      <c r="CL188" s="1312">
        <f>CM187*((1+'Instrumentos Financeiros'!$Q$43)^(1/12)-1)</f>
        <v>0</v>
      </c>
      <c r="CM188" s="1312">
        <f t="shared" si="107"/>
        <v>0</v>
      </c>
      <c r="CN188" s="1312">
        <f>IF(AND(C188&gt;$F$86,'Instrumentos Financeiros'!C188&lt;'Instrumentos Financeiros'!$F$86+'Instrumentos Financeiros'!$F$13+1),PMT(((1+'Instrumentos Financeiros'!$Q$43)^(1/12)-1),$F$13,-$I$86),0)</f>
        <v>0</v>
      </c>
      <c r="CO188" s="1312">
        <f t="shared" si="108"/>
        <v>0</v>
      </c>
      <c r="CP188" s="1312">
        <f>CQ187*((1+'Instrumentos Financeiros'!$Q$43)^(1/12)-1)</f>
        <v>0</v>
      </c>
      <c r="CQ188" s="1312">
        <f t="shared" si="109"/>
        <v>0</v>
      </c>
      <c r="CR188" s="1312">
        <f t="shared" si="78"/>
        <v>398315.23372402944</v>
      </c>
      <c r="CS188" s="1312">
        <f t="shared" si="78"/>
        <v>193803.61925632128</v>
      </c>
      <c r="CT188" s="1312">
        <f t="shared" si="78"/>
        <v>204511.61446770822</v>
      </c>
      <c r="CU188" s="1312">
        <f t="shared" si="78"/>
        <v>47684266.156589866</v>
      </c>
    </row>
    <row r="189" spans="3:99" x14ac:dyDescent="0.35">
      <c r="C189" s="1316">
        <f t="shared" si="79"/>
        <v>96</v>
      </c>
      <c r="D189" s="1313">
        <f>IF(AND(C189&gt;$F$59,'Instrumentos Financeiros'!C189&lt;'Instrumentos Financeiros'!$F$59+'Instrumentos Financeiros'!$F$11+1),PMT(((1+'Instrumentos Financeiros'!$G$43)^(1/12)-1),$F$11,-$I$59),0)</f>
        <v>91768.589635900134</v>
      </c>
      <c r="E189" s="1313">
        <f t="shared" si="76"/>
        <v>49609.020985700445</v>
      </c>
      <c r="F189" s="1313">
        <f>G188*((1+'Instrumentos Financeiros'!$G$43)^(1/12)-1)</f>
        <v>42159.56865019969</v>
      </c>
      <c r="G189" s="1313">
        <f t="shared" si="110"/>
        <v>10279060.373334326</v>
      </c>
      <c r="H189" s="1313">
        <f>IF(AND(C189&gt;$F$60,'Instrumentos Financeiros'!C189&lt;'Instrumentos Financeiros'!$F$60+'Instrumentos Financeiros'!$F$11+1),PMT(((1+'Instrumentos Financeiros'!$G$43)^(1/12)-1),$F$11,-$I$60),0)</f>
        <v>0</v>
      </c>
      <c r="I189" s="1313">
        <f t="shared" si="111"/>
        <v>0</v>
      </c>
      <c r="J189" s="1313">
        <f>K188*((1+'Instrumentos Financeiros'!$G$43)^(1/12)-1)</f>
        <v>0</v>
      </c>
      <c r="K189" s="1313">
        <f t="shared" si="80"/>
        <v>0</v>
      </c>
      <c r="L189" s="1313">
        <f>IF(AND(C189&gt;$F$61,'Instrumentos Financeiros'!C189&lt;'Instrumentos Financeiros'!$F$61+'Instrumentos Financeiros'!$F$11+1),PMT(((1+'Instrumentos Financeiros'!$G$43)^(1/12)-1),$F$11,-$I$61),0)</f>
        <v>0</v>
      </c>
      <c r="M189" s="1313">
        <f t="shared" si="112"/>
        <v>0</v>
      </c>
      <c r="N189" s="1313">
        <f>O188*((1+'Instrumentos Financeiros'!$G$43)^(1/12)-1)</f>
        <v>0</v>
      </c>
      <c r="O189" s="1313">
        <f t="shared" si="81"/>
        <v>0</v>
      </c>
      <c r="P189" s="1313">
        <f>IF(AND(C189&gt;$F$62,'Instrumentos Financeiros'!C189&lt;'Instrumentos Financeiros'!$F$62+'Instrumentos Financeiros'!$F$11+1),PMT(((1+'Instrumentos Financeiros'!$H$43)^(1/12)-1),$F$11,-$I$62),0)</f>
        <v>0</v>
      </c>
      <c r="Q189" s="1313">
        <f t="shared" si="113"/>
        <v>0</v>
      </c>
      <c r="R189" s="1313">
        <f>S188*((1+'Instrumentos Financeiros'!$H$43)^(1/12)-1)</f>
        <v>0</v>
      </c>
      <c r="S189" s="1313">
        <f t="shared" si="82"/>
        <v>0</v>
      </c>
      <c r="T189" s="1313">
        <f>IF(AND(C189&gt;$F$63,'Instrumentos Financeiros'!C189&lt;'Instrumentos Financeiros'!$F$63+'Instrumentos Financeiros'!$F$11+1),PMT(((1+'Instrumentos Financeiros'!$H$43)^(1/12)-1),$F$11,-$I$63),0)</f>
        <v>0</v>
      </c>
      <c r="U189" s="1313">
        <f t="shared" si="114"/>
        <v>0</v>
      </c>
      <c r="V189" s="1313">
        <f>W188*((1+'Instrumentos Financeiros'!$H$43)^(1/12)-1)</f>
        <v>0</v>
      </c>
      <c r="W189" s="1313">
        <f t="shared" si="83"/>
        <v>0</v>
      </c>
      <c r="X189" s="1313">
        <f>IF(AND(C189&gt;$F$64,'Instrumentos Financeiros'!C189&lt;'Instrumentos Financeiros'!$F$64+'Instrumentos Financeiros'!$F$11+1),PMT(((1+'Instrumentos Financeiros'!$H$43)^(1/12)-1),$F$11,-$I$64),0)</f>
        <v>0</v>
      </c>
      <c r="Y189" s="1313">
        <f t="shared" si="115"/>
        <v>0</v>
      </c>
      <c r="Z189" s="1313">
        <f>AA188*((1+'Instrumentos Financeiros'!$H$43)^(1/12)-1)</f>
        <v>0</v>
      </c>
      <c r="AA189" s="1313">
        <f t="shared" si="84"/>
        <v>0</v>
      </c>
      <c r="AB189" s="1313">
        <f>IF(AND(C189&gt;$F$65,'Instrumentos Financeiros'!C189&lt;'Instrumentos Financeiros'!$F$65+'Instrumentos Financeiros'!$F$11+1),PMT(((1+'Instrumentos Financeiros'!$H$43)^(1/12)-1),$F$11,-$I$65),0)</f>
        <v>76636.661022032335</v>
      </c>
      <c r="AC189" s="1313">
        <f t="shared" si="116"/>
        <v>36962.101473788964</v>
      </c>
      <c r="AD189" s="1313">
        <f>AE188*((1+'Instrumentos Financeiros'!$H$43)^(1/12)-1)</f>
        <v>39674.559548243371</v>
      </c>
      <c r="AE189" s="1313">
        <f t="shared" si="85"/>
        <v>9138445.0340279378</v>
      </c>
      <c r="AF189" s="1313">
        <f>IF(AND(C189&gt;$F$66,'Instrumentos Financeiros'!C189&lt;'Instrumentos Financeiros'!$F$66+'Instrumentos Financeiros'!$F$11+1),PMT(((1+'Instrumentos Financeiros'!$I$43)^(1/12)-1),$F$11,-$I$66),0)</f>
        <v>76636.661022032335</v>
      </c>
      <c r="AG189" s="1313">
        <f t="shared" si="117"/>
        <v>36486.744703907141</v>
      </c>
      <c r="AH189" s="1313">
        <f>AI188*((1+'Instrumentos Financeiros'!$I$43)^(1/12)-1)</f>
        <v>40149.916318125193</v>
      </c>
      <c r="AI189" s="1313">
        <f t="shared" si="86"/>
        <v>9248854.6143392082</v>
      </c>
      <c r="AJ189" s="1313">
        <f>IF(AND(C189&gt;$F$67,'Instrumentos Financeiros'!C189&lt;'Instrumentos Financeiros'!$F$67+'Instrumentos Financeiros'!$F$11+1),PMT(((1+'Instrumentos Financeiros'!$I$43)^(1/12)-1),$F$11,-$I$67),0)</f>
        <v>76636.661022032335</v>
      </c>
      <c r="AK189" s="1313">
        <f t="shared" si="118"/>
        <v>36017.501332605556</v>
      </c>
      <c r="AL189" s="1313">
        <f>AM188*((1+'Instrumentos Financeiros'!$I$43)^(1/12)-1)</f>
        <v>40619.159689426779</v>
      </c>
      <c r="AM189" s="1313">
        <f t="shared" si="87"/>
        <v>9357844.2553243022</v>
      </c>
      <c r="AN189" s="1313">
        <f>IF(AND(C189&gt;$F$68,'Instrumentos Financeiros'!C189&lt;'Instrumentos Financeiros'!$F$68+'Instrumentos Financeiros'!$F$11+1),PMT(((1+'Instrumentos Financeiros'!$I$43)^(1/12)-1),$F$11,-$I$68),0)</f>
        <v>76636.661022032335</v>
      </c>
      <c r="AO189" s="1313">
        <f t="shared" si="119"/>
        <v>35554.29273758499</v>
      </c>
      <c r="AP189" s="1313">
        <f>AQ188*((1+'Instrumentos Financeiros'!$I$43)^(1/12)-1)</f>
        <v>41082.368284447344</v>
      </c>
      <c r="AQ189" s="1313">
        <f t="shared" si="88"/>
        <v>9465432.2183305062</v>
      </c>
      <c r="AR189" s="1313">
        <f>IF(AND(C189&gt;$F$69,'Instrumentos Financeiros'!C189&lt;'Instrumentos Financeiros'!$F$69+'Instrumentos Financeiros'!$F$11+1),PMT(((1+'Instrumentos Financeiros'!$I$43)^(1/12)-1),$F$11,-$I$69),0)</f>
        <v>0</v>
      </c>
      <c r="AS189" s="1313">
        <f t="shared" si="120"/>
        <v>0</v>
      </c>
      <c r="AT189" s="1313">
        <f>AU188*((1+'Instrumentos Financeiros'!$I$43)^(1/12)-1)</f>
        <v>0</v>
      </c>
      <c r="AU189" s="1313">
        <f t="shared" si="89"/>
        <v>0</v>
      </c>
      <c r="AV189" s="1313">
        <f>IF(AND(C189&gt;$F$70,'Instrumentos Financeiros'!C189&lt;'Instrumentos Financeiros'!$F$70+'Instrumentos Financeiros'!$F$11+1),PMT(((1+'Instrumentos Financeiros'!$J$43)^(1/12)-1),$F$11,-$I$70),0)</f>
        <v>0</v>
      </c>
      <c r="AW189" s="1313">
        <f t="shared" si="121"/>
        <v>0</v>
      </c>
      <c r="AX189" s="1313">
        <f>AY188*((1+'Instrumentos Financeiros'!$J$43)^(1/12)-1)</f>
        <v>0</v>
      </c>
      <c r="AY189" s="1313">
        <f t="shared" si="90"/>
        <v>0</v>
      </c>
      <c r="AZ189" s="1313">
        <f>IF(AND(C189&gt;$F$71,'Instrumentos Financeiros'!C189&lt;'Instrumentos Financeiros'!$F$71+'Instrumentos Financeiros'!$F$11+1),PMT(((1+'Instrumentos Financeiros'!$J$43)^(1/12)-1),$F$11,-$I$71),0)</f>
        <v>0</v>
      </c>
      <c r="BA189" s="1313">
        <f t="shared" si="122"/>
        <v>0</v>
      </c>
      <c r="BB189" s="1313">
        <f>BC188*((1+'Instrumentos Financeiros'!$J$43)^(1/12)-1)</f>
        <v>0</v>
      </c>
      <c r="BC189" s="1313">
        <f t="shared" si="91"/>
        <v>0</v>
      </c>
      <c r="BD189" s="1313">
        <f>IF(AND(C189&gt;$F$72,'Instrumentos Financeiros'!C189&lt;'Instrumentos Financeiros'!$F$72+'Instrumentos Financeiros'!$F$11+1),PMT(((1+'Instrumentos Financeiros'!$J$43)^(1/12)-1),$F$11,-'Instrumentos Financeiros'!$G$7*$G$72),0)</f>
        <v>0</v>
      </c>
      <c r="BE189" s="1313">
        <f t="shared" si="123"/>
        <v>0</v>
      </c>
      <c r="BF189" s="1313">
        <f>BG188*((1+'Instrumentos Financeiros'!$J$43)^(1/12)-1)</f>
        <v>0</v>
      </c>
      <c r="BG189" s="1313">
        <f t="shared" si="92"/>
        <v>0</v>
      </c>
      <c r="BH189" s="1313">
        <f>IF(AND(C189&gt;$F$73,'Instrumentos Financeiros'!C189&lt;'Instrumentos Financeiros'!$F$73+'Instrumentos Financeiros'!$F$11+1),PMT(((1+'Instrumentos Financeiros'!$J$43)^(1/12)-1),$F$11,-$I$73),0)</f>
        <v>0</v>
      </c>
      <c r="BI189" s="1313">
        <f t="shared" si="124"/>
        <v>0</v>
      </c>
      <c r="BJ189" s="1313">
        <f>BK188*((1+'Instrumentos Financeiros'!$J$43)^(1/12)-1)</f>
        <v>0</v>
      </c>
      <c r="BK189" s="1313">
        <f t="shared" si="93"/>
        <v>0</v>
      </c>
      <c r="BL189" s="1313">
        <f>IF(AND(C189&gt;$F$77,'Instrumentos Financeiros'!C189&lt;'Instrumentos Financeiros'!$F$77+'Instrumentos Financeiros'!$F$12+1),PMT(((1+'Instrumentos Financeiros'!$K$43)^(1/12)-1),$F$12,-$I$77),0)</f>
        <v>0</v>
      </c>
      <c r="BM189" s="1313">
        <f t="shared" si="94"/>
        <v>0</v>
      </c>
      <c r="BN189" s="1313">
        <f>BO188*((1+'Instrumentos Financeiros'!$K$43)^(1/12)-1)</f>
        <v>0</v>
      </c>
      <c r="BO189" s="1313">
        <f t="shared" si="95"/>
        <v>46034.174597237587</v>
      </c>
      <c r="BP189" s="1313">
        <f>IF(AND(C189&gt;$F$78,'Instrumentos Financeiros'!C189&lt;'Instrumentos Financeiros'!$F$78+'Instrumentos Financeiros'!$F$12+1),PMT(((1+'Instrumentos Financeiros'!$L$43)^(1/12)-1),$F$12,-$I$78),0)</f>
        <v>0</v>
      </c>
      <c r="BQ189" s="1313">
        <f t="shared" si="96"/>
        <v>0</v>
      </c>
      <c r="BR189" s="1313">
        <f>BS188*((1+'Instrumentos Financeiros'!$L$43)^(1/12)-1)</f>
        <v>0</v>
      </c>
      <c r="BS189" s="1313">
        <f t="shared" si="97"/>
        <v>0</v>
      </c>
      <c r="BT189" s="1313">
        <f>IF(AND(C189&gt;$F$79,'Instrumentos Financeiros'!C189&lt;'Instrumentos Financeiros'!$F$79+'Instrumentos Financeiros'!$F$12+1),PMT(((1+'Instrumentos Financeiros'!$L$43)^(1/12)-1),$F$12,-$I$79),0)</f>
        <v>0</v>
      </c>
      <c r="BU189" s="1313">
        <f t="shared" si="98"/>
        <v>0</v>
      </c>
      <c r="BV189" s="1313">
        <f>BW188*((1+'Instrumentos Financeiros'!$L$43)^(1/12)-1)</f>
        <v>0</v>
      </c>
      <c r="BW189" s="1313">
        <f t="shared" si="99"/>
        <v>0</v>
      </c>
      <c r="BX189" s="1313">
        <f>IF(AND(C189&gt;$F$80,'Instrumentos Financeiros'!C189&lt;'Instrumentos Financeiros'!$F$80+'Instrumentos Financeiros'!$F$12+1),PMT(((1+'Instrumentos Financeiros'!$L$43)^(1/12)-1),$F$12,-$I$80),0)</f>
        <v>0</v>
      </c>
      <c r="BY189" s="1313">
        <f t="shared" si="100"/>
        <v>0</v>
      </c>
      <c r="BZ189" s="1313">
        <f>CA188*((1+'Instrumentos Financeiros'!$L$43)^(1/12)-1)</f>
        <v>0</v>
      </c>
      <c r="CA189" s="1313">
        <f t="shared" si="101"/>
        <v>0</v>
      </c>
      <c r="CB189" s="1313">
        <f>IF(AND(C189&gt;$F$83,'Instrumentos Financeiros'!C189&lt;'Instrumentos Financeiros'!$F$83+'Instrumentos Financeiros'!$F$13+1),PMT(((1+'Instrumentos Financeiros'!$P$43)^(1/12)-1),$F$13,-$I$83),0)</f>
        <v>0</v>
      </c>
      <c r="CC189" s="1313">
        <f t="shared" si="102"/>
        <v>0</v>
      </c>
      <c r="CD189" s="1313">
        <f>CE188*((1+'Instrumentos Financeiros'!$P$43)^(1/12)-1)</f>
        <v>0</v>
      </c>
      <c r="CE189" s="1313">
        <f t="shared" si="103"/>
        <v>0</v>
      </c>
      <c r="CF189" s="1313">
        <f>IF(AND(C189&gt;$F$84,'Instrumentos Financeiros'!C189&lt;'Instrumentos Financeiros'!$F$84+'Instrumentos Financeiros'!$F$13+1),PMT(((1+'Instrumentos Financeiros'!$Q$43)^(1/12)-1),$F$13,-$I$84),0)</f>
        <v>0</v>
      </c>
      <c r="CG189" s="1313">
        <f t="shared" si="104"/>
        <v>0</v>
      </c>
      <c r="CH189" s="1313">
        <f>CI188*((1+'Instrumentos Financeiros'!$Q$43)^(1/12)-1)</f>
        <v>0</v>
      </c>
      <c r="CI189" s="1313">
        <f t="shared" si="105"/>
        <v>0</v>
      </c>
      <c r="CJ189" s="1313">
        <f>IF(AND(C189&gt;$F$85,'Instrumentos Financeiros'!C189&lt;'Instrumentos Financeiros'!$F$85+'Instrumentos Financeiros'!$F$13+1),PMT(((1+'Instrumentos Financeiros'!$Q$43)^(1/12)-1),$F$13,-$I$85),0)</f>
        <v>0</v>
      </c>
      <c r="CK189" s="1313">
        <f t="shared" si="106"/>
        <v>0</v>
      </c>
      <c r="CL189" s="1313">
        <f>CM188*((1+'Instrumentos Financeiros'!$Q$43)^(1/12)-1)</f>
        <v>0</v>
      </c>
      <c r="CM189" s="1313">
        <f t="shared" si="107"/>
        <v>0</v>
      </c>
      <c r="CN189" s="1313">
        <f>IF(AND(C189&gt;$F$86,'Instrumentos Financeiros'!C189&lt;'Instrumentos Financeiros'!$F$86+'Instrumentos Financeiros'!$F$13+1),PMT(((1+'Instrumentos Financeiros'!$Q$43)^(1/12)-1),$F$13,-$I$86),0)</f>
        <v>0</v>
      </c>
      <c r="CO189" s="1313">
        <f t="shared" si="108"/>
        <v>0</v>
      </c>
      <c r="CP189" s="1313">
        <f>CQ188*((1+'Instrumentos Financeiros'!$Q$43)^(1/12)-1)</f>
        <v>0</v>
      </c>
      <c r="CQ189" s="1313">
        <f t="shared" si="109"/>
        <v>0</v>
      </c>
      <c r="CR189" s="1313">
        <f t="shared" si="78"/>
        <v>398315.23372402944</v>
      </c>
      <c r="CS189" s="1313">
        <f t="shared" si="78"/>
        <v>194629.6612335871</v>
      </c>
      <c r="CT189" s="1313">
        <f t="shared" si="78"/>
        <v>203685.5724904424</v>
      </c>
      <c r="CU189" s="1313">
        <f t="shared" si="78"/>
        <v>47535670.669953518</v>
      </c>
    </row>
    <row r="190" spans="3:99" x14ac:dyDescent="0.35">
      <c r="C190" s="1315">
        <f t="shared" si="79"/>
        <v>97</v>
      </c>
      <c r="D190" s="1312">
        <f>IF(AND(C190&gt;$F$59,'Instrumentos Financeiros'!C190&lt;'Instrumentos Financeiros'!$F$59+'Instrumentos Financeiros'!$F$11+1),PMT(((1+'Instrumentos Financeiros'!$G$43)^(1/12)-1),$F$11,-$I$59),0)</f>
        <v>91768.589635900134</v>
      </c>
      <c r="E190" s="1312">
        <f t="shared" si="76"/>
        <v>49811.515115976894</v>
      </c>
      <c r="F190" s="1312">
        <f>G189*((1+'Instrumentos Financeiros'!$G$43)^(1/12)-1)</f>
        <v>41957.074519923241</v>
      </c>
      <c r="G190" s="1312">
        <f t="shared" si="110"/>
        <v>10229248.85821835</v>
      </c>
      <c r="H190" s="1312">
        <f>IF(AND(C190&gt;$F$60,'Instrumentos Financeiros'!C190&lt;'Instrumentos Financeiros'!$F$60+'Instrumentos Financeiros'!$F$11+1),PMT(((1+'Instrumentos Financeiros'!$G$43)^(1/12)-1),$F$11,-$I$60),0)</f>
        <v>0</v>
      </c>
      <c r="I190" s="1312">
        <f t="shared" si="111"/>
        <v>0</v>
      </c>
      <c r="J190" s="1312">
        <f>K189*((1+'Instrumentos Financeiros'!$G$43)^(1/12)-1)</f>
        <v>0</v>
      </c>
      <c r="K190" s="1312">
        <f t="shared" si="80"/>
        <v>0</v>
      </c>
      <c r="L190" s="1312">
        <f>IF(AND(C190&gt;$F$61,'Instrumentos Financeiros'!C190&lt;'Instrumentos Financeiros'!$F$61+'Instrumentos Financeiros'!$F$11+1),PMT(((1+'Instrumentos Financeiros'!$G$43)^(1/12)-1),$F$11,-$I$61),0)</f>
        <v>0</v>
      </c>
      <c r="M190" s="1312">
        <f t="shared" si="112"/>
        <v>0</v>
      </c>
      <c r="N190" s="1312">
        <f>O189*((1+'Instrumentos Financeiros'!$G$43)^(1/12)-1)</f>
        <v>0</v>
      </c>
      <c r="O190" s="1312">
        <f t="shared" si="81"/>
        <v>0</v>
      </c>
      <c r="P190" s="1312">
        <f>IF(AND(C190&gt;$F$62,'Instrumentos Financeiros'!C190&lt;'Instrumentos Financeiros'!$F$62+'Instrumentos Financeiros'!$F$11+1),PMT(((1+'Instrumentos Financeiros'!$H$43)^(1/12)-1),$F$11,-$I$62),0)</f>
        <v>0</v>
      </c>
      <c r="Q190" s="1312">
        <f t="shared" si="113"/>
        <v>0</v>
      </c>
      <c r="R190" s="1312">
        <f>S189*((1+'Instrumentos Financeiros'!$H$43)^(1/12)-1)</f>
        <v>0</v>
      </c>
      <c r="S190" s="1312">
        <f t="shared" si="82"/>
        <v>0</v>
      </c>
      <c r="T190" s="1312">
        <f>IF(AND(C190&gt;$F$63,'Instrumentos Financeiros'!C190&lt;'Instrumentos Financeiros'!$F$63+'Instrumentos Financeiros'!$F$11+1),PMT(((1+'Instrumentos Financeiros'!$H$43)^(1/12)-1),$F$11,-$I$63),0)</f>
        <v>0</v>
      </c>
      <c r="U190" s="1312">
        <f t="shared" si="114"/>
        <v>0</v>
      </c>
      <c r="V190" s="1312">
        <f>W189*((1+'Instrumentos Financeiros'!$H$43)^(1/12)-1)</f>
        <v>0</v>
      </c>
      <c r="W190" s="1312">
        <f t="shared" si="83"/>
        <v>0</v>
      </c>
      <c r="X190" s="1312">
        <f>IF(AND(C190&gt;$F$64,'Instrumentos Financeiros'!C190&lt;'Instrumentos Financeiros'!$F$64+'Instrumentos Financeiros'!$F$11+1),PMT(((1+'Instrumentos Financeiros'!$H$43)^(1/12)-1),$F$11,-$I$64),0)</f>
        <v>0</v>
      </c>
      <c r="Y190" s="1312">
        <f t="shared" si="115"/>
        <v>0</v>
      </c>
      <c r="Z190" s="1312">
        <f>AA189*((1+'Instrumentos Financeiros'!$H$43)^(1/12)-1)</f>
        <v>0</v>
      </c>
      <c r="AA190" s="1312">
        <f t="shared" si="84"/>
        <v>0</v>
      </c>
      <c r="AB190" s="1312">
        <f>IF(AND(C190&gt;$F$65,'Instrumentos Financeiros'!C190&lt;'Instrumentos Financeiros'!$F$65+'Instrumentos Financeiros'!$F$11+1),PMT(((1+'Instrumentos Financeiros'!$H$43)^(1/12)-1),$F$11,-$I$65),0)</f>
        <v>76636.661022032335</v>
      </c>
      <c r="AC190" s="1312">
        <f t="shared" si="116"/>
        <v>37121.925999752071</v>
      </c>
      <c r="AD190" s="1312">
        <f>AE189*((1+'Instrumentos Financeiros'!$H$43)^(1/12)-1)</f>
        <v>39514.735022280263</v>
      </c>
      <c r="AE190" s="1312">
        <f t="shared" si="85"/>
        <v>9101323.1080281865</v>
      </c>
      <c r="AF190" s="1312">
        <f>IF(AND(C190&gt;$F$66,'Instrumentos Financeiros'!C190&lt;'Instrumentos Financeiros'!$F$66+'Instrumentos Financeiros'!$F$11+1),PMT(((1+'Instrumentos Financeiros'!$I$43)^(1/12)-1),$F$11,-$I$66),0)</f>
        <v>76636.661022032335</v>
      </c>
      <c r="AG190" s="1312">
        <f t="shared" si="117"/>
        <v>36644.513782063426</v>
      </c>
      <c r="AH190" s="1312">
        <f>AI189*((1+'Instrumentos Financeiros'!$I$43)^(1/12)-1)</f>
        <v>39992.147239968908</v>
      </c>
      <c r="AI190" s="1312">
        <f t="shared" si="86"/>
        <v>9212210.1005571447</v>
      </c>
      <c r="AJ190" s="1312">
        <f>IF(AND(C190&gt;$F$67,'Instrumentos Financeiros'!C190&lt;'Instrumentos Financeiros'!$F$67+'Instrumentos Financeiros'!$F$11+1),PMT(((1+'Instrumentos Financeiros'!$I$43)^(1/12)-1),$F$11,-$I$67),0)</f>
        <v>76636.661022032335</v>
      </c>
      <c r="AK190" s="1312">
        <f t="shared" si="118"/>
        <v>36173.241397356505</v>
      </c>
      <c r="AL190" s="1312">
        <f>AM189*((1+'Instrumentos Financeiros'!$I$43)^(1/12)-1)</f>
        <v>40463.419624675829</v>
      </c>
      <c r="AM190" s="1312">
        <f t="shared" si="87"/>
        <v>9321671.0139269456</v>
      </c>
      <c r="AN190" s="1312">
        <f>IF(AND(C190&gt;$F$68,'Instrumentos Financeiros'!C190&lt;'Instrumentos Financeiros'!$F$68+'Instrumentos Financeiros'!$F$11+1),PMT(((1+'Instrumentos Financeiros'!$I$43)^(1/12)-1),$F$11,-$I$68),0)</f>
        <v>76636.661022032335</v>
      </c>
      <c r="AO190" s="1312">
        <f t="shared" si="119"/>
        <v>35708.029883368421</v>
      </c>
      <c r="AP190" s="1312">
        <f>AQ189*((1+'Instrumentos Financeiros'!$I$43)^(1/12)-1)</f>
        <v>40928.631138663914</v>
      </c>
      <c r="AQ190" s="1312">
        <f t="shared" si="88"/>
        <v>9429724.1884471383</v>
      </c>
      <c r="AR190" s="1312">
        <f>IF(AND(C190&gt;$F$69,'Instrumentos Financeiros'!C190&lt;'Instrumentos Financeiros'!$F$69+'Instrumentos Financeiros'!$F$11+1),PMT(((1+'Instrumentos Financeiros'!$I$43)^(1/12)-1),$F$11,-$I$69),0)</f>
        <v>0</v>
      </c>
      <c r="AS190" s="1312">
        <f t="shared" si="120"/>
        <v>0</v>
      </c>
      <c r="AT190" s="1312">
        <f>AU189*((1+'Instrumentos Financeiros'!$I$43)^(1/12)-1)</f>
        <v>0</v>
      </c>
      <c r="AU190" s="1312">
        <f t="shared" si="89"/>
        <v>0</v>
      </c>
      <c r="AV190" s="1312">
        <f>IF(AND(C190&gt;$F$70,'Instrumentos Financeiros'!C190&lt;'Instrumentos Financeiros'!$F$70+'Instrumentos Financeiros'!$F$11+1),PMT(((1+'Instrumentos Financeiros'!$J$43)^(1/12)-1),$F$11,-$I$70),0)</f>
        <v>0</v>
      </c>
      <c r="AW190" s="1312">
        <f t="shared" si="121"/>
        <v>0</v>
      </c>
      <c r="AX190" s="1312">
        <f>AY189*((1+'Instrumentos Financeiros'!$J$43)^(1/12)-1)</f>
        <v>0</v>
      </c>
      <c r="AY190" s="1312">
        <f t="shared" si="90"/>
        <v>0</v>
      </c>
      <c r="AZ190" s="1312">
        <f>IF(AND(C190&gt;$F$71,'Instrumentos Financeiros'!C190&lt;'Instrumentos Financeiros'!$F$71+'Instrumentos Financeiros'!$F$11+1),PMT(((1+'Instrumentos Financeiros'!$J$43)^(1/12)-1),$F$11,-$I$71),0)</f>
        <v>0</v>
      </c>
      <c r="BA190" s="1312">
        <f t="shared" si="122"/>
        <v>0</v>
      </c>
      <c r="BB190" s="1312">
        <f>BC189*((1+'Instrumentos Financeiros'!$J$43)^(1/12)-1)</f>
        <v>0</v>
      </c>
      <c r="BC190" s="1312">
        <f t="shared" si="91"/>
        <v>0</v>
      </c>
      <c r="BD190" s="1312">
        <f>IF(AND(C190&gt;$F$72,'Instrumentos Financeiros'!C190&lt;'Instrumentos Financeiros'!$F$72+'Instrumentos Financeiros'!$F$11+1),PMT(((1+'Instrumentos Financeiros'!$J$43)^(1/12)-1),$F$11,-'Instrumentos Financeiros'!$G$7*$G$72),0)</f>
        <v>0</v>
      </c>
      <c r="BE190" s="1312">
        <f t="shared" si="123"/>
        <v>0</v>
      </c>
      <c r="BF190" s="1312">
        <f>BG189*((1+'Instrumentos Financeiros'!$J$43)^(1/12)-1)</f>
        <v>0</v>
      </c>
      <c r="BG190" s="1312">
        <f t="shared" si="92"/>
        <v>0</v>
      </c>
      <c r="BH190" s="1312">
        <f>IF(AND(C190&gt;$F$73,'Instrumentos Financeiros'!C190&lt;'Instrumentos Financeiros'!$F$73+'Instrumentos Financeiros'!$F$11+1),PMT(((1+'Instrumentos Financeiros'!$J$43)^(1/12)-1),$F$11,-$I$73),0)</f>
        <v>0</v>
      </c>
      <c r="BI190" s="1312">
        <f t="shared" si="124"/>
        <v>0</v>
      </c>
      <c r="BJ190" s="1312">
        <f>BK189*((1+'Instrumentos Financeiros'!$J$43)^(1/12)-1)</f>
        <v>0</v>
      </c>
      <c r="BK190" s="1312">
        <f t="shared" si="93"/>
        <v>0</v>
      </c>
      <c r="BL190" s="1312">
        <f>IF(AND(C190&gt;$F$77,'Instrumentos Financeiros'!C190&lt;'Instrumentos Financeiros'!$F$77+'Instrumentos Financeiros'!$F$12+1),PMT(((1+'Instrumentos Financeiros'!$K$43)^(1/12)-1),$F$12,-$I$77),0)</f>
        <v>368.57912678094596</v>
      </c>
      <c r="BM190" s="1312">
        <f t="shared" si="94"/>
        <v>169.52685865372186</v>
      </c>
      <c r="BN190" s="1312">
        <f>BO189*((1+'Instrumentos Financeiros'!$K$43)^(1/12)-1)</f>
        <v>199.0522681272241</v>
      </c>
      <c r="BO190" s="1312">
        <f t="shared" si="95"/>
        <v>45864.647738583866</v>
      </c>
      <c r="BP190" s="1312">
        <f>IF(AND(C190&gt;$F$78,'Instrumentos Financeiros'!C190&lt;'Instrumentos Financeiros'!$F$78+'Instrumentos Financeiros'!$F$12+1),PMT(((1+'Instrumentos Financeiros'!$L$43)^(1/12)-1),$F$12,-$I$78),0)</f>
        <v>0</v>
      </c>
      <c r="BQ190" s="1312">
        <f t="shared" si="96"/>
        <v>0</v>
      </c>
      <c r="BR190" s="1312">
        <f>BS189*((1+'Instrumentos Financeiros'!$L$43)^(1/12)-1)</f>
        <v>0</v>
      </c>
      <c r="BS190" s="1312">
        <f t="shared" si="97"/>
        <v>0</v>
      </c>
      <c r="BT190" s="1312">
        <f>IF(AND(C190&gt;$F$79,'Instrumentos Financeiros'!C190&lt;'Instrumentos Financeiros'!$F$79+'Instrumentos Financeiros'!$F$12+1),PMT(((1+'Instrumentos Financeiros'!$L$43)^(1/12)-1),$F$12,-$I$79),0)</f>
        <v>0</v>
      </c>
      <c r="BU190" s="1312">
        <f t="shared" si="98"/>
        <v>0</v>
      </c>
      <c r="BV190" s="1312">
        <f>BW189*((1+'Instrumentos Financeiros'!$L$43)^(1/12)-1)</f>
        <v>0</v>
      </c>
      <c r="BW190" s="1312">
        <f t="shared" si="99"/>
        <v>0</v>
      </c>
      <c r="BX190" s="1312">
        <f>IF(AND(C190&gt;$F$80,'Instrumentos Financeiros'!C190&lt;'Instrumentos Financeiros'!$F$80+'Instrumentos Financeiros'!$F$12+1),PMT(((1+'Instrumentos Financeiros'!$L$43)^(1/12)-1),$F$12,-$I$80),0)</f>
        <v>0</v>
      </c>
      <c r="BY190" s="1312">
        <f t="shared" si="100"/>
        <v>0</v>
      </c>
      <c r="BZ190" s="1312">
        <f>CA189*((1+'Instrumentos Financeiros'!$L$43)^(1/12)-1)</f>
        <v>0</v>
      </c>
      <c r="CA190" s="1312">
        <f t="shared" si="101"/>
        <v>0</v>
      </c>
      <c r="CB190" s="1312">
        <f>IF(AND(C190&gt;$F$83,'Instrumentos Financeiros'!C190&lt;'Instrumentos Financeiros'!$F$83+'Instrumentos Financeiros'!$F$13+1),PMT(((1+'Instrumentos Financeiros'!$P$43)^(1/12)-1),$F$13,-$I$83),0)</f>
        <v>0</v>
      </c>
      <c r="CC190" s="1312">
        <f t="shared" si="102"/>
        <v>0</v>
      </c>
      <c r="CD190" s="1312">
        <f>CE189*((1+'Instrumentos Financeiros'!$P$43)^(1/12)-1)</f>
        <v>0</v>
      </c>
      <c r="CE190" s="1312">
        <f t="shared" si="103"/>
        <v>0</v>
      </c>
      <c r="CF190" s="1312">
        <f>IF(AND(C190&gt;$F$84,'Instrumentos Financeiros'!C190&lt;'Instrumentos Financeiros'!$F$84+'Instrumentos Financeiros'!$F$13+1),PMT(((1+'Instrumentos Financeiros'!$Q$43)^(1/12)-1),$F$13,-$I$84),0)</f>
        <v>0</v>
      </c>
      <c r="CG190" s="1312">
        <f t="shared" si="104"/>
        <v>0</v>
      </c>
      <c r="CH190" s="1312">
        <f>CI189*((1+'Instrumentos Financeiros'!$Q$43)^(1/12)-1)</f>
        <v>0</v>
      </c>
      <c r="CI190" s="1312">
        <f t="shared" si="105"/>
        <v>0</v>
      </c>
      <c r="CJ190" s="1312">
        <f>IF(AND(C190&gt;$F$85,'Instrumentos Financeiros'!C190&lt;'Instrumentos Financeiros'!$F$85+'Instrumentos Financeiros'!$F$13+1),PMT(((1+'Instrumentos Financeiros'!$Q$43)^(1/12)-1),$F$13,-$I$85),0)</f>
        <v>0</v>
      </c>
      <c r="CK190" s="1312">
        <f t="shared" si="106"/>
        <v>0</v>
      </c>
      <c r="CL190" s="1312">
        <f>CM189*((1+'Instrumentos Financeiros'!$Q$43)^(1/12)-1)</f>
        <v>0</v>
      </c>
      <c r="CM190" s="1312">
        <f t="shared" si="107"/>
        <v>0</v>
      </c>
      <c r="CN190" s="1312">
        <f>IF(AND(C190&gt;$F$86,'Instrumentos Financeiros'!C190&lt;'Instrumentos Financeiros'!$F$86+'Instrumentos Financeiros'!$F$13+1),PMT(((1+'Instrumentos Financeiros'!$Q$43)^(1/12)-1),$F$13,-$I$86),0)</f>
        <v>0</v>
      </c>
      <c r="CO190" s="1312">
        <f t="shared" si="108"/>
        <v>0</v>
      </c>
      <c r="CP190" s="1312">
        <f>CQ189*((1+'Instrumentos Financeiros'!$Q$43)^(1/12)-1)</f>
        <v>0</v>
      </c>
      <c r="CQ190" s="1312">
        <f t="shared" si="109"/>
        <v>0</v>
      </c>
      <c r="CR190" s="1312">
        <f t="shared" si="78"/>
        <v>398683.81285081041</v>
      </c>
      <c r="CS190" s="1312">
        <f t="shared" si="78"/>
        <v>195628.75303717106</v>
      </c>
      <c r="CT190" s="1312">
        <f t="shared" si="78"/>
        <v>203055.05981363935</v>
      </c>
      <c r="CU190" s="1312">
        <f t="shared" si="78"/>
        <v>47340041.916916355</v>
      </c>
    </row>
    <row r="191" spans="3:99" x14ac:dyDescent="0.35">
      <c r="C191" s="1315">
        <f t="shared" si="79"/>
        <v>98</v>
      </c>
      <c r="D191" s="1312">
        <f>IF(AND(C191&gt;$F$59,'Instrumentos Financeiros'!C191&lt;'Instrumentos Financeiros'!$F$59+'Instrumentos Financeiros'!$F$11+1),PMT(((1+'Instrumentos Financeiros'!$G$43)^(1/12)-1),$F$11,-$I$59),0)</f>
        <v>91768.589635900134</v>
      </c>
      <c r="E191" s="1312">
        <f t="shared" si="76"/>
        <v>50014.835786910298</v>
      </c>
      <c r="F191" s="1312">
        <f>G190*((1+'Instrumentos Financeiros'!$G$43)^(1/12)-1)</f>
        <v>41753.753848989836</v>
      </c>
      <c r="G191" s="1312">
        <f t="shared" si="110"/>
        <v>10179234.022431439</v>
      </c>
      <c r="H191" s="1312">
        <f>IF(AND(C191&gt;$F$60,'Instrumentos Financeiros'!C191&lt;'Instrumentos Financeiros'!$F$60+'Instrumentos Financeiros'!$F$11+1),PMT(((1+'Instrumentos Financeiros'!$G$43)^(1/12)-1),$F$11,-$I$60),0)</f>
        <v>0</v>
      </c>
      <c r="I191" s="1312">
        <f t="shared" si="111"/>
        <v>0</v>
      </c>
      <c r="J191" s="1312">
        <f>K190*((1+'Instrumentos Financeiros'!$G$43)^(1/12)-1)</f>
        <v>0</v>
      </c>
      <c r="K191" s="1312">
        <f t="shared" si="80"/>
        <v>0</v>
      </c>
      <c r="L191" s="1312">
        <f>IF(AND(C191&gt;$F$61,'Instrumentos Financeiros'!C191&lt;'Instrumentos Financeiros'!$F$61+'Instrumentos Financeiros'!$F$11+1),PMT(((1+'Instrumentos Financeiros'!$G$43)^(1/12)-1),$F$11,-$I$61),0)</f>
        <v>0</v>
      </c>
      <c r="M191" s="1312">
        <f t="shared" si="112"/>
        <v>0</v>
      </c>
      <c r="N191" s="1312">
        <f>O190*((1+'Instrumentos Financeiros'!$G$43)^(1/12)-1)</f>
        <v>0</v>
      </c>
      <c r="O191" s="1312">
        <f t="shared" si="81"/>
        <v>0</v>
      </c>
      <c r="P191" s="1312">
        <f>IF(AND(C191&gt;$F$62,'Instrumentos Financeiros'!C191&lt;'Instrumentos Financeiros'!$F$62+'Instrumentos Financeiros'!$F$11+1),PMT(((1+'Instrumentos Financeiros'!$H$43)^(1/12)-1),$F$11,-$I$62),0)</f>
        <v>0</v>
      </c>
      <c r="Q191" s="1312">
        <f t="shared" si="113"/>
        <v>0</v>
      </c>
      <c r="R191" s="1312">
        <f>S190*((1+'Instrumentos Financeiros'!$H$43)^(1/12)-1)</f>
        <v>0</v>
      </c>
      <c r="S191" s="1312">
        <f t="shared" si="82"/>
        <v>0</v>
      </c>
      <c r="T191" s="1312">
        <f>IF(AND(C191&gt;$F$63,'Instrumentos Financeiros'!C191&lt;'Instrumentos Financeiros'!$F$63+'Instrumentos Financeiros'!$F$11+1),PMT(((1+'Instrumentos Financeiros'!$H$43)^(1/12)-1),$F$11,-$I$63),0)</f>
        <v>0</v>
      </c>
      <c r="U191" s="1312">
        <f t="shared" si="114"/>
        <v>0</v>
      </c>
      <c r="V191" s="1312">
        <f>W190*((1+'Instrumentos Financeiros'!$H$43)^(1/12)-1)</f>
        <v>0</v>
      </c>
      <c r="W191" s="1312">
        <f t="shared" si="83"/>
        <v>0</v>
      </c>
      <c r="X191" s="1312">
        <f>IF(AND(C191&gt;$F$64,'Instrumentos Financeiros'!C191&lt;'Instrumentos Financeiros'!$F$64+'Instrumentos Financeiros'!$F$11+1),PMT(((1+'Instrumentos Financeiros'!$H$43)^(1/12)-1),$F$11,-$I$64),0)</f>
        <v>0</v>
      </c>
      <c r="Y191" s="1312">
        <f t="shared" si="115"/>
        <v>0</v>
      </c>
      <c r="Z191" s="1312">
        <f>AA190*((1+'Instrumentos Financeiros'!$H$43)^(1/12)-1)</f>
        <v>0</v>
      </c>
      <c r="AA191" s="1312">
        <f t="shared" si="84"/>
        <v>0</v>
      </c>
      <c r="AB191" s="1312">
        <f>IF(AND(C191&gt;$F$65,'Instrumentos Financeiros'!C191&lt;'Instrumentos Financeiros'!$F$65+'Instrumentos Financeiros'!$F$11+1),PMT(((1+'Instrumentos Financeiros'!$H$43)^(1/12)-1),$F$11,-$I$65),0)</f>
        <v>76636.661022032335</v>
      </c>
      <c r="AC191" s="1312">
        <f t="shared" si="116"/>
        <v>37282.441608691537</v>
      </c>
      <c r="AD191" s="1312">
        <f>AE190*((1+'Instrumentos Financeiros'!$H$43)^(1/12)-1)</f>
        <v>39354.219413340797</v>
      </c>
      <c r="AE191" s="1312">
        <f t="shared" si="85"/>
        <v>9064040.6664194949</v>
      </c>
      <c r="AF191" s="1312">
        <f>IF(AND(C191&gt;$F$66,'Instrumentos Financeiros'!C191&lt;'Instrumentos Financeiros'!$F$66+'Instrumentos Financeiros'!$F$11+1),PMT(((1+'Instrumentos Financeiros'!$I$43)^(1/12)-1),$F$11,-$I$66),0)</f>
        <v>76636.661022032335</v>
      </c>
      <c r="AG191" s="1312">
        <f t="shared" si="117"/>
        <v>36802.965055417568</v>
      </c>
      <c r="AH191" s="1312">
        <f>AI190*((1+'Instrumentos Financeiros'!$I$43)^(1/12)-1)</f>
        <v>39833.695966614767</v>
      </c>
      <c r="AI191" s="1312">
        <f t="shared" si="86"/>
        <v>9175407.1355017275</v>
      </c>
      <c r="AJ191" s="1312">
        <f>IF(AND(C191&gt;$F$67,'Instrumentos Financeiros'!C191&lt;'Instrumentos Financeiros'!$F$67+'Instrumentos Financeiros'!$F$11+1),PMT(((1+'Instrumentos Financeiros'!$I$43)^(1/12)-1),$F$11,-$I$67),0)</f>
        <v>76636.661022032335</v>
      </c>
      <c r="AK191" s="1312">
        <f t="shared" si="118"/>
        <v>36329.654883829433</v>
      </c>
      <c r="AL191" s="1312">
        <f>AM190*((1+'Instrumentos Financeiros'!$I$43)^(1/12)-1)</f>
        <v>40307.006138202902</v>
      </c>
      <c r="AM191" s="1312">
        <f t="shared" si="87"/>
        <v>9285341.3590431157</v>
      </c>
      <c r="AN191" s="1312">
        <f>IF(AND(C191&gt;$F$68,'Instrumentos Financeiros'!C191&lt;'Instrumentos Financeiros'!$F$68+'Instrumentos Financeiros'!$F$11+1),PMT(((1+'Instrumentos Financeiros'!$I$43)^(1/12)-1),$F$11,-$I$68),0)</f>
        <v>76636.661022032335</v>
      </c>
      <c r="AO191" s="1312">
        <f t="shared" si="119"/>
        <v>35862.431790230585</v>
      </c>
      <c r="AP191" s="1312">
        <f>AQ190*((1+'Instrumentos Financeiros'!$I$43)^(1/12)-1)</f>
        <v>40774.22923180175</v>
      </c>
      <c r="AQ191" s="1312">
        <f t="shared" si="88"/>
        <v>9393861.7566569075</v>
      </c>
      <c r="AR191" s="1312">
        <f>IF(AND(C191&gt;$F$69,'Instrumentos Financeiros'!C191&lt;'Instrumentos Financeiros'!$F$69+'Instrumentos Financeiros'!$F$11+1),PMT(((1+'Instrumentos Financeiros'!$I$43)^(1/12)-1),$F$11,-$I$69),0)</f>
        <v>0</v>
      </c>
      <c r="AS191" s="1312">
        <f t="shared" si="120"/>
        <v>0</v>
      </c>
      <c r="AT191" s="1312">
        <f>AU190*((1+'Instrumentos Financeiros'!$I$43)^(1/12)-1)</f>
        <v>0</v>
      </c>
      <c r="AU191" s="1312">
        <f t="shared" si="89"/>
        <v>0</v>
      </c>
      <c r="AV191" s="1312">
        <f>IF(AND(C191&gt;$F$70,'Instrumentos Financeiros'!C191&lt;'Instrumentos Financeiros'!$F$70+'Instrumentos Financeiros'!$F$11+1),PMT(((1+'Instrumentos Financeiros'!$J$43)^(1/12)-1),$F$11,-$I$70),0)</f>
        <v>0</v>
      </c>
      <c r="AW191" s="1312">
        <f t="shared" si="121"/>
        <v>0</v>
      </c>
      <c r="AX191" s="1312">
        <f>AY190*((1+'Instrumentos Financeiros'!$J$43)^(1/12)-1)</f>
        <v>0</v>
      </c>
      <c r="AY191" s="1312">
        <f t="shared" si="90"/>
        <v>0</v>
      </c>
      <c r="AZ191" s="1312">
        <f>IF(AND(C191&gt;$F$71,'Instrumentos Financeiros'!C191&lt;'Instrumentos Financeiros'!$F$71+'Instrumentos Financeiros'!$F$11+1),PMT(((1+'Instrumentos Financeiros'!$J$43)^(1/12)-1),$F$11,-$I$71),0)</f>
        <v>0</v>
      </c>
      <c r="BA191" s="1312">
        <f t="shared" si="122"/>
        <v>0</v>
      </c>
      <c r="BB191" s="1312">
        <f>BC190*((1+'Instrumentos Financeiros'!$J$43)^(1/12)-1)</f>
        <v>0</v>
      </c>
      <c r="BC191" s="1312">
        <f t="shared" si="91"/>
        <v>0</v>
      </c>
      <c r="BD191" s="1312">
        <f>IF(AND(C191&gt;$F$72,'Instrumentos Financeiros'!C191&lt;'Instrumentos Financeiros'!$F$72+'Instrumentos Financeiros'!$F$11+1),PMT(((1+'Instrumentos Financeiros'!$J$43)^(1/12)-1),$F$11,-'Instrumentos Financeiros'!$G$7*$G$72),0)</f>
        <v>0</v>
      </c>
      <c r="BE191" s="1312">
        <f t="shared" si="123"/>
        <v>0</v>
      </c>
      <c r="BF191" s="1312">
        <f>BG190*((1+'Instrumentos Financeiros'!$J$43)^(1/12)-1)</f>
        <v>0</v>
      </c>
      <c r="BG191" s="1312">
        <f t="shared" si="92"/>
        <v>0</v>
      </c>
      <c r="BH191" s="1312">
        <f>IF(AND(C191&gt;$F$73,'Instrumentos Financeiros'!C191&lt;'Instrumentos Financeiros'!$F$73+'Instrumentos Financeiros'!$F$11+1),PMT(((1+'Instrumentos Financeiros'!$J$43)^(1/12)-1),$F$11,-$I$73),0)</f>
        <v>0</v>
      </c>
      <c r="BI191" s="1312">
        <f t="shared" si="124"/>
        <v>0</v>
      </c>
      <c r="BJ191" s="1312">
        <f>BK190*((1+'Instrumentos Financeiros'!$J$43)^(1/12)-1)</f>
        <v>0</v>
      </c>
      <c r="BK191" s="1312">
        <f t="shared" si="93"/>
        <v>0</v>
      </c>
      <c r="BL191" s="1312">
        <f>IF(AND(C191&gt;$F$77,'Instrumentos Financeiros'!C191&lt;'Instrumentos Financeiros'!$F$77+'Instrumentos Financeiros'!$F$12+1),PMT(((1+'Instrumentos Financeiros'!$K$43)^(1/12)-1),$F$12,-$I$77),0)</f>
        <v>368.57912678094596</v>
      </c>
      <c r="BM191" s="1312">
        <f t="shared" si="94"/>
        <v>170.25989462142945</v>
      </c>
      <c r="BN191" s="1312">
        <f>BO190*((1+'Instrumentos Financeiros'!$K$43)^(1/12)-1)</f>
        <v>198.3192321595165</v>
      </c>
      <c r="BO191" s="1312">
        <f t="shared" si="95"/>
        <v>45694.387843962439</v>
      </c>
      <c r="BP191" s="1312">
        <f>IF(AND(C191&gt;$F$78,'Instrumentos Financeiros'!C191&lt;'Instrumentos Financeiros'!$F$78+'Instrumentos Financeiros'!$F$12+1),PMT(((1+'Instrumentos Financeiros'!$L$43)^(1/12)-1),$F$12,-$I$78),0)</f>
        <v>0</v>
      </c>
      <c r="BQ191" s="1312">
        <f t="shared" si="96"/>
        <v>0</v>
      </c>
      <c r="BR191" s="1312">
        <f>BS190*((1+'Instrumentos Financeiros'!$L$43)^(1/12)-1)</f>
        <v>0</v>
      </c>
      <c r="BS191" s="1312">
        <f t="shared" si="97"/>
        <v>0</v>
      </c>
      <c r="BT191" s="1312">
        <f>IF(AND(C191&gt;$F$79,'Instrumentos Financeiros'!C191&lt;'Instrumentos Financeiros'!$F$79+'Instrumentos Financeiros'!$F$12+1),PMT(((1+'Instrumentos Financeiros'!$L$43)^(1/12)-1),$F$12,-$I$79),0)</f>
        <v>0</v>
      </c>
      <c r="BU191" s="1312">
        <f t="shared" si="98"/>
        <v>0</v>
      </c>
      <c r="BV191" s="1312">
        <f>BW190*((1+'Instrumentos Financeiros'!$L$43)^(1/12)-1)</f>
        <v>0</v>
      </c>
      <c r="BW191" s="1312">
        <f t="shared" si="99"/>
        <v>0</v>
      </c>
      <c r="BX191" s="1312">
        <f>IF(AND(C191&gt;$F$80,'Instrumentos Financeiros'!C191&lt;'Instrumentos Financeiros'!$F$80+'Instrumentos Financeiros'!$F$12+1),PMT(((1+'Instrumentos Financeiros'!$L$43)^(1/12)-1),$F$12,-$I$80),0)</f>
        <v>0</v>
      </c>
      <c r="BY191" s="1312">
        <f t="shared" si="100"/>
        <v>0</v>
      </c>
      <c r="BZ191" s="1312">
        <f>CA190*((1+'Instrumentos Financeiros'!$L$43)^(1/12)-1)</f>
        <v>0</v>
      </c>
      <c r="CA191" s="1312">
        <f t="shared" si="101"/>
        <v>0</v>
      </c>
      <c r="CB191" s="1312">
        <f>IF(AND(C191&gt;$F$83,'Instrumentos Financeiros'!C191&lt;'Instrumentos Financeiros'!$F$83+'Instrumentos Financeiros'!$F$13+1),PMT(((1+'Instrumentos Financeiros'!$P$43)^(1/12)-1),$F$13,-$I$83),0)</f>
        <v>0</v>
      </c>
      <c r="CC191" s="1312">
        <f t="shared" si="102"/>
        <v>0</v>
      </c>
      <c r="CD191" s="1312">
        <f>CE190*((1+'Instrumentos Financeiros'!$P$43)^(1/12)-1)</f>
        <v>0</v>
      </c>
      <c r="CE191" s="1312">
        <f t="shared" si="103"/>
        <v>0</v>
      </c>
      <c r="CF191" s="1312">
        <f>IF(AND(C191&gt;$F$84,'Instrumentos Financeiros'!C191&lt;'Instrumentos Financeiros'!$F$84+'Instrumentos Financeiros'!$F$13+1),PMT(((1+'Instrumentos Financeiros'!$Q$43)^(1/12)-1),$F$13,-$I$84),0)</f>
        <v>0</v>
      </c>
      <c r="CG191" s="1312">
        <f t="shared" si="104"/>
        <v>0</v>
      </c>
      <c r="CH191" s="1312">
        <f>CI190*((1+'Instrumentos Financeiros'!$Q$43)^(1/12)-1)</f>
        <v>0</v>
      </c>
      <c r="CI191" s="1312">
        <f t="shared" si="105"/>
        <v>0</v>
      </c>
      <c r="CJ191" s="1312">
        <f>IF(AND(C191&gt;$F$85,'Instrumentos Financeiros'!C191&lt;'Instrumentos Financeiros'!$F$85+'Instrumentos Financeiros'!$F$13+1),PMT(((1+'Instrumentos Financeiros'!$Q$43)^(1/12)-1),$F$13,-$I$85),0)</f>
        <v>0</v>
      </c>
      <c r="CK191" s="1312">
        <f t="shared" si="106"/>
        <v>0</v>
      </c>
      <c r="CL191" s="1312">
        <f>CM190*((1+'Instrumentos Financeiros'!$Q$43)^(1/12)-1)</f>
        <v>0</v>
      </c>
      <c r="CM191" s="1312">
        <f t="shared" si="107"/>
        <v>0</v>
      </c>
      <c r="CN191" s="1312">
        <f>IF(AND(C191&gt;$F$86,'Instrumentos Financeiros'!C191&lt;'Instrumentos Financeiros'!$F$86+'Instrumentos Financeiros'!$F$13+1),PMT(((1+'Instrumentos Financeiros'!$Q$43)^(1/12)-1),$F$13,-$I$86),0)</f>
        <v>0</v>
      </c>
      <c r="CO191" s="1312">
        <f t="shared" si="108"/>
        <v>0</v>
      </c>
      <c r="CP191" s="1312">
        <f>CQ190*((1+'Instrumentos Financeiros'!$Q$43)^(1/12)-1)</f>
        <v>0</v>
      </c>
      <c r="CQ191" s="1312">
        <f t="shared" si="109"/>
        <v>0</v>
      </c>
      <c r="CR191" s="1312">
        <f t="shared" si="78"/>
        <v>398683.81285081041</v>
      </c>
      <c r="CS191" s="1312">
        <f t="shared" si="78"/>
        <v>196462.58901970088</v>
      </c>
      <c r="CT191" s="1312">
        <f t="shared" si="78"/>
        <v>202221.22383110959</v>
      </c>
      <c r="CU191" s="1312">
        <f t="shared" si="78"/>
        <v>47143579.32789664</v>
      </c>
    </row>
    <row r="192" spans="3:99" x14ac:dyDescent="0.35">
      <c r="C192" s="1315">
        <f t="shared" si="79"/>
        <v>99</v>
      </c>
      <c r="D192" s="1312">
        <f>IF(AND(C192&gt;$F$59,'Instrumentos Financeiros'!C192&lt;'Instrumentos Financeiros'!$F$59+'Instrumentos Financeiros'!$F$11+1),PMT(((1+'Instrumentos Financeiros'!$G$43)^(1/12)-1),$F$11,-$I$59),0)</f>
        <v>91768.589635900134</v>
      </c>
      <c r="E192" s="1312">
        <f t="shared" si="76"/>
        <v>50218.98637227479</v>
      </c>
      <c r="F192" s="1312">
        <f>G191*((1+'Instrumentos Financeiros'!$G$43)^(1/12)-1)</f>
        <v>41549.603263625344</v>
      </c>
      <c r="G192" s="1312">
        <f t="shared" si="110"/>
        <v>10129015.036059164</v>
      </c>
      <c r="H192" s="1312">
        <f>IF(AND(C192&gt;$F$60,'Instrumentos Financeiros'!C192&lt;'Instrumentos Financeiros'!$F$60+'Instrumentos Financeiros'!$F$11+1),PMT(((1+'Instrumentos Financeiros'!$G$43)^(1/12)-1),$F$11,-$I$60),0)</f>
        <v>0</v>
      </c>
      <c r="I192" s="1312">
        <f t="shared" si="111"/>
        <v>0</v>
      </c>
      <c r="J192" s="1312">
        <f>K191*((1+'Instrumentos Financeiros'!$G$43)^(1/12)-1)</f>
        <v>0</v>
      </c>
      <c r="K192" s="1312">
        <f t="shared" si="80"/>
        <v>0</v>
      </c>
      <c r="L192" s="1312">
        <f>IF(AND(C192&gt;$F$61,'Instrumentos Financeiros'!C192&lt;'Instrumentos Financeiros'!$F$61+'Instrumentos Financeiros'!$F$11+1),PMT(((1+'Instrumentos Financeiros'!$G$43)^(1/12)-1),$F$11,-$I$61),0)</f>
        <v>0</v>
      </c>
      <c r="M192" s="1312">
        <f t="shared" si="112"/>
        <v>0</v>
      </c>
      <c r="N192" s="1312">
        <f>O191*((1+'Instrumentos Financeiros'!$G$43)^(1/12)-1)</f>
        <v>0</v>
      </c>
      <c r="O192" s="1312">
        <f t="shared" si="81"/>
        <v>0</v>
      </c>
      <c r="P192" s="1312">
        <f>IF(AND(C192&gt;$F$62,'Instrumentos Financeiros'!C192&lt;'Instrumentos Financeiros'!$F$62+'Instrumentos Financeiros'!$F$11+1),PMT(((1+'Instrumentos Financeiros'!$H$43)^(1/12)-1),$F$11,-$I$62),0)</f>
        <v>0</v>
      </c>
      <c r="Q192" s="1312">
        <f t="shared" si="113"/>
        <v>0</v>
      </c>
      <c r="R192" s="1312">
        <f>S191*((1+'Instrumentos Financeiros'!$H$43)^(1/12)-1)</f>
        <v>0</v>
      </c>
      <c r="S192" s="1312">
        <f t="shared" si="82"/>
        <v>0</v>
      </c>
      <c r="T192" s="1312">
        <f>IF(AND(C192&gt;$F$63,'Instrumentos Financeiros'!C192&lt;'Instrumentos Financeiros'!$F$63+'Instrumentos Financeiros'!$F$11+1),PMT(((1+'Instrumentos Financeiros'!$H$43)^(1/12)-1),$F$11,-$I$63),0)</f>
        <v>0</v>
      </c>
      <c r="U192" s="1312">
        <f t="shared" si="114"/>
        <v>0</v>
      </c>
      <c r="V192" s="1312">
        <f>W191*((1+'Instrumentos Financeiros'!$H$43)^(1/12)-1)</f>
        <v>0</v>
      </c>
      <c r="W192" s="1312">
        <f t="shared" si="83"/>
        <v>0</v>
      </c>
      <c r="X192" s="1312">
        <f>IF(AND(C192&gt;$F$64,'Instrumentos Financeiros'!C192&lt;'Instrumentos Financeiros'!$F$64+'Instrumentos Financeiros'!$F$11+1),PMT(((1+'Instrumentos Financeiros'!$H$43)^(1/12)-1),$F$11,-$I$64),0)</f>
        <v>0</v>
      </c>
      <c r="Y192" s="1312">
        <f t="shared" si="115"/>
        <v>0</v>
      </c>
      <c r="Z192" s="1312">
        <f>AA191*((1+'Instrumentos Financeiros'!$H$43)^(1/12)-1)</f>
        <v>0</v>
      </c>
      <c r="AA192" s="1312">
        <f t="shared" si="84"/>
        <v>0</v>
      </c>
      <c r="AB192" s="1312">
        <f>IF(AND(C192&gt;$F$65,'Instrumentos Financeiros'!C192&lt;'Instrumentos Financeiros'!$F$65+'Instrumentos Financeiros'!$F$11+1),PMT(((1+'Instrumentos Financeiros'!$H$43)^(1/12)-1),$F$11,-$I$65),0)</f>
        <v>76636.661022032335</v>
      </c>
      <c r="AC192" s="1312">
        <f t="shared" si="116"/>
        <v>37443.651288857633</v>
      </c>
      <c r="AD192" s="1312">
        <f>AE191*((1+'Instrumentos Financeiros'!$H$43)^(1/12)-1)</f>
        <v>39193.009733174702</v>
      </c>
      <c r="AE192" s="1312">
        <f t="shared" si="85"/>
        <v>9026597.0151306372</v>
      </c>
      <c r="AF192" s="1312">
        <f>IF(AND(C192&gt;$F$66,'Instrumentos Financeiros'!C192&lt;'Instrumentos Financeiros'!$F$66+'Instrumentos Financeiros'!$F$11+1),PMT(((1+'Instrumentos Financeiros'!$I$43)^(1/12)-1),$F$11,-$I$66),0)</f>
        <v>76636.661022032335</v>
      </c>
      <c r="AG192" s="1312">
        <f t="shared" si="117"/>
        <v>36962.101473788964</v>
      </c>
      <c r="AH192" s="1312">
        <f>AI191*((1+'Instrumentos Financeiros'!$I$43)^(1/12)-1)</f>
        <v>39674.559548243371</v>
      </c>
      <c r="AI192" s="1312">
        <f t="shared" si="86"/>
        <v>9138445.0340279378</v>
      </c>
      <c r="AJ192" s="1312">
        <f>IF(AND(C192&gt;$F$67,'Instrumentos Financeiros'!C192&lt;'Instrumentos Financeiros'!$F$67+'Instrumentos Financeiros'!$F$11+1),PMT(((1+'Instrumentos Financeiros'!$I$43)^(1/12)-1),$F$11,-$I$67),0)</f>
        <v>76636.661022032335</v>
      </c>
      <c r="AK192" s="1312">
        <f t="shared" si="118"/>
        <v>36486.744703907141</v>
      </c>
      <c r="AL192" s="1312">
        <f>AM191*((1+'Instrumentos Financeiros'!$I$43)^(1/12)-1)</f>
        <v>40149.916318125193</v>
      </c>
      <c r="AM192" s="1312">
        <f t="shared" si="87"/>
        <v>9248854.6143392082</v>
      </c>
      <c r="AN192" s="1312">
        <f>IF(AND(C192&gt;$F$68,'Instrumentos Financeiros'!C192&lt;'Instrumentos Financeiros'!$F$68+'Instrumentos Financeiros'!$F$11+1),PMT(((1+'Instrumentos Financeiros'!$I$43)^(1/12)-1),$F$11,-$I$68),0)</f>
        <v>76636.661022032335</v>
      </c>
      <c r="AO192" s="1312">
        <f t="shared" si="119"/>
        <v>36017.501332605556</v>
      </c>
      <c r="AP192" s="1312">
        <f>AQ191*((1+'Instrumentos Financeiros'!$I$43)^(1/12)-1)</f>
        <v>40619.159689426779</v>
      </c>
      <c r="AQ192" s="1312">
        <f t="shared" si="88"/>
        <v>9357844.2553243022</v>
      </c>
      <c r="AR192" s="1312">
        <f>IF(AND(C192&gt;$F$69,'Instrumentos Financeiros'!C192&lt;'Instrumentos Financeiros'!$F$69+'Instrumentos Financeiros'!$F$11+1),PMT(((1+'Instrumentos Financeiros'!$I$43)^(1/12)-1),$F$11,-$I$69),0)</f>
        <v>0</v>
      </c>
      <c r="AS192" s="1312">
        <f t="shared" si="120"/>
        <v>0</v>
      </c>
      <c r="AT192" s="1312">
        <f>AU191*((1+'Instrumentos Financeiros'!$I$43)^(1/12)-1)</f>
        <v>0</v>
      </c>
      <c r="AU192" s="1312">
        <f t="shared" si="89"/>
        <v>0</v>
      </c>
      <c r="AV192" s="1312">
        <f>IF(AND(C192&gt;$F$70,'Instrumentos Financeiros'!C192&lt;'Instrumentos Financeiros'!$F$70+'Instrumentos Financeiros'!$F$11+1),PMT(((1+'Instrumentos Financeiros'!$J$43)^(1/12)-1),$F$11,-$I$70),0)</f>
        <v>0</v>
      </c>
      <c r="AW192" s="1312">
        <f t="shared" si="121"/>
        <v>0</v>
      </c>
      <c r="AX192" s="1312">
        <f>AY191*((1+'Instrumentos Financeiros'!$J$43)^(1/12)-1)</f>
        <v>0</v>
      </c>
      <c r="AY192" s="1312">
        <f t="shared" si="90"/>
        <v>0</v>
      </c>
      <c r="AZ192" s="1312">
        <f>IF(AND(C192&gt;$F$71,'Instrumentos Financeiros'!C192&lt;'Instrumentos Financeiros'!$F$71+'Instrumentos Financeiros'!$F$11+1),PMT(((1+'Instrumentos Financeiros'!$J$43)^(1/12)-1),$F$11,-$I$71),0)</f>
        <v>0</v>
      </c>
      <c r="BA192" s="1312">
        <f t="shared" si="122"/>
        <v>0</v>
      </c>
      <c r="BB192" s="1312">
        <f>BC191*((1+'Instrumentos Financeiros'!$J$43)^(1/12)-1)</f>
        <v>0</v>
      </c>
      <c r="BC192" s="1312">
        <f t="shared" si="91"/>
        <v>0</v>
      </c>
      <c r="BD192" s="1312">
        <f>IF(AND(C192&gt;$F$72,'Instrumentos Financeiros'!C192&lt;'Instrumentos Financeiros'!$F$72+'Instrumentos Financeiros'!$F$11+1),PMT(((1+'Instrumentos Financeiros'!$J$43)^(1/12)-1),$F$11,-'Instrumentos Financeiros'!$G$7*$G$72),0)</f>
        <v>0</v>
      </c>
      <c r="BE192" s="1312">
        <f t="shared" si="123"/>
        <v>0</v>
      </c>
      <c r="BF192" s="1312">
        <f>BG191*((1+'Instrumentos Financeiros'!$J$43)^(1/12)-1)</f>
        <v>0</v>
      </c>
      <c r="BG192" s="1312">
        <f t="shared" si="92"/>
        <v>0</v>
      </c>
      <c r="BH192" s="1312">
        <f>IF(AND(C192&gt;$F$73,'Instrumentos Financeiros'!C192&lt;'Instrumentos Financeiros'!$F$73+'Instrumentos Financeiros'!$F$11+1),PMT(((1+'Instrumentos Financeiros'!$J$43)^(1/12)-1),$F$11,-$I$73),0)</f>
        <v>0</v>
      </c>
      <c r="BI192" s="1312">
        <f t="shared" si="124"/>
        <v>0</v>
      </c>
      <c r="BJ192" s="1312">
        <f>BK191*((1+'Instrumentos Financeiros'!$J$43)^(1/12)-1)</f>
        <v>0</v>
      </c>
      <c r="BK192" s="1312">
        <f t="shared" si="93"/>
        <v>0</v>
      </c>
      <c r="BL192" s="1312">
        <f>IF(AND(C192&gt;$F$77,'Instrumentos Financeiros'!C192&lt;'Instrumentos Financeiros'!$F$77+'Instrumentos Financeiros'!$F$12+1),PMT(((1+'Instrumentos Financeiros'!$K$43)^(1/12)-1),$F$12,-$I$77),0)</f>
        <v>368.57912678094596</v>
      </c>
      <c r="BM192" s="1312">
        <f t="shared" si="94"/>
        <v>170.9961002445782</v>
      </c>
      <c r="BN192" s="1312">
        <f>BO191*((1+'Instrumentos Financeiros'!$K$43)^(1/12)-1)</f>
        <v>197.58302653636775</v>
      </c>
      <c r="BO192" s="1312">
        <f t="shared" si="95"/>
        <v>45523.391743717861</v>
      </c>
      <c r="BP192" s="1312">
        <f>IF(AND(C192&gt;$F$78,'Instrumentos Financeiros'!C192&lt;'Instrumentos Financeiros'!$F$78+'Instrumentos Financeiros'!$F$12+1),PMT(((1+'Instrumentos Financeiros'!$L$43)^(1/12)-1),$F$12,-$I$78),0)</f>
        <v>0</v>
      </c>
      <c r="BQ192" s="1312">
        <f t="shared" si="96"/>
        <v>0</v>
      </c>
      <c r="BR192" s="1312">
        <f>BS191*((1+'Instrumentos Financeiros'!$L$43)^(1/12)-1)</f>
        <v>0</v>
      </c>
      <c r="BS192" s="1312">
        <f t="shared" si="97"/>
        <v>46034.174597237587</v>
      </c>
      <c r="BT192" s="1312">
        <f>IF(AND(C192&gt;$F$79,'Instrumentos Financeiros'!C192&lt;'Instrumentos Financeiros'!$F$79+'Instrumentos Financeiros'!$F$12+1),PMT(((1+'Instrumentos Financeiros'!$L$43)^(1/12)-1),$F$12,-$I$79),0)</f>
        <v>0</v>
      </c>
      <c r="BU192" s="1312">
        <f t="shared" si="98"/>
        <v>0</v>
      </c>
      <c r="BV192" s="1312">
        <f>BW191*((1+'Instrumentos Financeiros'!$L$43)^(1/12)-1)</f>
        <v>0</v>
      </c>
      <c r="BW192" s="1312">
        <f t="shared" si="99"/>
        <v>0</v>
      </c>
      <c r="BX192" s="1312">
        <f>IF(AND(C192&gt;$F$80,'Instrumentos Financeiros'!C192&lt;'Instrumentos Financeiros'!$F$80+'Instrumentos Financeiros'!$F$12+1),PMT(((1+'Instrumentos Financeiros'!$L$43)^(1/12)-1),$F$12,-$I$80),0)</f>
        <v>0</v>
      </c>
      <c r="BY192" s="1312">
        <f t="shared" si="100"/>
        <v>0</v>
      </c>
      <c r="BZ192" s="1312">
        <f>CA191*((1+'Instrumentos Financeiros'!$L$43)^(1/12)-1)</f>
        <v>0</v>
      </c>
      <c r="CA192" s="1312">
        <f t="shared" si="101"/>
        <v>0</v>
      </c>
      <c r="CB192" s="1312">
        <f>IF(AND(C192&gt;$F$83,'Instrumentos Financeiros'!C192&lt;'Instrumentos Financeiros'!$F$83+'Instrumentos Financeiros'!$F$13+1),PMT(((1+'Instrumentos Financeiros'!$P$43)^(1/12)-1),$F$13,-$I$83),0)</f>
        <v>0</v>
      </c>
      <c r="CC192" s="1312">
        <f t="shared" si="102"/>
        <v>0</v>
      </c>
      <c r="CD192" s="1312">
        <f>CE191*((1+'Instrumentos Financeiros'!$P$43)^(1/12)-1)</f>
        <v>0</v>
      </c>
      <c r="CE192" s="1312">
        <f t="shared" si="103"/>
        <v>0</v>
      </c>
      <c r="CF192" s="1312">
        <f>IF(AND(C192&gt;$F$84,'Instrumentos Financeiros'!C192&lt;'Instrumentos Financeiros'!$F$84+'Instrumentos Financeiros'!$F$13+1),PMT(((1+'Instrumentos Financeiros'!$Q$43)^(1/12)-1),$F$13,-$I$84),0)</f>
        <v>0</v>
      </c>
      <c r="CG192" s="1312">
        <f t="shared" si="104"/>
        <v>0</v>
      </c>
      <c r="CH192" s="1312">
        <f>CI191*((1+'Instrumentos Financeiros'!$Q$43)^(1/12)-1)</f>
        <v>0</v>
      </c>
      <c r="CI192" s="1312">
        <f t="shared" si="105"/>
        <v>0</v>
      </c>
      <c r="CJ192" s="1312">
        <f>IF(AND(C192&gt;$F$85,'Instrumentos Financeiros'!C192&lt;'Instrumentos Financeiros'!$F$85+'Instrumentos Financeiros'!$F$13+1),PMT(((1+'Instrumentos Financeiros'!$Q$43)^(1/12)-1),$F$13,-$I$85),0)</f>
        <v>0</v>
      </c>
      <c r="CK192" s="1312">
        <f t="shared" si="106"/>
        <v>0</v>
      </c>
      <c r="CL192" s="1312">
        <f>CM191*((1+'Instrumentos Financeiros'!$Q$43)^(1/12)-1)</f>
        <v>0</v>
      </c>
      <c r="CM192" s="1312">
        <f t="shared" si="107"/>
        <v>0</v>
      </c>
      <c r="CN192" s="1312">
        <f>IF(AND(C192&gt;$F$86,'Instrumentos Financeiros'!C192&lt;'Instrumentos Financeiros'!$F$86+'Instrumentos Financeiros'!$F$13+1),PMT(((1+'Instrumentos Financeiros'!$Q$43)^(1/12)-1),$F$13,-$I$86),0)</f>
        <v>0</v>
      </c>
      <c r="CO192" s="1312">
        <f t="shared" si="108"/>
        <v>0</v>
      </c>
      <c r="CP192" s="1312">
        <f>CQ191*((1+'Instrumentos Financeiros'!$Q$43)^(1/12)-1)</f>
        <v>0</v>
      </c>
      <c r="CQ192" s="1312">
        <f t="shared" si="109"/>
        <v>0</v>
      </c>
      <c r="CR192" s="1312">
        <f t="shared" si="78"/>
        <v>398683.81285081041</v>
      </c>
      <c r="CS192" s="1312">
        <f t="shared" si="78"/>
        <v>197299.98127167864</v>
      </c>
      <c r="CT192" s="1312">
        <f t="shared" si="78"/>
        <v>201383.83157913174</v>
      </c>
      <c r="CU192" s="1312">
        <f t="shared" si="78"/>
        <v>46992313.521222211</v>
      </c>
    </row>
    <row r="193" spans="3:99" x14ac:dyDescent="0.35">
      <c r="C193" s="1315">
        <f t="shared" si="79"/>
        <v>100</v>
      </c>
      <c r="D193" s="1312">
        <f>IF(AND(C193&gt;$F$59,'Instrumentos Financeiros'!C193&lt;'Instrumentos Financeiros'!$F$59+'Instrumentos Financeiros'!$F$11+1),PMT(((1+'Instrumentos Financeiros'!$G$43)^(1/12)-1),$F$11,-$I$59),0)</f>
        <v>91768.589635900134</v>
      </c>
      <c r="E193" s="1312">
        <f t="shared" si="76"/>
        <v>50423.970259615562</v>
      </c>
      <c r="F193" s="1312">
        <f>G192*((1+'Instrumentos Financeiros'!$G$43)^(1/12)-1)</f>
        <v>41344.619376284572</v>
      </c>
      <c r="G193" s="1312">
        <f t="shared" si="110"/>
        <v>10078591.065799547</v>
      </c>
      <c r="H193" s="1312">
        <f>IF(AND(C193&gt;$F$60,'Instrumentos Financeiros'!C193&lt;'Instrumentos Financeiros'!$F$60+'Instrumentos Financeiros'!$F$11+1),PMT(((1+'Instrumentos Financeiros'!$G$43)^(1/12)-1),$F$11,-$I$60),0)</f>
        <v>0</v>
      </c>
      <c r="I193" s="1312">
        <f t="shared" si="111"/>
        <v>0</v>
      </c>
      <c r="J193" s="1312">
        <f>K192*((1+'Instrumentos Financeiros'!$G$43)^(1/12)-1)</f>
        <v>0</v>
      </c>
      <c r="K193" s="1312">
        <f t="shared" si="80"/>
        <v>0</v>
      </c>
      <c r="L193" s="1312">
        <f>IF(AND(C193&gt;$F$61,'Instrumentos Financeiros'!C193&lt;'Instrumentos Financeiros'!$F$61+'Instrumentos Financeiros'!$F$11+1),PMT(((1+'Instrumentos Financeiros'!$G$43)^(1/12)-1),$F$11,-$I$61),0)</f>
        <v>0</v>
      </c>
      <c r="M193" s="1312">
        <f t="shared" si="112"/>
        <v>0</v>
      </c>
      <c r="N193" s="1312">
        <f>O192*((1+'Instrumentos Financeiros'!$G$43)^(1/12)-1)</f>
        <v>0</v>
      </c>
      <c r="O193" s="1312">
        <f t="shared" si="81"/>
        <v>0</v>
      </c>
      <c r="P193" s="1312">
        <f>IF(AND(C193&gt;$F$62,'Instrumentos Financeiros'!C193&lt;'Instrumentos Financeiros'!$F$62+'Instrumentos Financeiros'!$F$11+1),PMT(((1+'Instrumentos Financeiros'!$H$43)^(1/12)-1),$F$11,-$I$62),0)</f>
        <v>0</v>
      </c>
      <c r="Q193" s="1312">
        <f t="shared" si="113"/>
        <v>0</v>
      </c>
      <c r="R193" s="1312">
        <f>S192*((1+'Instrumentos Financeiros'!$H$43)^(1/12)-1)</f>
        <v>0</v>
      </c>
      <c r="S193" s="1312">
        <f t="shared" si="82"/>
        <v>0</v>
      </c>
      <c r="T193" s="1312">
        <f>IF(AND(C193&gt;$F$63,'Instrumentos Financeiros'!C193&lt;'Instrumentos Financeiros'!$F$63+'Instrumentos Financeiros'!$F$11+1),PMT(((1+'Instrumentos Financeiros'!$H$43)^(1/12)-1),$F$11,-$I$63),0)</f>
        <v>0</v>
      </c>
      <c r="U193" s="1312">
        <f t="shared" si="114"/>
        <v>0</v>
      </c>
      <c r="V193" s="1312">
        <f>W192*((1+'Instrumentos Financeiros'!$H$43)^(1/12)-1)</f>
        <v>0</v>
      </c>
      <c r="W193" s="1312">
        <f t="shared" si="83"/>
        <v>0</v>
      </c>
      <c r="X193" s="1312">
        <f>IF(AND(C193&gt;$F$64,'Instrumentos Financeiros'!C193&lt;'Instrumentos Financeiros'!$F$64+'Instrumentos Financeiros'!$F$11+1),PMT(((1+'Instrumentos Financeiros'!$H$43)^(1/12)-1),$F$11,-$I$64),0)</f>
        <v>0</v>
      </c>
      <c r="Y193" s="1312">
        <f t="shared" si="115"/>
        <v>0</v>
      </c>
      <c r="Z193" s="1312">
        <f>AA192*((1+'Instrumentos Financeiros'!$H$43)^(1/12)-1)</f>
        <v>0</v>
      </c>
      <c r="AA193" s="1312">
        <f t="shared" si="84"/>
        <v>0</v>
      </c>
      <c r="AB193" s="1312">
        <f>IF(AND(C193&gt;$F$65,'Instrumentos Financeiros'!C193&lt;'Instrumentos Financeiros'!$F$65+'Instrumentos Financeiros'!$F$11+1),PMT(((1+'Instrumentos Financeiros'!$H$43)^(1/12)-1),$F$11,-$I$65),0)</f>
        <v>76636.661022032335</v>
      </c>
      <c r="AC193" s="1312">
        <f t="shared" si="116"/>
        <v>37605.558041421828</v>
      </c>
      <c r="AD193" s="1312">
        <f>AE192*((1+'Instrumentos Financeiros'!$H$43)^(1/12)-1)</f>
        <v>39031.102980610507</v>
      </c>
      <c r="AE193" s="1312">
        <f t="shared" si="85"/>
        <v>8988991.4570892155</v>
      </c>
      <c r="AF193" s="1312">
        <f>IF(AND(C193&gt;$F$66,'Instrumentos Financeiros'!C193&lt;'Instrumentos Financeiros'!$F$66+'Instrumentos Financeiros'!$F$11+1),PMT(((1+'Instrumentos Financeiros'!$I$43)^(1/12)-1),$F$11,-$I$66),0)</f>
        <v>76636.661022032335</v>
      </c>
      <c r="AG193" s="1312">
        <f t="shared" si="117"/>
        <v>37121.925999752071</v>
      </c>
      <c r="AH193" s="1312">
        <f>AI192*((1+'Instrumentos Financeiros'!$I$43)^(1/12)-1)</f>
        <v>39514.735022280263</v>
      </c>
      <c r="AI193" s="1312">
        <f t="shared" si="86"/>
        <v>9101323.1080281865</v>
      </c>
      <c r="AJ193" s="1312">
        <f>IF(AND(C193&gt;$F$67,'Instrumentos Financeiros'!C193&lt;'Instrumentos Financeiros'!$F$67+'Instrumentos Financeiros'!$F$11+1),PMT(((1+'Instrumentos Financeiros'!$I$43)^(1/12)-1),$F$11,-$I$67),0)</f>
        <v>76636.661022032335</v>
      </c>
      <c r="AK193" s="1312">
        <f t="shared" si="118"/>
        <v>36644.513782063426</v>
      </c>
      <c r="AL193" s="1312">
        <f>AM192*((1+'Instrumentos Financeiros'!$I$43)^(1/12)-1)</f>
        <v>39992.147239968908</v>
      </c>
      <c r="AM193" s="1312">
        <f t="shared" si="87"/>
        <v>9212210.1005571447</v>
      </c>
      <c r="AN193" s="1312">
        <f>IF(AND(C193&gt;$F$68,'Instrumentos Financeiros'!C193&lt;'Instrumentos Financeiros'!$F$68+'Instrumentos Financeiros'!$F$11+1),PMT(((1+'Instrumentos Financeiros'!$I$43)^(1/12)-1),$F$11,-$I$68),0)</f>
        <v>76636.661022032335</v>
      </c>
      <c r="AO193" s="1312">
        <f t="shared" si="119"/>
        <v>36173.241397356505</v>
      </c>
      <c r="AP193" s="1312">
        <f>AQ192*((1+'Instrumentos Financeiros'!$I$43)^(1/12)-1)</f>
        <v>40463.419624675829</v>
      </c>
      <c r="AQ193" s="1312">
        <f t="shared" si="88"/>
        <v>9321671.0139269456</v>
      </c>
      <c r="AR193" s="1312">
        <f>IF(AND(C193&gt;$F$69,'Instrumentos Financeiros'!C193&lt;'Instrumentos Financeiros'!$F$69+'Instrumentos Financeiros'!$F$11+1),PMT(((1+'Instrumentos Financeiros'!$I$43)^(1/12)-1),$F$11,-$I$69),0)</f>
        <v>0</v>
      </c>
      <c r="AS193" s="1312">
        <f t="shared" si="120"/>
        <v>0</v>
      </c>
      <c r="AT193" s="1312">
        <f>AU192*((1+'Instrumentos Financeiros'!$I$43)^(1/12)-1)</f>
        <v>0</v>
      </c>
      <c r="AU193" s="1312">
        <f t="shared" si="89"/>
        <v>0</v>
      </c>
      <c r="AV193" s="1312">
        <f>IF(AND(C193&gt;$F$70,'Instrumentos Financeiros'!C193&lt;'Instrumentos Financeiros'!$F$70+'Instrumentos Financeiros'!$F$11+1),PMT(((1+'Instrumentos Financeiros'!$J$43)^(1/12)-1),$F$11,-$I$70),0)</f>
        <v>0</v>
      </c>
      <c r="AW193" s="1312">
        <f t="shared" si="121"/>
        <v>0</v>
      </c>
      <c r="AX193" s="1312">
        <f>AY192*((1+'Instrumentos Financeiros'!$J$43)^(1/12)-1)</f>
        <v>0</v>
      </c>
      <c r="AY193" s="1312">
        <f t="shared" si="90"/>
        <v>0</v>
      </c>
      <c r="AZ193" s="1312">
        <f>IF(AND(C193&gt;$F$71,'Instrumentos Financeiros'!C193&lt;'Instrumentos Financeiros'!$F$71+'Instrumentos Financeiros'!$F$11+1),PMT(((1+'Instrumentos Financeiros'!$J$43)^(1/12)-1),$F$11,-$I$71),0)</f>
        <v>0</v>
      </c>
      <c r="BA193" s="1312">
        <f t="shared" si="122"/>
        <v>0</v>
      </c>
      <c r="BB193" s="1312">
        <f>BC192*((1+'Instrumentos Financeiros'!$J$43)^(1/12)-1)</f>
        <v>0</v>
      </c>
      <c r="BC193" s="1312">
        <f t="shared" si="91"/>
        <v>0</v>
      </c>
      <c r="BD193" s="1312">
        <f>IF(AND(C193&gt;$F$72,'Instrumentos Financeiros'!C193&lt;'Instrumentos Financeiros'!$F$72+'Instrumentos Financeiros'!$F$11+1),PMT(((1+'Instrumentos Financeiros'!$J$43)^(1/12)-1),$F$11,-'Instrumentos Financeiros'!$G$7*$G$72),0)</f>
        <v>0</v>
      </c>
      <c r="BE193" s="1312">
        <f t="shared" si="123"/>
        <v>0</v>
      </c>
      <c r="BF193" s="1312">
        <f>BG192*((1+'Instrumentos Financeiros'!$J$43)^(1/12)-1)</f>
        <v>0</v>
      </c>
      <c r="BG193" s="1312">
        <f t="shared" si="92"/>
        <v>0</v>
      </c>
      <c r="BH193" s="1312">
        <f>IF(AND(C193&gt;$F$73,'Instrumentos Financeiros'!C193&lt;'Instrumentos Financeiros'!$F$73+'Instrumentos Financeiros'!$F$11+1),PMT(((1+'Instrumentos Financeiros'!$J$43)^(1/12)-1),$F$11,-$I$73),0)</f>
        <v>0</v>
      </c>
      <c r="BI193" s="1312">
        <f t="shared" si="124"/>
        <v>0</v>
      </c>
      <c r="BJ193" s="1312">
        <f>BK192*((1+'Instrumentos Financeiros'!$J$43)^(1/12)-1)</f>
        <v>0</v>
      </c>
      <c r="BK193" s="1312">
        <f t="shared" si="93"/>
        <v>0</v>
      </c>
      <c r="BL193" s="1312">
        <f>IF(AND(C193&gt;$F$77,'Instrumentos Financeiros'!C193&lt;'Instrumentos Financeiros'!$F$77+'Instrumentos Financeiros'!$F$12+1),PMT(((1+'Instrumentos Financeiros'!$K$43)^(1/12)-1),$F$12,-$I$77),0)</f>
        <v>368.57912678094596</v>
      </c>
      <c r="BM193" s="1312">
        <f t="shared" si="94"/>
        <v>171.73548922879246</v>
      </c>
      <c r="BN193" s="1312">
        <f>BO192*((1+'Instrumentos Financeiros'!$K$43)^(1/12)-1)</f>
        <v>196.8436375521535</v>
      </c>
      <c r="BO193" s="1312">
        <f t="shared" si="95"/>
        <v>45351.656254489069</v>
      </c>
      <c r="BP193" s="1312">
        <f>IF(AND(C193&gt;$F$78,'Instrumentos Financeiros'!C193&lt;'Instrumentos Financeiros'!$F$78+'Instrumentos Financeiros'!$F$12+1),PMT(((1+'Instrumentos Financeiros'!$L$43)^(1/12)-1),$F$12,-$I$78),0)</f>
        <v>368.57912678094596</v>
      </c>
      <c r="BQ193" s="1312">
        <f t="shared" si="96"/>
        <v>169.52685865372186</v>
      </c>
      <c r="BR193" s="1312">
        <f>BS192*((1+'Instrumentos Financeiros'!$L$43)^(1/12)-1)</f>
        <v>199.0522681272241</v>
      </c>
      <c r="BS193" s="1312">
        <f t="shared" si="97"/>
        <v>45864.647738583866</v>
      </c>
      <c r="BT193" s="1312">
        <f>IF(AND(C193&gt;$F$79,'Instrumentos Financeiros'!C193&lt;'Instrumentos Financeiros'!$F$79+'Instrumentos Financeiros'!$F$12+1),PMT(((1+'Instrumentos Financeiros'!$L$43)^(1/12)-1),$F$12,-$I$79),0)</f>
        <v>0</v>
      </c>
      <c r="BU193" s="1312">
        <f t="shared" si="98"/>
        <v>0</v>
      </c>
      <c r="BV193" s="1312">
        <f>BW192*((1+'Instrumentos Financeiros'!$L$43)^(1/12)-1)</f>
        <v>0</v>
      </c>
      <c r="BW193" s="1312">
        <f t="shared" si="99"/>
        <v>0</v>
      </c>
      <c r="BX193" s="1312">
        <f>IF(AND(C193&gt;$F$80,'Instrumentos Financeiros'!C193&lt;'Instrumentos Financeiros'!$F$80+'Instrumentos Financeiros'!$F$12+1),PMT(((1+'Instrumentos Financeiros'!$L$43)^(1/12)-1),$F$12,-$I$80),0)</f>
        <v>0</v>
      </c>
      <c r="BY193" s="1312">
        <f t="shared" si="100"/>
        <v>0</v>
      </c>
      <c r="BZ193" s="1312">
        <f>CA192*((1+'Instrumentos Financeiros'!$L$43)^(1/12)-1)</f>
        <v>0</v>
      </c>
      <c r="CA193" s="1312">
        <f t="shared" si="101"/>
        <v>0</v>
      </c>
      <c r="CB193" s="1312">
        <f>IF(AND(C193&gt;$F$83,'Instrumentos Financeiros'!C193&lt;'Instrumentos Financeiros'!$F$83+'Instrumentos Financeiros'!$F$13+1),PMT(((1+'Instrumentos Financeiros'!$P$43)^(1/12)-1),$F$13,-$I$83),0)</f>
        <v>0</v>
      </c>
      <c r="CC193" s="1312">
        <f t="shared" si="102"/>
        <v>0</v>
      </c>
      <c r="CD193" s="1312">
        <f>CE192*((1+'Instrumentos Financeiros'!$P$43)^(1/12)-1)</f>
        <v>0</v>
      </c>
      <c r="CE193" s="1312">
        <f t="shared" si="103"/>
        <v>0</v>
      </c>
      <c r="CF193" s="1312">
        <f>IF(AND(C193&gt;$F$84,'Instrumentos Financeiros'!C193&lt;'Instrumentos Financeiros'!$F$84+'Instrumentos Financeiros'!$F$13+1),PMT(((1+'Instrumentos Financeiros'!$Q$43)^(1/12)-1),$F$13,-$I$84),0)</f>
        <v>0</v>
      </c>
      <c r="CG193" s="1312">
        <f t="shared" si="104"/>
        <v>0</v>
      </c>
      <c r="CH193" s="1312">
        <f>CI192*((1+'Instrumentos Financeiros'!$Q$43)^(1/12)-1)</f>
        <v>0</v>
      </c>
      <c r="CI193" s="1312">
        <f t="shared" si="105"/>
        <v>0</v>
      </c>
      <c r="CJ193" s="1312">
        <f>IF(AND(C193&gt;$F$85,'Instrumentos Financeiros'!C193&lt;'Instrumentos Financeiros'!$F$85+'Instrumentos Financeiros'!$F$13+1),PMT(((1+'Instrumentos Financeiros'!$Q$43)^(1/12)-1),$F$13,-$I$85),0)</f>
        <v>0</v>
      </c>
      <c r="CK193" s="1312">
        <f t="shared" si="106"/>
        <v>0</v>
      </c>
      <c r="CL193" s="1312">
        <f>CM192*((1+'Instrumentos Financeiros'!$Q$43)^(1/12)-1)</f>
        <v>0</v>
      </c>
      <c r="CM193" s="1312">
        <f t="shared" si="107"/>
        <v>0</v>
      </c>
      <c r="CN193" s="1312">
        <f>IF(AND(C193&gt;$F$86,'Instrumentos Financeiros'!C193&lt;'Instrumentos Financeiros'!$F$86+'Instrumentos Financeiros'!$F$13+1),PMT(((1+'Instrumentos Financeiros'!$Q$43)^(1/12)-1),$F$13,-$I$86),0)</f>
        <v>0</v>
      </c>
      <c r="CO193" s="1312">
        <f t="shared" si="108"/>
        <v>0</v>
      </c>
      <c r="CP193" s="1312">
        <f>CQ192*((1+'Instrumentos Financeiros'!$Q$43)^(1/12)-1)</f>
        <v>0</v>
      </c>
      <c r="CQ193" s="1312">
        <f t="shared" si="109"/>
        <v>0</v>
      </c>
      <c r="CR193" s="1312">
        <f t="shared" si="78"/>
        <v>399052.39197759138</v>
      </c>
      <c r="CS193" s="1312">
        <f t="shared" si="78"/>
        <v>198310.47182809192</v>
      </c>
      <c r="CT193" s="1312">
        <f t="shared" si="78"/>
        <v>200741.9201494994</v>
      </c>
      <c r="CU193" s="1312">
        <f t="shared" si="78"/>
        <v>46794003.049394123</v>
      </c>
    </row>
    <row r="194" spans="3:99" x14ac:dyDescent="0.35">
      <c r="C194" s="1315">
        <f t="shared" si="79"/>
        <v>101</v>
      </c>
      <c r="D194" s="1312">
        <f>IF(AND(C194&gt;$F$59,'Instrumentos Financeiros'!C194&lt;'Instrumentos Financeiros'!$F$59+'Instrumentos Financeiros'!$F$11+1),PMT(((1+'Instrumentos Financeiros'!$G$43)^(1/12)-1),$F$11,-$I$59),0)</f>
        <v>91768.589635900134</v>
      </c>
      <c r="E194" s="1312">
        <f t="shared" si="76"/>
        <v>50629.7908503051</v>
      </c>
      <c r="F194" s="1312">
        <f>G193*((1+'Instrumentos Financeiros'!$G$43)^(1/12)-1)</f>
        <v>41138.798785595034</v>
      </c>
      <c r="G194" s="1312">
        <f t="shared" si="110"/>
        <v>10027961.274949241</v>
      </c>
      <c r="H194" s="1312">
        <f>IF(AND(C194&gt;$F$60,'Instrumentos Financeiros'!C194&lt;'Instrumentos Financeiros'!$F$60+'Instrumentos Financeiros'!$F$11+1),PMT(((1+'Instrumentos Financeiros'!$G$43)^(1/12)-1),$F$11,-$I$60),0)</f>
        <v>0</v>
      </c>
      <c r="I194" s="1312">
        <f t="shared" si="111"/>
        <v>0</v>
      </c>
      <c r="J194" s="1312">
        <f>K193*((1+'Instrumentos Financeiros'!$G$43)^(1/12)-1)</f>
        <v>0</v>
      </c>
      <c r="K194" s="1312">
        <f t="shared" si="80"/>
        <v>0</v>
      </c>
      <c r="L194" s="1312">
        <f>IF(AND(C194&gt;$F$61,'Instrumentos Financeiros'!C194&lt;'Instrumentos Financeiros'!$F$61+'Instrumentos Financeiros'!$F$11+1),PMT(((1+'Instrumentos Financeiros'!$G$43)^(1/12)-1),$F$11,-$I$61),0)</f>
        <v>0</v>
      </c>
      <c r="M194" s="1312">
        <f t="shared" si="112"/>
        <v>0</v>
      </c>
      <c r="N194" s="1312">
        <f>O193*((1+'Instrumentos Financeiros'!$G$43)^(1/12)-1)</f>
        <v>0</v>
      </c>
      <c r="O194" s="1312">
        <f t="shared" si="81"/>
        <v>0</v>
      </c>
      <c r="P194" s="1312">
        <f>IF(AND(C194&gt;$F$62,'Instrumentos Financeiros'!C194&lt;'Instrumentos Financeiros'!$F$62+'Instrumentos Financeiros'!$F$11+1),PMT(((1+'Instrumentos Financeiros'!$H$43)^(1/12)-1),$F$11,-$I$62),0)</f>
        <v>0</v>
      </c>
      <c r="Q194" s="1312">
        <f t="shared" si="113"/>
        <v>0</v>
      </c>
      <c r="R194" s="1312">
        <f>S193*((1+'Instrumentos Financeiros'!$H$43)^(1/12)-1)</f>
        <v>0</v>
      </c>
      <c r="S194" s="1312">
        <f t="shared" si="82"/>
        <v>0</v>
      </c>
      <c r="T194" s="1312">
        <f>IF(AND(C194&gt;$F$63,'Instrumentos Financeiros'!C194&lt;'Instrumentos Financeiros'!$F$63+'Instrumentos Financeiros'!$F$11+1),PMT(((1+'Instrumentos Financeiros'!$H$43)^(1/12)-1),$F$11,-$I$63),0)</f>
        <v>0</v>
      </c>
      <c r="U194" s="1312">
        <f t="shared" si="114"/>
        <v>0</v>
      </c>
      <c r="V194" s="1312">
        <f>W193*((1+'Instrumentos Financeiros'!$H$43)^(1/12)-1)</f>
        <v>0</v>
      </c>
      <c r="W194" s="1312">
        <f t="shared" si="83"/>
        <v>0</v>
      </c>
      <c r="X194" s="1312">
        <f>IF(AND(C194&gt;$F$64,'Instrumentos Financeiros'!C194&lt;'Instrumentos Financeiros'!$F$64+'Instrumentos Financeiros'!$F$11+1),PMT(((1+'Instrumentos Financeiros'!$H$43)^(1/12)-1),$F$11,-$I$64),0)</f>
        <v>0</v>
      </c>
      <c r="Y194" s="1312">
        <f t="shared" si="115"/>
        <v>0</v>
      </c>
      <c r="Z194" s="1312">
        <f>AA193*((1+'Instrumentos Financeiros'!$H$43)^(1/12)-1)</f>
        <v>0</v>
      </c>
      <c r="AA194" s="1312">
        <f t="shared" si="84"/>
        <v>0</v>
      </c>
      <c r="AB194" s="1312">
        <f>IF(AND(C194&gt;$F$65,'Instrumentos Financeiros'!C194&lt;'Instrumentos Financeiros'!$F$65+'Instrumentos Financeiros'!$F$11+1),PMT(((1+'Instrumentos Financeiros'!$H$43)^(1/12)-1),$F$11,-$I$65),0)</f>
        <v>76636.661022032335</v>
      </c>
      <c r="AC194" s="1312">
        <f t="shared" si="116"/>
        <v>37768.164880532706</v>
      </c>
      <c r="AD194" s="1312">
        <f>AE193*((1+'Instrumentos Financeiros'!$H$43)^(1/12)-1)</f>
        <v>38868.496141499629</v>
      </c>
      <c r="AE194" s="1312">
        <f t="shared" si="85"/>
        <v>8951223.2922086827</v>
      </c>
      <c r="AF194" s="1312">
        <f>IF(AND(C194&gt;$F$66,'Instrumentos Financeiros'!C194&lt;'Instrumentos Financeiros'!$F$66+'Instrumentos Financeiros'!$F$11+1),PMT(((1+'Instrumentos Financeiros'!$I$43)^(1/12)-1),$F$11,-$I$66),0)</f>
        <v>76636.661022032335</v>
      </c>
      <c r="AG194" s="1312">
        <f t="shared" si="117"/>
        <v>37282.441608691537</v>
      </c>
      <c r="AH194" s="1312">
        <f>AI193*((1+'Instrumentos Financeiros'!$I$43)^(1/12)-1)</f>
        <v>39354.219413340797</v>
      </c>
      <c r="AI194" s="1312">
        <f t="shared" si="86"/>
        <v>9064040.6664194949</v>
      </c>
      <c r="AJ194" s="1312">
        <f>IF(AND(C194&gt;$F$67,'Instrumentos Financeiros'!C194&lt;'Instrumentos Financeiros'!$F$67+'Instrumentos Financeiros'!$F$11+1),PMT(((1+'Instrumentos Financeiros'!$I$43)^(1/12)-1),$F$11,-$I$67),0)</f>
        <v>76636.661022032335</v>
      </c>
      <c r="AK194" s="1312">
        <f t="shared" si="118"/>
        <v>36802.965055417568</v>
      </c>
      <c r="AL194" s="1312">
        <f>AM193*((1+'Instrumentos Financeiros'!$I$43)^(1/12)-1)</f>
        <v>39833.695966614767</v>
      </c>
      <c r="AM194" s="1312">
        <f t="shared" si="87"/>
        <v>9175407.1355017275</v>
      </c>
      <c r="AN194" s="1312">
        <f>IF(AND(C194&gt;$F$68,'Instrumentos Financeiros'!C194&lt;'Instrumentos Financeiros'!$F$68+'Instrumentos Financeiros'!$F$11+1),PMT(((1+'Instrumentos Financeiros'!$I$43)^(1/12)-1),$F$11,-$I$68),0)</f>
        <v>76636.661022032335</v>
      </c>
      <c r="AO194" s="1312">
        <f t="shared" si="119"/>
        <v>36329.654883829433</v>
      </c>
      <c r="AP194" s="1312">
        <f>AQ193*((1+'Instrumentos Financeiros'!$I$43)^(1/12)-1)</f>
        <v>40307.006138202902</v>
      </c>
      <c r="AQ194" s="1312">
        <f t="shared" si="88"/>
        <v>9285341.3590431157</v>
      </c>
      <c r="AR194" s="1312">
        <f>IF(AND(C194&gt;$F$69,'Instrumentos Financeiros'!C194&lt;'Instrumentos Financeiros'!$F$69+'Instrumentos Financeiros'!$F$11+1),PMT(((1+'Instrumentos Financeiros'!$I$43)^(1/12)-1),$F$11,-$I$69),0)</f>
        <v>0</v>
      </c>
      <c r="AS194" s="1312">
        <f t="shared" si="120"/>
        <v>0</v>
      </c>
      <c r="AT194" s="1312">
        <f>AU193*((1+'Instrumentos Financeiros'!$I$43)^(1/12)-1)</f>
        <v>0</v>
      </c>
      <c r="AU194" s="1312">
        <f t="shared" si="89"/>
        <v>0</v>
      </c>
      <c r="AV194" s="1312">
        <f>IF(AND(C194&gt;$F$70,'Instrumentos Financeiros'!C194&lt;'Instrumentos Financeiros'!$F$70+'Instrumentos Financeiros'!$F$11+1),PMT(((1+'Instrumentos Financeiros'!$J$43)^(1/12)-1),$F$11,-$I$70),0)</f>
        <v>0</v>
      </c>
      <c r="AW194" s="1312">
        <f t="shared" si="121"/>
        <v>0</v>
      </c>
      <c r="AX194" s="1312">
        <f>AY193*((1+'Instrumentos Financeiros'!$J$43)^(1/12)-1)</f>
        <v>0</v>
      </c>
      <c r="AY194" s="1312">
        <f t="shared" si="90"/>
        <v>0</v>
      </c>
      <c r="AZ194" s="1312">
        <f>IF(AND(C194&gt;$F$71,'Instrumentos Financeiros'!C194&lt;'Instrumentos Financeiros'!$F$71+'Instrumentos Financeiros'!$F$11+1),PMT(((1+'Instrumentos Financeiros'!$J$43)^(1/12)-1),$F$11,-$I$71),0)</f>
        <v>0</v>
      </c>
      <c r="BA194" s="1312">
        <f t="shared" si="122"/>
        <v>0</v>
      </c>
      <c r="BB194" s="1312">
        <f>BC193*((1+'Instrumentos Financeiros'!$J$43)^(1/12)-1)</f>
        <v>0</v>
      </c>
      <c r="BC194" s="1312">
        <f t="shared" si="91"/>
        <v>0</v>
      </c>
      <c r="BD194" s="1312">
        <f>IF(AND(C194&gt;$F$72,'Instrumentos Financeiros'!C194&lt;'Instrumentos Financeiros'!$F$72+'Instrumentos Financeiros'!$F$11+1),PMT(((1+'Instrumentos Financeiros'!$J$43)^(1/12)-1),$F$11,-'Instrumentos Financeiros'!$G$7*$G$72),0)</f>
        <v>0</v>
      </c>
      <c r="BE194" s="1312">
        <f t="shared" si="123"/>
        <v>0</v>
      </c>
      <c r="BF194" s="1312">
        <f>BG193*((1+'Instrumentos Financeiros'!$J$43)^(1/12)-1)</f>
        <v>0</v>
      </c>
      <c r="BG194" s="1312">
        <f t="shared" si="92"/>
        <v>0</v>
      </c>
      <c r="BH194" s="1312">
        <f>IF(AND(C194&gt;$F$73,'Instrumentos Financeiros'!C194&lt;'Instrumentos Financeiros'!$F$73+'Instrumentos Financeiros'!$F$11+1),PMT(((1+'Instrumentos Financeiros'!$J$43)^(1/12)-1),$F$11,-$I$73),0)</f>
        <v>0</v>
      </c>
      <c r="BI194" s="1312">
        <f t="shared" si="124"/>
        <v>0</v>
      </c>
      <c r="BJ194" s="1312">
        <f>BK193*((1+'Instrumentos Financeiros'!$J$43)^(1/12)-1)</f>
        <v>0</v>
      </c>
      <c r="BK194" s="1312">
        <f t="shared" si="93"/>
        <v>0</v>
      </c>
      <c r="BL194" s="1312">
        <f>IF(AND(C194&gt;$F$77,'Instrumentos Financeiros'!C194&lt;'Instrumentos Financeiros'!$F$77+'Instrumentos Financeiros'!$F$12+1),PMT(((1+'Instrumentos Financeiros'!$K$43)^(1/12)-1),$F$12,-$I$77),0)</f>
        <v>368.57912678094596</v>
      </c>
      <c r="BM194" s="1312">
        <f t="shared" si="94"/>
        <v>172.47807533895985</v>
      </c>
      <c r="BN194" s="1312">
        <f>BO193*((1+'Instrumentos Financeiros'!$K$43)^(1/12)-1)</f>
        <v>196.1010514419861</v>
      </c>
      <c r="BO194" s="1312">
        <f t="shared" si="95"/>
        <v>45179.178179150113</v>
      </c>
      <c r="BP194" s="1312">
        <f>IF(AND(C194&gt;$F$78,'Instrumentos Financeiros'!C194&lt;'Instrumentos Financeiros'!$F$78+'Instrumentos Financeiros'!$F$12+1),PMT(((1+'Instrumentos Financeiros'!$L$43)^(1/12)-1),$F$12,-$I$78),0)</f>
        <v>368.57912678094596</v>
      </c>
      <c r="BQ194" s="1312">
        <f t="shared" si="96"/>
        <v>170.25989462142945</v>
      </c>
      <c r="BR194" s="1312">
        <f>BS193*((1+'Instrumentos Financeiros'!$L$43)^(1/12)-1)</f>
        <v>198.3192321595165</v>
      </c>
      <c r="BS194" s="1312">
        <f t="shared" si="97"/>
        <v>45694.387843962439</v>
      </c>
      <c r="BT194" s="1312">
        <f>IF(AND(C194&gt;$F$79,'Instrumentos Financeiros'!C194&lt;'Instrumentos Financeiros'!$F$79+'Instrumentos Financeiros'!$F$12+1),PMT(((1+'Instrumentos Financeiros'!$L$43)^(1/12)-1),$F$12,-$I$79),0)</f>
        <v>0</v>
      </c>
      <c r="BU194" s="1312">
        <f t="shared" si="98"/>
        <v>0</v>
      </c>
      <c r="BV194" s="1312">
        <f>BW193*((1+'Instrumentos Financeiros'!$L$43)^(1/12)-1)</f>
        <v>0</v>
      </c>
      <c r="BW194" s="1312">
        <f t="shared" si="99"/>
        <v>0</v>
      </c>
      <c r="BX194" s="1312">
        <f>IF(AND(C194&gt;$F$80,'Instrumentos Financeiros'!C194&lt;'Instrumentos Financeiros'!$F$80+'Instrumentos Financeiros'!$F$12+1),PMT(((1+'Instrumentos Financeiros'!$L$43)^(1/12)-1),$F$12,-$I$80),0)</f>
        <v>0</v>
      </c>
      <c r="BY194" s="1312">
        <f t="shared" si="100"/>
        <v>0</v>
      </c>
      <c r="BZ194" s="1312">
        <f>CA193*((1+'Instrumentos Financeiros'!$L$43)^(1/12)-1)</f>
        <v>0</v>
      </c>
      <c r="CA194" s="1312">
        <f t="shared" si="101"/>
        <v>0</v>
      </c>
      <c r="CB194" s="1312">
        <f>IF(AND(C194&gt;$F$83,'Instrumentos Financeiros'!C194&lt;'Instrumentos Financeiros'!$F$83+'Instrumentos Financeiros'!$F$13+1),PMT(((1+'Instrumentos Financeiros'!$P$43)^(1/12)-1),$F$13,-$I$83),0)</f>
        <v>0</v>
      </c>
      <c r="CC194" s="1312">
        <f t="shared" si="102"/>
        <v>0</v>
      </c>
      <c r="CD194" s="1312">
        <f>CE193*((1+'Instrumentos Financeiros'!$P$43)^(1/12)-1)</f>
        <v>0</v>
      </c>
      <c r="CE194" s="1312">
        <f t="shared" si="103"/>
        <v>0</v>
      </c>
      <c r="CF194" s="1312">
        <f>IF(AND(C194&gt;$F$84,'Instrumentos Financeiros'!C194&lt;'Instrumentos Financeiros'!$F$84+'Instrumentos Financeiros'!$F$13+1),PMT(((1+'Instrumentos Financeiros'!$Q$43)^(1/12)-1),$F$13,-$I$84),0)</f>
        <v>0</v>
      </c>
      <c r="CG194" s="1312">
        <f t="shared" si="104"/>
        <v>0</v>
      </c>
      <c r="CH194" s="1312">
        <f>CI193*((1+'Instrumentos Financeiros'!$Q$43)^(1/12)-1)</f>
        <v>0</v>
      </c>
      <c r="CI194" s="1312">
        <f t="shared" si="105"/>
        <v>0</v>
      </c>
      <c r="CJ194" s="1312">
        <f>IF(AND(C194&gt;$F$85,'Instrumentos Financeiros'!C194&lt;'Instrumentos Financeiros'!$F$85+'Instrumentos Financeiros'!$F$13+1),PMT(((1+'Instrumentos Financeiros'!$Q$43)^(1/12)-1),$F$13,-$I$85),0)</f>
        <v>0</v>
      </c>
      <c r="CK194" s="1312">
        <f t="shared" si="106"/>
        <v>0</v>
      </c>
      <c r="CL194" s="1312">
        <f>CM193*((1+'Instrumentos Financeiros'!$Q$43)^(1/12)-1)</f>
        <v>0</v>
      </c>
      <c r="CM194" s="1312">
        <f t="shared" si="107"/>
        <v>0</v>
      </c>
      <c r="CN194" s="1312">
        <f>IF(AND(C194&gt;$F$86,'Instrumentos Financeiros'!C194&lt;'Instrumentos Financeiros'!$F$86+'Instrumentos Financeiros'!$F$13+1),PMT(((1+'Instrumentos Financeiros'!$Q$43)^(1/12)-1),$F$13,-$I$86),0)</f>
        <v>0</v>
      </c>
      <c r="CO194" s="1312">
        <f t="shared" si="108"/>
        <v>0</v>
      </c>
      <c r="CP194" s="1312">
        <f>CQ193*((1+'Instrumentos Financeiros'!$Q$43)^(1/12)-1)</f>
        <v>0</v>
      </c>
      <c r="CQ194" s="1312">
        <f t="shared" si="109"/>
        <v>0</v>
      </c>
      <c r="CR194" s="1312">
        <f t="shared" si="78"/>
        <v>399052.39197759138</v>
      </c>
      <c r="CS194" s="1312">
        <f t="shared" si="78"/>
        <v>199155.75524873674</v>
      </c>
      <c r="CT194" s="1312">
        <f t="shared" si="78"/>
        <v>199896.63672885462</v>
      </c>
      <c r="CU194" s="1312">
        <f t="shared" si="78"/>
        <v>46594847.294145368</v>
      </c>
    </row>
    <row r="195" spans="3:99" x14ac:dyDescent="0.35">
      <c r="C195" s="1315">
        <f t="shared" si="79"/>
        <v>102</v>
      </c>
      <c r="D195" s="1312">
        <f>IF(AND(C195&gt;$F$59,'Instrumentos Financeiros'!C195&lt;'Instrumentos Financeiros'!$F$59+'Instrumentos Financeiros'!$F$11+1),PMT(((1+'Instrumentos Financeiros'!$G$43)^(1/12)-1),$F$11,-$I$59),0)</f>
        <v>91768.589635900134</v>
      </c>
      <c r="E195" s="1312">
        <f t="shared" si="76"/>
        <v>50836.451559599613</v>
      </c>
      <c r="F195" s="1312">
        <f>G194*((1+'Instrumentos Financeiros'!$G$43)^(1/12)-1)</f>
        <v>40932.138076300522</v>
      </c>
      <c r="G195" s="1312">
        <f t="shared" si="110"/>
        <v>9977124.8233896419</v>
      </c>
      <c r="H195" s="1312">
        <f>IF(AND(C195&gt;$F$60,'Instrumentos Financeiros'!C195&lt;'Instrumentos Financeiros'!$F$60+'Instrumentos Financeiros'!$F$11+1),PMT(((1+'Instrumentos Financeiros'!$G$43)^(1/12)-1),$F$11,-$I$60),0)</f>
        <v>0</v>
      </c>
      <c r="I195" s="1312">
        <f t="shared" si="111"/>
        <v>0</v>
      </c>
      <c r="J195" s="1312">
        <f>K194*((1+'Instrumentos Financeiros'!$G$43)^(1/12)-1)</f>
        <v>0</v>
      </c>
      <c r="K195" s="1312">
        <f t="shared" si="80"/>
        <v>0</v>
      </c>
      <c r="L195" s="1312">
        <f>IF(AND(C195&gt;$F$61,'Instrumentos Financeiros'!C195&lt;'Instrumentos Financeiros'!$F$61+'Instrumentos Financeiros'!$F$11+1),PMT(((1+'Instrumentos Financeiros'!$G$43)^(1/12)-1),$F$11,-$I$61),0)</f>
        <v>0</v>
      </c>
      <c r="M195" s="1312">
        <f t="shared" si="112"/>
        <v>0</v>
      </c>
      <c r="N195" s="1312">
        <f>O194*((1+'Instrumentos Financeiros'!$G$43)^(1/12)-1)</f>
        <v>0</v>
      </c>
      <c r="O195" s="1312">
        <f t="shared" si="81"/>
        <v>0</v>
      </c>
      <c r="P195" s="1312">
        <f>IF(AND(C195&gt;$F$62,'Instrumentos Financeiros'!C195&lt;'Instrumentos Financeiros'!$F$62+'Instrumentos Financeiros'!$F$11+1),PMT(((1+'Instrumentos Financeiros'!$H$43)^(1/12)-1),$F$11,-$I$62),0)</f>
        <v>0</v>
      </c>
      <c r="Q195" s="1312">
        <f t="shared" si="113"/>
        <v>0</v>
      </c>
      <c r="R195" s="1312">
        <f>S194*((1+'Instrumentos Financeiros'!$H$43)^(1/12)-1)</f>
        <v>0</v>
      </c>
      <c r="S195" s="1312">
        <f t="shared" si="82"/>
        <v>0</v>
      </c>
      <c r="T195" s="1312">
        <f>IF(AND(C195&gt;$F$63,'Instrumentos Financeiros'!C195&lt;'Instrumentos Financeiros'!$F$63+'Instrumentos Financeiros'!$F$11+1),PMT(((1+'Instrumentos Financeiros'!$H$43)^(1/12)-1),$F$11,-$I$63),0)</f>
        <v>0</v>
      </c>
      <c r="U195" s="1312">
        <f t="shared" si="114"/>
        <v>0</v>
      </c>
      <c r="V195" s="1312">
        <f>W194*((1+'Instrumentos Financeiros'!$H$43)^(1/12)-1)</f>
        <v>0</v>
      </c>
      <c r="W195" s="1312">
        <f t="shared" si="83"/>
        <v>0</v>
      </c>
      <c r="X195" s="1312">
        <f>IF(AND(C195&gt;$F$64,'Instrumentos Financeiros'!C195&lt;'Instrumentos Financeiros'!$F$64+'Instrumentos Financeiros'!$F$11+1),PMT(((1+'Instrumentos Financeiros'!$H$43)^(1/12)-1),$F$11,-$I$64),0)</f>
        <v>0</v>
      </c>
      <c r="Y195" s="1312">
        <f t="shared" si="115"/>
        <v>0</v>
      </c>
      <c r="Z195" s="1312">
        <f>AA194*((1+'Instrumentos Financeiros'!$H$43)^(1/12)-1)</f>
        <v>0</v>
      </c>
      <c r="AA195" s="1312">
        <f t="shared" si="84"/>
        <v>0</v>
      </c>
      <c r="AB195" s="1312">
        <f>IF(AND(C195&gt;$F$65,'Instrumentos Financeiros'!C195&lt;'Instrumentos Financeiros'!$F$65+'Instrumentos Financeiros'!$F$11+1),PMT(((1+'Instrumentos Financeiros'!$H$43)^(1/12)-1),$F$11,-$I$65),0)</f>
        <v>76636.661022032335</v>
      </c>
      <c r="AC195" s="1312">
        <f t="shared" si="116"/>
        <v>37931.474833372049</v>
      </c>
      <c r="AD195" s="1312">
        <f>AE194*((1+'Instrumentos Financeiros'!$H$43)^(1/12)-1)</f>
        <v>38705.186188660286</v>
      </c>
      <c r="AE195" s="1312">
        <f t="shared" si="85"/>
        <v>8913291.8173753098</v>
      </c>
      <c r="AF195" s="1312">
        <f>IF(AND(C195&gt;$F$66,'Instrumentos Financeiros'!C195&lt;'Instrumentos Financeiros'!$F$66+'Instrumentos Financeiros'!$F$11+1),PMT(((1+'Instrumentos Financeiros'!$I$43)^(1/12)-1),$F$11,-$I$66),0)</f>
        <v>76636.661022032335</v>
      </c>
      <c r="AG195" s="1312">
        <f t="shared" si="117"/>
        <v>37443.651288857633</v>
      </c>
      <c r="AH195" s="1312">
        <f>AI194*((1+'Instrumentos Financeiros'!$I$43)^(1/12)-1)</f>
        <v>39193.009733174702</v>
      </c>
      <c r="AI195" s="1312">
        <f t="shared" si="86"/>
        <v>9026597.0151306372</v>
      </c>
      <c r="AJ195" s="1312">
        <f>IF(AND(C195&gt;$F$67,'Instrumentos Financeiros'!C195&lt;'Instrumentos Financeiros'!$F$67+'Instrumentos Financeiros'!$F$11+1),PMT(((1+'Instrumentos Financeiros'!$I$43)^(1/12)-1),$F$11,-$I$67),0)</f>
        <v>76636.661022032335</v>
      </c>
      <c r="AK195" s="1312">
        <f t="shared" si="118"/>
        <v>36962.101473788964</v>
      </c>
      <c r="AL195" s="1312">
        <f>AM194*((1+'Instrumentos Financeiros'!$I$43)^(1/12)-1)</f>
        <v>39674.559548243371</v>
      </c>
      <c r="AM195" s="1312">
        <f t="shared" si="87"/>
        <v>9138445.0340279378</v>
      </c>
      <c r="AN195" s="1312">
        <f>IF(AND(C195&gt;$F$68,'Instrumentos Financeiros'!C195&lt;'Instrumentos Financeiros'!$F$68+'Instrumentos Financeiros'!$F$11+1),PMT(((1+'Instrumentos Financeiros'!$I$43)^(1/12)-1),$F$11,-$I$68),0)</f>
        <v>76636.661022032335</v>
      </c>
      <c r="AO195" s="1312">
        <f t="shared" si="119"/>
        <v>36486.744703907141</v>
      </c>
      <c r="AP195" s="1312">
        <f>AQ194*((1+'Instrumentos Financeiros'!$I$43)^(1/12)-1)</f>
        <v>40149.916318125193</v>
      </c>
      <c r="AQ195" s="1312">
        <f t="shared" si="88"/>
        <v>9248854.6143392082</v>
      </c>
      <c r="AR195" s="1312">
        <f>IF(AND(C195&gt;$F$69,'Instrumentos Financeiros'!C195&lt;'Instrumentos Financeiros'!$F$69+'Instrumentos Financeiros'!$F$11+1),PMT(((1+'Instrumentos Financeiros'!$I$43)^(1/12)-1),$F$11,-$I$69),0)</f>
        <v>0</v>
      </c>
      <c r="AS195" s="1312">
        <f t="shared" si="120"/>
        <v>0</v>
      </c>
      <c r="AT195" s="1312">
        <f>AU194*((1+'Instrumentos Financeiros'!$I$43)^(1/12)-1)</f>
        <v>0</v>
      </c>
      <c r="AU195" s="1312">
        <f t="shared" si="89"/>
        <v>0</v>
      </c>
      <c r="AV195" s="1312">
        <f>IF(AND(C195&gt;$F$70,'Instrumentos Financeiros'!C195&lt;'Instrumentos Financeiros'!$F$70+'Instrumentos Financeiros'!$F$11+1),PMT(((1+'Instrumentos Financeiros'!$J$43)^(1/12)-1),$F$11,-$I$70),0)</f>
        <v>0</v>
      </c>
      <c r="AW195" s="1312">
        <f t="shared" si="121"/>
        <v>0</v>
      </c>
      <c r="AX195" s="1312">
        <f>AY194*((1+'Instrumentos Financeiros'!$J$43)^(1/12)-1)</f>
        <v>0</v>
      </c>
      <c r="AY195" s="1312">
        <f t="shared" si="90"/>
        <v>0</v>
      </c>
      <c r="AZ195" s="1312">
        <f>IF(AND(C195&gt;$F$71,'Instrumentos Financeiros'!C195&lt;'Instrumentos Financeiros'!$F$71+'Instrumentos Financeiros'!$F$11+1),PMT(((1+'Instrumentos Financeiros'!$J$43)^(1/12)-1),$F$11,-$I$71),0)</f>
        <v>0</v>
      </c>
      <c r="BA195" s="1312">
        <f t="shared" si="122"/>
        <v>0</v>
      </c>
      <c r="BB195" s="1312">
        <f>BC194*((1+'Instrumentos Financeiros'!$J$43)^(1/12)-1)</f>
        <v>0</v>
      </c>
      <c r="BC195" s="1312">
        <f t="shared" si="91"/>
        <v>0</v>
      </c>
      <c r="BD195" s="1312">
        <f>IF(AND(C195&gt;$F$72,'Instrumentos Financeiros'!C195&lt;'Instrumentos Financeiros'!$F$72+'Instrumentos Financeiros'!$F$11+1),PMT(((1+'Instrumentos Financeiros'!$J$43)^(1/12)-1),$F$11,-'Instrumentos Financeiros'!$G$7*$G$72),0)</f>
        <v>0</v>
      </c>
      <c r="BE195" s="1312">
        <f t="shared" si="123"/>
        <v>0</v>
      </c>
      <c r="BF195" s="1312">
        <f>BG194*((1+'Instrumentos Financeiros'!$J$43)^(1/12)-1)</f>
        <v>0</v>
      </c>
      <c r="BG195" s="1312">
        <f t="shared" si="92"/>
        <v>0</v>
      </c>
      <c r="BH195" s="1312">
        <f>IF(AND(C195&gt;$F$73,'Instrumentos Financeiros'!C195&lt;'Instrumentos Financeiros'!$F$73+'Instrumentos Financeiros'!$F$11+1),PMT(((1+'Instrumentos Financeiros'!$J$43)^(1/12)-1),$F$11,-$I$73),0)</f>
        <v>0</v>
      </c>
      <c r="BI195" s="1312">
        <f t="shared" si="124"/>
        <v>0</v>
      </c>
      <c r="BJ195" s="1312">
        <f>BK194*((1+'Instrumentos Financeiros'!$J$43)^(1/12)-1)</f>
        <v>0</v>
      </c>
      <c r="BK195" s="1312">
        <f t="shared" si="93"/>
        <v>0</v>
      </c>
      <c r="BL195" s="1312">
        <f>IF(AND(C195&gt;$F$77,'Instrumentos Financeiros'!C195&lt;'Instrumentos Financeiros'!$F$77+'Instrumentos Financeiros'!$F$12+1),PMT(((1+'Instrumentos Financeiros'!$K$43)^(1/12)-1),$F$12,-$I$77),0)</f>
        <v>368.57912678094596</v>
      </c>
      <c r="BM195" s="1312">
        <f t="shared" si="94"/>
        <v>173.22387239948753</v>
      </c>
      <c r="BN195" s="1312">
        <f>BO194*((1+'Instrumentos Financeiros'!$K$43)^(1/12)-1)</f>
        <v>195.35525438145842</v>
      </c>
      <c r="BO195" s="1312">
        <f t="shared" si="95"/>
        <v>45005.954306750624</v>
      </c>
      <c r="BP195" s="1312">
        <f>IF(AND(C195&gt;$F$78,'Instrumentos Financeiros'!C195&lt;'Instrumentos Financeiros'!$F$78+'Instrumentos Financeiros'!$F$12+1),PMT(((1+'Instrumentos Financeiros'!$L$43)^(1/12)-1),$F$12,-$I$78),0)</f>
        <v>368.57912678094596</v>
      </c>
      <c r="BQ195" s="1312">
        <f t="shared" si="96"/>
        <v>170.9961002445782</v>
      </c>
      <c r="BR195" s="1312">
        <f>BS194*((1+'Instrumentos Financeiros'!$L$43)^(1/12)-1)</f>
        <v>197.58302653636775</v>
      </c>
      <c r="BS195" s="1312">
        <f t="shared" si="97"/>
        <v>45523.391743717861</v>
      </c>
      <c r="BT195" s="1312">
        <f>IF(AND(C195&gt;$F$79,'Instrumentos Financeiros'!C195&lt;'Instrumentos Financeiros'!$F$79+'Instrumentos Financeiros'!$F$12+1),PMT(((1+'Instrumentos Financeiros'!$L$43)^(1/12)-1),$F$12,-$I$79),0)</f>
        <v>0</v>
      </c>
      <c r="BU195" s="1312">
        <f t="shared" si="98"/>
        <v>0</v>
      </c>
      <c r="BV195" s="1312">
        <f>BW194*((1+'Instrumentos Financeiros'!$L$43)^(1/12)-1)</f>
        <v>0</v>
      </c>
      <c r="BW195" s="1312">
        <f t="shared" si="99"/>
        <v>46034.174597237587</v>
      </c>
      <c r="BX195" s="1312">
        <f>IF(AND(C195&gt;$F$80,'Instrumentos Financeiros'!C195&lt;'Instrumentos Financeiros'!$F$80+'Instrumentos Financeiros'!$F$12+1),PMT(((1+'Instrumentos Financeiros'!$L$43)^(1/12)-1),$F$12,-$I$80),0)</f>
        <v>0</v>
      </c>
      <c r="BY195" s="1312">
        <f t="shared" si="100"/>
        <v>0</v>
      </c>
      <c r="BZ195" s="1312">
        <f>CA194*((1+'Instrumentos Financeiros'!$L$43)^(1/12)-1)</f>
        <v>0</v>
      </c>
      <c r="CA195" s="1312">
        <f t="shared" si="101"/>
        <v>0</v>
      </c>
      <c r="CB195" s="1312">
        <f>IF(AND(C195&gt;$F$83,'Instrumentos Financeiros'!C195&lt;'Instrumentos Financeiros'!$F$83+'Instrumentos Financeiros'!$F$13+1),PMT(((1+'Instrumentos Financeiros'!$P$43)^(1/12)-1),$F$13,-$I$83),0)</f>
        <v>0</v>
      </c>
      <c r="CC195" s="1312">
        <f t="shared" si="102"/>
        <v>0</v>
      </c>
      <c r="CD195" s="1312">
        <f>CE194*((1+'Instrumentos Financeiros'!$P$43)^(1/12)-1)</f>
        <v>0</v>
      </c>
      <c r="CE195" s="1312">
        <f t="shared" si="103"/>
        <v>0</v>
      </c>
      <c r="CF195" s="1312">
        <f>IF(AND(C195&gt;$F$84,'Instrumentos Financeiros'!C195&lt;'Instrumentos Financeiros'!$F$84+'Instrumentos Financeiros'!$F$13+1),PMT(((1+'Instrumentos Financeiros'!$Q$43)^(1/12)-1),$F$13,-$I$84),0)</f>
        <v>0</v>
      </c>
      <c r="CG195" s="1312">
        <f t="shared" si="104"/>
        <v>0</v>
      </c>
      <c r="CH195" s="1312">
        <f>CI194*((1+'Instrumentos Financeiros'!$Q$43)^(1/12)-1)</f>
        <v>0</v>
      </c>
      <c r="CI195" s="1312">
        <f t="shared" si="105"/>
        <v>0</v>
      </c>
      <c r="CJ195" s="1312">
        <f>IF(AND(C195&gt;$F$85,'Instrumentos Financeiros'!C195&lt;'Instrumentos Financeiros'!$F$85+'Instrumentos Financeiros'!$F$13+1),PMT(((1+'Instrumentos Financeiros'!$Q$43)^(1/12)-1),$F$13,-$I$85),0)</f>
        <v>0</v>
      </c>
      <c r="CK195" s="1312">
        <f t="shared" si="106"/>
        <v>0</v>
      </c>
      <c r="CL195" s="1312">
        <f>CM194*((1+'Instrumentos Financeiros'!$Q$43)^(1/12)-1)</f>
        <v>0</v>
      </c>
      <c r="CM195" s="1312">
        <f t="shared" si="107"/>
        <v>0</v>
      </c>
      <c r="CN195" s="1312">
        <f>IF(AND(C195&gt;$F$86,'Instrumentos Financeiros'!C195&lt;'Instrumentos Financeiros'!$F$86+'Instrumentos Financeiros'!$F$13+1),PMT(((1+'Instrumentos Financeiros'!$Q$43)^(1/12)-1),$F$13,-$I$86),0)</f>
        <v>0</v>
      </c>
      <c r="CO195" s="1312">
        <f t="shared" si="108"/>
        <v>0</v>
      </c>
      <c r="CP195" s="1312">
        <f>CQ194*((1+'Instrumentos Financeiros'!$Q$43)^(1/12)-1)</f>
        <v>0</v>
      </c>
      <c r="CQ195" s="1312">
        <f t="shared" si="109"/>
        <v>0</v>
      </c>
      <c r="CR195" s="1312">
        <f t="shared" si="78"/>
        <v>399052.39197759138</v>
      </c>
      <c r="CS195" s="1312">
        <f t="shared" si="78"/>
        <v>200004.64383216944</v>
      </c>
      <c r="CT195" s="1312">
        <f t="shared" si="78"/>
        <v>199047.74814542191</v>
      </c>
      <c r="CU195" s="1312">
        <f t="shared" si="78"/>
        <v>46440876.824910447</v>
      </c>
    </row>
    <row r="196" spans="3:99" x14ac:dyDescent="0.35">
      <c r="C196" s="1315">
        <f t="shared" si="79"/>
        <v>103</v>
      </c>
      <c r="D196" s="1312">
        <f>IF(AND(C196&gt;$F$59,'Instrumentos Financeiros'!C196&lt;'Instrumentos Financeiros'!$F$59+'Instrumentos Financeiros'!$F$11+1),PMT(((1+'Instrumentos Financeiros'!$G$43)^(1/12)-1),$F$11,-$I$59),0)</f>
        <v>91768.589635900134</v>
      </c>
      <c r="E196" s="1312">
        <f t="shared" si="76"/>
        <v>51043.955816695707</v>
      </c>
      <c r="F196" s="1312">
        <f>G195*((1+'Instrumentos Financeiros'!$G$43)^(1/12)-1)</f>
        <v>40724.633819204428</v>
      </c>
      <c r="G196" s="1312">
        <f t="shared" si="110"/>
        <v>9926080.8675729465</v>
      </c>
      <c r="H196" s="1312">
        <f>IF(AND(C196&gt;$F$60,'Instrumentos Financeiros'!C196&lt;'Instrumentos Financeiros'!$F$60+'Instrumentos Financeiros'!$F$11+1),PMT(((1+'Instrumentos Financeiros'!$G$43)^(1/12)-1),$F$11,-$I$60),0)</f>
        <v>0</v>
      </c>
      <c r="I196" s="1312">
        <f t="shared" si="111"/>
        <v>0</v>
      </c>
      <c r="J196" s="1312">
        <f>K195*((1+'Instrumentos Financeiros'!$G$43)^(1/12)-1)</f>
        <v>0</v>
      </c>
      <c r="K196" s="1312">
        <f t="shared" si="80"/>
        <v>0</v>
      </c>
      <c r="L196" s="1312">
        <f>IF(AND(C196&gt;$F$61,'Instrumentos Financeiros'!C196&lt;'Instrumentos Financeiros'!$F$61+'Instrumentos Financeiros'!$F$11+1),PMT(((1+'Instrumentos Financeiros'!$G$43)^(1/12)-1),$F$11,-$I$61),0)</f>
        <v>0</v>
      </c>
      <c r="M196" s="1312">
        <f t="shared" si="112"/>
        <v>0</v>
      </c>
      <c r="N196" s="1312">
        <f>O195*((1+'Instrumentos Financeiros'!$G$43)^(1/12)-1)</f>
        <v>0</v>
      </c>
      <c r="O196" s="1312">
        <f t="shared" si="81"/>
        <v>0</v>
      </c>
      <c r="P196" s="1312">
        <f>IF(AND(C196&gt;$F$62,'Instrumentos Financeiros'!C196&lt;'Instrumentos Financeiros'!$F$62+'Instrumentos Financeiros'!$F$11+1),PMT(((1+'Instrumentos Financeiros'!$H$43)^(1/12)-1),$F$11,-$I$62),0)</f>
        <v>0</v>
      </c>
      <c r="Q196" s="1312">
        <f t="shared" si="113"/>
        <v>0</v>
      </c>
      <c r="R196" s="1312">
        <f>S195*((1+'Instrumentos Financeiros'!$H$43)^(1/12)-1)</f>
        <v>0</v>
      </c>
      <c r="S196" s="1312">
        <f t="shared" si="82"/>
        <v>0</v>
      </c>
      <c r="T196" s="1312">
        <f>IF(AND(C196&gt;$F$63,'Instrumentos Financeiros'!C196&lt;'Instrumentos Financeiros'!$F$63+'Instrumentos Financeiros'!$F$11+1),PMT(((1+'Instrumentos Financeiros'!$H$43)^(1/12)-1),$F$11,-$I$63),0)</f>
        <v>0</v>
      </c>
      <c r="U196" s="1312">
        <f t="shared" si="114"/>
        <v>0</v>
      </c>
      <c r="V196" s="1312">
        <f>W195*((1+'Instrumentos Financeiros'!$H$43)^(1/12)-1)</f>
        <v>0</v>
      </c>
      <c r="W196" s="1312">
        <f t="shared" si="83"/>
        <v>0</v>
      </c>
      <c r="X196" s="1312">
        <f>IF(AND(C196&gt;$F$64,'Instrumentos Financeiros'!C196&lt;'Instrumentos Financeiros'!$F$64+'Instrumentos Financeiros'!$F$11+1),PMT(((1+'Instrumentos Financeiros'!$H$43)^(1/12)-1),$F$11,-$I$64),0)</f>
        <v>0</v>
      </c>
      <c r="Y196" s="1312">
        <f t="shared" si="115"/>
        <v>0</v>
      </c>
      <c r="Z196" s="1312">
        <f>AA195*((1+'Instrumentos Financeiros'!$H$43)^(1/12)-1)</f>
        <v>0</v>
      </c>
      <c r="AA196" s="1312">
        <f t="shared" si="84"/>
        <v>0</v>
      </c>
      <c r="AB196" s="1312">
        <f>IF(AND(C196&gt;$F$65,'Instrumentos Financeiros'!C196&lt;'Instrumentos Financeiros'!$F$65+'Instrumentos Financeiros'!$F$11+1),PMT(((1+'Instrumentos Financeiros'!$H$43)^(1/12)-1),$F$11,-$I$65),0)</f>
        <v>76636.661022032335</v>
      </c>
      <c r="AC196" s="1312">
        <f t="shared" si="116"/>
        <v>38095.490940211224</v>
      </c>
      <c r="AD196" s="1312">
        <f>AE195*((1+'Instrumentos Financeiros'!$H$43)^(1/12)-1)</f>
        <v>38541.17008182111</v>
      </c>
      <c r="AE196" s="1312">
        <f t="shared" si="85"/>
        <v>8875196.3264350984</v>
      </c>
      <c r="AF196" s="1312">
        <f>IF(AND(C196&gt;$F$66,'Instrumentos Financeiros'!C196&lt;'Instrumentos Financeiros'!$F$66+'Instrumentos Financeiros'!$F$11+1),PMT(((1+'Instrumentos Financeiros'!$I$43)^(1/12)-1),$F$11,-$I$66),0)</f>
        <v>76636.661022032335</v>
      </c>
      <c r="AG196" s="1312">
        <f t="shared" si="117"/>
        <v>37605.558041421828</v>
      </c>
      <c r="AH196" s="1312">
        <f>AI195*((1+'Instrumentos Financeiros'!$I$43)^(1/12)-1)</f>
        <v>39031.102980610507</v>
      </c>
      <c r="AI196" s="1312">
        <f t="shared" si="86"/>
        <v>8988991.4570892155</v>
      </c>
      <c r="AJ196" s="1312">
        <f>IF(AND(C196&gt;$F$67,'Instrumentos Financeiros'!C196&lt;'Instrumentos Financeiros'!$F$67+'Instrumentos Financeiros'!$F$11+1),PMT(((1+'Instrumentos Financeiros'!$I$43)^(1/12)-1),$F$11,-$I$67),0)</f>
        <v>76636.661022032335</v>
      </c>
      <c r="AK196" s="1312">
        <f t="shared" si="118"/>
        <v>37121.925999752071</v>
      </c>
      <c r="AL196" s="1312">
        <f>AM195*((1+'Instrumentos Financeiros'!$I$43)^(1/12)-1)</f>
        <v>39514.735022280263</v>
      </c>
      <c r="AM196" s="1312">
        <f t="shared" si="87"/>
        <v>9101323.1080281865</v>
      </c>
      <c r="AN196" s="1312">
        <f>IF(AND(C196&gt;$F$68,'Instrumentos Financeiros'!C196&lt;'Instrumentos Financeiros'!$F$68+'Instrumentos Financeiros'!$F$11+1),PMT(((1+'Instrumentos Financeiros'!$I$43)^(1/12)-1),$F$11,-$I$68),0)</f>
        <v>76636.661022032335</v>
      </c>
      <c r="AO196" s="1312">
        <f t="shared" si="119"/>
        <v>36644.513782063426</v>
      </c>
      <c r="AP196" s="1312">
        <f>AQ195*((1+'Instrumentos Financeiros'!$I$43)^(1/12)-1)</f>
        <v>39992.147239968908</v>
      </c>
      <c r="AQ196" s="1312">
        <f t="shared" si="88"/>
        <v>9212210.1005571447</v>
      </c>
      <c r="AR196" s="1312">
        <f>IF(AND(C196&gt;$F$69,'Instrumentos Financeiros'!C196&lt;'Instrumentos Financeiros'!$F$69+'Instrumentos Financeiros'!$F$11+1),PMT(((1+'Instrumentos Financeiros'!$I$43)^(1/12)-1),$F$11,-$I$69),0)</f>
        <v>0</v>
      </c>
      <c r="AS196" s="1312">
        <f t="shared" si="120"/>
        <v>0</v>
      </c>
      <c r="AT196" s="1312">
        <f>AU195*((1+'Instrumentos Financeiros'!$I$43)^(1/12)-1)</f>
        <v>0</v>
      </c>
      <c r="AU196" s="1312">
        <f t="shared" si="89"/>
        <v>0</v>
      </c>
      <c r="AV196" s="1312">
        <f>IF(AND(C196&gt;$F$70,'Instrumentos Financeiros'!C196&lt;'Instrumentos Financeiros'!$F$70+'Instrumentos Financeiros'!$F$11+1),PMT(((1+'Instrumentos Financeiros'!$J$43)^(1/12)-1),$F$11,-$I$70),0)</f>
        <v>0</v>
      </c>
      <c r="AW196" s="1312">
        <f t="shared" si="121"/>
        <v>0</v>
      </c>
      <c r="AX196" s="1312">
        <f>AY195*((1+'Instrumentos Financeiros'!$J$43)^(1/12)-1)</f>
        <v>0</v>
      </c>
      <c r="AY196" s="1312">
        <f t="shared" si="90"/>
        <v>0</v>
      </c>
      <c r="AZ196" s="1312">
        <f>IF(AND(C196&gt;$F$71,'Instrumentos Financeiros'!C196&lt;'Instrumentos Financeiros'!$F$71+'Instrumentos Financeiros'!$F$11+1),PMT(((1+'Instrumentos Financeiros'!$J$43)^(1/12)-1),$F$11,-$I$71),0)</f>
        <v>0</v>
      </c>
      <c r="BA196" s="1312">
        <f t="shared" si="122"/>
        <v>0</v>
      </c>
      <c r="BB196" s="1312">
        <f>BC195*((1+'Instrumentos Financeiros'!$J$43)^(1/12)-1)</f>
        <v>0</v>
      </c>
      <c r="BC196" s="1312">
        <f t="shared" si="91"/>
        <v>0</v>
      </c>
      <c r="BD196" s="1312">
        <f>IF(AND(C196&gt;$F$72,'Instrumentos Financeiros'!C196&lt;'Instrumentos Financeiros'!$F$72+'Instrumentos Financeiros'!$F$11+1),PMT(((1+'Instrumentos Financeiros'!$J$43)^(1/12)-1),$F$11,-'Instrumentos Financeiros'!$G$7*$G$72),0)</f>
        <v>0</v>
      </c>
      <c r="BE196" s="1312">
        <f t="shared" si="123"/>
        <v>0</v>
      </c>
      <c r="BF196" s="1312">
        <f>BG195*((1+'Instrumentos Financeiros'!$J$43)^(1/12)-1)</f>
        <v>0</v>
      </c>
      <c r="BG196" s="1312">
        <f t="shared" si="92"/>
        <v>0</v>
      </c>
      <c r="BH196" s="1312">
        <f>IF(AND(C196&gt;$F$73,'Instrumentos Financeiros'!C196&lt;'Instrumentos Financeiros'!$F$73+'Instrumentos Financeiros'!$F$11+1),PMT(((1+'Instrumentos Financeiros'!$J$43)^(1/12)-1),$F$11,-$I$73),0)</f>
        <v>0</v>
      </c>
      <c r="BI196" s="1312">
        <f t="shared" si="124"/>
        <v>0</v>
      </c>
      <c r="BJ196" s="1312">
        <f>BK195*((1+'Instrumentos Financeiros'!$J$43)^(1/12)-1)</f>
        <v>0</v>
      </c>
      <c r="BK196" s="1312">
        <f t="shared" si="93"/>
        <v>0</v>
      </c>
      <c r="BL196" s="1312">
        <f>IF(AND(C196&gt;$F$77,'Instrumentos Financeiros'!C196&lt;'Instrumentos Financeiros'!$F$77+'Instrumentos Financeiros'!$F$12+1),PMT(((1+'Instrumentos Financeiros'!$K$43)^(1/12)-1),$F$12,-$I$77),0)</f>
        <v>368.57912678094596</v>
      </c>
      <c r="BM196" s="1312">
        <f t="shared" si="94"/>
        <v>173.97289429455955</v>
      </c>
      <c r="BN196" s="1312">
        <f>BO195*((1+'Instrumentos Financeiros'!$K$43)^(1/12)-1)</f>
        <v>194.6062324863864</v>
      </c>
      <c r="BO196" s="1312">
        <f t="shared" si="95"/>
        <v>44831.981412456065</v>
      </c>
      <c r="BP196" s="1312">
        <f>IF(AND(C196&gt;$F$78,'Instrumentos Financeiros'!C196&lt;'Instrumentos Financeiros'!$F$78+'Instrumentos Financeiros'!$F$12+1),PMT(((1+'Instrumentos Financeiros'!$L$43)^(1/12)-1),$F$12,-$I$78),0)</f>
        <v>368.57912678094596</v>
      </c>
      <c r="BQ196" s="1312">
        <f t="shared" si="96"/>
        <v>171.73548922879246</v>
      </c>
      <c r="BR196" s="1312">
        <f>BS195*((1+'Instrumentos Financeiros'!$L$43)^(1/12)-1)</f>
        <v>196.8436375521535</v>
      </c>
      <c r="BS196" s="1312">
        <f t="shared" si="97"/>
        <v>45351.656254489069</v>
      </c>
      <c r="BT196" s="1312">
        <f>IF(AND(C196&gt;$F$79,'Instrumentos Financeiros'!C196&lt;'Instrumentos Financeiros'!$F$79+'Instrumentos Financeiros'!$F$12+1),PMT(((1+'Instrumentos Financeiros'!$L$43)^(1/12)-1),$F$12,-$I$79),0)</f>
        <v>368.57912678094596</v>
      </c>
      <c r="BU196" s="1312">
        <f t="shared" si="98"/>
        <v>169.52685865372186</v>
      </c>
      <c r="BV196" s="1312">
        <f>BW195*((1+'Instrumentos Financeiros'!$L$43)^(1/12)-1)</f>
        <v>199.0522681272241</v>
      </c>
      <c r="BW196" s="1312">
        <f t="shared" si="99"/>
        <v>45864.647738583866</v>
      </c>
      <c r="BX196" s="1312">
        <f>IF(AND(C196&gt;$F$80,'Instrumentos Financeiros'!C196&lt;'Instrumentos Financeiros'!$F$80+'Instrumentos Financeiros'!$F$12+1),PMT(((1+'Instrumentos Financeiros'!$L$43)^(1/12)-1),$F$12,-$I$80),0)</f>
        <v>0</v>
      </c>
      <c r="BY196" s="1312">
        <f t="shared" si="100"/>
        <v>0</v>
      </c>
      <c r="BZ196" s="1312">
        <f>CA195*((1+'Instrumentos Financeiros'!$L$43)^(1/12)-1)</f>
        <v>0</v>
      </c>
      <c r="CA196" s="1312">
        <f t="shared" si="101"/>
        <v>0</v>
      </c>
      <c r="CB196" s="1312">
        <f>IF(AND(C196&gt;$F$83,'Instrumentos Financeiros'!C196&lt;'Instrumentos Financeiros'!$F$83+'Instrumentos Financeiros'!$F$13+1),PMT(((1+'Instrumentos Financeiros'!$P$43)^(1/12)-1),$F$13,-$I$83),0)</f>
        <v>0</v>
      </c>
      <c r="CC196" s="1312">
        <f t="shared" si="102"/>
        <v>0</v>
      </c>
      <c r="CD196" s="1312">
        <f>CE195*((1+'Instrumentos Financeiros'!$P$43)^(1/12)-1)</f>
        <v>0</v>
      </c>
      <c r="CE196" s="1312">
        <f t="shared" si="103"/>
        <v>0</v>
      </c>
      <c r="CF196" s="1312">
        <f>IF(AND(C196&gt;$F$84,'Instrumentos Financeiros'!C196&lt;'Instrumentos Financeiros'!$F$84+'Instrumentos Financeiros'!$F$13+1),PMT(((1+'Instrumentos Financeiros'!$Q$43)^(1/12)-1),$F$13,-$I$84),0)</f>
        <v>0</v>
      </c>
      <c r="CG196" s="1312">
        <f t="shared" si="104"/>
        <v>0</v>
      </c>
      <c r="CH196" s="1312">
        <f>CI195*((1+'Instrumentos Financeiros'!$Q$43)^(1/12)-1)</f>
        <v>0</v>
      </c>
      <c r="CI196" s="1312">
        <f t="shared" si="105"/>
        <v>0</v>
      </c>
      <c r="CJ196" s="1312">
        <f>IF(AND(C196&gt;$F$85,'Instrumentos Financeiros'!C196&lt;'Instrumentos Financeiros'!$F$85+'Instrumentos Financeiros'!$F$13+1),PMT(((1+'Instrumentos Financeiros'!$Q$43)^(1/12)-1),$F$13,-$I$85),0)</f>
        <v>0</v>
      </c>
      <c r="CK196" s="1312">
        <f t="shared" si="106"/>
        <v>0</v>
      </c>
      <c r="CL196" s="1312">
        <f>CM195*((1+'Instrumentos Financeiros'!$Q$43)^(1/12)-1)</f>
        <v>0</v>
      </c>
      <c r="CM196" s="1312">
        <f t="shared" si="107"/>
        <v>0</v>
      </c>
      <c r="CN196" s="1312">
        <f>IF(AND(C196&gt;$F$86,'Instrumentos Financeiros'!C196&lt;'Instrumentos Financeiros'!$F$86+'Instrumentos Financeiros'!$F$13+1),PMT(((1+'Instrumentos Financeiros'!$Q$43)^(1/12)-1),$F$13,-$I$86),0)</f>
        <v>0</v>
      </c>
      <c r="CO196" s="1312">
        <f t="shared" si="108"/>
        <v>0</v>
      </c>
      <c r="CP196" s="1312">
        <f>CQ195*((1+'Instrumentos Financeiros'!$Q$43)^(1/12)-1)</f>
        <v>0</v>
      </c>
      <c r="CQ196" s="1312">
        <f t="shared" si="109"/>
        <v>0</v>
      </c>
      <c r="CR196" s="1312">
        <f t="shared" si="78"/>
        <v>399420.97110437235</v>
      </c>
      <c r="CS196" s="1312">
        <f t="shared" si="78"/>
        <v>201026.67982232134</v>
      </c>
      <c r="CT196" s="1312">
        <f t="shared" si="78"/>
        <v>198394.29128205095</v>
      </c>
      <c r="CU196" s="1312">
        <f t="shared" si="78"/>
        <v>46239850.145088121</v>
      </c>
    </row>
    <row r="197" spans="3:99" x14ac:dyDescent="0.35">
      <c r="C197" s="1315">
        <f t="shared" si="79"/>
        <v>104</v>
      </c>
      <c r="D197" s="1312">
        <f>IF(AND(C197&gt;$F$59,'Instrumentos Financeiros'!C197&lt;'Instrumentos Financeiros'!$F$59+'Instrumentos Financeiros'!$F$11+1),PMT(((1+'Instrumentos Financeiros'!$G$43)^(1/12)-1),$F$11,-$I$59),0)</f>
        <v>91768.589635900134</v>
      </c>
      <c r="E197" s="1312">
        <f t="shared" si="76"/>
        <v>51252.307064787274</v>
      </c>
      <c r="F197" s="1312">
        <f>G196*((1+'Instrumentos Financeiros'!$G$43)^(1/12)-1)</f>
        <v>40516.282571112861</v>
      </c>
      <c r="G197" s="1312">
        <f t="shared" si="110"/>
        <v>9874828.5605081599</v>
      </c>
      <c r="H197" s="1312">
        <f>IF(AND(C197&gt;$F$60,'Instrumentos Financeiros'!C197&lt;'Instrumentos Financeiros'!$F$60+'Instrumentos Financeiros'!$F$11+1),PMT(((1+'Instrumentos Financeiros'!$G$43)^(1/12)-1),$F$11,-$I$60),0)</f>
        <v>0</v>
      </c>
      <c r="I197" s="1312">
        <f t="shared" si="111"/>
        <v>0</v>
      </c>
      <c r="J197" s="1312">
        <f>K196*((1+'Instrumentos Financeiros'!$G$43)^(1/12)-1)</f>
        <v>0</v>
      </c>
      <c r="K197" s="1312">
        <f t="shared" si="80"/>
        <v>0</v>
      </c>
      <c r="L197" s="1312">
        <f>IF(AND(C197&gt;$F$61,'Instrumentos Financeiros'!C197&lt;'Instrumentos Financeiros'!$F$61+'Instrumentos Financeiros'!$F$11+1),PMT(((1+'Instrumentos Financeiros'!$G$43)^(1/12)-1),$F$11,-$I$61),0)</f>
        <v>0</v>
      </c>
      <c r="M197" s="1312">
        <f t="shared" si="112"/>
        <v>0</v>
      </c>
      <c r="N197" s="1312">
        <f>O196*((1+'Instrumentos Financeiros'!$G$43)^(1/12)-1)</f>
        <v>0</v>
      </c>
      <c r="O197" s="1312">
        <f t="shared" si="81"/>
        <v>0</v>
      </c>
      <c r="P197" s="1312">
        <f>IF(AND(C197&gt;$F$62,'Instrumentos Financeiros'!C197&lt;'Instrumentos Financeiros'!$F$62+'Instrumentos Financeiros'!$F$11+1),PMT(((1+'Instrumentos Financeiros'!$H$43)^(1/12)-1),$F$11,-$I$62),0)</f>
        <v>0</v>
      </c>
      <c r="Q197" s="1312">
        <f t="shared" si="113"/>
        <v>0</v>
      </c>
      <c r="R197" s="1312">
        <f>S196*((1+'Instrumentos Financeiros'!$H$43)^(1/12)-1)</f>
        <v>0</v>
      </c>
      <c r="S197" s="1312">
        <f t="shared" si="82"/>
        <v>0</v>
      </c>
      <c r="T197" s="1312">
        <f>IF(AND(C197&gt;$F$63,'Instrumentos Financeiros'!C197&lt;'Instrumentos Financeiros'!$F$63+'Instrumentos Financeiros'!$F$11+1),PMT(((1+'Instrumentos Financeiros'!$H$43)^(1/12)-1),$F$11,-$I$63),0)</f>
        <v>0</v>
      </c>
      <c r="U197" s="1312">
        <f t="shared" si="114"/>
        <v>0</v>
      </c>
      <c r="V197" s="1312">
        <f>W196*((1+'Instrumentos Financeiros'!$H$43)^(1/12)-1)</f>
        <v>0</v>
      </c>
      <c r="W197" s="1312">
        <f t="shared" si="83"/>
        <v>0</v>
      </c>
      <c r="X197" s="1312">
        <f>IF(AND(C197&gt;$F$64,'Instrumentos Financeiros'!C197&lt;'Instrumentos Financeiros'!$F$64+'Instrumentos Financeiros'!$F$11+1),PMT(((1+'Instrumentos Financeiros'!$H$43)^(1/12)-1),$F$11,-$I$64),0)</f>
        <v>0</v>
      </c>
      <c r="Y197" s="1312">
        <f t="shared" si="115"/>
        <v>0</v>
      </c>
      <c r="Z197" s="1312">
        <f>AA196*((1+'Instrumentos Financeiros'!$H$43)^(1/12)-1)</f>
        <v>0</v>
      </c>
      <c r="AA197" s="1312">
        <f t="shared" si="84"/>
        <v>0</v>
      </c>
      <c r="AB197" s="1312">
        <f>IF(AND(C197&gt;$F$65,'Instrumentos Financeiros'!C197&lt;'Instrumentos Financeiros'!$F$65+'Instrumentos Financeiros'!$F$11+1),PMT(((1+'Instrumentos Financeiros'!$H$43)^(1/12)-1),$F$11,-$I$65),0)</f>
        <v>76636.661022032335</v>
      </c>
      <c r="AC197" s="1312">
        <f t="shared" si="116"/>
        <v>38260.216254467734</v>
      </c>
      <c r="AD197" s="1312">
        <f>AE196*((1+'Instrumentos Financeiros'!$H$43)^(1/12)-1)</f>
        <v>38376.444767564601</v>
      </c>
      <c r="AE197" s="1312">
        <f t="shared" si="85"/>
        <v>8836936.1101806313</v>
      </c>
      <c r="AF197" s="1312">
        <f>IF(AND(C197&gt;$F$66,'Instrumentos Financeiros'!C197&lt;'Instrumentos Financeiros'!$F$66+'Instrumentos Financeiros'!$F$11+1),PMT(((1+'Instrumentos Financeiros'!$I$43)^(1/12)-1),$F$11,-$I$66),0)</f>
        <v>76636.661022032335</v>
      </c>
      <c r="AG197" s="1312">
        <f t="shared" si="117"/>
        <v>37768.164880532706</v>
      </c>
      <c r="AH197" s="1312">
        <f>AI196*((1+'Instrumentos Financeiros'!$I$43)^(1/12)-1)</f>
        <v>38868.496141499629</v>
      </c>
      <c r="AI197" s="1312">
        <f t="shared" si="86"/>
        <v>8951223.2922086827</v>
      </c>
      <c r="AJ197" s="1312">
        <f>IF(AND(C197&gt;$F$67,'Instrumentos Financeiros'!C197&lt;'Instrumentos Financeiros'!$F$67+'Instrumentos Financeiros'!$F$11+1),PMT(((1+'Instrumentos Financeiros'!$I$43)^(1/12)-1),$F$11,-$I$67),0)</f>
        <v>76636.661022032335</v>
      </c>
      <c r="AK197" s="1312">
        <f t="shared" si="118"/>
        <v>37282.441608691537</v>
      </c>
      <c r="AL197" s="1312">
        <f>AM196*((1+'Instrumentos Financeiros'!$I$43)^(1/12)-1)</f>
        <v>39354.219413340797</v>
      </c>
      <c r="AM197" s="1312">
        <f t="shared" si="87"/>
        <v>9064040.6664194949</v>
      </c>
      <c r="AN197" s="1312">
        <f>IF(AND(C197&gt;$F$68,'Instrumentos Financeiros'!C197&lt;'Instrumentos Financeiros'!$F$68+'Instrumentos Financeiros'!$F$11+1),PMT(((1+'Instrumentos Financeiros'!$I$43)^(1/12)-1),$F$11,-$I$68),0)</f>
        <v>76636.661022032335</v>
      </c>
      <c r="AO197" s="1312">
        <f t="shared" si="119"/>
        <v>36802.965055417568</v>
      </c>
      <c r="AP197" s="1312">
        <f>AQ196*((1+'Instrumentos Financeiros'!$I$43)^(1/12)-1)</f>
        <v>39833.695966614767</v>
      </c>
      <c r="AQ197" s="1312">
        <f t="shared" si="88"/>
        <v>9175407.1355017275</v>
      </c>
      <c r="AR197" s="1312">
        <f>IF(AND(C197&gt;$F$69,'Instrumentos Financeiros'!C197&lt;'Instrumentos Financeiros'!$F$69+'Instrumentos Financeiros'!$F$11+1),PMT(((1+'Instrumentos Financeiros'!$I$43)^(1/12)-1),$F$11,-$I$69),0)</f>
        <v>0</v>
      </c>
      <c r="AS197" s="1312">
        <f t="shared" si="120"/>
        <v>0</v>
      </c>
      <c r="AT197" s="1312">
        <f>AU196*((1+'Instrumentos Financeiros'!$I$43)^(1/12)-1)</f>
        <v>0</v>
      </c>
      <c r="AU197" s="1312">
        <f t="shared" si="89"/>
        <v>0</v>
      </c>
      <c r="AV197" s="1312">
        <f>IF(AND(C197&gt;$F$70,'Instrumentos Financeiros'!C197&lt;'Instrumentos Financeiros'!$F$70+'Instrumentos Financeiros'!$F$11+1),PMT(((1+'Instrumentos Financeiros'!$J$43)^(1/12)-1),$F$11,-$I$70),0)</f>
        <v>0</v>
      </c>
      <c r="AW197" s="1312">
        <f t="shared" si="121"/>
        <v>0</v>
      </c>
      <c r="AX197" s="1312">
        <f>AY196*((1+'Instrumentos Financeiros'!$J$43)^(1/12)-1)</f>
        <v>0</v>
      </c>
      <c r="AY197" s="1312">
        <f t="shared" si="90"/>
        <v>0</v>
      </c>
      <c r="AZ197" s="1312">
        <f>IF(AND(C197&gt;$F$71,'Instrumentos Financeiros'!C197&lt;'Instrumentos Financeiros'!$F$71+'Instrumentos Financeiros'!$F$11+1),PMT(((1+'Instrumentos Financeiros'!$J$43)^(1/12)-1),$F$11,-$I$71),0)</f>
        <v>0</v>
      </c>
      <c r="BA197" s="1312">
        <f t="shared" si="122"/>
        <v>0</v>
      </c>
      <c r="BB197" s="1312">
        <f>BC196*((1+'Instrumentos Financeiros'!$J$43)^(1/12)-1)</f>
        <v>0</v>
      </c>
      <c r="BC197" s="1312">
        <f t="shared" si="91"/>
        <v>0</v>
      </c>
      <c r="BD197" s="1312">
        <f>IF(AND(C197&gt;$F$72,'Instrumentos Financeiros'!C197&lt;'Instrumentos Financeiros'!$F$72+'Instrumentos Financeiros'!$F$11+1),PMT(((1+'Instrumentos Financeiros'!$J$43)^(1/12)-1),$F$11,-'Instrumentos Financeiros'!$G$7*$G$72),0)</f>
        <v>0</v>
      </c>
      <c r="BE197" s="1312">
        <f t="shared" si="123"/>
        <v>0</v>
      </c>
      <c r="BF197" s="1312">
        <f>BG196*((1+'Instrumentos Financeiros'!$J$43)^(1/12)-1)</f>
        <v>0</v>
      </c>
      <c r="BG197" s="1312">
        <f t="shared" si="92"/>
        <v>0</v>
      </c>
      <c r="BH197" s="1312">
        <f>IF(AND(C197&gt;$F$73,'Instrumentos Financeiros'!C197&lt;'Instrumentos Financeiros'!$F$73+'Instrumentos Financeiros'!$F$11+1),PMT(((1+'Instrumentos Financeiros'!$J$43)^(1/12)-1),$F$11,-$I$73),0)</f>
        <v>0</v>
      </c>
      <c r="BI197" s="1312">
        <f t="shared" si="124"/>
        <v>0</v>
      </c>
      <c r="BJ197" s="1312">
        <f>BK196*((1+'Instrumentos Financeiros'!$J$43)^(1/12)-1)</f>
        <v>0</v>
      </c>
      <c r="BK197" s="1312">
        <f t="shared" si="93"/>
        <v>0</v>
      </c>
      <c r="BL197" s="1312">
        <f>IF(AND(C197&gt;$F$77,'Instrumentos Financeiros'!C197&lt;'Instrumentos Financeiros'!$F$77+'Instrumentos Financeiros'!$F$12+1),PMT(((1+'Instrumentos Financeiros'!$K$43)^(1/12)-1),$F$12,-$I$77),0)</f>
        <v>368.57912678094596</v>
      </c>
      <c r="BM197" s="1312">
        <f t="shared" si="94"/>
        <v>174.72515496839529</v>
      </c>
      <c r="BN197" s="1312">
        <f>BO196*((1+'Instrumentos Financeiros'!$K$43)^(1/12)-1)</f>
        <v>193.85397181255067</v>
      </c>
      <c r="BO197" s="1312">
        <f t="shared" si="95"/>
        <v>44657.256257487672</v>
      </c>
      <c r="BP197" s="1312">
        <f>IF(AND(C197&gt;$F$78,'Instrumentos Financeiros'!C197&lt;'Instrumentos Financeiros'!$F$78+'Instrumentos Financeiros'!$F$12+1),PMT(((1+'Instrumentos Financeiros'!$L$43)^(1/12)-1),$F$12,-$I$78),0)</f>
        <v>368.57912678094596</v>
      </c>
      <c r="BQ197" s="1312">
        <f t="shared" si="96"/>
        <v>172.47807533895985</v>
      </c>
      <c r="BR197" s="1312">
        <f>BS196*((1+'Instrumentos Financeiros'!$L$43)^(1/12)-1)</f>
        <v>196.1010514419861</v>
      </c>
      <c r="BS197" s="1312">
        <f t="shared" si="97"/>
        <v>45179.178179150113</v>
      </c>
      <c r="BT197" s="1312">
        <f>IF(AND(C197&gt;$F$79,'Instrumentos Financeiros'!C197&lt;'Instrumentos Financeiros'!$F$79+'Instrumentos Financeiros'!$F$12+1),PMT(((1+'Instrumentos Financeiros'!$L$43)^(1/12)-1),$F$12,-$I$79),0)</f>
        <v>368.57912678094596</v>
      </c>
      <c r="BU197" s="1312">
        <f t="shared" si="98"/>
        <v>170.25989462142945</v>
      </c>
      <c r="BV197" s="1312">
        <f>BW196*((1+'Instrumentos Financeiros'!$L$43)^(1/12)-1)</f>
        <v>198.3192321595165</v>
      </c>
      <c r="BW197" s="1312">
        <f t="shared" si="99"/>
        <v>45694.387843962439</v>
      </c>
      <c r="BX197" s="1312">
        <f>IF(AND(C197&gt;$F$80,'Instrumentos Financeiros'!C197&lt;'Instrumentos Financeiros'!$F$80+'Instrumentos Financeiros'!$F$12+1),PMT(((1+'Instrumentos Financeiros'!$L$43)^(1/12)-1),$F$12,-$I$80),0)</f>
        <v>0</v>
      </c>
      <c r="BY197" s="1312">
        <f t="shared" si="100"/>
        <v>0</v>
      </c>
      <c r="BZ197" s="1312">
        <f>CA196*((1+'Instrumentos Financeiros'!$L$43)^(1/12)-1)</f>
        <v>0</v>
      </c>
      <c r="CA197" s="1312">
        <f t="shared" si="101"/>
        <v>0</v>
      </c>
      <c r="CB197" s="1312">
        <f>IF(AND(C197&gt;$F$83,'Instrumentos Financeiros'!C197&lt;'Instrumentos Financeiros'!$F$83+'Instrumentos Financeiros'!$F$13+1),PMT(((1+'Instrumentos Financeiros'!$P$43)^(1/12)-1),$F$13,-$I$83),0)</f>
        <v>0</v>
      </c>
      <c r="CC197" s="1312">
        <f t="shared" si="102"/>
        <v>0</v>
      </c>
      <c r="CD197" s="1312">
        <f>CE196*((1+'Instrumentos Financeiros'!$P$43)^(1/12)-1)</f>
        <v>0</v>
      </c>
      <c r="CE197" s="1312">
        <f t="shared" si="103"/>
        <v>0</v>
      </c>
      <c r="CF197" s="1312">
        <f>IF(AND(C197&gt;$F$84,'Instrumentos Financeiros'!C197&lt;'Instrumentos Financeiros'!$F$84+'Instrumentos Financeiros'!$F$13+1),PMT(((1+'Instrumentos Financeiros'!$Q$43)^(1/12)-1),$F$13,-$I$84),0)</f>
        <v>0</v>
      </c>
      <c r="CG197" s="1312">
        <f t="shared" si="104"/>
        <v>0</v>
      </c>
      <c r="CH197" s="1312">
        <f>CI196*((1+'Instrumentos Financeiros'!$Q$43)^(1/12)-1)</f>
        <v>0</v>
      </c>
      <c r="CI197" s="1312">
        <f t="shared" si="105"/>
        <v>0</v>
      </c>
      <c r="CJ197" s="1312">
        <f>IF(AND(C197&gt;$F$85,'Instrumentos Financeiros'!C197&lt;'Instrumentos Financeiros'!$F$85+'Instrumentos Financeiros'!$F$13+1),PMT(((1+'Instrumentos Financeiros'!$Q$43)^(1/12)-1),$F$13,-$I$85),0)</f>
        <v>0</v>
      </c>
      <c r="CK197" s="1312">
        <f t="shared" si="106"/>
        <v>0</v>
      </c>
      <c r="CL197" s="1312">
        <f>CM196*((1+'Instrumentos Financeiros'!$Q$43)^(1/12)-1)</f>
        <v>0</v>
      </c>
      <c r="CM197" s="1312">
        <f t="shared" si="107"/>
        <v>0</v>
      </c>
      <c r="CN197" s="1312">
        <f>IF(AND(C197&gt;$F$86,'Instrumentos Financeiros'!C197&lt;'Instrumentos Financeiros'!$F$86+'Instrumentos Financeiros'!$F$13+1),PMT(((1+'Instrumentos Financeiros'!$Q$43)^(1/12)-1),$F$13,-$I$86),0)</f>
        <v>0</v>
      </c>
      <c r="CO197" s="1312">
        <f t="shared" si="108"/>
        <v>0</v>
      </c>
      <c r="CP197" s="1312">
        <f>CQ196*((1+'Instrumentos Financeiros'!$Q$43)^(1/12)-1)</f>
        <v>0</v>
      </c>
      <c r="CQ197" s="1312">
        <f t="shared" si="109"/>
        <v>0</v>
      </c>
      <c r="CR197" s="1312">
        <f t="shared" si="78"/>
        <v>399420.97110437235</v>
      </c>
      <c r="CS197" s="1312">
        <f t="shared" si="78"/>
        <v>201883.5579888256</v>
      </c>
      <c r="CT197" s="1312">
        <f t="shared" si="78"/>
        <v>197537.41311554669</v>
      </c>
      <c r="CU197" s="1312">
        <f t="shared" si="78"/>
        <v>46037966.587099299</v>
      </c>
    </row>
    <row r="198" spans="3:99" x14ac:dyDescent="0.35">
      <c r="C198" s="1315">
        <f t="shared" si="79"/>
        <v>105</v>
      </c>
      <c r="D198" s="1312">
        <f>IF(AND(C198&gt;$F$59,'Instrumentos Financeiros'!C198&lt;'Instrumentos Financeiros'!$F$59+'Instrumentos Financeiros'!$F$11+1),PMT(((1+'Instrumentos Financeiros'!$G$43)^(1/12)-1),$F$11,-$I$59),0)</f>
        <v>91768.589635900134</v>
      </c>
      <c r="E198" s="1312">
        <f t="shared" si="76"/>
        <v>51461.508761122641</v>
      </c>
      <c r="F198" s="1312">
        <f>G197*((1+'Instrumentos Financeiros'!$G$43)^(1/12)-1)</f>
        <v>40307.080874777494</v>
      </c>
      <c r="G198" s="1312">
        <f t="shared" si="110"/>
        <v>9823367.0517470371</v>
      </c>
      <c r="H198" s="1312">
        <f>IF(AND(C198&gt;$F$60,'Instrumentos Financeiros'!C198&lt;'Instrumentos Financeiros'!$F$60+'Instrumentos Financeiros'!$F$11+1),PMT(((1+'Instrumentos Financeiros'!$G$43)^(1/12)-1),$F$11,-$I$60),0)</f>
        <v>0</v>
      </c>
      <c r="I198" s="1312">
        <f t="shared" si="111"/>
        <v>0</v>
      </c>
      <c r="J198" s="1312">
        <f>K197*((1+'Instrumentos Financeiros'!$G$43)^(1/12)-1)</f>
        <v>0</v>
      </c>
      <c r="K198" s="1312">
        <f t="shared" si="80"/>
        <v>0</v>
      </c>
      <c r="L198" s="1312">
        <f>IF(AND(C198&gt;$F$61,'Instrumentos Financeiros'!C198&lt;'Instrumentos Financeiros'!$F$61+'Instrumentos Financeiros'!$F$11+1),PMT(((1+'Instrumentos Financeiros'!$G$43)^(1/12)-1),$F$11,-$I$61),0)</f>
        <v>0</v>
      </c>
      <c r="M198" s="1312">
        <f t="shared" si="112"/>
        <v>0</v>
      </c>
      <c r="N198" s="1312">
        <f>O197*((1+'Instrumentos Financeiros'!$G$43)^(1/12)-1)</f>
        <v>0</v>
      </c>
      <c r="O198" s="1312">
        <f t="shared" si="81"/>
        <v>0</v>
      </c>
      <c r="P198" s="1312">
        <f>IF(AND(C198&gt;$F$62,'Instrumentos Financeiros'!C198&lt;'Instrumentos Financeiros'!$F$62+'Instrumentos Financeiros'!$F$11+1),PMT(((1+'Instrumentos Financeiros'!$H$43)^(1/12)-1),$F$11,-$I$62),0)</f>
        <v>0</v>
      </c>
      <c r="Q198" s="1312">
        <f t="shared" si="113"/>
        <v>0</v>
      </c>
      <c r="R198" s="1312">
        <f>S197*((1+'Instrumentos Financeiros'!$H$43)^(1/12)-1)</f>
        <v>0</v>
      </c>
      <c r="S198" s="1312">
        <f t="shared" si="82"/>
        <v>0</v>
      </c>
      <c r="T198" s="1312">
        <f>IF(AND(C198&gt;$F$63,'Instrumentos Financeiros'!C198&lt;'Instrumentos Financeiros'!$F$63+'Instrumentos Financeiros'!$F$11+1),PMT(((1+'Instrumentos Financeiros'!$H$43)^(1/12)-1),$F$11,-$I$63),0)</f>
        <v>0</v>
      </c>
      <c r="U198" s="1312">
        <f t="shared" si="114"/>
        <v>0</v>
      </c>
      <c r="V198" s="1312">
        <f>W197*((1+'Instrumentos Financeiros'!$H$43)^(1/12)-1)</f>
        <v>0</v>
      </c>
      <c r="W198" s="1312">
        <f t="shared" si="83"/>
        <v>0</v>
      </c>
      <c r="X198" s="1312">
        <f>IF(AND(C198&gt;$F$64,'Instrumentos Financeiros'!C198&lt;'Instrumentos Financeiros'!$F$64+'Instrumentos Financeiros'!$F$11+1),PMT(((1+'Instrumentos Financeiros'!$H$43)^(1/12)-1),$F$11,-$I$64),0)</f>
        <v>0</v>
      </c>
      <c r="Y198" s="1312">
        <f t="shared" si="115"/>
        <v>0</v>
      </c>
      <c r="Z198" s="1312">
        <f>AA197*((1+'Instrumentos Financeiros'!$H$43)^(1/12)-1)</f>
        <v>0</v>
      </c>
      <c r="AA198" s="1312">
        <f t="shared" si="84"/>
        <v>0</v>
      </c>
      <c r="AB198" s="1312">
        <f>IF(AND(C198&gt;$F$65,'Instrumentos Financeiros'!C198&lt;'Instrumentos Financeiros'!$F$65+'Instrumentos Financeiros'!$F$11+1),PMT(((1+'Instrumentos Financeiros'!$H$43)^(1/12)-1),$F$11,-$I$65),0)</f>
        <v>76636.661022032335</v>
      </c>
      <c r="AC198" s="1312">
        <f t="shared" si="116"/>
        <v>38425.653842762127</v>
      </c>
      <c r="AD198" s="1312">
        <f>AE197*((1+'Instrumentos Financeiros'!$H$43)^(1/12)-1)</f>
        <v>38211.007179270207</v>
      </c>
      <c r="AE198" s="1312">
        <f t="shared" si="85"/>
        <v>8798510.4563378692</v>
      </c>
      <c r="AF198" s="1312">
        <f>IF(AND(C198&gt;$F$66,'Instrumentos Financeiros'!C198&lt;'Instrumentos Financeiros'!$F$66+'Instrumentos Financeiros'!$F$11+1),PMT(((1+'Instrumentos Financeiros'!$I$43)^(1/12)-1),$F$11,-$I$66),0)</f>
        <v>76636.661022032335</v>
      </c>
      <c r="AG198" s="1312">
        <f t="shared" si="117"/>
        <v>37931.474833372049</v>
      </c>
      <c r="AH198" s="1312">
        <f>AI197*((1+'Instrumentos Financeiros'!$I$43)^(1/12)-1)</f>
        <v>38705.186188660286</v>
      </c>
      <c r="AI198" s="1312">
        <f t="shared" si="86"/>
        <v>8913291.8173753098</v>
      </c>
      <c r="AJ198" s="1312">
        <f>IF(AND(C198&gt;$F$67,'Instrumentos Financeiros'!C198&lt;'Instrumentos Financeiros'!$F$67+'Instrumentos Financeiros'!$F$11+1),PMT(((1+'Instrumentos Financeiros'!$I$43)^(1/12)-1),$F$11,-$I$67),0)</f>
        <v>76636.661022032335</v>
      </c>
      <c r="AK198" s="1312">
        <f t="shared" si="118"/>
        <v>37443.651288857633</v>
      </c>
      <c r="AL198" s="1312">
        <f>AM197*((1+'Instrumentos Financeiros'!$I$43)^(1/12)-1)</f>
        <v>39193.009733174702</v>
      </c>
      <c r="AM198" s="1312">
        <f t="shared" si="87"/>
        <v>9026597.0151306372</v>
      </c>
      <c r="AN198" s="1312">
        <f>IF(AND(C198&gt;$F$68,'Instrumentos Financeiros'!C198&lt;'Instrumentos Financeiros'!$F$68+'Instrumentos Financeiros'!$F$11+1),PMT(((1+'Instrumentos Financeiros'!$I$43)^(1/12)-1),$F$11,-$I$68),0)</f>
        <v>76636.661022032335</v>
      </c>
      <c r="AO198" s="1312">
        <f t="shared" si="119"/>
        <v>36962.101473788964</v>
      </c>
      <c r="AP198" s="1312">
        <f>AQ197*((1+'Instrumentos Financeiros'!$I$43)^(1/12)-1)</f>
        <v>39674.559548243371</v>
      </c>
      <c r="AQ198" s="1312">
        <f t="shared" si="88"/>
        <v>9138445.0340279378</v>
      </c>
      <c r="AR198" s="1312">
        <f>IF(AND(C198&gt;$F$69,'Instrumentos Financeiros'!C198&lt;'Instrumentos Financeiros'!$F$69+'Instrumentos Financeiros'!$F$11+1),PMT(((1+'Instrumentos Financeiros'!$I$43)^(1/12)-1),$F$11,-$I$69),0)</f>
        <v>0</v>
      </c>
      <c r="AS198" s="1312">
        <f t="shared" si="120"/>
        <v>0</v>
      </c>
      <c r="AT198" s="1312">
        <f>AU197*((1+'Instrumentos Financeiros'!$I$43)^(1/12)-1)</f>
        <v>0</v>
      </c>
      <c r="AU198" s="1312">
        <f t="shared" si="89"/>
        <v>0</v>
      </c>
      <c r="AV198" s="1312">
        <f>IF(AND(C198&gt;$F$70,'Instrumentos Financeiros'!C198&lt;'Instrumentos Financeiros'!$F$70+'Instrumentos Financeiros'!$F$11+1),PMT(((1+'Instrumentos Financeiros'!$J$43)^(1/12)-1),$F$11,-$I$70),0)</f>
        <v>0</v>
      </c>
      <c r="AW198" s="1312">
        <f t="shared" si="121"/>
        <v>0</v>
      </c>
      <c r="AX198" s="1312">
        <f>AY197*((1+'Instrumentos Financeiros'!$J$43)^(1/12)-1)</f>
        <v>0</v>
      </c>
      <c r="AY198" s="1312">
        <f t="shared" si="90"/>
        <v>0</v>
      </c>
      <c r="AZ198" s="1312">
        <f>IF(AND(C198&gt;$F$71,'Instrumentos Financeiros'!C198&lt;'Instrumentos Financeiros'!$F$71+'Instrumentos Financeiros'!$F$11+1),PMT(((1+'Instrumentos Financeiros'!$J$43)^(1/12)-1),$F$11,-$I$71),0)</f>
        <v>0</v>
      </c>
      <c r="BA198" s="1312">
        <f t="shared" si="122"/>
        <v>0</v>
      </c>
      <c r="BB198" s="1312">
        <f>BC197*((1+'Instrumentos Financeiros'!$J$43)^(1/12)-1)</f>
        <v>0</v>
      </c>
      <c r="BC198" s="1312">
        <f t="shared" si="91"/>
        <v>0</v>
      </c>
      <c r="BD198" s="1312">
        <f>IF(AND(C198&gt;$F$72,'Instrumentos Financeiros'!C198&lt;'Instrumentos Financeiros'!$F$72+'Instrumentos Financeiros'!$F$11+1),PMT(((1+'Instrumentos Financeiros'!$J$43)^(1/12)-1),$F$11,-'Instrumentos Financeiros'!$G$7*$G$72),0)</f>
        <v>0</v>
      </c>
      <c r="BE198" s="1312">
        <f t="shared" si="123"/>
        <v>0</v>
      </c>
      <c r="BF198" s="1312">
        <f>BG197*((1+'Instrumentos Financeiros'!$J$43)^(1/12)-1)</f>
        <v>0</v>
      </c>
      <c r="BG198" s="1312">
        <f t="shared" si="92"/>
        <v>0</v>
      </c>
      <c r="BH198" s="1312">
        <f>IF(AND(C198&gt;$F$73,'Instrumentos Financeiros'!C198&lt;'Instrumentos Financeiros'!$F$73+'Instrumentos Financeiros'!$F$11+1),PMT(((1+'Instrumentos Financeiros'!$J$43)^(1/12)-1),$F$11,-$I$73),0)</f>
        <v>0</v>
      </c>
      <c r="BI198" s="1312">
        <f t="shared" si="124"/>
        <v>0</v>
      </c>
      <c r="BJ198" s="1312">
        <f>BK197*((1+'Instrumentos Financeiros'!$J$43)^(1/12)-1)</f>
        <v>0</v>
      </c>
      <c r="BK198" s="1312">
        <f t="shared" si="93"/>
        <v>0</v>
      </c>
      <c r="BL198" s="1312">
        <f>IF(AND(C198&gt;$F$77,'Instrumentos Financeiros'!C198&lt;'Instrumentos Financeiros'!$F$77+'Instrumentos Financeiros'!$F$12+1),PMT(((1+'Instrumentos Financeiros'!$K$43)^(1/12)-1),$F$12,-$I$77),0)</f>
        <v>368.57912678094596</v>
      </c>
      <c r="BM198" s="1312">
        <f t="shared" si="94"/>
        <v>175.48066842550907</v>
      </c>
      <c r="BN198" s="1312">
        <f>BO197*((1+'Instrumentos Financeiros'!$K$43)^(1/12)-1)</f>
        <v>193.09845835543689</v>
      </c>
      <c r="BO198" s="1312">
        <f t="shared" si="95"/>
        <v>44481.775589062163</v>
      </c>
      <c r="BP198" s="1312">
        <f>IF(AND(C198&gt;$F$78,'Instrumentos Financeiros'!C198&lt;'Instrumentos Financeiros'!$F$78+'Instrumentos Financeiros'!$F$12+1),PMT(((1+'Instrumentos Financeiros'!$L$43)^(1/12)-1),$F$12,-$I$78),0)</f>
        <v>368.57912678094596</v>
      </c>
      <c r="BQ198" s="1312">
        <f t="shared" si="96"/>
        <v>173.22387239948753</v>
      </c>
      <c r="BR198" s="1312">
        <f>BS197*((1+'Instrumentos Financeiros'!$L$43)^(1/12)-1)</f>
        <v>195.35525438145842</v>
      </c>
      <c r="BS198" s="1312">
        <f t="shared" si="97"/>
        <v>45005.954306750624</v>
      </c>
      <c r="BT198" s="1312">
        <f>IF(AND(C198&gt;$F$79,'Instrumentos Financeiros'!C198&lt;'Instrumentos Financeiros'!$F$79+'Instrumentos Financeiros'!$F$12+1),PMT(((1+'Instrumentos Financeiros'!$L$43)^(1/12)-1),$F$12,-$I$79),0)</f>
        <v>368.57912678094596</v>
      </c>
      <c r="BU198" s="1312">
        <f t="shared" si="98"/>
        <v>170.9961002445782</v>
      </c>
      <c r="BV198" s="1312">
        <f>BW197*((1+'Instrumentos Financeiros'!$L$43)^(1/12)-1)</f>
        <v>197.58302653636775</v>
      </c>
      <c r="BW198" s="1312">
        <f t="shared" si="99"/>
        <v>45523.391743717861</v>
      </c>
      <c r="BX198" s="1312">
        <f>IF(AND(C198&gt;$F$80,'Instrumentos Financeiros'!C198&lt;'Instrumentos Financeiros'!$F$80+'Instrumentos Financeiros'!$F$12+1),PMT(((1+'Instrumentos Financeiros'!$L$43)^(1/12)-1),$F$12,-$I$80),0)</f>
        <v>0</v>
      </c>
      <c r="BY198" s="1312">
        <f t="shared" si="100"/>
        <v>0</v>
      </c>
      <c r="BZ198" s="1312">
        <f>CA197*((1+'Instrumentos Financeiros'!$L$43)^(1/12)-1)</f>
        <v>0</v>
      </c>
      <c r="CA198" s="1312">
        <f t="shared" si="101"/>
        <v>46034.174597237587</v>
      </c>
      <c r="CB198" s="1312">
        <f>IF(AND(C198&gt;$F$83,'Instrumentos Financeiros'!C198&lt;'Instrumentos Financeiros'!$F$83+'Instrumentos Financeiros'!$F$13+1),PMT(((1+'Instrumentos Financeiros'!$P$43)^(1/12)-1),$F$13,-$I$83),0)</f>
        <v>0</v>
      </c>
      <c r="CC198" s="1312">
        <f t="shared" si="102"/>
        <v>0</v>
      </c>
      <c r="CD198" s="1312">
        <f>CE197*((1+'Instrumentos Financeiros'!$P$43)^(1/12)-1)</f>
        <v>0</v>
      </c>
      <c r="CE198" s="1312">
        <f t="shared" si="103"/>
        <v>0</v>
      </c>
      <c r="CF198" s="1312">
        <f>IF(AND(C198&gt;$F$84,'Instrumentos Financeiros'!C198&lt;'Instrumentos Financeiros'!$F$84+'Instrumentos Financeiros'!$F$13+1),PMT(((1+'Instrumentos Financeiros'!$Q$43)^(1/12)-1),$F$13,-$I$84),0)</f>
        <v>0</v>
      </c>
      <c r="CG198" s="1312">
        <f t="shared" si="104"/>
        <v>0</v>
      </c>
      <c r="CH198" s="1312">
        <f>CI197*((1+'Instrumentos Financeiros'!$Q$43)^(1/12)-1)</f>
        <v>0</v>
      </c>
      <c r="CI198" s="1312">
        <f t="shared" si="105"/>
        <v>0</v>
      </c>
      <c r="CJ198" s="1312">
        <f>IF(AND(C198&gt;$F$85,'Instrumentos Financeiros'!C198&lt;'Instrumentos Financeiros'!$F$85+'Instrumentos Financeiros'!$F$13+1),PMT(((1+'Instrumentos Financeiros'!$Q$43)^(1/12)-1),$F$13,-$I$85),0)</f>
        <v>0</v>
      </c>
      <c r="CK198" s="1312">
        <f t="shared" si="106"/>
        <v>0</v>
      </c>
      <c r="CL198" s="1312">
        <f>CM197*((1+'Instrumentos Financeiros'!$Q$43)^(1/12)-1)</f>
        <v>0</v>
      </c>
      <c r="CM198" s="1312">
        <f t="shared" si="107"/>
        <v>0</v>
      </c>
      <c r="CN198" s="1312">
        <f>IF(AND(C198&gt;$F$86,'Instrumentos Financeiros'!C198&lt;'Instrumentos Financeiros'!$F$86+'Instrumentos Financeiros'!$F$13+1),PMT(((1+'Instrumentos Financeiros'!$Q$43)^(1/12)-1),$F$13,-$I$86),0)</f>
        <v>0</v>
      </c>
      <c r="CO198" s="1312">
        <f t="shared" si="108"/>
        <v>0</v>
      </c>
      <c r="CP198" s="1312">
        <f>CQ197*((1+'Instrumentos Financeiros'!$Q$43)^(1/12)-1)</f>
        <v>0</v>
      </c>
      <c r="CQ198" s="1312">
        <f t="shared" si="109"/>
        <v>0</v>
      </c>
      <c r="CR198" s="1312">
        <f t="shared" si="78"/>
        <v>399420.97110437235</v>
      </c>
      <c r="CS198" s="1312">
        <f t="shared" si="78"/>
        <v>202744.09084097296</v>
      </c>
      <c r="CT198" s="1312">
        <f t="shared" si="78"/>
        <v>196676.8802633993</v>
      </c>
      <c r="CU198" s="1312">
        <f t="shared" si="78"/>
        <v>45881256.670855574</v>
      </c>
    </row>
    <row r="199" spans="3:99" x14ac:dyDescent="0.35">
      <c r="C199" s="1315">
        <f t="shared" si="79"/>
        <v>106</v>
      </c>
      <c r="D199" s="1312">
        <f>IF(AND(C199&gt;$F$59,'Instrumentos Financeiros'!C199&lt;'Instrumentos Financeiros'!$F$59+'Instrumentos Financeiros'!$F$11+1),PMT(((1+'Instrumentos Financeiros'!$G$43)^(1/12)-1),$F$11,-$I$59),0)</f>
        <v>91768.589635900134</v>
      </c>
      <c r="E199" s="1312">
        <f t="shared" si="76"/>
        <v>51671.564377061957</v>
      </c>
      <c r="F199" s="1312">
        <f>G198*((1+'Instrumentos Financeiros'!$G$43)^(1/12)-1)</f>
        <v>40097.025258838177</v>
      </c>
      <c r="G199" s="1312">
        <f t="shared" si="110"/>
        <v>9771695.4873699751</v>
      </c>
      <c r="H199" s="1312">
        <f>IF(AND(C199&gt;$F$60,'Instrumentos Financeiros'!C199&lt;'Instrumentos Financeiros'!$F$60+'Instrumentos Financeiros'!$F$11+1),PMT(((1+'Instrumentos Financeiros'!$G$43)^(1/12)-1),$F$11,-$I$60),0)</f>
        <v>0</v>
      </c>
      <c r="I199" s="1312">
        <f t="shared" si="111"/>
        <v>0</v>
      </c>
      <c r="J199" s="1312">
        <f>K198*((1+'Instrumentos Financeiros'!$G$43)^(1/12)-1)</f>
        <v>0</v>
      </c>
      <c r="K199" s="1312">
        <f t="shared" si="80"/>
        <v>0</v>
      </c>
      <c r="L199" s="1312">
        <f>IF(AND(C199&gt;$F$61,'Instrumentos Financeiros'!C199&lt;'Instrumentos Financeiros'!$F$61+'Instrumentos Financeiros'!$F$11+1),PMT(((1+'Instrumentos Financeiros'!$G$43)^(1/12)-1),$F$11,-$I$61),0)</f>
        <v>0</v>
      </c>
      <c r="M199" s="1312">
        <f t="shared" si="112"/>
        <v>0</v>
      </c>
      <c r="N199" s="1312">
        <f>O198*((1+'Instrumentos Financeiros'!$G$43)^(1/12)-1)</f>
        <v>0</v>
      </c>
      <c r="O199" s="1312">
        <f t="shared" si="81"/>
        <v>0</v>
      </c>
      <c r="P199" s="1312">
        <f>IF(AND(C199&gt;$F$62,'Instrumentos Financeiros'!C199&lt;'Instrumentos Financeiros'!$F$62+'Instrumentos Financeiros'!$F$11+1),PMT(((1+'Instrumentos Financeiros'!$H$43)^(1/12)-1),$F$11,-$I$62),0)</f>
        <v>0</v>
      </c>
      <c r="Q199" s="1312">
        <f t="shared" si="113"/>
        <v>0</v>
      </c>
      <c r="R199" s="1312">
        <f>S198*((1+'Instrumentos Financeiros'!$H$43)^(1/12)-1)</f>
        <v>0</v>
      </c>
      <c r="S199" s="1312">
        <f t="shared" si="82"/>
        <v>0</v>
      </c>
      <c r="T199" s="1312">
        <f>IF(AND(C199&gt;$F$63,'Instrumentos Financeiros'!C199&lt;'Instrumentos Financeiros'!$F$63+'Instrumentos Financeiros'!$F$11+1),PMT(((1+'Instrumentos Financeiros'!$H$43)^(1/12)-1),$F$11,-$I$63),0)</f>
        <v>0</v>
      </c>
      <c r="U199" s="1312">
        <f t="shared" si="114"/>
        <v>0</v>
      </c>
      <c r="V199" s="1312">
        <f>W198*((1+'Instrumentos Financeiros'!$H$43)^(1/12)-1)</f>
        <v>0</v>
      </c>
      <c r="W199" s="1312">
        <f t="shared" si="83"/>
        <v>0</v>
      </c>
      <c r="X199" s="1312">
        <f>IF(AND(C199&gt;$F$64,'Instrumentos Financeiros'!C199&lt;'Instrumentos Financeiros'!$F$64+'Instrumentos Financeiros'!$F$11+1),PMT(((1+'Instrumentos Financeiros'!$H$43)^(1/12)-1),$F$11,-$I$64),0)</f>
        <v>0</v>
      </c>
      <c r="Y199" s="1312">
        <f t="shared" si="115"/>
        <v>0</v>
      </c>
      <c r="Z199" s="1312">
        <f>AA198*((1+'Instrumentos Financeiros'!$H$43)^(1/12)-1)</f>
        <v>0</v>
      </c>
      <c r="AA199" s="1312">
        <f t="shared" si="84"/>
        <v>0</v>
      </c>
      <c r="AB199" s="1312">
        <f>IF(AND(C199&gt;$F$65,'Instrumentos Financeiros'!C199&lt;'Instrumentos Financeiros'!$F$65+'Instrumentos Financeiros'!$F$11+1),PMT(((1+'Instrumentos Financeiros'!$H$43)^(1/12)-1),$F$11,-$I$65),0)</f>
        <v>76636.661022032335</v>
      </c>
      <c r="AC199" s="1312">
        <f t="shared" si="116"/>
        <v>38591.806784975022</v>
      </c>
      <c r="AD199" s="1312">
        <f>AE198*((1+'Instrumentos Financeiros'!$H$43)^(1/12)-1)</f>
        <v>38044.854237057312</v>
      </c>
      <c r="AE199" s="1312">
        <f t="shared" si="85"/>
        <v>8759918.6495528948</v>
      </c>
      <c r="AF199" s="1312">
        <f>IF(AND(C199&gt;$F$66,'Instrumentos Financeiros'!C199&lt;'Instrumentos Financeiros'!$F$66+'Instrumentos Financeiros'!$F$11+1),PMT(((1+'Instrumentos Financeiros'!$I$43)^(1/12)-1),$F$11,-$I$66),0)</f>
        <v>76636.661022032335</v>
      </c>
      <c r="AG199" s="1312">
        <f t="shared" si="117"/>
        <v>38095.490940211224</v>
      </c>
      <c r="AH199" s="1312">
        <f>AI198*((1+'Instrumentos Financeiros'!$I$43)^(1/12)-1)</f>
        <v>38541.17008182111</v>
      </c>
      <c r="AI199" s="1312">
        <f t="shared" si="86"/>
        <v>8875196.3264350984</v>
      </c>
      <c r="AJ199" s="1312">
        <f>IF(AND(C199&gt;$F$67,'Instrumentos Financeiros'!C199&lt;'Instrumentos Financeiros'!$F$67+'Instrumentos Financeiros'!$F$11+1),PMT(((1+'Instrumentos Financeiros'!$I$43)^(1/12)-1),$F$11,-$I$67),0)</f>
        <v>76636.661022032335</v>
      </c>
      <c r="AK199" s="1312">
        <f t="shared" si="118"/>
        <v>37605.558041421828</v>
      </c>
      <c r="AL199" s="1312">
        <f>AM198*((1+'Instrumentos Financeiros'!$I$43)^(1/12)-1)</f>
        <v>39031.102980610507</v>
      </c>
      <c r="AM199" s="1312">
        <f t="shared" si="87"/>
        <v>8988991.4570892155</v>
      </c>
      <c r="AN199" s="1312">
        <f>IF(AND(C199&gt;$F$68,'Instrumentos Financeiros'!C199&lt;'Instrumentos Financeiros'!$F$68+'Instrumentos Financeiros'!$F$11+1),PMT(((1+'Instrumentos Financeiros'!$I$43)^(1/12)-1),$F$11,-$I$68),0)</f>
        <v>76636.661022032335</v>
      </c>
      <c r="AO199" s="1312">
        <f t="shared" si="119"/>
        <v>37121.925999752071</v>
      </c>
      <c r="AP199" s="1312">
        <f>AQ198*((1+'Instrumentos Financeiros'!$I$43)^(1/12)-1)</f>
        <v>39514.735022280263</v>
      </c>
      <c r="AQ199" s="1312">
        <f t="shared" si="88"/>
        <v>9101323.1080281865</v>
      </c>
      <c r="AR199" s="1312">
        <f>IF(AND(C199&gt;$F$69,'Instrumentos Financeiros'!C199&lt;'Instrumentos Financeiros'!$F$69+'Instrumentos Financeiros'!$F$11+1),PMT(((1+'Instrumentos Financeiros'!$I$43)^(1/12)-1),$F$11,-$I$69),0)</f>
        <v>0</v>
      </c>
      <c r="AS199" s="1312">
        <f t="shared" si="120"/>
        <v>0</v>
      </c>
      <c r="AT199" s="1312">
        <f>AU198*((1+'Instrumentos Financeiros'!$I$43)^(1/12)-1)</f>
        <v>0</v>
      </c>
      <c r="AU199" s="1312">
        <f t="shared" si="89"/>
        <v>0</v>
      </c>
      <c r="AV199" s="1312">
        <f>IF(AND(C199&gt;$F$70,'Instrumentos Financeiros'!C199&lt;'Instrumentos Financeiros'!$F$70+'Instrumentos Financeiros'!$F$11+1),PMT(((1+'Instrumentos Financeiros'!$J$43)^(1/12)-1),$F$11,-$I$70),0)</f>
        <v>0</v>
      </c>
      <c r="AW199" s="1312">
        <f t="shared" si="121"/>
        <v>0</v>
      </c>
      <c r="AX199" s="1312">
        <f>AY198*((1+'Instrumentos Financeiros'!$J$43)^(1/12)-1)</f>
        <v>0</v>
      </c>
      <c r="AY199" s="1312">
        <f t="shared" si="90"/>
        <v>0</v>
      </c>
      <c r="AZ199" s="1312">
        <f>IF(AND(C199&gt;$F$71,'Instrumentos Financeiros'!C199&lt;'Instrumentos Financeiros'!$F$71+'Instrumentos Financeiros'!$F$11+1),PMT(((1+'Instrumentos Financeiros'!$J$43)^(1/12)-1),$F$11,-$I$71),0)</f>
        <v>0</v>
      </c>
      <c r="BA199" s="1312">
        <f t="shared" si="122"/>
        <v>0</v>
      </c>
      <c r="BB199" s="1312">
        <f>BC198*((1+'Instrumentos Financeiros'!$J$43)^(1/12)-1)</f>
        <v>0</v>
      </c>
      <c r="BC199" s="1312">
        <f t="shared" si="91"/>
        <v>0</v>
      </c>
      <c r="BD199" s="1312">
        <f>IF(AND(C199&gt;$F$72,'Instrumentos Financeiros'!C199&lt;'Instrumentos Financeiros'!$F$72+'Instrumentos Financeiros'!$F$11+1),PMT(((1+'Instrumentos Financeiros'!$J$43)^(1/12)-1),$F$11,-'Instrumentos Financeiros'!$G$7*$G$72),0)</f>
        <v>0</v>
      </c>
      <c r="BE199" s="1312">
        <f t="shared" si="123"/>
        <v>0</v>
      </c>
      <c r="BF199" s="1312">
        <f>BG198*((1+'Instrumentos Financeiros'!$J$43)^(1/12)-1)</f>
        <v>0</v>
      </c>
      <c r="BG199" s="1312">
        <f t="shared" si="92"/>
        <v>0</v>
      </c>
      <c r="BH199" s="1312">
        <f>IF(AND(C199&gt;$F$73,'Instrumentos Financeiros'!C199&lt;'Instrumentos Financeiros'!$F$73+'Instrumentos Financeiros'!$F$11+1),PMT(((1+'Instrumentos Financeiros'!$J$43)^(1/12)-1),$F$11,-$I$73),0)</f>
        <v>0</v>
      </c>
      <c r="BI199" s="1312">
        <f t="shared" si="124"/>
        <v>0</v>
      </c>
      <c r="BJ199" s="1312">
        <f>BK198*((1+'Instrumentos Financeiros'!$J$43)^(1/12)-1)</f>
        <v>0</v>
      </c>
      <c r="BK199" s="1312">
        <f t="shared" si="93"/>
        <v>0</v>
      </c>
      <c r="BL199" s="1312">
        <f>IF(AND(C199&gt;$F$77,'Instrumentos Financeiros'!C199&lt;'Instrumentos Financeiros'!$F$77+'Instrumentos Financeiros'!$F$12+1),PMT(((1+'Instrumentos Financeiros'!$K$43)^(1/12)-1),$F$12,-$I$77),0)</f>
        <v>368.57912678094596</v>
      </c>
      <c r="BM199" s="1312">
        <f t="shared" si="94"/>
        <v>176.23944873097099</v>
      </c>
      <c r="BN199" s="1312">
        <f>BO198*((1+'Instrumentos Financeiros'!$K$43)^(1/12)-1)</f>
        <v>192.33967804997496</v>
      </c>
      <c r="BO199" s="1312">
        <f t="shared" si="95"/>
        <v>44305.536140331191</v>
      </c>
      <c r="BP199" s="1312">
        <f>IF(AND(C199&gt;$F$78,'Instrumentos Financeiros'!C199&lt;'Instrumentos Financeiros'!$F$78+'Instrumentos Financeiros'!$F$12+1),PMT(((1+'Instrumentos Financeiros'!$L$43)^(1/12)-1),$F$12,-$I$78),0)</f>
        <v>368.57912678094596</v>
      </c>
      <c r="BQ199" s="1312">
        <f t="shared" si="96"/>
        <v>173.97289429455955</v>
      </c>
      <c r="BR199" s="1312">
        <f>BS198*((1+'Instrumentos Financeiros'!$L$43)^(1/12)-1)</f>
        <v>194.6062324863864</v>
      </c>
      <c r="BS199" s="1312">
        <f t="shared" si="97"/>
        <v>44831.981412456065</v>
      </c>
      <c r="BT199" s="1312">
        <f>IF(AND(C199&gt;$F$79,'Instrumentos Financeiros'!C199&lt;'Instrumentos Financeiros'!$F$79+'Instrumentos Financeiros'!$F$12+1),PMT(((1+'Instrumentos Financeiros'!$L$43)^(1/12)-1),$F$12,-$I$79),0)</f>
        <v>368.57912678094596</v>
      </c>
      <c r="BU199" s="1312">
        <f t="shared" si="98"/>
        <v>171.73548922879246</v>
      </c>
      <c r="BV199" s="1312">
        <f>BW198*((1+'Instrumentos Financeiros'!$L$43)^(1/12)-1)</f>
        <v>196.8436375521535</v>
      </c>
      <c r="BW199" s="1312">
        <f t="shared" si="99"/>
        <v>45351.656254489069</v>
      </c>
      <c r="BX199" s="1312">
        <f>IF(AND(C199&gt;$F$80,'Instrumentos Financeiros'!C199&lt;'Instrumentos Financeiros'!$F$80+'Instrumentos Financeiros'!$F$12+1),PMT(((1+'Instrumentos Financeiros'!$L$43)^(1/12)-1),$F$12,-$I$80),0)</f>
        <v>368.57912678094596</v>
      </c>
      <c r="BY199" s="1312">
        <f t="shared" si="100"/>
        <v>169.52685865372186</v>
      </c>
      <c r="BZ199" s="1312">
        <f>CA198*((1+'Instrumentos Financeiros'!$L$43)^(1/12)-1)</f>
        <v>199.0522681272241</v>
      </c>
      <c r="CA199" s="1312">
        <f t="shared" si="101"/>
        <v>45864.647738583866</v>
      </c>
      <c r="CB199" s="1312">
        <f>IF(AND(C199&gt;$F$83,'Instrumentos Financeiros'!C199&lt;'Instrumentos Financeiros'!$F$83+'Instrumentos Financeiros'!$F$13+1),PMT(((1+'Instrumentos Financeiros'!$P$43)^(1/12)-1),$F$13,-$I$83),0)</f>
        <v>0</v>
      </c>
      <c r="CC199" s="1312">
        <f t="shared" si="102"/>
        <v>0</v>
      </c>
      <c r="CD199" s="1312">
        <f>CE198*((1+'Instrumentos Financeiros'!$P$43)^(1/12)-1)</f>
        <v>0</v>
      </c>
      <c r="CE199" s="1312">
        <f t="shared" si="103"/>
        <v>0</v>
      </c>
      <c r="CF199" s="1312">
        <f>IF(AND(C199&gt;$F$84,'Instrumentos Financeiros'!C199&lt;'Instrumentos Financeiros'!$F$84+'Instrumentos Financeiros'!$F$13+1),PMT(((1+'Instrumentos Financeiros'!$Q$43)^(1/12)-1),$F$13,-$I$84),0)</f>
        <v>0</v>
      </c>
      <c r="CG199" s="1312">
        <f t="shared" si="104"/>
        <v>0</v>
      </c>
      <c r="CH199" s="1312">
        <f>CI198*((1+'Instrumentos Financeiros'!$Q$43)^(1/12)-1)</f>
        <v>0</v>
      </c>
      <c r="CI199" s="1312">
        <f t="shared" si="105"/>
        <v>0</v>
      </c>
      <c r="CJ199" s="1312">
        <f>IF(AND(C199&gt;$F$85,'Instrumentos Financeiros'!C199&lt;'Instrumentos Financeiros'!$F$85+'Instrumentos Financeiros'!$F$13+1),PMT(((1+'Instrumentos Financeiros'!$Q$43)^(1/12)-1),$F$13,-$I$85),0)</f>
        <v>0</v>
      </c>
      <c r="CK199" s="1312">
        <f t="shared" si="106"/>
        <v>0</v>
      </c>
      <c r="CL199" s="1312">
        <f>CM198*((1+'Instrumentos Financeiros'!$Q$43)^(1/12)-1)</f>
        <v>0</v>
      </c>
      <c r="CM199" s="1312">
        <f t="shared" si="107"/>
        <v>0</v>
      </c>
      <c r="CN199" s="1312">
        <f>IF(AND(C199&gt;$F$86,'Instrumentos Financeiros'!C199&lt;'Instrumentos Financeiros'!$F$86+'Instrumentos Financeiros'!$F$13+1),PMT(((1+'Instrumentos Financeiros'!$Q$43)^(1/12)-1),$F$13,-$I$86),0)</f>
        <v>0</v>
      </c>
      <c r="CO199" s="1312">
        <f t="shared" si="108"/>
        <v>0</v>
      </c>
      <c r="CP199" s="1312">
        <f>CQ198*((1+'Instrumentos Financeiros'!$Q$43)^(1/12)-1)</f>
        <v>0</v>
      </c>
      <c r="CQ199" s="1312">
        <f t="shared" si="109"/>
        <v>0</v>
      </c>
      <c r="CR199" s="1312">
        <f t="shared" si="78"/>
        <v>399789.55023115332</v>
      </c>
      <c r="CS199" s="1312">
        <f t="shared" si="78"/>
        <v>203777.8208343302</v>
      </c>
      <c r="CT199" s="1312">
        <f t="shared" si="78"/>
        <v>196011.72939682307</v>
      </c>
      <c r="CU199" s="1312">
        <f t="shared" si="78"/>
        <v>45677478.850021236</v>
      </c>
    </row>
    <row r="200" spans="3:99" x14ac:dyDescent="0.35">
      <c r="C200" s="1315">
        <f t="shared" si="79"/>
        <v>107</v>
      </c>
      <c r="D200" s="1312">
        <f>IF(AND(C200&gt;$F$59,'Instrumentos Financeiros'!C200&lt;'Instrumentos Financeiros'!$F$59+'Instrumentos Financeiros'!$F$11+1),PMT(((1+'Instrumentos Financeiros'!$G$43)^(1/12)-1),$F$11,-$I$59),0)</f>
        <v>91768.589635900134</v>
      </c>
      <c r="E200" s="1312">
        <f t="shared" si="76"/>
        <v>51882.477398134732</v>
      </c>
      <c r="F200" s="1312">
        <f>G199*((1+'Instrumentos Financeiros'!$G$43)^(1/12)-1)</f>
        <v>39886.112237765403</v>
      </c>
      <c r="G200" s="1312">
        <f t="shared" si="110"/>
        <v>9719813.0099718403</v>
      </c>
      <c r="H200" s="1312">
        <f>IF(AND(C200&gt;$F$60,'Instrumentos Financeiros'!C200&lt;'Instrumentos Financeiros'!$F$60+'Instrumentos Financeiros'!$F$11+1),PMT(((1+'Instrumentos Financeiros'!$G$43)^(1/12)-1),$F$11,-$I$60),0)</f>
        <v>0</v>
      </c>
      <c r="I200" s="1312">
        <f t="shared" si="111"/>
        <v>0</v>
      </c>
      <c r="J200" s="1312">
        <f>K199*((1+'Instrumentos Financeiros'!$G$43)^(1/12)-1)</f>
        <v>0</v>
      </c>
      <c r="K200" s="1312">
        <f t="shared" si="80"/>
        <v>0</v>
      </c>
      <c r="L200" s="1312">
        <f>IF(AND(C200&gt;$F$61,'Instrumentos Financeiros'!C200&lt;'Instrumentos Financeiros'!$F$61+'Instrumentos Financeiros'!$F$11+1),PMT(((1+'Instrumentos Financeiros'!$G$43)^(1/12)-1),$F$11,-$I$61),0)</f>
        <v>0</v>
      </c>
      <c r="M200" s="1312">
        <f t="shared" si="112"/>
        <v>0</v>
      </c>
      <c r="N200" s="1312">
        <f>O199*((1+'Instrumentos Financeiros'!$G$43)^(1/12)-1)</f>
        <v>0</v>
      </c>
      <c r="O200" s="1312">
        <f t="shared" si="81"/>
        <v>0</v>
      </c>
      <c r="P200" s="1312">
        <f>IF(AND(C200&gt;$F$62,'Instrumentos Financeiros'!C200&lt;'Instrumentos Financeiros'!$F$62+'Instrumentos Financeiros'!$F$11+1),PMT(((1+'Instrumentos Financeiros'!$H$43)^(1/12)-1),$F$11,-$I$62),0)</f>
        <v>0</v>
      </c>
      <c r="Q200" s="1312">
        <f t="shared" si="113"/>
        <v>0</v>
      </c>
      <c r="R200" s="1312">
        <f>S199*((1+'Instrumentos Financeiros'!$H$43)^(1/12)-1)</f>
        <v>0</v>
      </c>
      <c r="S200" s="1312">
        <f t="shared" si="82"/>
        <v>0</v>
      </c>
      <c r="T200" s="1312">
        <f>IF(AND(C200&gt;$F$63,'Instrumentos Financeiros'!C200&lt;'Instrumentos Financeiros'!$F$63+'Instrumentos Financeiros'!$F$11+1),PMT(((1+'Instrumentos Financeiros'!$H$43)^(1/12)-1),$F$11,-$I$63),0)</f>
        <v>0</v>
      </c>
      <c r="U200" s="1312">
        <f t="shared" si="114"/>
        <v>0</v>
      </c>
      <c r="V200" s="1312">
        <f>W199*((1+'Instrumentos Financeiros'!$H$43)^(1/12)-1)</f>
        <v>0</v>
      </c>
      <c r="W200" s="1312">
        <f t="shared" si="83"/>
        <v>0</v>
      </c>
      <c r="X200" s="1312">
        <f>IF(AND(C200&gt;$F$64,'Instrumentos Financeiros'!C200&lt;'Instrumentos Financeiros'!$F$64+'Instrumentos Financeiros'!$F$11+1),PMT(((1+'Instrumentos Financeiros'!$H$43)^(1/12)-1),$F$11,-$I$64),0)</f>
        <v>0</v>
      </c>
      <c r="Y200" s="1312">
        <f t="shared" si="115"/>
        <v>0</v>
      </c>
      <c r="Z200" s="1312">
        <f>AA199*((1+'Instrumentos Financeiros'!$H$43)^(1/12)-1)</f>
        <v>0</v>
      </c>
      <c r="AA200" s="1312">
        <f t="shared" si="84"/>
        <v>0</v>
      </c>
      <c r="AB200" s="1312">
        <f>IF(AND(C200&gt;$F$65,'Instrumentos Financeiros'!C200&lt;'Instrumentos Financeiros'!$F$65+'Instrumentos Financeiros'!$F$11+1),PMT(((1+'Instrumentos Financeiros'!$H$43)^(1/12)-1),$F$11,-$I$65),0)</f>
        <v>76636.661022032335</v>
      </c>
      <c r="AC200" s="1312">
        <f t="shared" si="116"/>
        <v>38758.678174304499</v>
      </c>
      <c r="AD200" s="1312">
        <f>AE199*((1+'Instrumentos Financeiros'!$H$43)^(1/12)-1)</f>
        <v>37877.982847727835</v>
      </c>
      <c r="AE200" s="1312">
        <f t="shared" si="85"/>
        <v>8721159.9713785909</v>
      </c>
      <c r="AF200" s="1312">
        <f>IF(AND(C200&gt;$F$66,'Instrumentos Financeiros'!C200&lt;'Instrumentos Financeiros'!$F$66+'Instrumentos Financeiros'!$F$11+1),PMT(((1+'Instrumentos Financeiros'!$I$43)^(1/12)-1),$F$11,-$I$66),0)</f>
        <v>76636.661022032335</v>
      </c>
      <c r="AG200" s="1312">
        <f t="shared" si="117"/>
        <v>38260.216254467734</v>
      </c>
      <c r="AH200" s="1312">
        <f>AI199*((1+'Instrumentos Financeiros'!$I$43)^(1/12)-1)</f>
        <v>38376.444767564601</v>
      </c>
      <c r="AI200" s="1312">
        <f t="shared" si="86"/>
        <v>8836936.1101806313</v>
      </c>
      <c r="AJ200" s="1312">
        <f>IF(AND(C200&gt;$F$67,'Instrumentos Financeiros'!C200&lt;'Instrumentos Financeiros'!$F$67+'Instrumentos Financeiros'!$F$11+1),PMT(((1+'Instrumentos Financeiros'!$I$43)^(1/12)-1),$F$11,-$I$67),0)</f>
        <v>76636.661022032335</v>
      </c>
      <c r="AK200" s="1312">
        <f t="shared" si="118"/>
        <v>37768.164880532706</v>
      </c>
      <c r="AL200" s="1312">
        <f>AM199*((1+'Instrumentos Financeiros'!$I$43)^(1/12)-1)</f>
        <v>38868.496141499629</v>
      </c>
      <c r="AM200" s="1312">
        <f t="shared" si="87"/>
        <v>8951223.2922086827</v>
      </c>
      <c r="AN200" s="1312">
        <f>IF(AND(C200&gt;$F$68,'Instrumentos Financeiros'!C200&lt;'Instrumentos Financeiros'!$F$68+'Instrumentos Financeiros'!$F$11+1),PMT(((1+'Instrumentos Financeiros'!$I$43)^(1/12)-1),$F$11,-$I$68),0)</f>
        <v>76636.661022032335</v>
      </c>
      <c r="AO200" s="1312">
        <f t="shared" si="119"/>
        <v>37282.441608691537</v>
      </c>
      <c r="AP200" s="1312">
        <f>AQ199*((1+'Instrumentos Financeiros'!$I$43)^(1/12)-1)</f>
        <v>39354.219413340797</v>
      </c>
      <c r="AQ200" s="1312">
        <f t="shared" si="88"/>
        <v>9064040.6664194949</v>
      </c>
      <c r="AR200" s="1312">
        <f>IF(AND(C200&gt;$F$69,'Instrumentos Financeiros'!C200&lt;'Instrumentos Financeiros'!$F$69+'Instrumentos Financeiros'!$F$11+1),PMT(((1+'Instrumentos Financeiros'!$I$43)^(1/12)-1),$F$11,-$I$69),0)</f>
        <v>0</v>
      </c>
      <c r="AS200" s="1312">
        <f t="shared" si="120"/>
        <v>0</v>
      </c>
      <c r="AT200" s="1312">
        <f>AU199*((1+'Instrumentos Financeiros'!$I$43)^(1/12)-1)</f>
        <v>0</v>
      </c>
      <c r="AU200" s="1312">
        <f t="shared" si="89"/>
        <v>0</v>
      </c>
      <c r="AV200" s="1312">
        <f>IF(AND(C200&gt;$F$70,'Instrumentos Financeiros'!C200&lt;'Instrumentos Financeiros'!$F$70+'Instrumentos Financeiros'!$F$11+1),PMT(((1+'Instrumentos Financeiros'!$J$43)^(1/12)-1),$F$11,-$I$70),0)</f>
        <v>0</v>
      </c>
      <c r="AW200" s="1312">
        <f t="shared" si="121"/>
        <v>0</v>
      </c>
      <c r="AX200" s="1312">
        <f>AY199*((1+'Instrumentos Financeiros'!$J$43)^(1/12)-1)</f>
        <v>0</v>
      </c>
      <c r="AY200" s="1312">
        <f t="shared" si="90"/>
        <v>0</v>
      </c>
      <c r="AZ200" s="1312">
        <f>IF(AND(C200&gt;$F$71,'Instrumentos Financeiros'!C200&lt;'Instrumentos Financeiros'!$F$71+'Instrumentos Financeiros'!$F$11+1),PMT(((1+'Instrumentos Financeiros'!$J$43)^(1/12)-1),$F$11,-$I$71),0)</f>
        <v>0</v>
      </c>
      <c r="BA200" s="1312">
        <f t="shared" si="122"/>
        <v>0</v>
      </c>
      <c r="BB200" s="1312">
        <f>BC199*((1+'Instrumentos Financeiros'!$J$43)^(1/12)-1)</f>
        <v>0</v>
      </c>
      <c r="BC200" s="1312">
        <f t="shared" si="91"/>
        <v>0</v>
      </c>
      <c r="BD200" s="1312">
        <f>IF(AND(C200&gt;$F$72,'Instrumentos Financeiros'!C200&lt;'Instrumentos Financeiros'!$F$72+'Instrumentos Financeiros'!$F$11+1),PMT(((1+'Instrumentos Financeiros'!$J$43)^(1/12)-1),$F$11,-'Instrumentos Financeiros'!$G$7*$G$72),0)</f>
        <v>0</v>
      </c>
      <c r="BE200" s="1312">
        <f t="shared" si="123"/>
        <v>0</v>
      </c>
      <c r="BF200" s="1312">
        <f>BG199*((1+'Instrumentos Financeiros'!$J$43)^(1/12)-1)</f>
        <v>0</v>
      </c>
      <c r="BG200" s="1312">
        <f t="shared" si="92"/>
        <v>0</v>
      </c>
      <c r="BH200" s="1312">
        <f>IF(AND(C200&gt;$F$73,'Instrumentos Financeiros'!C200&lt;'Instrumentos Financeiros'!$F$73+'Instrumentos Financeiros'!$F$11+1),PMT(((1+'Instrumentos Financeiros'!$J$43)^(1/12)-1),$F$11,-$I$73),0)</f>
        <v>0</v>
      </c>
      <c r="BI200" s="1312">
        <f t="shared" si="124"/>
        <v>0</v>
      </c>
      <c r="BJ200" s="1312">
        <f>BK199*((1+'Instrumentos Financeiros'!$J$43)^(1/12)-1)</f>
        <v>0</v>
      </c>
      <c r="BK200" s="1312">
        <f t="shared" si="93"/>
        <v>0</v>
      </c>
      <c r="BL200" s="1312">
        <f>IF(AND(C200&gt;$F$77,'Instrumentos Financeiros'!C200&lt;'Instrumentos Financeiros'!$F$77+'Instrumentos Financeiros'!$F$12+1),PMT(((1+'Instrumentos Financeiros'!$K$43)^(1/12)-1),$F$12,-$I$77),0)</f>
        <v>368.57912678094596</v>
      </c>
      <c r="BM200" s="1312">
        <f t="shared" si="94"/>
        <v>177.00151001066854</v>
      </c>
      <c r="BN200" s="1312">
        <f>BO199*((1+'Instrumentos Financeiros'!$K$43)^(1/12)-1)</f>
        <v>191.57761677027742</v>
      </c>
      <c r="BO200" s="1312">
        <f t="shared" si="95"/>
        <v>44128.534630320522</v>
      </c>
      <c r="BP200" s="1312">
        <f>IF(AND(C200&gt;$F$78,'Instrumentos Financeiros'!C200&lt;'Instrumentos Financeiros'!$F$78+'Instrumentos Financeiros'!$F$12+1),PMT(((1+'Instrumentos Financeiros'!$L$43)^(1/12)-1),$F$12,-$I$78),0)</f>
        <v>368.57912678094596</v>
      </c>
      <c r="BQ200" s="1312">
        <f t="shared" si="96"/>
        <v>174.72515496839529</v>
      </c>
      <c r="BR200" s="1312">
        <f>BS199*((1+'Instrumentos Financeiros'!$L$43)^(1/12)-1)</f>
        <v>193.85397181255067</v>
      </c>
      <c r="BS200" s="1312">
        <f t="shared" si="97"/>
        <v>44657.256257487672</v>
      </c>
      <c r="BT200" s="1312">
        <f>IF(AND(C200&gt;$F$79,'Instrumentos Financeiros'!C200&lt;'Instrumentos Financeiros'!$F$79+'Instrumentos Financeiros'!$F$12+1),PMT(((1+'Instrumentos Financeiros'!$L$43)^(1/12)-1),$F$12,-$I$79),0)</f>
        <v>368.57912678094596</v>
      </c>
      <c r="BU200" s="1312">
        <f t="shared" si="98"/>
        <v>172.47807533895985</v>
      </c>
      <c r="BV200" s="1312">
        <f>BW199*((1+'Instrumentos Financeiros'!$L$43)^(1/12)-1)</f>
        <v>196.1010514419861</v>
      </c>
      <c r="BW200" s="1312">
        <f t="shared" si="99"/>
        <v>45179.178179150113</v>
      </c>
      <c r="BX200" s="1312">
        <f>IF(AND(C200&gt;$F$80,'Instrumentos Financeiros'!C200&lt;'Instrumentos Financeiros'!$F$80+'Instrumentos Financeiros'!$F$12+1),PMT(((1+'Instrumentos Financeiros'!$L$43)^(1/12)-1),$F$12,-$I$80),0)</f>
        <v>368.57912678094596</v>
      </c>
      <c r="BY200" s="1312">
        <f t="shared" si="100"/>
        <v>170.25989462142945</v>
      </c>
      <c r="BZ200" s="1312">
        <f>CA199*((1+'Instrumentos Financeiros'!$L$43)^(1/12)-1)</f>
        <v>198.3192321595165</v>
      </c>
      <c r="CA200" s="1312">
        <f t="shared" si="101"/>
        <v>45694.387843962439</v>
      </c>
      <c r="CB200" s="1312">
        <f>IF(AND(C200&gt;$F$83,'Instrumentos Financeiros'!C200&lt;'Instrumentos Financeiros'!$F$83+'Instrumentos Financeiros'!$F$13+1),PMT(((1+'Instrumentos Financeiros'!$P$43)^(1/12)-1),$F$13,-$I$83),0)</f>
        <v>0</v>
      </c>
      <c r="CC200" s="1312">
        <f t="shared" si="102"/>
        <v>0</v>
      </c>
      <c r="CD200" s="1312">
        <f>CE199*((1+'Instrumentos Financeiros'!$P$43)^(1/12)-1)</f>
        <v>0</v>
      </c>
      <c r="CE200" s="1312">
        <f t="shared" si="103"/>
        <v>0</v>
      </c>
      <c r="CF200" s="1312">
        <f>IF(AND(C200&gt;$F$84,'Instrumentos Financeiros'!C200&lt;'Instrumentos Financeiros'!$F$84+'Instrumentos Financeiros'!$F$13+1),PMT(((1+'Instrumentos Financeiros'!$Q$43)^(1/12)-1),$F$13,-$I$84),0)</f>
        <v>0</v>
      </c>
      <c r="CG200" s="1312">
        <f t="shared" si="104"/>
        <v>0</v>
      </c>
      <c r="CH200" s="1312">
        <f>CI199*((1+'Instrumentos Financeiros'!$Q$43)^(1/12)-1)</f>
        <v>0</v>
      </c>
      <c r="CI200" s="1312">
        <f t="shared" si="105"/>
        <v>0</v>
      </c>
      <c r="CJ200" s="1312">
        <f>IF(AND(C200&gt;$F$85,'Instrumentos Financeiros'!C200&lt;'Instrumentos Financeiros'!$F$85+'Instrumentos Financeiros'!$F$13+1),PMT(((1+'Instrumentos Financeiros'!$Q$43)^(1/12)-1),$F$13,-$I$85),0)</f>
        <v>0</v>
      </c>
      <c r="CK200" s="1312">
        <f t="shared" si="106"/>
        <v>0</v>
      </c>
      <c r="CL200" s="1312">
        <f>CM199*((1+'Instrumentos Financeiros'!$Q$43)^(1/12)-1)</f>
        <v>0</v>
      </c>
      <c r="CM200" s="1312">
        <f t="shared" si="107"/>
        <v>0</v>
      </c>
      <c r="CN200" s="1312">
        <f>IF(AND(C200&gt;$F$86,'Instrumentos Financeiros'!C200&lt;'Instrumentos Financeiros'!$F$86+'Instrumentos Financeiros'!$F$13+1),PMT(((1+'Instrumentos Financeiros'!$Q$43)^(1/12)-1),$F$13,-$I$86),0)</f>
        <v>0</v>
      </c>
      <c r="CO200" s="1312">
        <f t="shared" si="108"/>
        <v>0</v>
      </c>
      <c r="CP200" s="1312">
        <f>CQ199*((1+'Instrumentos Financeiros'!$Q$43)^(1/12)-1)</f>
        <v>0</v>
      </c>
      <c r="CQ200" s="1312">
        <f t="shared" si="109"/>
        <v>0</v>
      </c>
      <c r="CR200" s="1312">
        <f t="shared" si="78"/>
        <v>399789.55023115332</v>
      </c>
      <c r="CS200" s="1312">
        <f t="shared" si="78"/>
        <v>204646.44295107067</v>
      </c>
      <c r="CT200" s="1312">
        <f t="shared" si="78"/>
        <v>195143.10728008259</v>
      </c>
      <c r="CU200" s="1312">
        <f t="shared" si="78"/>
        <v>45472832.407070152</v>
      </c>
    </row>
    <row r="201" spans="3:99" x14ac:dyDescent="0.35">
      <c r="C201" s="1316">
        <f t="shared" si="79"/>
        <v>108</v>
      </c>
      <c r="D201" s="1313">
        <f>IF(AND(C201&gt;$F$59,'Instrumentos Financeiros'!C201&lt;'Instrumentos Financeiros'!$F$59+'Instrumentos Financeiros'!$F$11+1),PMT(((1+'Instrumentos Financeiros'!$G$43)^(1/12)-1),$F$11,-$I$59),0)</f>
        <v>91768.589635900134</v>
      </c>
      <c r="E201" s="1313">
        <f t="shared" si="76"/>
        <v>52094.251324097735</v>
      </c>
      <c r="F201" s="1313">
        <f>G200*((1+'Instrumentos Financeiros'!$G$43)^(1/12)-1)</f>
        <v>39674.338311802399</v>
      </c>
      <c r="G201" s="1313">
        <f t="shared" si="110"/>
        <v>9667718.7586477417</v>
      </c>
      <c r="H201" s="1313">
        <f>IF(AND(C201&gt;$F$60,'Instrumentos Financeiros'!C201&lt;'Instrumentos Financeiros'!$F$60+'Instrumentos Financeiros'!$F$11+1),PMT(((1+'Instrumentos Financeiros'!$G$43)^(1/12)-1),$F$11,-$I$60),0)</f>
        <v>0</v>
      </c>
      <c r="I201" s="1313">
        <f t="shared" si="111"/>
        <v>0</v>
      </c>
      <c r="J201" s="1313">
        <f>K200*((1+'Instrumentos Financeiros'!$G$43)^(1/12)-1)</f>
        <v>0</v>
      </c>
      <c r="K201" s="1313">
        <f t="shared" si="80"/>
        <v>0</v>
      </c>
      <c r="L201" s="1313">
        <f>IF(AND(C201&gt;$F$61,'Instrumentos Financeiros'!C201&lt;'Instrumentos Financeiros'!$F$61+'Instrumentos Financeiros'!$F$11+1),PMT(((1+'Instrumentos Financeiros'!$G$43)^(1/12)-1),$F$11,-$I$61),0)</f>
        <v>0</v>
      </c>
      <c r="M201" s="1313">
        <f t="shared" si="112"/>
        <v>0</v>
      </c>
      <c r="N201" s="1313">
        <f>O200*((1+'Instrumentos Financeiros'!$G$43)^(1/12)-1)</f>
        <v>0</v>
      </c>
      <c r="O201" s="1313">
        <f t="shared" si="81"/>
        <v>0</v>
      </c>
      <c r="P201" s="1313">
        <f>IF(AND(C201&gt;$F$62,'Instrumentos Financeiros'!C201&lt;'Instrumentos Financeiros'!$F$62+'Instrumentos Financeiros'!$F$11+1),PMT(((1+'Instrumentos Financeiros'!$H$43)^(1/12)-1),$F$11,-$I$62),0)</f>
        <v>0</v>
      </c>
      <c r="Q201" s="1313">
        <f t="shared" si="113"/>
        <v>0</v>
      </c>
      <c r="R201" s="1313">
        <f>S200*((1+'Instrumentos Financeiros'!$H$43)^(1/12)-1)</f>
        <v>0</v>
      </c>
      <c r="S201" s="1313">
        <f t="shared" si="82"/>
        <v>0</v>
      </c>
      <c r="T201" s="1313">
        <f>IF(AND(C201&gt;$F$63,'Instrumentos Financeiros'!C201&lt;'Instrumentos Financeiros'!$F$63+'Instrumentos Financeiros'!$F$11+1),PMT(((1+'Instrumentos Financeiros'!$H$43)^(1/12)-1),$F$11,-$I$63),0)</f>
        <v>0</v>
      </c>
      <c r="U201" s="1313">
        <f t="shared" si="114"/>
        <v>0</v>
      </c>
      <c r="V201" s="1313">
        <f>W200*((1+'Instrumentos Financeiros'!$H$43)^(1/12)-1)</f>
        <v>0</v>
      </c>
      <c r="W201" s="1313">
        <f t="shared" si="83"/>
        <v>0</v>
      </c>
      <c r="X201" s="1313">
        <f>IF(AND(C201&gt;$F$64,'Instrumentos Financeiros'!C201&lt;'Instrumentos Financeiros'!$F$64+'Instrumentos Financeiros'!$F$11+1),PMT(((1+'Instrumentos Financeiros'!$H$43)^(1/12)-1),$F$11,-$I$64),0)</f>
        <v>0</v>
      </c>
      <c r="Y201" s="1313">
        <f t="shared" si="115"/>
        <v>0</v>
      </c>
      <c r="Z201" s="1313">
        <f>AA200*((1+'Instrumentos Financeiros'!$H$43)^(1/12)-1)</f>
        <v>0</v>
      </c>
      <c r="AA201" s="1313">
        <f t="shared" si="84"/>
        <v>0</v>
      </c>
      <c r="AB201" s="1313">
        <f>IF(AND(C201&gt;$F$65,'Instrumentos Financeiros'!C201&lt;'Instrumentos Financeiros'!$F$65+'Instrumentos Financeiros'!$F$11+1),PMT(((1+'Instrumentos Financeiros'!$H$43)^(1/12)-1),$F$11,-$I$65),0)</f>
        <v>76636.661022032335</v>
      </c>
      <c r="AC201" s="1313">
        <f t="shared" si="116"/>
        <v>38926.271117323646</v>
      </c>
      <c r="AD201" s="1313">
        <f>AE200*((1+'Instrumentos Financeiros'!$H$43)^(1/12)-1)</f>
        <v>37710.389904708689</v>
      </c>
      <c r="AE201" s="1313">
        <f t="shared" si="85"/>
        <v>8682233.7002612669</v>
      </c>
      <c r="AF201" s="1313">
        <f>IF(AND(C201&gt;$F$66,'Instrumentos Financeiros'!C201&lt;'Instrumentos Financeiros'!$F$66+'Instrumentos Financeiros'!$F$11+1),PMT(((1+'Instrumentos Financeiros'!$I$43)^(1/12)-1),$F$11,-$I$66),0)</f>
        <v>76636.661022032335</v>
      </c>
      <c r="AG201" s="1313">
        <f t="shared" si="117"/>
        <v>38425.653842762127</v>
      </c>
      <c r="AH201" s="1313">
        <f>AI200*((1+'Instrumentos Financeiros'!$I$43)^(1/12)-1)</f>
        <v>38211.007179270207</v>
      </c>
      <c r="AI201" s="1313">
        <f t="shared" si="86"/>
        <v>8798510.4563378692</v>
      </c>
      <c r="AJ201" s="1313">
        <f>IF(AND(C201&gt;$F$67,'Instrumentos Financeiros'!C201&lt;'Instrumentos Financeiros'!$F$67+'Instrumentos Financeiros'!$F$11+1),PMT(((1+'Instrumentos Financeiros'!$I$43)^(1/12)-1),$F$11,-$I$67),0)</f>
        <v>76636.661022032335</v>
      </c>
      <c r="AK201" s="1313">
        <f t="shared" si="118"/>
        <v>37931.474833372049</v>
      </c>
      <c r="AL201" s="1313">
        <f>AM200*((1+'Instrumentos Financeiros'!$I$43)^(1/12)-1)</f>
        <v>38705.186188660286</v>
      </c>
      <c r="AM201" s="1313">
        <f t="shared" si="87"/>
        <v>8913291.8173753098</v>
      </c>
      <c r="AN201" s="1313">
        <f>IF(AND(C201&gt;$F$68,'Instrumentos Financeiros'!C201&lt;'Instrumentos Financeiros'!$F$68+'Instrumentos Financeiros'!$F$11+1),PMT(((1+'Instrumentos Financeiros'!$I$43)^(1/12)-1),$F$11,-$I$68),0)</f>
        <v>76636.661022032335</v>
      </c>
      <c r="AO201" s="1313">
        <f t="shared" si="119"/>
        <v>37443.651288857633</v>
      </c>
      <c r="AP201" s="1313">
        <f>AQ200*((1+'Instrumentos Financeiros'!$I$43)^(1/12)-1)</f>
        <v>39193.009733174702</v>
      </c>
      <c r="AQ201" s="1313">
        <f t="shared" si="88"/>
        <v>9026597.0151306372</v>
      </c>
      <c r="AR201" s="1313">
        <f>IF(AND(C201&gt;$F$69,'Instrumentos Financeiros'!C201&lt;'Instrumentos Financeiros'!$F$69+'Instrumentos Financeiros'!$F$11+1),PMT(((1+'Instrumentos Financeiros'!$I$43)^(1/12)-1),$F$11,-$I$69),0)</f>
        <v>0</v>
      </c>
      <c r="AS201" s="1313">
        <f t="shared" si="120"/>
        <v>0</v>
      </c>
      <c r="AT201" s="1313">
        <f>AU200*((1+'Instrumentos Financeiros'!$I$43)^(1/12)-1)</f>
        <v>0</v>
      </c>
      <c r="AU201" s="1313">
        <f t="shared" si="89"/>
        <v>0</v>
      </c>
      <c r="AV201" s="1313">
        <f>IF(AND(C201&gt;$F$70,'Instrumentos Financeiros'!C201&lt;'Instrumentos Financeiros'!$F$70+'Instrumentos Financeiros'!$F$11+1),PMT(((1+'Instrumentos Financeiros'!$J$43)^(1/12)-1),$F$11,-$I$70),0)</f>
        <v>0</v>
      </c>
      <c r="AW201" s="1313">
        <f t="shared" si="121"/>
        <v>0</v>
      </c>
      <c r="AX201" s="1313">
        <f>AY200*((1+'Instrumentos Financeiros'!$J$43)^(1/12)-1)</f>
        <v>0</v>
      </c>
      <c r="AY201" s="1313">
        <f t="shared" si="90"/>
        <v>0</v>
      </c>
      <c r="AZ201" s="1313">
        <f>IF(AND(C201&gt;$F$71,'Instrumentos Financeiros'!C201&lt;'Instrumentos Financeiros'!$F$71+'Instrumentos Financeiros'!$F$11+1),PMT(((1+'Instrumentos Financeiros'!$J$43)^(1/12)-1),$F$11,-$I$71),0)</f>
        <v>0</v>
      </c>
      <c r="BA201" s="1313">
        <f t="shared" si="122"/>
        <v>0</v>
      </c>
      <c r="BB201" s="1313">
        <f>BC200*((1+'Instrumentos Financeiros'!$J$43)^(1/12)-1)</f>
        <v>0</v>
      </c>
      <c r="BC201" s="1313">
        <f t="shared" si="91"/>
        <v>0</v>
      </c>
      <c r="BD201" s="1313">
        <f>IF(AND(C201&gt;$F$72,'Instrumentos Financeiros'!C201&lt;'Instrumentos Financeiros'!$F$72+'Instrumentos Financeiros'!$F$11+1),PMT(((1+'Instrumentos Financeiros'!$J$43)^(1/12)-1),$F$11,-'Instrumentos Financeiros'!$G$7*$G$72),0)</f>
        <v>0</v>
      </c>
      <c r="BE201" s="1313">
        <f t="shared" si="123"/>
        <v>0</v>
      </c>
      <c r="BF201" s="1313">
        <f>BG200*((1+'Instrumentos Financeiros'!$J$43)^(1/12)-1)</f>
        <v>0</v>
      </c>
      <c r="BG201" s="1313">
        <f t="shared" si="92"/>
        <v>0</v>
      </c>
      <c r="BH201" s="1313">
        <f>IF(AND(C201&gt;$F$73,'Instrumentos Financeiros'!C201&lt;'Instrumentos Financeiros'!$F$73+'Instrumentos Financeiros'!$F$11+1),PMT(((1+'Instrumentos Financeiros'!$J$43)^(1/12)-1),$F$11,-$I$73),0)</f>
        <v>0</v>
      </c>
      <c r="BI201" s="1313">
        <f t="shared" si="124"/>
        <v>0</v>
      </c>
      <c r="BJ201" s="1313">
        <f>BK200*((1+'Instrumentos Financeiros'!$J$43)^(1/12)-1)</f>
        <v>0</v>
      </c>
      <c r="BK201" s="1313">
        <f t="shared" si="93"/>
        <v>0</v>
      </c>
      <c r="BL201" s="1313">
        <f>IF(AND(C201&gt;$F$77,'Instrumentos Financeiros'!C201&lt;'Instrumentos Financeiros'!$F$77+'Instrumentos Financeiros'!$F$12+1),PMT(((1+'Instrumentos Financeiros'!$K$43)^(1/12)-1),$F$12,-$I$77),0)</f>
        <v>368.57912678094596</v>
      </c>
      <c r="BM201" s="1313">
        <f t="shared" si="94"/>
        <v>177.76686645156977</v>
      </c>
      <c r="BN201" s="1313">
        <f>BO200*((1+'Instrumentos Financeiros'!$K$43)^(1/12)-1)</f>
        <v>190.81226032937619</v>
      </c>
      <c r="BO201" s="1313">
        <f t="shared" si="95"/>
        <v>43950.767763868949</v>
      </c>
      <c r="BP201" s="1313">
        <f>IF(AND(C201&gt;$F$78,'Instrumentos Financeiros'!C201&lt;'Instrumentos Financeiros'!$F$78+'Instrumentos Financeiros'!$F$12+1),PMT(((1+'Instrumentos Financeiros'!$L$43)^(1/12)-1),$F$12,-$I$78),0)</f>
        <v>368.57912678094596</v>
      </c>
      <c r="BQ201" s="1313">
        <f t="shared" si="96"/>
        <v>175.48066842550907</v>
      </c>
      <c r="BR201" s="1313">
        <f>BS200*((1+'Instrumentos Financeiros'!$L$43)^(1/12)-1)</f>
        <v>193.09845835543689</v>
      </c>
      <c r="BS201" s="1313">
        <f t="shared" si="97"/>
        <v>44481.775589062163</v>
      </c>
      <c r="BT201" s="1313">
        <f>IF(AND(C201&gt;$F$79,'Instrumentos Financeiros'!C201&lt;'Instrumentos Financeiros'!$F$79+'Instrumentos Financeiros'!$F$12+1),PMT(((1+'Instrumentos Financeiros'!$L$43)^(1/12)-1),$F$12,-$I$79),0)</f>
        <v>368.57912678094596</v>
      </c>
      <c r="BU201" s="1313">
        <f t="shared" si="98"/>
        <v>173.22387239948753</v>
      </c>
      <c r="BV201" s="1313">
        <f>BW200*((1+'Instrumentos Financeiros'!$L$43)^(1/12)-1)</f>
        <v>195.35525438145842</v>
      </c>
      <c r="BW201" s="1313">
        <f t="shared" si="99"/>
        <v>45005.954306750624</v>
      </c>
      <c r="BX201" s="1313">
        <f>IF(AND(C201&gt;$F$80,'Instrumentos Financeiros'!C201&lt;'Instrumentos Financeiros'!$F$80+'Instrumentos Financeiros'!$F$12+1),PMT(((1+'Instrumentos Financeiros'!$L$43)^(1/12)-1),$F$12,-$I$80),0)</f>
        <v>368.57912678094596</v>
      </c>
      <c r="BY201" s="1313">
        <f t="shared" si="100"/>
        <v>170.9961002445782</v>
      </c>
      <c r="BZ201" s="1313">
        <f>CA200*((1+'Instrumentos Financeiros'!$L$43)^(1/12)-1)</f>
        <v>197.58302653636775</v>
      </c>
      <c r="CA201" s="1313">
        <f t="shared" si="101"/>
        <v>45523.391743717861</v>
      </c>
      <c r="CB201" s="1313">
        <f>IF(AND(C201&gt;$F$83,'Instrumentos Financeiros'!C201&lt;'Instrumentos Financeiros'!$F$83+'Instrumentos Financeiros'!$F$13+1),PMT(((1+'Instrumentos Financeiros'!$P$43)^(1/12)-1),$F$13,-$I$83),0)</f>
        <v>0</v>
      </c>
      <c r="CC201" s="1313">
        <f t="shared" si="102"/>
        <v>0</v>
      </c>
      <c r="CD201" s="1313">
        <f>CE200*((1+'Instrumentos Financeiros'!$P$43)^(1/12)-1)</f>
        <v>0</v>
      </c>
      <c r="CE201" s="1313">
        <f t="shared" si="103"/>
        <v>0</v>
      </c>
      <c r="CF201" s="1313">
        <f>IF(AND(C201&gt;$F$84,'Instrumentos Financeiros'!C201&lt;'Instrumentos Financeiros'!$F$84+'Instrumentos Financeiros'!$F$13+1),PMT(((1+'Instrumentos Financeiros'!$Q$43)^(1/12)-1),$F$13,-$I$84),0)</f>
        <v>0</v>
      </c>
      <c r="CG201" s="1313">
        <f t="shared" si="104"/>
        <v>0</v>
      </c>
      <c r="CH201" s="1313">
        <f>CI200*((1+'Instrumentos Financeiros'!$Q$43)^(1/12)-1)</f>
        <v>0</v>
      </c>
      <c r="CI201" s="1313">
        <f t="shared" si="105"/>
        <v>0</v>
      </c>
      <c r="CJ201" s="1313">
        <f>IF(AND(C201&gt;$F$85,'Instrumentos Financeiros'!C201&lt;'Instrumentos Financeiros'!$F$85+'Instrumentos Financeiros'!$F$13+1),PMT(((1+'Instrumentos Financeiros'!$Q$43)^(1/12)-1),$F$13,-$I$85),0)</f>
        <v>0</v>
      </c>
      <c r="CK201" s="1313">
        <f t="shared" si="106"/>
        <v>0</v>
      </c>
      <c r="CL201" s="1313">
        <f>CM200*((1+'Instrumentos Financeiros'!$Q$43)^(1/12)-1)</f>
        <v>0</v>
      </c>
      <c r="CM201" s="1313">
        <f t="shared" si="107"/>
        <v>0</v>
      </c>
      <c r="CN201" s="1313">
        <f>IF(AND(C201&gt;$F$86,'Instrumentos Financeiros'!C201&lt;'Instrumentos Financeiros'!$F$86+'Instrumentos Financeiros'!$F$13+1),PMT(((1+'Instrumentos Financeiros'!$Q$43)^(1/12)-1),$F$13,-$I$86),0)</f>
        <v>0</v>
      </c>
      <c r="CO201" s="1313">
        <f t="shared" si="108"/>
        <v>0</v>
      </c>
      <c r="CP201" s="1313">
        <f>CQ200*((1+'Instrumentos Financeiros'!$Q$43)^(1/12)-1)</f>
        <v>0</v>
      </c>
      <c r="CQ201" s="1313">
        <f t="shared" si="109"/>
        <v>0</v>
      </c>
      <c r="CR201" s="1313">
        <f t="shared" si="78"/>
        <v>399789.55023115332</v>
      </c>
      <c r="CS201" s="1313">
        <f t="shared" si="78"/>
        <v>205518.76991393432</v>
      </c>
      <c r="CT201" s="1313">
        <f t="shared" si="78"/>
        <v>194270.78031721889</v>
      </c>
      <c r="CU201" s="1313">
        <f t="shared" si="78"/>
        <v>45267313.637156233</v>
      </c>
    </row>
    <row r="202" spans="3:99" x14ac:dyDescent="0.35">
      <c r="C202" s="1315">
        <f t="shared" si="79"/>
        <v>109</v>
      </c>
      <c r="D202" s="1312">
        <f>IF(AND(C202&gt;$F$59,'Instrumentos Financeiros'!C202&lt;'Instrumentos Financeiros'!$F$59+'Instrumentos Financeiros'!$F$11+1),PMT(((1+'Instrumentos Financeiros'!$G$43)^(1/12)-1),$F$11,-$I$59),0)</f>
        <v>91768.589635900134</v>
      </c>
      <c r="E202" s="1312">
        <f t="shared" si="76"/>
        <v>52306.889668993048</v>
      </c>
      <c r="F202" s="1312">
        <f>G201*((1+'Instrumentos Financeiros'!$G$43)^(1/12)-1)</f>
        <v>39461.699966907086</v>
      </c>
      <c r="G202" s="1312">
        <f t="shared" si="110"/>
        <v>9615411.8689787481</v>
      </c>
      <c r="H202" s="1312">
        <f>IF(AND(C202&gt;$F$60,'Instrumentos Financeiros'!C202&lt;'Instrumentos Financeiros'!$F$60+'Instrumentos Financeiros'!$F$11+1),PMT(((1+'Instrumentos Financeiros'!$G$43)^(1/12)-1),$F$11,-$I$60),0)</f>
        <v>0</v>
      </c>
      <c r="I202" s="1312">
        <f t="shared" si="111"/>
        <v>0</v>
      </c>
      <c r="J202" s="1312">
        <f>K201*((1+'Instrumentos Financeiros'!$G$43)^(1/12)-1)</f>
        <v>0</v>
      </c>
      <c r="K202" s="1312">
        <f t="shared" si="80"/>
        <v>0</v>
      </c>
      <c r="L202" s="1312">
        <f>IF(AND(C202&gt;$F$61,'Instrumentos Financeiros'!C202&lt;'Instrumentos Financeiros'!$F$61+'Instrumentos Financeiros'!$F$11+1),PMT(((1+'Instrumentos Financeiros'!$G$43)^(1/12)-1),$F$11,-$I$61),0)</f>
        <v>0</v>
      </c>
      <c r="M202" s="1312">
        <f t="shared" si="112"/>
        <v>0</v>
      </c>
      <c r="N202" s="1312">
        <f>O201*((1+'Instrumentos Financeiros'!$G$43)^(1/12)-1)</f>
        <v>0</v>
      </c>
      <c r="O202" s="1312">
        <f t="shared" si="81"/>
        <v>0</v>
      </c>
      <c r="P202" s="1312">
        <f>IF(AND(C202&gt;$F$62,'Instrumentos Financeiros'!C202&lt;'Instrumentos Financeiros'!$F$62+'Instrumentos Financeiros'!$F$11+1),PMT(((1+'Instrumentos Financeiros'!$H$43)^(1/12)-1),$F$11,-$I$62),0)</f>
        <v>0</v>
      </c>
      <c r="Q202" s="1312">
        <f t="shared" si="113"/>
        <v>0</v>
      </c>
      <c r="R202" s="1312">
        <f>S201*((1+'Instrumentos Financeiros'!$H$43)^(1/12)-1)</f>
        <v>0</v>
      </c>
      <c r="S202" s="1312">
        <f t="shared" si="82"/>
        <v>0</v>
      </c>
      <c r="T202" s="1312">
        <f>IF(AND(C202&gt;$F$63,'Instrumentos Financeiros'!C202&lt;'Instrumentos Financeiros'!$F$63+'Instrumentos Financeiros'!$F$11+1),PMT(((1+'Instrumentos Financeiros'!$H$43)^(1/12)-1),$F$11,-$I$63),0)</f>
        <v>0</v>
      </c>
      <c r="U202" s="1312">
        <f t="shared" si="114"/>
        <v>0</v>
      </c>
      <c r="V202" s="1312">
        <f>W201*((1+'Instrumentos Financeiros'!$H$43)^(1/12)-1)</f>
        <v>0</v>
      </c>
      <c r="W202" s="1312">
        <f t="shared" si="83"/>
        <v>0</v>
      </c>
      <c r="X202" s="1312">
        <f>IF(AND(C202&gt;$F$64,'Instrumentos Financeiros'!C202&lt;'Instrumentos Financeiros'!$F$64+'Instrumentos Financeiros'!$F$11+1),PMT(((1+'Instrumentos Financeiros'!$H$43)^(1/12)-1),$F$11,-$I$64),0)</f>
        <v>0</v>
      </c>
      <c r="Y202" s="1312">
        <f t="shared" si="115"/>
        <v>0</v>
      </c>
      <c r="Z202" s="1312">
        <f>AA201*((1+'Instrumentos Financeiros'!$H$43)^(1/12)-1)</f>
        <v>0</v>
      </c>
      <c r="AA202" s="1312">
        <f t="shared" si="84"/>
        <v>0</v>
      </c>
      <c r="AB202" s="1312">
        <f>IF(AND(C202&gt;$F$65,'Instrumentos Financeiros'!C202&lt;'Instrumentos Financeiros'!$F$65+'Instrumentos Financeiros'!$F$11+1),PMT(((1+'Instrumentos Financeiros'!$H$43)^(1/12)-1),$F$11,-$I$65),0)</f>
        <v>76636.661022032335</v>
      </c>
      <c r="AC202" s="1312">
        <f t="shared" si="116"/>
        <v>39094.588734038414</v>
      </c>
      <c r="AD202" s="1312">
        <f>AE201*((1+'Instrumentos Financeiros'!$H$43)^(1/12)-1)</f>
        <v>37542.07228799392</v>
      </c>
      <c r="AE202" s="1312">
        <f t="shared" si="85"/>
        <v>8643139.1115272287</v>
      </c>
      <c r="AF202" s="1312">
        <f>IF(AND(C202&gt;$F$66,'Instrumentos Financeiros'!C202&lt;'Instrumentos Financeiros'!$F$66+'Instrumentos Financeiros'!$F$11+1),PMT(((1+'Instrumentos Financeiros'!$I$43)^(1/12)-1),$F$11,-$I$66),0)</f>
        <v>76636.661022032335</v>
      </c>
      <c r="AG202" s="1312">
        <f t="shared" si="117"/>
        <v>38591.806784975022</v>
      </c>
      <c r="AH202" s="1312">
        <f>AI201*((1+'Instrumentos Financeiros'!$I$43)^(1/12)-1)</f>
        <v>38044.854237057312</v>
      </c>
      <c r="AI202" s="1312">
        <f t="shared" si="86"/>
        <v>8759918.6495528948</v>
      </c>
      <c r="AJ202" s="1312">
        <f>IF(AND(C202&gt;$F$67,'Instrumentos Financeiros'!C202&lt;'Instrumentos Financeiros'!$F$67+'Instrumentos Financeiros'!$F$11+1),PMT(((1+'Instrumentos Financeiros'!$I$43)^(1/12)-1),$F$11,-$I$67),0)</f>
        <v>76636.661022032335</v>
      </c>
      <c r="AK202" s="1312">
        <f t="shared" si="118"/>
        <v>38095.490940211224</v>
      </c>
      <c r="AL202" s="1312">
        <f>AM201*((1+'Instrumentos Financeiros'!$I$43)^(1/12)-1)</f>
        <v>38541.17008182111</v>
      </c>
      <c r="AM202" s="1312">
        <f t="shared" si="87"/>
        <v>8875196.3264350984</v>
      </c>
      <c r="AN202" s="1312">
        <f>IF(AND(C202&gt;$F$68,'Instrumentos Financeiros'!C202&lt;'Instrumentos Financeiros'!$F$68+'Instrumentos Financeiros'!$F$11+1),PMT(((1+'Instrumentos Financeiros'!$I$43)^(1/12)-1),$F$11,-$I$68),0)</f>
        <v>76636.661022032335</v>
      </c>
      <c r="AO202" s="1312">
        <f t="shared" si="119"/>
        <v>37605.558041421828</v>
      </c>
      <c r="AP202" s="1312">
        <f>AQ201*((1+'Instrumentos Financeiros'!$I$43)^(1/12)-1)</f>
        <v>39031.102980610507</v>
      </c>
      <c r="AQ202" s="1312">
        <f t="shared" si="88"/>
        <v>8988991.4570892155</v>
      </c>
      <c r="AR202" s="1312">
        <f>IF(AND(C202&gt;$F$69,'Instrumentos Financeiros'!C202&lt;'Instrumentos Financeiros'!$F$69+'Instrumentos Financeiros'!$F$11+1),PMT(((1+'Instrumentos Financeiros'!$I$43)^(1/12)-1),$F$11,-$I$69),0)</f>
        <v>0</v>
      </c>
      <c r="AS202" s="1312">
        <f t="shared" si="120"/>
        <v>0</v>
      </c>
      <c r="AT202" s="1312">
        <f>AU201*((1+'Instrumentos Financeiros'!$I$43)^(1/12)-1)</f>
        <v>0</v>
      </c>
      <c r="AU202" s="1312">
        <f t="shared" si="89"/>
        <v>0</v>
      </c>
      <c r="AV202" s="1312">
        <f>IF(AND(C202&gt;$F$70,'Instrumentos Financeiros'!C202&lt;'Instrumentos Financeiros'!$F$70+'Instrumentos Financeiros'!$F$11+1),PMT(((1+'Instrumentos Financeiros'!$J$43)^(1/12)-1),$F$11,-$I$70),0)</f>
        <v>0</v>
      </c>
      <c r="AW202" s="1312">
        <f t="shared" si="121"/>
        <v>0</v>
      </c>
      <c r="AX202" s="1312">
        <f>AY201*((1+'Instrumentos Financeiros'!$J$43)^(1/12)-1)</f>
        <v>0</v>
      </c>
      <c r="AY202" s="1312">
        <f t="shared" si="90"/>
        <v>0</v>
      </c>
      <c r="AZ202" s="1312">
        <f>IF(AND(C202&gt;$F$71,'Instrumentos Financeiros'!C202&lt;'Instrumentos Financeiros'!$F$71+'Instrumentos Financeiros'!$F$11+1),PMT(((1+'Instrumentos Financeiros'!$J$43)^(1/12)-1),$F$11,-$I$71),0)</f>
        <v>0</v>
      </c>
      <c r="BA202" s="1312">
        <f t="shared" si="122"/>
        <v>0</v>
      </c>
      <c r="BB202" s="1312">
        <f>BC201*((1+'Instrumentos Financeiros'!$J$43)^(1/12)-1)</f>
        <v>0</v>
      </c>
      <c r="BC202" s="1312">
        <f t="shared" si="91"/>
        <v>0</v>
      </c>
      <c r="BD202" s="1312">
        <f>IF(AND(C202&gt;$F$72,'Instrumentos Financeiros'!C202&lt;'Instrumentos Financeiros'!$F$72+'Instrumentos Financeiros'!$F$11+1),PMT(((1+'Instrumentos Financeiros'!$J$43)^(1/12)-1),$F$11,-'Instrumentos Financeiros'!$G$7*$G$72),0)</f>
        <v>0</v>
      </c>
      <c r="BE202" s="1312">
        <f t="shared" si="123"/>
        <v>0</v>
      </c>
      <c r="BF202" s="1312">
        <f>BG201*((1+'Instrumentos Financeiros'!$J$43)^(1/12)-1)</f>
        <v>0</v>
      </c>
      <c r="BG202" s="1312">
        <f t="shared" si="92"/>
        <v>0</v>
      </c>
      <c r="BH202" s="1312">
        <f>IF(AND(C202&gt;$F$73,'Instrumentos Financeiros'!C202&lt;'Instrumentos Financeiros'!$F$73+'Instrumentos Financeiros'!$F$11+1),PMT(((1+'Instrumentos Financeiros'!$J$43)^(1/12)-1),$F$11,-$I$73),0)</f>
        <v>0</v>
      </c>
      <c r="BI202" s="1312">
        <f t="shared" si="124"/>
        <v>0</v>
      </c>
      <c r="BJ202" s="1312">
        <f>BK201*((1+'Instrumentos Financeiros'!$J$43)^(1/12)-1)</f>
        <v>0</v>
      </c>
      <c r="BK202" s="1312">
        <f t="shared" si="93"/>
        <v>0</v>
      </c>
      <c r="BL202" s="1312">
        <f>IF(AND(C202&gt;$F$77,'Instrumentos Financeiros'!C202&lt;'Instrumentos Financeiros'!$F$77+'Instrumentos Financeiros'!$F$12+1),PMT(((1+'Instrumentos Financeiros'!$K$43)^(1/12)-1),$F$12,-$I$77),0)</f>
        <v>368.57912678094596</v>
      </c>
      <c r="BM202" s="1312">
        <f t="shared" si="94"/>
        <v>178.5355323019873</v>
      </c>
      <c r="BN202" s="1312">
        <f>BO201*((1+'Instrumentos Financeiros'!$K$43)^(1/12)-1)</f>
        <v>190.04359447895865</v>
      </c>
      <c r="BO202" s="1312">
        <f t="shared" si="95"/>
        <v>43772.232231566959</v>
      </c>
      <c r="BP202" s="1312">
        <f>IF(AND(C202&gt;$F$78,'Instrumentos Financeiros'!C202&lt;'Instrumentos Financeiros'!$F$78+'Instrumentos Financeiros'!$F$12+1),PMT(((1+'Instrumentos Financeiros'!$L$43)^(1/12)-1),$F$12,-$I$78),0)</f>
        <v>368.57912678094596</v>
      </c>
      <c r="BQ202" s="1312">
        <f t="shared" si="96"/>
        <v>176.23944873097099</v>
      </c>
      <c r="BR202" s="1312">
        <f>BS201*((1+'Instrumentos Financeiros'!$L$43)^(1/12)-1)</f>
        <v>192.33967804997496</v>
      </c>
      <c r="BS202" s="1312">
        <f t="shared" si="97"/>
        <v>44305.536140331191</v>
      </c>
      <c r="BT202" s="1312">
        <f>IF(AND(C202&gt;$F$79,'Instrumentos Financeiros'!C202&lt;'Instrumentos Financeiros'!$F$79+'Instrumentos Financeiros'!$F$12+1),PMT(((1+'Instrumentos Financeiros'!$L$43)^(1/12)-1),$F$12,-$I$79),0)</f>
        <v>368.57912678094596</v>
      </c>
      <c r="BU202" s="1312">
        <f t="shared" si="98"/>
        <v>173.97289429455955</v>
      </c>
      <c r="BV202" s="1312">
        <f>BW201*((1+'Instrumentos Financeiros'!$L$43)^(1/12)-1)</f>
        <v>194.6062324863864</v>
      </c>
      <c r="BW202" s="1312">
        <f t="shared" si="99"/>
        <v>44831.981412456065</v>
      </c>
      <c r="BX202" s="1312">
        <f>IF(AND(C202&gt;$F$80,'Instrumentos Financeiros'!C202&lt;'Instrumentos Financeiros'!$F$80+'Instrumentos Financeiros'!$F$12+1),PMT(((1+'Instrumentos Financeiros'!$L$43)^(1/12)-1),$F$12,-$I$80),0)</f>
        <v>368.57912678094596</v>
      </c>
      <c r="BY202" s="1312">
        <f t="shared" si="100"/>
        <v>171.73548922879246</v>
      </c>
      <c r="BZ202" s="1312">
        <f>CA201*((1+'Instrumentos Financeiros'!$L$43)^(1/12)-1)</f>
        <v>196.8436375521535</v>
      </c>
      <c r="CA202" s="1312">
        <f t="shared" si="101"/>
        <v>45351.656254489069</v>
      </c>
      <c r="CB202" s="1312">
        <f>IF(AND(C202&gt;$F$83,'Instrumentos Financeiros'!C202&lt;'Instrumentos Financeiros'!$F$83+'Instrumentos Financeiros'!$F$13+1),PMT(((1+'Instrumentos Financeiros'!$P$43)^(1/12)-1),$F$13,-$I$83),0)</f>
        <v>0</v>
      </c>
      <c r="CC202" s="1312">
        <f t="shared" si="102"/>
        <v>0</v>
      </c>
      <c r="CD202" s="1312">
        <f>CE201*((1+'Instrumentos Financeiros'!$P$43)^(1/12)-1)</f>
        <v>0</v>
      </c>
      <c r="CE202" s="1312">
        <f t="shared" si="103"/>
        <v>0</v>
      </c>
      <c r="CF202" s="1312">
        <f>IF(AND(C202&gt;$F$84,'Instrumentos Financeiros'!C202&lt;'Instrumentos Financeiros'!$F$84+'Instrumentos Financeiros'!$F$13+1),PMT(((1+'Instrumentos Financeiros'!$Q$43)^(1/12)-1),$F$13,-$I$84),0)</f>
        <v>0</v>
      </c>
      <c r="CG202" s="1312">
        <f t="shared" si="104"/>
        <v>0</v>
      </c>
      <c r="CH202" s="1312">
        <f>CI201*((1+'Instrumentos Financeiros'!$Q$43)^(1/12)-1)</f>
        <v>0</v>
      </c>
      <c r="CI202" s="1312">
        <f t="shared" si="105"/>
        <v>0</v>
      </c>
      <c r="CJ202" s="1312">
        <f>IF(AND(C202&gt;$F$85,'Instrumentos Financeiros'!C202&lt;'Instrumentos Financeiros'!$F$85+'Instrumentos Financeiros'!$F$13+1),PMT(((1+'Instrumentos Financeiros'!$Q$43)^(1/12)-1),$F$13,-$I$85),0)</f>
        <v>0</v>
      </c>
      <c r="CK202" s="1312">
        <f t="shared" si="106"/>
        <v>0</v>
      </c>
      <c r="CL202" s="1312">
        <f>CM201*((1+'Instrumentos Financeiros'!$Q$43)^(1/12)-1)</f>
        <v>0</v>
      </c>
      <c r="CM202" s="1312">
        <f t="shared" si="107"/>
        <v>0</v>
      </c>
      <c r="CN202" s="1312">
        <f>IF(AND(C202&gt;$F$86,'Instrumentos Financeiros'!C202&lt;'Instrumentos Financeiros'!$F$86+'Instrumentos Financeiros'!$F$13+1),PMT(((1+'Instrumentos Financeiros'!$Q$43)^(1/12)-1),$F$13,-$I$86),0)</f>
        <v>0</v>
      </c>
      <c r="CO202" s="1312">
        <f t="shared" si="108"/>
        <v>0</v>
      </c>
      <c r="CP202" s="1312">
        <f>CQ201*((1+'Instrumentos Financeiros'!$Q$43)^(1/12)-1)</f>
        <v>0</v>
      </c>
      <c r="CQ202" s="1312">
        <f t="shared" si="109"/>
        <v>0</v>
      </c>
      <c r="CR202" s="1312">
        <f t="shared" si="78"/>
        <v>399789.55023115332</v>
      </c>
      <c r="CS202" s="1312">
        <f t="shared" si="78"/>
        <v>206394.81753419584</v>
      </c>
      <c r="CT202" s="1312">
        <f t="shared" si="78"/>
        <v>193394.73269695736</v>
      </c>
      <c r="CU202" s="1312">
        <f t="shared" si="78"/>
        <v>45060918.819622025</v>
      </c>
    </row>
    <row r="203" spans="3:99" x14ac:dyDescent="0.35">
      <c r="C203" s="1315">
        <f t="shared" si="79"/>
        <v>110</v>
      </c>
      <c r="D203" s="1312">
        <f>IF(AND(C203&gt;$F$59,'Instrumentos Financeiros'!C203&lt;'Instrumentos Financeiros'!$F$59+'Instrumentos Financeiros'!$F$11+1),PMT(((1+'Instrumentos Financeiros'!$G$43)^(1/12)-1),$F$11,-$I$59),0)</f>
        <v>91768.589635900134</v>
      </c>
      <c r="E203" s="1312">
        <f t="shared" si="76"/>
        <v>52520.395961206355</v>
      </c>
      <c r="F203" s="1312">
        <f>G202*((1+'Instrumentos Financeiros'!$G$43)^(1/12)-1)</f>
        <v>39248.193674693779</v>
      </c>
      <c r="G203" s="1312">
        <f t="shared" si="110"/>
        <v>9562891.4730175417</v>
      </c>
      <c r="H203" s="1312">
        <f>IF(AND(C203&gt;$F$60,'Instrumentos Financeiros'!C203&lt;'Instrumentos Financeiros'!$F$60+'Instrumentos Financeiros'!$F$11+1),PMT(((1+'Instrumentos Financeiros'!$G$43)^(1/12)-1),$F$11,-$I$60),0)</f>
        <v>0</v>
      </c>
      <c r="I203" s="1312">
        <f t="shared" si="111"/>
        <v>0</v>
      </c>
      <c r="J203" s="1312">
        <f>K202*((1+'Instrumentos Financeiros'!$G$43)^(1/12)-1)</f>
        <v>0</v>
      </c>
      <c r="K203" s="1312">
        <f t="shared" si="80"/>
        <v>0</v>
      </c>
      <c r="L203" s="1312">
        <f>IF(AND(C203&gt;$F$61,'Instrumentos Financeiros'!C203&lt;'Instrumentos Financeiros'!$F$61+'Instrumentos Financeiros'!$F$11+1),PMT(((1+'Instrumentos Financeiros'!$G$43)^(1/12)-1),$F$11,-$I$61),0)</f>
        <v>0</v>
      </c>
      <c r="M203" s="1312">
        <f t="shared" si="112"/>
        <v>0</v>
      </c>
      <c r="N203" s="1312">
        <f>O202*((1+'Instrumentos Financeiros'!$G$43)^(1/12)-1)</f>
        <v>0</v>
      </c>
      <c r="O203" s="1312">
        <f t="shared" si="81"/>
        <v>0</v>
      </c>
      <c r="P203" s="1312">
        <f>IF(AND(C203&gt;$F$62,'Instrumentos Financeiros'!C203&lt;'Instrumentos Financeiros'!$F$62+'Instrumentos Financeiros'!$F$11+1),PMT(((1+'Instrumentos Financeiros'!$H$43)^(1/12)-1),$F$11,-$I$62),0)</f>
        <v>0</v>
      </c>
      <c r="Q203" s="1312">
        <f t="shared" si="113"/>
        <v>0</v>
      </c>
      <c r="R203" s="1312">
        <f>S202*((1+'Instrumentos Financeiros'!$H$43)^(1/12)-1)</f>
        <v>0</v>
      </c>
      <c r="S203" s="1312">
        <f t="shared" si="82"/>
        <v>0</v>
      </c>
      <c r="T203" s="1312">
        <f>IF(AND(C203&gt;$F$63,'Instrumentos Financeiros'!C203&lt;'Instrumentos Financeiros'!$F$63+'Instrumentos Financeiros'!$F$11+1),PMT(((1+'Instrumentos Financeiros'!$H$43)^(1/12)-1),$F$11,-$I$63),0)</f>
        <v>0</v>
      </c>
      <c r="U203" s="1312">
        <f t="shared" si="114"/>
        <v>0</v>
      </c>
      <c r="V203" s="1312">
        <f>W202*((1+'Instrumentos Financeiros'!$H$43)^(1/12)-1)</f>
        <v>0</v>
      </c>
      <c r="W203" s="1312">
        <f t="shared" si="83"/>
        <v>0</v>
      </c>
      <c r="X203" s="1312">
        <f>IF(AND(C203&gt;$F$64,'Instrumentos Financeiros'!C203&lt;'Instrumentos Financeiros'!$F$64+'Instrumentos Financeiros'!$F$11+1),PMT(((1+'Instrumentos Financeiros'!$H$43)^(1/12)-1),$F$11,-$I$64),0)</f>
        <v>0</v>
      </c>
      <c r="Y203" s="1312">
        <f t="shared" si="115"/>
        <v>0</v>
      </c>
      <c r="Z203" s="1312">
        <f>AA202*((1+'Instrumentos Financeiros'!$H$43)^(1/12)-1)</f>
        <v>0</v>
      </c>
      <c r="AA203" s="1312">
        <f t="shared" si="84"/>
        <v>0</v>
      </c>
      <c r="AB203" s="1312">
        <f>IF(AND(C203&gt;$F$65,'Instrumentos Financeiros'!C203&lt;'Instrumentos Financeiros'!$F$65+'Instrumentos Financeiros'!$F$11+1),PMT(((1+'Instrumentos Financeiros'!$H$43)^(1/12)-1),$F$11,-$I$65),0)</f>
        <v>76636.661022032335</v>
      </c>
      <c r="AC203" s="1312">
        <f t="shared" si="116"/>
        <v>39263.634157945686</v>
      </c>
      <c r="AD203" s="1312">
        <f>AE202*((1+'Instrumentos Financeiros'!$H$43)^(1/12)-1)</f>
        <v>37373.026864086649</v>
      </c>
      <c r="AE203" s="1312">
        <f t="shared" si="85"/>
        <v>8603875.4773692824</v>
      </c>
      <c r="AF203" s="1312">
        <f>IF(AND(C203&gt;$F$66,'Instrumentos Financeiros'!C203&lt;'Instrumentos Financeiros'!$F$66+'Instrumentos Financeiros'!$F$11+1),PMT(((1+'Instrumentos Financeiros'!$I$43)^(1/12)-1),$F$11,-$I$66),0)</f>
        <v>76636.661022032335</v>
      </c>
      <c r="AG203" s="1312">
        <f t="shared" si="117"/>
        <v>38758.678174304499</v>
      </c>
      <c r="AH203" s="1312">
        <f>AI202*((1+'Instrumentos Financeiros'!$I$43)^(1/12)-1)</f>
        <v>37877.982847727835</v>
      </c>
      <c r="AI203" s="1312">
        <f t="shared" si="86"/>
        <v>8721159.9713785909</v>
      </c>
      <c r="AJ203" s="1312">
        <f>IF(AND(C203&gt;$F$67,'Instrumentos Financeiros'!C203&lt;'Instrumentos Financeiros'!$F$67+'Instrumentos Financeiros'!$F$11+1),PMT(((1+'Instrumentos Financeiros'!$I$43)^(1/12)-1),$F$11,-$I$67),0)</f>
        <v>76636.661022032335</v>
      </c>
      <c r="AK203" s="1312">
        <f t="shared" si="118"/>
        <v>38260.216254467734</v>
      </c>
      <c r="AL203" s="1312">
        <f>AM202*((1+'Instrumentos Financeiros'!$I$43)^(1/12)-1)</f>
        <v>38376.444767564601</v>
      </c>
      <c r="AM203" s="1312">
        <f t="shared" si="87"/>
        <v>8836936.1101806313</v>
      </c>
      <c r="AN203" s="1312">
        <f>IF(AND(C203&gt;$F$68,'Instrumentos Financeiros'!C203&lt;'Instrumentos Financeiros'!$F$68+'Instrumentos Financeiros'!$F$11+1),PMT(((1+'Instrumentos Financeiros'!$I$43)^(1/12)-1),$F$11,-$I$68),0)</f>
        <v>76636.661022032335</v>
      </c>
      <c r="AO203" s="1312">
        <f t="shared" si="119"/>
        <v>37768.164880532706</v>
      </c>
      <c r="AP203" s="1312">
        <f>AQ202*((1+'Instrumentos Financeiros'!$I$43)^(1/12)-1)</f>
        <v>38868.496141499629</v>
      </c>
      <c r="AQ203" s="1312">
        <f t="shared" si="88"/>
        <v>8951223.2922086827</v>
      </c>
      <c r="AR203" s="1312">
        <f>IF(AND(C203&gt;$F$69,'Instrumentos Financeiros'!C203&lt;'Instrumentos Financeiros'!$F$69+'Instrumentos Financeiros'!$F$11+1),PMT(((1+'Instrumentos Financeiros'!$I$43)^(1/12)-1),$F$11,-$I$69),0)</f>
        <v>0</v>
      </c>
      <c r="AS203" s="1312">
        <f t="shared" si="120"/>
        <v>0</v>
      </c>
      <c r="AT203" s="1312">
        <f>AU202*((1+'Instrumentos Financeiros'!$I$43)^(1/12)-1)</f>
        <v>0</v>
      </c>
      <c r="AU203" s="1312">
        <f t="shared" si="89"/>
        <v>0</v>
      </c>
      <c r="AV203" s="1312">
        <f>IF(AND(C203&gt;$F$70,'Instrumentos Financeiros'!C203&lt;'Instrumentos Financeiros'!$F$70+'Instrumentos Financeiros'!$F$11+1),PMT(((1+'Instrumentos Financeiros'!$J$43)^(1/12)-1),$F$11,-$I$70),0)</f>
        <v>0</v>
      </c>
      <c r="AW203" s="1312">
        <f t="shared" si="121"/>
        <v>0</v>
      </c>
      <c r="AX203" s="1312">
        <f>AY202*((1+'Instrumentos Financeiros'!$J$43)^(1/12)-1)</f>
        <v>0</v>
      </c>
      <c r="AY203" s="1312">
        <f t="shared" si="90"/>
        <v>0</v>
      </c>
      <c r="AZ203" s="1312">
        <f>IF(AND(C203&gt;$F$71,'Instrumentos Financeiros'!C203&lt;'Instrumentos Financeiros'!$F$71+'Instrumentos Financeiros'!$F$11+1),PMT(((1+'Instrumentos Financeiros'!$J$43)^(1/12)-1),$F$11,-$I$71),0)</f>
        <v>0</v>
      </c>
      <c r="BA203" s="1312">
        <f t="shared" si="122"/>
        <v>0</v>
      </c>
      <c r="BB203" s="1312">
        <f>BC202*((1+'Instrumentos Financeiros'!$J$43)^(1/12)-1)</f>
        <v>0</v>
      </c>
      <c r="BC203" s="1312">
        <f t="shared" si="91"/>
        <v>0</v>
      </c>
      <c r="BD203" s="1312">
        <f>IF(AND(C203&gt;$F$72,'Instrumentos Financeiros'!C203&lt;'Instrumentos Financeiros'!$F$72+'Instrumentos Financeiros'!$F$11+1),PMT(((1+'Instrumentos Financeiros'!$J$43)^(1/12)-1),$F$11,-'Instrumentos Financeiros'!$G$7*$G$72),0)</f>
        <v>0</v>
      </c>
      <c r="BE203" s="1312">
        <f t="shared" si="123"/>
        <v>0</v>
      </c>
      <c r="BF203" s="1312">
        <f>BG202*((1+'Instrumentos Financeiros'!$J$43)^(1/12)-1)</f>
        <v>0</v>
      </c>
      <c r="BG203" s="1312">
        <f t="shared" si="92"/>
        <v>0</v>
      </c>
      <c r="BH203" s="1312">
        <f>IF(AND(C203&gt;$F$73,'Instrumentos Financeiros'!C203&lt;'Instrumentos Financeiros'!$F$73+'Instrumentos Financeiros'!$F$11+1),PMT(((1+'Instrumentos Financeiros'!$J$43)^(1/12)-1),$F$11,-$I$73),0)</f>
        <v>0</v>
      </c>
      <c r="BI203" s="1312">
        <f t="shared" si="124"/>
        <v>0</v>
      </c>
      <c r="BJ203" s="1312">
        <f>BK202*((1+'Instrumentos Financeiros'!$J$43)^(1/12)-1)</f>
        <v>0</v>
      </c>
      <c r="BK203" s="1312">
        <f t="shared" si="93"/>
        <v>0</v>
      </c>
      <c r="BL203" s="1312">
        <f>IF(AND(C203&gt;$F$77,'Instrumentos Financeiros'!C203&lt;'Instrumentos Financeiros'!$F$77+'Instrumentos Financeiros'!$F$12+1),PMT(((1+'Instrumentos Financeiros'!$K$43)^(1/12)-1),$F$12,-$I$77),0)</f>
        <v>368.57912678094596</v>
      </c>
      <c r="BM203" s="1312">
        <f t="shared" si="94"/>
        <v>179.30752187184362</v>
      </c>
      <c r="BN203" s="1312">
        <f>BO202*((1+'Instrumentos Financeiros'!$K$43)^(1/12)-1)</f>
        <v>189.27160490910234</v>
      </c>
      <c r="BO203" s="1312">
        <f t="shared" si="95"/>
        <v>43592.924709695115</v>
      </c>
      <c r="BP203" s="1312">
        <f>IF(AND(C203&gt;$F$78,'Instrumentos Financeiros'!C203&lt;'Instrumentos Financeiros'!$F$78+'Instrumentos Financeiros'!$F$12+1),PMT(((1+'Instrumentos Financeiros'!$L$43)^(1/12)-1),$F$12,-$I$78),0)</f>
        <v>368.57912678094596</v>
      </c>
      <c r="BQ203" s="1312">
        <f t="shared" si="96"/>
        <v>177.00151001066854</v>
      </c>
      <c r="BR203" s="1312">
        <f>BS202*((1+'Instrumentos Financeiros'!$L$43)^(1/12)-1)</f>
        <v>191.57761677027742</v>
      </c>
      <c r="BS203" s="1312">
        <f t="shared" si="97"/>
        <v>44128.534630320522</v>
      </c>
      <c r="BT203" s="1312">
        <f>IF(AND(C203&gt;$F$79,'Instrumentos Financeiros'!C203&lt;'Instrumentos Financeiros'!$F$79+'Instrumentos Financeiros'!$F$12+1),PMT(((1+'Instrumentos Financeiros'!$L$43)^(1/12)-1),$F$12,-$I$79),0)</f>
        <v>368.57912678094596</v>
      </c>
      <c r="BU203" s="1312">
        <f t="shared" si="98"/>
        <v>174.72515496839529</v>
      </c>
      <c r="BV203" s="1312">
        <f>BW202*((1+'Instrumentos Financeiros'!$L$43)^(1/12)-1)</f>
        <v>193.85397181255067</v>
      </c>
      <c r="BW203" s="1312">
        <f t="shared" si="99"/>
        <v>44657.256257487672</v>
      </c>
      <c r="BX203" s="1312">
        <f>IF(AND(C203&gt;$F$80,'Instrumentos Financeiros'!C203&lt;'Instrumentos Financeiros'!$F$80+'Instrumentos Financeiros'!$F$12+1),PMT(((1+'Instrumentos Financeiros'!$L$43)^(1/12)-1),$F$12,-$I$80),0)</f>
        <v>368.57912678094596</v>
      </c>
      <c r="BY203" s="1312">
        <f t="shared" si="100"/>
        <v>172.47807533895985</v>
      </c>
      <c r="BZ203" s="1312">
        <f>CA202*((1+'Instrumentos Financeiros'!$L$43)^(1/12)-1)</f>
        <v>196.1010514419861</v>
      </c>
      <c r="CA203" s="1312">
        <f t="shared" si="101"/>
        <v>45179.178179150113</v>
      </c>
      <c r="CB203" s="1312">
        <f>IF(AND(C203&gt;$F$83,'Instrumentos Financeiros'!C203&lt;'Instrumentos Financeiros'!$F$83+'Instrumentos Financeiros'!$F$13+1),PMT(((1+'Instrumentos Financeiros'!$P$43)^(1/12)-1),$F$13,-$I$83),0)</f>
        <v>0</v>
      </c>
      <c r="CC203" s="1312">
        <f t="shared" si="102"/>
        <v>0</v>
      </c>
      <c r="CD203" s="1312">
        <f>CE202*((1+'Instrumentos Financeiros'!$P$43)^(1/12)-1)</f>
        <v>0</v>
      </c>
      <c r="CE203" s="1312">
        <f t="shared" si="103"/>
        <v>0</v>
      </c>
      <c r="CF203" s="1312">
        <f>IF(AND(C203&gt;$F$84,'Instrumentos Financeiros'!C203&lt;'Instrumentos Financeiros'!$F$84+'Instrumentos Financeiros'!$F$13+1),PMT(((1+'Instrumentos Financeiros'!$Q$43)^(1/12)-1),$F$13,-$I$84),0)</f>
        <v>0</v>
      </c>
      <c r="CG203" s="1312">
        <f t="shared" si="104"/>
        <v>0</v>
      </c>
      <c r="CH203" s="1312">
        <f>CI202*((1+'Instrumentos Financeiros'!$Q$43)^(1/12)-1)</f>
        <v>0</v>
      </c>
      <c r="CI203" s="1312">
        <f t="shared" si="105"/>
        <v>0</v>
      </c>
      <c r="CJ203" s="1312">
        <f>IF(AND(C203&gt;$F$85,'Instrumentos Financeiros'!C203&lt;'Instrumentos Financeiros'!$F$85+'Instrumentos Financeiros'!$F$13+1),PMT(((1+'Instrumentos Financeiros'!$Q$43)^(1/12)-1),$F$13,-$I$85),0)</f>
        <v>0</v>
      </c>
      <c r="CK203" s="1312">
        <f t="shared" si="106"/>
        <v>0</v>
      </c>
      <c r="CL203" s="1312">
        <f>CM202*((1+'Instrumentos Financeiros'!$Q$43)^(1/12)-1)</f>
        <v>0</v>
      </c>
      <c r="CM203" s="1312">
        <f t="shared" si="107"/>
        <v>0</v>
      </c>
      <c r="CN203" s="1312">
        <f>IF(AND(C203&gt;$F$86,'Instrumentos Financeiros'!C203&lt;'Instrumentos Financeiros'!$F$86+'Instrumentos Financeiros'!$F$13+1),PMT(((1+'Instrumentos Financeiros'!$Q$43)^(1/12)-1),$F$13,-$I$86),0)</f>
        <v>0</v>
      </c>
      <c r="CO203" s="1312">
        <f t="shared" si="108"/>
        <v>0</v>
      </c>
      <c r="CP203" s="1312">
        <f>CQ202*((1+'Instrumentos Financeiros'!$Q$43)^(1/12)-1)</f>
        <v>0</v>
      </c>
      <c r="CQ203" s="1312">
        <f t="shared" si="109"/>
        <v>0</v>
      </c>
      <c r="CR203" s="1312">
        <f t="shared" si="78"/>
        <v>399789.55023115332</v>
      </c>
      <c r="CS203" s="1312">
        <f t="shared" si="78"/>
        <v>207274.60169064687</v>
      </c>
      <c r="CT203" s="1312">
        <f t="shared" si="78"/>
        <v>192514.94854050642</v>
      </c>
      <c r="CU203" s="1312">
        <f t="shared" si="78"/>
        <v>44853644.21793139</v>
      </c>
    </row>
    <row r="204" spans="3:99" x14ac:dyDescent="0.35">
      <c r="C204" s="1315">
        <f t="shared" si="79"/>
        <v>111</v>
      </c>
      <c r="D204" s="1312">
        <f>IF(AND(C204&gt;$F$59,'Instrumentos Financeiros'!C204&lt;'Instrumentos Financeiros'!$F$59+'Instrumentos Financeiros'!$F$11+1),PMT(((1+'Instrumentos Financeiros'!$G$43)^(1/12)-1),$F$11,-$I$59),0)</f>
        <v>91768.589635900134</v>
      </c>
      <c r="E204" s="1312">
        <f t="shared" si="76"/>
        <v>52734.773743525526</v>
      </c>
      <c r="F204" s="1312">
        <f>G203*((1+'Instrumentos Financeiros'!$G$43)^(1/12)-1)</f>
        <v>39033.815892374609</v>
      </c>
      <c r="G204" s="1312">
        <f t="shared" si="110"/>
        <v>9510156.6992740165</v>
      </c>
      <c r="H204" s="1312">
        <f>IF(AND(C204&gt;$F$60,'Instrumentos Financeiros'!C204&lt;'Instrumentos Financeiros'!$F$60+'Instrumentos Financeiros'!$F$11+1),PMT(((1+'Instrumentos Financeiros'!$G$43)^(1/12)-1),$F$11,-$I$60),0)</f>
        <v>0</v>
      </c>
      <c r="I204" s="1312">
        <f t="shared" si="111"/>
        <v>0</v>
      </c>
      <c r="J204" s="1312">
        <f>K203*((1+'Instrumentos Financeiros'!$G$43)^(1/12)-1)</f>
        <v>0</v>
      </c>
      <c r="K204" s="1312">
        <f t="shared" si="80"/>
        <v>0</v>
      </c>
      <c r="L204" s="1312">
        <f>IF(AND(C204&gt;$F$61,'Instrumentos Financeiros'!C204&lt;'Instrumentos Financeiros'!$F$61+'Instrumentos Financeiros'!$F$11+1),PMT(((1+'Instrumentos Financeiros'!$G$43)^(1/12)-1),$F$11,-$I$61),0)</f>
        <v>0</v>
      </c>
      <c r="M204" s="1312">
        <f t="shared" si="112"/>
        <v>0</v>
      </c>
      <c r="N204" s="1312">
        <f>O203*((1+'Instrumentos Financeiros'!$G$43)^(1/12)-1)</f>
        <v>0</v>
      </c>
      <c r="O204" s="1312">
        <f t="shared" si="81"/>
        <v>0</v>
      </c>
      <c r="P204" s="1312">
        <f>IF(AND(C204&gt;$F$62,'Instrumentos Financeiros'!C204&lt;'Instrumentos Financeiros'!$F$62+'Instrumentos Financeiros'!$F$11+1),PMT(((1+'Instrumentos Financeiros'!$H$43)^(1/12)-1),$F$11,-$I$62),0)</f>
        <v>0</v>
      </c>
      <c r="Q204" s="1312">
        <f t="shared" si="113"/>
        <v>0</v>
      </c>
      <c r="R204" s="1312">
        <f>S203*((1+'Instrumentos Financeiros'!$H$43)^(1/12)-1)</f>
        <v>0</v>
      </c>
      <c r="S204" s="1312">
        <f t="shared" si="82"/>
        <v>0</v>
      </c>
      <c r="T204" s="1312">
        <f>IF(AND(C204&gt;$F$63,'Instrumentos Financeiros'!C204&lt;'Instrumentos Financeiros'!$F$63+'Instrumentos Financeiros'!$F$11+1),PMT(((1+'Instrumentos Financeiros'!$H$43)^(1/12)-1),$F$11,-$I$63),0)</f>
        <v>0</v>
      </c>
      <c r="U204" s="1312">
        <f t="shared" si="114"/>
        <v>0</v>
      </c>
      <c r="V204" s="1312">
        <f>W203*((1+'Instrumentos Financeiros'!$H$43)^(1/12)-1)</f>
        <v>0</v>
      </c>
      <c r="W204" s="1312">
        <f t="shared" si="83"/>
        <v>0</v>
      </c>
      <c r="X204" s="1312">
        <f>IF(AND(C204&gt;$F$64,'Instrumentos Financeiros'!C204&lt;'Instrumentos Financeiros'!$F$64+'Instrumentos Financeiros'!$F$11+1),PMT(((1+'Instrumentos Financeiros'!$H$43)^(1/12)-1),$F$11,-$I$64),0)</f>
        <v>0</v>
      </c>
      <c r="Y204" s="1312">
        <f t="shared" si="115"/>
        <v>0</v>
      </c>
      <c r="Z204" s="1312">
        <f>AA203*((1+'Instrumentos Financeiros'!$H$43)^(1/12)-1)</f>
        <v>0</v>
      </c>
      <c r="AA204" s="1312">
        <f t="shared" si="84"/>
        <v>0</v>
      </c>
      <c r="AB204" s="1312">
        <f>IF(AND(C204&gt;$F$65,'Instrumentos Financeiros'!C204&lt;'Instrumentos Financeiros'!$F$65+'Instrumentos Financeiros'!$F$11+1),PMT(((1+'Instrumentos Financeiros'!$H$43)^(1/12)-1),$F$11,-$I$65),0)</f>
        <v>76636.661022032335</v>
      </c>
      <c r="AC204" s="1312">
        <f t="shared" si="116"/>
        <v>39433.410536091629</v>
      </c>
      <c r="AD204" s="1312">
        <f>AE203*((1+'Instrumentos Financeiros'!$H$43)^(1/12)-1)</f>
        <v>37203.250485940705</v>
      </c>
      <c r="AE204" s="1312">
        <f t="shared" si="85"/>
        <v>8564442.0668331906</v>
      </c>
      <c r="AF204" s="1312">
        <f>IF(AND(C204&gt;$F$66,'Instrumentos Financeiros'!C204&lt;'Instrumentos Financeiros'!$F$66+'Instrumentos Financeiros'!$F$11+1),PMT(((1+'Instrumentos Financeiros'!$I$43)^(1/12)-1),$F$11,-$I$66),0)</f>
        <v>76636.661022032335</v>
      </c>
      <c r="AG204" s="1312">
        <f t="shared" si="117"/>
        <v>38926.271117323646</v>
      </c>
      <c r="AH204" s="1312">
        <f>AI203*((1+'Instrumentos Financeiros'!$I$43)^(1/12)-1)</f>
        <v>37710.389904708689</v>
      </c>
      <c r="AI204" s="1312">
        <f t="shared" si="86"/>
        <v>8682233.7002612669</v>
      </c>
      <c r="AJ204" s="1312">
        <f>IF(AND(C204&gt;$F$67,'Instrumentos Financeiros'!C204&lt;'Instrumentos Financeiros'!$F$67+'Instrumentos Financeiros'!$F$11+1),PMT(((1+'Instrumentos Financeiros'!$I$43)^(1/12)-1),$F$11,-$I$67),0)</f>
        <v>76636.661022032335</v>
      </c>
      <c r="AK204" s="1312">
        <f t="shared" si="118"/>
        <v>38425.653842762127</v>
      </c>
      <c r="AL204" s="1312">
        <f>AM203*((1+'Instrumentos Financeiros'!$I$43)^(1/12)-1)</f>
        <v>38211.007179270207</v>
      </c>
      <c r="AM204" s="1312">
        <f t="shared" si="87"/>
        <v>8798510.4563378692</v>
      </c>
      <c r="AN204" s="1312">
        <f>IF(AND(C204&gt;$F$68,'Instrumentos Financeiros'!C204&lt;'Instrumentos Financeiros'!$F$68+'Instrumentos Financeiros'!$F$11+1),PMT(((1+'Instrumentos Financeiros'!$I$43)^(1/12)-1),$F$11,-$I$68),0)</f>
        <v>76636.661022032335</v>
      </c>
      <c r="AO204" s="1312">
        <f t="shared" si="119"/>
        <v>37931.474833372049</v>
      </c>
      <c r="AP204" s="1312">
        <f>AQ203*((1+'Instrumentos Financeiros'!$I$43)^(1/12)-1)</f>
        <v>38705.186188660286</v>
      </c>
      <c r="AQ204" s="1312">
        <f t="shared" si="88"/>
        <v>8913291.8173753098</v>
      </c>
      <c r="AR204" s="1312">
        <f>IF(AND(C204&gt;$F$69,'Instrumentos Financeiros'!C204&lt;'Instrumentos Financeiros'!$F$69+'Instrumentos Financeiros'!$F$11+1),PMT(((1+'Instrumentos Financeiros'!$I$43)^(1/12)-1),$F$11,-$I$69),0)</f>
        <v>0</v>
      </c>
      <c r="AS204" s="1312">
        <f t="shared" si="120"/>
        <v>0</v>
      </c>
      <c r="AT204" s="1312">
        <f>AU203*((1+'Instrumentos Financeiros'!$I$43)^(1/12)-1)</f>
        <v>0</v>
      </c>
      <c r="AU204" s="1312">
        <f t="shared" si="89"/>
        <v>0</v>
      </c>
      <c r="AV204" s="1312">
        <f>IF(AND(C204&gt;$F$70,'Instrumentos Financeiros'!C204&lt;'Instrumentos Financeiros'!$F$70+'Instrumentos Financeiros'!$F$11+1),PMT(((1+'Instrumentos Financeiros'!$J$43)^(1/12)-1),$F$11,-$I$70),0)</f>
        <v>0</v>
      </c>
      <c r="AW204" s="1312">
        <f t="shared" si="121"/>
        <v>0</v>
      </c>
      <c r="AX204" s="1312">
        <f>AY203*((1+'Instrumentos Financeiros'!$J$43)^(1/12)-1)</f>
        <v>0</v>
      </c>
      <c r="AY204" s="1312">
        <f t="shared" si="90"/>
        <v>0</v>
      </c>
      <c r="AZ204" s="1312">
        <f>IF(AND(C204&gt;$F$71,'Instrumentos Financeiros'!C204&lt;'Instrumentos Financeiros'!$F$71+'Instrumentos Financeiros'!$F$11+1),PMT(((1+'Instrumentos Financeiros'!$J$43)^(1/12)-1),$F$11,-$I$71),0)</f>
        <v>0</v>
      </c>
      <c r="BA204" s="1312">
        <f t="shared" si="122"/>
        <v>0</v>
      </c>
      <c r="BB204" s="1312">
        <f>BC203*((1+'Instrumentos Financeiros'!$J$43)^(1/12)-1)</f>
        <v>0</v>
      </c>
      <c r="BC204" s="1312">
        <f t="shared" si="91"/>
        <v>0</v>
      </c>
      <c r="BD204" s="1312">
        <f>IF(AND(C204&gt;$F$72,'Instrumentos Financeiros'!C204&lt;'Instrumentos Financeiros'!$F$72+'Instrumentos Financeiros'!$F$11+1),PMT(((1+'Instrumentos Financeiros'!$J$43)^(1/12)-1),$F$11,-'Instrumentos Financeiros'!$G$7*$G$72),0)</f>
        <v>0</v>
      </c>
      <c r="BE204" s="1312">
        <f t="shared" si="123"/>
        <v>0</v>
      </c>
      <c r="BF204" s="1312">
        <f>BG203*((1+'Instrumentos Financeiros'!$J$43)^(1/12)-1)</f>
        <v>0</v>
      </c>
      <c r="BG204" s="1312">
        <f t="shared" si="92"/>
        <v>0</v>
      </c>
      <c r="BH204" s="1312">
        <f>IF(AND(C204&gt;$F$73,'Instrumentos Financeiros'!C204&lt;'Instrumentos Financeiros'!$F$73+'Instrumentos Financeiros'!$F$11+1),PMT(((1+'Instrumentos Financeiros'!$J$43)^(1/12)-1),$F$11,-$I$73),0)</f>
        <v>0</v>
      </c>
      <c r="BI204" s="1312">
        <f t="shared" si="124"/>
        <v>0</v>
      </c>
      <c r="BJ204" s="1312">
        <f>BK203*((1+'Instrumentos Financeiros'!$J$43)^(1/12)-1)</f>
        <v>0</v>
      </c>
      <c r="BK204" s="1312">
        <f t="shared" si="93"/>
        <v>0</v>
      </c>
      <c r="BL204" s="1312">
        <f>IF(AND(C204&gt;$F$77,'Instrumentos Financeiros'!C204&lt;'Instrumentos Financeiros'!$F$77+'Instrumentos Financeiros'!$F$12+1),PMT(((1+'Instrumentos Financeiros'!$K$43)^(1/12)-1),$F$12,-$I$77),0)</f>
        <v>368.57912678094596</v>
      </c>
      <c r="BM204" s="1312">
        <f t="shared" si="94"/>
        <v>180.08284953293747</v>
      </c>
      <c r="BN204" s="1312">
        <f>BO203*((1+'Instrumentos Financeiros'!$K$43)^(1/12)-1)</f>
        <v>188.49627724800848</v>
      </c>
      <c r="BO204" s="1312">
        <f t="shared" si="95"/>
        <v>43412.841860162174</v>
      </c>
      <c r="BP204" s="1312">
        <f>IF(AND(C204&gt;$F$78,'Instrumentos Financeiros'!C204&lt;'Instrumentos Financeiros'!$F$78+'Instrumentos Financeiros'!$F$12+1),PMT(((1+'Instrumentos Financeiros'!$L$43)^(1/12)-1),$F$12,-$I$78),0)</f>
        <v>368.57912678094596</v>
      </c>
      <c r="BQ204" s="1312">
        <f t="shared" si="96"/>
        <v>177.76686645156977</v>
      </c>
      <c r="BR204" s="1312">
        <f>BS203*((1+'Instrumentos Financeiros'!$L$43)^(1/12)-1)</f>
        <v>190.81226032937619</v>
      </c>
      <c r="BS204" s="1312">
        <f t="shared" si="97"/>
        <v>43950.767763868949</v>
      </c>
      <c r="BT204" s="1312">
        <f>IF(AND(C204&gt;$F$79,'Instrumentos Financeiros'!C204&lt;'Instrumentos Financeiros'!$F$79+'Instrumentos Financeiros'!$F$12+1),PMT(((1+'Instrumentos Financeiros'!$L$43)^(1/12)-1),$F$12,-$I$79),0)</f>
        <v>368.57912678094596</v>
      </c>
      <c r="BU204" s="1312">
        <f t="shared" si="98"/>
        <v>175.48066842550907</v>
      </c>
      <c r="BV204" s="1312">
        <f>BW203*((1+'Instrumentos Financeiros'!$L$43)^(1/12)-1)</f>
        <v>193.09845835543689</v>
      </c>
      <c r="BW204" s="1312">
        <f t="shared" si="99"/>
        <v>44481.775589062163</v>
      </c>
      <c r="BX204" s="1312">
        <f>IF(AND(C204&gt;$F$80,'Instrumentos Financeiros'!C204&lt;'Instrumentos Financeiros'!$F$80+'Instrumentos Financeiros'!$F$12+1),PMT(((1+'Instrumentos Financeiros'!$L$43)^(1/12)-1),$F$12,-$I$80),0)</f>
        <v>368.57912678094596</v>
      </c>
      <c r="BY204" s="1312">
        <f t="shared" si="100"/>
        <v>173.22387239948753</v>
      </c>
      <c r="BZ204" s="1312">
        <f>CA203*((1+'Instrumentos Financeiros'!$L$43)^(1/12)-1)</f>
        <v>195.35525438145842</v>
      </c>
      <c r="CA204" s="1312">
        <f t="shared" si="101"/>
        <v>45005.954306750624</v>
      </c>
      <c r="CB204" s="1312">
        <f>IF(AND(C204&gt;$F$83,'Instrumentos Financeiros'!C204&lt;'Instrumentos Financeiros'!$F$83+'Instrumentos Financeiros'!$F$13+1),PMT(((1+'Instrumentos Financeiros'!$P$43)^(1/12)-1),$F$13,-$I$83),0)</f>
        <v>0</v>
      </c>
      <c r="CC204" s="1312">
        <f t="shared" si="102"/>
        <v>0</v>
      </c>
      <c r="CD204" s="1312">
        <f>CE203*((1+'Instrumentos Financeiros'!$P$43)^(1/12)-1)</f>
        <v>0</v>
      </c>
      <c r="CE204" s="1312">
        <f t="shared" si="103"/>
        <v>0</v>
      </c>
      <c r="CF204" s="1312">
        <f>IF(AND(C204&gt;$F$84,'Instrumentos Financeiros'!C204&lt;'Instrumentos Financeiros'!$F$84+'Instrumentos Financeiros'!$F$13+1),PMT(((1+'Instrumentos Financeiros'!$Q$43)^(1/12)-1),$F$13,-$I$84),0)</f>
        <v>0</v>
      </c>
      <c r="CG204" s="1312">
        <f t="shared" si="104"/>
        <v>0</v>
      </c>
      <c r="CH204" s="1312">
        <f>CI203*((1+'Instrumentos Financeiros'!$Q$43)^(1/12)-1)</f>
        <v>0</v>
      </c>
      <c r="CI204" s="1312">
        <f t="shared" si="105"/>
        <v>0</v>
      </c>
      <c r="CJ204" s="1312">
        <f>IF(AND(C204&gt;$F$85,'Instrumentos Financeiros'!C204&lt;'Instrumentos Financeiros'!$F$85+'Instrumentos Financeiros'!$F$13+1),PMT(((1+'Instrumentos Financeiros'!$Q$43)^(1/12)-1),$F$13,-$I$85),0)</f>
        <v>0</v>
      </c>
      <c r="CK204" s="1312">
        <f t="shared" si="106"/>
        <v>0</v>
      </c>
      <c r="CL204" s="1312">
        <f>CM203*((1+'Instrumentos Financeiros'!$Q$43)^(1/12)-1)</f>
        <v>0</v>
      </c>
      <c r="CM204" s="1312">
        <f t="shared" si="107"/>
        <v>0</v>
      </c>
      <c r="CN204" s="1312">
        <f>IF(AND(C204&gt;$F$86,'Instrumentos Financeiros'!C204&lt;'Instrumentos Financeiros'!$F$86+'Instrumentos Financeiros'!$F$13+1),PMT(((1+'Instrumentos Financeiros'!$Q$43)^(1/12)-1),$F$13,-$I$86),0)</f>
        <v>0</v>
      </c>
      <c r="CO204" s="1312">
        <f t="shared" si="108"/>
        <v>0</v>
      </c>
      <c r="CP204" s="1312">
        <f>CQ203*((1+'Instrumentos Financeiros'!$Q$43)^(1/12)-1)</f>
        <v>0</v>
      </c>
      <c r="CQ204" s="1312">
        <f t="shared" si="109"/>
        <v>0</v>
      </c>
      <c r="CR204" s="1312">
        <f t="shared" si="78"/>
        <v>399789.55023115332</v>
      </c>
      <c r="CS204" s="1312">
        <f t="shared" si="78"/>
        <v>208158.13832988447</v>
      </c>
      <c r="CT204" s="1312">
        <f t="shared" si="78"/>
        <v>191631.41190126876</v>
      </c>
      <c r="CU204" s="1312">
        <f t="shared" si="78"/>
        <v>44645486.079601496</v>
      </c>
    </row>
    <row r="205" spans="3:99" x14ac:dyDescent="0.35">
      <c r="C205" s="1315">
        <f t="shared" si="79"/>
        <v>112</v>
      </c>
      <c r="D205" s="1312">
        <f>IF(AND(C205&gt;$F$59,'Instrumentos Financeiros'!C205&lt;'Instrumentos Financeiros'!$F$59+'Instrumentos Financeiros'!$F$11+1),PMT(((1+'Instrumentos Financeiros'!$G$43)^(1/12)-1),$F$11,-$I$59),0)</f>
        <v>91768.589635900134</v>
      </c>
      <c r="E205" s="1312">
        <f t="shared" si="76"/>
        <v>52950.026573199357</v>
      </c>
      <c r="F205" s="1312">
        <f>G204*((1+'Instrumentos Financeiros'!$G$43)^(1/12)-1)</f>
        <v>38818.563062700778</v>
      </c>
      <c r="G205" s="1312">
        <f t="shared" si="110"/>
        <v>9457206.6727008168</v>
      </c>
      <c r="H205" s="1312">
        <f>IF(AND(C205&gt;$F$60,'Instrumentos Financeiros'!C205&lt;'Instrumentos Financeiros'!$F$60+'Instrumentos Financeiros'!$F$11+1),PMT(((1+'Instrumentos Financeiros'!$G$43)^(1/12)-1),$F$11,-$I$60),0)</f>
        <v>0</v>
      </c>
      <c r="I205" s="1312">
        <f t="shared" si="111"/>
        <v>0</v>
      </c>
      <c r="J205" s="1312">
        <f>K204*((1+'Instrumentos Financeiros'!$G$43)^(1/12)-1)</f>
        <v>0</v>
      </c>
      <c r="K205" s="1312">
        <f t="shared" si="80"/>
        <v>0</v>
      </c>
      <c r="L205" s="1312">
        <f>IF(AND(C205&gt;$F$61,'Instrumentos Financeiros'!C205&lt;'Instrumentos Financeiros'!$F$61+'Instrumentos Financeiros'!$F$11+1),PMT(((1+'Instrumentos Financeiros'!$G$43)^(1/12)-1),$F$11,-$I$61),0)</f>
        <v>0</v>
      </c>
      <c r="M205" s="1312">
        <f t="shared" si="112"/>
        <v>0</v>
      </c>
      <c r="N205" s="1312">
        <f>O204*((1+'Instrumentos Financeiros'!$G$43)^(1/12)-1)</f>
        <v>0</v>
      </c>
      <c r="O205" s="1312">
        <f t="shared" si="81"/>
        <v>0</v>
      </c>
      <c r="P205" s="1312">
        <f>IF(AND(C205&gt;$F$62,'Instrumentos Financeiros'!C205&lt;'Instrumentos Financeiros'!$F$62+'Instrumentos Financeiros'!$F$11+1),PMT(((1+'Instrumentos Financeiros'!$H$43)^(1/12)-1),$F$11,-$I$62),0)</f>
        <v>0</v>
      </c>
      <c r="Q205" s="1312">
        <f t="shared" si="113"/>
        <v>0</v>
      </c>
      <c r="R205" s="1312">
        <f>S204*((1+'Instrumentos Financeiros'!$H$43)^(1/12)-1)</f>
        <v>0</v>
      </c>
      <c r="S205" s="1312">
        <f t="shared" si="82"/>
        <v>0</v>
      </c>
      <c r="T205" s="1312">
        <f>IF(AND(C205&gt;$F$63,'Instrumentos Financeiros'!C205&lt;'Instrumentos Financeiros'!$F$63+'Instrumentos Financeiros'!$F$11+1),PMT(((1+'Instrumentos Financeiros'!$H$43)^(1/12)-1),$F$11,-$I$63),0)</f>
        <v>0</v>
      </c>
      <c r="U205" s="1312">
        <f t="shared" si="114"/>
        <v>0</v>
      </c>
      <c r="V205" s="1312">
        <f>W204*((1+'Instrumentos Financeiros'!$H$43)^(1/12)-1)</f>
        <v>0</v>
      </c>
      <c r="W205" s="1312">
        <f t="shared" si="83"/>
        <v>0</v>
      </c>
      <c r="X205" s="1312">
        <f>IF(AND(C205&gt;$F$64,'Instrumentos Financeiros'!C205&lt;'Instrumentos Financeiros'!$F$64+'Instrumentos Financeiros'!$F$11+1),PMT(((1+'Instrumentos Financeiros'!$H$43)^(1/12)-1),$F$11,-$I$64),0)</f>
        <v>0</v>
      </c>
      <c r="Y205" s="1312">
        <f t="shared" si="115"/>
        <v>0</v>
      </c>
      <c r="Z205" s="1312">
        <f>AA204*((1+'Instrumentos Financeiros'!$H$43)^(1/12)-1)</f>
        <v>0</v>
      </c>
      <c r="AA205" s="1312">
        <f t="shared" si="84"/>
        <v>0</v>
      </c>
      <c r="AB205" s="1312">
        <f>IF(AND(C205&gt;$F$65,'Instrumentos Financeiros'!C205&lt;'Instrumentos Financeiros'!$F$65+'Instrumentos Financeiros'!$F$11+1),PMT(((1+'Instrumentos Financeiros'!$H$43)^(1/12)-1),$F$11,-$I$65),0)</f>
        <v>76636.661022032335</v>
      </c>
      <c r="AC205" s="1312">
        <f t="shared" si="116"/>
        <v>39603.921029130252</v>
      </c>
      <c r="AD205" s="1312">
        <f>AE204*((1+'Instrumentos Financeiros'!$H$43)^(1/12)-1)</f>
        <v>37032.739992902083</v>
      </c>
      <c r="AE205" s="1312">
        <f t="shared" si="85"/>
        <v>8524838.1458040606</v>
      </c>
      <c r="AF205" s="1312">
        <f>IF(AND(C205&gt;$F$66,'Instrumentos Financeiros'!C205&lt;'Instrumentos Financeiros'!$F$66+'Instrumentos Financeiros'!$F$11+1),PMT(((1+'Instrumentos Financeiros'!$I$43)^(1/12)-1),$F$11,-$I$66),0)</f>
        <v>76636.661022032335</v>
      </c>
      <c r="AG205" s="1312">
        <f t="shared" si="117"/>
        <v>39094.588734038414</v>
      </c>
      <c r="AH205" s="1312">
        <f>AI204*((1+'Instrumentos Financeiros'!$I$43)^(1/12)-1)</f>
        <v>37542.07228799392</v>
      </c>
      <c r="AI205" s="1312">
        <f t="shared" si="86"/>
        <v>8643139.1115272287</v>
      </c>
      <c r="AJ205" s="1312">
        <f>IF(AND(C205&gt;$F$67,'Instrumentos Financeiros'!C205&lt;'Instrumentos Financeiros'!$F$67+'Instrumentos Financeiros'!$F$11+1),PMT(((1+'Instrumentos Financeiros'!$I$43)^(1/12)-1),$F$11,-$I$67),0)</f>
        <v>76636.661022032335</v>
      </c>
      <c r="AK205" s="1312">
        <f t="shared" si="118"/>
        <v>38591.806784975022</v>
      </c>
      <c r="AL205" s="1312">
        <f>AM204*((1+'Instrumentos Financeiros'!$I$43)^(1/12)-1)</f>
        <v>38044.854237057312</v>
      </c>
      <c r="AM205" s="1312">
        <f t="shared" si="87"/>
        <v>8759918.6495528948</v>
      </c>
      <c r="AN205" s="1312">
        <f>IF(AND(C205&gt;$F$68,'Instrumentos Financeiros'!C205&lt;'Instrumentos Financeiros'!$F$68+'Instrumentos Financeiros'!$F$11+1),PMT(((1+'Instrumentos Financeiros'!$I$43)^(1/12)-1),$F$11,-$I$68),0)</f>
        <v>76636.661022032335</v>
      </c>
      <c r="AO205" s="1312">
        <f t="shared" si="119"/>
        <v>38095.490940211224</v>
      </c>
      <c r="AP205" s="1312">
        <f>AQ204*((1+'Instrumentos Financeiros'!$I$43)^(1/12)-1)</f>
        <v>38541.17008182111</v>
      </c>
      <c r="AQ205" s="1312">
        <f t="shared" si="88"/>
        <v>8875196.3264350984</v>
      </c>
      <c r="AR205" s="1312">
        <f>IF(AND(C205&gt;$F$69,'Instrumentos Financeiros'!C205&lt;'Instrumentos Financeiros'!$F$69+'Instrumentos Financeiros'!$F$11+1),PMT(((1+'Instrumentos Financeiros'!$I$43)^(1/12)-1),$F$11,-$I$69),0)</f>
        <v>0</v>
      </c>
      <c r="AS205" s="1312">
        <f t="shared" si="120"/>
        <v>0</v>
      </c>
      <c r="AT205" s="1312">
        <f>AU204*((1+'Instrumentos Financeiros'!$I$43)^(1/12)-1)</f>
        <v>0</v>
      </c>
      <c r="AU205" s="1312">
        <f t="shared" si="89"/>
        <v>0</v>
      </c>
      <c r="AV205" s="1312">
        <f>IF(AND(C205&gt;$F$70,'Instrumentos Financeiros'!C205&lt;'Instrumentos Financeiros'!$F$70+'Instrumentos Financeiros'!$F$11+1),PMT(((1+'Instrumentos Financeiros'!$J$43)^(1/12)-1),$F$11,-$I$70),0)</f>
        <v>0</v>
      </c>
      <c r="AW205" s="1312">
        <f t="shared" si="121"/>
        <v>0</v>
      </c>
      <c r="AX205" s="1312">
        <f>AY204*((1+'Instrumentos Financeiros'!$J$43)^(1/12)-1)</f>
        <v>0</v>
      </c>
      <c r="AY205" s="1312">
        <f t="shared" si="90"/>
        <v>0</v>
      </c>
      <c r="AZ205" s="1312">
        <f>IF(AND(C205&gt;$F$71,'Instrumentos Financeiros'!C205&lt;'Instrumentos Financeiros'!$F$71+'Instrumentos Financeiros'!$F$11+1),PMT(((1+'Instrumentos Financeiros'!$J$43)^(1/12)-1),$F$11,-$I$71),0)</f>
        <v>0</v>
      </c>
      <c r="BA205" s="1312">
        <f t="shared" si="122"/>
        <v>0</v>
      </c>
      <c r="BB205" s="1312">
        <f>BC204*((1+'Instrumentos Financeiros'!$J$43)^(1/12)-1)</f>
        <v>0</v>
      </c>
      <c r="BC205" s="1312">
        <f t="shared" si="91"/>
        <v>0</v>
      </c>
      <c r="BD205" s="1312">
        <f>IF(AND(C205&gt;$F$72,'Instrumentos Financeiros'!C205&lt;'Instrumentos Financeiros'!$F$72+'Instrumentos Financeiros'!$F$11+1),PMT(((1+'Instrumentos Financeiros'!$J$43)^(1/12)-1),$F$11,-'Instrumentos Financeiros'!$G$7*$G$72),0)</f>
        <v>0</v>
      </c>
      <c r="BE205" s="1312">
        <f t="shared" si="123"/>
        <v>0</v>
      </c>
      <c r="BF205" s="1312">
        <f>BG204*((1+'Instrumentos Financeiros'!$J$43)^(1/12)-1)</f>
        <v>0</v>
      </c>
      <c r="BG205" s="1312">
        <f t="shared" si="92"/>
        <v>0</v>
      </c>
      <c r="BH205" s="1312">
        <f>IF(AND(C205&gt;$F$73,'Instrumentos Financeiros'!C205&lt;'Instrumentos Financeiros'!$F$73+'Instrumentos Financeiros'!$F$11+1),PMT(((1+'Instrumentos Financeiros'!$J$43)^(1/12)-1),$F$11,-$I$73),0)</f>
        <v>0</v>
      </c>
      <c r="BI205" s="1312">
        <f t="shared" si="124"/>
        <v>0</v>
      </c>
      <c r="BJ205" s="1312">
        <f>BK204*((1+'Instrumentos Financeiros'!$J$43)^(1/12)-1)</f>
        <v>0</v>
      </c>
      <c r="BK205" s="1312">
        <f t="shared" si="93"/>
        <v>0</v>
      </c>
      <c r="BL205" s="1312">
        <f>IF(AND(C205&gt;$F$77,'Instrumentos Financeiros'!C205&lt;'Instrumentos Financeiros'!$F$77+'Instrumentos Financeiros'!$F$12+1),PMT(((1+'Instrumentos Financeiros'!$K$43)^(1/12)-1),$F$12,-$I$77),0)</f>
        <v>368.57912678094596</v>
      </c>
      <c r="BM205" s="1312">
        <f t="shared" si="94"/>
        <v>180.86152971921146</v>
      </c>
      <c r="BN205" s="1312">
        <f>BO204*((1+'Instrumentos Financeiros'!$K$43)^(1/12)-1)</f>
        <v>187.71759706173449</v>
      </c>
      <c r="BO205" s="1312">
        <f t="shared" si="95"/>
        <v>43231.980330442966</v>
      </c>
      <c r="BP205" s="1312">
        <f>IF(AND(C205&gt;$F$78,'Instrumentos Financeiros'!C205&lt;'Instrumentos Financeiros'!$F$78+'Instrumentos Financeiros'!$F$12+1),PMT(((1+'Instrumentos Financeiros'!$L$43)^(1/12)-1),$F$12,-$I$78),0)</f>
        <v>368.57912678094596</v>
      </c>
      <c r="BQ205" s="1312">
        <f t="shared" si="96"/>
        <v>178.5355323019873</v>
      </c>
      <c r="BR205" s="1312">
        <f>BS204*((1+'Instrumentos Financeiros'!$L$43)^(1/12)-1)</f>
        <v>190.04359447895865</v>
      </c>
      <c r="BS205" s="1312">
        <f t="shared" si="97"/>
        <v>43772.232231566959</v>
      </c>
      <c r="BT205" s="1312">
        <f>IF(AND(C205&gt;$F$79,'Instrumentos Financeiros'!C205&lt;'Instrumentos Financeiros'!$F$79+'Instrumentos Financeiros'!$F$12+1),PMT(((1+'Instrumentos Financeiros'!$L$43)^(1/12)-1),$F$12,-$I$79),0)</f>
        <v>368.57912678094596</v>
      </c>
      <c r="BU205" s="1312">
        <f t="shared" si="98"/>
        <v>176.23944873097099</v>
      </c>
      <c r="BV205" s="1312">
        <f>BW204*((1+'Instrumentos Financeiros'!$L$43)^(1/12)-1)</f>
        <v>192.33967804997496</v>
      </c>
      <c r="BW205" s="1312">
        <f t="shared" si="99"/>
        <v>44305.536140331191</v>
      </c>
      <c r="BX205" s="1312">
        <f>IF(AND(C205&gt;$F$80,'Instrumentos Financeiros'!C205&lt;'Instrumentos Financeiros'!$F$80+'Instrumentos Financeiros'!$F$12+1),PMT(((1+'Instrumentos Financeiros'!$L$43)^(1/12)-1),$F$12,-$I$80),0)</f>
        <v>368.57912678094596</v>
      </c>
      <c r="BY205" s="1312">
        <f t="shared" si="100"/>
        <v>173.97289429455955</v>
      </c>
      <c r="BZ205" s="1312">
        <f>CA204*((1+'Instrumentos Financeiros'!$L$43)^(1/12)-1)</f>
        <v>194.6062324863864</v>
      </c>
      <c r="CA205" s="1312">
        <f t="shared" si="101"/>
        <v>44831.981412456065</v>
      </c>
      <c r="CB205" s="1312">
        <f>IF(AND(C205&gt;$F$83,'Instrumentos Financeiros'!C205&lt;'Instrumentos Financeiros'!$F$83+'Instrumentos Financeiros'!$F$13+1),PMT(((1+'Instrumentos Financeiros'!$P$43)^(1/12)-1),$F$13,-$I$83),0)</f>
        <v>0</v>
      </c>
      <c r="CC205" s="1312">
        <f t="shared" si="102"/>
        <v>0</v>
      </c>
      <c r="CD205" s="1312">
        <f>CE204*((1+'Instrumentos Financeiros'!$P$43)^(1/12)-1)</f>
        <v>0</v>
      </c>
      <c r="CE205" s="1312">
        <f t="shared" si="103"/>
        <v>0</v>
      </c>
      <c r="CF205" s="1312">
        <f>IF(AND(C205&gt;$F$84,'Instrumentos Financeiros'!C205&lt;'Instrumentos Financeiros'!$F$84+'Instrumentos Financeiros'!$F$13+1),PMT(((1+'Instrumentos Financeiros'!$Q$43)^(1/12)-1),$F$13,-$I$84),0)</f>
        <v>0</v>
      </c>
      <c r="CG205" s="1312">
        <f t="shared" si="104"/>
        <v>0</v>
      </c>
      <c r="CH205" s="1312">
        <f>CI204*((1+'Instrumentos Financeiros'!$Q$43)^(1/12)-1)</f>
        <v>0</v>
      </c>
      <c r="CI205" s="1312">
        <f t="shared" si="105"/>
        <v>0</v>
      </c>
      <c r="CJ205" s="1312">
        <f>IF(AND(C205&gt;$F$85,'Instrumentos Financeiros'!C205&lt;'Instrumentos Financeiros'!$F$85+'Instrumentos Financeiros'!$F$13+1),PMT(((1+'Instrumentos Financeiros'!$Q$43)^(1/12)-1),$F$13,-$I$85),0)</f>
        <v>0</v>
      </c>
      <c r="CK205" s="1312">
        <f t="shared" si="106"/>
        <v>0</v>
      </c>
      <c r="CL205" s="1312">
        <f>CM204*((1+'Instrumentos Financeiros'!$Q$43)^(1/12)-1)</f>
        <v>0</v>
      </c>
      <c r="CM205" s="1312">
        <f t="shared" si="107"/>
        <v>0</v>
      </c>
      <c r="CN205" s="1312">
        <f>IF(AND(C205&gt;$F$86,'Instrumentos Financeiros'!C205&lt;'Instrumentos Financeiros'!$F$86+'Instrumentos Financeiros'!$F$13+1),PMT(((1+'Instrumentos Financeiros'!$Q$43)^(1/12)-1),$F$13,-$I$86),0)</f>
        <v>0</v>
      </c>
      <c r="CO205" s="1312">
        <f t="shared" si="108"/>
        <v>0</v>
      </c>
      <c r="CP205" s="1312">
        <f>CQ204*((1+'Instrumentos Financeiros'!$Q$43)^(1/12)-1)</f>
        <v>0</v>
      </c>
      <c r="CQ205" s="1312">
        <f t="shared" si="109"/>
        <v>0</v>
      </c>
      <c r="CR205" s="1312">
        <f t="shared" si="78"/>
        <v>399789.55023115332</v>
      </c>
      <c r="CS205" s="1312">
        <f t="shared" si="78"/>
        <v>209045.44346660099</v>
      </c>
      <c r="CT205" s="1312">
        <f t="shared" si="78"/>
        <v>190744.10676455218</v>
      </c>
      <c r="CU205" s="1312">
        <f t="shared" si="78"/>
        <v>44436440.636134893</v>
      </c>
    </row>
    <row r="206" spans="3:99" x14ac:dyDescent="0.35">
      <c r="C206" s="1315">
        <f t="shared" si="79"/>
        <v>113</v>
      </c>
      <c r="D206" s="1312">
        <f>IF(AND(C206&gt;$F$59,'Instrumentos Financeiros'!C206&lt;'Instrumentos Financeiros'!$F$59+'Instrumentos Financeiros'!$F$11+1),PMT(((1+'Instrumentos Financeiros'!$G$43)^(1/12)-1),$F$11,-$I$59),0)</f>
        <v>91768.589635900134</v>
      </c>
      <c r="E206" s="1312">
        <f t="shared" si="76"/>
        <v>53166.158021996656</v>
      </c>
      <c r="F206" s="1312">
        <f>G205*((1+'Instrumentos Financeiros'!$G$43)^(1/12)-1)</f>
        <v>38602.431613903478</v>
      </c>
      <c r="G206" s="1312">
        <f t="shared" si="110"/>
        <v>9404040.514678821</v>
      </c>
      <c r="H206" s="1312">
        <f>IF(AND(C206&gt;$F$60,'Instrumentos Financeiros'!C206&lt;'Instrumentos Financeiros'!$F$60+'Instrumentos Financeiros'!$F$11+1),PMT(((1+'Instrumentos Financeiros'!$G$43)^(1/12)-1),$F$11,-$I$60),0)</f>
        <v>0</v>
      </c>
      <c r="I206" s="1312">
        <f t="shared" si="111"/>
        <v>0</v>
      </c>
      <c r="J206" s="1312">
        <f>K205*((1+'Instrumentos Financeiros'!$G$43)^(1/12)-1)</f>
        <v>0</v>
      </c>
      <c r="K206" s="1312">
        <f t="shared" si="80"/>
        <v>0</v>
      </c>
      <c r="L206" s="1312">
        <f>IF(AND(C206&gt;$F$61,'Instrumentos Financeiros'!C206&lt;'Instrumentos Financeiros'!$F$61+'Instrumentos Financeiros'!$F$11+1),PMT(((1+'Instrumentos Financeiros'!$G$43)^(1/12)-1),$F$11,-$I$61),0)</f>
        <v>0</v>
      </c>
      <c r="M206" s="1312">
        <f t="shared" si="112"/>
        <v>0</v>
      </c>
      <c r="N206" s="1312">
        <f>O205*((1+'Instrumentos Financeiros'!$G$43)^(1/12)-1)</f>
        <v>0</v>
      </c>
      <c r="O206" s="1312">
        <f t="shared" si="81"/>
        <v>0</v>
      </c>
      <c r="P206" s="1312">
        <f>IF(AND(C206&gt;$F$62,'Instrumentos Financeiros'!C206&lt;'Instrumentos Financeiros'!$F$62+'Instrumentos Financeiros'!$F$11+1),PMT(((1+'Instrumentos Financeiros'!$H$43)^(1/12)-1),$F$11,-$I$62),0)</f>
        <v>0</v>
      </c>
      <c r="Q206" s="1312">
        <f t="shared" si="113"/>
        <v>0</v>
      </c>
      <c r="R206" s="1312">
        <f>S205*((1+'Instrumentos Financeiros'!$H$43)^(1/12)-1)</f>
        <v>0</v>
      </c>
      <c r="S206" s="1312">
        <f t="shared" si="82"/>
        <v>0</v>
      </c>
      <c r="T206" s="1312">
        <f>IF(AND(C206&gt;$F$63,'Instrumentos Financeiros'!C206&lt;'Instrumentos Financeiros'!$F$63+'Instrumentos Financeiros'!$F$11+1),PMT(((1+'Instrumentos Financeiros'!$H$43)^(1/12)-1),$F$11,-$I$63),0)</f>
        <v>0</v>
      </c>
      <c r="U206" s="1312">
        <f t="shared" si="114"/>
        <v>0</v>
      </c>
      <c r="V206" s="1312">
        <f>W205*((1+'Instrumentos Financeiros'!$H$43)^(1/12)-1)</f>
        <v>0</v>
      </c>
      <c r="W206" s="1312">
        <f t="shared" si="83"/>
        <v>0</v>
      </c>
      <c r="X206" s="1312">
        <f>IF(AND(C206&gt;$F$64,'Instrumentos Financeiros'!C206&lt;'Instrumentos Financeiros'!$F$64+'Instrumentos Financeiros'!$F$11+1),PMT(((1+'Instrumentos Financeiros'!$H$43)^(1/12)-1),$F$11,-$I$64),0)</f>
        <v>0</v>
      </c>
      <c r="Y206" s="1312">
        <f t="shared" si="115"/>
        <v>0</v>
      </c>
      <c r="Z206" s="1312">
        <f>AA205*((1+'Instrumentos Financeiros'!$H$43)^(1/12)-1)</f>
        <v>0</v>
      </c>
      <c r="AA206" s="1312">
        <f t="shared" si="84"/>
        <v>0</v>
      </c>
      <c r="AB206" s="1312">
        <f>IF(AND(C206&gt;$F$65,'Instrumentos Financeiros'!C206&lt;'Instrumentos Financeiros'!$F$65+'Instrumentos Financeiros'!$F$11+1),PMT(((1+'Instrumentos Financeiros'!$H$43)^(1/12)-1),$F$11,-$I$65),0)</f>
        <v>76636.661022032335</v>
      </c>
      <c r="AC206" s="1312">
        <f t="shared" si="116"/>
        <v>39775.168811382282</v>
      </c>
      <c r="AD206" s="1312">
        <f>AE205*((1+'Instrumentos Financeiros'!$H$43)^(1/12)-1)</f>
        <v>36861.492210650053</v>
      </c>
      <c r="AE206" s="1312">
        <f t="shared" si="85"/>
        <v>8485062.9769926779</v>
      </c>
      <c r="AF206" s="1312">
        <f>IF(AND(C206&gt;$F$66,'Instrumentos Financeiros'!C206&lt;'Instrumentos Financeiros'!$F$66+'Instrumentos Financeiros'!$F$11+1),PMT(((1+'Instrumentos Financeiros'!$I$43)^(1/12)-1),$F$11,-$I$66),0)</f>
        <v>76636.661022032335</v>
      </c>
      <c r="AG206" s="1312">
        <f t="shared" si="117"/>
        <v>39263.634157945686</v>
      </c>
      <c r="AH206" s="1312">
        <f>AI205*((1+'Instrumentos Financeiros'!$I$43)^(1/12)-1)</f>
        <v>37373.026864086649</v>
      </c>
      <c r="AI206" s="1312">
        <f t="shared" si="86"/>
        <v>8603875.4773692824</v>
      </c>
      <c r="AJ206" s="1312">
        <f>IF(AND(C206&gt;$F$67,'Instrumentos Financeiros'!C206&lt;'Instrumentos Financeiros'!$F$67+'Instrumentos Financeiros'!$F$11+1),PMT(((1+'Instrumentos Financeiros'!$I$43)^(1/12)-1),$F$11,-$I$67),0)</f>
        <v>76636.661022032335</v>
      </c>
      <c r="AK206" s="1312">
        <f t="shared" si="118"/>
        <v>38758.678174304499</v>
      </c>
      <c r="AL206" s="1312">
        <f>AM205*((1+'Instrumentos Financeiros'!$I$43)^(1/12)-1)</f>
        <v>37877.982847727835</v>
      </c>
      <c r="AM206" s="1312">
        <f t="shared" si="87"/>
        <v>8721159.9713785909</v>
      </c>
      <c r="AN206" s="1312">
        <f>IF(AND(C206&gt;$F$68,'Instrumentos Financeiros'!C206&lt;'Instrumentos Financeiros'!$F$68+'Instrumentos Financeiros'!$F$11+1),PMT(((1+'Instrumentos Financeiros'!$I$43)^(1/12)-1),$F$11,-$I$68),0)</f>
        <v>76636.661022032335</v>
      </c>
      <c r="AO206" s="1312">
        <f t="shared" si="119"/>
        <v>38260.216254467734</v>
      </c>
      <c r="AP206" s="1312">
        <f>AQ205*((1+'Instrumentos Financeiros'!$I$43)^(1/12)-1)</f>
        <v>38376.444767564601</v>
      </c>
      <c r="AQ206" s="1312">
        <f t="shared" si="88"/>
        <v>8836936.1101806313</v>
      </c>
      <c r="AR206" s="1312">
        <f>IF(AND(C206&gt;$F$69,'Instrumentos Financeiros'!C206&lt;'Instrumentos Financeiros'!$F$69+'Instrumentos Financeiros'!$F$11+1),PMT(((1+'Instrumentos Financeiros'!$I$43)^(1/12)-1),$F$11,-$I$69),0)</f>
        <v>0</v>
      </c>
      <c r="AS206" s="1312">
        <f t="shared" si="120"/>
        <v>0</v>
      </c>
      <c r="AT206" s="1312">
        <f>AU205*((1+'Instrumentos Financeiros'!$I$43)^(1/12)-1)</f>
        <v>0</v>
      </c>
      <c r="AU206" s="1312">
        <f t="shared" si="89"/>
        <v>0</v>
      </c>
      <c r="AV206" s="1312">
        <f>IF(AND(C206&gt;$F$70,'Instrumentos Financeiros'!C206&lt;'Instrumentos Financeiros'!$F$70+'Instrumentos Financeiros'!$F$11+1),PMT(((1+'Instrumentos Financeiros'!$J$43)^(1/12)-1),$F$11,-$I$70),0)</f>
        <v>0</v>
      </c>
      <c r="AW206" s="1312">
        <f t="shared" si="121"/>
        <v>0</v>
      </c>
      <c r="AX206" s="1312">
        <f>AY205*((1+'Instrumentos Financeiros'!$J$43)^(1/12)-1)</f>
        <v>0</v>
      </c>
      <c r="AY206" s="1312">
        <f t="shared" si="90"/>
        <v>0</v>
      </c>
      <c r="AZ206" s="1312">
        <f>IF(AND(C206&gt;$F$71,'Instrumentos Financeiros'!C206&lt;'Instrumentos Financeiros'!$F$71+'Instrumentos Financeiros'!$F$11+1),PMT(((1+'Instrumentos Financeiros'!$J$43)^(1/12)-1),$F$11,-$I$71),0)</f>
        <v>0</v>
      </c>
      <c r="BA206" s="1312">
        <f t="shared" si="122"/>
        <v>0</v>
      </c>
      <c r="BB206" s="1312">
        <f>BC205*((1+'Instrumentos Financeiros'!$J$43)^(1/12)-1)</f>
        <v>0</v>
      </c>
      <c r="BC206" s="1312">
        <f t="shared" si="91"/>
        <v>0</v>
      </c>
      <c r="BD206" s="1312">
        <f>IF(AND(C206&gt;$F$72,'Instrumentos Financeiros'!C206&lt;'Instrumentos Financeiros'!$F$72+'Instrumentos Financeiros'!$F$11+1),PMT(((1+'Instrumentos Financeiros'!$J$43)^(1/12)-1),$F$11,-'Instrumentos Financeiros'!$G$7*$G$72),0)</f>
        <v>0</v>
      </c>
      <c r="BE206" s="1312">
        <f t="shared" si="123"/>
        <v>0</v>
      </c>
      <c r="BF206" s="1312">
        <f>BG205*((1+'Instrumentos Financeiros'!$J$43)^(1/12)-1)</f>
        <v>0</v>
      </c>
      <c r="BG206" s="1312">
        <f t="shared" si="92"/>
        <v>0</v>
      </c>
      <c r="BH206" s="1312">
        <f>IF(AND(C206&gt;$F$73,'Instrumentos Financeiros'!C206&lt;'Instrumentos Financeiros'!$F$73+'Instrumentos Financeiros'!$F$11+1),PMT(((1+'Instrumentos Financeiros'!$J$43)^(1/12)-1),$F$11,-$I$73),0)</f>
        <v>0</v>
      </c>
      <c r="BI206" s="1312">
        <f t="shared" si="124"/>
        <v>0</v>
      </c>
      <c r="BJ206" s="1312">
        <f>BK205*((1+'Instrumentos Financeiros'!$J$43)^(1/12)-1)</f>
        <v>0</v>
      </c>
      <c r="BK206" s="1312">
        <f t="shared" si="93"/>
        <v>0</v>
      </c>
      <c r="BL206" s="1312">
        <f>IF(AND(C206&gt;$F$77,'Instrumentos Financeiros'!C206&lt;'Instrumentos Financeiros'!$F$77+'Instrumentos Financeiros'!$F$12+1),PMT(((1+'Instrumentos Financeiros'!$K$43)^(1/12)-1),$F$12,-$I$77),0)</f>
        <v>368.57912678094596</v>
      </c>
      <c r="BM206" s="1312">
        <f t="shared" si="94"/>
        <v>181.64357692702058</v>
      </c>
      <c r="BN206" s="1312">
        <f>BO205*((1+'Instrumentos Financeiros'!$K$43)^(1/12)-1)</f>
        <v>186.93554985392538</v>
      </c>
      <c r="BO206" s="1312">
        <f t="shared" si="95"/>
        <v>43050.336753515949</v>
      </c>
      <c r="BP206" s="1312">
        <f>IF(AND(C206&gt;$F$78,'Instrumentos Financeiros'!C206&lt;'Instrumentos Financeiros'!$F$78+'Instrumentos Financeiros'!$F$12+1),PMT(((1+'Instrumentos Financeiros'!$L$43)^(1/12)-1),$F$12,-$I$78),0)</f>
        <v>368.57912678094596</v>
      </c>
      <c r="BQ206" s="1312">
        <f t="shared" si="96"/>
        <v>179.30752187184362</v>
      </c>
      <c r="BR206" s="1312">
        <f>BS205*((1+'Instrumentos Financeiros'!$L$43)^(1/12)-1)</f>
        <v>189.27160490910234</v>
      </c>
      <c r="BS206" s="1312">
        <f t="shared" si="97"/>
        <v>43592.924709695115</v>
      </c>
      <c r="BT206" s="1312">
        <f>IF(AND(C206&gt;$F$79,'Instrumentos Financeiros'!C206&lt;'Instrumentos Financeiros'!$F$79+'Instrumentos Financeiros'!$F$12+1),PMT(((1+'Instrumentos Financeiros'!$L$43)^(1/12)-1),$F$12,-$I$79),0)</f>
        <v>368.57912678094596</v>
      </c>
      <c r="BU206" s="1312">
        <f t="shared" si="98"/>
        <v>177.00151001066854</v>
      </c>
      <c r="BV206" s="1312">
        <f>BW205*((1+'Instrumentos Financeiros'!$L$43)^(1/12)-1)</f>
        <v>191.57761677027742</v>
      </c>
      <c r="BW206" s="1312">
        <f t="shared" si="99"/>
        <v>44128.534630320522</v>
      </c>
      <c r="BX206" s="1312">
        <f>IF(AND(C206&gt;$F$80,'Instrumentos Financeiros'!C206&lt;'Instrumentos Financeiros'!$F$80+'Instrumentos Financeiros'!$F$12+1),PMT(((1+'Instrumentos Financeiros'!$L$43)^(1/12)-1),$F$12,-$I$80),0)</f>
        <v>368.57912678094596</v>
      </c>
      <c r="BY206" s="1312">
        <f t="shared" si="100"/>
        <v>174.72515496839529</v>
      </c>
      <c r="BZ206" s="1312">
        <f>CA205*((1+'Instrumentos Financeiros'!$L$43)^(1/12)-1)</f>
        <v>193.85397181255067</v>
      </c>
      <c r="CA206" s="1312">
        <f t="shared" si="101"/>
        <v>44657.256257487672</v>
      </c>
      <c r="CB206" s="1312">
        <f>IF(AND(C206&gt;$F$83,'Instrumentos Financeiros'!C206&lt;'Instrumentos Financeiros'!$F$83+'Instrumentos Financeiros'!$F$13+1),PMT(((1+'Instrumentos Financeiros'!$P$43)^(1/12)-1),$F$13,-$I$83),0)</f>
        <v>0</v>
      </c>
      <c r="CC206" s="1312">
        <f t="shared" si="102"/>
        <v>0</v>
      </c>
      <c r="CD206" s="1312">
        <f>CE205*((1+'Instrumentos Financeiros'!$P$43)^(1/12)-1)</f>
        <v>0</v>
      </c>
      <c r="CE206" s="1312">
        <f t="shared" si="103"/>
        <v>0</v>
      </c>
      <c r="CF206" s="1312">
        <f>IF(AND(C206&gt;$F$84,'Instrumentos Financeiros'!C206&lt;'Instrumentos Financeiros'!$F$84+'Instrumentos Financeiros'!$F$13+1),PMT(((1+'Instrumentos Financeiros'!$Q$43)^(1/12)-1),$F$13,-$I$84),0)</f>
        <v>0</v>
      </c>
      <c r="CG206" s="1312">
        <f t="shared" si="104"/>
        <v>0</v>
      </c>
      <c r="CH206" s="1312">
        <f>CI205*((1+'Instrumentos Financeiros'!$Q$43)^(1/12)-1)</f>
        <v>0</v>
      </c>
      <c r="CI206" s="1312">
        <f t="shared" si="105"/>
        <v>0</v>
      </c>
      <c r="CJ206" s="1312">
        <f>IF(AND(C206&gt;$F$85,'Instrumentos Financeiros'!C206&lt;'Instrumentos Financeiros'!$F$85+'Instrumentos Financeiros'!$F$13+1),PMT(((1+'Instrumentos Financeiros'!$Q$43)^(1/12)-1),$F$13,-$I$85),0)</f>
        <v>0</v>
      </c>
      <c r="CK206" s="1312">
        <f t="shared" si="106"/>
        <v>0</v>
      </c>
      <c r="CL206" s="1312">
        <f>CM205*((1+'Instrumentos Financeiros'!$Q$43)^(1/12)-1)</f>
        <v>0</v>
      </c>
      <c r="CM206" s="1312">
        <f t="shared" si="107"/>
        <v>0</v>
      </c>
      <c r="CN206" s="1312">
        <f>IF(AND(C206&gt;$F$86,'Instrumentos Financeiros'!C206&lt;'Instrumentos Financeiros'!$F$86+'Instrumentos Financeiros'!$F$13+1),PMT(((1+'Instrumentos Financeiros'!$Q$43)^(1/12)-1),$F$13,-$I$86),0)</f>
        <v>0</v>
      </c>
      <c r="CO206" s="1312">
        <f t="shared" si="108"/>
        <v>0</v>
      </c>
      <c r="CP206" s="1312">
        <f>CQ205*((1+'Instrumentos Financeiros'!$Q$43)^(1/12)-1)</f>
        <v>0</v>
      </c>
      <c r="CQ206" s="1312">
        <f t="shared" si="109"/>
        <v>0</v>
      </c>
      <c r="CR206" s="1312">
        <f t="shared" si="78"/>
        <v>399789.55023115332</v>
      </c>
      <c r="CS206" s="1312">
        <f t="shared" si="78"/>
        <v>209936.53318387477</v>
      </c>
      <c r="CT206" s="1312">
        <f t="shared" si="78"/>
        <v>189853.01704727847</v>
      </c>
      <c r="CU206" s="1312">
        <f t="shared" si="78"/>
        <v>44226504.102951027</v>
      </c>
    </row>
    <row r="207" spans="3:99" x14ac:dyDescent="0.35">
      <c r="C207" s="1315">
        <f t="shared" si="79"/>
        <v>114</v>
      </c>
      <c r="D207" s="1312">
        <f>IF(AND(C207&gt;$F$59,'Instrumentos Financeiros'!C207&lt;'Instrumentos Financeiros'!$F$59+'Instrumentos Financeiros'!$F$11+1),PMT(((1+'Instrumentos Financeiros'!$G$43)^(1/12)-1),$F$11,-$I$59),0)</f>
        <v>91768.589635900134</v>
      </c>
      <c r="E207" s="1312">
        <f t="shared" si="76"/>
        <v>53383.171676265454</v>
      </c>
      <c r="F207" s="1312">
        <f>G206*((1+'Instrumentos Financeiros'!$G$43)^(1/12)-1)</f>
        <v>38385.41795963468</v>
      </c>
      <c r="G207" s="1312">
        <f t="shared" si="110"/>
        <v>9350657.3430025559</v>
      </c>
      <c r="H207" s="1312">
        <f>IF(AND(C207&gt;$F$60,'Instrumentos Financeiros'!C207&lt;'Instrumentos Financeiros'!$F$60+'Instrumentos Financeiros'!$F$11+1),PMT(((1+'Instrumentos Financeiros'!$G$43)^(1/12)-1),$F$11,-$I$60),0)</f>
        <v>0</v>
      </c>
      <c r="I207" s="1312">
        <f t="shared" si="111"/>
        <v>0</v>
      </c>
      <c r="J207" s="1312">
        <f>K206*((1+'Instrumentos Financeiros'!$G$43)^(1/12)-1)</f>
        <v>0</v>
      </c>
      <c r="K207" s="1312">
        <f t="shared" si="80"/>
        <v>0</v>
      </c>
      <c r="L207" s="1312">
        <f>IF(AND(C207&gt;$F$61,'Instrumentos Financeiros'!C207&lt;'Instrumentos Financeiros'!$F$61+'Instrumentos Financeiros'!$F$11+1),PMT(((1+'Instrumentos Financeiros'!$G$43)^(1/12)-1),$F$11,-$I$61),0)</f>
        <v>0</v>
      </c>
      <c r="M207" s="1312">
        <f t="shared" si="112"/>
        <v>0</v>
      </c>
      <c r="N207" s="1312">
        <f>O206*((1+'Instrumentos Financeiros'!$G$43)^(1/12)-1)</f>
        <v>0</v>
      </c>
      <c r="O207" s="1312">
        <f t="shared" si="81"/>
        <v>0</v>
      </c>
      <c r="P207" s="1312">
        <f>IF(AND(C207&gt;$F$62,'Instrumentos Financeiros'!C207&lt;'Instrumentos Financeiros'!$F$62+'Instrumentos Financeiros'!$F$11+1),PMT(((1+'Instrumentos Financeiros'!$H$43)^(1/12)-1),$F$11,-$I$62),0)</f>
        <v>0</v>
      </c>
      <c r="Q207" s="1312">
        <f t="shared" si="113"/>
        <v>0</v>
      </c>
      <c r="R207" s="1312">
        <f>S206*((1+'Instrumentos Financeiros'!$H$43)^(1/12)-1)</f>
        <v>0</v>
      </c>
      <c r="S207" s="1312">
        <f t="shared" si="82"/>
        <v>0</v>
      </c>
      <c r="T207" s="1312">
        <f>IF(AND(C207&gt;$F$63,'Instrumentos Financeiros'!C207&lt;'Instrumentos Financeiros'!$F$63+'Instrumentos Financeiros'!$F$11+1),PMT(((1+'Instrumentos Financeiros'!$H$43)^(1/12)-1),$F$11,-$I$63),0)</f>
        <v>0</v>
      </c>
      <c r="U207" s="1312">
        <f t="shared" si="114"/>
        <v>0</v>
      </c>
      <c r="V207" s="1312">
        <f>W206*((1+'Instrumentos Financeiros'!$H$43)^(1/12)-1)</f>
        <v>0</v>
      </c>
      <c r="W207" s="1312">
        <f t="shared" si="83"/>
        <v>0</v>
      </c>
      <c r="X207" s="1312">
        <f>IF(AND(C207&gt;$F$64,'Instrumentos Financeiros'!C207&lt;'Instrumentos Financeiros'!$F$64+'Instrumentos Financeiros'!$F$11+1),PMT(((1+'Instrumentos Financeiros'!$H$43)^(1/12)-1),$F$11,-$I$64),0)</f>
        <v>0</v>
      </c>
      <c r="Y207" s="1312">
        <f t="shared" si="115"/>
        <v>0</v>
      </c>
      <c r="Z207" s="1312">
        <f>AA206*((1+'Instrumentos Financeiros'!$H$43)^(1/12)-1)</f>
        <v>0</v>
      </c>
      <c r="AA207" s="1312">
        <f t="shared" si="84"/>
        <v>0</v>
      </c>
      <c r="AB207" s="1312">
        <f>IF(AND(C207&gt;$F$65,'Instrumentos Financeiros'!C207&lt;'Instrumentos Financeiros'!$F$65+'Instrumentos Financeiros'!$F$11+1),PMT(((1+'Instrumentos Financeiros'!$H$43)^(1/12)-1),$F$11,-$I$65),0)</f>
        <v>76636.661022032335</v>
      </c>
      <c r="AC207" s="1312">
        <f t="shared" si="116"/>
        <v>39947.157070894253</v>
      </c>
      <c r="AD207" s="1312">
        <f>AE206*((1+'Instrumentos Financeiros'!$H$43)^(1/12)-1)</f>
        <v>36689.503951138082</v>
      </c>
      <c r="AE207" s="1312">
        <f t="shared" si="85"/>
        <v>8445115.8199217841</v>
      </c>
      <c r="AF207" s="1312">
        <f>IF(AND(C207&gt;$F$66,'Instrumentos Financeiros'!C207&lt;'Instrumentos Financeiros'!$F$66+'Instrumentos Financeiros'!$F$11+1),PMT(((1+'Instrumentos Financeiros'!$I$43)^(1/12)-1),$F$11,-$I$66),0)</f>
        <v>76636.661022032335</v>
      </c>
      <c r="AG207" s="1312">
        <f t="shared" si="117"/>
        <v>39433.410536091629</v>
      </c>
      <c r="AH207" s="1312">
        <f>AI206*((1+'Instrumentos Financeiros'!$I$43)^(1/12)-1)</f>
        <v>37203.250485940705</v>
      </c>
      <c r="AI207" s="1312">
        <f t="shared" si="86"/>
        <v>8564442.0668331906</v>
      </c>
      <c r="AJ207" s="1312">
        <f>IF(AND(C207&gt;$F$67,'Instrumentos Financeiros'!C207&lt;'Instrumentos Financeiros'!$F$67+'Instrumentos Financeiros'!$F$11+1),PMT(((1+'Instrumentos Financeiros'!$I$43)^(1/12)-1),$F$11,-$I$67),0)</f>
        <v>76636.661022032335</v>
      </c>
      <c r="AK207" s="1312">
        <f t="shared" si="118"/>
        <v>38926.271117323646</v>
      </c>
      <c r="AL207" s="1312">
        <f>AM206*((1+'Instrumentos Financeiros'!$I$43)^(1/12)-1)</f>
        <v>37710.389904708689</v>
      </c>
      <c r="AM207" s="1312">
        <f t="shared" si="87"/>
        <v>8682233.7002612669</v>
      </c>
      <c r="AN207" s="1312">
        <f>IF(AND(C207&gt;$F$68,'Instrumentos Financeiros'!C207&lt;'Instrumentos Financeiros'!$F$68+'Instrumentos Financeiros'!$F$11+1),PMT(((1+'Instrumentos Financeiros'!$I$43)^(1/12)-1),$F$11,-$I$68),0)</f>
        <v>76636.661022032335</v>
      </c>
      <c r="AO207" s="1312">
        <f t="shared" si="119"/>
        <v>38425.653842762127</v>
      </c>
      <c r="AP207" s="1312">
        <f>AQ206*((1+'Instrumentos Financeiros'!$I$43)^(1/12)-1)</f>
        <v>38211.007179270207</v>
      </c>
      <c r="AQ207" s="1312">
        <f t="shared" si="88"/>
        <v>8798510.4563378692</v>
      </c>
      <c r="AR207" s="1312">
        <f>IF(AND(C207&gt;$F$69,'Instrumentos Financeiros'!C207&lt;'Instrumentos Financeiros'!$F$69+'Instrumentos Financeiros'!$F$11+1),PMT(((1+'Instrumentos Financeiros'!$I$43)^(1/12)-1),$F$11,-$I$69),0)</f>
        <v>0</v>
      </c>
      <c r="AS207" s="1312">
        <f t="shared" si="120"/>
        <v>0</v>
      </c>
      <c r="AT207" s="1312">
        <f>AU206*((1+'Instrumentos Financeiros'!$I$43)^(1/12)-1)</f>
        <v>0</v>
      </c>
      <c r="AU207" s="1312">
        <f t="shared" si="89"/>
        <v>0</v>
      </c>
      <c r="AV207" s="1312">
        <f>IF(AND(C207&gt;$F$70,'Instrumentos Financeiros'!C207&lt;'Instrumentos Financeiros'!$F$70+'Instrumentos Financeiros'!$F$11+1),PMT(((1+'Instrumentos Financeiros'!$J$43)^(1/12)-1),$F$11,-$I$70),0)</f>
        <v>0</v>
      </c>
      <c r="AW207" s="1312">
        <f t="shared" si="121"/>
        <v>0</v>
      </c>
      <c r="AX207" s="1312">
        <f>AY206*((1+'Instrumentos Financeiros'!$J$43)^(1/12)-1)</f>
        <v>0</v>
      </c>
      <c r="AY207" s="1312">
        <f t="shared" si="90"/>
        <v>0</v>
      </c>
      <c r="AZ207" s="1312">
        <f>IF(AND(C207&gt;$F$71,'Instrumentos Financeiros'!C207&lt;'Instrumentos Financeiros'!$F$71+'Instrumentos Financeiros'!$F$11+1),PMT(((1+'Instrumentos Financeiros'!$J$43)^(1/12)-1),$F$11,-$I$71),0)</f>
        <v>0</v>
      </c>
      <c r="BA207" s="1312">
        <f t="shared" si="122"/>
        <v>0</v>
      </c>
      <c r="BB207" s="1312">
        <f>BC206*((1+'Instrumentos Financeiros'!$J$43)^(1/12)-1)</f>
        <v>0</v>
      </c>
      <c r="BC207" s="1312">
        <f t="shared" si="91"/>
        <v>0</v>
      </c>
      <c r="BD207" s="1312">
        <f>IF(AND(C207&gt;$F$72,'Instrumentos Financeiros'!C207&lt;'Instrumentos Financeiros'!$F$72+'Instrumentos Financeiros'!$F$11+1),PMT(((1+'Instrumentos Financeiros'!$J$43)^(1/12)-1),$F$11,-'Instrumentos Financeiros'!$G$7*$G$72),0)</f>
        <v>0</v>
      </c>
      <c r="BE207" s="1312">
        <f t="shared" si="123"/>
        <v>0</v>
      </c>
      <c r="BF207" s="1312">
        <f>BG206*((1+'Instrumentos Financeiros'!$J$43)^(1/12)-1)</f>
        <v>0</v>
      </c>
      <c r="BG207" s="1312">
        <f t="shared" si="92"/>
        <v>0</v>
      </c>
      <c r="BH207" s="1312">
        <f>IF(AND(C207&gt;$F$73,'Instrumentos Financeiros'!C207&lt;'Instrumentos Financeiros'!$F$73+'Instrumentos Financeiros'!$F$11+1),PMT(((1+'Instrumentos Financeiros'!$J$43)^(1/12)-1),$F$11,-$I$73),0)</f>
        <v>0</v>
      </c>
      <c r="BI207" s="1312">
        <f t="shared" si="124"/>
        <v>0</v>
      </c>
      <c r="BJ207" s="1312">
        <f>BK206*((1+'Instrumentos Financeiros'!$J$43)^(1/12)-1)</f>
        <v>0</v>
      </c>
      <c r="BK207" s="1312">
        <f t="shared" si="93"/>
        <v>0</v>
      </c>
      <c r="BL207" s="1312">
        <f>IF(AND(C207&gt;$F$77,'Instrumentos Financeiros'!C207&lt;'Instrumentos Financeiros'!$F$77+'Instrumentos Financeiros'!$F$12+1),PMT(((1+'Instrumentos Financeiros'!$K$43)^(1/12)-1),$F$12,-$I$77),0)</f>
        <v>368.57912678094596</v>
      </c>
      <c r="BM207" s="1312">
        <f t="shared" si="94"/>
        <v>182.42900571540238</v>
      </c>
      <c r="BN207" s="1312">
        <f>BO206*((1+'Instrumentos Financeiros'!$K$43)^(1/12)-1)</f>
        <v>186.15012106554357</v>
      </c>
      <c r="BO207" s="1312">
        <f t="shared" si="95"/>
        <v>42867.907747800549</v>
      </c>
      <c r="BP207" s="1312">
        <f>IF(AND(C207&gt;$F$78,'Instrumentos Financeiros'!C207&lt;'Instrumentos Financeiros'!$F$78+'Instrumentos Financeiros'!$F$12+1),PMT(((1+'Instrumentos Financeiros'!$L$43)^(1/12)-1),$F$12,-$I$78),0)</f>
        <v>368.57912678094596</v>
      </c>
      <c r="BQ207" s="1312">
        <f t="shared" si="96"/>
        <v>180.08284953293747</v>
      </c>
      <c r="BR207" s="1312">
        <f>BS206*((1+'Instrumentos Financeiros'!$L$43)^(1/12)-1)</f>
        <v>188.49627724800848</v>
      </c>
      <c r="BS207" s="1312">
        <f t="shared" si="97"/>
        <v>43412.841860162174</v>
      </c>
      <c r="BT207" s="1312">
        <f>IF(AND(C207&gt;$F$79,'Instrumentos Financeiros'!C207&lt;'Instrumentos Financeiros'!$F$79+'Instrumentos Financeiros'!$F$12+1),PMT(((1+'Instrumentos Financeiros'!$L$43)^(1/12)-1),$F$12,-$I$79),0)</f>
        <v>368.57912678094596</v>
      </c>
      <c r="BU207" s="1312">
        <f t="shared" si="98"/>
        <v>177.76686645156977</v>
      </c>
      <c r="BV207" s="1312">
        <f>BW206*((1+'Instrumentos Financeiros'!$L$43)^(1/12)-1)</f>
        <v>190.81226032937619</v>
      </c>
      <c r="BW207" s="1312">
        <f t="shared" si="99"/>
        <v>43950.767763868949</v>
      </c>
      <c r="BX207" s="1312">
        <f>IF(AND(C207&gt;$F$80,'Instrumentos Financeiros'!C207&lt;'Instrumentos Financeiros'!$F$80+'Instrumentos Financeiros'!$F$12+1),PMT(((1+'Instrumentos Financeiros'!$L$43)^(1/12)-1),$F$12,-$I$80),0)</f>
        <v>368.57912678094596</v>
      </c>
      <c r="BY207" s="1312">
        <f t="shared" si="100"/>
        <v>175.48066842550907</v>
      </c>
      <c r="BZ207" s="1312">
        <f>CA206*((1+'Instrumentos Financeiros'!$L$43)^(1/12)-1)</f>
        <v>193.09845835543689</v>
      </c>
      <c r="CA207" s="1312">
        <f t="shared" si="101"/>
        <v>44481.775589062163</v>
      </c>
      <c r="CB207" s="1312">
        <f>IF(AND(C207&gt;$F$83,'Instrumentos Financeiros'!C207&lt;'Instrumentos Financeiros'!$F$83+'Instrumentos Financeiros'!$F$13+1),PMT(((1+'Instrumentos Financeiros'!$P$43)^(1/12)-1),$F$13,-$I$83),0)</f>
        <v>0</v>
      </c>
      <c r="CC207" s="1312">
        <f t="shared" si="102"/>
        <v>0</v>
      </c>
      <c r="CD207" s="1312">
        <f>CE206*((1+'Instrumentos Financeiros'!$P$43)^(1/12)-1)</f>
        <v>0</v>
      </c>
      <c r="CE207" s="1312">
        <f t="shared" si="103"/>
        <v>0</v>
      </c>
      <c r="CF207" s="1312">
        <f>IF(AND(C207&gt;$F$84,'Instrumentos Financeiros'!C207&lt;'Instrumentos Financeiros'!$F$84+'Instrumentos Financeiros'!$F$13+1),PMT(((1+'Instrumentos Financeiros'!$Q$43)^(1/12)-1),$F$13,-$I$84),0)</f>
        <v>0</v>
      </c>
      <c r="CG207" s="1312">
        <f t="shared" si="104"/>
        <v>0</v>
      </c>
      <c r="CH207" s="1312">
        <f>CI206*((1+'Instrumentos Financeiros'!$Q$43)^(1/12)-1)</f>
        <v>0</v>
      </c>
      <c r="CI207" s="1312">
        <f t="shared" si="105"/>
        <v>0</v>
      </c>
      <c r="CJ207" s="1312">
        <f>IF(AND(C207&gt;$F$85,'Instrumentos Financeiros'!C207&lt;'Instrumentos Financeiros'!$F$85+'Instrumentos Financeiros'!$F$13+1),PMT(((1+'Instrumentos Financeiros'!$Q$43)^(1/12)-1),$F$13,-$I$85),0)</f>
        <v>0</v>
      </c>
      <c r="CK207" s="1312">
        <f t="shared" si="106"/>
        <v>0</v>
      </c>
      <c r="CL207" s="1312">
        <f>CM206*((1+'Instrumentos Financeiros'!$Q$43)^(1/12)-1)</f>
        <v>0</v>
      </c>
      <c r="CM207" s="1312">
        <f t="shared" si="107"/>
        <v>0</v>
      </c>
      <c r="CN207" s="1312">
        <f>IF(AND(C207&gt;$F$86,'Instrumentos Financeiros'!C207&lt;'Instrumentos Financeiros'!$F$86+'Instrumentos Financeiros'!$F$13+1),PMT(((1+'Instrumentos Financeiros'!$Q$43)^(1/12)-1),$F$13,-$I$86),0)</f>
        <v>0</v>
      </c>
      <c r="CO207" s="1312">
        <f t="shared" si="108"/>
        <v>0</v>
      </c>
      <c r="CP207" s="1312">
        <f>CQ206*((1+'Instrumentos Financeiros'!$Q$43)^(1/12)-1)</f>
        <v>0</v>
      </c>
      <c r="CQ207" s="1312">
        <f t="shared" si="109"/>
        <v>0</v>
      </c>
      <c r="CR207" s="1312">
        <f t="shared" si="78"/>
        <v>399789.55023115332</v>
      </c>
      <c r="CS207" s="1312">
        <f t="shared" si="78"/>
        <v>210831.42363346255</v>
      </c>
      <c r="CT207" s="1312">
        <f t="shared" si="78"/>
        <v>188958.12659769077</v>
      </c>
      <c r="CU207" s="1312">
        <f t="shared" si="78"/>
        <v>44015672.679317556</v>
      </c>
    </row>
    <row r="208" spans="3:99" x14ac:dyDescent="0.35">
      <c r="C208" s="1315">
        <f t="shared" si="79"/>
        <v>115</v>
      </c>
      <c r="D208" s="1312">
        <f>IF(AND(C208&gt;$F$59,'Instrumentos Financeiros'!C208&lt;'Instrumentos Financeiros'!$F$59+'Instrumentos Financeiros'!$F$11+1),PMT(((1+'Instrumentos Financeiros'!$G$43)^(1/12)-1),$F$11,-$I$59),0)</f>
        <v>91768.589635900134</v>
      </c>
      <c r="E208" s="1312">
        <f t="shared" si="76"/>
        <v>53601.071136992563</v>
      </c>
      <c r="F208" s="1312">
        <f>G207*((1+'Instrumentos Financeiros'!$G$43)^(1/12)-1)</f>
        <v>38167.518498907571</v>
      </c>
      <c r="G208" s="1312">
        <f t="shared" si="110"/>
        <v>9297056.2718655635</v>
      </c>
      <c r="H208" s="1312">
        <f>IF(AND(C208&gt;$F$60,'Instrumentos Financeiros'!C208&lt;'Instrumentos Financeiros'!$F$60+'Instrumentos Financeiros'!$F$11+1),PMT(((1+'Instrumentos Financeiros'!$G$43)^(1/12)-1),$F$11,-$I$60),0)</f>
        <v>0</v>
      </c>
      <c r="I208" s="1312">
        <f t="shared" si="111"/>
        <v>0</v>
      </c>
      <c r="J208" s="1312">
        <f>K207*((1+'Instrumentos Financeiros'!$G$43)^(1/12)-1)</f>
        <v>0</v>
      </c>
      <c r="K208" s="1312">
        <f t="shared" si="80"/>
        <v>0</v>
      </c>
      <c r="L208" s="1312">
        <f>IF(AND(C208&gt;$F$61,'Instrumentos Financeiros'!C208&lt;'Instrumentos Financeiros'!$F$61+'Instrumentos Financeiros'!$F$11+1),PMT(((1+'Instrumentos Financeiros'!$G$43)^(1/12)-1),$F$11,-$I$61),0)</f>
        <v>0</v>
      </c>
      <c r="M208" s="1312">
        <f t="shared" si="112"/>
        <v>0</v>
      </c>
      <c r="N208" s="1312">
        <f>O207*((1+'Instrumentos Financeiros'!$G$43)^(1/12)-1)</f>
        <v>0</v>
      </c>
      <c r="O208" s="1312">
        <f t="shared" si="81"/>
        <v>0</v>
      </c>
      <c r="P208" s="1312">
        <f>IF(AND(C208&gt;$F$62,'Instrumentos Financeiros'!C208&lt;'Instrumentos Financeiros'!$F$62+'Instrumentos Financeiros'!$F$11+1),PMT(((1+'Instrumentos Financeiros'!$H$43)^(1/12)-1),$F$11,-$I$62),0)</f>
        <v>0</v>
      </c>
      <c r="Q208" s="1312">
        <f t="shared" si="113"/>
        <v>0</v>
      </c>
      <c r="R208" s="1312">
        <f>S207*((1+'Instrumentos Financeiros'!$H$43)^(1/12)-1)</f>
        <v>0</v>
      </c>
      <c r="S208" s="1312">
        <f t="shared" si="82"/>
        <v>0</v>
      </c>
      <c r="T208" s="1312">
        <f>IF(AND(C208&gt;$F$63,'Instrumentos Financeiros'!C208&lt;'Instrumentos Financeiros'!$F$63+'Instrumentos Financeiros'!$F$11+1),PMT(((1+'Instrumentos Financeiros'!$H$43)^(1/12)-1),$F$11,-$I$63),0)</f>
        <v>0</v>
      </c>
      <c r="U208" s="1312">
        <f t="shared" si="114"/>
        <v>0</v>
      </c>
      <c r="V208" s="1312">
        <f>W207*((1+'Instrumentos Financeiros'!$H$43)^(1/12)-1)</f>
        <v>0</v>
      </c>
      <c r="W208" s="1312">
        <f t="shared" si="83"/>
        <v>0</v>
      </c>
      <c r="X208" s="1312">
        <f>IF(AND(C208&gt;$F$64,'Instrumentos Financeiros'!C208&lt;'Instrumentos Financeiros'!$F$64+'Instrumentos Financeiros'!$F$11+1),PMT(((1+'Instrumentos Financeiros'!$H$43)^(1/12)-1),$F$11,-$I$64),0)</f>
        <v>0</v>
      </c>
      <c r="Y208" s="1312">
        <f t="shared" si="115"/>
        <v>0</v>
      </c>
      <c r="Z208" s="1312">
        <f>AA207*((1+'Instrumentos Financeiros'!$H$43)^(1/12)-1)</f>
        <v>0</v>
      </c>
      <c r="AA208" s="1312">
        <f t="shared" si="84"/>
        <v>0</v>
      </c>
      <c r="AB208" s="1312">
        <f>IF(AND(C208&gt;$F$65,'Instrumentos Financeiros'!C208&lt;'Instrumentos Financeiros'!$F$65+'Instrumentos Financeiros'!$F$11+1),PMT(((1+'Instrumentos Financeiros'!$H$43)^(1/12)-1),$F$11,-$I$65),0)</f>
        <v>76636.661022032335</v>
      </c>
      <c r="AC208" s="1312">
        <f t="shared" si="116"/>
        <v>40119.88900949782</v>
      </c>
      <c r="AD208" s="1312">
        <f>AE207*((1+'Instrumentos Financeiros'!$H$43)^(1/12)-1)</f>
        <v>36516.772012534515</v>
      </c>
      <c r="AE208" s="1312">
        <f t="shared" si="85"/>
        <v>8404995.930912286</v>
      </c>
      <c r="AF208" s="1312">
        <f>IF(AND(C208&gt;$F$66,'Instrumentos Financeiros'!C208&lt;'Instrumentos Financeiros'!$F$66+'Instrumentos Financeiros'!$F$11+1),PMT(((1+'Instrumentos Financeiros'!$I$43)^(1/12)-1),$F$11,-$I$66),0)</f>
        <v>76636.661022032335</v>
      </c>
      <c r="AG208" s="1312">
        <f t="shared" si="117"/>
        <v>39603.921029130252</v>
      </c>
      <c r="AH208" s="1312">
        <f>AI207*((1+'Instrumentos Financeiros'!$I$43)^(1/12)-1)</f>
        <v>37032.739992902083</v>
      </c>
      <c r="AI208" s="1312">
        <f t="shared" si="86"/>
        <v>8524838.1458040606</v>
      </c>
      <c r="AJ208" s="1312">
        <f>IF(AND(C208&gt;$F$67,'Instrumentos Financeiros'!C208&lt;'Instrumentos Financeiros'!$F$67+'Instrumentos Financeiros'!$F$11+1),PMT(((1+'Instrumentos Financeiros'!$I$43)^(1/12)-1),$F$11,-$I$67),0)</f>
        <v>76636.661022032335</v>
      </c>
      <c r="AK208" s="1312">
        <f t="shared" si="118"/>
        <v>39094.588734038414</v>
      </c>
      <c r="AL208" s="1312">
        <f>AM207*((1+'Instrumentos Financeiros'!$I$43)^(1/12)-1)</f>
        <v>37542.07228799392</v>
      </c>
      <c r="AM208" s="1312">
        <f t="shared" si="87"/>
        <v>8643139.1115272287</v>
      </c>
      <c r="AN208" s="1312">
        <f>IF(AND(C208&gt;$F$68,'Instrumentos Financeiros'!C208&lt;'Instrumentos Financeiros'!$F$68+'Instrumentos Financeiros'!$F$11+1),PMT(((1+'Instrumentos Financeiros'!$I$43)^(1/12)-1),$F$11,-$I$68),0)</f>
        <v>76636.661022032335</v>
      </c>
      <c r="AO208" s="1312">
        <f t="shared" si="119"/>
        <v>38591.806784975022</v>
      </c>
      <c r="AP208" s="1312">
        <f>AQ207*((1+'Instrumentos Financeiros'!$I$43)^(1/12)-1)</f>
        <v>38044.854237057312</v>
      </c>
      <c r="AQ208" s="1312">
        <f t="shared" si="88"/>
        <v>8759918.6495528948</v>
      </c>
      <c r="AR208" s="1312">
        <f>IF(AND(C208&gt;$F$69,'Instrumentos Financeiros'!C208&lt;'Instrumentos Financeiros'!$F$69+'Instrumentos Financeiros'!$F$11+1),PMT(((1+'Instrumentos Financeiros'!$I$43)^(1/12)-1),$F$11,-$I$69),0)</f>
        <v>0</v>
      </c>
      <c r="AS208" s="1312">
        <f t="shared" si="120"/>
        <v>0</v>
      </c>
      <c r="AT208" s="1312">
        <f>AU207*((1+'Instrumentos Financeiros'!$I$43)^(1/12)-1)</f>
        <v>0</v>
      </c>
      <c r="AU208" s="1312">
        <f t="shared" si="89"/>
        <v>0</v>
      </c>
      <c r="AV208" s="1312">
        <f>IF(AND(C208&gt;$F$70,'Instrumentos Financeiros'!C208&lt;'Instrumentos Financeiros'!$F$70+'Instrumentos Financeiros'!$F$11+1),PMT(((1+'Instrumentos Financeiros'!$J$43)^(1/12)-1),$F$11,-$I$70),0)</f>
        <v>0</v>
      </c>
      <c r="AW208" s="1312">
        <f t="shared" si="121"/>
        <v>0</v>
      </c>
      <c r="AX208" s="1312">
        <f>AY207*((1+'Instrumentos Financeiros'!$J$43)^(1/12)-1)</f>
        <v>0</v>
      </c>
      <c r="AY208" s="1312">
        <f t="shared" si="90"/>
        <v>0</v>
      </c>
      <c r="AZ208" s="1312">
        <f>IF(AND(C208&gt;$F$71,'Instrumentos Financeiros'!C208&lt;'Instrumentos Financeiros'!$F$71+'Instrumentos Financeiros'!$F$11+1),PMT(((1+'Instrumentos Financeiros'!$J$43)^(1/12)-1),$F$11,-$I$71),0)</f>
        <v>0</v>
      </c>
      <c r="BA208" s="1312">
        <f t="shared" si="122"/>
        <v>0</v>
      </c>
      <c r="BB208" s="1312">
        <f>BC207*((1+'Instrumentos Financeiros'!$J$43)^(1/12)-1)</f>
        <v>0</v>
      </c>
      <c r="BC208" s="1312">
        <f t="shared" si="91"/>
        <v>0</v>
      </c>
      <c r="BD208" s="1312">
        <f>IF(AND(C208&gt;$F$72,'Instrumentos Financeiros'!C208&lt;'Instrumentos Financeiros'!$F$72+'Instrumentos Financeiros'!$F$11+1),PMT(((1+'Instrumentos Financeiros'!$J$43)^(1/12)-1),$F$11,-'Instrumentos Financeiros'!$G$7*$G$72),0)</f>
        <v>0</v>
      </c>
      <c r="BE208" s="1312">
        <f t="shared" si="123"/>
        <v>0</v>
      </c>
      <c r="BF208" s="1312">
        <f>BG207*((1+'Instrumentos Financeiros'!$J$43)^(1/12)-1)</f>
        <v>0</v>
      </c>
      <c r="BG208" s="1312">
        <f t="shared" si="92"/>
        <v>0</v>
      </c>
      <c r="BH208" s="1312">
        <f>IF(AND(C208&gt;$F$73,'Instrumentos Financeiros'!C208&lt;'Instrumentos Financeiros'!$F$73+'Instrumentos Financeiros'!$F$11+1),PMT(((1+'Instrumentos Financeiros'!$J$43)^(1/12)-1),$F$11,-$I$73),0)</f>
        <v>0</v>
      </c>
      <c r="BI208" s="1312">
        <f t="shared" si="124"/>
        <v>0</v>
      </c>
      <c r="BJ208" s="1312">
        <f>BK207*((1+'Instrumentos Financeiros'!$J$43)^(1/12)-1)</f>
        <v>0</v>
      </c>
      <c r="BK208" s="1312">
        <f t="shared" si="93"/>
        <v>0</v>
      </c>
      <c r="BL208" s="1312">
        <f>IF(AND(C208&gt;$F$77,'Instrumentos Financeiros'!C208&lt;'Instrumentos Financeiros'!$F$77+'Instrumentos Financeiros'!$F$12+1),PMT(((1+'Instrumentos Financeiros'!$K$43)^(1/12)-1),$F$12,-$I$77),0)</f>
        <v>368.57912678094596</v>
      </c>
      <c r="BM208" s="1312">
        <f t="shared" si="94"/>
        <v>183.2178307063478</v>
      </c>
      <c r="BN208" s="1312">
        <f>BO207*((1+'Instrumentos Financeiros'!$K$43)^(1/12)-1)</f>
        <v>185.36129607459816</v>
      </c>
      <c r="BO208" s="1312">
        <f t="shared" si="95"/>
        <v>42684.689917094198</v>
      </c>
      <c r="BP208" s="1312">
        <f>IF(AND(C208&gt;$F$78,'Instrumentos Financeiros'!C208&lt;'Instrumentos Financeiros'!$F$78+'Instrumentos Financeiros'!$F$12+1),PMT(((1+'Instrumentos Financeiros'!$L$43)^(1/12)-1),$F$12,-$I$78),0)</f>
        <v>368.57912678094596</v>
      </c>
      <c r="BQ208" s="1312">
        <f t="shared" si="96"/>
        <v>180.86152971921146</v>
      </c>
      <c r="BR208" s="1312">
        <f>BS207*((1+'Instrumentos Financeiros'!$L$43)^(1/12)-1)</f>
        <v>187.71759706173449</v>
      </c>
      <c r="BS208" s="1312">
        <f t="shared" si="97"/>
        <v>43231.980330442966</v>
      </c>
      <c r="BT208" s="1312">
        <f>IF(AND(C208&gt;$F$79,'Instrumentos Financeiros'!C208&lt;'Instrumentos Financeiros'!$F$79+'Instrumentos Financeiros'!$F$12+1),PMT(((1+'Instrumentos Financeiros'!$L$43)^(1/12)-1),$F$12,-$I$79),0)</f>
        <v>368.57912678094596</v>
      </c>
      <c r="BU208" s="1312">
        <f t="shared" si="98"/>
        <v>178.5355323019873</v>
      </c>
      <c r="BV208" s="1312">
        <f>BW207*((1+'Instrumentos Financeiros'!$L$43)^(1/12)-1)</f>
        <v>190.04359447895865</v>
      </c>
      <c r="BW208" s="1312">
        <f t="shared" si="99"/>
        <v>43772.232231566959</v>
      </c>
      <c r="BX208" s="1312">
        <f>IF(AND(C208&gt;$F$80,'Instrumentos Financeiros'!C208&lt;'Instrumentos Financeiros'!$F$80+'Instrumentos Financeiros'!$F$12+1),PMT(((1+'Instrumentos Financeiros'!$L$43)^(1/12)-1),$F$12,-$I$80),0)</f>
        <v>368.57912678094596</v>
      </c>
      <c r="BY208" s="1312">
        <f t="shared" si="100"/>
        <v>176.23944873097099</v>
      </c>
      <c r="BZ208" s="1312">
        <f>CA207*((1+'Instrumentos Financeiros'!$L$43)^(1/12)-1)</f>
        <v>192.33967804997496</v>
      </c>
      <c r="CA208" s="1312">
        <f t="shared" si="101"/>
        <v>44305.536140331191</v>
      </c>
      <c r="CB208" s="1312">
        <f>IF(AND(C208&gt;$F$83,'Instrumentos Financeiros'!C208&lt;'Instrumentos Financeiros'!$F$83+'Instrumentos Financeiros'!$F$13+1),PMT(((1+'Instrumentos Financeiros'!$P$43)^(1/12)-1),$F$13,-$I$83),0)</f>
        <v>0</v>
      </c>
      <c r="CC208" s="1312">
        <f t="shared" si="102"/>
        <v>0</v>
      </c>
      <c r="CD208" s="1312">
        <f>CE207*((1+'Instrumentos Financeiros'!$P$43)^(1/12)-1)</f>
        <v>0</v>
      </c>
      <c r="CE208" s="1312">
        <f t="shared" si="103"/>
        <v>0</v>
      </c>
      <c r="CF208" s="1312">
        <f>IF(AND(C208&gt;$F$84,'Instrumentos Financeiros'!C208&lt;'Instrumentos Financeiros'!$F$84+'Instrumentos Financeiros'!$F$13+1),PMT(((1+'Instrumentos Financeiros'!$Q$43)^(1/12)-1),$F$13,-$I$84),0)</f>
        <v>0</v>
      </c>
      <c r="CG208" s="1312">
        <f t="shared" si="104"/>
        <v>0</v>
      </c>
      <c r="CH208" s="1312">
        <f>CI207*((1+'Instrumentos Financeiros'!$Q$43)^(1/12)-1)</f>
        <v>0</v>
      </c>
      <c r="CI208" s="1312">
        <f t="shared" si="105"/>
        <v>0</v>
      </c>
      <c r="CJ208" s="1312">
        <f>IF(AND(C208&gt;$F$85,'Instrumentos Financeiros'!C208&lt;'Instrumentos Financeiros'!$F$85+'Instrumentos Financeiros'!$F$13+1),PMT(((1+'Instrumentos Financeiros'!$Q$43)^(1/12)-1),$F$13,-$I$85),0)</f>
        <v>0</v>
      </c>
      <c r="CK208" s="1312">
        <f t="shared" si="106"/>
        <v>0</v>
      </c>
      <c r="CL208" s="1312">
        <f>CM207*((1+'Instrumentos Financeiros'!$Q$43)^(1/12)-1)</f>
        <v>0</v>
      </c>
      <c r="CM208" s="1312">
        <f t="shared" si="107"/>
        <v>0</v>
      </c>
      <c r="CN208" s="1312">
        <f>IF(AND(C208&gt;$F$86,'Instrumentos Financeiros'!C208&lt;'Instrumentos Financeiros'!$F$86+'Instrumentos Financeiros'!$F$13+1),PMT(((1+'Instrumentos Financeiros'!$Q$43)^(1/12)-1),$F$13,-$I$86),0)</f>
        <v>0</v>
      </c>
      <c r="CO208" s="1312">
        <f t="shared" si="108"/>
        <v>0</v>
      </c>
      <c r="CP208" s="1312">
        <f>CQ207*((1+'Instrumentos Financeiros'!$Q$43)^(1/12)-1)</f>
        <v>0</v>
      </c>
      <c r="CQ208" s="1312">
        <f t="shared" si="109"/>
        <v>0</v>
      </c>
      <c r="CR208" s="1312">
        <f t="shared" si="78"/>
        <v>399789.55023115332</v>
      </c>
      <c r="CS208" s="1312">
        <f t="shared" si="78"/>
        <v>211730.13103609259</v>
      </c>
      <c r="CT208" s="1312">
        <f t="shared" si="78"/>
        <v>188059.41919506065</v>
      </c>
      <c r="CU208" s="1312">
        <f t="shared" si="78"/>
        <v>43803942.548281468</v>
      </c>
    </row>
    <row r="209" spans="3:99" x14ac:dyDescent="0.35">
      <c r="C209" s="1315">
        <f t="shared" si="79"/>
        <v>116</v>
      </c>
      <c r="D209" s="1312">
        <f>IF(AND(C209&gt;$F$59,'Instrumentos Financeiros'!C209&lt;'Instrumentos Financeiros'!$F$59+'Instrumentos Financeiros'!$F$11+1),PMT(((1+'Instrumentos Financeiros'!$G$43)^(1/12)-1),$F$11,-$I$59),0)</f>
        <v>91768.589635900134</v>
      </c>
      <c r="E209" s="1312">
        <f t="shared" si="76"/>
        <v>53819.860019863278</v>
      </c>
      <c r="F209" s="1312">
        <f>G208*((1+'Instrumentos Financeiros'!$G$43)^(1/12)-1)</f>
        <v>37948.729616036857</v>
      </c>
      <c r="G209" s="1312">
        <f t="shared" si="110"/>
        <v>9243236.4118457008</v>
      </c>
      <c r="H209" s="1312">
        <f>IF(AND(C209&gt;$F$60,'Instrumentos Financeiros'!C209&lt;'Instrumentos Financeiros'!$F$60+'Instrumentos Financeiros'!$F$11+1),PMT(((1+'Instrumentos Financeiros'!$G$43)^(1/12)-1),$F$11,-$I$60),0)</f>
        <v>0</v>
      </c>
      <c r="I209" s="1312">
        <f t="shared" si="111"/>
        <v>0</v>
      </c>
      <c r="J209" s="1312">
        <f>K208*((1+'Instrumentos Financeiros'!$G$43)^(1/12)-1)</f>
        <v>0</v>
      </c>
      <c r="K209" s="1312">
        <f t="shared" si="80"/>
        <v>0</v>
      </c>
      <c r="L209" s="1312">
        <f>IF(AND(C209&gt;$F$61,'Instrumentos Financeiros'!C209&lt;'Instrumentos Financeiros'!$F$61+'Instrumentos Financeiros'!$F$11+1),PMT(((1+'Instrumentos Financeiros'!$G$43)^(1/12)-1),$F$11,-$I$61),0)</f>
        <v>0</v>
      </c>
      <c r="M209" s="1312">
        <f t="shared" si="112"/>
        <v>0</v>
      </c>
      <c r="N209" s="1312">
        <f>O208*((1+'Instrumentos Financeiros'!$G$43)^(1/12)-1)</f>
        <v>0</v>
      </c>
      <c r="O209" s="1312">
        <f t="shared" si="81"/>
        <v>0</v>
      </c>
      <c r="P209" s="1312">
        <f>IF(AND(C209&gt;$F$62,'Instrumentos Financeiros'!C209&lt;'Instrumentos Financeiros'!$F$62+'Instrumentos Financeiros'!$F$11+1),PMT(((1+'Instrumentos Financeiros'!$H$43)^(1/12)-1),$F$11,-$I$62),0)</f>
        <v>0</v>
      </c>
      <c r="Q209" s="1312">
        <f t="shared" si="113"/>
        <v>0</v>
      </c>
      <c r="R209" s="1312">
        <f>S208*((1+'Instrumentos Financeiros'!$H$43)^(1/12)-1)</f>
        <v>0</v>
      </c>
      <c r="S209" s="1312">
        <f t="shared" si="82"/>
        <v>0</v>
      </c>
      <c r="T209" s="1312">
        <f>IF(AND(C209&gt;$F$63,'Instrumentos Financeiros'!C209&lt;'Instrumentos Financeiros'!$F$63+'Instrumentos Financeiros'!$F$11+1),PMT(((1+'Instrumentos Financeiros'!$H$43)^(1/12)-1),$F$11,-$I$63),0)</f>
        <v>0</v>
      </c>
      <c r="U209" s="1312">
        <f t="shared" si="114"/>
        <v>0</v>
      </c>
      <c r="V209" s="1312">
        <f>W208*((1+'Instrumentos Financeiros'!$H$43)^(1/12)-1)</f>
        <v>0</v>
      </c>
      <c r="W209" s="1312">
        <f t="shared" si="83"/>
        <v>0</v>
      </c>
      <c r="X209" s="1312">
        <f>IF(AND(C209&gt;$F$64,'Instrumentos Financeiros'!C209&lt;'Instrumentos Financeiros'!$F$64+'Instrumentos Financeiros'!$F$11+1),PMT(((1+'Instrumentos Financeiros'!$H$43)^(1/12)-1),$F$11,-$I$64),0)</f>
        <v>0</v>
      </c>
      <c r="Y209" s="1312">
        <f t="shared" si="115"/>
        <v>0</v>
      </c>
      <c r="Z209" s="1312">
        <f>AA208*((1+'Instrumentos Financeiros'!$H$43)^(1/12)-1)</f>
        <v>0</v>
      </c>
      <c r="AA209" s="1312">
        <f t="shared" si="84"/>
        <v>0</v>
      </c>
      <c r="AB209" s="1312">
        <f>IF(AND(C209&gt;$F$65,'Instrumentos Financeiros'!C209&lt;'Instrumentos Financeiros'!$F$65+'Instrumentos Financeiros'!$F$11+1),PMT(((1+'Instrumentos Financeiros'!$H$43)^(1/12)-1),$F$11,-$I$65),0)</f>
        <v>76636.661022032335</v>
      </c>
      <c r="AC209" s="1312">
        <f t="shared" si="116"/>
        <v>40293.367842869411</v>
      </c>
      <c r="AD209" s="1312">
        <f>AE208*((1+'Instrumentos Financeiros'!$H$43)^(1/12)-1)</f>
        <v>36343.293179162923</v>
      </c>
      <c r="AE209" s="1312">
        <f t="shared" si="85"/>
        <v>8364702.5630694162</v>
      </c>
      <c r="AF209" s="1312">
        <f>IF(AND(C209&gt;$F$66,'Instrumentos Financeiros'!C209&lt;'Instrumentos Financeiros'!$F$66+'Instrumentos Financeiros'!$F$11+1),PMT(((1+'Instrumentos Financeiros'!$I$43)^(1/12)-1),$F$11,-$I$66),0)</f>
        <v>76636.661022032335</v>
      </c>
      <c r="AG209" s="1312">
        <f t="shared" si="117"/>
        <v>39775.168811382282</v>
      </c>
      <c r="AH209" s="1312">
        <f>AI208*((1+'Instrumentos Financeiros'!$I$43)^(1/12)-1)</f>
        <v>36861.492210650053</v>
      </c>
      <c r="AI209" s="1312">
        <f t="shared" si="86"/>
        <v>8485062.9769926779</v>
      </c>
      <c r="AJ209" s="1312">
        <f>IF(AND(C209&gt;$F$67,'Instrumentos Financeiros'!C209&lt;'Instrumentos Financeiros'!$F$67+'Instrumentos Financeiros'!$F$11+1),PMT(((1+'Instrumentos Financeiros'!$I$43)^(1/12)-1),$F$11,-$I$67),0)</f>
        <v>76636.661022032335</v>
      </c>
      <c r="AK209" s="1312">
        <f t="shared" si="118"/>
        <v>39263.634157945686</v>
      </c>
      <c r="AL209" s="1312">
        <f>AM208*((1+'Instrumentos Financeiros'!$I$43)^(1/12)-1)</f>
        <v>37373.026864086649</v>
      </c>
      <c r="AM209" s="1312">
        <f t="shared" si="87"/>
        <v>8603875.4773692824</v>
      </c>
      <c r="AN209" s="1312">
        <f>IF(AND(C209&gt;$F$68,'Instrumentos Financeiros'!C209&lt;'Instrumentos Financeiros'!$F$68+'Instrumentos Financeiros'!$F$11+1),PMT(((1+'Instrumentos Financeiros'!$I$43)^(1/12)-1),$F$11,-$I$68),0)</f>
        <v>76636.661022032335</v>
      </c>
      <c r="AO209" s="1312">
        <f t="shared" si="119"/>
        <v>38758.678174304499</v>
      </c>
      <c r="AP209" s="1312">
        <f>AQ208*((1+'Instrumentos Financeiros'!$I$43)^(1/12)-1)</f>
        <v>37877.982847727835</v>
      </c>
      <c r="AQ209" s="1312">
        <f t="shared" si="88"/>
        <v>8721159.9713785909</v>
      </c>
      <c r="AR209" s="1312">
        <f>IF(AND(C209&gt;$F$69,'Instrumentos Financeiros'!C209&lt;'Instrumentos Financeiros'!$F$69+'Instrumentos Financeiros'!$F$11+1),PMT(((1+'Instrumentos Financeiros'!$I$43)^(1/12)-1),$F$11,-$I$69),0)</f>
        <v>0</v>
      </c>
      <c r="AS209" s="1312">
        <f t="shared" si="120"/>
        <v>0</v>
      </c>
      <c r="AT209" s="1312">
        <f>AU208*((1+'Instrumentos Financeiros'!$I$43)^(1/12)-1)</f>
        <v>0</v>
      </c>
      <c r="AU209" s="1312">
        <f t="shared" si="89"/>
        <v>0</v>
      </c>
      <c r="AV209" s="1312">
        <f>IF(AND(C209&gt;$F$70,'Instrumentos Financeiros'!C209&lt;'Instrumentos Financeiros'!$F$70+'Instrumentos Financeiros'!$F$11+1),PMT(((1+'Instrumentos Financeiros'!$J$43)^(1/12)-1),$F$11,-$I$70),0)</f>
        <v>0</v>
      </c>
      <c r="AW209" s="1312">
        <f t="shared" si="121"/>
        <v>0</v>
      </c>
      <c r="AX209" s="1312">
        <f>AY208*((1+'Instrumentos Financeiros'!$J$43)^(1/12)-1)</f>
        <v>0</v>
      </c>
      <c r="AY209" s="1312">
        <f t="shared" si="90"/>
        <v>0</v>
      </c>
      <c r="AZ209" s="1312">
        <f>IF(AND(C209&gt;$F$71,'Instrumentos Financeiros'!C209&lt;'Instrumentos Financeiros'!$F$71+'Instrumentos Financeiros'!$F$11+1),PMT(((1+'Instrumentos Financeiros'!$J$43)^(1/12)-1),$F$11,-$I$71),0)</f>
        <v>0</v>
      </c>
      <c r="BA209" s="1312">
        <f t="shared" si="122"/>
        <v>0</v>
      </c>
      <c r="BB209" s="1312">
        <f>BC208*((1+'Instrumentos Financeiros'!$J$43)^(1/12)-1)</f>
        <v>0</v>
      </c>
      <c r="BC209" s="1312">
        <f t="shared" si="91"/>
        <v>0</v>
      </c>
      <c r="BD209" s="1312">
        <f>IF(AND(C209&gt;$F$72,'Instrumentos Financeiros'!C209&lt;'Instrumentos Financeiros'!$F$72+'Instrumentos Financeiros'!$F$11+1),PMT(((1+'Instrumentos Financeiros'!$J$43)^(1/12)-1),$F$11,-'Instrumentos Financeiros'!$G$7*$G$72),0)</f>
        <v>0</v>
      </c>
      <c r="BE209" s="1312">
        <f t="shared" si="123"/>
        <v>0</v>
      </c>
      <c r="BF209" s="1312">
        <f>BG208*((1+'Instrumentos Financeiros'!$J$43)^(1/12)-1)</f>
        <v>0</v>
      </c>
      <c r="BG209" s="1312">
        <f t="shared" si="92"/>
        <v>0</v>
      </c>
      <c r="BH209" s="1312">
        <f>IF(AND(C209&gt;$F$73,'Instrumentos Financeiros'!C209&lt;'Instrumentos Financeiros'!$F$73+'Instrumentos Financeiros'!$F$11+1),PMT(((1+'Instrumentos Financeiros'!$J$43)^(1/12)-1),$F$11,-$I$73),0)</f>
        <v>0</v>
      </c>
      <c r="BI209" s="1312">
        <f t="shared" si="124"/>
        <v>0</v>
      </c>
      <c r="BJ209" s="1312">
        <f>BK208*((1+'Instrumentos Financeiros'!$J$43)^(1/12)-1)</f>
        <v>0</v>
      </c>
      <c r="BK209" s="1312">
        <f t="shared" si="93"/>
        <v>0</v>
      </c>
      <c r="BL209" s="1312">
        <f>IF(AND(C209&gt;$F$77,'Instrumentos Financeiros'!C209&lt;'Instrumentos Financeiros'!$F$77+'Instrumentos Financeiros'!$F$12+1),PMT(((1+'Instrumentos Financeiros'!$K$43)^(1/12)-1),$F$12,-$I$77),0)</f>
        <v>368.57912678094596</v>
      </c>
      <c r="BM209" s="1312">
        <f t="shared" si="94"/>
        <v>184.01006658507336</v>
      </c>
      <c r="BN209" s="1312">
        <f>BO208*((1+'Instrumentos Financeiros'!$K$43)^(1/12)-1)</f>
        <v>184.56906019587259</v>
      </c>
      <c r="BO209" s="1312">
        <f t="shared" si="95"/>
        <v>42500.679850509121</v>
      </c>
      <c r="BP209" s="1312">
        <f>IF(AND(C209&gt;$F$78,'Instrumentos Financeiros'!C209&lt;'Instrumentos Financeiros'!$F$78+'Instrumentos Financeiros'!$F$12+1),PMT(((1+'Instrumentos Financeiros'!$L$43)^(1/12)-1),$F$12,-$I$78),0)</f>
        <v>368.57912678094596</v>
      </c>
      <c r="BQ209" s="1312">
        <f t="shared" si="96"/>
        <v>181.64357692702058</v>
      </c>
      <c r="BR209" s="1312">
        <f>BS208*((1+'Instrumentos Financeiros'!$L$43)^(1/12)-1)</f>
        <v>186.93554985392538</v>
      </c>
      <c r="BS209" s="1312">
        <f t="shared" si="97"/>
        <v>43050.336753515949</v>
      </c>
      <c r="BT209" s="1312">
        <f>IF(AND(C209&gt;$F$79,'Instrumentos Financeiros'!C209&lt;'Instrumentos Financeiros'!$F$79+'Instrumentos Financeiros'!$F$12+1),PMT(((1+'Instrumentos Financeiros'!$L$43)^(1/12)-1),$F$12,-$I$79),0)</f>
        <v>368.57912678094596</v>
      </c>
      <c r="BU209" s="1312">
        <f t="shared" si="98"/>
        <v>179.30752187184362</v>
      </c>
      <c r="BV209" s="1312">
        <f>BW208*((1+'Instrumentos Financeiros'!$L$43)^(1/12)-1)</f>
        <v>189.27160490910234</v>
      </c>
      <c r="BW209" s="1312">
        <f t="shared" si="99"/>
        <v>43592.924709695115</v>
      </c>
      <c r="BX209" s="1312">
        <f>IF(AND(C209&gt;$F$80,'Instrumentos Financeiros'!C209&lt;'Instrumentos Financeiros'!$F$80+'Instrumentos Financeiros'!$F$12+1),PMT(((1+'Instrumentos Financeiros'!$L$43)^(1/12)-1),$F$12,-$I$80),0)</f>
        <v>368.57912678094596</v>
      </c>
      <c r="BY209" s="1312">
        <f t="shared" si="100"/>
        <v>177.00151001066854</v>
      </c>
      <c r="BZ209" s="1312">
        <f>CA208*((1+'Instrumentos Financeiros'!$L$43)^(1/12)-1)</f>
        <v>191.57761677027742</v>
      </c>
      <c r="CA209" s="1312">
        <f t="shared" si="101"/>
        <v>44128.534630320522</v>
      </c>
      <c r="CB209" s="1312">
        <f>IF(AND(C209&gt;$F$83,'Instrumentos Financeiros'!C209&lt;'Instrumentos Financeiros'!$F$83+'Instrumentos Financeiros'!$F$13+1),PMT(((1+'Instrumentos Financeiros'!$P$43)^(1/12)-1),$F$13,-$I$83),0)</f>
        <v>0</v>
      </c>
      <c r="CC209" s="1312">
        <f t="shared" si="102"/>
        <v>0</v>
      </c>
      <c r="CD209" s="1312">
        <f>CE208*((1+'Instrumentos Financeiros'!$P$43)^(1/12)-1)</f>
        <v>0</v>
      </c>
      <c r="CE209" s="1312">
        <f t="shared" si="103"/>
        <v>0</v>
      </c>
      <c r="CF209" s="1312">
        <f>IF(AND(C209&gt;$F$84,'Instrumentos Financeiros'!C209&lt;'Instrumentos Financeiros'!$F$84+'Instrumentos Financeiros'!$F$13+1),PMT(((1+'Instrumentos Financeiros'!$Q$43)^(1/12)-1),$F$13,-$I$84),0)</f>
        <v>0</v>
      </c>
      <c r="CG209" s="1312">
        <f t="shared" si="104"/>
        <v>0</v>
      </c>
      <c r="CH209" s="1312">
        <f>CI208*((1+'Instrumentos Financeiros'!$Q$43)^(1/12)-1)</f>
        <v>0</v>
      </c>
      <c r="CI209" s="1312">
        <f t="shared" si="105"/>
        <v>0</v>
      </c>
      <c r="CJ209" s="1312">
        <f>IF(AND(C209&gt;$F$85,'Instrumentos Financeiros'!C209&lt;'Instrumentos Financeiros'!$F$85+'Instrumentos Financeiros'!$F$13+1),PMT(((1+'Instrumentos Financeiros'!$Q$43)^(1/12)-1),$F$13,-$I$85),0)</f>
        <v>0</v>
      </c>
      <c r="CK209" s="1312">
        <f t="shared" si="106"/>
        <v>0</v>
      </c>
      <c r="CL209" s="1312">
        <f>CM208*((1+'Instrumentos Financeiros'!$Q$43)^(1/12)-1)</f>
        <v>0</v>
      </c>
      <c r="CM209" s="1312">
        <f t="shared" si="107"/>
        <v>0</v>
      </c>
      <c r="CN209" s="1312">
        <f>IF(AND(C209&gt;$F$86,'Instrumentos Financeiros'!C209&lt;'Instrumentos Financeiros'!$F$86+'Instrumentos Financeiros'!$F$13+1),PMT(((1+'Instrumentos Financeiros'!$Q$43)^(1/12)-1),$F$13,-$I$86),0)</f>
        <v>0</v>
      </c>
      <c r="CO209" s="1312">
        <f t="shared" si="108"/>
        <v>0</v>
      </c>
      <c r="CP209" s="1312">
        <f>CQ208*((1+'Instrumentos Financeiros'!$Q$43)^(1/12)-1)</f>
        <v>0</v>
      </c>
      <c r="CQ209" s="1312">
        <f t="shared" si="109"/>
        <v>0</v>
      </c>
      <c r="CR209" s="1312">
        <f t="shared" si="78"/>
        <v>399789.55023115332</v>
      </c>
      <c r="CS209" s="1312">
        <f t="shared" si="78"/>
        <v>212632.67168175976</v>
      </c>
      <c r="CT209" s="1312">
        <f t="shared" si="78"/>
        <v>187156.8785493935</v>
      </c>
      <c r="CU209" s="1312">
        <f t="shared" si="78"/>
        <v>43591309.876599714</v>
      </c>
    </row>
    <row r="210" spans="3:99" x14ac:dyDescent="0.35">
      <c r="C210" s="1315">
        <f t="shared" si="79"/>
        <v>117</v>
      </c>
      <c r="D210" s="1312">
        <f>IF(AND(C210&gt;$F$59,'Instrumentos Financeiros'!C210&lt;'Instrumentos Financeiros'!$F$59+'Instrumentos Financeiros'!$F$11+1),PMT(((1+'Instrumentos Financeiros'!$G$43)^(1/12)-1),$F$11,-$I$59),0)</f>
        <v>91768.589635900134</v>
      </c>
      <c r="E210" s="1312">
        <f t="shared" si="76"/>
        <v>54039.541955321423</v>
      </c>
      <c r="F210" s="1312">
        <f>G209*((1+'Instrumentos Financeiros'!$G$43)^(1/12)-1)</f>
        <v>37729.047680578711</v>
      </c>
      <c r="G210" s="1312">
        <f t="shared" si="110"/>
        <v>9189196.8698903788</v>
      </c>
      <c r="H210" s="1312">
        <f>IF(AND(C210&gt;$F$60,'Instrumentos Financeiros'!C210&lt;'Instrumentos Financeiros'!$F$60+'Instrumentos Financeiros'!$F$11+1),PMT(((1+'Instrumentos Financeiros'!$G$43)^(1/12)-1),$F$11,-$I$60),0)</f>
        <v>0</v>
      </c>
      <c r="I210" s="1312">
        <f t="shared" si="111"/>
        <v>0</v>
      </c>
      <c r="J210" s="1312">
        <f>K209*((1+'Instrumentos Financeiros'!$G$43)^(1/12)-1)</f>
        <v>0</v>
      </c>
      <c r="K210" s="1312">
        <f t="shared" si="80"/>
        <v>0</v>
      </c>
      <c r="L210" s="1312">
        <f>IF(AND(C210&gt;$F$61,'Instrumentos Financeiros'!C210&lt;'Instrumentos Financeiros'!$F$61+'Instrumentos Financeiros'!$F$11+1),PMT(((1+'Instrumentos Financeiros'!$G$43)^(1/12)-1),$F$11,-$I$61),0)</f>
        <v>0</v>
      </c>
      <c r="M210" s="1312">
        <f t="shared" si="112"/>
        <v>0</v>
      </c>
      <c r="N210" s="1312">
        <f>O209*((1+'Instrumentos Financeiros'!$G$43)^(1/12)-1)</f>
        <v>0</v>
      </c>
      <c r="O210" s="1312">
        <f t="shared" si="81"/>
        <v>0</v>
      </c>
      <c r="P210" s="1312">
        <f>IF(AND(C210&gt;$F$62,'Instrumentos Financeiros'!C210&lt;'Instrumentos Financeiros'!$F$62+'Instrumentos Financeiros'!$F$11+1),PMT(((1+'Instrumentos Financeiros'!$H$43)^(1/12)-1),$F$11,-$I$62),0)</f>
        <v>0</v>
      </c>
      <c r="Q210" s="1312">
        <f t="shared" si="113"/>
        <v>0</v>
      </c>
      <c r="R210" s="1312">
        <f>S209*((1+'Instrumentos Financeiros'!$H$43)^(1/12)-1)</f>
        <v>0</v>
      </c>
      <c r="S210" s="1312">
        <f t="shared" si="82"/>
        <v>0</v>
      </c>
      <c r="T210" s="1312">
        <f>IF(AND(C210&gt;$F$63,'Instrumentos Financeiros'!C210&lt;'Instrumentos Financeiros'!$F$63+'Instrumentos Financeiros'!$F$11+1),PMT(((1+'Instrumentos Financeiros'!$H$43)^(1/12)-1),$F$11,-$I$63),0)</f>
        <v>0</v>
      </c>
      <c r="U210" s="1312">
        <f t="shared" si="114"/>
        <v>0</v>
      </c>
      <c r="V210" s="1312">
        <f>W209*((1+'Instrumentos Financeiros'!$H$43)^(1/12)-1)</f>
        <v>0</v>
      </c>
      <c r="W210" s="1312">
        <f t="shared" si="83"/>
        <v>0</v>
      </c>
      <c r="X210" s="1312">
        <f>IF(AND(C210&gt;$F$64,'Instrumentos Financeiros'!C210&lt;'Instrumentos Financeiros'!$F$64+'Instrumentos Financeiros'!$F$11+1),PMT(((1+'Instrumentos Financeiros'!$H$43)^(1/12)-1),$F$11,-$I$64),0)</f>
        <v>0</v>
      </c>
      <c r="Y210" s="1312">
        <f t="shared" si="115"/>
        <v>0</v>
      </c>
      <c r="Z210" s="1312">
        <f>AA209*((1+'Instrumentos Financeiros'!$H$43)^(1/12)-1)</f>
        <v>0</v>
      </c>
      <c r="AA210" s="1312">
        <f t="shared" si="84"/>
        <v>0</v>
      </c>
      <c r="AB210" s="1312">
        <f>IF(AND(C210&gt;$F$65,'Instrumentos Financeiros'!C210&lt;'Instrumentos Financeiros'!$F$65+'Instrumentos Financeiros'!$F$11+1),PMT(((1+'Instrumentos Financeiros'!$H$43)^(1/12)-1),$F$11,-$I$65),0)</f>
        <v>76636.661022032335</v>
      </c>
      <c r="AC210" s="1312">
        <f t="shared" si="116"/>
        <v>40467.596800590072</v>
      </c>
      <c r="AD210" s="1312">
        <f>AE209*((1+'Instrumentos Financeiros'!$H$43)^(1/12)-1)</f>
        <v>36169.064221442262</v>
      </c>
      <c r="AE210" s="1312">
        <f t="shared" si="85"/>
        <v>8324234.9662688263</v>
      </c>
      <c r="AF210" s="1312">
        <f>IF(AND(C210&gt;$F$66,'Instrumentos Financeiros'!C210&lt;'Instrumentos Financeiros'!$F$66+'Instrumentos Financeiros'!$F$11+1),PMT(((1+'Instrumentos Financeiros'!$I$43)^(1/12)-1),$F$11,-$I$66),0)</f>
        <v>76636.661022032335</v>
      </c>
      <c r="AG210" s="1312">
        <f t="shared" si="117"/>
        <v>39947.157070894253</v>
      </c>
      <c r="AH210" s="1312">
        <f>AI209*((1+'Instrumentos Financeiros'!$I$43)^(1/12)-1)</f>
        <v>36689.503951138082</v>
      </c>
      <c r="AI210" s="1312">
        <f t="shared" si="86"/>
        <v>8445115.8199217841</v>
      </c>
      <c r="AJ210" s="1312">
        <f>IF(AND(C210&gt;$F$67,'Instrumentos Financeiros'!C210&lt;'Instrumentos Financeiros'!$F$67+'Instrumentos Financeiros'!$F$11+1),PMT(((1+'Instrumentos Financeiros'!$I$43)^(1/12)-1),$F$11,-$I$67),0)</f>
        <v>76636.661022032335</v>
      </c>
      <c r="AK210" s="1312">
        <f t="shared" si="118"/>
        <v>39433.410536091629</v>
      </c>
      <c r="AL210" s="1312">
        <f>AM209*((1+'Instrumentos Financeiros'!$I$43)^(1/12)-1)</f>
        <v>37203.250485940705</v>
      </c>
      <c r="AM210" s="1312">
        <f t="shared" si="87"/>
        <v>8564442.0668331906</v>
      </c>
      <c r="AN210" s="1312">
        <f>IF(AND(C210&gt;$F$68,'Instrumentos Financeiros'!C210&lt;'Instrumentos Financeiros'!$F$68+'Instrumentos Financeiros'!$F$11+1),PMT(((1+'Instrumentos Financeiros'!$I$43)^(1/12)-1),$F$11,-$I$68),0)</f>
        <v>76636.661022032335</v>
      </c>
      <c r="AO210" s="1312">
        <f t="shared" si="119"/>
        <v>38926.271117323646</v>
      </c>
      <c r="AP210" s="1312">
        <f>AQ209*((1+'Instrumentos Financeiros'!$I$43)^(1/12)-1)</f>
        <v>37710.389904708689</v>
      </c>
      <c r="AQ210" s="1312">
        <f t="shared" si="88"/>
        <v>8682233.7002612669</v>
      </c>
      <c r="AR210" s="1312">
        <f>IF(AND(C210&gt;$F$69,'Instrumentos Financeiros'!C210&lt;'Instrumentos Financeiros'!$F$69+'Instrumentos Financeiros'!$F$11+1),PMT(((1+'Instrumentos Financeiros'!$I$43)^(1/12)-1),$F$11,-$I$69),0)</f>
        <v>0</v>
      </c>
      <c r="AS210" s="1312">
        <f t="shared" si="120"/>
        <v>0</v>
      </c>
      <c r="AT210" s="1312">
        <f>AU209*((1+'Instrumentos Financeiros'!$I$43)^(1/12)-1)</f>
        <v>0</v>
      </c>
      <c r="AU210" s="1312">
        <f t="shared" si="89"/>
        <v>0</v>
      </c>
      <c r="AV210" s="1312">
        <f>IF(AND(C210&gt;$F$70,'Instrumentos Financeiros'!C210&lt;'Instrumentos Financeiros'!$F$70+'Instrumentos Financeiros'!$F$11+1),PMT(((1+'Instrumentos Financeiros'!$J$43)^(1/12)-1),$F$11,-$I$70),0)</f>
        <v>0</v>
      </c>
      <c r="AW210" s="1312">
        <f t="shared" si="121"/>
        <v>0</v>
      </c>
      <c r="AX210" s="1312">
        <f>AY209*((1+'Instrumentos Financeiros'!$J$43)^(1/12)-1)</f>
        <v>0</v>
      </c>
      <c r="AY210" s="1312">
        <f t="shared" si="90"/>
        <v>0</v>
      </c>
      <c r="AZ210" s="1312">
        <f>IF(AND(C210&gt;$F$71,'Instrumentos Financeiros'!C210&lt;'Instrumentos Financeiros'!$F$71+'Instrumentos Financeiros'!$F$11+1),PMT(((1+'Instrumentos Financeiros'!$J$43)^(1/12)-1),$F$11,-$I$71),0)</f>
        <v>0</v>
      </c>
      <c r="BA210" s="1312">
        <f t="shared" si="122"/>
        <v>0</v>
      </c>
      <c r="BB210" s="1312">
        <f>BC209*((1+'Instrumentos Financeiros'!$J$43)^(1/12)-1)</f>
        <v>0</v>
      </c>
      <c r="BC210" s="1312">
        <f t="shared" si="91"/>
        <v>0</v>
      </c>
      <c r="BD210" s="1312">
        <f>IF(AND(C210&gt;$F$72,'Instrumentos Financeiros'!C210&lt;'Instrumentos Financeiros'!$F$72+'Instrumentos Financeiros'!$F$11+1),PMT(((1+'Instrumentos Financeiros'!$J$43)^(1/12)-1),$F$11,-'Instrumentos Financeiros'!$G$7*$G$72),0)</f>
        <v>0</v>
      </c>
      <c r="BE210" s="1312">
        <f t="shared" si="123"/>
        <v>0</v>
      </c>
      <c r="BF210" s="1312">
        <f>BG209*((1+'Instrumentos Financeiros'!$J$43)^(1/12)-1)</f>
        <v>0</v>
      </c>
      <c r="BG210" s="1312">
        <f t="shared" si="92"/>
        <v>0</v>
      </c>
      <c r="BH210" s="1312">
        <f>IF(AND(C210&gt;$F$73,'Instrumentos Financeiros'!C210&lt;'Instrumentos Financeiros'!$F$73+'Instrumentos Financeiros'!$F$11+1),PMT(((1+'Instrumentos Financeiros'!$J$43)^(1/12)-1),$F$11,-$I$73),0)</f>
        <v>0</v>
      </c>
      <c r="BI210" s="1312">
        <f t="shared" si="124"/>
        <v>0</v>
      </c>
      <c r="BJ210" s="1312">
        <f>BK209*((1+'Instrumentos Financeiros'!$J$43)^(1/12)-1)</f>
        <v>0</v>
      </c>
      <c r="BK210" s="1312">
        <f t="shared" si="93"/>
        <v>0</v>
      </c>
      <c r="BL210" s="1312">
        <f>IF(AND(C210&gt;$F$77,'Instrumentos Financeiros'!C210&lt;'Instrumentos Financeiros'!$F$77+'Instrumentos Financeiros'!$F$12+1),PMT(((1+'Instrumentos Financeiros'!$K$43)^(1/12)-1),$F$12,-$I$77),0)</f>
        <v>368.57912678094596</v>
      </c>
      <c r="BM210" s="1312">
        <f t="shared" si="94"/>
        <v>184.80572810029469</v>
      </c>
      <c r="BN210" s="1312">
        <f>BO209*((1+'Instrumentos Financeiros'!$K$43)^(1/12)-1)</f>
        <v>183.77339868065127</v>
      </c>
      <c r="BO210" s="1312">
        <f t="shared" si="95"/>
        <v>42315.87412240883</v>
      </c>
      <c r="BP210" s="1312">
        <f>IF(AND(C210&gt;$F$78,'Instrumentos Financeiros'!C210&lt;'Instrumentos Financeiros'!$F$78+'Instrumentos Financeiros'!$F$12+1),PMT(((1+'Instrumentos Financeiros'!$L$43)^(1/12)-1),$F$12,-$I$78),0)</f>
        <v>368.57912678094596</v>
      </c>
      <c r="BQ210" s="1312">
        <f t="shared" si="96"/>
        <v>182.42900571540238</v>
      </c>
      <c r="BR210" s="1312">
        <f>BS209*((1+'Instrumentos Financeiros'!$L$43)^(1/12)-1)</f>
        <v>186.15012106554357</v>
      </c>
      <c r="BS210" s="1312">
        <f t="shared" si="97"/>
        <v>42867.907747800549</v>
      </c>
      <c r="BT210" s="1312">
        <f>IF(AND(C210&gt;$F$79,'Instrumentos Financeiros'!C210&lt;'Instrumentos Financeiros'!$F$79+'Instrumentos Financeiros'!$F$12+1),PMT(((1+'Instrumentos Financeiros'!$L$43)^(1/12)-1),$F$12,-$I$79),0)</f>
        <v>368.57912678094596</v>
      </c>
      <c r="BU210" s="1312">
        <f t="shared" si="98"/>
        <v>180.08284953293747</v>
      </c>
      <c r="BV210" s="1312">
        <f>BW209*((1+'Instrumentos Financeiros'!$L$43)^(1/12)-1)</f>
        <v>188.49627724800848</v>
      </c>
      <c r="BW210" s="1312">
        <f t="shared" si="99"/>
        <v>43412.841860162174</v>
      </c>
      <c r="BX210" s="1312">
        <f>IF(AND(C210&gt;$F$80,'Instrumentos Financeiros'!C210&lt;'Instrumentos Financeiros'!$F$80+'Instrumentos Financeiros'!$F$12+1),PMT(((1+'Instrumentos Financeiros'!$L$43)^(1/12)-1),$F$12,-$I$80),0)</f>
        <v>368.57912678094596</v>
      </c>
      <c r="BY210" s="1312">
        <f t="shared" si="100"/>
        <v>177.76686645156977</v>
      </c>
      <c r="BZ210" s="1312">
        <f>CA209*((1+'Instrumentos Financeiros'!$L$43)^(1/12)-1)</f>
        <v>190.81226032937619</v>
      </c>
      <c r="CA210" s="1312">
        <f t="shared" si="101"/>
        <v>43950.767763868949</v>
      </c>
      <c r="CB210" s="1312">
        <f>IF(AND(C210&gt;$F$83,'Instrumentos Financeiros'!C210&lt;'Instrumentos Financeiros'!$F$83+'Instrumentos Financeiros'!$F$13+1),PMT(((1+'Instrumentos Financeiros'!$P$43)^(1/12)-1),$F$13,-$I$83),0)</f>
        <v>0</v>
      </c>
      <c r="CC210" s="1312">
        <f t="shared" si="102"/>
        <v>0</v>
      </c>
      <c r="CD210" s="1312">
        <f>CE209*((1+'Instrumentos Financeiros'!$P$43)^(1/12)-1)</f>
        <v>0</v>
      </c>
      <c r="CE210" s="1312">
        <f t="shared" si="103"/>
        <v>0</v>
      </c>
      <c r="CF210" s="1312">
        <f>IF(AND(C210&gt;$F$84,'Instrumentos Financeiros'!C210&lt;'Instrumentos Financeiros'!$F$84+'Instrumentos Financeiros'!$F$13+1),PMT(((1+'Instrumentos Financeiros'!$Q$43)^(1/12)-1),$F$13,-$I$84),0)</f>
        <v>0</v>
      </c>
      <c r="CG210" s="1312">
        <f t="shared" si="104"/>
        <v>0</v>
      </c>
      <c r="CH210" s="1312">
        <f>CI209*((1+'Instrumentos Financeiros'!$Q$43)^(1/12)-1)</f>
        <v>0</v>
      </c>
      <c r="CI210" s="1312">
        <f t="shared" si="105"/>
        <v>0</v>
      </c>
      <c r="CJ210" s="1312">
        <f>IF(AND(C210&gt;$F$85,'Instrumentos Financeiros'!C210&lt;'Instrumentos Financeiros'!$F$85+'Instrumentos Financeiros'!$F$13+1),PMT(((1+'Instrumentos Financeiros'!$Q$43)^(1/12)-1),$F$13,-$I$85),0)</f>
        <v>0</v>
      </c>
      <c r="CK210" s="1312">
        <f t="shared" si="106"/>
        <v>0</v>
      </c>
      <c r="CL210" s="1312">
        <f>CM209*((1+'Instrumentos Financeiros'!$Q$43)^(1/12)-1)</f>
        <v>0</v>
      </c>
      <c r="CM210" s="1312">
        <f t="shared" si="107"/>
        <v>0</v>
      </c>
      <c r="CN210" s="1312">
        <f>IF(AND(C210&gt;$F$86,'Instrumentos Financeiros'!C210&lt;'Instrumentos Financeiros'!$F$86+'Instrumentos Financeiros'!$F$13+1),PMT(((1+'Instrumentos Financeiros'!$Q$43)^(1/12)-1),$F$13,-$I$86),0)</f>
        <v>0</v>
      </c>
      <c r="CO210" s="1312">
        <f t="shared" si="108"/>
        <v>0</v>
      </c>
      <c r="CP210" s="1312">
        <f>CQ209*((1+'Instrumentos Financeiros'!$Q$43)^(1/12)-1)</f>
        <v>0</v>
      </c>
      <c r="CQ210" s="1312">
        <f t="shared" si="109"/>
        <v>0</v>
      </c>
      <c r="CR210" s="1312">
        <f t="shared" si="78"/>
        <v>399789.55023115332</v>
      </c>
      <c r="CS210" s="1312">
        <f t="shared" si="78"/>
        <v>213539.06193002124</v>
      </c>
      <c r="CT210" s="1312">
        <f t="shared" si="78"/>
        <v>186250.48830113205</v>
      </c>
      <c r="CU210" s="1312">
        <f t="shared" si="78"/>
        <v>43377770.814669684</v>
      </c>
    </row>
    <row r="211" spans="3:99" x14ac:dyDescent="0.35">
      <c r="C211" s="1315">
        <f t="shared" si="79"/>
        <v>118</v>
      </c>
      <c r="D211" s="1312">
        <f>IF(AND(C211&gt;$F$59,'Instrumentos Financeiros'!C211&lt;'Instrumentos Financeiros'!$F$59+'Instrumentos Financeiros'!$F$11+1),PMT(((1+'Instrumentos Financeiros'!$G$43)^(1/12)-1),$F$11,-$I$59),0)</f>
        <v>91768.589635900134</v>
      </c>
      <c r="E211" s="1312">
        <f t="shared" si="76"/>
        <v>54260.120588629565</v>
      </c>
      <c r="F211" s="1312">
        <f>G210*((1+'Instrumentos Financeiros'!$G$43)^(1/12)-1)</f>
        <v>37508.46904727057</v>
      </c>
      <c r="G211" s="1312">
        <f t="shared" si="110"/>
        <v>9134936.7493017484</v>
      </c>
      <c r="H211" s="1312">
        <f>IF(AND(C211&gt;$F$60,'Instrumentos Financeiros'!C211&lt;'Instrumentos Financeiros'!$F$60+'Instrumentos Financeiros'!$F$11+1),PMT(((1+'Instrumentos Financeiros'!$G$43)^(1/12)-1),$F$11,-$I$60),0)</f>
        <v>0</v>
      </c>
      <c r="I211" s="1312">
        <f t="shared" si="111"/>
        <v>0</v>
      </c>
      <c r="J211" s="1312">
        <f>K210*((1+'Instrumentos Financeiros'!$G$43)^(1/12)-1)</f>
        <v>0</v>
      </c>
      <c r="K211" s="1312">
        <f t="shared" si="80"/>
        <v>0</v>
      </c>
      <c r="L211" s="1312">
        <f>IF(AND(C211&gt;$F$61,'Instrumentos Financeiros'!C211&lt;'Instrumentos Financeiros'!$F$61+'Instrumentos Financeiros'!$F$11+1),PMT(((1+'Instrumentos Financeiros'!$G$43)^(1/12)-1),$F$11,-$I$61),0)</f>
        <v>0</v>
      </c>
      <c r="M211" s="1312">
        <f t="shared" si="112"/>
        <v>0</v>
      </c>
      <c r="N211" s="1312">
        <f>O210*((1+'Instrumentos Financeiros'!$G$43)^(1/12)-1)</f>
        <v>0</v>
      </c>
      <c r="O211" s="1312">
        <f t="shared" si="81"/>
        <v>0</v>
      </c>
      <c r="P211" s="1312">
        <f>IF(AND(C211&gt;$F$62,'Instrumentos Financeiros'!C211&lt;'Instrumentos Financeiros'!$F$62+'Instrumentos Financeiros'!$F$11+1),PMT(((1+'Instrumentos Financeiros'!$H$43)^(1/12)-1),$F$11,-$I$62),0)</f>
        <v>0</v>
      </c>
      <c r="Q211" s="1312">
        <f t="shared" si="113"/>
        <v>0</v>
      </c>
      <c r="R211" s="1312">
        <f>S210*((1+'Instrumentos Financeiros'!$H$43)^(1/12)-1)</f>
        <v>0</v>
      </c>
      <c r="S211" s="1312">
        <f t="shared" si="82"/>
        <v>0</v>
      </c>
      <c r="T211" s="1312">
        <f>IF(AND(C211&gt;$F$63,'Instrumentos Financeiros'!C211&lt;'Instrumentos Financeiros'!$F$63+'Instrumentos Financeiros'!$F$11+1),PMT(((1+'Instrumentos Financeiros'!$H$43)^(1/12)-1),$F$11,-$I$63),0)</f>
        <v>0</v>
      </c>
      <c r="U211" s="1312">
        <f t="shared" si="114"/>
        <v>0</v>
      </c>
      <c r="V211" s="1312">
        <f>W210*((1+'Instrumentos Financeiros'!$H$43)^(1/12)-1)</f>
        <v>0</v>
      </c>
      <c r="W211" s="1312">
        <f t="shared" si="83"/>
        <v>0</v>
      </c>
      <c r="X211" s="1312">
        <f>IF(AND(C211&gt;$F$64,'Instrumentos Financeiros'!C211&lt;'Instrumentos Financeiros'!$F$64+'Instrumentos Financeiros'!$F$11+1),PMT(((1+'Instrumentos Financeiros'!$H$43)^(1/12)-1),$F$11,-$I$64),0)</f>
        <v>0</v>
      </c>
      <c r="Y211" s="1312">
        <f t="shared" si="115"/>
        <v>0</v>
      </c>
      <c r="Z211" s="1312">
        <f>AA210*((1+'Instrumentos Financeiros'!$H$43)^(1/12)-1)</f>
        <v>0</v>
      </c>
      <c r="AA211" s="1312">
        <f t="shared" si="84"/>
        <v>0</v>
      </c>
      <c r="AB211" s="1312">
        <f>IF(AND(C211&gt;$F$65,'Instrumentos Financeiros'!C211&lt;'Instrumentos Financeiros'!$F$65+'Instrumentos Financeiros'!$F$11+1),PMT(((1+'Instrumentos Financeiros'!$H$43)^(1/12)-1),$F$11,-$I$65),0)</f>
        <v>76636.661022032335</v>
      </c>
      <c r="AC211" s="1312">
        <f t="shared" si="116"/>
        <v>40642.579126205594</v>
      </c>
      <c r="AD211" s="1312">
        <f>AE210*((1+'Instrumentos Financeiros'!$H$43)^(1/12)-1)</f>
        <v>35994.081895826741</v>
      </c>
      <c r="AE211" s="1312">
        <f t="shared" si="85"/>
        <v>8283592.387142621</v>
      </c>
      <c r="AF211" s="1312">
        <f>IF(AND(C211&gt;$F$66,'Instrumentos Financeiros'!C211&lt;'Instrumentos Financeiros'!$F$66+'Instrumentos Financeiros'!$F$11+1),PMT(((1+'Instrumentos Financeiros'!$I$43)^(1/12)-1),$F$11,-$I$66),0)</f>
        <v>76636.661022032335</v>
      </c>
      <c r="AG211" s="1312">
        <f t="shared" si="117"/>
        <v>40119.88900949782</v>
      </c>
      <c r="AH211" s="1312">
        <f>AI210*((1+'Instrumentos Financeiros'!$I$43)^(1/12)-1)</f>
        <v>36516.772012534515</v>
      </c>
      <c r="AI211" s="1312">
        <f t="shared" si="86"/>
        <v>8404995.930912286</v>
      </c>
      <c r="AJ211" s="1312">
        <f>IF(AND(C211&gt;$F$67,'Instrumentos Financeiros'!C211&lt;'Instrumentos Financeiros'!$F$67+'Instrumentos Financeiros'!$F$11+1),PMT(((1+'Instrumentos Financeiros'!$I$43)^(1/12)-1),$F$11,-$I$67),0)</f>
        <v>76636.661022032335</v>
      </c>
      <c r="AK211" s="1312">
        <f t="shared" si="118"/>
        <v>39603.921029130252</v>
      </c>
      <c r="AL211" s="1312">
        <f>AM210*((1+'Instrumentos Financeiros'!$I$43)^(1/12)-1)</f>
        <v>37032.739992902083</v>
      </c>
      <c r="AM211" s="1312">
        <f t="shared" si="87"/>
        <v>8524838.1458040606</v>
      </c>
      <c r="AN211" s="1312">
        <f>IF(AND(C211&gt;$F$68,'Instrumentos Financeiros'!C211&lt;'Instrumentos Financeiros'!$F$68+'Instrumentos Financeiros'!$F$11+1),PMT(((1+'Instrumentos Financeiros'!$I$43)^(1/12)-1),$F$11,-$I$68),0)</f>
        <v>76636.661022032335</v>
      </c>
      <c r="AO211" s="1312">
        <f t="shared" si="119"/>
        <v>39094.588734038414</v>
      </c>
      <c r="AP211" s="1312">
        <f>AQ210*((1+'Instrumentos Financeiros'!$I$43)^(1/12)-1)</f>
        <v>37542.07228799392</v>
      </c>
      <c r="AQ211" s="1312">
        <f t="shared" si="88"/>
        <v>8643139.1115272287</v>
      </c>
      <c r="AR211" s="1312">
        <f>IF(AND(C211&gt;$F$69,'Instrumentos Financeiros'!C211&lt;'Instrumentos Financeiros'!$F$69+'Instrumentos Financeiros'!$F$11+1),PMT(((1+'Instrumentos Financeiros'!$I$43)^(1/12)-1),$F$11,-$I$69),0)</f>
        <v>0</v>
      </c>
      <c r="AS211" s="1312">
        <f t="shared" si="120"/>
        <v>0</v>
      </c>
      <c r="AT211" s="1312">
        <f>AU210*((1+'Instrumentos Financeiros'!$I$43)^(1/12)-1)</f>
        <v>0</v>
      </c>
      <c r="AU211" s="1312">
        <f t="shared" si="89"/>
        <v>0</v>
      </c>
      <c r="AV211" s="1312">
        <f>IF(AND(C211&gt;$F$70,'Instrumentos Financeiros'!C211&lt;'Instrumentos Financeiros'!$F$70+'Instrumentos Financeiros'!$F$11+1),PMT(((1+'Instrumentos Financeiros'!$J$43)^(1/12)-1),$F$11,-$I$70),0)</f>
        <v>0</v>
      </c>
      <c r="AW211" s="1312">
        <f t="shared" si="121"/>
        <v>0</v>
      </c>
      <c r="AX211" s="1312">
        <f>AY210*((1+'Instrumentos Financeiros'!$J$43)^(1/12)-1)</f>
        <v>0</v>
      </c>
      <c r="AY211" s="1312">
        <f t="shared" si="90"/>
        <v>0</v>
      </c>
      <c r="AZ211" s="1312">
        <f>IF(AND(C211&gt;$F$71,'Instrumentos Financeiros'!C211&lt;'Instrumentos Financeiros'!$F$71+'Instrumentos Financeiros'!$F$11+1),PMT(((1+'Instrumentos Financeiros'!$J$43)^(1/12)-1),$F$11,-$I$71),0)</f>
        <v>0</v>
      </c>
      <c r="BA211" s="1312">
        <f t="shared" si="122"/>
        <v>0</v>
      </c>
      <c r="BB211" s="1312">
        <f>BC210*((1+'Instrumentos Financeiros'!$J$43)^(1/12)-1)</f>
        <v>0</v>
      </c>
      <c r="BC211" s="1312">
        <f t="shared" si="91"/>
        <v>0</v>
      </c>
      <c r="BD211" s="1312">
        <f>IF(AND(C211&gt;$F$72,'Instrumentos Financeiros'!C211&lt;'Instrumentos Financeiros'!$F$72+'Instrumentos Financeiros'!$F$11+1),PMT(((1+'Instrumentos Financeiros'!$J$43)^(1/12)-1),$F$11,-'Instrumentos Financeiros'!$G$7*$G$72),0)</f>
        <v>0</v>
      </c>
      <c r="BE211" s="1312">
        <f t="shared" si="123"/>
        <v>0</v>
      </c>
      <c r="BF211" s="1312">
        <f>BG210*((1+'Instrumentos Financeiros'!$J$43)^(1/12)-1)</f>
        <v>0</v>
      </c>
      <c r="BG211" s="1312">
        <f t="shared" si="92"/>
        <v>0</v>
      </c>
      <c r="BH211" s="1312">
        <f>IF(AND(C211&gt;$F$73,'Instrumentos Financeiros'!C211&lt;'Instrumentos Financeiros'!$F$73+'Instrumentos Financeiros'!$F$11+1),PMT(((1+'Instrumentos Financeiros'!$J$43)^(1/12)-1),$F$11,-$I$73),0)</f>
        <v>0</v>
      </c>
      <c r="BI211" s="1312">
        <f t="shared" si="124"/>
        <v>0</v>
      </c>
      <c r="BJ211" s="1312">
        <f>BK210*((1+'Instrumentos Financeiros'!$J$43)^(1/12)-1)</f>
        <v>0</v>
      </c>
      <c r="BK211" s="1312">
        <f t="shared" si="93"/>
        <v>0</v>
      </c>
      <c r="BL211" s="1312">
        <f>IF(AND(C211&gt;$F$77,'Instrumentos Financeiros'!C211&lt;'Instrumentos Financeiros'!$F$77+'Instrumentos Financeiros'!$F$12+1),PMT(((1+'Instrumentos Financeiros'!$K$43)^(1/12)-1),$F$12,-$I$77),0)</f>
        <v>368.57912678094596</v>
      </c>
      <c r="BM211" s="1312">
        <f t="shared" si="94"/>
        <v>185.60483006450093</v>
      </c>
      <c r="BN211" s="1312">
        <f>BO210*((1+'Instrumentos Financeiros'!$K$43)^(1/12)-1)</f>
        <v>182.97429671644502</v>
      </c>
      <c r="BO211" s="1312">
        <f t="shared" si="95"/>
        <v>42130.269292344332</v>
      </c>
      <c r="BP211" s="1312">
        <f>IF(AND(C211&gt;$F$78,'Instrumentos Financeiros'!C211&lt;'Instrumentos Financeiros'!$F$78+'Instrumentos Financeiros'!$F$12+1),PMT(((1+'Instrumentos Financeiros'!$L$43)^(1/12)-1),$F$12,-$I$78),0)</f>
        <v>368.57912678094596</v>
      </c>
      <c r="BQ211" s="1312">
        <f t="shared" si="96"/>
        <v>183.2178307063478</v>
      </c>
      <c r="BR211" s="1312">
        <f>BS210*((1+'Instrumentos Financeiros'!$L$43)^(1/12)-1)</f>
        <v>185.36129607459816</v>
      </c>
      <c r="BS211" s="1312">
        <f t="shared" si="97"/>
        <v>42684.689917094198</v>
      </c>
      <c r="BT211" s="1312">
        <f>IF(AND(C211&gt;$F$79,'Instrumentos Financeiros'!C211&lt;'Instrumentos Financeiros'!$F$79+'Instrumentos Financeiros'!$F$12+1),PMT(((1+'Instrumentos Financeiros'!$L$43)^(1/12)-1),$F$12,-$I$79),0)</f>
        <v>368.57912678094596</v>
      </c>
      <c r="BU211" s="1312">
        <f t="shared" si="98"/>
        <v>180.86152971921146</v>
      </c>
      <c r="BV211" s="1312">
        <f>BW210*((1+'Instrumentos Financeiros'!$L$43)^(1/12)-1)</f>
        <v>187.71759706173449</v>
      </c>
      <c r="BW211" s="1312">
        <f t="shared" si="99"/>
        <v>43231.980330442966</v>
      </c>
      <c r="BX211" s="1312">
        <f>IF(AND(C211&gt;$F$80,'Instrumentos Financeiros'!C211&lt;'Instrumentos Financeiros'!$F$80+'Instrumentos Financeiros'!$F$12+1),PMT(((1+'Instrumentos Financeiros'!$L$43)^(1/12)-1),$F$12,-$I$80),0)</f>
        <v>368.57912678094596</v>
      </c>
      <c r="BY211" s="1312">
        <f t="shared" si="100"/>
        <v>178.5355323019873</v>
      </c>
      <c r="BZ211" s="1312">
        <f>CA210*((1+'Instrumentos Financeiros'!$L$43)^(1/12)-1)</f>
        <v>190.04359447895865</v>
      </c>
      <c r="CA211" s="1312">
        <f t="shared" si="101"/>
        <v>43772.232231566959</v>
      </c>
      <c r="CB211" s="1312">
        <f>IF(AND(C211&gt;$F$83,'Instrumentos Financeiros'!C211&lt;'Instrumentos Financeiros'!$F$83+'Instrumentos Financeiros'!$F$13+1),PMT(((1+'Instrumentos Financeiros'!$P$43)^(1/12)-1),$F$13,-$I$83),0)</f>
        <v>0</v>
      </c>
      <c r="CC211" s="1312">
        <f t="shared" si="102"/>
        <v>0</v>
      </c>
      <c r="CD211" s="1312">
        <f>CE210*((1+'Instrumentos Financeiros'!$P$43)^(1/12)-1)</f>
        <v>0</v>
      </c>
      <c r="CE211" s="1312">
        <f t="shared" si="103"/>
        <v>0</v>
      </c>
      <c r="CF211" s="1312">
        <f>IF(AND(C211&gt;$F$84,'Instrumentos Financeiros'!C211&lt;'Instrumentos Financeiros'!$F$84+'Instrumentos Financeiros'!$F$13+1),PMT(((1+'Instrumentos Financeiros'!$Q$43)^(1/12)-1),$F$13,-$I$84),0)</f>
        <v>0</v>
      </c>
      <c r="CG211" s="1312">
        <f t="shared" si="104"/>
        <v>0</v>
      </c>
      <c r="CH211" s="1312">
        <f>CI210*((1+'Instrumentos Financeiros'!$Q$43)^(1/12)-1)</f>
        <v>0</v>
      </c>
      <c r="CI211" s="1312">
        <f t="shared" si="105"/>
        <v>0</v>
      </c>
      <c r="CJ211" s="1312">
        <f>IF(AND(C211&gt;$F$85,'Instrumentos Financeiros'!C211&lt;'Instrumentos Financeiros'!$F$85+'Instrumentos Financeiros'!$F$13+1),PMT(((1+'Instrumentos Financeiros'!$Q$43)^(1/12)-1),$F$13,-$I$85),0)</f>
        <v>0</v>
      </c>
      <c r="CK211" s="1312">
        <f t="shared" si="106"/>
        <v>0</v>
      </c>
      <c r="CL211" s="1312">
        <f>CM210*((1+'Instrumentos Financeiros'!$Q$43)^(1/12)-1)</f>
        <v>0</v>
      </c>
      <c r="CM211" s="1312">
        <f t="shared" si="107"/>
        <v>0</v>
      </c>
      <c r="CN211" s="1312">
        <f>IF(AND(C211&gt;$F$86,'Instrumentos Financeiros'!C211&lt;'Instrumentos Financeiros'!$F$86+'Instrumentos Financeiros'!$F$13+1),PMT(((1+'Instrumentos Financeiros'!$Q$43)^(1/12)-1),$F$13,-$I$86),0)</f>
        <v>0</v>
      </c>
      <c r="CO211" s="1312">
        <f t="shared" si="108"/>
        <v>0</v>
      </c>
      <c r="CP211" s="1312">
        <f>CQ210*((1+'Instrumentos Financeiros'!$Q$43)^(1/12)-1)</f>
        <v>0</v>
      </c>
      <c r="CQ211" s="1312">
        <f t="shared" si="109"/>
        <v>0</v>
      </c>
      <c r="CR211" s="1312">
        <f t="shared" si="78"/>
        <v>399789.55023115332</v>
      </c>
      <c r="CS211" s="1312">
        <f t="shared" si="78"/>
        <v>214449.31821029368</v>
      </c>
      <c r="CT211" s="1312">
        <f t="shared" si="78"/>
        <v>185340.23202085958</v>
      </c>
      <c r="CU211" s="1312">
        <f t="shared" si="78"/>
        <v>43163321.496459395</v>
      </c>
    </row>
    <row r="212" spans="3:99" x14ac:dyDescent="0.35">
      <c r="C212" s="1315">
        <f t="shared" si="79"/>
        <v>119</v>
      </c>
      <c r="D212" s="1312">
        <f>IF(AND(C212&gt;$F$59,'Instrumentos Financeiros'!C212&lt;'Instrumentos Financeiros'!$F$59+'Instrumentos Financeiros'!$F$11+1),PMT(((1+'Instrumentos Financeiros'!$G$43)^(1/12)-1),$F$11,-$I$59),0)</f>
        <v>91768.589635900134</v>
      </c>
      <c r="E212" s="1312">
        <f t="shared" si="76"/>
        <v>54481.599579929498</v>
      </c>
      <c r="F212" s="1312">
        <f>G211*((1+'Instrumentos Financeiros'!$G$43)^(1/12)-1)</f>
        <v>37286.990055970637</v>
      </c>
      <c r="G212" s="1312">
        <f t="shared" si="110"/>
        <v>9080455.149721818</v>
      </c>
      <c r="H212" s="1312">
        <f>IF(AND(C212&gt;$F$60,'Instrumentos Financeiros'!C212&lt;'Instrumentos Financeiros'!$F$60+'Instrumentos Financeiros'!$F$11+1),PMT(((1+'Instrumentos Financeiros'!$G$43)^(1/12)-1),$F$11,-$I$60),0)</f>
        <v>0</v>
      </c>
      <c r="I212" s="1312">
        <f t="shared" si="111"/>
        <v>0</v>
      </c>
      <c r="J212" s="1312">
        <f>K211*((1+'Instrumentos Financeiros'!$G$43)^(1/12)-1)</f>
        <v>0</v>
      </c>
      <c r="K212" s="1312">
        <f t="shared" si="80"/>
        <v>0</v>
      </c>
      <c r="L212" s="1312">
        <f>IF(AND(C212&gt;$F$61,'Instrumentos Financeiros'!C212&lt;'Instrumentos Financeiros'!$F$61+'Instrumentos Financeiros'!$F$11+1),PMT(((1+'Instrumentos Financeiros'!$G$43)^(1/12)-1),$F$11,-$I$61),0)</f>
        <v>0</v>
      </c>
      <c r="M212" s="1312">
        <f t="shared" si="112"/>
        <v>0</v>
      </c>
      <c r="N212" s="1312">
        <f>O211*((1+'Instrumentos Financeiros'!$G$43)^(1/12)-1)</f>
        <v>0</v>
      </c>
      <c r="O212" s="1312">
        <f t="shared" si="81"/>
        <v>0</v>
      </c>
      <c r="P212" s="1312">
        <f>IF(AND(C212&gt;$F$62,'Instrumentos Financeiros'!C212&lt;'Instrumentos Financeiros'!$F$62+'Instrumentos Financeiros'!$F$11+1),PMT(((1+'Instrumentos Financeiros'!$H$43)^(1/12)-1),$F$11,-$I$62),0)</f>
        <v>0</v>
      </c>
      <c r="Q212" s="1312">
        <f t="shared" si="113"/>
        <v>0</v>
      </c>
      <c r="R212" s="1312">
        <f>S211*((1+'Instrumentos Financeiros'!$H$43)^(1/12)-1)</f>
        <v>0</v>
      </c>
      <c r="S212" s="1312">
        <f t="shared" si="82"/>
        <v>0</v>
      </c>
      <c r="T212" s="1312">
        <f>IF(AND(C212&gt;$F$63,'Instrumentos Financeiros'!C212&lt;'Instrumentos Financeiros'!$F$63+'Instrumentos Financeiros'!$F$11+1),PMT(((1+'Instrumentos Financeiros'!$H$43)^(1/12)-1),$F$11,-$I$63),0)</f>
        <v>0</v>
      </c>
      <c r="U212" s="1312">
        <f t="shared" si="114"/>
        <v>0</v>
      </c>
      <c r="V212" s="1312">
        <f>W211*((1+'Instrumentos Financeiros'!$H$43)^(1/12)-1)</f>
        <v>0</v>
      </c>
      <c r="W212" s="1312">
        <f t="shared" si="83"/>
        <v>0</v>
      </c>
      <c r="X212" s="1312">
        <f>IF(AND(C212&gt;$F$64,'Instrumentos Financeiros'!C212&lt;'Instrumentos Financeiros'!$F$64+'Instrumentos Financeiros'!$F$11+1),PMT(((1+'Instrumentos Financeiros'!$H$43)^(1/12)-1),$F$11,-$I$64),0)</f>
        <v>0</v>
      </c>
      <c r="Y212" s="1312">
        <f t="shared" si="115"/>
        <v>0</v>
      </c>
      <c r="Z212" s="1312">
        <f>AA211*((1+'Instrumentos Financeiros'!$H$43)^(1/12)-1)</f>
        <v>0</v>
      </c>
      <c r="AA212" s="1312">
        <f t="shared" si="84"/>
        <v>0</v>
      </c>
      <c r="AB212" s="1312">
        <f>IF(AND(C212&gt;$F$65,'Instrumentos Financeiros'!C212&lt;'Instrumentos Financeiros'!$F$65+'Instrumentos Financeiros'!$F$11+1),PMT(((1+'Instrumentos Financeiros'!$H$43)^(1/12)-1),$F$11,-$I$65),0)</f>
        <v>76636.661022032335</v>
      </c>
      <c r="AC212" s="1312">
        <f t="shared" si="116"/>
        <v>40818.31807728688</v>
      </c>
      <c r="AD212" s="1312">
        <f>AE211*((1+'Instrumentos Financeiros'!$H$43)^(1/12)-1)</f>
        <v>35818.342944745455</v>
      </c>
      <c r="AE212" s="1312">
        <f t="shared" si="85"/>
        <v>8242774.0690653343</v>
      </c>
      <c r="AF212" s="1312">
        <f>IF(AND(C212&gt;$F$66,'Instrumentos Financeiros'!C212&lt;'Instrumentos Financeiros'!$F$66+'Instrumentos Financeiros'!$F$11+1),PMT(((1+'Instrumentos Financeiros'!$I$43)^(1/12)-1),$F$11,-$I$66),0)</f>
        <v>76636.661022032335</v>
      </c>
      <c r="AG212" s="1312">
        <f t="shared" si="117"/>
        <v>40293.367842869411</v>
      </c>
      <c r="AH212" s="1312">
        <f>AI211*((1+'Instrumentos Financeiros'!$I$43)^(1/12)-1)</f>
        <v>36343.293179162923</v>
      </c>
      <c r="AI212" s="1312">
        <f t="shared" si="86"/>
        <v>8364702.5630694162</v>
      </c>
      <c r="AJ212" s="1312">
        <f>IF(AND(C212&gt;$F$67,'Instrumentos Financeiros'!C212&lt;'Instrumentos Financeiros'!$F$67+'Instrumentos Financeiros'!$F$11+1),PMT(((1+'Instrumentos Financeiros'!$I$43)^(1/12)-1),$F$11,-$I$67),0)</f>
        <v>76636.661022032335</v>
      </c>
      <c r="AK212" s="1312">
        <f t="shared" si="118"/>
        <v>39775.168811382282</v>
      </c>
      <c r="AL212" s="1312">
        <f>AM211*((1+'Instrumentos Financeiros'!$I$43)^(1/12)-1)</f>
        <v>36861.492210650053</v>
      </c>
      <c r="AM212" s="1312">
        <f t="shared" si="87"/>
        <v>8485062.9769926779</v>
      </c>
      <c r="AN212" s="1312">
        <f>IF(AND(C212&gt;$F$68,'Instrumentos Financeiros'!C212&lt;'Instrumentos Financeiros'!$F$68+'Instrumentos Financeiros'!$F$11+1),PMT(((1+'Instrumentos Financeiros'!$I$43)^(1/12)-1),$F$11,-$I$68),0)</f>
        <v>76636.661022032335</v>
      </c>
      <c r="AO212" s="1312">
        <f t="shared" si="119"/>
        <v>39263.634157945686</v>
      </c>
      <c r="AP212" s="1312">
        <f>AQ211*((1+'Instrumentos Financeiros'!$I$43)^(1/12)-1)</f>
        <v>37373.026864086649</v>
      </c>
      <c r="AQ212" s="1312">
        <f t="shared" si="88"/>
        <v>8603875.4773692824</v>
      </c>
      <c r="AR212" s="1312">
        <f>IF(AND(C212&gt;$F$69,'Instrumentos Financeiros'!C212&lt;'Instrumentos Financeiros'!$F$69+'Instrumentos Financeiros'!$F$11+1),PMT(((1+'Instrumentos Financeiros'!$I$43)^(1/12)-1),$F$11,-$I$69),0)</f>
        <v>0</v>
      </c>
      <c r="AS212" s="1312">
        <f t="shared" si="120"/>
        <v>0</v>
      </c>
      <c r="AT212" s="1312">
        <f>AU211*((1+'Instrumentos Financeiros'!$I$43)^(1/12)-1)</f>
        <v>0</v>
      </c>
      <c r="AU212" s="1312">
        <f t="shared" si="89"/>
        <v>0</v>
      </c>
      <c r="AV212" s="1312">
        <f>IF(AND(C212&gt;$F$70,'Instrumentos Financeiros'!C212&lt;'Instrumentos Financeiros'!$F$70+'Instrumentos Financeiros'!$F$11+1),PMT(((1+'Instrumentos Financeiros'!$J$43)^(1/12)-1),$F$11,-$I$70),0)</f>
        <v>0</v>
      </c>
      <c r="AW212" s="1312">
        <f t="shared" si="121"/>
        <v>0</v>
      </c>
      <c r="AX212" s="1312">
        <f>AY211*((1+'Instrumentos Financeiros'!$J$43)^(1/12)-1)</f>
        <v>0</v>
      </c>
      <c r="AY212" s="1312">
        <f t="shared" si="90"/>
        <v>0</v>
      </c>
      <c r="AZ212" s="1312">
        <f>IF(AND(C212&gt;$F$71,'Instrumentos Financeiros'!C212&lt;'Instrumentos Financeiros'!$F$71+'Instrumentos Financeiros'!$F$11+1),PMT(((1+'Instrumentos Financeiros'!$J$43)^(1/12)-1),$F$11,-$I$71),0)</f>
        <v>0</v>
      </c>
      <c r="BA212" s="1312">
        <f t="shared" si="122"/>
        <v>0</v>
      </c>
      <c r="BB212" s="1312">
        <f>BC211*((1+'Instrumentos Financeiros'!$J$43)^(1/12)-1)</f>
        <v>0</v>
      </c>
      <c r="BC212" s="1312">
        <f t="shared" si="91"/>
        <v>0</v>
      </c>
      <c r="BD212" s="1312">
        <f>IF(AND(C212&gt;$F$72,'Instrumentos Financeiros'!C212&lt;'Instrumentos Financeiros'!$F$72+'Instrumentos Financeiros'!$F$11+1),PMT(((1+'Instrumentos Financeiros'!$J$43)^(1/12)-1),$F$11,-'Instrumentos Financeiros'!$G$7*$G$72),0)</f>
        <v>0</v>
      </c>
      <c r="BE212" s="1312">
        <f t="shared" si="123"/>
        <v>0</v>
      </c>
      <c r="BF212" s="1312">
        <f>BG211*((1+'Instrumentos Financeiros'!$J$43)^(1/12)-1)</f>
        <v>0</v>
      </c>
      <c r="BG212" s="1312">
        <f t="shared" si="92"/>
        <v>0</v>
      </c>
      <c r="BH212" s="1312">
        <f>IF(AND(C212&gt;$F$73,'Instrumentos Financeiros'!C212&lt;'Instrumentos Financeiros'!$F$73+'Instrumentos Financeiros'!$F$11+1),PMT(((1+'Instrumentos Financeiros'!$J$43)^(1/12)-1),$F$11,-$I$73),0)</f>
        <v>0</v>
      </c>
      <c r="BI212" s="1312">
        <f t="shared" si="124"/>
        <v>0</v>
      </c>
      <c r="BJ212" s="1312">
        <f>BK211*((1+'Instrumentos Financeiros'!$J$43)^(1/12)-1)</f>
        <v>0</v>
      </c>
      <c r="BK212" s="1312">
        <f t="shared" si="93"/>
        <v>0</v>
      </c>
      <c r="BL212" s="1312">
        <f>IF(AND(C212&gt;$F$77,'Instrumentos Financeiros'!C212&lt;'Instrumentos Financeiros'!$F$77+'Instrumentos Financeiros'!$F$12+1),PMT(((1+'Instrumentos Financeiros'!$K$43)^(1/12)-1),$F$12,-$I$77),0)</f>
        <v>368.57912678094596</v>
      </c>
      <c r="BM212" s="1312">
        <f t="shared" si="94"/>
        <v>186.40738735423071</v>
      </c>
      <c r="BN212" s="1312">
        <f>BO211*((1+'Instrumentos Financeiros'!$K$43)^(1/12)-1)</f>
        <v>182.17173942671525</v>
      </c>
      <c r="BO212" s="1312">
        <f t="shared" si="95"/>
        <v>41943.861904990103</v>
      </c>
      <c r="BP212" s="1312">
        <f>IF(AND(C212&gt;$F$78,'Instrumentos Financeiros'!C212&lt;'Instrumentos Financeiros'!$F$78+'Instrumentos Financeiros'!$F$12+1),PMT(((1+'Instrumentos Financeiros'!$L$43)^(1/12)-1),$F$12,-$I$78),0)</f>
        <v>368.57912678094596</v>
      </c>
      <c r="BQ212" s="1312">
        <f t="shared" si="96"/>
        <v>184.01006658507336</v>
      </c>
      <c r="BR212" s="1312">
        <f>BS211*((1+'Instrumentos Financeiros'!$L$43)^(1/12)-1)</f>
        <v>184.56906019587259</v>
      </c>
      <c r="BS212" s="1312">
        <f t="shared" si="97"/>
        <v>42500.679850509121</v>
      </c>
      <c r="BT212" s="1312">
        <f>IF(AND(C212&gt;$F$79,'Instrumentos Financeiros'!C212&lt;'Instrumentos Financeiros'!$F$79+'Instrumentos Financeiros'!$F$12+1),PMT(((1+'Instrumentos Financeiros'!$L$43)^(1/12)-1),$F$12,-$I$79),0)</f>
        <v>368.57912678094596</v>
      </c>
      <c r="BU212" s="1312">
        <f t="shared" si="98"/>
        <v>181.64357692702058</v>
      </c>
      <c r="BV212" s="1312">
        <f>BW211*((1+'Instrumentos Financeiros'!$L$43)^(1/12)-1)</f>
        <v>186.93554985392538</v>
      </c>
      <c r="BW212" s="1312">
        <f t="shared" si="99"/>
        <v>43050.336753515949</v>
      </c>
      <c r="BX212" s="1312">
        <f>IF(AND(C212&gt;$F$80,'Instrumentos Financeiros'!C212&lt;'Instrumentos Financeiros'!$F$80+'Instrumentos Financeiros'!$F$12+1),PMT(((1+'Instrumentos Financeiros'!$L$43)^(1/12)-1),$F$12,-$I$80),0)</f>
        <v>368.57912678094596</v>
      </c>
      <c r="BY212" s="1312">
        <f t="shared" si="100"/>
        <v>179.30752187184362</v>
      </c>
      <c r="BZ212" s="1312">
        <f>CA211*((1+'Instrumentos Financeiros'!$L$43)^(1/12)-1)</f>
        <v>189.27160490910234</v>
      </c>
      <c r="CA212" s="1312">
        <f t="shared" si="101"/>
        <v>43592.924709695115</v>
      </c>
      <c r="CB212" s="1312">
        <f>IF(AND(C212&gt;$F$83,'Instrumentos Financeiros'!C212&lt;'Instrumentos Financeiros'!$F$83+'Instrumentos Financeiros'!$F$13+1),PMT(((1+'Instrumentos Financeiros'!$P$43)^(1/12)-1),$F$13,-$I$83),0)</f>
        <v>0</v>
      </c>
      <c r="CC212" s="1312">
        <f t="shared" si="102"/>
        <v>0</v>
      </c>
      <c r="CD212" s="1312">
        <f>CE211*((1+'Instrumentos Financeiros'!$P$43)^(1/12)-1)</f>
        <v>0</v>
      </c>
      <c r="CE212" s="1312">
        <f t="shared" si="103"/>
        <v>0</v>
      </c>
      <c r="CF212" s="1312">
        <f>IF(AND(C212&gt;$F$84,'Instrumentos Financeiros'!C212&lt;'Instrumentos Financeiros'!$F$84+'Instrumentos Financeiros'!$F$13+1),PMT(((1+'Instrumentos Financeiros'!$Q$43)^(1/12)-1),$F$13,-$I$84),0)</f>
        <v>0</v>
      </c>
      <c r="CG212" s="1312">
        <f t="shared" si="104"/>
        <v>0</v>
      </c>
      <c r="CH212" s="1312">
        <f>CI211*((1+'Instrumentos Financeiros'!$Q$43)^(1/12)-1)</f>
        <v>0</v>
      </c>
      <c r="CI212" s="1312">
        <f t="shared" si="105"/>
        <v>0</v>
      </c>
      <c r="CJ212" s="1312">
        <f>IF(AND(C212&gt;$F$85,'Instrumentos Financeiros'!C212&lt;'Instrumentos Financeiros'!$F$85+'Instrumentos Financeiros'!$F$13+1),PMT(((1+'Instrumentos Financeiros'!$Q$43)^(1/12)-1),$F$13,-$I$85),0)</f>
        <v>0</v>
      </c>
      <c r="CK212" s="1312">
        <f t="shared" si="106"/>
        <v>0</v>
      </c>
      <c r="CL212" s="1312">
        <f>CM211*((1+'Instrumentos Financeiros'!$Q$43)^(1/12)-1)</f>
        <v>0</v>
      </c>
      <c r="CM212" s="1312">
        <f t="shared" si="107"/>
        <v>0</v>
      </c>
      <c r="CN212" s="1312">
        <f>IF(AND(C212&gt;$F$86,'Instrumentos Financeiros'!C212&lt;'Instrumentos Financeiros'!$F$86+'Instrumentos Financeiros'!$F$13+1),PMT(((1+'Instrumentos Financeiros'!$Q$43)^(1/12)-1),$F$13,-$I$86),0)</f>
        <v>0</v>
      </c>
      <c r="CO212" s="1312">
        <f t="shared" si="108"/>
        <v>0</v>
      </c>
      <c r="CP212" s="1312">
        <f>CQ211*((1+'Instrumentos Financeiros'!$Q$43)^(1/12)-1)</f>
        <v>0</v>
      </c>
      <c r="CQ212" s="1312">
        <f t="shared" si="109"/>
        <v>0</v>
      </c>
      <c r="CR212" s="1312">
        <f t="shared" si="78"/>
        <v>399789.55023115332</v>
      </c>
      <c r="CS212" s="1312">
        <f t="shared" si="78"/>
        <v>215363.45702215194</v>
      </c>
      <c r="CT212" s="1312">
        <f t="shared" si="78"/>
        <v>184426.09320900132</v>
      </c>
      <c r="CU212" s="1312">
        <f t="shared" si="78"/>
        <v>42947958.039437242</v>
      </c>
    </row>
    <row r="213" spans="3:99" x14ac:dyDescent="0.35">
      <c r="C213" s="1316">
        <f t="shared" si="79"/>
        <v>120</v>
      </c>
      <c r="D213" s="1313">
        <f>IF(AND(C213&gt;$F$59,'Instrumentos Financeiros'!C213&lt;'Instrumentos Financeiros'!$F$59+'Instrumentos Financeiros'!$F$11+1),PMT(((1+'Instrumentos Financeiros'!$G$43)^(1/12)-1),$F$11,-$I$59),0)</f>
        <v>91768.589635900134</v>
      </c>
      <c r="E213" s="1313">
        <f t="shared" si="76"/>
        <v>54703.98260430299</v>
      </c>
      <c r="F213" s="1313">
        <f>G212*((1+'Instrumentos Financeiros'!$G$43)^(1/12)-1)</f>
        <v>37064.607031597145</v>
      </c>
      <c r="G213" s="1313">
        <f t="shared" si="110"/>
        <v>9025751.1671175156</v>
      </c>
      <c r="H213" s="1313">
        <f>IF(AND(C213&gt;$F$60,'Instrumentos Financeiros'!C213&lt;'Instrumentos Financeiros'!$F$60+'Instrumentos Financeiros'!$F$11+1),PMT(((1+'Instrumentos Financeiros'!$G$43)^(1/12)-1),$F$11,-$I$60),0)</f>
        <v>0</v>
      </c>
      <c r="I213" s="1313">
        <f t="shared" si="111"/>
        <v>0</v>
      </c>
      <c r="J213" s="1313">
        <f>K212*((1+'Instrumentos Financeiros'!$G$43)^(1/12)-1)</f>
        <v>0</v>
      </c>
      <c r="K213" s="1313">
        <f t="shared" si="80"/>
        <v>0</v>
      </c>
      <c r="L213" s="1313">
        <f>IF(AND(C213&gt;$F$61,'Instrumentos Financeiros'!C213&lt;'Instrumentos Financeiros'!$F$61+'Instrumentos Financeiros'!$F$11+1),PMT(((1+'Instrumentos Financeiros'!$G$43)^(1/12)-1),$F$11,-$I$61),0)</f>
        <v>0</v>
      </c>
      <c r="M213" s="1313">
        <f t="shared" si="112"/>
        <v>0</v>
      </c>
      <c r="N213" s="1313">
        <f>O212*((1+'Instrumentos Financeiros'!$G$43)^(1/12)-1)</f>
        <v>0</v>
      </c>
      <c r="O213" s="1313">
        <f t="shared" si="81"/>
        <v>0</v>
      </c>
      <c r="P213" s="1313">
        <f>IF(AND(C213&gt;$F$62,'Instrumentos Financeiros'!C213&lt;'Instrumentos Financeiros'!$F$62+'Instrumentos Financeiros'!$F$11+1),PMT(((1+'Instrumentos Financeiros'!$H$43)^(1/12)-1),$F$11,-$I$62),0)</f>
        <v>0</v>
      </c>
      <c r="Q213" s="1313">
        <f t="shared" si="113"/>
        <v>0</v>
      </c>
      <c r="R213" s="1313">
        <f>S212*((1+'Instrumentos Financeiros'!$H$43)^(1/12)-1)</f>
        <v>0</v>
      </c>
      <c r="S213" s="1313">
        <f t="shared" si="82"/>
        <v>0</v>
      </c>
      <c r="T213" s="1313">
        <f>IF(AND(C213&gt;$F$63,'Instrumentos Financeiros'!C213&lt;'Instrumentos Financeiros'!$F$63+'Instrumentos Financeiros'!$F$11+1),PMT(((1+'Instrumentos Financeiros'!$H$43)^(1/12)-1),$F$11,-$I$63),0)</f>
        <v>0</v>
      </c>
      <c r="U213" s="1313">
        <f t="shared" si="114"/>
        <v>0</v>
      </c>
      <c r="V213" s="1313">
        <f>W212*((1+'Instrumentos Financeiros'!$H$43)^(1/12)-1)</f>
        <v>0</v>
      </c>
      <c r="W213" s="1313">
        <f t="shared" si="83"/>
        <v>0</v>
      </c>
      <c r="X213" s="1313">
        <f>IF(AND(C213&gt;$F$64,'Instrumentos Financeiros'!C213&lt;'Instrumentos Financeiros'!$F$64+'Instrumentos Financeiros'!$F$11+1),PMT(((1+'Instrumentos Financeiros'!$H$43)^(1/12)-1),$F$11,-$I$64),0)</f>
        <v>0</v>
      </c>
      <c r="Y213" s="1313">
        <f t="shared" si="115"/>
        <v>0</v>
      </c>
      <c r="Z213" s="1313">
        <f>AA212*((1+'Instrumentos Financeiros'!$H$43)^(1/12)-1)</f>
        <v>0</v>
      </c>
      <c r="AA213" s="1313">
        <f t="shared" si="84"/>
        <v>0</v>
      </c>
      <c r="AB213" s="1313">
        <f>IF(AND(C213&gt;$F$65,'Instrumentos Financeiros'!C213&lt;'Instrumentos Financeiros'!$F$65+'Instrumentos Financeiros'!$F$11+1),PMT(((1+'Instrumentos Financeiros'!$H$43)^(1/12)-1),$F$11,-$I$65),0)</f>
        <v>76636.661022032335</v>
      </c>
      <c r="AC213" s="1313">
        <f t="shared" si="116"/>
        <v>40994.816925490624</v>
      </c>
      <c r="AD213" s="1313">
        <f>AE212*((1+'Instrumentos Financeiros'!$H$43)^(1/12)-1)</f>
        <v>35641.84409654171</v>
      </c>
      <c r="AE213" s="1313">
        <f t="shared" si="85"/>
        <v>8201779.252139844</v>
      </c>
      <c r="AF213" s="1313">
        <f>IF(AND(C213&gt;$F$66,'Instrumentos Financeiros'!C213&lt;'Instrumentos Financeiros'!$F$66+'Instrumentos Financeiros'!$F$11+1),PMT(((1+'Instrumentos Financeiros'!$I$43)^(1/12)-1),$F$11,-$I$66),0)</f>
        <v>76636.661022032335</v>
      </c>
      <c r="AG213" s="1313">
        <f t="shared" si="117"/>
        <v>40467.596800590072</v>
      </c>
      <c r="AH213" s="1313">
        <f>AI212*((1+'Instrumentos Financeiros'!$I$43)^(1/12)-1)</f>
        <v>36169.064221442262</v>
      </c>
      <c r="AI213" s="1313">
        <f t="shared" si="86"/>
        <v>8324234.9662688263</v>
      </c>
      <c r="AJ213" s="1313">
        <f>IF(AND(C213&gt;$F$67,'Instrumentos Financeiros'!C213&lt;'Instrumentos Financeiros'!$F$67+'Instrumentos Financeiros'!$F$11+1),PMT(((1+'Instrumentos Financeiros'!$I$43)^(1/12)-1),$F$11,-$I$67),0)</f>
        <v>76636.661022032335</v>
      </c>
      <c r="AK213" s="1313">
        <f t="shared" si="118"/>
        <v>39947.157070894253</v>
      </c>
      <c r="AL213" s="1313">
        <f>AM212*((1+'Instrumentos Financeiros'!$I$43)^(1/12)-1)</f>
        <v>36689.503951138082</v>
      </c>
      <c r="AM213" s="1313">
        <f t="shared" si="87"/>
        <v>8445115.8199217841</v>
      </c>
      <c r="AN213" s="1313">
        <f>IF(AND(C213&gt;$F$68,'Instrumentos Financeiros'!C213&lt;'Instrumentos Financeiros'!$F$68+'Instrumentos Financeiros'!$F$11+1),PMT(((1+'Instrumentos Financeiros'!$I$43)^(1/12)-1),$F$11,-$I$68),0)</f>
        <v>76636.661022032335</v>
      </c>
      <c r="AO213" s="1313">
        <f t="shared" si="119"/>
        <v>39433.410536091629</v>
      </c>
      <c r="AP213" s="1313">
        <f>AQ212*((1+'Instrumentos Financeiros'!$I$43)^(1/12)-1)</f>
        <v>37203.250485940705</v>
      </c>
      <c r="AQ213" s="1313">
        <f t="shared" si="88"/>
        <v>8564442.0668331906</v>
      </c>
      <c r="AR213" s="1313">
        <f>IF(AND(C213&gt;$F$69,'Instrumentos Financeiros'!C213&lt;'Instrumentos Financeiros'!$F$69+'Instrumentos Financeiros'!$F$11+1),PMT(((1+'Instrumentos Financeiros'!$I$43)^(1/12)-1),$F$11,-$I$69),0)</f>
        <v>0</v>
      </c>
      <c r="AS213" s="1313">
        <f t="shared" si="120"/>
        <v>0</v>
      </c>
      <c r="AT213" s="1313">
        <f>AU212*((1+'Instrumentos Financeiros'!$I$43)^(1/12)-1)</f>
        <v>0</v>
      </c>
      <c r="AU213" s="1313">
        <f t="shared" si="89"/>
        <v>0</v>
      </c>
      <c r="AV213" s="1313">
        <f>IF(AND(C213&gt;$F$70,'Instrumentos Financeiros'!C213&lt;'Instrumentos Financeiros'!$F$70+'Instrumentos Financeiros'!$F$11+1),PMT(((1+'Instrumentos Financeiros'!$J$43)^(1/12)-1),$F$11,-$I$70),0)</f>
        <v>0</v>
      </c>
      <c r="AW213" s="1313">
        <f t="shared" si="121"/>
        <v>0</v>
      </c>
      <c r="AX213" s="1313">
        <f>AY212*((1+'Instrumentos Financeiros'!$J$43)^(1/12)-1)</f>
        <v>0</v>
      </c>
      <c r="AY213" s="1313">
        <f t="shared" si="90"/>
        <v>0</v>
      </c>
      <c r="AZ213" s="1313">
        <f>IF(AND(C213&gt;$F$71,'Instrumentos Financeiros'!C213&lt;'Instrumentos Financeiros'!$F$71+'Instrumentos Financeiros'!$F$11+1),PMT(((1+'Instrumentos Financeiros'!$J$43)^(1/12)-1),$F$11,-$I$71),0)</f>
        <v>0</v>
      </c>
      <c r="BA213" s="1313">
        <f t="shared" si="122"/>
        <v>0</v>
      </c>
      <c r="BB213" s="1313">
        <f>BC212*((1+'Instrumentos Financeiros'!$J$43)^(1/12)-1)</f>
        <v>0</v>
      </c>
      <c r="BC213" s="1313">
        <f t="shared" si="91"/>
        <v>0</v>
      </c>
      <c r="BD213" s="1313">
        <f>IF(AND(C213&gt;$F$72,'Instrumentos Financeiros'!C213&lt;'Instrumentos Financeiros'!$F$72+'Instrumentos Financeiros'!$F$11+1),PMT(((1+'Instrumentos Financeiros'!$J$43)^(1/12)-1),$F$11,-'Instrumentos Financeiros'!$G$7*$G$72),0)</f>
        <v>0</v>
      </c>
      <c r="BE213" s="1313">
        <f t="shared" si="123"/>
        <v>0</v>
      </c>
      <c r="BF213" s="1313">
        <f>BG212*((1+'Instrumentos Financeiros'!$J$43)^(1/12)-1)</f>
        <v>0</v>
      </c>
      <c r="BG213" s="1313">
        <f t="shared" si="92"/>
        <v>0</v>
      </c>
      <c r="BH213" s="1313">
        <f>IF(AND(C213&gt;$F$73,'Instrumentos Financeiros'!C213&lt;'Instrumentos Financeiros'!$F$73+'Instrumentos Financeiros'!$F$11+1),PMT(((1+'Instrumentos Financeiros'!$J$43)^(1/12)-1),$F$11,-$I$73),0)</f>
        <v>0</v>
      </c>
      <c r="BI213" s="1313">
        <f t="shared" si="124"/>
        <v>0</v>
      </c>
      <c r="BJ213" s="1313">
        <f>BK212*((1+'Instrumentos Financeiros'!$J$43)^(1/12)-1)</f>
        <v>0</v>
      </c>
      <c r="BK213" s="1313">
        <f t="shared" si="93"/>
        <v>0</v>
      </c>
      <c r="BL213" s="1313">
        <f>IF(AND(C213&gt;$F$77,'Instrumentos Financeiros'!C213&lt;'Instrumentos Financeiros'!$F$77+'Instrumentos Financeiros'!$F$12+1),PMT(((1+'Instrumentos Financeiros'!$K$43)^(1/12)-1),$F$12,-$I$77),0)</f>
        <v>368.57912678094596</v>
      </c>
      <c r="BM213" s="1313">
        <f t="shared" si="94"/>
        <v>187.21341491034889</v>
      </c>
      <c r="BN213" s="1313">
        <f>BO212*((1+'Instrumentos Financeiros'!$K$43)^(1/12)-1)</f>
        <v>181.36571187059707</v>
      </c>
      <c r="BO213" s="1313">
        <f t="shared" si="95"/>
        <v>41756.648490079751</v>
      </c>
      <c r="BP213" s="1313">
        <f>IF(AND(C213&gt;$F$78,'Instrumentos Financeiros'!C213&lt;'Instrumentos Financeiros'!$F$78+'Instrumentos Financeiros'!$F$12+1),PMT(((1+'Instrumentos Financeiros'!$L$43)^(1/12)-1),$F$12,-$I$78),0)</f>
        <v>368.57912678094596</v>
      </c>
      <c r="BQ213" s="1313">
        <f t="shared" si="96"/>
        <v>184.80572810029469</v>
      </c>
      <c r="BR213" s="1313">
        <f>BS212*((1+'Instrumentos Financeiros'!$L$43)^(1/12)-1)</f>
        <v>183.77339868065127</v>
      </c>
      <c r="BS213" s="1313">
        <f t="shared" si="97"/>
        <v>42315.87412240883</v>
      </c>
      <c r="BT213" s="1313">
        <f>IF(AND(C213&gt;$F$79,'Instrumentos Financeiros'!C213&lt;'Instrumentos Financeiros'!$F$79+'Instrumentos Financeiros'!$F$12+1),PMT(((1+'Instrumentos Financeiros'!$L$43)^(1/12)-1),$F$12,-$I$79),0)</f>
        <v>368.57912678094596</v>
      </c>
      <c r="BU213" s="1313">
        <f t="shared" si="98"/>
        <v>182.42900571540238</v>
      </c>
      <c r="BV213" s="1313">
        <f>BW212*((1+'Instrumentos Financeiros'!$L$43)^(1/12)-1)</f>
        <v>186.15012106554357</v>
      </c>
      <c r="BW213" s="1313">
        <f t="shared" si="99"/>
        <v>42867.907747800549</v>
      </c>
      <c r="BX213" s="1313">
        <f>IF(AND(C213&gt;$F$80,'Instrumentos Financeiros'!C213&lt;'Instrumentos Financeiros'!$F$80+'Instrumentos Financeiros'!$F$12+1),PMT(((1+'Instrumentos Financeiros'!$L$43)^(1/12)-1),$F$12,-$I$80),0)</f>
        <v>368.57912678094596</v>
      </c>
      <c r="BY213" s="1313">
        <f t="shared" si="100"/>
        <v>180.08284953293747</v>
      </c>
      <c r="BZ213" s="1313">
        <f>CA212*((1+'Instrumentos Financeiros'!$L$43)^(1/12)-1)</f>
        <v>188.49627724800848</v>
      </c>
      <c r="CA213" s="1313">
        <f t="shared" si="101"/>
        <v>43412.841860162174</v>
      </c>
      <c r="CB213" s="1313">
        <f>IF(AND(C213&gt;$F$83,'Instrumentos Financeiros'!C213&lt;'Instrumentos Financeiros'!$F$83+'Instrumentos Financeiros'!$F$13+1),PMT(((1+'Instrumentos Financeiros'!$P$43)^(1/12)-1),$F$13,-$I$83),0)</f>
        <v>0</v>
      </c>
      <c r="CC213" s="1313">
        <f t="shared" si="102"/>
        <v>0</v>
      </c>
      <c r="CD213" s="1313">
        <f>CE212*((1+'Instrumentos Financeiros'!$P$43)^(1/12)-1)</f>
        <v>0</v>
      </c>
      <c r="CE213" s="1313">
        <f t="shared" si="103"/>
        <v>0</v>
      </c>
      <c r="CF213" s="1313">
        <f>IF(AND(C213&gt;$F$84,'Instrumentos Financeiros'!C213&lt;'Instrumentos Financeiros'!$F$84+'Instrumentos Financeiros'!$F$13+1),PMT(((1+'Instrumentos Financeiros'!$Q$43)^(1/12)-1),$F$13,-$I$84),0)</f>
        <v>0</v>
      </c>
      <c r="CG213" s="1313">
        <f t="shared" si="104"/>
        <v>0</v>
      </c>
      <c r="CH213" s="1313">
        <f>CI212*((1+'Instrumentos Financeiros'!$Q$43)^(1/12)-1)</f>
        <v>0</v>
      </c>
      <c r="CI213" s="1313">
        <f t="shared" si="105"/>
        <v>0</v>
      </c>
      <c r="CJ213" s="1313">
        <f>IF(AND(C213&gt;$F$85,'Instrumentos Financeiros'!C213&lt;'Instrumentos Financeiros'!$F$85+'Instrumentos Financeiros'!$F$13+1),PMT(((1+'Instrumentos Financeiros'!$Q$43)^(1/12)-1),$F$13,-$I$85),0)</f>
        <v>0</v>
      </c>
      <c r="CK213" s="1313">
        <f t="shared" si="106"/>
        <v>0</v>
      </c>
      <c r="CL213" s="1313">
        <f>CM212*((1+'Instrumentos Financeiros'!$Q$43)^(1/12)-1)</f>
        <v>0</v>
      </c>
      <c r="CM213" s="1313">
        <f t="shared" si="107"/>
        <v>0</v>
      </c>
      <c r="CN213" s="1313">
        <f>IF(AND(C213&gt;$F$86,'Instrumentos Financeiros'!C213&lt;'Instrumentos Financeiros'!$F$86+'Instrumentos Financeiros'!$F$13+1),PMT(((1+'Instrumentos Financeiros'!$Q$43)^(1/12)-1),$F$13,-$I$86),0)</f>
        <v>0</v>
      </c>
      <c r="CO213" s="1313">
        <f t="shared" si="108"/>
        <v>0</v>
      </c>
      <c r="CP213" s="1313">
        <f>CQ212*((1+'Instrumentos Financeiros'!$Q$43)^(1/12)-1)</f>
        <v>0</v>
      </c>
      <c r="CQ213" s="1313">
        <f t="shared" si="109"/>
        <v>0</v>
      </c>
      <c r="CR213" s="1313">
        <f t="shared" si="78"/>
        <v>399789.55023115332</v>
      </c>
      <c r="CS213" s="1313">
        <f t="shared" si="78"/>
        <v>216281.49493562858</v>
      </c>
      <c r="CT213" s="1313">
        <f t="shared" si="78"/>
        <v>183508.05529552474</v>
      </c>
      <c r="CU213" s="1313">
        <f t="shared" si="78"/>
        <v>42731676.54450161</v>
      </c>
    </row>
    <row r="214" spans="3:99" x14ac:dyDescent="0.35">
      <c r="C214" s="1315">
        <f t="shared" si="79"/>
        <v>121</v>
      </c>
      <c r="D214" s="1312">
        <f>IF(AND(C214&gt;$F$59,'Instrumentos Financeiros'!C214&lt;'Instrumentos Financeiros'!$F$59+'Instrumentos Financeiros'!$F$11+1),PMT(((1+'Instrumentos Financeiros'!$G$43)^(1/12)-1),$F$11,-$I$59),0)</f>
        <v>91768.589635900134</v>
      </c>
      <c r="E214" s="1312">
        <f t="shared" si="76"/>
        <v>54927.273351832744</v>
      </c>
      <c r="F214" s="1312">
        <f>G213*((1+'Instrumentos Financeiros'!$G$43)^(1/12)-1)</f>
        <v>36841.31628406739</v>
      </c>
      <c r="G214" s="1312">
        <f t="shared" si="110"/>
        <v>8970823.8937656824</v>
      </c>
      <c r="H214" s="1312">
        <f>IF(AND(C214&gt;$F$60,'Instrumentos Financeiros'!C214&lt;'Instrumentos Financeiros'!$F$60+'Instrumentos Financeiros'!$F$11+1),PMT(((1+'Instrumentos Financeiros'!$G$43)^(1/12)-1),$F$11,-$I$60),0)</f>
        <v>0</v>
      </c>
      <c r="I214" s="1312">
        <f t="shared" si="111"/>
        <v>0</v>
      </c>
      <c r="J214" s="1312">
        <f>K213*((1+'Instrumentos Financeiros'!$G$43)^(1/12)-1)</f>
        <v>0</v>
      </c>
      <c r="K214" s="1312">
        <f t="shared" si="80"/>
        <v>0</v>
      </c>
      <c r="L214" s="1312">
        <f>IF(AND(C214&gt;$F$61,'Instrumentos Financeiros'!C214&lt;'Instrumentos Financeiros'!$F$61+'Instrumentos Financeiros'!$F$11+1),PMT(((1+'Instrumentos Financeiros'!$G$43)^(1/12)-1),$F$11,-$I$61),0)</f>
        <v>0</v>
      </c>
      <c r="M214" s="1312">
        <f t="shared" si="112"/>
        <v>0</v>
      </c>
      <c r="N214" s="1312">
        <f>O213*((1+'Instrumentos Financeiros'!$G$43)^(1/12)-1)</f>
        <v>0</v>
      </c>
      <c r="O214" s="1312">
        <f t="shared" si="81"/>
        <v>0</v>
      </c>
      <c r="P214" s="1312">
        <f>IF(AND(C214&gt;$F$62,'Instrumentos Financeiros'!C214&lt;'Instrumentos Financeiros'!$F$62+'Instrumentos Financeiros'!$F$11+1),PMT(((1+'Instrumentos Financeiros'!$H$43)^(1/12)-1),$F$11,-$I$62),0)</f>
        <v>0</v>
      </c>
      <c r="Q214" s="1312">
        <f t="shared" si="113"/>
        <v>0</v>
      </c>
      <c r="R214" s="1312">
        <f>S213*((1+'Instrumentos Financeiros'!$H$43)^(1/12)-1)</f>
        <v>0</v>
      </c>
      <c r="S214" s="1312">
        <f t="shared" si="82"/>
        <v>0</v>
      </c>
      <c r="T214" s="1312">
        <f>IF(AND(C214&gt;$F$63,'Instrumentos Financeiros'!C214&lt;'Instrumentos Financeiros'!$F$63+'Instrumentos Financeiros'!$F$11+1),PMT(((1+'Instrumentos Financeiros'!$H$43)^(1/12)-1),$F$11,-$I$63),0)</f>
        <v>0</v>
      </c>
      <c r="U214" s="1312">
        <f t="shared" si="114"/>
        <v>0</v>
      </c>
      <c r="V214" s="1312">
        <f>W213*((1+'Instrumentos Financeiros'!$H$43)^(1/12)-1)</f>
        <v>0</v>
      </c>
      <c r="W214" s="1312">
        <f t="shared" si="83"/>
        <v>0</v>
      </c>
      <c r="X214" s="1312">
        <f>IF(AND(C214&gt;$F$64,'Instrumentos Financeiros'!C214&lt;'Instrumentos Financeiros'!$F$64+'Instrumentos Financeiros'!$F$11+1),PMT(((1+'Instrumentos Financeiros'!$H$43)^(1/12)-1),$F$11,-$I$64),0)</f>
        <v>0</v>
      </c>
      <c r="Y214" s="1312">
        <f t="shared" si="115"/>
        <v>0</v>
      </c>
      <c r="Z214" s="1312">
        <f>AA213*((1+'Instrumentos Financeiros'!$H$43)^(1/12)-1)</f>
        <v>0</v>
      </c>
      <c r="AA214" s="1312">
        <f t="shared" si="84"/>
        <v>0</v>
      </c>
      <c r="AB214" s="1312">
        <f>IF(AND(C214&gt;$F$65,'Instrumentos Financeiros'!C214&lt;'Instrumentos Financeiros'!$F$65+'Instrumentos Financeiros'!$F$11+1),PMT(((1+'Instrumentos Financeiros'!$H$43)^(1/12)-1),$F$11,-$I$65),0)</f>
        <v>76636.661022032335</v>
      </c>
      <c r="AC214" s="1312">
        <f t="shared" si="116"/>
        <v>41172.078956620186</v>
      </c>
      <c r="AD214" s="1312">
        <f>AE213*((1+'Instrumentos Financeiros'!$H$43)^(1/12)-1)</f>
        <v>35464.582065412149</v>
      </c>
      <c r="AE214" s="1312">
        <f t="shared" si="85"/>
        <v>8160607.1731832242</v>
      </c>
      <c r="AF214" s="1312">
        <f>IF(AND(C214&gt;$F$66,'Instrumentos Financeiros'!C214&lt;'Instrumentos Financeiros'!$F$66+'Instrumentos Financeiros'!$F$11+1),PMT(((1+'Instrumentos Financeiros'!$I$43)^(1/12)-1),$F$11,-$I$66),0)</f>
        <v>76636.661022032335</v>
      </c>
      <c r="AG214" s="1312">
        <f t="shared" si="117"/>
        <v>40642.579126205594</v>
      </c>
      <c r="AH214" s="1312">
        <f>AI213*((1+'Instrumentos Financeiros'!$I$43)^(1/12)-1)</f>
        <v>35994.081895826741</v>
      </c>
      <c r="AI214" s="1312">
        <f t="shared" si="86"/>
        <v>8283592.387142621</v>
      </c>
      <c r="AJ214" s="1312">
        <f>IF(AND(C214&gt;$F$67,'Instrumentos Financeiros'!C214&lt;'Instrumentos Financeiros'!$F$67+'Instrumentos Financeiros'!$F$11+1),PMT(((1+'Instrumentos Financeiros'!$I$43)^(1/12)-1),$F$11,-$I$67),0)</f>
        <v>76636.661022032335</v>
      </c>
      <c r="AK214" s="1312">
        <f t="shared" si="118"/>
        <v>40119.88900949782</v>
      </c>
      <c r="AL214" s="1312">
        <f>AM213*((1+'Instrumentos Financeiros'!$I$43)^(1/12)-1)</f>
        <v>36516.772012534515</v>
      </c>
      <c r="AM214" s="1312">
        <f t="shared" si="87"/>
        <v>8404995.930912286</v>
      </c>
      <c r="AN214" s="1312">
        <f>IF(AND(C214&gt;$F$68,'Instrumentos Financeiros'!C214&lt;'Instrumentos Financeiros'!$F$68+'Instrumentos Financeiros'!$F$11+1),PMT(((1+'Instrumentos Financeiros'!$I$43)^(1/12)-1),$F$11,-$I$68),0)</f>
        <v>76636.661022032335</v>
      </c>
      <c r="AO214" s="1312">
        <f t="shared" si="119"/>
        <v>39603.921029130252</v>
      </c>
      <c r="AP214" s="1312">
        <f>AQ213*((1+'Instrumentos Financeiros'!$I$43)^(1/12)-1)</f>
        <v>37032.739992902083</v>
      </c>
      <c r="AQ214" s="1312">
        <f t="shared" si="88"/>
        <v>8524838.1458040606</v>
      </c>
      <c r="AR214" s="1312">
        <f>IF(AND(C214&gt;$F$69,'Instrumentos Financeiros'!C214&lt;'Instrumentos Financeiros'!$F$69+'Instrumentos Financeiros'!$F$11+1),PMT(((1+'Instrumentos Financeiros'!$I$43)^(1/12)-1),$F$11,-$I$69),0)</f>
        <v>0</v>
      </c>
      <c r="AS214" s="1312">
        <f t="shared" si="120"/>
        <v>0</v>
      </c>
      <c r="AT214" s="1312">
        <f>AU213*((1+'Instrumentos Financeiros'!$I$43)^(1/12)-1)</f>
        <v>0</v>
      </c>
      <c r="AU214" s="1312">
        <f t="shared" si="89"/>
        <v>0</v>
      </c>
      <c r="AV214" s="1312">
        <f>IF(AND(C214&gt;$F$70,'Instrumentos Financeiros'!C214&lt;'Instrumentos Financeiros'!$F$70+'Instrumentos Financeiros'!$F$11+1),PMT(((1+'Instrumentos Financeiros'!$J$43)^(1/12)-1),$F$11,-$I$70),0)</f>
        <v>0</v>
      </c>
      <c r="AW214" s="1312">
        <f t="shared" si="121"/>
        <v>0</v>
      </c>
      <c r="AX214" s="1312">
        <f>AY213*((1+'Instrumentos Financeiros'!$J$43)^(1/12)-1)</f>
        <v>0</v>
      </c>
      <c r="AY214" s="1312">
        <f t="shared" si="90"/>
        <v>0</v>
      </c>
      <c r="AZ214" s="1312">
        <f>IF(AND(C214&gt;$F$71,'Instrumentos Financeiros'!C214&lt;'Instrumentos Financeiros'!$F$71+'Instrumentos Financeiros'!$F$11+1),PMT(((1+'Instrumentos Financeiros'!$J$43)^(1/12)-1),$F$11,-$I$71),0)</f>
        <v>0</v>
      </c>
      <c r="BA214" s="1312">
        <f t="shared" si="122"/>
        <v>0</v>
      </c>
      <c r="BB214" s="1312">
        <f>BC213*((1+'Instrumentos Financeiros'!$J$43)^(1/12)-1)</f>
        <v>0</v>
      </c>
      <c r="BC214" s="1312">
        <f t="shared" si="91"/>
        <v>0</v>
      </c>
      <c r="BD214" s="1312">
        <f>IF(AND(C214&gt;$F$72,'Instrumentos Financeiros'!C214&lt;'Instrumentos Financeiros'!$F$72+'Instrumentos Financeiros'!$F$11+1),PMT(((1+'Instrumentos Financeiros'!$J$43)^(1/12)-1),$F$11,-'Instrumentos Financeiros'!$G$7*$G$72),0)</f>
        <v>0</v>
      </c>
      <c r="BE214" s="1312">
        <f t="shared" si="123"/>
        <v>0</v>
      </c>
      <c r="BF214" s="1312">
        <f>BG213*((1+'Instrumentos Financeiros'!$J$43)^(1/12)-1)</f>
        <v>0</v>
      </c>
      <c r="BG214" s="1312">
        <f t="shared" si="92"/>
        <v>0</v>
      </c>
      <c r="BH214" s="1312">
        <f>IF(AND(C214&gt;$F$73,'Instrumentos Financeiros'!C214&lt;'Instrumentos Financeiros'!$F$73+'Instrumentos Financeiros'!$F$11+1),PMT(((1+'Instrumentos Financeiros'!$J$43)^(1/12)-1),$F$11,-$I$73),0)</f>
        <v>0</v>
      </c>
      <c r="BI214" s="1312">
        <f t="shared" si="124"/>
        <v>0</v>
      </c>
      <c r="BJ214" s="1312">
        <f>BK213*((1+'Instrumentos Financeiros'!$J$43)^(1/12)-1)</f>
        <v>0</v>
      </c>
      <c r="BK214" s="1312">
        <f t="shared" si="93"/>
        <v>0</v>
      </c>
      <c r="BL214" s="1312">
        <f>IF(AND(C214&gt;$F$77,'Instrumentos Financeiros'!C214&lt;'Instrumentos Financeiros'!$F$77+'Instrumentos Financeiros'!$F$12+1),PMT(((1+'Instrumentos Financeiros'!$K$43)^(1/12)-1),$F$12,-$I$77),0)</f>
        <v>368.57912678094596</v>
      </c>
      <c r="BM214" s="1312">
        <f t="shared" si="94"/>
        <v>188.02292773832485</v>
      </c>
      <c r="BN214" s="1312">
        <f>BO213*((1+'Instrumentos Financeiros'!$K$43)^(1/12)-1)</f>
        <v>180.5561990426211</v>
      </c>
      <c r="BO214" s="1312">
        <f t="shared" si="95"/>
        <v>41568.625562341425</v>
      </c>
      <c r="BP214" s="1312">
        <f>IF(AND(C214&gt;$F$78,'Instrumentos Financeiros'!C214&lt;'Instrumentos Financeiros'!$F$78+'Instrumentos Financeiros'!$F$12+1),PMT(((1+'Instrumentos Financeiros'!$L$43)^(1/12)-1),$F$12,-$I$78),0)</f>
        <v>368.57912678094596</v>
      </c>
      <c r="BQ214" s="1312">
        <f t="shared" si="96"/>
        <v>185.60483006450093</v>
      </c>
      <c r="BR214" s="1312">
        <f>BS213*((1+'Instrumentos Financeiros'!$L$43)^(1/12)-1)</f>
        <v>182.97429671644502</v>
      </c>
      <c r="BS214" s="1312">
        <f t="shared" si="97"/>
        <v>42130.269292344332</v>
      </c>
      <c r="BT214" s="1312">
        <f>IF(AND(C214&gt;$F$79,'Instrumentos Financeiros'!C214&lt;'Instrumentos Financeiros'!$F$79+'Instrumentos Financeiros'!$F$12+1),PMT(((1+'Instrumentos Financeiros'!$L$43)^(1/12)-1),$F$12,-$I$79),0)</f>
        <v>368.57912678094596</v>
      </c>
      <c r="BU214" s="1312">
        <f t="shared" si="98"/>
        <v>183.2178307063478</v>
      </c>
      <c r="BV214" s="1312">
        <f>BW213*((1+'Instrumentos Financeiros'!$L$43)^(1/12)-1)</f>
        <v>185.36129607459816</v>
      </c>
      <c r="BW214" s="1312">
        <f t="shared" si="99"/>
        <v>42684.689917094198</v>
      </c>
      <c r="BX214" s="1312">
        <f>IF(AND(C214&gt;$F$80,'Instrumentos Financeiros'!C214&lt;'Instrumentos Financeiros'!$F$80+'Instrumentos Financeiros'!$F$12+1),PMT(((1+'Instrumentos Financeiros'!$L$43)^(1/12)-1),$F$12,-$I$80),0)</f>
        <v>368.57912678094596</v>
      </c>
      <c r="BY214" s="1312">
        <f t="shared" si="100"/>
        <v>180.86152971921146</v>
      </c>
      <c r="BZ214" s="1312">
        <f>CA213*((1+'Instrumentos Financeiros'!$L$43)^(1/12)-1)</f>
        <v>187.71759706173449</v>
      </c>
      <c r="CA214" s="1312">
        <f t="shared" si="101"/>
        <v>43231.980330442966</v>
      </c>
      <c r="CB214" s="1312">
        <f>IF(AND(C214&gt;$F$83,'Instrumentos Financeiros'!C214&lt;'Instrumentos Financeiros'!$F$83+'Instrumentos Financeiros'!$F$13+1),PMT(((1+'Instrumentos Financeiros'!$P$43)^(1/12)-1),$F$13,-$I$83),0)</f>
        <v>0</v>
      </c>
      <c r="CC214" s="1312">
        <f t="shared" si="102"/>
        <v>0</v>
      </c>
      <c r="CD214" s="1312">
        <f>CE213*((1+'Instrumentos Financeiros'!$P$43)^(1/12)-1)</f>
        <v>0</v>
      </c>
      <c r="CE214" s="1312">
        <f t="shared" si="103"/>
        <v>0</v>
      </c>
      <c r="CF214" s="1312">
        <f>IF(AND(C214&gt;$F$84,'Instrumentos Financeiros'!C214&lt;'Instrumentos Financeiros'!$F$84+'Instrumentos Financeiros'!$F$13+1),PMT(((1+'Instrumentos Financeiros'!$Q$43)^(1/12)-1),$F$13,-$I$84),0)</f>
        <v>0</v>
      </c>
      <c r="CG214" s="1312">
        <f t="shared" si="104"/>
        <v>0</v>
      </c>
      <c r="CH214" s="1312">
        <f>CI213*((1+'Instrumentos Financeiros'!$Q$43)^(1/12)-1)</f>
        <v>0</v>
      </c>
      <c r="CI214" s="1312">
        <f t="shared" si="105"/>
        <v>0</v>
      </c>
      <c r="CJ214" s="1312">
        <f>IF(AND(C214&gt;$F$85,'Instrumentos Financeiros'!C214&lt;'Instrumentos Financeiros'!$F$85+'Instrumentos Financeiros'!$F$13+1),PMT(((1+'Instrumentos Financeiros'!$Q$43)^(1/12)-1),$F$13,-$I$85),0)</f>
        <v>0</v>
      </c>
      <c r="CK214" s="1312">
        <f t="shared" si="106"/>
        <v>0</v>
      </c>
      <c r="CL214" s="1312">
        <f>CM213*((1+'Instrumentos Financeiros'!$Q$43)^(1/12)-1)</f>
        <v>0</v>
      </c>
      <c r="CM214" s="1312">
        <f t="shared" si="107"/>
        <v>0</v>
      </c>
      <c r="CN214" s="1312">
        <f>IF(AND(C214&gt;$F$86,'Instrumentos Financeiros'!C214&lt;'Instrumentos Financeiros'!$F$86+'Instrumentos Financeiros'!$F$13+1),PMT(((1+'Instrumentos Financeiros'!$Q$43)^(1/12)-1),$F$13,-$I$86),0)</f>
        <v>0</v>
      </c>
      <c r="CO214" s="1312">
        <f t="shared" si="108"/>
        <v>0</v>
      </c>
      <c r="CP214" s="1312">
        <f>CQ213*((1+'Instrumentos Financeiros'!$Q$43)^(1/12)-1)</f>
        <v>0</v>
      </c>
      <c r="CQ214" s="1312">
        <f t="shared" si="109"/>
        <v>0</v>
      </c>
      <c r="CR214" s="1312">
        <f t="shared" si="78"/>
        <v>399789.55023115332</v>
      </c>
      <c r="CS214" s="1312">
        <f t="shared" si="78"/>
        <v>217203.44859151499</v>
      </c>
      <c r="CT214" s="1312">
        <f t="shared" si="78"/>
        <v>182586.10163963831</v>
      </c>
      <c r="CU214" s="1312">
        <f t="shared" si="78"/>
        <v>42514473.095910102</v>
      </c>
    </row>
    <row r="215" spans="3:99" x14ac:dyDescent="0.35">
      <c r="C215" s="1315">
        <f t="shared" si="79"/>
        <v>122</v>
      </c>
      <c r="D215" s="1312">
        <f>IF(AND(C215&gt;$F$59,'Instrumentos Financeiros'!C215&lt;'Instrumentos Financeiros'!$F$59+'Instrumentos Financeiros'!$F$11+1),PMT(((1+'Instrumentos Financeiros'!$G$43)^(1/12)-1),$F$11,-$I$59),0)</f>
        <v>91768.589635900134</v>
      </c>
      <c r="E215" s="1312">
        <f t="shared" si="76"/>
        <v>55151.475527663672</v>
      </c>
      <c r="F215" s="1312">
        <f>G214*((1+'Instrumentos Financeiros'!$G$43)^(1/12)-1)</f>
        <v>36617.114108236463</v>
      </c>
      <c r="G215" s="1312">
        <f t="shared" si="110"/>
        <v>8915672.4182380196</v>
      </c>
      <c r="H215" s="1312">
        <f>IF(AND(C215&gt;$F$60,'Instrumentos Financeiros'!C215&lt;'Instrumentos Financeiros'!$F$60+'Instrumentos Financeiros'!$F$11+1),PMT(((1+'Instrumentos Financeiros'!$G$43)^(1/12)-1),$F$11,-$I$60),0)</f>
        <v>0</v>
      </c>
      <c r="I215" s="1312">
        <f t="shared" si="111"/>
        <v>0</v>
      </c>
      <c r="J215" s="1312">
        <f>K214*((1+'Instrumentos Financeiros'!$G$43)^(1/12)-1)</f>
        <v>0</v>
      </c>
      <c r="K215" s="1312">
        <f t="shared" si="80"/>
        <v>0</v>
      </c>
      <c r="L215" s="1312">
        <f>IF(AND(C215&gt;$F$61,'Instrumentos Financeiros'!C215&lt;'Instrumentos Financeiros'!$F$61+'Instrumentos Financeiros'!$F$11+1),PMT(((1+'Instrumentos Financeiros'!$G$43)^(1/12)-1),$F$11,-$I$61),0)</f>
        <v>0</v>
      </c>
      <c r="M215" s="1312">
        <f t="shared" si="112"/>
        <v>0</v>
      </c>
      <c r="N215" s="1312">
        <f>O214*((1+'Instrumentos Financeiros'!$G$43)^(1/12)-1)</f>
        <v>0</v>
      </c>
      <c r="O215" s="1312">
        <f t="shared" si="81"/>
        <v>0</v>
      </c>
      <c r="P215" s="1312">
        <f>IF(AND(C215&gt;$F$62,'Instrumentos Financeiros'!C215&lt;'Instrumentos Financeiros'!$F$62+'Instrumentos Financeiros'!$F$11+1),PMT(((1+'Instrumentos Financeiros'!$H$43)^(1/12)-1),$F$11,-$I$62),0)</f>
        <v>0</v>
      </c>
      <c r="Q215" s="1312">
        <f t="shared" si="113"/>
        <v>0</v>
      </c>
      <c r="R215" s="1312">
        <f>S214*((1+'Instrumentos Financeiros'!$H$43)^(1/12)-1)</f>
        <v>0</v>
      </c>
      <c r="S215" s="1312">
        <f t="shared" si="82"/>
        <v>0</v>
      </c>
      <c r="T215" s="1312">
        <f>IF(AND(C215&gt;$F$63,'Instrumentos Financeiros'!C215&lt;'Instrumentos Financeiros'!$F$63+'Instrumentos Financeiros'!$F$11+1),PMT(((1+'Instrumentos Financeiros'!$H$43)^(1/12)-1),$F$11,-$I$63),0)</f>
        <v>0</v>
      </c>
      <c r="U215" s="1312">
        <f t="shared" si="114"/>
        <v>0</v>
      </c>
      <c r="V215" s="1312">
        <f>W214*((1+'Instrumentos Financeiros'!$H$43)^(1/12)-1)</f>
        <v>0</v>
      </c>
      <c r="W215" s="1312">
        <f t="shared" si="83"/>
        <v>0</v>
      </c>
      <c r="X215" s="1312">
        <f>IF(AND(C215&gt;$F$64,'Instrumentos Financeiros'!C215&lt;'Instrumentos Financeiros'!$F$64+'Instrumentos Financeiros'!$F$11+1),PMT(((1+'Instrumentos Financeiros'!$H$43)^(1/12)-1),$F$11,-$I$64),0)</f>
        <v>0</v>
      </c>
      <c r="Y215" s="1312">
        <f t="shared" si="115"/>
        <v>0</v>
      </c>
      <c r="Z215" s="1312">
        <f>AA214*((1+'Instrumentos Financeiros'!$H$43)^(1/12)-1)</f>
        <v>0</v>
      </c>
      <c r="AA215" s="1312">
        <f t="shared" si="84"/>
        <v>0</v>
      </c>
      <c r="AB215" s="1312">
        <f>IF(AND(C215&gt;$F$65,'Instrumentos Financeiros'!C215&lt;'Instrumentos Financeiros'!$F$65+'Instrumentos Financeiros'!$F$11+1),PMT(((1+'Instrumentos Financeiros'!$H$43)^(1/12)-1),$F$11,-$I$65),0)</f>
        <v>76636.661022032335</v>
      </c>
      <c r="AC215" s="1312">
        <f t="shared" si="116"/>
        <v>41350.107470686773</v>
      </c>
      <c r="AD215" s="1312">
        <f>AE214*((1+'Instrumentos Financeiros'!$H$43)^(1/12)-1)</f>
        <v>35286.553551345562</v>
      </c>
      <c r="AE215" s="1312">
        <f t="shared" si="85"/>
        <v>8119257.0657125376</v>
      </c>
      <c r="AF215" s="1312">
        <f>IF(AND(C215&gt;$F$66,'Instrumentos Financeiros'!C215&lt;'Instrumentos Financeiros'!$F$66+'Instrumentos Financeiros'!$F$11+1),PMT(((1+'Instrumentos Financeiros'!$I$43)^(1/12)-1),$F$11,-$I$66),0)</f>
        <v>76636.661022032335</v>
      </c>
      <c r="AG215" s="1312">
        <f t="shared" si="117"/>
        <v>40818.31807728688</v>
      </c>
      <c r="AH215" s="1312">
        <f>AI214*((1+'Instrumentos Financeiros'!$I$43)^(1/12)-1)</f>
        <v>35818.342944745455</v>
      </c>
      <c r="AI215" s="1312">
        <f t="shared" si="86"/>
        <v>8242774.0690653343</v>
      </c>
      <c r="AJ215" s="1312">
        <f>IF(AND(C215&gt;$F$67,'Instrumentos Financeiros'!C215&lt;'Instrumentos Financeiros'!$F$67+'Instrumentos Financeiros'!$F$11+1),PMT(((1+'Instrumentos Financeiros'!$I$43)^(1/12)-1),$F$11,-$I$67),0)</f>
        <v>76636.661022032335</v>
      </c>
      <c r="AK215" s="1312">
        <f t="shared" si="118"/>
        <v>40293.367842869411</v>
      </c>
      <c r="AL215" s="1312">
        <f>AM214*((1+'Instrumentos Financeiros'!$I$43)^(1/12)-1)</f>
        <v>36343.293179162923</v>
      </c>
      <c r="AM215" s="1312">
        <f t="shared" si="87"/>
        <v>8364702.5630694162</v>
      </c>
      <c r="AN215" s="1312">
        <f>IF(AND(C215&gt;$F$68,'Instrumentos Financeiros'!C215&lt;'Instrumentos Financeiros'!$F$68+'Instrumentos Financeiros'!$F$11+1),PMT(((1+'Instrumentos Financeiros'!$I$43)^(1/12)-1),$F$11,-$I$68),0)</f>
        <v>76636.661022032335</v>
      </c>
      <c r="AO215" s="1312">
        <f t="shared" si="119"/>
        <v>39775.168811382282</v>
      </c>
      <c r="AP215" s="1312">
        <f>AQ214*((1+'Instrumentos Financeiros'!$I$43)^(1/12)-1)</f>
        <v>36861.492210650053</v>
      </c>
      <c r="AQ215" s="1312">
        <f t="shared" si="88"/>
        <v>8485062.9769926779</v>
      </c>
      <c r="AR215" s="1312">
        <f>IF(AND(C215&gt;$F$69,'Instrumentos Financeiros'!C215&lt;'Instrumentos Financeiros'!$F$69+'Instrumentos Financeiros'!$F$11+1),PMT(((1+'Instrumentos Financeiros'!$I$43)^(1/12)-1),$F$11,-$I$69),0)</f>
        <v>0</v>
      </c>
      <c r="AS215" s="1312">
        <f t="shared" si="120"/>
        <v>0</v>
      </c>
      <c r="AT215" s="1312">
        <f>AU214*((1+'Instrumentos Financeiros'!$I$43)^(1/12)-1)</f>
        <v>0</v>
      </c>
      <c r="AU215" s="1312">
        <f t="shared" si="89"/>
        <v>0</v>
      </c>
      <c r="AV215" s="1312">
        <f>IF(AND(C215&gt;$F$70,'Instrumentos Financeiros'!C215&lt;'Instrumentos Financeiros'!$F$70+'Instrumentos Financeiros'!$F$11+1),PMT(((1+'Instrumentos Financeiros'!$J$43)^(1/12)-1),$F$11,-$I$70),0)</f>
        <v>0</v>
      </c>
      <c r="AW215" s="1312">
        <f t="shared" si="121"/>
        <v>0</v>
      </c>
      <c r="AX215" s="1312">
        <f>AY214*((1+'Instrumentos Financeiros'!$J$43)^(1/12)-1)</f>
        <v>0</v>
      </c>
      <c r="AY215" s="1312">
        <f t="shared" si="90"/>
        <v>0</v>
      </c>
      <c r="AZ215" s="1312">
        <f>IF(AND(C215&gt;$F$71,'Instrumentos Financeiros'!C215&lt;'Instrumentos Financeiros'!$F$71+'Instrumentos Financeiros'!$F$11+1),PMT(((1+'Instrumentos Financeiros'!$J$43)^(1/12)-1),$F$11,-$I$71),0)</f>
        <v>0</v>
      </c>
      <c r="BA215" s="1312">
        <f t="shared" si="122"/>
        <v>0</v>
      </c>
      <c r="BB215" s="1312">
        <f>BC214*((1+'Instrumentos Financeiros'!$J$43)^(1/12)-1)</f>
        <v>0</v>
      </c>
      <c r="BC215" s="1312">
        <f t="shared" si="91"/>
        <v>0</v>
      </c>
      <c r="BD215" s="1312">
        <f>IF(AND(C215&gt;$F$72,'Instrumentos Financeiros'!C215&lt;'Instrumentos Financeiros'!$F$72+'Instrumentos Financeiros'!$F$11+1),PMT(((1+'Instrumentos Financeiros'!$J$43)^(1/12)-1),$F$11,-'Instrumentos Financeiros'!$G$7*$G$72),0)</f>
        <v>0</v>
      </c>
      <c r="BE215" s="1312">
        <f t="shared" si="123"/>
        <v>0</v>
      </c>
      <c r="BF215" s="1312">
        <f>BG214*((1+'Instrumentos Financeiros'!$J$43)^(1/12)-1)</f>
        <v>0</v>
      </c>
      <c r="BG215" s="1312">
        <f t="shared" si="92"/>
        <v>0</v>
      </c>
      <c r="BH215" s="1312">
        <f>IF(AND(C215&gt;$F$73,'Instrumentos Financeiros'!C215&lt;'Instrumentos Financeiros'!$F$73+'Instrumentos Financeiros'!$F$11+1),PMT(((1+'Instrumentos Financeiros'!$J$43)^(1/12)-1),$F$11,-$I$73),0)</f>
        <v>0</v>
      </c>
      <c r="BI215" s="1312">
        <f t="shared" si="124"/>
        <v>0</v>
      </c>
      <c r="BJ215" s="1312">
        <f>BK214*((1+'Instrumentos Financeiros'!$J$43)^(1/12)-1)</f>
        <v>0</v>
      </c>
      <c r="BK215" s="1312">
        <f t="shared" si="93"/>
        <v>0</v>
      </c>
      <c r="BL215" s="1312">
        <f>IF(AND(C215&gt;$F$77,'Instrumentos Financeiros'!C215&lt;'Instrumentos Financeiros'!$F$77+'Instrumentos Financeiros'!$F$12+1),PMT(((1+'Instrumentos Financeiros'!$K$43)^(1/12)-1),$F$12,-$I$77),0)</f>
        <v>368.57912678094596</v>
      </c>
      <c r="BM215" s="1312">
        <f t="shared" si="94"/>
        <v>188.8359409085117</v>
      </c>
      <c r="BN215" s="1312">
        <f>BO214*((1+'Instrumentos Financeiros'!$K$43)^(1/12)-1)</f>
        <v>179.74318587243425</v>
      </c>
      <c r="BO215" s="1312">
        <f t="shared" si="95"/>
        <v>41379.789621432916</v>
      </c>
      <c r="BP215" s="1312">
        <f>IF(AND(C215&gt;$F$78,'Instrumentos Financeiros'!C215&lt;'Instrumentos Financeiros'!$F$78+'Instrumentos Financeiros'!$F$12+1),PMT(((1+'Instrumentos Financeiros'!$L$43)^(1/12)-1),$F$12,-$I$78),0)</f>
        <v>368.57912678094596</v>
      </c>
      <c r="BQ215" s="1312">
        <f t="shared" si="96"/>
        <v>186.40738735423071</v>
      </c>
      <c r="BR215" s="1312">
        <f>BS214*((1+'Instrumentos Financeiros'!$L$43)^(1/12)-1)</f>
        <v>182.17173942671525</v>
      </c>
      <c r="BS215" s="1312">
        <f t="shared" si="97"/>
        <v>41943.861904990103</v>
      </c>
      <c r="BT215" s="1312">
        <f>IF(AND(C215&gt;$F$79,'Instrumentos Financeiros'!C215&lt;'Instrumentos Financeiros'!$F$79+'Instrumentos Financeiros'!$F$12+1),PMT(((1+'Instrumentos Financeiros'!$L$43)^(1/12)-1),$F$12,-$I$79),0)</f>
        <v>368.57912678094596</v>
      </c>
      <c r="BU215" s="1312">
        <f t="shared" si="98"/>
        <v>184.01006658507336</v>
      </c>
      <c r="BV215" s="1312">
        <f>BW214*((1+'Instrumentos Financeiros'!$L$43)^(1/12)-1)</f>
        <v>184.56906019587259</v>
      </c>
      <c r="BW215" s="1312">
        <f t="shared" si="99"/>
        <v>42500.679850509121</v>
      </c>
      <c r="BX215" s="1312">
        <f>IF(AND(C215&gt;$F$80,'Instrumentos Financeiros'!C215&lt;'Instrumentos Financeiros'!$F$80+'Instrumentos Financeiros'!$F$12+1),PMT(((1+'Instrumentos Financeiros'!$L$43)^(1/12)-1),$F$12,-$I$80),0)</f>
        <v>368.57912678094596</v>
      </c>
      <c r="BY215" s="1312">
        <f t="shared" si="100"/>
        <v>181.64357692702058</v>
      </c>
      <c r="BZ215" s="1312">
        <f>CA214*((1+'Instrumentos Financeiros'!$L$43)^(1/12)-1)</f>
        <v>186.93554985392538</v>
      </c>
      <c r="CA215" s="1312">
        <f t="shared" si="101"/>
        <v>43050.336753515949</v>
      </c>
      <c r="CB215" s="1312">
        <f>IF(AND(C215&gt;$F$83,'Instrumentos Financeiros'!C215&lt;'Instrumentos Financeiros'!$F$83+'Instrumentos Financeiros'!$F$13+1),PMT(((1+'Instrumentos Financeiros'!$P$43)^(1/12)-1),$F$13,-$I$83),0)</f>
        <v>0</v>
      </c>
      <c r="CC215" s="1312">
        <f t="shared" si="102"/>
        <v>0</v>
      </c>
      <c r="CD215" s="1312">
        <f>CE214*((1+'Instrumentos Financeiros'!$P$43)^(1/12)-1)</f>
        <v>0</v>
      </c>
      <c r="CE215" s="1312">
        <f t="shared" si="103"/>
        <v>0</v>
      </c>
      <c r="CF215" s="1312">
        <f>IF(AND(C215&gt;$F$84,'Instrumentos Financeiros'!C215&lt;'Instrumentos Financeiros'!$F$84+'Instrumentos Financeiros'!$F$13+1),PMT(((1+'Instrumentos Financeiros'!$Q$43)^(1/12)-1),$F$13,-$I$84),0)</f>
        <v>0</v>
      </c>
      <c r="CG215" s="1312">
        <f t="shared" si="104"/>
        <v>0</v>
      </c>
      <c r="CH215" s="1312">
        <f>CI214*((1+'Instrumentos Financeiros'!$Q$43)^(1/12)-1)</f>
        <v>0</v>
      </c>
      <c r="CI215" s="1312">
        <f t="shared" si="105"/>
        <v>0</v>
      </c>
      <c r="CJ215" s="1312">
        <f>IF(AND(C215&gt;$F$85,'Instrumentos Financeiros'!C215&lt;'Instrumentos Financeiros'!$F$85+'Instrumentos Financeiros'!$F$13+1),PMT(((1+'Instrumentos Financeiros'!$Q$43)^(1/12)-1),$F$13,-$I$85),0)</f>
        <v>0</v>
      </c>
      <c r="CK215" s="1312">
        <f t="shared" si="106"/>
        <v>0</v>
      </c>
      <c r="CL215" s="1312">
        <f>CM214*((1+'Instrumentos Financeiros'!$Q$43)^(1/12)-1)</f>
        <v>0</v>
      </c>
      <c r="CM215" s="1312">
        <f t="shared" si="107"/>
        <v>0</v>
      </c>
      <c r="CN215" s="1312">
        <f>IF(AND(C215&gt;$F$86,'Instrumentos Financeiros'!C215&lt;'Instrumentos Financeiros'!$F$86+'Instrumentos Financeiros'!$F$13+1),PMT(((1+'Instrumentos Financeiros'!$Q$43)^(1/12)-1),$F$13,-$I$86),0)</f>
        <v>0</v>
      </c>
      <c r="CO215" s="1312">
        <f t="shared" si="108"/>
        <v>0</v>
      </c>
      <c r="CP215" s="1312">
        <f>CQ214*((1+'Instrumentos Financeiros'!$Q$43)^(1/12)-1)</f>
        <v>0</v>
      </c>
      <c r="CQ215" s="1312">
        <f t="shared" si="109"/>
        <v>0</v>
      </c>
      <c r="CR215" s="1312">
        <f t="shared" si="78"/>
        <v>399789.55023115332</v>
      </c>
      <c r="CS215" s="1312">
        <f t="shared" si="78"/>
        <v>218129.33470166387</v>
      </c>
      <c r="CT215" s="1312">
        <f t="shared" si="78"/>
        <v>181660.21552948939</v>
      </c>
      <c r="CU215" s="1312">
        <f t="shared" si="78"/>
        <v>42296343.761208445</v>
      </c>
    </row>
    <row r="216" spans="3:99" x14ac:dyDescent="0.35">
      <c r="C216" s="1315">
        <f t="shared" si="79"/>
        <v>123</v>
      </c>
      <c r="D216" s="1312">
        <f>IF(AND(C216&gt;$F$59,'Instrumentos Financeiros'!C216&lt;'Instrumentos Financeiros'!$F$59+'Instrumentos Financeiros'!$F$11+1),PMT(((1+'Instrumentos Financeiros'!$G$43)^(1/12)-1),$F$11,-$I$59),0)</f>
        <v>91768.589635900134</v>
      </c>
      <c r="E216" s="1312">
        <f t="shared" si="76"/>
        <v>55376.592852064336</v>
      </c>
      <c r="F216" s="1312">
        <f>G215*((1+'Instrumentos Financeiros'!$G$43)^(1/12)-1)</f>
        <v>36391.996783835799</v>
      </c>
      <c r="G216" s="1312">
        <f t="shared" si="110"/>
        <v>8860295.8253859561</v>
      </c>
      <c r="H216" s="1312">
        <f>IF(AND(C216&gt;$F$60,'Instrumentos Financeiros'!C216&lt;'Instrumentos Financeiros'!$F$60+'Instrumentos Financeiros'!$F$11+1),PMT(((1+'Instrumentos Financeiros'!$G$43)^(1/12)-1),$F$11,-$I$60),0)</f>
        <v>0</v>
      </c>
      <c r="I216" s="1312">
        <f t="shared" si="111"/>
        <v>0</v>
      </c>
      <c r="J216" s="1312">
        <f>K215*((1+'Instrumentos Financeiros'!$G$43)^(1/12)-1)</f>
        <v>0</v>
      </c>
      <c r="K216" s="1312">
        <f t="shared" si="80"/>
        <v>0</v>
      </c>
      <c r="L216" s="1312">
        <f>IF(AND(C216&gt;$F$61,'Instrumentos Financeiros'!C216&lt;'Instrumentos Financeiros'!$F$61+'Instrumentos Financeiros'!$F$11+1),PMT(((1+'Instrumentos Financeiros'!$G$43)^(1/12)-1),$F$11,-$I$61),0)</f>
        <v>0</v>
      </c>
      <c r="M216" s="1312">
        <f t="shared" si="112"/>
        <v>0</v>
      </c>
      <c r="N216" s="1312">
        <f>O215*((1+'Instrumentos Financeiros'!$G$43)^(1/12)-1)</f>
        <v>0</v>
      </c>
      <c r="O216" s="1312">
        <f t="shared" si="81"/>
        <v>0</v>
      </c>
      <c r="P216" s="1312">
        <f>IF(AND(C216&gt;$F$62,'Instrumentos Financeiros'!C216&lt;'Instrumentos Financeiros'!$F$62+'Instrumentos Financeiros'!$F$11+1),PMT(((1+'Instrumentos Financeiros'!$H$43)^(1/12)-1),$F$11,-$I$62),0)</f>
        <v>0</v>
      </c>
      <c r="Q216" s="1312">
        <f t="shared" si="113"/>
        <v>0</v>
      </c>
      <c r="R216" s="1312">
        <f>S215*((1+'Instrumentos Financeiros'!$H$43)^(1/12)-1)</f>
        <v>0</v>
      </c>
      <c r="S216" s="1312">
        <f t="shared" si="82"/>
        <v>0</v>
      </c>
      <c r="T216" s="1312">
        <f>IF(AND(C216&gt;$F$63,'Instrumentos Financeiros'!C216&lt;'Instrumentos Financeiros'!$F$63+'Instrumentos Financeiros'!$F$11+1),PMT(((1+'Instrumentos Financeiros'!$H$43)^(1/12)-1),$F$11,-$I$63),0)</f>
        <v>0</v>
      </c>
      <c r="U216" s="1312">
        <f t="shared" si="114"/>
        <v>0</v>
      </c>
      <c r="V216" s="1312">
        <f>W215*((1+'Instrumentos Financeiros'!$H$43)^(1/12)-1)</f>
        <v>0</v>
      </c>
      <c r="W216" s="1312">
        <f t="shared" si="83"/>
        <v>0</v>
      </c>
      <c r="X216" s="1312">
        <f>IF(AND(C216&gt;$F$64,'Instrumentos Financeiros'!C216&lt;'Instrumentos Financeiros'!$F$64+'Instrumentos Financeiros'!$F$11+1),PMT(((1+'Instrumentos Financeiros'!$H$43)^(1/12)-1),$F$11,-$I$64),0)</f>
        <v>0</v>
      </c>
      <c r="Y216" s="1312">
        <f t="shared" si="115"/>
        <v>0</v>
      </c>
      <c r="Z216" s="1312">
        <f>AA215*((1+'Instrumentos Financeiros'!$H$43)^(1/12)-1)</f>
        <v>0</v>
      </c>
      <c r="AA216" s="1312">
        <f t="shared" si="84"/>
        <v>0</v>
      </c>
      <c r="AB216" s="1312">
        <f>IF(AND(C216&gt;$F$65,'Instrumentos Financeiros'!C216&lt;'Instrumentos Financeiros'!$F$65+'Instrumentos Financeiros'!$F$11+1),PMT(((1+'Instrumentos Financeiros'!$H$43)^(1/12)-1),$F$11,-$I$65),0)</f>
        <v>76636.661022032335</v>
      </c>
      <c r="AC216" s="1312">
        <f t="shared" si="116"/>
        <v>41528.905781970898</v>
      </c>
      <c r="AD216" s="1312">
        <f>AE215*((1+'Instrumentos Financeiros'!$H$43)^(1/12)-1)</f>
        <v>35107.755240061437</v>
      </c>
      <c r="AE216" s="1312">
        <f t="shared" si="85"/>
        <v>8077728.1599305663</v>
      </c>
      <c r="AF216" s="1312">
        <f>IF(AND(C216&gt;$F$66,'Instrumentos Financeiros'!C216&lt;'Instrumentos Financeiros'!$F$66+'Instrumentos Financeiros'!$F$11+1),PMT(((1+'Instrumentos Financeiros'!$I$43)^(1/12)-1),$F$11,-$I$66),0)</f>
        <v>76636.661022032335</v>
      </c>
      <c r="AG216" s="1312">
        <f t="shared" si="117"/>
        <v>40994.816925490624</v>
      </c>
      <c r="AH216" s="1312">
        <f>AI215*((1+'Instrumentos Financeiros'!$I$43)^(1/12)-1)</f>
        <v>35641.84409654171</v>
      </c>
      <c r="AI216" s="1312">
        <f t="shared" si="86"/>
        <v>8201779.252139844</v>
      </c>
      <c r="AJ216" s="1312">
        <f>IF(AND(C216&gt;$F$67,'Instrumentos Financeiros'!C216&lt;'Instrumentos Financeiros'!$F$67+'Instrumentos Financeiros'!$F$11+1),PMT(((1+'Instrumentos Financeiros'!$I$43)^(1/12)-1),$F$11,-$I$67),0)</f>
        <v>76636.661022032335</v>
      </c>
      <c r="AK216" s="1312">
        <f t="shared" si="118"/>
        <v>40467.596800590072</v>
      </c>
      <c r="AL216" s="1312">
        <f>AM215*((1+'Instrumentos Financeiros'!$I$43)^(1/12)-1)</f>
        <v>36169.064221442262</v>
      </c>
      <c r="AM216" s="1312">
        <f t="shared" si="87"/>
        <v>8324234.9662688263</v>
      </c>
      <c r="AN216" s="1312">
        <f>IF(AND(C216&gt;$F$68,'Instrumentos Financeiros'!C216&lt;'Instrumentos Financeiros'!$F$68+'Instrumentos Financeiros'!$F$11+1),PMT(((1+'Instrumentos Financeiros'!$I$43)^(1/12)-1),$F$11,-$I$68),0)</f>
        <v>76636.661022032335</v>
      </c>
      <c r="AO216" s="1312">
        <f t="shared" si="119"/>
        <v>39947.157070894253</v>
      </c>
      <c r="AP216" s="1312">
        <f>AQ215*((1+'Instrumentos Financeiros'!$I$43)^(1/12)-1)</f>
        <v>36689.503951138082</v>
      </c>
      <c r="AQ216" s="1312">
        <f t="shared" si="88"/>
        <v>8445115.8199217841</v>
      </c>
      <c r="AR216" s="1312">
        <f>IF(AND(C216&gt;$F$69,'Instrumentos Financeiros'!C216&lt;'Instrumentos Financeiros'!$F$69+'Instrumentos Financeiros'!$F$11+1),PMT(((1+'Instrumentos Financeiros'!$I$43)^(1/12)-1),$F$11,-$I$69),0)</f>
        <v>0</v>
      </c>
      <c r="AS216" s="1312">
        <f t="shared" si="120"/>
        <v>0</v>
      </c>
      <c r="AT216" s="1312">
        <f>AU215*((1+'Instrumentos Financeiros'!$I$43)^(1/12)-1)</f>
        <v>0</v>
      </c>
      <c r="AU216" s="1312">
        <f t="shared" si="89"/>
        <v>0</v>
      </c>
      <c r="AV216" s="1312">
        <f>IF(AND(C216&gt;$F$70,'Instrumentos Financeiros'!C216&lt;'Instrumentos Financeiros'!$F$70+'Instrumentos Financeiros'!$F$11+1),PMT(((1+'Instrumentos Financeiros'!$J$43)^(1/12)-1),$F$11,-$I$70),0)</f>
        <v>0</v>
      </c>
      <c r="AW216" s="1312">
        <f t="shared" si="121"/>
        <v>0</v>
      </c>
      <c r="AX216" s="1312">
        <f>AY215*((1+'Instrumentos Financeiros'!$J$43)^(1/12)-1)</f>
        <v>0</v>
      </c>
      <c r="AY216" s="1312">
        <f t="shared" si="90"/>
        <v>0</v>
      </c>
      <c r="AZ216" s="1312">
        <f>IF(AND(C216&gt;$F$71,'Instrumentos Financeiros'!C216&lt;'Instrumentos Financeiros'!$F$71+'Instrumentos Financeiros'!$F$11+1),PMT(((1+'Instrumentos Financeiros'!$J$43)^(1/12)-1),$F$11,-$I$71),0)</f>
        <v>0</v>
      </c>
      <c r="BA216" s="1312">
        <f t="shared" si="122"/>
        <v>0</v>
      </c>
      <c r="BB216" s="1312">
        <f>BC215*((1+'Instrumentos Financeiros'!$J$43)^(1/12)-1)</f>
        <v>0</v>
      </c>
      <c r="BC216" s="1312">
        <f t="shared" si="91"/>
        <v>0</v>
      </c>
      <c r="BD216" s="1312">
        <f>IF(AND(C216&gt;$F$72,'Instrumentos Financeiros'!C216&lt;'Instrumentos Financeiros'!$F$72+'Instrumentos Financeiros'!$F$11+1),PMT(((1+'Instrumentos Financeiros'!$J$43)^(1/12)-1),$F$11,-'Instrumentos Financeiros'!$G$7*$G$72),0)</f>
        <v>0</v>
      </c>
      <c r="BE216" s="1312">
        <f t="shared" si="123"/>
        <v>0</v>
      </c>
      <c r="BF216" s="1312">
        <f>BG215*((1+'Instrumentos Financeiros'!$J$43)^(1/12)-1)</f>
        <v>0</v>
      </c>
      <c r="BG216" s="1312">
        <f t="shared" si="92"/>
        <v>0</v>
      </c>
      <c r="BH216" s="1312">
        <f>IF(AND(C216&gt;$F$73,'Instrumentos Financeiros'!C216&lt;'Instrumentos Financeiros'!$F$73+'Instrumentos Financeiros'!$F$11+1),PMT(((1+'Instrumentos Financeiros'!$J$43)^(1/12)-1),$F$11,-$I$73),0)</f>
        <v>0</v>
      </c>
      <c r="BI216" s="1312">
        <f t="shared" si="124"/>
        <v>0</v>
      </c>
      <c r="BJ216" s="1312">
        <f>BK215*((1+'Instrumentos Financeiros'!$J$43)^(1/12)-1)</f>
        <v>0</v>
      </c>
      <c r="BK216" s="1312">
        <f t="shared" si="93"/>
        <v>0</v>
      </c>
      <c r="BL216" s="1312">
        <f>IF(AND(C216&gt;$F$77,'Instrumentos Financeiros'!C216&lt;'Instrumentos Financeiros'!$F$77+'Instrumentos Financeiros'!$F$12+1),PMT(((1+'Instrumentos Financeiros'!$K$43)^(1/12)-1),$F$12,-$I$77),0)</f>
        <v>368.57912678094596</v>
      </c>
      <c r="BM216" s="1312">
        <f t="shared" si="94"/>
        <v>189.65246955642695</v>
      </c>
      <c r="BN216" s="1312">
        <f>BO215*((1+'Instrumentos Financeiros'!$K$43)^(1/12)-1)</f>
        <v>178.926657224519</v>
      </c>
      <c r="BO216" s="1312">
        <f t="shared" si="95"/>
        <v>41190.137151876486</v>
      </c>
      <c r="BP216" s="1312">
        <f>IF(AND(C216&gt;$F$78,'Instrumentos Financeiros'!C216&lt;'Instrumentos Financeiros'!$F$78+'Instrumentos Financeiros'!$F$12+1),PMT(((1+'Instrumentos Financeiros'!$L$43)^(1/12)-1),$F$12,-$I$78),0)</f>
        <v>368.57912678094596</v>
      </c>
      <c r="BQ216" s="1312">
        <f t="shared" si="96"/>
        <v>187.21341491034889</v>
      </c>
      <c r="BR216" s="1312">
        <f>BS215*((1+'Instrumentos Financeiros'!$L$43)^(1/12)-1)</f>
        <v>181.36571187059707</v>
      </c>
      <c r="BS216" s="1312">
        <f t="shared" si="97"/>
        <v>41756.648490079751</v>
      </c>
      <c r="BT216" s="1312">
        <f>IF(AND(C216&gt;$F$79,'Instrumentos Financeiros'!C216&lt;'Instrumentos Financeiros'!$F$79+'Instrumentos Financeiros'!$F$12+1),PMT(((1+'Instrumentos Financeiros'!$L$43)^(1/12)-1),$F$12,-$I$79),0)</f>
        <v>368.57912678094596</v>
      </c>
      <c r="BU216" s="1312">
        <f t="shared" si="98"/>
        <v>184.80572810029469</v>
      </c>
      <c r="BV216" s="1312">
        <f>BW215*((1+'Instrumentos Financeiros'!$L$43)^(1/12)-1)</f>
        <v>183.77339868065127</v>
      </c>
      <c r="BW216" s="1312">
        <f t="shared" si="99"/>
        <v>42315.87412240883</v>
      </c>
      <c r="BX216" s="1312">
        <f>IF(AND(C216&gt;$F$80,'Instrumentos Financeiros'!C216&lt;'Instrumentos Financeiros'!$F$80+'Instrumentos Financeiros'!$F$12+1),PMT(((1+'Instrumentos Financeiros'!$L$43)^(1/12)-1),$F$12,-$I$80),0)</f>
        <v>368.57912678094596</v>
      </c>
      <c r="BY216" s="1312">
        <f t="shared" si="100"/>
        <v>182.42900571540238</v>
      </c>
      <c r="BZ216" s="1312">
        <f>CA215*((1+'Instrumentos Financeiros'!$L$43)^(1/12)-1)</f>
        <v>186.15012106554357</v>
      </c>
      <c r="CA216" s="1312">
        <f t="shared" si="101"/>
        <v>42867.907747800549</v>
      </c>
      <c r="CB216" s="1312">
        <f>IF(AND(C216&gt;$F$83,'Instrumentos Financeiros'!C216&lt;'Instrumentos Financeiros'!$F$83+'Instrumentos Financeiros'!$F$13+1),PMT(((1+'Instrumentos Financeiros'!$P$43)^(1/12)-1),$F$13,-$I$83),0)</f>
        <v>0</v>
      </c>
      <c r="CC216" s="1312">
        <f t="shared" si="102"/>
        <v>0</v>
      </c>
      <c r="CD216" s="1312">
        <f>CE215*((1+'Instrumentos Financeiros'!$P$43)^(1/12)-1)</f>
        <v>0</v>
      </c>
      <c r="CE216" s="1312">
        <f t="shared" si="103"/>
        <v>0</v>
      </c>
      <c r="CF216" s="1312">
        <f>IF(AND(C216&gt;$F$84,'Instrumentos Financeiros'!C216&lt;'Instrumentos Financeiros'!$F$84+'Instrumentos Financeiros'!$F$13+1),PMT(((1+'Instrumentos Financeiros'!$Q$43)^(1/12)-1),$F$13,-$I$84),0)</f>
        <v>0</v>
      </c>
      <c r="CG216" s="1312">
        <f t="shared" si="104"/>
        <v>0</v>
      </c>
      <c r="CH216" s="1312">
        <f>CI215*((1+'Instrumentos Financeiros'!$Q$43)^(1/12)-1)</f>
        <v>0</v>
      </c>
      <c r="CI216" s="1312">
        <f t="shared" si="105"/>
        <v>0</v>
      </c>
      <c r="CJ216" s="1312">
        <f>IF(AND(C216&gt;$F$85,'Instrumentos Financeiros'!C216&lt;'Instrumentos Financeiros'!$F$85+'Instrumentos Financeiros'!$F$13+1),PMT(((1+'Instrumentos Financeiros'!$Q$43)^(1/12)-1),$F$13,-$I$85),0)</f>
        <v>0</v>
      </c>
      <c r="CK216" s="1312">
        <f t="shared" si="106"/>
        <v>0</v>
      </c>
      <c r="CL216" s="1312">
        <f>CM215*((1+'Instrumentos Financeiros'!$Q$43)^(1/12)-1)</f>
        <v>0</v>
      </c>
      <c r="CM216" s="1312">
        <f t="shared" si="107"/>
        <v>0</v>
      </c>
      <c r="CN216" s="1312">
        <f>IF(AND(C216&gt;$F$86,'Instrumentos Financeiros'!C216&lt;'Instrumentos Financeiros'!$F$86+'Instrumentos Financeiros'!$F$13+1),PMT(((1+'Instrumentos Financeiros'!$Q$43)^(1/12)-1),$F$13,-$I$86),0)</f>
        <v>0</v>
      </c>
      <c r="CO216" s="1312">
        <f t="shared" si="108"/>
        <v>0</v>
      </c>
      <c r="CP216" s="1312">
        <f>CQ215*((1+'Instrumentos Financeiros'!$Q$43)^(1/12)-1)</f>
        <v>0</v>
      </c>
      <c r="CQ216" s="1312">
        <f t="shared" si="109"/>
        <v>0</v>
      </c>
      <c r="CR216" s="1312">
        <f t="shared" si="78"/>
        <v>399789.55023115332</v>
      </c>
      <c r="CS216" s="1312">
        <f t="shared" si="78"/>
        <v>219059.17004929268</v>
      </c>
      <c r="CT216" s="1312">
        <f t="shared" si="78"/>
        <v>180730.38018186062</v>
      </c>
      <c r="CU216" s="1312">
        <f t="shared" si="78"/>
        <v>42077284.591159143</v>
      </c>
    </row>
    <row r="217" spans="3:99" x14ac:dyDescent="0.35">
      <c r="C217" s="1315">
        <f t="shared" si="79"/>
        <v>124</v>
      </c>
      <c r="D217" s="1312">
        <f>IF(AND(C217&gt;$F$59,'Instrumentos Financeiros'!C217&lt;'Instrumentos Financeiros'!$F$59+'Instrumentos Financeiros'!$F$11+1),PMT(((1+'Instrumentos Financeiros'!$G$43)^(1/12)-1),$F$11,-$I$59),0)</f>
        <v>91768.589635900134</v>
      </c>
      <c r="E217" s="1312">
        <f t="shared" si="76"/>
        <v>55602.629060488682</v>
      </c>
      <c r="F217" s="1312">
        <f>G216*((1+'Instrumentos Financeiros'!$G$43)^(1/12)-1)</f>
        <v>36165.960575411453</v>
      </c>
      <c r="G217" s="1312">
        <f t="shared" si="110"/>
        <v>8804693.1963254679</v>
      </c>
      <c r="H217" s="1312">
        <f>IF(AND(C217&gt;$F$60,'Instrumentos Financeiros'!C217&lt;'Instrumentos Financeiros'!$F$60+'Instrumentos Financeiros'!$F$11+1),PMT(((1+'Instrumentos Financeiros'!$G$43)^(1/12)-1),$F$11,-$I$60),0)</f>
        <v>0</v>
      </c>
      <c r="I217" s="1312">
        <f t="shared" si="111"/>
        <v>0</v>
      </c>
      <c r="J217" s="1312">
        <f>K216*((1+'Instrumentos Financeiros'!$G$43)^(1/12)-1)</f>
        <v>0</v>
      </c>
      <c r="K217" s="1312">
        <f t="shared" si="80"/>
        <v>0</v>
      </c>
      <c r="L217" s="1312">
        <f>IF(AND(C217&gt;$F$61,'Instrumentos Financeiros'!C217&lt;'Instrumentos Financeiros'!$F$61+'Instrumentos Financeiros'!$F$11+1),PMT(((1+'Instrumentos Financeiros'!$G$43)^(1/12)-1),$F$11,-$I$61),0)</f>
        <v>0</v>
      </c>
      <c r="M217" s="1312">
        <f t="shared" si="112"/>
        <v>0</v>
      </c>
      <c r="N217" s="1312">
        <f>O216*((1+'Instrumentos Financeiros'!$G$43)^(1/12)-1)</f>
        <v>0</v>
      </c>
      <c r="O217" s="1312">
        <f t="shared" si="81"/>
        <v>0</v>
      </c>
      <c r="P217" s="1312">
        <f>IF(AND(C217&gt;$F$62,'Instrumentos Financeiros'!C217&lt;'Instrumentos Financeiros'!$F$62+'Instrumentos Financeiros'!$F$11+1),PMT(((1+'Instrumentos Financeiros'!$H$43)^(1/12)-1),$F$11,-$I$62),0)</f>
        <v>0</v>
      </c>
      <c r="Q217" s="1312">
        <f t="shared" si="113"/>
        <v>0</v>
      </c>
      <c r="R217" s="1312">
        <f>S216*((1+'Instrumentos Financeiros'!$H$43)^(1/12)-1)</f>
        <v>0</v>
      </c>
      <c r="S217" s="1312">
        <f t="shared" si="82"/>
        <v>0</v>
      </c>
      <c r="T217" s="1312">
        <f>IF(AND(C217&gt;$F$63,'Instrumentos Financeiros'!C217&lt;'Instrumentos Financeiros'!$F$63+'Instrumentos Financeiros'!$F$11+1),PMT(((1+'Instrumentos Financeiros'!$H$43)^(1/12)-1),$F$11,-$I$63),0)</f>
        <v>0</v>
      </c>
      <c r="U217" s="1312">
        <f t="shared" si="114"/>
        <v>0</v>
      </c>
      <c r="V217" s="1312">
        <f>W216*((1+'Instrumentos Financeiros'!$H$43)^(1/12)-1)</f>
        <v>0</v>
      </c>
      <c r="W217" s="1312">
        <f t="shared" si="83"/>
        <v>0</v>
      </c>
      <c r="X217" s="1312">
        <f>IF(AND(C217&gt;$F$64,'Instrumentos Financeiros'!C217&lt;'Instrumentos Financeiros'!$F$64+'Instrumentos Financeiros'!$F$11+1),PMT(((1+'Instrumentos Financeiros'!$H$43)^(1/12)-1),$F$11,-$I$64),0)</f>
        <v>0</v>
      </c>
      <c r="Y217" s="1312">
        <f t="shared" si="115"/>
        <v>0</v>
      </c>
      <c r="Z217" s="1312">
        <f>AA216*((1+'Instrumentos Financeiros'!$H$43)^(1/12)-1)</f>
        <v>0</v>
      </c>
      <c r="AA217" s="1312">
        <f t="shared" si="84"/>
        <v>0</v>
      </c>
      <c r="AB217" s="1312">
        <f>IF(AND(C217&gt;$F$65,'Instrumentos Financeiros'!C217&lt;'Instrumentos Financeiros'!$F$65+'Instrumentos Financeiros'!$F$11+1),PMT(((1+'Instrumentos Financeiros'!$H$43)^(1/12)-1),$F$11,-$I$65),0)</f>
        <v>76636.661022032335</v>
      </c>
      <c r="AC217" s="1312">
        <f t="shared" si="116"/>
        <v>41708.477219084038</v>
      </c>
      <c r="AD217" s="1312">
        <f>AE216*((1+'Instrumentos Financeiros'!$H$43)^(1/12)-1)</f>
        <v>34928.183802948297</v>
      </c>
      <c r="AE217" s="1312">
        <f t="shared" si="85"/>
        <v>8036019.682711482</v>
      </c>
      <c r="AF217" s="1312">
        <f>IF(AND(C217&gt;$F$66,'Instrumentos Financeiros'!C217&lt;'Instrumentos Financeiros'!$F$66+'Instrumentos Financeiros'!$F$11+1),PMT(((1+'Instrumentos Financeiros'!$I$43)^(1/12)-1),$F$11,-$I$66),0)</f>
        <v>76636.661022032335</v>
      </c>
      <c r="AG217" s="1312">
        <f t="shared" si="117"/>
        <v>41172.078956620186</v>
      </c>
      <c r="AH217" s="1312">
        <f>AI216*((1+'Instrumentos Financeiros'!$I$43)^(1/12)-1)</f>
        <v>35464.582065412149</v>
      </c>
      <c r="AI217" s="1312">
        <f t="shared" si="86"/>
        <v>8160607.1731832242</v>
      </c>
      <c r="AJ217" s="1312">
        <f>IF(AND(C217&gt;$F$67,'Instrumentos Financeiros'!C217&lt;'Instrumentos Financeiros'!$F$67+'Instrumentos Financeiros'!$F$11+1),PMT(((1+'Instrumentos Financeiros'!$I$43)^(1/12)-1),$F$11,-$I$67),0)</f>
        <v>76636.661022032335</v>
      </c>
      <c r="AK217" s="1312">
        <f t="shared" si="118"/>
        <v>40642.579126205594</v>
      </c>
      <c r="AL217" s="1312">
        <f>AM216*((1+'Instrumentos Financeiros'!$I$43)^(1/12)-1)</f>
        <v>35994.081895826741</v>
      </c>
      <c r="AM217" s="1312">
        <f t="shared" si="87"/>
        <v>8283592.387142621</v>
      </c>
      <c r="AN217" s="1312">
        <f>IF(AND(C217&gt;$F$68,'Instrumentos Financeiros'!C217&lt;'Instrumentos Financeiros'!$F$68+'Instrumentos Financeiros'!$F$11+1),PMT(((1+'Instrumentos Financeiros'!$I$43)^(1/12)-1),$F$11,-$I$68),0)</f>
        <v>76636.661022032335</v>
      </c>
      <c r="AO217" s="1312">
        <f t="shared" si="119"/>
        <v>40119.88900949782</v>
      </c>
      <c r="AP217" s="1312">
        <f>AQ216*((1+'Instrumentos Financeiros'!$I$43)^(1/12)-1)</f>
        <v>36516.772012534515</v>
      </c>
      <c r="AQ217" s="1312">
        <f t="shared" si="88"/>
        <v>8404995.930912286</v>
      </c>
      <c r="AR217" s="1312">
        <f>IF(AND(C217&gt;$F$69,'Instrumentos Financeiros'!C217&lt;'Instrumentos Financeiros'!$F$69+'Instrumentos Financeiros'!$F$11+1),PMT(((1+'Instrumentos Financeiros'!$I$43)^(1/12)-1),$F$11,-$I$69),0)</f>
        <v>0</v>
      </c>
      <c r="AS217" s="1312">
        <f t="shared" si="120"/>
        <v>0</v>
      </c>
      <c r="AT217" s="1312">
        <f>AU216*((1+'Instrumentos Financeiros'!$I$43)^(1/12)-1)</f>
        <v>0</v>
      </c>
      <c r="AU217" s="1312">
        <f t="shared" si="89"/>
        <v>0</v>
      </c>
      <c r="AV217" s="1312">
        <f>IF(AND(C217&gt;$F$70,'Instrumentos Financeiros'!C217&lt;'Instrumentos Financeiros'!$F$70+'Instrumentos Financeiros'!$F$11+1),PMT(((1+'Instrumentos Financeiros'!$J$43)^(1/12)-1),$F$11,-$I$70),0)</f>
        <v>0</v>
      </c>
      <c r="AW217" s="1312">
        <f t="shared" si="121"/>
        <v>0</v>
      </c>
      <c r="AX217" s="1312">
        <f>AY216*((1+'Instrumentos Financeiros'!$J$43)^(1/12)-1)</f>
        <v>0</v>
      </c>
      <c r="AY217" s="1312">
        <f t="shared" si="90"/>
        <v>0</v>
      </c>
      <c r="AZ217" s="1312">
        <f>IF(AND(C217&gt;$F$71,'Instrumentos Financeiros'!C217&lt;'Instrumentos Financeiros'!$F$71+'Instrumentos Financeiros'!$F$11+1),PMT(((1+'Instrumentos Financeiros'!$J$43)^(1/12)-1),$F$11,-$I$71),0)</f>
        <v>0</v>
      </c>
      <c r="BA217" s="1312">
        <f t="shared" si="122"/>
        <v>0</v>
      </c>
      <c r="BB217" s="1312">
        <f>BC216*((1+'Instrumentos Financeiros'!$J$43)^(1/12)-1)</f>
        <v>0</v>
      </c>
      <c r="BC217" s="1312">
        <f t="shared" si="91"/>
        <v>0</v>
      </c>
      <c r="BD217" s="1312">
        <f>IF(AND(C217&gt;$F$72,'Instrumentos Financeiros'!C217&lt;'Instrumentos Financeiros'!$F$72+'Instrumentos Financeiros'!$F$11+1),PMT(((1+'Instrumentos Financeiros'!$J$43)^(1/12)-1),$F$11,-'Instrumentos Financeiros'!$G$7*$G$72),0)</f>
        <v>0</v>
      </c>
      <c r="BE217" s="1312">
        <f t="shared" si="123"/>
        <v>0</v>
      </c>
      <c r="BF217" s="1312">
        <f>BG216*((1+'Instrumentos Financeiros'!$J$43)^(1/12)-1)</f>
        <v>0</v>
      </c>
      <c r="BG217" s="1312">
        <f t="shared" si="92"/>
        <v>0</v>
      </c>
      <c r="BH217" s="1312">
        <f>IF(AND(C217&gt;$F$73,'Instrumentos Financeiros'!C217&lt;'Instrumentos Financeiros'!$F$73+'Instrumentos Financeiros'!$F$11+1),PMT(((1+'Instrumentos Financeiros'!$J$43)^(1/12)-1),$F$11,-$I$73),0)</f>
        <v>0</v>
      </c>
      <c r="BI217" s="1312">
        <f t="shared" si="124"/>
        <v>0</v>
      </c>
      <c r="BJ217" s="1312">
        <f>BK216*((1+'Instrumentos Financeiros'!$J$43)^(1/12)-1)</f>
        <v>0</v>
      </c>
      <c r="BK217" s="1312">
        <f t="shared" si="93"/>
        <v>0</v>
      </c>
      <c r="BL217" s="1312">
        <f>IF(AND(C217&gt;$F$77,'Instrumentos Financeiros'!C217&lt;'Instrumentos Financeiros'!$F$77+'Instrumentos Financeiros'!$F$12+1),PMT(((1+'Instrumentos Financeiros'!$K$43)^(1/12)-1),$F$12,-$I$77),0)</f>
        <v>368.57912678094596</v>
      </c>
      <c r="BM217" s="1312">
        <f t="shared" si="94"/>
        <v>190.47252888303433</v>
      </c>
      <c r="BN217" s="1312">
        <f>BO216*((1+'Instrumentos Financeiros'!$K$43)^(1/12)-1)</f>
        <v>178.10659789791163</v>
      </c>
      <c r="BO217" s="1312">
        <f t="shared" si="95"/>
        <v>40999.664622993449</v>
      </c>
      <c r="BP217" s="1312">
        <f>IF(AND(C217&gt;$F$78,'Instrumentos Financeiros'!C217&lt;'Instrumentos Financeiros'!$F$78+'Instrumentos Financeiros'!$F$12+1),PMT(((1+'Instrumentos Financeiros'!$L$43)^(1/12)-1),$F$12,-$I$78),0)</f>
        <v>368.57912678094596</v>
      </c>
      <c r="BQ217" s="1312">
        <f t="shared" si="96"/>
        <v>188.02292773832485</v>
      </c>
      <c r="BR217" s="1312">
        <f>BS216*((1+'Instrumentos Financeiros'!$L$43)^(1/12)-1)</f>
        <v>180.5561990426211</v>
      </c>
      <c r="BS217" s="1312">
        <f t="shared" si="97"/>
        <v>41568.625562341425</v>
      </c>
      <c r="BT217" s="1312">
        <f>IF(AND(C217&gt;$F$79,'Instrumentos Financeiros'!C217&lt;'Instrumentos Financeiros'!$F$79+'Instrumentos Financeiros'!$F$12+1),PMT(((1+'Instrumentos Financeiros'!$L$43)^(1/12)-1),$F$12,-$I$79),0)</f>
        <v>368.57912678094596</v>
      </c>
      <c r="BU217" s="1312">
        <f t="shared" si="98"/>
        <v>185.60483006450093</v>
      </c>
      <c r="BV217" s="1312">
        <f>BW216*((1+'Instrumentos Financeiros'!$L$43)^(1/12)-1)</f>
        <v>182.97429671644502</v>
      </c>
      <c r="BW217" s="1312">
        <f t="shared" si="99"/>
        <v>42130.269292344332</v>
      </c>
      <c r="BX217" s="1312">
        <f>IF(AND(C217&gt;$F$80,'Instrumentos Financeiros'!C217&lt;'Instrumentos Financeiros'!$F$80+'Instrumentos Financeiros'!$F$12+1),PMT(((1+'Instrumentos Financeiros'!$L$43)^(1/12)-1),$F$12,-$I$80),0)</f>
        <v>368.57912678094596</v>
      </c>
      <c r="BY217" s="1312">
        <f t="shared" si="100"/>
        <v>183.2178307063478</v>
      </c>
      <c r="BZ217" s="1312">
        <f>CA216*((1+'Instrumentos Financeiros'!$L$43)^(1/12)-1)</f>
        <v>185.36129607459816</v>
      </c>
      <c r="CA217" s="1312">
        <f t="shared" si="101"/>
        <v>42684.689917094198</v>
      </c>
      <c r="CB217" s="1312">
        <f>IF(AND(C217&gt;$F$83,'Instrumentos Financeiros'!C217&lt;'Instrumentos Financeiros'!$F$83+'Instrumentos Financeiros'!$F$13+1),PMT(((1+'Instrumentos Financeiros'!$P$43)^(1/12)-1),$F$13,-$I$83),0)</f>
        <v>0</v>
      </c>
      <c r="CC217" s="1312">
        <f t="shared" si="102"/>
        <v>0</v>
      </c>
      <c r="CD217" s="1312">
        <f>CE216*((1+'Instrumentos Financeiros'!$P$43)^(1/12)-1)</f>
        <v>0</v>
      </c>
      <c r="CE217" s="1312">
        <f t="shared" si="103"/>
        <v>0</v>
      </c>
      <c r="CF217" s="1312">
        <f>IF(AND(C217&gt;$F$84,'Instrumentos Financeiros'!C217&lt;'Instrumentos Financeiros'!$F$84+'Instrumentos Financeiros'!$F$13+1),PMT(((1+'Instrumentos Financeiros'!$Q$43)^(1/12)-1),$F$13,-$I$84),0)</f>
        <v>0</v>
      </c>
      <c r="CG217" s="1312">
        <f t="shared" si="104"/>
        <v>0</v>
      </c>
      <c r="CH217" s="1312">
        <f>CI216*((1+'Instrumentos Financeiros'!$Q$43)^(1/12)-1)</f>
        <v>0</v>
      </c>
      <c r="CI217" s="1312">
        <f t="shared" si="105"/>
        <v>0</v>
      </c>
      <c r="CJ217" s="1312">
        <f>IF(AND(C217&gt;$F$85,'Instrumentos Financeiros'!C217&lt;'Instrumentos Financeiros'!$F$85+'Instrumentos Financeiros'!$F$13+1),PMT(((1+'Instrumentos Financeiros'!$Q$43)^(1/12)-1),$F$13,-$I$85),0)</f>
        <v>0</v>
      </c>
      <c r="CK217" s="1312">
        <f t="shared" si="106"/>
        <v>0</v>
      </c>
      <c r="CL217" s="1312">
        <f>CM216*((1+'Instrumentos Financeiros'!$Q$43)^(1/12)-1)</f>
        <v>0</v>
      </c>
      <c r="CM217" s="1312">
        <f t="shared" si="107"/>
        <v>0</v>
      </c>
      <c r="CN217" s="1312">
        <f>IF(AND(C217&gt;$F$86,'Instrumentos Financeiros'!C217&lt;'Instrumentos Financeiros'!$F$86+'Instrumentos Financeiros'!$F$13+1),PMT(((1+'Instrumentos Financeiros'!$Q$43)^(1/12)-1),$F$13,-$I$86),0)</f>
        <v>0</v>
      </c>
      <c r="CO217" s="1312">
        <f t="shared" si="108"/>
        <v>0</v>
      </c>
      <c r="CP217" s="1312">
        <f>CQ216*((1+'Instrumentos Financeiros'!$Q$43)^(1/12)-1)</f>
        <v>0</v>
      </c>
      <c r="CQ217" s="1312">
        <f t="shared" si="109"/>
        <v>0</v>
      </c>
      <c r="CR217" s="1312">
        <f t="shared" si="78"/>
        <v>399789.55023115332</v>
      </c>
      <c r="CS217" s="1312">
        <f t="shared" si="78"/>
        <v>219992.97148928849</v>
      </c>
      <c r="CT217" s="1312">
        <f t="shared" si="78"/>
        <v>179796.57874186477</v>
      </c>
      <c r="CU217" s="1312">
        <f t="shared" si="78"/>
        <v>41857291.619669855</v>
      </c>
    </row>
    <row r="218" spans="3:99" x14ac:dyDescent="0.35">
      <c r="C218" s="1315">
        <f t="shared" si="79"/>
        <v>125</v>
      </c>
      <c r="D218" s="1312">
        <f>IF(AND(C218&gt;$F$59,'Instrumentos Financeiros'!C218&lt;'Instrumentos Financeiros'!$F$59+'Instrumentos Financeiros'!$F$11+1),PMT(((1+'Instrumentos Financeiros'!$G$43)^(1/12)-1),$F$11,-$I$59),0)</f>
        <v>91768.589635900134</v>
      </c>
      <c r="E218" s="1312">
        <f t="shared" si="76"/>
        <v>55829.587903638057</v>
      </c>
      <c r="F218" s="1312">
        <f>G217*((1+'Instrumentos Financeiros'!$G$43)^(1/12)-1)</f>
        <v>35939.001732262077</v>
      </c>
      <c r="G218" s="1312">
        <f t="shared" si="110"/>
        <v>8748863.6084218305</v>
      </c>
      <c r="H218" s="1312">
        <f>IF(AND(C218&gt;$F$60,'Instrumentos Financeiros'!C218&lt;'Instrumentos Financeiros'!$F$60+'Instrumentos Financeiros'!$F$11+1),PMT(((1+'Instrumentos Financeiros'!$G$43)^(1/12)-1),$F$11,-$I$60),0)</f>
        <v>0</v>
      </c>
      <c r="I218" s="1312">
        <f t="shared" si="111"/>
        <v>0</v>
      </c>
      <c r="J218" s="1312">
        <f>K217*((1+'Instrumentos Financeiros'!$G$43)^(1/12)-1)</f>
        <v>0</v>
      </c>
      <c r="K218" s="1312">
        <f t="shared" si="80"/>
        <v>0</v>
      </c>
      <c r="L218" s="1312">
        <f>IF(AND(C218&gt;$F$61,'Instrumentos Financeiros'!C218&lt;'Instrumentos Financeiros'!$F$61+'Instrumentos Financeiros'!$F$11+1),PMT(((1+'Instrumentos Financeiros'!$G$43)^(1/12)-1),$F$11,-$I$61),0)</f>
        <v>0</v>
      </c>
      <c r="M218" s="1312">
        <f t="shared" si="112"/>
        <v>0</v>
      </c>
      <c r="N218" s="1312">
        <f>O217*((1+'Instrumentos Financeiros'!$G$43)^(1/12)-1)</f>
        <v>0</v>
      </c>
      <c r="O218" s="1312">
        <f t="shared" si="81"/>
        <v>0</v>
      </c>
      <c r="P218" s="1312">
        <f>IF(AND(C218&gt;$F$62,'Instrumentos Financeiros'!C218&lt;'Instrumentos Financeiros'!$F$62+'Instrumentos Financeiros'!$F$11+1),PMT(((1+'Instrumentos Financeiros'!$H$43)^(1/12)-1),$F$11,-$I$62),0)</f>
        <v>0</v>
      </c>
      <c r="Q218" s="1312">
        <f t="shared" si="113"/>
        <v>0</v>
      </c>
      <c r="R218" s="1312">
        <f>S217*((1+'Instrumentos Financeiros'!$H$43)^(1/12)-1)</f>
        <v>0</v>
      </c>
      <c r="S218" s="1312">
        <f t="shared" si="82"/>
        <v>0</v>
      </c>
      <c r="T218" s="1312">
        <f>IF(AND(C218&gt;$F$63,'Instrumentos Financeiros'!C218&lt;'Instrumentos Financeiros'!$F$63+'Instrumentos Financeiros'!$F$11+1),PMT(((1+'Instrumentos Financeiros'!$H$43)^(1/12)-1),$F$11,-$I$63),0)</f>
        <v>0</v>
      </c>
      <c r="U218" s="1312">
        <f t="shared" si="114"/>
        <v>0</v>
      </c>
      <c r="V218" s="1312">
        <f>W217*((1+'Instrumentos Financeiros'!$H$43)^(1/12)-1)</f>
        <v>0</v>
      </c>
      <c r="W218" s="1312">
        <f t="shared" si="83"/>
        <v>0</v>
      </c>
      <c r="X218" s="1312">
        <f>IF(AND(C218&gt;$F$64,'Instrumentos Financeiros'!C218&lt;'Instrumentos Financeiros'!$F$64+'Instrumentos Financeiros'!$F$11+1),PMT(((1+'Instrumentos Financeiros'!$H$43)^(1/12)-1),$F$11,-$I$64),0)</f>
        <v>0</v>
      </c>
      <c r="Y218" s="1312">
        <f t="shared" si="115"/>
        <v>0</v>
      </c>
      <c r="Z218" s="1312">
        <f>AA217*((1+'Instrumentos Financeiros'!$H$43)^(1/12)-1)</f>
        <v>0</v>
      </c>
      <c r="AA218" s="1312">
        <f t="shared" si="84"/>
        <v>0</v>
      </c>
      <c r="AB218" s="1312">
        <f>IF(AND(C218&gt;$F$65,'Instrumentos Financeiros'!C218&lt;'Instrumentos Financeiros'!$F$65+'Instrumentos Financeiros'!$F$11+1),PMT(((1+'Instrumentos Financeiros'!$H$43)^(1/12)-1),$F$11,-$I$65),0)</f>
        <v>76636.661022032335</v>
      </c>
      <c r="AC218" s="1312">
        <f t="shared" si="116"/>
        <v>41888.825125030628</v>
      </c>
      <c r="AD218" s="1312">
        <f>AE217*((1+'Instrumentos Financeiros'!$H$43)^(1/12)-1)</f>
        <v>34747.835897001707</v>
      </c>
      <c r="AE218" s="1312">
        <f t="shared" si="85"/>
        <v>7994130.8575864518</v>
      </c>
      <c r="AF218" s="1312">
        <f>IF(AND(C218&gt;$F$66,'Instrumentos Financeiros'!C218&lt;'Instrumentos Financeiros'!$F$66+'Instrumentos Financeiros'!$F$11+1),PMT(((1+'Instrumentos Financeiros'!$I$43)^(1/12)-1),$F$11,-$I$66),0)</f>
        <v>76636.661022032335</v>
      </c>
      <c r="AG218" s="1312">
        <f t="shared" si="117"/>
        <v>41350.107470686773</v>
      </c>
      <c r="AH218" s="1312">
        <f>AI217*((1+'Instrumentos Financeiros'!$I$43)^(1/12)-1)</f>
        <v>35286.553551345562</v>
      </c>
      <c r="AI218" s="1312">
        <f t="shared" si="86"/>
        <v>8119257.0657125376</v>
      </c>
      <c r="AJ218" s="1312">
        <f>IF(AND(C218&gt;$F$67,'Instrumentos Financeiros'!C218&lt;'Instrumentos Financeiros'!$F$67+'Instrumentos Financeiros'!$F$11+1),PMT(((1+'Instrumentos Financeiros'!$I$43)^(1/12)-1),$F$11,-$I$67),0)</f>
        <v>76636.661022032335</v>
      </c>
      <c r="AK218" s="1312">
        <f t="shared" si="118"/>
        <v>40818.31807728688</v>
      </c>
      <c r="AL218" s="1312">
        <f>AM217*((1+'Instrumentos Financeiros'!$I$43)^(1/12)-1)</f>
        <v>35818.342944745455</v>
      </c>
      <c r="AM218" s="1312">
        <f t="shared" si="87"/>
        <v>8242774.0690653343</v>
      </c>
      <c r="AN218" s="1312">
        <f>IF(AND(C218&gt;$F$68,'Instrumentos Financeiros'!C218&lt;'Instrumentos Financeiros'!$F$68+'Instrumentos Financeiros'!$F$11+1),PMT(((1+'Instrumentos Financeiros'!$I$43)^(1/12)-1),$F$11,-$I$68),0)</f>
        <v>76636.661022032335</v>
      </c>
      <c r="AO218" s="1312">
        <f t="shared" si="119"/>
        <v>40293.367842869411</v>
      </c>
      <c r="AP218" s="1312">
        <f>AQ217*((1+'Instrumentos Financeiros'!$I$43)^(1/12)-1)</f>
        <v>36343.293179162923</v>
      </c>
      <c r="AQ218" s="1312">
        <f t="shared" si="88"/>
        <v>8364702.5630694162</v>
      </c>
      <c r="AR218" s="1312">
        <f>IF(AND(C218&gt;$F$69,'Instrumentos Financeiros'!C218&lt;'Instrumentos Financeiros'!$F$69+'Instrumentos Financeiros'!$F$11+1),PMT(((1+'Instrumentos Financeiros'!$I$43)^(1/12)-1),$F$11,-$I$69),0)</f>
        <v>0</v>
      </c>
      <c r="AS218" s="1312">
        <f t="shared" si="120"/>
        <v>0</v>
      </c>
      <c r="AT218" s="1312">
        <f>AU217*((1+'Instrumentos Financeiros'!$I$43)^(1/12)-1)</f>
        <v>0</v>
      </c>
      <c r="AU218" s="1312">
        <f t="shared" si="89"/>
        <v>0</v>
      </c>
      <c r="AV218" s="1312">
        <f>IF(AND(C218&gt;$F$70,'Instrumentos Financeiros'!C218&lt;'Instrumentos Financeiros'!$F$70+'Instrumentos Financeiros'!$F$11+1),PMT(((1+'Instrumentos Financeiros'!$J$43)^(1/12)-1),$F$11,-$I$70),0)</f>
        <v>0</v>
      </c>
      <c r="AW218" s="1312">
        <f t="shared" si="121"/>
        <v>0</v>
      </c>
      <c r="AX218" s="1312">
        <f>AY217*((1+'Instrumentos Financeiros'!$J$43)^(1/12)-1)</f>
        <v>0</v>
      </c>
      <c r="AY218" s="1312">
        <f t="shared" si="90"/>
        <v>0</v>
      </c>
      <c r="AZ218" s="1312">
        <f>IF(AND(C218&gt;$F$71,'Instrumentos Financeiros'!C218&lt;'Instrumentos Financeiros'!$F$71+'Instrumentos Financeiros'!$F$11+1),PMT(((1+'Instrumentos Financeiros'!$J$43)^(1/12)-1),$F$11,-$I$71),0)</f>
        <v>0</v>
      </c>
      <c r="BA218" s="1312">
        <f t="shared" si="122"/>
        <v>0</v>
      </c>
      <c r="BB218" s="1312">
        <f>BC217*((1+'Instrumentos Financeiros'!$J$43)^(1/12)-1)</f>
        <v>0</v>
      </c>
      <c r="BC218" s="1312">
        <f t="shared" si="91"/>
        <v>0</v>
      </c>
      <c r="BD218" s="1312">
        <f>IF(AND(C218&gt;$F$72,'Instrumentos Financeiros'!C218&lt;'Instrumentos Financeiros'!$F$72+'Instrumentos Financeiros'!$F$11+1),PMT(((1+'Instrumentos Financeiros'!$J$43)^(1/12)-1),$F$11,-'Instrumentos Financeiros'!$G$7*$G$72),0)</f>
        <v>0</v>
      </c>
      <c r="BE218" s="1312">
        <f t="shared" si="123"/>
        <v>0</v>
      </c>
      <c r="BF218" s="1312">
        <f>BG217*((1+'Instrumentos Financeiros'!$J$43)^(1/12)-1)</f>
        <v>0</v>
      </c>
      <c r="BG218" s="1312">
        <f t="shared" si="92"/>
        <v>0</v>
      </c>
      <c r="BH218" s="1312">
        <f>IF(AND(C218&gt;$F$73,'Instrumentos Financeiros'!C218&lt;'Instrumentos Financeiros'!$F$73+'Instrumentos Financeiros'!$F$11+1),PMT(((1+'Instrumentos Financeiros'!$J$43)^(1/12)-1),$F$11,-$I$73),0)</f>
        <v>0</v>
      </c>
      <c r="BI218" s="1312">
        <f t="shared" si="124"/>
        <v>0</v>
      </c>
      <c r="BJ218" s="1312">
        <f>BK217*((1+'Instrumentos Financeiros'!$J$43)^(1/12)-1)</f>
        <v>0</v>
      </c>
      <c r="BK218" s="1312">
        <f t="shared" si="93"/>
        <v>0</v>
      </c>
      <c r="BL218" s="1312">
        <f>IF(AND(C218&gt;$F$77,'Instrumentos Financeiros'!C218&lt;'Instrumentos Financeiros'!$F$77+'Instrumentos Financeiros'!$F$12+1),PMT(((1+'Instrumentos Financeiros'!$K$43)^(1/12)-1),$F$12,-$I$77),0)</f>
        <v>368.57912678094596</v>
      </c>
      <c r="BM218" s="1312">
        <f t="shared" si="94"/>
        <v>191.29613415502658</v>
      </c>
      <c r="BN218" s="1312">
        <f>BO217*((1+'Instrumentos Financeiros'!$K$43)^(1/12)-1)</f>
        <v>177.28299262591938</v>
      </c>
      <c r="BO218" s="1312">
        <f t="shared" si="95"/>
        <v>40808.368488838423</v>
      </c>
      <c r="BP218" s="1312">
        <f>IF(AND(C218&gt;$F$78,'Instrumentos Financeiros'!C218&lt;'Instrumentos Financeiros'!$F$78+'Instrumentos Financeiros'!$F$12+1),PMT(((1+'Instrumentos Financeiros'!$L$43)^(1/12)-1),$F$12,-$I$78),0)</f>
        <v>368.57912678094596</v>
      </c>
      <c r="BQ218" s="1312">
        <f t="shared" si="96"/>
        <v>188.8359409085117</v>
      </c>
      <c r="BR218" s="1312">
        <f>BS217*((1+'Instrumentos Financeiros'!$L$43)^(1/12)-1)</f>
        <v>179.74318587243425</v>
      </c>
      <c r="BS218" s="1312">
        <f t="shared" si="97"/>
        <v>41379.789621432916</v>
      </c>
      <c r="BT218" s="1312">
        <f>IF(AND(C218&gt;$F$79,'Instrumentos Financeiros'!C218&lt;'Instrumentos Financeiros'!$F$79+'Instrumentos Financeiros'!$F$12+1),PMT(((1+'Instrumentos Financeiros'!$L$43)^(1/12)-1),$F$12,-$I$79),0)</f>
        <v>368.57912678094596</v>
      </c>
      <c r="BU218" s="1312">
        <f t="shared" si="98"/>
        <v>186.40738735423071</v>
      </c>
      <c r="BV218" s="1312">
        <f>BW217*((1+'Instrumentos Financeiros'!$L$43)^(1/12)-1)</f>
        <v>182.17173942671525</v>
      </c>
      <c r="BW218" s="1312">
        <f t="shared" si="99"/>
        <v>41943.861904990103</v>
      </c>
      <c r="BX218" s="1312">
        <f>IF(AND(C218&gt;$F$80,'Instrumentos Financeiros'!C218&lt;'Instrumentos Financeiros'!$F$80+'Instrumentos Financeiros'!$F$12+1),PMT(((1+'Instrumentos Financeiros'!$L$43)^(1/12)-1),$F$12,-$I$80),0)</f>
        <v>368.57912678094596</v>
      </c>
      <c r="BY218" s="1312">
        <f t="shared" si="100"/>
        <v>184.01006658507336</v>
      </c>
      <c r="BZ218" s="1312">
        <f>CA217*((1+'Instrumentos Financeiros'!$L$43)^(1/12)-1)</f>
        <v>184.56906019587259</v>
      </c>
      <c r="CA218" s="1312">
        <f t="shared" si="101"/>
        <v>42500.679850509121</v>
      </c>
      <c r="CB218" s="1312">
        <f>IF(AND(C218&gt;$F$83,'Instrumentos Financeiros'!C218&lt;'Instrumentos Financeiros'!$F$83+'Instrumentos Financeiros'!$F$13+1),PMT(((1+'Instrumentos Financeiros'!$P$43)^(1/12)-1),$F$13,-$I$83),0)</f>
        <v>0</v>
      </c>
      <c r="CC218" s="1312">
        <f t="shared" si="102"/>
        <v>0</v>
      </c>
      <c r="CD218" s="1312">
        <f>CE217*((1+'Instrumentos Financeiros'!$P$43)^(1/12)-1)</f>
        <v>0</v>
      </c>
      <c r="CE218" s="1312">
        <f t="shared" si="103"/>
        <v>0</v>
      </c>
      <c r="CF218" s="1312">
        <f>IF(AND(C218&gt;$F$84,'Instrumentos Financeiros'!C218&lt;'Instrumentos Financeiros'!$F$84+'Instrumentos Financeiros'!$F$13+1),PMT(((1+'Instrumentos Financeiros'!$Q$43)^(1/12)-1),$F$13,-$I$84),0)</f>
        <v>0</v>
      </c>
      <c r="CG218" s="1312">
        <f t="shared" si="104"/>
        <v>0</v>
      </c>
      <c r="CH218" s="1312">
        <f>CI217*((1+'Instrumentos Financeiros'!$Q$43)^(1/12)-1)</f>
        <v>0</v>
      </c>
      <c r="CI218" s="1312">
        <f t="shared" si="105"/>
        <v>0</v>
      </c>
      <c r="CJ218" s="1312">
        <f>IF(AND(C218&gt;$F$85,'Instrumentos Financeiros'!C218&lt;'Instrumentos Financeiros'!$F$85+'Instrumentos Financeiros'!$F$13+1),PMT(((1+'Instrumentos Financeiros'!$Q$43)^(1/12)-1),$F$13,-$I$85),0)</f>
        <v>0</v>
      </c>
      <c r="CK218" s="1312">
        <f t="shared" si="106"/>
        <v>0</v>
      </c>
      <c r="CL218" s="1312">
        <f>CM217*((1+'Instrumentos Financeiros'!$Q$43)^(1/12)-1)</f>
        <v>0</v>
      </c>
      <c r="CM218" s="1312">
        <f t="shared" si="107"/>
        <v>0</v>
      </c>
      <c r="CN218" s="1312">
        <f>IF(AND(C218&gt;$F$86,'Instrumentos Financeiros'!C218&lt;'Instrumentos Financeiros'!$F$86+'Instrumentos Financeiros'!$F$13+1),PMT(((1+'Instrumentos Financeiros'!$Q$43)^(1/12)-1),$F$13,-$I$86),0)</f>
        <v>0</v>
      </c>
      <c r="CO218" s="1312">
        <f t="shared" si="108"/>
        <v>0</v>
      </c>
      <c r="CP218" s="1312">
        <f>CQ217*((1+'Instrumentos Financeiros'!$Q$43)^(1/12)-1)</f>
        <v>0</v>
      </c>
      <c r="CQ218" s="1312">
        <f t="shared" si="109"/>
        <v>0</v>
      </c>
      <c r="CR218" s="1312">
        <f t="shared" si="78"/>
        <v>399789.55023115332</v>
      </c>
      <c r="CS218" s="1312">
        <f t="shared" si="78"/>
        <v>220930.75594851462</v>
      </c>
      <c r="CT218" s="1312">
        <f t="shared" si="78"/>
        <v>178858.79428263867</v>
      </c>
      <c r="CU218" s="1312">
        <f t="shared" si="78"/>
        <v>41636360.863721356</v>
      </c>
    </row>
    <row r="219" spans="3:99" x14ac:dyDescent="0.35">
      <c r="C219" s="1315">
        <f t="shared" si="79"/>
        <v>126</v>
      </c>
      <c r="D219" s="1312">
        <f>IF(AND(C219&gt;$F$59,'Instrumentos Financeiros'!C219&lt;'Instrumentos Financeiros'!$F$59+'Instrumentos Financeiros'!$F$11+1),PMT(((1+'Instrumentos Financeiros'!$G$43)^(1/12)-1),$F$11,-$I$59),0)</f>
        <v>91768.589635900134</v>
      </c>
      <c r="E219" s="1312">
        <f t="shared" si="76"/>
        <v>56057.473147523408</v>
      </c>
      <c r="F219" s="1312">
        <f>G218*((1+'Instrumentos Financeiros'!$G$43)^(1/12)-1)</f>
        <v>35711.116488376727</v>
      </c>
      <c r="G219" s="1312">
        <f t="shared" si="110"/>
        <v>8692806.1352743078</v>
      </c>
      <c r="H219" s="1312">
        <f>IF(AND(C219&gt;$F$60,'Instrumentos Financeiros'!C219&lt;'Instrumentos Financeiros'!$F$60+'Instrumentos Financeiros'!$F$11+1),PMT(((1+'Instrumentos Financeiros'!$G$43)^(1/12)-1),$F$11,-$I$60),0)</f>
        <v>0</v>
      </c>
      <c r="I219" s="1312">
        <f t="shared" si="111"/>
        <v>0</v>
      </c>
      <c r="J219" s="1312">
        <f>K218*((1+'Instrumentos Financeiros'!$G$43)^(1/12)-1)</f>
        <v>0</v>
      </c>
      <c r="K219" s="1312">
        <f t="shared" si="80"/>
        <v>0</v>
      </c>
      <c r="L219" s="1312">
        <f>IF(AND(C219&gt;$F$61,'Instrumentos Financeiros'!C219&lt;'Instrumentos Financeiros'!$F$61+'Instrumentos Financeiros'!$F$11+1),PMT(((1+'Instrumentos Financeiros'!$G$43)^(1/12)-1),$F$11,-$I$61),0)</f>
        <v>0</v>
      </c>
      <c r="M219" s="1312">
        <f t="shared" si="112"/>
        <v>0</v>
      </c>
      <c r="N219" s="1312">
        <f>O218*((1+'Instrumentos Financeiros'!$G$43)^(1/12)-1)</f>
        <v>0</v>
      </c>
      <c r="O219" s="1312">
        <f t="shared" si="81"/>
        <v>0</v>
      </c>
      <c r="P219" s="1312">
        <f>IF(AND(C219&gt;$F$62,'Instrumentos Financeiros'!C219&lt;'Instrumentos Financeiros'!$F$62+'Instrumentos Financeiros'!$F$11+1),PMT(((1+'Instrumentos Financeiros'!$H$43)^(1/12)-1),$F$11,-$I$62),0)</f>
        <v>0</v>
      </c>
      <c r="Q219" s="1312">
        <f t="shared" si="113"/>
        <v>0</v>
      </c>
      <c r="R219" s="1312">
        <f>S218*((1+'Instrumentos Financeiros'!$H$43)^(1/12)-1)</f>
        <v>0</v>
      </c>
      <c r="S219" s="1312">
        <f t="shared" si="82"/>
        <v>0</v>
      </c>
      <c r="T219" s="1312">
        <f>IF(AND(C219&gt;$F$63,'Instrumentos Financeiros'!C219&lt;'Instrumentos Financeiros'!$F$63+'Instrumentos Financeiros'!$F$11+1),PMT(((1+'Instrumentos Financeiros'!$H$43)^(1/12)-1),$F$11,-$I$63),0)</f>
        <v>0</v>
      </c>
      <c r="U219" s="1312">
        <f t="shared" si="114"/>
        <v>0</v>
      </c>
      <c r="V219" s="1312">
        <f>W218*((1+'Instrumentos Financeiros'!$H$43)^(1/12)-1)</f>
        <v>0</v>
      </c>
      <c r="W219" s="1312">
        <f t="shared" si="83"/>
        <v>0</v>
      </c>
      <c r="X219" s="1312">
        <f>IF(AND(C219&gt;$F$64,'Instrumentos Financeiros'!C219&lt;'Instrumentos Financeiros'!$F$64+'Instrumentos Financeiros'!$F$11+1),PMT(((1+'Instrumentos Financeiros'!$H$43)^(1/12)-1),$F$11,-$I$64),0)</f>
        <v>0</v>
      </c>
      <c r="Y219" s="1312">
        <f t="shared" si="115"/>
        <v>0</v>
      </c>
      <c r="Z219" s="1312">
        <f>AA218*((1+'Instrumentos Financeiros'!$H$43)^(1/12)-1)</f>
        <v>0</v>
      </c>
      <c r="AA219" s="1312">
        <f t="shared" si="84"/>
        <v>0</v>
      </c>
      <c r="AB219" s="1312">
        <f>IF(AND(C219&gt;$F$65,'Instrumentos Financeiros'!C219&lt;'Instrumentos Financeiros'!$F$65+'Instrumentos Financeiros'!$F$11+1),PMT(((1+'Instrumentos Financeiros'!$H$43)^(1/12)-1),$F$11,-$I$65),0)</f>
        <v>76636.661022032335</v>
      </c>
      <c r="AC219" s="1312">
        <f t="shared" si="116"/>
        <v>42069.952857270284</v>
      </c>
      <c r="AD219" s="1312">
        <f>AE218*((1+'Instrumentos Financeiros'!$H$43)^(1/12)-1)</f>
        <v>34566.708164762051</v>
      </c>
      <c r="AE219" s="1312">
        <f t="shared" si="85"/>
        <v>7952060.9047291819</v>
      </c>
      <c r="AF219" s="1312">
        <f>IF(AND(C219&gt;$F$66,'Instrumentos Financeiros'!C219&lt;'Instrumentos Financeiros'!$F$66+'Instrumentos Financeiros'!$F$11+1),PMT(((1+'Instrumentos Financeiros'!$I$43)^(1/12)-1),$F$11,-$I$66),0)</f>
        <v>76636.661022032335</v>
      </c>
      <c r="AG219" s="1312">
        <f t="shared" si="117"/>
        <v>41528.905781970898</v>
      </c>
      <c r="AH219" s="1312">
        <f>AI218*((1+'Instrumentos Financeiros'!$I$43)^(1/12)-1)</f>
        <v>35107.755240061437</v>
      </c>
      <c r="AI219" s="1312">
        <f t="shared" si="86"/>
        <v>8077728.1599305663</v>
      </c>
      <c r="AJ219" s="1312">
        <f>IF(AND(C219&gt;$F$67,'Instrumentos Financeiros'!C219&lt;'Instrumentos Financeiros'!$F$67+'Instrumentos Financeiros'!$F$11+1),PMT(((1+'Instrumentos Financeiros'!$I$43)^(1/12)-1),$F$11,-$I$67),0)</f>
        <v>76636.661022032335</v>
      </c>
      <c r="AK219" s="1312">
        <f t="shared" si="118"/>
        <v>40994.816925490624</v>
      </c>
      <c r="AL219" s="1312">
        <f>AM218*((1+'Instrumentos Financeiros'!$I$43)^(1/12)-1)</f>
        <v>35641.84409654171</v>
      </c>
      <c r="AM219" s="1312">
        <f t="shared" si="87"/>
        <v>8201779.252139844</v>
      </c>
      <c r="AN219" s="1312">
        <f>IF(AND(C219&gt;$F$68,'Instrumentos Financeiros'!C219&lt;'Instrumentos Financeiros'!$F$68+'Instrumentos Financeiros'!$F$11+1),PMT(((1+'Instrumentos Financeiros'!$I$43)^(1/12)-1),$F$11,-$I$68),0)</f>
        <v>76636.661022032335</v>
      </c>
      <c r="AO219" s="1312">
        <f t="shared" si="119"/>
        <v>40467.596800590072</v>
      </c>
      <c r="AP219" s="1312">
        <f>AQ218*((1+'Instrumentos Financeiros'!$I$43)^(1/12)-1)</f>
        <v>36169.064221442262</v>
      </c>
      <c r="AQ219" s="1312">
        <f t="shared" si="88"/>
        <v>8324234.9662688263</v>
      </c>
      <c r="AR219" s="1312">
        <f>IF(AND(C219&gt;$F$69,'Instrumentos Financeiros'!C219&lt;'Instrumentos Financeiros'!$F$69+'Instrumentos Financeiros'!$F$11+1),PMT(((1+'Instrumentos Financeiros'!$I$43)^(1/12)-1),$F$11,-$I$69),0)</f>
        <v>0</v>
      </c>
      <c r="AS219" s="1312">
        <f t="shared" si="120"/>
        <v>0</v>
      </c>
      <c r="AT219" s="1312">
        <f>AU218*((1+'Instrumentos Financeiros'!$I$43)^(1/12)-1)</f>
        <v>0</v>
      </c>
      <c r="AU219" s="1312">
        <f t="shared" si="89"/>
        <v>0</v>
      </c>
      <c r="AV219" s="1312">
        <f>IF(AND(C219&gt;$F$70,'Instrumentos Financeiros'!C219&lt;'Instrumentos Financeiros'!$F$70+'Instrumentos Financeiros'!$F$11+1),PMT(((1+'Instrumentos Financeiros'!$J$43)^(1/12)-1),$F$11,-$I$70),0)</f>
        <v>0</v>
      </c>
      <c r="AW219" s="1312">
        <f t="shared" si="121"/>
        <v>0</v>
      </c>
      <c r="AX219" s="1312">
        <f>AY218*((1+'Instrumentos Financeiros'!$J$43)^(1/12)-1)</f>
        <v>0</v>
      </c>
      <c r="AY219" s="1312">
        <f t="shared" si="90"/>
        <v>0</v>
      </c>
      <c r="AZ219" s="1312">
        <f>IF(AND(C219&gt;$F$71,'Instrumentos Financeiros'!C219&lt;'Instrumentos Financeiros'!$F$71+'Instrumentos Financeiros'!$F$11+1),PMT(((1+'Instrumentos Financeiros'!$J$43)^(1/12)-1),$F$11,-$I$71),0)</f>
        <v>0</v>
      </c>
      <c r="BA219" s="1312">
        <f t="shared" si="122"/>
        <v>0</v>
      </c>
      <c r="BB219" s="1312">
        <f>BC218*((1+'Instrumentos Financeiros'!$J$43)^(1/12)-1)</f>
        <v>0</v>
      </c>
      <c r="BC219" s="1312">
        <f t="shared" si="91"/>
        <v>0</v>
      </c>
      <c r="BD219" s="1312">
        <f>IF(AND(C219&gt;$F$72,'Instrumentos Financeiros'!C219&lt;'Instrumentos Financeiros'!$F$72+'Instrumentos Financeiros'!$F$11+1),PMT(((1+'Instrumentos Financeiros'!$J$43)^(1/12)-1),$F$11,-'Instrumentos Financeiros'!$G$7*$G$72),0)</f>
        <v>0</v>
      </c>
      <c r="BE219" s="1312">
        <f t="shared" si="123"/>
        <v>0</v>
      </c>
      <c r="BF219" s="1312">
        <f>BG218*((1+'Instrumentos Financeiros'!$J$43)^(1/12)-1)</f>
        <v>0</v>
      </c>
      <c r="BG219" s="1312">
        <f t="shared" si="92"/>
        <v>0</v>
      </c>
      <c r="BH219" s="1312">
        <f>IF(AND(C219&gt;$F$73,'Instrumentos Financeiros'!C219&lt;'Instrumentos Financeiros'!$F$73+'Instrumentos Financeiros'!$F$11+1),PMT(((1+'Instrumentos Financeiros'!$J$43)^(1/12)-1),$F$11,-$I$73),0)</f>
        <v>0</v>
      </c>
      <c r="BI219" s="1312">
        <f t="shared" si="124"/>
        <v>0</v>
      </c>
      <c r="BJ219" s="1312">
        <f>BK218*((1+'Instrumentos Financeiros'!$J$43)^(1/12)-1)</f>
        <v>0</v>
      </c>
      <c r="BK219" s="1312">
        <f t="shared" si="93"/>
        <v>0</v>
      </c>
      <c r="BL219" s="1312">
        <f>IF(AND(C219&gt;$F$77,'Instrumentos Financeiros'!C219&lt;'Instrumentos Financeiros'!$F$77+'Instrumentos Financeiros'!$F$12+1),PMT(((1+'Instrumentos Financeiros'!$K$43)^(1/12)-1),$F$12,-$I$77),0)</f>
        <v>368.57912678094596</v>
      </c>
      <c r="BM219" s="1312">
        <f t="shared" si="94"/>
        <v>192.12330070510984</v>
      </c>
      <c r="BN219" s="1312">
        <f>BO218*((1+'Instrumentos Financeiros'!$K$43)^(1/12)-1)</f>
        <v>176.45582607583611</v>
      </c>
      <c r="BO219" s="1312">
        <f t="shared" si="95"/>
        <v>40616.245188133311</v>
      </c>
      <c r="BP219" s="1312">
        <f>IF(AND(C219&gt;$F$78,'Instrumentos Financeiros'!C219&lt;'Instrumentos Financeiros'!$F$78+'Instrumentos Financeiros'!$F$12+1),PMT(((1+'Instrumentos Financeiros'!$L$43)^(1/12)-1),$F$12,-$I$78),0)</f>
        <v>368.57912678094596</v>
      </c>
      <c r="BQ219" s="1312">
        <f t="shared" si="96"/>
        <v>189.65246955642695</v>
      </c>
      <c r="BR219" s="1312">
        <f>BS218*((1+'Instrumentos Financeiros'!$L$43)^(1/12)-1)</f>
        <v>178.926657224519</v>
      </c>
      <c r="BS219" s="1312">
        <f t="shared" si="97"/>
        <v>41190.137151876486</v>
      </c>
      <c r="BT219" s="1312">
        <f>IF(AND(C219&gt;$F$79,'Instrumentos Financeiros'!C219&lt;'Instrumentos Financeiros'!$F$79+'Instrumentos Financeiros'!$F$12+1),PMT(((1+'Instrumentos Financeiros'!$L$43)^(1/12)-1),$F$12,-$I$79),0)</f>
        <v>368.57912678094596</v>
      </c>
      <c r="BU219" s="1312">
        <f t="shared" si="98"/>
        <v>187.21341491034889</v>
      </c>
      <c r="BV219" s="1312">
        <f>BW218*((1+'Instrumentos Financeiros'!$L$43)^(1/12)-1)</f>
        <v>181.36571187059707</v>
      </c>
      <c r="BW219" s="1312">
        <f t="shared" si="99"/>
        <v>41756.648490079751</v>
      </c>
      <c r="BX219" s="1312">
        <f>IF(AND(C219&gt;$F$80,'Instrumentos Financeiros'!C219&lt;'Instrumentos Financeiros'!$F$80+'Instrumentos Financeiros'!$F$12+1),PMT(((1+'Instrumentos Financeiros'!$L$43)^(1/12)-1),$F$12,-$I$80),0)</f>
        <v>368.57912678094596</v>
      </c>
      <c r="BY219" s="1312">
        <f t="shared" si="100"/>
        <v>184.80572810029469</v>
      </c>
      <c r="BZ219" s="1312">
        <f>CA218*((1+'Instrumentos Financeiros'!$L$43)^(1/12)-1)</f>
        <v>183.77339868065127</v>
      </c>
      <c r="CA219" s="1312">
        <f t="shared" si="101"/>
        <v>42315.87412240883</v>
      </c>
      <c r="CB219" s="1312">
        <f>IF(AND(C219&gt;$F$83,'Instrumentos Financeiros'!C219&lt;'Instrumentos Financeiros'!$F$83+'Instrumentos Financeiros'!$F$13+1),PMT(((1+'Instrumentos Financeiros'!$P$43)^(1/12)-1),$F$13,-$I$83),0)</f>
        <v>0</v>
      </c>
      <c r="CC219" s="1312">
        <f t="shared" si="102"/>
        <v>0</v>
      </c>
      <c r="CD219" s="1312">
        <f>CE218*((1+'Instrumentos Financeiros'!$P$43)^(1/12)-1)</f>
        <v>0</v>
      </c>
      <c r="CE219" s="1312">
        <f t="shared" si="103"/>
        <v>0</v>
      </c>
      <c r="CF219" s="1312">
        <f>IF(AND(C219&gt;$F$84,'Instrumentos Financeiros'!C219&lt;'Instrumentos Financeiros'!$F$84+'Instrumentos Financeiros'!$F$13+1),PMT(((1+'Instrumentos Financeiros'!$Q$43)^(1/12)-1),$F$13,-$I$84),0)</f>
        <v>0</v>
      </c>
      <c r="CG219" s="1312">
        <f t="shared" si="104"/>
        <v>0</v>
      </c>
      <c r="CH219" s="1312">
        <f>CI218*((1+'Instrumentos Financeiros'!$Q$43)^(1/12)-1)</f>
        <v>0</v>
      </c>
      <c r="CI219" s="1312">
        <f t="shared" si="105"/>
        <v>0</v>
      </c>
      <c r="CJ219" s="1312">
        <f>IF(AND(C219&gt;$F$85,'Instrumentos Financeiros'!C219&lt;'Instrumentos Financeiros'!$F$85+'Instrumentos Financeiros'!$F$13+1),PMT(((1+'Instrumentos Financeiros'!$Q$43)^(1/12)-1),$F$13,-$I$85),0)</f>
        <v>0</v>
      </c>
      <c r="CK219" s="1312">
        <f t="shared" si="106"/>
        <v>0</v>
      </c>
      <c r="CL219" s="1312">
        <f>CM218*((1+'Instrumentos Financeiros'!$Q$43)^(1/12)-1)</f>
        <v>0</v>
      </c>
      <c r="CM219" s="1312">
        <f t="shared" si="107"/>
        <v>0</v>
      </c>
      <c r="CN219" s="1312">
        <f>IF(AND(C219&gt;$F$86,'Instrumentos Financeiros'!C219&lt;'Instrumentos Financeiros'!$F$86+'Instrumentos Financeiros'!$F$13+1),PMT(((1+'Instrumentos Financeiros'!$Q$43)^(1/12)-1),$F$13,-$I$86),0)</f>
        <v>0</v>
      </c>
      <c r="CO219" s="1312">
        <f t="shared" si="108"/>
        <v>0</v>
      </c>
      <c r="CP219" s="1312">
        <f>CQ218*((1+'Instrumentos Financeiros'!$Q$43)^(1/12)-1)</f>
        <v>0</v>
      </c>
      <c r="CQ219" s="1312">
        <f t="shared" si="109"/>
        <v>0</v>
      </c>
      <c r="CR219" s="1312">
        <f t="shared" si="78"/>
        <v>399789.55023115332</v>
      </c>
      <c r="CS219" s="1312">
        <f t="shared" si="78"/>
        <v>221872.54042611748</v>
      </c>
      <c r="CT219" s="1312">
        <f t="shared" si="78"/>
        <v>177917.00980503581</v>
      </c>
      <c r="CU219" s="1312">
        <f t="shared" si="78"/>
        <v>41414488.323295221</v>
      </c>
    </row>
    <row r="220" spans="3:99" x14ac:dyDescent="0.35">
      <c r="C220" s="1315">
        <f t="shared" si="79"/>
        <v>127</v>
      </c>
      <c r="D220" s="1312">
        <f>IF(AND(C220&gt;$F$59,'Instrumentos Financeiros'!C220&lt;'Instrumentos Financeiros'!$F$59+'Instrumentos Financeiros'!$F$11+1),PMT(((1+'Instrumentos Financeiros'!$G$43)^(1/12)-1),$F$11,-$I$59),0)</f>
        <v>91768.589635900134</v>
      </c>
      <c r="E220" s="1312">
        <f t="shared" si="76"/>
        <v>56286.288573527781</v>
      </c>
      <c r="F220" s="1312">
        <f>G219*((1+'Instrumentos Financeiros'!$G$43)^(1/12)-1)</f>
        <v>35482.301062372353</v>
      </c>
      <c r="G220" s="1312">
        <f t="shared" si="110"/>
        <v>8636519.8467007801</v>
      </c>
      <c r="H220" s="1312">
        <f>IF(AND(C220&gt;$F$60,'Instrumentos Financeiros'!C220&lt;'Instrumentos Financeiros'!$F$60+'Instrumentos Financeiros'!$F$11+1),PMT(((1+'Instrumentos Financeiros'!$G$43)^(1/12)-1),$F$11,-$I$60),0)</f>
        <v>0</v>
      </c>
      <c r="I220" s="1312">
        <f t="shared" si="111"/>
        <v>0</v>
      </c>
      <c r="J220" s="1312">
        <f>K219*((1+'Instrumentos Financeiros'!$G$43)^(1/12)-1)</f>
        <v>0</v>
      </c>
      <c r="K220" s="1312">
        <f t="shared" si="80"/>
        <v>0</v>
      </c>
      <c r="L220" s="1312">
        <f>IF(AND(C220&gt;$F$61,'Instrumentos Financeiros'!C220&lt;'Instrumentos Financeiros'!$F$61+'Instrumentos Financeiros'!$F$11+1),PMT(((1+'Instrumentos Financeiros'!$G$43)^(1/12)-1),$F$11,-$I$61),0)</f>
        <v>0</v>
      </c>
      <c r="M220" s="1312">
        <f t="shared" si="112"/>
        <v>0</v>
      </c>
      <c r="N220" s="1312">
        <f>O219*((1+'Instrumentos Financeiros'!$G$43)^(1/12)-1)</f>
        <v>0</v>
      </c>
      <c r="O220" s="1312">
        <f t="shared" si="81"/>
        <v>0</v>
      </c>
      <c r="P220" s="1312">
        <f>IF(AND(C220&gt;$F$62,'Instrumentos Financeiros'!C220&lt;'Instrumentos Financeiros'!$F$62+'Instrumentos Financeiros'!$F$11+1),PMT(((1+'Instrumentos Financeiros'!$H$43)^(1/12)-1),$F$11,-$I$62),0)</f>
        <v>0</v>
      </c>
      <c r="Q220" s="1312">
        <f t="shared" si="113"/>
        <v>0</v>
      </c>
      <c r="R220" s="1312">
        <f>S219*((1+'Instrumentos Financeiros'!$H$43)^(1/12)-1)</f>
        <v>0</v>
      </c>
      <c r="S220" s="1312">
        <f t="shared" si="82"/>
        <v>0</v>
      </c>
      <c r="T220" s="1312">
        <f>IF(AND(C220&gt;$F$63,'Instrumentos Financeiros'!C220&lt;'Instrumentos Financeiros'!$F$63+'Instrumentos Financeiros'!$F$11+1),PMT(((1+'Instrumentos Financeiros'!$H$43)^(1/12)-1),$F$11,-$I$63),0)</f>
        <v>0</v>
      </c>
      <c r="U220" s="1312">
        <f t="shared" si="114"/>
        <v>0</v>
      </c>
      <c r="V220" s="1312">
        <f>W219*((1+'Instrumentos Financeiros'!$H$43)^(1/12)-1)</f>
        <v>0</v>
      </c>
      <c r="W220" s="1312">
        <f t="shared" si="83"/>
        <v>0</v>
      </c>
      <c r="X220" s="1312">
        <f>IF(AND(C220&gt;$F$64,'Instrumentos Financeiros'!C220&lt;'Instrumentos Financeiros'!$F$64+'Instrumentos Financeiros'!$F$11+1),PMT(((1+'Instrumentos Financeiros'!$H$43)^(1/12)-1),$F$11,-$I$64),0)</f>
        <v>0</v>
      </c>
      <c r="Y220" s="1312">
        <f t="shared" si="115"/>
        <v>0</v>
      </c>
      <c r="Z220" s="1312">
        <f>AA219*((1+'Instrumentos Financeiros'!$H$43)^(1/12)-1)</f>
        <v>0</v>
      </c>
      <c r="AA220" s="1312">
        <f t="shared" si="84"/>
        <v>0</v>
      </c>
      <c r="AB220" s="1312">
        <f>IF(AND(C220&gt;$F$65,'Instrumentos Financeiros'!C220&lt;'Instrumentos Financeiros'!$F$65+'Instrumentos Financeiros'!$F$11+1),PMT(((1+'Instrumentos Financeiros'!$H$43)^(1/12)-1),$F$11,-$I$65),0)</f>
        <v>76636.661022032335</v>
      </c>
      <c r="AC220" s="1312">
        <f t="shared" si="116"/>
        <v>42251.863787780319</v>
      </c>
      <c r="AD220" s="1312">
        <f>AE219*((1+'Instrumentos Financeiros'!$H$43)^(1/12)-1)</f>
        <v>34384.797234252015</v>
      </c>
      <c r="AE220" s="1312">
        <f t="shared" si="85"/>
        <v>7909809.0409414014</v>
      </c>
      <c r="AF220" s="1312">
        <f>IF(AND(C220&gt;$F$66,'Instrumentos Financeiros'!C220&lt;'Instrumentos Financeiros'!$F$66+'Instrumentos Financeiros'!$F$11+1),PMT(((1+'Instrumentos Financeiros'!$I$43)^(1/12)-1),$F$11,-$I$66),0)</f>
        <v>76636.661022032335</v>
      </c>
      <c r="AG220" s="1312">
        <f t="shared" si="117"/>
        <v>41708.477219084038</v>
      </c>
      <c r="AH220" s="1312">
        <f>AI219*((1+'Instrumentos Financeiros'!$I$43)^(1/12)-1)</f>
        <v>34928.183802948297</v>
      </c>
      <c r="AI220" s="1312">
        <f t="shared" si="86"/>
        <v>8036019.682711482</v>
      </c>
      <c r="AJ220" s="1312">
        <f>IF(AND(C220&gt;$F$67,'Instrumentos Financeiros'!C220&lt;'Instrumentos Financeiros'!$F$67+'Instrumentos Financeiros'!$F$11+1),PMT(((1+'Instrumentos Financeiros'!$I$43)^(1/12)-1),$F$11,-$I$67),0)</f>
        <v>76636.661022032335</v>
      </c>
      <c r="AK220" s="1312">
        <f t="shared" si="118"/>
        <v>41172.078956620186</v>
      </c>
      <c r="AL220" s="1312">
        <f>AM219*((1+'Instrumentos Financeiros'!$I$43)^(1/12)-1)</f>
        <v>35464.582065412149</v>
      </c>
      <c r="AM220" s="1312">
        <f t="shared" si="87"/>
        <v>8160607.1731832242</v>
      </c>
      <c r="AN220" s="1312">
        <f>IF(AND(C220&gt;$F$68,'Instrumentos Financeiros'!C220&lt;'Instrumentos Financeiros'!$F$68+'Instrumentos Financeiros'!$F$11+1),PMT(((1+'Instrumentos Financeiros'!$I$43)^(1/12)-1),$F$11,-$I$68),0)</f>
        <v>76636.661022032335</v>
      </c>
      <c r="AO220" s="1312">
        <f t="shared" si="119"/>
        <v>40642.579126205594</v>
      </c>
      <c r="AP220" s="1312">
        <f>AQ219*((1+'Instrumentos Financeiros'!$I$43)^(1/12)-1)</f>
        <v>35994.081895826741</v>
      </c>
      <c r="AQ220" s="1312">
        <f t="shared" si="88"/>
        <v>8283592.387142621</v>
      </c>
      <c r="AR220" s="1312">
        <f>IF(AND(C220&gt;$F$69,'Instrumentos Financeiros'!C220&lt;'Instrumentos Financeiros'!$F$69+'Instrumentos Financeiros'!$F$11+1),PMT(((1+'Instrumentos Financeiros'!$I$43)^(1/12)-1),$F$11,-$I$69),0)</f>
        <v>0</v>
      </c>
      <c r="AS220" s="1312">
        <f t="shared" si="120"/>
        <v>0</v>
      </c>
      <c r="AT220" s="1312">
        <f>AU219*((1+'Instrumentos Financeiros'!$I$43)^(1/12)-1)</f>
        <v>0</v>
      </c>
      <c r="AU220" s="1312">
        <f t="shared" si="89"/>
        <v>0</v>
      </c>
      <c r="AV220" s="1312">
        <f>IF(AND(C220&gt;$F$70,'Instrumentos Financeiros'!C220&lt;'Instrumentos Financeiros'!$F$70+'Instrumentos Financeiros'!$F$11+1),PMT(((1+'Instrumentos Financeiros'!$J$43)^(1/12)-1),$F$11,-$I$70),0)</f>
        <v>0</v>
      </c>
      <c r="AW220" s="1312">
        <f t="shared" si="121"/>
        <v>0</v>
      </c>
      <c r="AX220" s="1312">
        <f>AY219*((1+'Instrumentos Financeiros'!$J$43)^(1/12)-1)</f>
        <v>0</v>
      </c>
      <c r="AY220" s="1312">
        <f t="shared" si="90"/>
        <v>0</v>
      </c>
      <c r="AZ220" s="1312">
        <f>IF(AND(C220&gt;$F$71,'Instrumentos Financeiros'!C220&lt;'Instrumentos Financeiros'!$F$71+'Instrumentos Financeiros'!$F$11+1),PMT(((1+'Instrumentos Financeiros'!$J$43)^(1/12)-1),$F$11,-$I$71),0)</f>
        <v>0</v>
      </c>
      <c r="BA220" s="1312">
        <f t="shared" si="122"/>
        <v>0</v>
      </c>
      <c r="BB220" s="1312">
        <f>BC219*((1+'Instrumentos Financeiros'!$J$43)^(1/12)-1)</f>
        <v>0</v>
      </c>
      <c r="BC220" s="1312">
        <f t="shared" si="91"/>
        <v>0</v>
      </c>
      <c r="BD220" s="1312">
        <f>IF(AND(C220&gt;$F$72,'Instrumentos Financeiros'!C220&lt;'Instrumentos Financeiros'!$F$72+'Instrumentos Financeiros'!$F$11+1),PMT(((1+'Instrumentos Financeiros'!$J$43)^(1/12)-1),$F$11,-'Instrumentos Financeiros'!$G$7*$G$72),0)</f>
        <v>0</v>
      </c>
      <c r="BE220" s="1312">
        <f t="shared" si="123"/>
        <v>0</v>
      </c>
      <c r="BF220" s="1312">
        <f>BG219*((1+'Instrumentos Financeiros'!$J$43)^(1/12)-1)</f>
        <v>0</v>
      </c>
      <c r="BG220" s="1312">
        <f t="shared" si="92"/>
        <v>0</v>
      </c>
      <c r="BH220" s="1312">
        <f>IF(AND(C220&gt;$F$73,'Instrumentos Financeiros'!C220&lt;'Instrumentos Financeiros'!$F$73+'Instrumentos Financeiros'!$F$11+1),PMT(((1+'Instrumentos Financeiros'!$J$43)^(1/12)-1),$F$11,-$I$73),0)</f>
        <v>0</v>
      </c>
      <c r="BI220" s="1312">
        <f t="shared" si="124"/>
        <v>0</v>
      </c>
      <c r="BJ220" s="1312">
        <f>BK219*((1+'Instrumentos Financeiros'!$J$43)^(1/12)-1)</f>
        <v>0</v>
      </c>
      <c r="BK220" s="1312">
        <f t="shared" si="93"/>
        <v>0</v>
      </c>
      <c r="BL220" s="1312">
        <f>IF(AND(C220&gt;$F$77,'Instrumentos Financeiros'!C220&lt;'Instrumentos Financeiros'!$F$77+'Instrumentos Financeiros'!$F$12+1),PMT(((1+'Instrumentos Financeiros'!$K$43)^(1/12)-1),$F$12,-$I$77),0)</f>
        <v>368.57912678094596</v>
      </c>
      <c r="BM220" s="1312">
        <f t="shared" si="94"/>
        <v>192.95404393228907</v>
      </c>
      <c r="BN220" s="1312">
        <f>BO219*((1+'Instrumentos Financeiros'!$K$43)^(1/12)-1)</f>
        <v>175.62508284865689</v>
      </c>
      <c r="BO220" s="1312">
        <f t="shared" si="95"/>
        <v>40423.291144201023</v>
      </c>
      <c r="BP220" s="1312">
        <f>IF(AND(C220&gt;$F$78,'Instrumentos Financeiros'!C220&lt;'Instrumentos Financeiros'!$F$78+'Instrumentos Financeiros'!$F$12+1),PMT(((1+'Instrumentos Financeiros'!$L$43)^(1/12)-1),$F$12,-$I$78),0)</f>
        <v>368.57912678094596</v>
      </c>
      <c r="BQ220" s="1312">
        <f t="shared" si="96"/>
        <v>190.47252888303433</v>
      </c>
      <c r="BR220" s="1312">
        <f>BS219*((1+'Instrumentos Financeiros'!$L$43)^(1/12)-1)</f>
        <v>178.10659789791163</v>
      </c>
      <c r="BS220" s="1312">
        <f t="shared" si="97"/>
        <v>40999.664622993449</v>
      </c>
      <c r="BT220" s="1312">
        <f>IF(AND(C220&gt;$F$79,'Instrumentos Financeiros'!C220&lt;'Instrumentos Financeiros'!$F$79+'Instrumentos Financeiros'!$F$12+1),PMT(((1+'Instrumentos Financeiros'!$L$43)^(1/12)-1),$F$12,-$I$79),0)</f>
        <v>368.57912678094596</v>
      </c>
      <c r="BU220" s="1312">
        <f t="shared" si="98"/>
        <v>188.02292773832485</v>
      </c>
      <c r="BV220" s="1312">
        <f>BW219*((1+'Instrumentos Financeiros'!$L$43)^(1/12)-1)</f>
        <v>180.5561990426211</v>
      </c>
      <c r="BW220" s="1312">
        <f t="shared" si="99"/>
        <v>41568.625562341425</v>
      </c>
      <c r="BX220" s="1312">
        <f>IF(AND(C220&gt;$F$80,'Instrumentos Financeiros'!C220&lt;'Instrumentos Financeiros'!$F$80+'Instrumentos Financeiros'!$F$12+1),PMT(((1+'Instrumentos Financeiros'!$L$43)^(1/12)-1),$F$12,-$I$80),0)</f>
        <v>368.57912678094596</v>
      </c>
      <c r="BY220" s="1312">
        <f t="shared" si="100"/>
        <v>185.60483006450093</v>
      </c>
      <c r="BZ220" s="1312">
        <f>CA219*((1+'Instrumentos Financeiros'!$L$43)^(1/12)-1)</f>
        <v>182.97429671644502</v>
      </c>
      <c r="CA220" s="1312">
        <f t="shared" si="101"/>
        <v>42130.269292344332</v>
      </c>
      <c r="CB220" s="1312">
        <f>IF(AND(C220&gt;$F$83,'Instrumentos Financeiros'!C220&lt;'Instrumentos Financeiros'!$F$83+'Instrumentos Financeiros'!$F$13+1),PMT(((1+'Instrumentos Financeiros'!$P$43)^(1/12)-1),$F$13,-$I$83),0)</f>
        <v>0</v>
      </c>
      <c r="CC220" s="1312">
        <f t="shared" si="102"/>
        <v>0</v>
      </c>
      <c r="CD220" s="1312">
        <f>CE219*((1+'Instrumentos Financeiros'!$P$43)^(1/12)-1)</f>
        <v>0</v>
      </c>
      <c r="CE220" s="1312">
        <f t="shared" si="103"/>
        <v>0</v>
      </c>
      <c r="CF220" s="1312">
        <f>IF(AND(C220&gt;$F$84,'Instrumentos Financeiros'!C220&lt;'Instrumentos Financeiros'!$F$84+'Instrumentos Financeiros'!$F$13+1),PMT(((1+'Instrumentos Financeiros'!$Q$43)^(1/12)-1),$F$13,-$I$84),0)</f>
        <v>0</v>
      </c>
      <c r="CG220" s="1312">
        <f t="shared" si="104"/>
        <v>0</v>
      </c>
      <c r="CH220" s="1312">
        <f>CI219*((1+'Instrumentos Financeiros'!$Q$43)^(1/12)-1)</f>
        <v>0</v>
      </c>
      <c r="CI220" s="1312">
        <f t="shared" si="105"/>
        <v>0</v>
      </c>
      <c r="CJ220" s="1312">
        <f>IF(AND(C220&gt;$F$85,'Instrumentos Financeiros'!C220&lt;'Instrumentos Financeiros'!$F$85+'Instrumentos Financeiros'!$F$13+1),PMT(((1+'Instrumentos Financeiros'!$Q$43)^(1/12)-1),$F$13,-$I$85),0)</f>
        <v>0</v>
      </c>
      <c r="CK220" s="1312">
        <f t="shared" si="106"/>
        <v>0</v>
      </c>
      <c r="CL220" s="1312">
        <f>CM219*((1+'Instrumentos Financeiros'!$Q$43)^(1/12)-1)</f>
        <v>0</v>
      </c>
      <c r="CM220" s="1312">
        <f t="shared" si="107"/>
        <v>0</v>
      </c>
      <c r="CN220" s="1312">
        <f>IF(AND(C220&gt;$F$86,'Instrumentos Financeiros'!C220&lt;'Instrumentos Financeiros'!$F$86+'Instrumentos Financeiros'!$F$13+1),PMT(((1+'Instrumentos Financeiros'!$Q$43)^(1/12)-1),$F$13,-$I$86),0)</f>
        <v>0</v>
      </c>
      <c r="CO220" s="1312">
        <f t="shared" si="108"/>
        <v>0</v>
      </c>
      <c r="CP220" s="1312">
        <f>CQ219*((1+'Instrumentos Financeiros'!$Q$43)^(1/12)-1)</f>
        <v>0</v>
      </c>
      <c r="CQ220" s="1312">
        <f t="shared" si="109"/>
        <v>0</v>
      </c>
      <c r="CR220" s="1312">
        <f t="shared" si="78"/>
        <v>399789.55023115332</v>
      </c>
      <c r="CS220" s="1312">
        <f t="shared" si="78"/>
        <v>222818.34199383605</v>
      </c>
      <c r="CT220" s="1312">
        <f t="shared" si="78"/>
        <v>176971.20823731722</v>
      </c>
      <c r="CU220" s="1312">
        <f t="shared" si="78"/>
        <v>41191669.98130139</v>
      </c>
    </row>
    <row r="221" spans="3:99" x14ac:dyDescent="0.35">
      <c r="C221" s="1315">
        <f t="shared" si="79"/>
        <v>128</v>
      </c>
      <c r="D221" s="1312">
        <f>IF(AND(C221&gt;$F$59,'Instrumentos Financeiros'!C221&lt;'Instrumentos Financeiros'!$F$59+'Instrumentos Financeiros'!$F$11+1),PMT(((1+'Instrumentos Financeiros'!$G$43)^(1/12)-1),$F$11,-$I$59),0)</f>
        <v>91768.589635900134</v>
      </c>
      <c r="E221" s="1312">
        <f t="shared" ref="E221:E284" si="125">D221-F221</f>
        <v>56516.037978469096</v>
      </c>
      <c r="F221" s="1312">
        <f>G220*((1+'Instrumentos Financeiros'!$G$43)^(1/12)-1)</f>
        <v>35252.551657431039</v>
      </c>
      <c r="G221" s="1312">
        <f t="shared" si="110"/>
        <v>8580003.8087223116</v>
      </c>
      <c r="H221" s="1312">
        <f>IF(AND(C221&gt;$F$60,'Instrumentos Financeiros'!C221&lt;'Instrumentos Financeiros'!$F$60+'Instrumentos Financeiros'!$F$11+1),PMT(((1+'Instrumentos Financeiros'!$G$43)^(1/12)-1),$F$11,-$I$60),0)</f>
        <v>0</v>
      </c>
      <c r="I221" s="1312">
        <f t="shared" si="111"/>
        <v>0</v>
      </c>
      <c r="J221" s="1312">
        <f>K220*((1+'Instrumentos Financeiros'!$G$43)^(1/12)-1)</f>
        <v>0</v>
      </c>
      <c r="K221" s="1312">
        <f t="shared" si="80"/>
        <v>0</v>
      </c>
      <c r="L221" s="1312">
        <f>IF(AND(C221&gt;$F$61,'Instrumentos Financeiros'!C221&lt;'Instrumentos Financeiros'!$F$61+'Instrumentos Financeiros'!$F$11+1),PMT(((1+'Instrumentos Financeiros'!$G$43)^(1/12)-1),$F$11,-$I$61),0)</f>
        <v>0</v>
      </c>
      <c r="M221" s="1312">
        <f t="shared" si="112"/>
        <v>0</v>
      </c>
      <c r="N221" s="1312">
        <f>O220*((1+'Instrumentos Financeiros'!$G$43)^(1/12)-1)</f>
        <v>0</v>
      </c>
      <c r="O221" s="1312">
        <f t="shared" si="81"/>
        <v>0</v>
      </c>
      <c r="P221" s="1312">
        <f>IF(AND(C221&gt;$F$62,'Instrumentos Financeiros'!C221&lt;'Instrumentos Financeiros'!$F$62+'Instrumentos Financeiros'!$F$11+1),PMT(((1+'Instrumentos Financeiros'!$H$43)^(1/12)-1),$F$11,-$I$62),0)</f>
        <v>0</v>
      </c>
      <c r="Q221" s="1312">
        <f t="shared" si="113"/>
        <v>0</v>
      </c>
      <c r="R221" s="1312">
        <f>S220*((1+'Instrumentos Financeiros'!$H$43)^(1/12)-1)</f>
        <v>0</v>
      </c>
      <c r="S221" s="1312">
        <f t="shared" si="82"/>
        <v>0</v>
      </c>
      <c r="T221" s="1312">
        <f>IF(AND(C221&gt;$F$63,'Instrumentos Financeiros'!C221&lt;'Instrumentos Financeiros'!$F$63+'Instrumentos Financeiros'!$F$11+1),PMT(((1+'Instrumentos Financeiros'!$H$43)^(1/12)-1),$F$11,-$I$63),0)</f>
        <v>0</v>
      </c>
      <c r="U221" s="1312">
        <f t="shared" si="114"/>
        <v>0</v>
      </c>
      <c r="V221" s="1312">
        <f>W220*((1+'Instrumentos Financeiros'!$H$43)^(1/12)-1)</f>
        <v>0</v>
      </c>
      <c r="W221" s="1312">
        <f t="shared" si="83"/>
        <v>0</v>
      </c>
      <c r="X221" s="1312">
        <f>IF(AND(C221&gt;$F$64,'Instrumentos Financeiros'!C221&lt;'Instrumentos Financeiros'!$F$64+'Instrumentos Financeiros'!$F$11+1),PMT(((1+'Instrumentos Financeiros'!$H$43)^(1/12)-1),$F$11,-$I$64),0)</f>
        <v>0</v>
      </c>
      <c r="Y221" s="1312">
        <f t="shared" si="115"/>
        <v>0</v>
      </c>
      <c r="Z221" s="1312">
        <f>AA220*((1+'Instrumentos Financeiros'!$H$43)^(1/12)-1)</f>
        <v>0</v>
      </c>
      <c r="AA221" s="1312">
        <f t="shared" si="84"/>
        <v>0</v>
      </c>
      <c r="AB221" s="1312">
        <f>IF(AND(C221&gt;$F$65,'Instrumentos Financeiros'!C221&lt;'Instrumentos Financeiros'!$F$65+'Instrumentos Financeiros'!$F$11+1),PMT(((1+'Instrumentos Financeiros'!$H$43)^(1/12)-1),$F$11,-$I$65),0)</f>
        <v>76636.661022032335</v>
      </c>
      <c r="AC221" s="1312">
        <f t="shared" si="116"/>
        <v>42434.56130311852</v>
      </c>
      <c r="AD221" s="1312">
        <f>AE220*((1+'Instrumentos Financeiros'!$H$43)^(1/12)-1)</f>
        <v>34202.099718913814</v>
      </c>
      <c r="AE221" s="1312">
        <f t="shared" si="85"/>
        <v>7867374.4796382831</v>
      </c>
      <c r="AF221" s="1312">
        <f>IF(AND(C221&gt;$F$66,'Instrumentos Financeiros'!C221&lt;'Instrumentos Financeiros'!$F$66+'Instrumentos Financeiros'!$F$11+1),PMT(((1+'Instrumentos Financeiros'!$I$43)^(1/12)-1),$F$11,-$I$66),0)</f>
        <v>76636.661022032335</v>
      </c>
      <c r="AG221" s="1312">
        <f t="shared" si="117"/>
        <v>41888.825125030628</v>
      </c>
      <c r="AH221" s="1312">
        <f>AI220*((1+'Instrumentos Financeiros'!$I$43)^(1/12)-1)</f>
        <v>34747.835897001707</v>
      </c>
      <c r="AI221" s="1312">
        <f t="shared" si="86"/>
        <v>7994130.8575864518</v>
      </c>
      <c r="AJ221" s="1312">
        <f>IF(AND(C221&gt;$F$67,'Instrumentos Financeiros'!C221&lt;'Instrumentos Financeiros'!$F$67+'Instrumentos Financeiros'!$F$11+1),PMT(((1+'Instrumentos Financeiros'!$I$43)^(1/12)-1),$F$11,-$I$67),0)</f>
        <v>76636.661022032335</v>
      </c>
      <c r="AK221" s="1312">
        <f t="shared" si="118"/>
        <v>41350.107470686773</v>
      </c>
      <c r="AL221" s="1312">
        <f>AM220*((1+'Instrumentos Financeiros'!$I$43)^(1/12)-1)</f>
        <v>35286.553551345562</v>
      </c>
      <c r="AM221" s="1312">
        <f t="shared" si="87"/>
        <v>8119257.0657125376</v>
      </c>
      <c r="AN221" s="1312">
        <f>IF(AND(C221&gt;$F$68,'Instrumentos Financeiros'!C221&lt;'Instrumentos Financeiros'!$F$68+'Instrumentos Financeiros'!$F$11+1),PMT(((1+'Instrumentos Financeiros'!$I$43)^(1/12)-1),$F$11,-$I$68),0)</f>
        <v>76636.661022032335</v>
      </c>
      <c r="AO221" s="1312">
        <f t="shared" si="119"/>
        <v>40818.31807728688</v>
      </c>
      <c r="AP221" s="1312">
        <f>AQ220*((1+'Instrumentos Financeiros'!$I$43)^(1/12)-1)</f>
        <v>35818.342944745455</v>
      </c>
      <c r="AQ221" s="1312">
        <f t="shared" si="88"/>
        <v>8242774.0690653343</v>
      </c>
      <c r="AR221" s="1312">
        <f>IF(AND(C221&gt;$F$69,'Instrumentos Financeiros'!C221&lt;'Instrumentos Financeiros'!$F$69+'Instrumentos Financeiros'!$F$11+1),PMT(((1+'Instrumentos Financeiros'!$I$43)^(1/12)-1),$F$11,-$I$69),0)</f>
        <v>0</v>
      </c>
      <c r="AS221" s="1312">
        <f t="shared" si="120"/>
        <v>0</v>
      </c>
      <c r="AT221" s="1312">
        <f>AU220*((1+'Instrumentos Financeiros'!$I$43)^(1/12)-1)</f>
        <v>0</v>
      </c>
      <c r="AU221" s="1312">
        <f t="shared" si="89"/>
        <v>0</v>
      </c>
      <c r="AV221" s="1312">
        <f>IF(AND(C221&gt;$F$70,'Instrumentos Financeiros'!C221&lt;'Instrumentos Financeiros'!$F$70+'Instrumentos Financeiros'!$F$11+1),PMT(((1+'Instrumentos Financeiros'!$J$43)^(1/12)-1),$F$11,-$I$70),0)</f>
        <v>0</v>
      </c>
      <c r="AW221" s="1312">
        <f t="shared" si="121"/>
        <v>0</v>
      </c>
      <c r="AX221" s="1312">
        <f>AY220*((1+'Instrumentos Financeiros'!$J$43)^(1/12)-1)</f>
        <v>0</v>
      </c>
      <c r="AY221" s="1312">
        <f t="shared" si="90"/>
        <v>0</v>
      </c>
      <c r="AZ221" s="1312">
        <f>IF(AND(C221&gt;$F$71,'Instrumentos Financeiros'!C221&lt;'Instrumentos Financeiros'!$F$71+'Instrumentos Financeiros'!$F$11+1),PMT(((1+'Instrumentos Financeiros'!$J$43)^(1/12)-1),$F$11,-$I$71),0)</f>
        <v>0</v>
      </c>
      <c r="BA221" s="1312">
        <f t="shared" si="122"/>
        <v>0</v>
      </c>
      <c r="BB221" s="1312">
        <f>BC220*((1+'Instrumentos Financeiros'!$J$43)^(1/12)-1)</f>
        <v>0</v>
      </c>
      <c r="BC221" s="1312">
        <f t="shared" si="91"/>
        <v>0</v>
      </c>
      <c r="BD221" s="1312">
        <f>IF(AND(C221&gt;$F$72,'Instrumentos Financeiros'!C221&lt;'Instrumentos Financeiros'!$F$72+'Instrumentos Financeiros'!$F$11+1),PMT(((1+'Instrumentos Financeiros'!$J$43)^(1/12)-1),$F$11,-'Instrumentos Financeiros'!$G$7*$G$72),0)</f>
        <v>0</v>
      </c>
      <c r="BE221" s="1312">
        <f t="shared" si="123"/>
        <v>0</v>
      </c>
      <c r="BF221" s="1312">
        <f>BG220*((1+'Instrumentos Financeiros'!$J$43)^(1/12)-1)</f>
        <v>0</v>
      </c>
      <c r="BG221" s="1312">
        <f t="shared" si="92"/>
        <v>0</v>
      </c>
      <c r="BH221" s="1312">
        <f>IF(AND(C221&gt;$F$73,'Instrumentos Financeiros'!C221&lt;'Instrumentos Financeiros'!$F$73+'Instrumentos Financeiros'!$F$11+1),PMT(((1+'Instrumentos Financeiros'!$J$43)^(1/12)-1),$F$11,-$I$73),0)</f>
        <v>0</v>
      </c>
      <c r="BI221" s="1312">
        <f t="shared" si="124"/>
        <v>0</v>
      </c>
      <c r="BJ221" s="1312">
        <f>BK220*((1+'Instrumentos Financeiros'!$J$43)^(1/12)-1)</f>
        <v>0</v>
      </c>
      <c r="BK221" s="1312">
        <f t="shared" si="93"/>
        <v>0</v>
      </c>
      <c r="BL221" s="1312">
        <f>IF(AND(C221&gt;$F$77,'Instrumentos Financeiros'!C221&lt;'Instrumentos Financeiros'!$F$77+'Instrumentos Financeiros'!$F$12+1),PMT(((1+'Instrumentos Financeiros'!$K$43)^(1/12)-1),$F$12,-$I$77),0)</f>
        <v>368.57912678094596</v>
      </c>
      <c r="BM221" s="1312">
        <f t="shared" si="94"/>
        <v>193.78837930215462</v>
      </c>
      <c r="BN221" s="1312">
        <f>BO220*((1+'Instrumentos Financeiros'!$K$43)^(1/12)-1)</f>
        <v>174.79074747879133</v>
      </c>
      <c r="BO221" s="1312">
        <f t="shared" si="95"/>
        <v>40229.502764898869</v>
      </c>
      <c r="BP221" s="1312">
        <f>IF(AND(C221&gt;$F$78,'Instrumentos Financeiros'!C221&lt;'Instrumentos Financeiros'!$F$78+'Instrumentos Financeiros'!$F$12+1),PMT(((1+'Instrumentos Financeiros'!$L$43)^(1/12)-1),$F$12,-$I$78),0)</f>
        <v>368.57912678094596</v>
      </c>
      <c r="BQ221" s="1312">
        <f t="shared" si="96"/>
        <v>191.29613415502658</v>
      </c>
      <c r="BR221" s="1312">
        <f>BS220*((1+'Instrumentos Financeiros'!$L$43)^(1/12)-1)</f>
        <v>177.28299262591938</v>
      </c>
      <c r="BS221" s="1312">
        <f t="shared" si="97"/>
        <v>40808.368488838423</v>
      </c>
      <c r="BT221" s="1312">
        <f>IF(AND(C221&gt;$F$79,'Instrumentos Financeiros'!C221&lt;'Instrumentos Financeiros'!$F$79+'Instrumentos Financeiros'!$F$12+1),PMT(((1+'Instrumentos Financeiros'!$L$43)^(1/12)-1),$F$12,-$I$79),0)</f>
        <v>368.57912678094596</v>
      </c>
      <c r="BU221" s="1312">
        <f t="shared" si="98"/>
        <v>188.8359409085117</v>
      </c>
      <c r="BV221" s="1312">
        <f>BW220*((1+'Instrumentos Financeiros'!$L$43)^(1/12)-1)</f>
        <v>179.74318587243425</v>
      </c>
      <c r="BW221" s="1312">
        <f t="shared" si="99"/>
        <v>41379.789621432916</v>
      </c>
      <c r="BX221" s="1312">
        <f>IF(AND(C221&gt;$F$80,'Instrumentos Financeiros'!C221&lt;'Instrumentos Financeiros'!$F$80+'Instrumentos Financeiros'!$F$12+1),PMT(((1+'Instrumentos Financeiros'!$L$43)^(1/12)-1),$F$12,-$I$80),0)</f>
        <v>368.57912678094596</v>
      </c>
      <c r="BY221" s="1312">
        <f t="shared" si="100"/>
        <v>186.40738735423071</v>
      </c>
      <c r="BZ221" s="1312">
        <f>CA220*((1+'Instrumentos Financeiros'!$L$43)^(1/12)-1)</f>
        <v>182.17173942671525</v>
      </c>
      <c r="CA221" s="1312">
        <f t="shared" si="101"/>
        <v>41943.861904990103</v>
      </c>
      <c r="CB221" s="1312">
        <f>IF(AND(C221&gt;$F$83,'Instrumentos Financeiros'!C221&lt;'Instrumentos Financeiros'!$F$83+'Instrumentos Financeiros'!$F$13+1),PMT(((1+'Instrumentos Financeiros'!$P$43)^(1/12)-1),$F$13,-$I$83),0)</f>
        <v>0</v>
      </c>
      <c r="CC221" s="1312">
        <f t="shared" si="102"/>
        <v>0</v>
      </c>
      <c r="CD221" s="1312">
        <f>CE220*((1+'Instrumentos Financeiros'!$P$43)^(1/12)-1)</f>
        <v>0</v>
      </c>
      <c r="CE221" s="1312">
        <f t="shared" si="103"/>
        <v>0</v>
      </c>
      <c r="CF221" s="1312">
        <f>IF(AND(C221&gt;$F$84,'Instrumentos Financeiros'!C221&lt;'Instrumentos Financeiros'!$F$84+'Instrumentos Financeiros'!$F$13+1),PMT(((1+'Instrumentos Financeiros'!$Q$43)^(1/12)-1),$F$13,-$I$84),0)</f>
        <v>0</v>
      </c>
      <c r="CG221" s="1312">
        <f t="shared" si="104"/>
        <v>0</v>
      </c>
      <c r="CH221" s="1312">
        <f>CI220*((1+'Instrumentos Financeiros'!$Q$43)^(1/12)-1)</f>
        <v>0</v>
      </c>
      <c r="CI221" s="1312">
        <f t="shared" si="105"/>
        <v>0</v>
      </c>
      <c r="CJ221" s="1312">
        <f>IF(AND(C221&gt;$F$85,'Instrumentos Financeiros'!C221&lt;'Instrumentos Financeiros'!$F$85+'Instrumentos Financeiros'!$F$13+1),PMT(((1+'Instrumentos Financeiros'!$Q$43)^(1/12)-1),$F$13,-$I$85),0)</f>
        <v>0</v>
      </c>
      <c r="CK221" s="1312">
        <f t="shared" si="106"/>
        <v>0</v>
      </c>
      <c r="CL221" s="1312">
        <f>CM220*((1+'Instrumentos Financeiros'!$Q$43)^(1/12)-1)</f>
        <v>0</v>
      </c>
      <c r="CM221" s="1312">
        <f t="shared" si="107"/>
        <v>0</v>
      </c>
      <c r="CN221" s="1312">
        <f>IF(AND(C221&gt;$F$86,'Instrumentos Financeiros'!C221&lt;'Instrumentos Financeiros'!$F$86+'Instrumentos Financeiros'!$F$13+1),PMT(((1+'Instrumentos Financeiros'!$Q$43)^(1/12)-1),$F$13,-$I$86),0)</f>
        <v>0</v>
      </c>
      <c r="CO221" s="1312">
        <f t="shared" si="108"/>
        <v>0</v>
      </c>
      <c r="CP221" s="1312">
        <f>CQ220*((1+'Instrumentos Financeiros'!$Q$43)^(1/12)-1)</f>
        <v>0</v>
      </c>
      <c r="CQ221" s="1312">
        <f t="shared" si="109"/>
        <v>0</v>
      </c>
      <c r="CR221" s="1312">
        <f t="shared" si="78"/>
        <v>399789.55023115332</v>
      </c>
      <c r="CS221" s="1312">
        <f t="shared" si="78"/>
        <v>223768.17779631185</v>
      </c>
      <c r="CT221" s="1312">
        <f t="shared" si="78"/>
        <v>176021.37243484141</v>
      </c>
      <c r="CU221" s="1312">
        <f t="shared" ref="CU221" si="126">G221+K221+O221+S221+W221+AA221+AE221+AI221+AM221+AQ221+AU221+AY221+BC221+BG221+BK221+BO221+BS221+BW221+CA221+CE221+CI221+CM221+CQ221</f>
        <v>40967901.803505085</v>
      </c>
    </row>
    <row r="222" spans="3:99" x14ac:dyDescent="0.35">
      <c r="C222" s="1315">
        <f t="shared" si="79"/>
        <v>129</v>
      </c>
      <c r="D222" s="1312">
        <f>IF(AND(C222&gt;$F$59,'Instrumentos Financeiros'!C222&lt;'Instrumentos Financeiros'!$F$59+'Instrumentos Financeiros'!$F$11+1),PMT(((1+'Instrumentos Financeiros'!$G$43)^(1/12)-1),$F$11,-$I$59),0)</f>
        <v>91768.589635900134</v>
      </c>
      <c r="E222" s="1312">
        <f t="shared" si="125"/>
        <v>56746.725174663108</v>
      </c>
      <c r="F222" s="1312">
        <f>G221*((1+'Instrumentos Financeiros'!$G$43)^(1/12)-1)</f>
        <v>35021.864461237026</v>
      </c>
      <c r="G222" s="1312">
        <f t="shared" si="110"/>
        <v>8523257.083547648</v>
      </c>
      <c r="H222" s="1312">
        <f>IF(AND(C222&gt;$F$60,'Instrumentos Financeiros'!C222&lt;'Instrumentos Financeiros'!$F$60+'Instrumentos Financeiros'!$F$11+1),PMT(((1+'Instrumentos Financeiros'!$G$43)^(1/12)-1),$F$11,-$I$60),0)</f>
        <v>0</v>
      </c>
      <c r="I222" s="1312">
        <f t="shared" si="111"/>
        <v>0</v>
      </c>
      <c r="J222" s="1312">
        <f>K221*((1+'Instrumentos Financeiros'!$G$43)^(1/12)-1)</f>
        <v>0</v>
      </c>
      <c r="K222" s="1312">
        <f t="shared" si="80"/>
        <v>0</v>
      </c>
      <c r="L222" s="1312">
        <f>IF(AND(C222&gt;$F$61,'Instrumentos Financeiros'!C222&lt;'Instrumentos Financeiros'!$F$61+'Instrumentos Financeiros'!$F$11+1),PMT(((1+'Instrumentos Financeiros'!$G$43)^(1/12)-1),$F$11,-$I$61),0)</f>
        <v>0</v>
      </c>
      <c r="M222" s="1312">
        <f t="shared" si="112"/>
        <v>0</v>
      </c>
      <c r="N222" s="1312">
        <f>O221*((1+'Instrumentos Financeiros'!$G$43)^(1/12)-1)</f>
        <v>0</v>
      </c>
      <c r="O222" s="1312">
        <f t="shared" si="81"/>
        <v>0</v>
      </c>
      <c r="P222" s="1312">
        <f>IF(AND(C222&gt;$F$62,'Instrumentos Financeiros'!C222&lt;'Instrumentos Financeiros'!$F$62+'Instrumentos Financeiros'!$F$11+1),PMT(((1+'Instrumentos Financeiros'!$H$43)^(1/12)-1),$F$11,-$I$62),0)</f>
        <v>0</v>
      </c>
      <c r="Q222" s="1312">
        <f t="shared" si="113"/>
        <v>0</v>
      </c>
      <c r="R222" s="1312">
        <f>S221*((1+'Instrumentos Financeiros'!$H$43)^(1/12)-1)</f>
        <v>0</v>
      </c>
      <c r="S222" s="1312">
        <f t="shared" si="82"/>
        <v>0</v>
      </c>
      <c r="T222" s="1312">
        <f>IF(AND(C222&gt;$F$63,'Instrumentos Financeiros'!C222&lt;'Instrumentos Financeiros'!$F$63+'Instrumentos Financeiros'!$F$11+1),PMT(((1+'Instrumentos Financeiros'!$H$43)^(1/12)-1),$F$11,-$I$63),0)</f>
        <v>0</v>
      </c>
      <c r="U222" s="1312">
        <f t="shared" si="114"/>
        <v>0</v>
      </c>
      <c r="V222" s="1312">
        <f>W221*((1+'Instrumentos Financeiros'!$H$43)^(1/12)-1)</f>
        <v>0</v>
      </c>
      <c r="W222" s="1312">
        <f t="shared" si="83"/>
        <v>0</v>
      </c>
      <c r="X222" s="1312">
        <f>IF(AND(C222&gt;$F$64,'Instrumentos Financeiros'!C222&lt;'Instrumentos Financeiros'!$F$64+'Instrumentos Financeiros'!$F$11+1),PMT(((1+'Instrumentos Financeiros'!$H$43)^(1/12)-1),$F$11,-$I$64),0)</f>
        <v>0</v>
      </c>
      <c r="Y222" s="1312">
        <f t="shared" si="115"/>
        <v>0</v>
      </c>
      <c r="Z222" s="1312">
        <f>AA221*((1+'Instrumentos Financeiros'!$H$43)^(1/12)-1)</f>
        <v>0</v>
      </c>
      <c r="AA222" s="1312">
        <f t="shared" si="84"/>
        <v>0</v>
      </c>
      <c r="AB222" s="1312">
        <f>IF(AND(C222&gt;$F$65,'Instrumentos Financeiros'!C222&lt;'Instrumentos Financeiros'!$F$65+'Instrumentos Financeiros'!$F$11+1),PMT(((1+'Instrumentos Financeiros'!$H$43)^(1/12)-1),$F$11,-$I$65),0)</f>
        <v>76636.661022032335</v>
      </c>
      <c r="AC222" s="1312">
        <f t="shared" si="116"/>
        <v>42618.04880448617</v>
      </c>
      <c r="AD222" s="1312">
        <f>AE221*((1+'Instrumentos Financeiros'!$H$43)^(1/12)-1)</f>
        <v>34018.612217546164</v>
      </c>
      <c r="AE222" s="1312">
        <f t="shared" si="85"/>
        <v>7824756.430833797</v>
      </c>
      <c r="AF222" s="1312">
        <f>IF(AND(C222&gt;$F$66,'Instrumentos Financeiros'!C222&lt;'Instrumentos Financeiros'!$F$66+'Instrumentos Financeiros'!$F$11+1),PMT(((1+'Instrumentos Financeiros'!$I$43)^(1/12)-1),$F$11,-$I$66),0)</f>
        <v>76636.661022032335</v>
      </c>
      <c r="AG222" s="1312">
        <f t="shared" si="117"/>
        <v>42069.952857270284</v>
      </c>
      <c r="AH222" s="1312">
        <f>AI221*((1+'Instrumentos Financeiros'!$I$43)^(1/12)-1)</f>
        <v>34566.708164762051</v>
      </c>
      <c r="AI222" s="1312">
        <f t="shared" si="86"/>
        <v>7952060.9047291819</v>
      </c>
      <c r="AJ222" s="1312">
        <f>IF(AND(C222&gt;$F$67,'Instrumentos Financeiros'!C222&lt;'Instrumentos Financeiros'!$F$67+'Instrumentos Financeiros'!$F$11+1),PMT(((1+'Instrumentos Financeiros'!$I$43)^(1/12)-1),$F$11,-$I$67),0)</f>
        <v>76636.661022032335</v>
      </c>
      <c r="AK222" s="1312">
        <f t="shared" si="118"/>
        <v>41528.905781970898</v>
      </c>
      <c r="AL222" s="1312">
        <f>AM221*((1+'Instrumentos Financeiros'!$I$43)^(1/12)-1)</f>
        <v>35107.755240061437</v>
      </c>
      <c r="AM222" s="1312">
        <f t="shared" si="87"/>
        <v>8077728.1599305663</v>
      </c>
      <c r="AN222" s="1312">
        <f>IF(AND(C222&gt;$F$68,'Instrumentos Financeiros'!C222&lt;'Instrumentos Financeiros'!$F$68+'Instrumentos Financeiros'!$F$11+1),PMT(((1+'Instrumentos Financeiros'!$I$43)^(1/12)-1),$F$11,-$I$68),0)</f>
        <v>76636.661022032335</v>
      </c>
      <c r="AO222" s="1312">
        <f t="shared" si="119"/>
        <v>40994.816925490624</v>
      </c>
      <c r="AP222" s="1312">
        <f>AQ221*((1+'Instrumentos Financeiros'!$I$43)^(1/12)-1)</f>
        <v>35641.84409654171</v>
      </c>
      <c r="AQ222" s="1312">
        <f t="shared" si="88"/>
        <v>8201779.252139844</v>
      </c>
      <c r="AR222" s="1312">
        <f>IF(AND(C222&gt;$F$69,'Instrumentos Financeiros'!C222&lt;'Instrumentos Financeiros'!$F$69+'Instrumentos Financeiros'!$F$11+1),PMT(((1+'Instrumentos Financeiros'!$I$43)^(1/12)-1),$F$11,-$I$69),0)</f>
        <v>0</v>
      </c>
      <c r="AS222" s="1312">
        <f t="shared" si="120"/>
        <v>0</v>
      </c>
      <c r="AT222" s="1312">
        <f>AU221*((1+'Instrumentos Financeiros'!$I$43)^(1/12)-1)</f>
        <v>0</v>
      </c>
      <c r="AU222" s="1312">
        <f t="shared" si="89"/>
        <v>0</v>
      </c>
      <c r="AV222" s="1312">
        <f>IF(AND(C222&gt;$F$70,'Instrumentos Financeiros'!C222&lt;'Instrumentos Financeiros'!$F$70+'Instrumentos Financeiros'!$F$11+1),PMT(((1+'Instrumentos Financeiros'!$J$43)^(1/12)-1),$F$11,-$I$70),0)</f>
        <v>0</v>
      </c>
      <c r="AW222" s="1312">
        <f t="shared" si="121"/>
        <v>0</v>
      </c>
      <c r="AX222" s="1312">
        <f>AY221*((1+'Instrumentos Financeiros'!$J$43)^(1/12)-1)</f>
        <v>0</v>
      </c>
      <c r="AY222" s="1312">
        <f t="shared" si="90"/>
        <v>0</v>
      </c>
      <c r="AZ222" s="1312">
        <f>IF(AND(C222&gt;$F$71,'Instrumentos Financeiros'!C222&lt;'Instrumentos Financeiros'!$F$71+'Instrumentos Financeiros'!$F$11+1),PMT(((1+'Instrumentos Financeiros'!$J$43)^(1/12)-1),$F$11,-$I$71),0)</f>
        <v>0</v>
      </c>
      <c r="BA222" s="1312">
        <f t="shared" si="122"/>
        <v>0</v>
      </c>
      <c r="BB222" s="1312">
        <f>BC221*((1+'Instrumentos Financeiros'!$J$43)^(1/12)-1)</f>
        <v>0</v>
      </c>
      <c r="BC222" s="1312">
        <f t="shared" si="91"/>
        <v>0</v>
      </c>
      <c r="BD222" s="1312">
        <f>IF(AND(C222&gt;$F$72,'Instrumentos Financeiros'!C222&lt;'Instrumentos Financeiros'!$F$72+'Instrumentos Financeiros'!$F$11+1),PMT(((1+'Instrumentos Financeiros'!$J$43)^(1/12)-1),$F$11,-'Instrumentos Financeiros'!$G$7*$G$72),0)</f>
        <v>0</v>
      </c>
      <c r="BE222" s="1312">
        <f t="shared" si="123"/>
        <v>0</v>
      </c>
      <c r="BF222" s="1312">
        <f>BG221*((1+'Instrumentos Financeiros'!$J$43)^(1/12)-1)</f>
        <v>0</v>
      </c>
      <c r="BG222" s="1312">
        <f t="shared" si="92"/>
        <v>0</v>
      </c>
      <c r="BH222" s="1312">
        <f>IF(AND(C222&gt;$F$73,'Instrumentos Financeiros'!C222&lt;'Instrumentos Financeiros'!$F$73+'Instrumentos Financeiros'!$F$11+1),PMT(((1+'Instrumentos Financeiros'!$J$43)^(1/12)-1),$F$11,-$I$73),0)</f>
        <v>0</v>
      </c>
      <c r="BI222" s="1312">
        <f t="shared" si="124"/>
        <v>0</v>
      </c>
      <c r="BJ222" s="1312">
        <f>BK221*((1+'Instrumentos Financeiros'!$J$43)^(1/12)-1)</f>
        <v>0</v>
      </c>
      <c r="BK222" s="1312">
        <f t="shared" si="93"/>
        <v>0</v>
      </c>
      <c r="BL222" s="1312">
        <f>IF(AND(C222&gt;$F$77,'Instrumentos Financeiros'!C222&lt;'Instrumentos Financeiros'!$F$77+'Instrumentos Financeiros'!$F$12+1),PMT(((1+'Instrumentos Financeiros'!$K$43)^(1/12)-1),$F$12,-$I$77),0)</f>
        <v>368.57912678094596</v>
      </c>
      <c r="BM222" s="1312">
        <f t="shared" si="94"/>
        <v>194.62632234717032</v>
      </c>
      <c r="BN222" s="1312">
        <f>BO221*((1+'Instrumentos Financeiros'!$K$43)^(1/12)-1)</f>
        <v>173.95280443377564</v>
      </c>
      <c r="BO222" s="1312">
        <f t="shared" si="95"/>
        <v>40034.8764425517</v>
      </c>
      <c r="BP222" s="1312">
        <f>IF(AND(C222&gt;$F$78,'Instrumentos Financeiros'!C222&lt;'Instrumentos Financeiros'!$F$78+'Instrumentos Financeiros'!$F$12+1),PMT(((1+'Instrumentos Financeiros'!$L$43)^(1/12)-1),$F$12,-$I$78),0)</f>
        <v>368.57912678094596</v>
      </c>
      <c r="BQ222" s="1312">
        <f t="shared" si="96"/>
        <v>192.12330070510984</v>
      </c>
      <c r="BR222" s="1312">
        <f>BS221*((1+'Instrumentos Financeiros'!$L$43)^(1/12)-1)</f>
        <v>176.45582607583611</v>
      </c>
      <c r="BS222" s="1312">
        <f t="shared" si="97"/>
        <v>40616.245188133311</v>
      </c>
      <c r="BT222" s="1312">
        <f>IF(AND(C222&gt;$F$79,'Instrumentos Financeiros'!C222&lt;'Instrumentos Financeiros'!$F$79+'Instrumentos Financeiros'!$F$12+1),PMT(((1+'Instrumentos Financeiros'!$L$43)^(1/12)-1),$F$12,-$I$79),0)</f>
        <v>368.57912678094596</v>
      </c>
      <c r="BU222" s="1312">
        <f t="shared" si="98"/>
        <v>189.65246955642695</v>
      </c>
      <c r="BV222" s="1312">
        <f>BW221*((1+'Instrumentos Financeiros'!$L$43)^(1/12)-1)</f>
        <v>178.926657224519</v>
      </c>
      <c r="BW222" s="1312">
        <f t="shared" si="99"/>
        <v>41190.137151876486</v>
      </c>
      <c r="BX222" s="1312">
        <f>IF(AND(C222&gt;$F$80,'Instrumentos Financeiros'!C222&lt;'Instrumentos Financeiros'!$F$80+'Instrumentos Financeiros'!$F$12+1),PMT(((1+'Instrumentos Financeiros'!$L$43)^(1/12)-1),$F$12,-$I$80),0)</f>
        <v>368.57912678094596</v>
      </c>
      <c r="BY222" s="1312">
        <f t="shared" si="100"/>
        <v>187.21341491034889</v>
      </c>
      <c r="BZ222" s="1312">
        <f>CA221*((1+'Instrumentos Financeiros'!$L$43)^(1/12)-1)</f>
        <v>181.36571187059707</v>
      </c>
      <c r="CA222" s="1312">
        <f t="shared" si="101"/>
        <v>41756.648490079751</v>
      </c>
      <c r="CB222" s="1312">
        <f>IF(AND(C222&gt;$F$83,'Instrumentos Financeiros'!C222&lt;'Instrumentos Financeiros'!$F$83+'Instrumentos Financeiros'!$F$13+1),PMT(((1+'Instrumentos Financeiros'!$P$43)^(1/12)-1),$F$13,-$I$83),0)</f>
        <v>0</v>
      </c>
      <c r="CC222" s="1312">
        <f t="shared" si="102"/>
        <v>0</v>
      </c>
      <c r="CD222" s="1312">
        <f>CE221*((1+'Instrumentos Financeiros'!$P$43)^(1/12)-1)</f>
        <v>0</v>
      </c>
      <c r="CE222" s="1312">
        <f t="shared" si="103"/>
        <v>0</v>
      </c>
      <c r="CF222" s="1312">
        <f>IF(AND(C222&gt;$F$84,'Instrumentos Financeiros'!C222&lt;'Instrumentos Financeiros'!$F$84+'Instrumentos Financeiros'!$F$13+1),PMT(((1+'Instrumentos Financeiros'!$Q$43)^(1/12)-1),$F$13,-$I$84),0)</f>
        <v>0</v>
      </c>
      <c r="CG222" s="1312">
        <f t="shared" si="104"/>
        <v>0</v>
      </c>
      <c r="CH222" s="1312">
        <f>CI221*((1+'Instrumentos Financeiros'!$Q$43)^(1/12)-1)</f>
        <v>0</v>
      </c>
      <c r="CI222" s="1312">
        <f t="shared" si="105"/>
        <v>0</v>
      </c>
      <c r="CJ222" s="1312">
        <f>IF(AND(C222&gt;$F$85,'Instrumentos Financeiros'!C222&lt;'Instrumentos Financeiros'!$F$85+'Instrumentos Financeiros'!$F$13+1),PMT(((1+'Instrumentos Financeiros'!$Q$43)^(1/12)-1),$F$13,-$I$85),0)</f>
        <v>0</v>
      </c>
      <c r="CK222" s="1312">
        <f t="shared" si="106"/>
        <v>0</v>
      </c>
      <c r="CL222" s="1312">
        <f>CM221*((1+'Instrumentos Financeiros'!$Q$43)^(1/12)-1)</f>
        <v>0</v>
      </c>
      <c r="CM222" s="1312">
        <f t="shared" si="107"/>
        <v>0</v>
      </c>
      <c r="CN222" s="1312">
        <f>IF(AND(C222&gt;$F$86,'Instrumentos Financeiros'!C222&lt;'Instrumentos Financeiros'!$F$86+'Instrumentos Financeiros'!$F$13+1),PMT(((1+'Instrumentos Financeiros'!$Q$43)^(1/12)-1),$F$13,-$I$86),0)</f>
        <v>0</v>
      </c>
      <c r="CO222" s="1312">
        <f t="shared" si="108"/>
        <v>0</v>
      </c>
      <c r="CP222" s="1312">
        <f>CQ221*((1+'Instrumentos Financeiros'!$Q$43)^(1/12)-1)</f>
        <v>0</v>
      </c>
      <c r="CQ222" s="1312">
        <f t="shared" si="109"/>
        <v>0</v>
      </c>
      <c r="CR222" s="1312">
        <f t="shared" ref="CR222:CU285" si="127">D222+H222+L222+P222+T222+X222+AB222+AF222+AJ222+AN222+AR222+AV222+AZ222+BD222+BH222+BL222+BP222+BT222+BX222+CB222+CF222+CJ222+CN222</f>
        <v>399789.55023115332</v>
      </c>
      <c r="CS222" s="1312">
        <f t="shared" si="127"/>
        <v>224722.0650514001</v>
      </c>
      <c r="CT222" s="1312">
        <f t="shared" si="127"/>
        <v>175067.4851797531</v>
      </c>
      <c r="CU222" s="1312">
        <f t="shared" si="127"/>
        <v>40743179.738453671</v>
      </c>
    </row>
    <row r="223" spans="3:99" x14ac:dyDescent="0.35">
      <c r="C223" s="1315">
        <f t="shared" ref="C223:C286" si="128">C222+1</f>
        <v>130</v>
      </c>
      <c r="D223" s="1312">
        <f>IF(AND(C223&gt;$F$59,'Instrumentos Financeiros'!C223&lt;'Instrumentos Financeiros'!$F$59+'Instrumentos Financeiros'!$F$11+1),PMT(((1+'Instrumentos Financeiros'!$G$43)^(1/12)-1),$F$11,-$I$59),0)</f>
        <v>91768.589635900134</v>
      </c>
      <c r="E223" s="1312">
        <f t="shared" si="125"/>
        <v>56978.353989986681</v>
      </c>
      <c r="F223" s="1312">
        <f>G222*((1+'Instrumentos Financeiros'!$G$43)^(1/12)-1)</f>
        <v>34790.235645913453</v>
      </c>
      <c r="G223" s="1312">
        <f t="shared" si="110"/>
        <v>8466278.7295576613</v>
      </c>
      <c r="H223" s="1312">
        <f>IF(AND(C223&gt;$F$60,'Instrumentos Financeiros'!C223&lt;'Instrumentos Financeiros'!$F$60+'Instrumentos Financeiros'!$F$11+1),PMT(((1+'Instrumentos Financeiros'!$G$43)^(1/12)-1),$F$11,-$I$60),0)</f>
        <v>0</v>
      </c>
      <c r="I223" s="1312">
        <f t="shared" si="111"/>
        <v>0</v>
      </c>
      <c r="J223" s="1312">
        <f>K222*((1+'Instrumentos Financeiros'!$G$43)^(1/12)-1)</f>
        <v>0</v>
      </c>
      <c r="K223" s="1312">
        <f t="shared" ref="K223:K286" si="129">IF(C223=$F$60,$I$60,K222-I223)</f>
        <v>0</v>
      </c>
      <c r="L223" s="1312">
        <f>IF(AND(C223&gt;$F$61,'Instrumentos Financeiros'!C223&lt;'Instrumentos Financeiros'!$F$61+'Instrumentos Financeiros'!$F$11+1),PMT(((1+'Instrumentos Financeiros'!$G$43)^(1/12)-1),$F$11,-$I$61),0)</f>
        <v>0</v>
      </c>
      <c r="M223" s="1312">
        <f t="shared" si="112"/>
        <v>0</v>
      </c>
      <c r="N223" s="1312">
        <f>O222*((1+'Instrumentos Financeiros'!$G$43)^(1/12)-1)</f>
        <v>0</v>
      </c>
      <c r="O223" s="1312">
        <f t="shared" ref="O223:O286" si="130">IF(C223=$F$61,$I$61,O222-M223)</f>
        <v>0</v>
      </c>
      <c r="P223" s="1312">
        <f>IF(AND(C223&gt;$F$62,'Instrumentos Financeiros'!C223&lt;'Instrumentos Financeiros'!$F$62+'Instrumentos Financeiros'!$F$11+1),PMT(((1+'Instrumentos Financeiros'!$H$43)^(1/12)-1),$F$11,-$I$62),0)</f>
        <v>0</v>
      </c>
      <c r="Q223" s="1312">
        <f t="shared" si="113"/>
        <v>0</v>
      </c>
      <c r="R223" s="1312">
        <f>S222*((1+'Instrumentos Financeiros'!$H$43)^(1/12)-1)</f>
        <v>0</v>
      </c>
      <c r="S223" s="1312">
        <f t="shared" ref="S223:S286" si="131">IF(C223=$F$62,$I$62,S222-Q223)</f>
        <v>0</v>
      </c>
      <c r="T223" s="1312">
        <f>IF(AND(C223&gt;$F$63,'Instrumentos Financeiros'!C223&lt;'Instrumentos Financeiros'!$F$63+'Instrumentos Financeiros'!$F$11+1),PMT(((1+'Instrumentos Financeiros'!$H$43)^(1/12)-1),$F$11,-$I$63),0)</f>
        <v>0</v>
      </c>
      <c r="U223" s="1312">
        <f t="shared" si="114"/>
        <v>0</v>
      </c>
      <c r="V223" s="1312">
        <f>W222*((1+'Instrumentos Financeiros'!$H$43)^(1/12)-1)</f>
        <v>0</v>
      </c>
      <c r="W223" s="1312">
        <f t="shared" ref="W223:W286" si="132">IF(C223=$F$63,$I$63,W222-U223)</f>
        <v>0</v>
      </c>
      <c r="X223" s="1312">
        <f>IF(AND(C223&gt;$F$64,'Instrumentos Financeiros'!C223&lt;'Instrumentos Financeiros'!$F$64+'Instrumentos Financeiros'!$F$11+1),PMT(((1+'Instrumentos Financeiros'!$H$43)^(1/12)-1),$F$11,-$I$64),0)</f>
        <v>0</v>
      </c>
      <c r="Y223" s="1312">
        <f t="shared" si="115"/>
        <v>0</v>
      </c>
      <c r="Z223" s="1312">
        <f>AA222*((1+'Instrumentos Financeiros'!$H$43)^(1/12)-1)</f>
        <v>0</v>
      </c>
      <c r="AA223" s="1312">
        <f t="shared" ref="AA223:AA286" si="133">IF(C223=$F$64,$I$64,AA222-Y223)</f>
        <v>0</v>
      </c>
      <c r="AB223" s="1312">
        <f>IF(AND(C223&gt;$F$65,'Instrumentos Financeiros'!C223&lt;'Instrumentos Financeiros'!$F$65+'Instrumentos Financeiros'!$F$11+1),PMT(((1+'Instrumentos Financeiros'!$H$43)^(1/12)-1),$F$11,-$I$65),0)</f>
        <v>76636.661022032335</v>
      </c>
      <c r="AC223" s="1312">
        <f t="shared" si="116"/>
        <v>42802.329707791403</v>
      </c>
      <c r="AD223" s="1312">
        <f>AE222*((1+'Instrumentos Financeiros'!$H$43)^(1/12)-1)</f>
        <v>33834.331314240932</v>
      </c>
      <c r="AE223" s="1312">
        <f t="shared" ref="AE223:AE286" si="134">IF(C223=$F$65,$I$65,AE222-AC223)</f>
        <v>7781954.1011260059</v>
      </c>
      <c r="AF223" s="1312">
        <f>IF(AND(C223&gt;$F$66,'Instrumentos Financeiros'!C223&lt;'Instrumentos Financeiros'!$F$66+'Instrumentos Financeiros'!$F$11+1),PMT(((1+'Instrumentos Financeiros'!$I$43)^(1/12)-1),$F$11,-$I$66),0)</f>
        <v>76636.661022032335</v>
      </c>
      <c r="AG223" s="1312">
        <f t="shared" si="117"/>
        <v>42251.863787780319</v>
      </c>
      <c r="AH223" s="1312">
        <f>AI222*((1+'Instrumentos Financeiros'!$I$43)^(1/12)-1)</f>
        <v>34384.797234252015</v>
      </c>
      <c r="AI223" s="1312">
        <f t="shared" ref="AI223:AI286" si="135">IF(C223=$F$66,$I$66,AI222-AG223)</f>
        <v>7909809.0409414014</v>
      </c>
      <c r="AJ223" s="1312">
        <f>IF(AND(C223&gt;$F$67,'Instrumentos Financeiros'!C223&lt;'Instrumentos Financeiros'!$F$67+'Instrumentos Financeiros'!$F$11+1),PMT(((1+'Instrumentos Financeiros'!$I$43)^(1/12)-1),$F$11,-$I$67),0)</f>
        <v>76636.661022032335</v>
      </c>
      <c r="AK223" s="1312">
        <f t="shared" si="118"/>
        <v>41708.477219084038</v>
      </c>
      <c r="AL223" s="1312">
        <f>AM222*((1+'Instrumentos Financeiros'!$I$43)^(1/12)-1)</f>
        <v>34928.183802948297</v>
      </c>
      <c r="AM223" s="1312">
        <f t="shared" ref="AM223:AM286" si="136">IF(C223=$F$67,$I$67,AM222-AK223)</f>
        <v>8036019.682711482</v>
      </c>
      <c r="AN223" s="1312">
        <f>IF(AND(C223&gt;$F$68,'Instrumentos Financeiros'!C223&lt;'Instrumentos Financeiros'!$F$68+'Instrumentos Financeiros'!$F$11+1),PMT(((1+'Instrumentos Financeiros'!$I$43)^(1/12)-1),$F$11,-$I$68),0)</f>
        <v>76636.661022032335</v>
      </c>
      <c r="AO223" s="1312">
        <f t="shared" si="119"/>
        <v>41172.078956620186</v>
      </c>
      <c r="AP223" s="1312">
        <f>AQ222*((1+'Instrumentos Financeiros'!$I$43)^(1/12)-1)</f>
        <v>35464.582065412149</v>
      </c>
      <c r="AQ223" s="1312">
        <f t="shared" ref="AQ223:AQ286" si="137">IF(C223=$F$68,$I$68,AQ222-AO223)</f>
        <v>8160607.1731832242</v>
      </c>
      <c r="AR223" s="1312">
        <f>IF(AND(C223&gt;$F$69,'Instrumentos Financeiros'!C223&lt;'Instrumentos Financeiros'!$F$69+'Instrumentos Financeiros'!$F$11+1),PMT(((1+'Instrumentos Financeiros'!$I$43)^(1/12)-1),$F$11,-$I$69),0)</f>
        <v>0</v>
      </c>
      <c r="AS223" s="1312">
        <f t="shared" si="120"/>
        <v>0</v>
      </c>
      <c r="AT223" s="1312">
        <f>AU222*((1+'Instrumentos Financeiros'!$I$43)^(1/12)-1)</f>
        <v>0</v>
      </c>
      <c r="AU223" s="1312">
        <f t="shared" ref="AU223:AU286" si="138">IF(C223=$F$69,$I$69,AU222-AS223)</f>
        <v>0</v>
      </c>
      <c r="AV223" s="1312">
        <f>IF(AND(C223&gt;$F$70,'Instrumentos Financeiros'!C223&lt;'Instrumentos Financeiros'!$F$70+'Instrumentos Financeiros'!$F$11+1),PMT(((1+'Instrumentos Financeiros'!$J$43)^(1/12)-1),$F$11,-$I$70),0)</f>
        <v>0</v>
      </c>
      <c r="AW223" s="1312">
        <f t="shared" si="121"/>
        <v>0</v>
      </c>
      <c r="AX223" s="1312">
        <f>AY222*((1+'Instrumentos Financeiros'!$J$43)^(1/12)-1)</f>
        <v>0</v>
      </c>
      <c r="AY223" s="1312">
        <f t="shared" ref="AY223:AY286" si="139">IF(C223=$F$70,$I$70,AY222-AW223)</f>
        <v>0</v>
      </c>
      <c r="AZ223" s="1312">
        <f>IF(AND(C223&gt;$F$71,'Instrumentos Financeiros'!C223&lt;'Instrumentos Financeiros'!$F$71+'Instrumentos Financeiros'!$F$11+1),PMT(((1+'Instrumentos Financeiros'!$J$43)^(1/12)-1),$F$11,-$I$71),0)</f>
        <v>0</v>
      </c>
      <c r="BA223" s="1312">
        <f t="shared" si="122"/>
        <v>0</v>
      </c>
      <c r="BB223" s="1312">
        <f>BC222*((1+'Instrumentos Financeiros'!$J$43)^(1/12)-1)</f>
        <v>0</v>
      </c>
      <c r="BC223" s="1312">
        <f t="shared" ref="BC223:BC286" si="140">IF(C223=$F$71,$I$71,BC222-BA223)</f>
        <v>0</v>
      </c>
      <c r="BD223" s="1312">
        <f>IF(AND(C223&gt;$F$72,'Instrumentos Financeiros'!C223&lt;'Instrumentos Financeiros'!$F$72+'Instrumentos Financeiros'!$F$11+1),PMT(((1+'Instrumentos Financeiros'!$J$43)^(1/12)-1),$F$11,-'Instrumentos Financeiros'!$G$7*$G$72),0)</f>
        <v>0</v>
      </c>
      <c r="BE223" s="1312">
        <f t="shared" si="123"/>
        <v>0</v>
      </c>
      <c r="BF223" s="1312">
        <f>BG222*((1+'Instrumentos Financeiros'!$J$43)^(1/12)-1)</f>
        <v>0</v>
      </c>
      <c r="BG223" s="1312">
        <f t="shared" ref="BG223:BG286" si="141">IF(C223=$F$72,$I$72,BG222-BE223)</f>
        <v>0</v>
      </c>
      <c r="BH223" s="1312">
        <f>IF(AND(C223&gt;$F$73,'Instrumentos Financeiros'!C223&lt;'Instrumentos Financeiros'!$F$73+'Instrumentos Financeiros'!$F$11+1),PMT(((1+'Instrumentos Financeiros'!$J$43)^(1/12)-1),$F$11,-$I$73),0)</f>
        <v>0</v>
      </c>
      <c r="BI223" s="1312">
        <f t="shared" si="124"/>
        <v>0</v>
      </c>
      <c r="BJ223" s="1312">
        <f>BK222*((1+'Instrumentos Financeiros'!$J$43)^(1/12)-1)</f>
        <v>0</v>
      </c>
      <c r="BK223" s="1312">
        <f t="shared" ref="BK223:BK286" si="142">IF(C223=$F$73,$I$73,BK222-BI223)</f>
        <v>0</v>
      </c>
      <c r="BL223" s="1312">
        <f>IF(AND(C223&gt;$F$77,'Instrumentos Financeiros'!C223&lt;'Instrumentos Financeiros'!$F$77+'Instrumentos Financeiros'!$F$12+1),PMT(((1+'Instrumentos Financeiros'!$K$43)^(1/12)-1),$F$12,-$I$77),0)</f>
        <v>368.57912678094596</v>
      </c>
      <c r="BM223" s="1312">
        <f t="shared" ref="BM223:BM286" si="143">BL223-BN223</f>
        <v>195.46788866696241</v>
      </c>
      <c r="BN223" s="1312">
        <f>BO222*((1+'Instrumentos Financeiros'!$K$43)^(1/12)-1)</f>
        <v>173.11123811398355</v>
      </c>
      <c r="BO223" s="1312">
        <f t="shared" ref="BO223:BO286" si="144">IF(C223=$F$77,$I$77,BO222-BM223)</f>
        <v>39839.408553884736</v>
      </c>
      <c r="BP223" s="1312">
        <f>IF(AND(C223&gt;$F$78,'Instrumentos Financeiros'!C223&lt;'Instrumentos Financeiros'!$F$78+'Instrumentos Financeiros'!$F$12+1),PMT(((1+'Instrumentos Financeiros'!$L$43)^(1/12)-1),$F$12,-$I$78),0)</f>
        <v>368.57912678094596</v>
      </c>
      <c r="BQ223" s="1312">
        <f t="shared" ref="BQ223:BQ286" si="145">BP223-BR223</f>
        <v>192.95404393228907</v>
      </c>
      <c r="BR223" s="1312">
        <f>BS222*((1+'Instrumentos Financeiros'!$L$43)^(1/12)-1)</f>
        <v>175.62508284865689</v>
      </c>
      <c r="BS223" s="1312">
        <f t="shared" ref="BS223:BS286" si="146">IF(C223=$F$78,$I$78,BS222-BQ223)</f>
        <v>40423.291144201023</v>
      </c>
      <c r="BT223" s="1312">
        <f>IF(AND(C223&gt;$F$79,'Instrumentos Financeiros'!C223&lt;'Instrumentos Financeiros'!$F$79+'Instrumentos Financeiros'!$F$12+1),PMT(((1+'Instrumentos Financeiros'!$L$43)^(1/12)-1),$F$12,-$I$79),0)</f>
        <v>368.57912678094596</v>
      </c>
      <c r="BU223" s="1312">
        <f t="shared" ref="BU223:BU286" si="147">BT223-BV223</f>
        <v>190.47252888303433</v>
      </c>
      <c r="BV223" s="1312">
        <f>BW222*((1+'Instrumentos Financeiros'!$L$43)^(1/12)-1)</f>
        <v>178.10659789791163</v>
      </c>
      <c r="BW223" s="1312">
        <f t="shared" ref="BW223:BW286" si="148">IF(C223=$F$79,$I$79,BW222-BU223)</f>
        <v>40999.664622993449</v>
      </c>
      <c r="BX223" s="1312">
        <f>IF(AND(C223&gt;$F$80,'Instrumentos Financeiros'!C223&lt;'Instrumentos Financeiros'!$F$80+'Instrumentos Financeiros'!$F$12+1),PMT(((1+'Instrumentos Financeiros'!$L$43)^(1/12)-1),$F$12,-$I$80),0)</f>
        <v>368.57912678094596</v>
      </c>
      <c r="BY223" s="1312">
        <f t="shared" ref="BY223:BY286" si="149">BX223-BZ223</f>
        <v>188.02292773832485</v>
      </c>
      <c r="BZ223" s="1312">
        <f>CA222*((1+'Instrumentos Financeiros'!$L$43)^(1/12)-1)</f>
        <v>180.5561990426211</v>
      </c>
      <c r="CA223" s="1312">
        <f t="shared" ref="CA223:CA286" si="150">IF(C223=$F$80,$I$80,CA222-BY223)</f>
        <v>41568.625562341425</v>
      </c>
      <c r="CB223" s="1312">
        <f>IF(AND(C223&gt;$F$83,'Instrumentos Financeiros'!C223&lt;'Instrumentos Financeiros'!$F$83+'Instrumentos Financeiros'!$F$13+1),PMT(((1+'Instrumentos Financeiros'!$P$43)^(1/12)-1),$F$13,-$I$83),0)</f>
        <v>0</v>
      </c>
      <c r="CC223" s="1312">
        <f t="shared" ref="CC223:CC286" si="151">CB223-CD223</f>
        <v>0</v>
      </c>
      <c r="CD223" s="1312">
        <f>CE222*((1+'Instrumentos Financeiros'!$P$43)^(1/12)-1)</f>
        <v>0</v>
      </c>
      <c r="CE223" s="1312">
        <f t="shared" ref="CE223:CE286" si="152">IF(C223=$F$83,$I$83,CE222-CC223)</f>
        <v>0</v>
      </c>
      <c r="CF223" s="1312">
        <f>IF(AND(C223&gt;$F$84,'Instrumentos Financeiros'!C223&lt;'Instrumentos Financeiros'!$F$84+'Instrumentos Financeiros'!$F$13+1),PMT(((1+'Instrumentos Financeiros'!$Q$43)^(1/12)-1),$F$13,-$I$84),0)</f>
        <v>0</v>
      </c>
      <c r="CG223" s="1312">
        <f t="shared" ref="CG223:CG286" si="153">CF223-CH223</f>
        <v>0</v>
      </c>
      <c r="CH223" s="1312">
        <f>CI222*((1+'Instrumentos Financeiros'!$Q$43)^(1/12)-1)</f>
        <v>0</v>
      </c>
      <c r="CI223" s="1312">
        <f t="shared" ref="CI223:CI286" si="154">IF(C223=$F$84,$I$84,CI222-CG223)</f>
        <v>0</v>
      </c>
      <c r="CJ223" s="1312">
        <f>IF(AND(C223&gt;$F$85,'Instrumentos Financeiros'!C223&lt;'Instrumentos Financeiros'!$F$85+'Instrumentos Financeiros'!$F$13+1),PMT(((1+'Instrumentos Financeiros'!$Q$43)^(1/12)-1),$F$13,-$I$85),0)</f>
        <v>0</v>
      </c>
      <c r="CK223" s="1312">
        <f t="shared" ref="CK223:CK286" si="155">CJ223-CL223</f>
        <v>0</v>
      </c>
      <c r="CL223" s="1312">
        <f>CM222*((1+'Instrumentos Financeiros'!$Q$43)^(1/12)-1)</f>
        <v>0</v>
      </c>
      <c r="CM223" s="1312">
        <f t="shared" ref="CM223:CM286" si="156">IF(C223=$F$85,$I$85,CM222-CK223)</f>
        <v>0</v>
      </c>
      <c r="CN223" s="1312">
        <f>IF(AND(C223&gt;$F$86,'Instrumentos Financeiros'!C223&lt;'Instrumentos Financeiros'!$F$86+'Instrumentos Financeiros'!$F$13+1),PMT(((1+'Instrumentos Financeiros'!$Q$43)^(1/12)-1),$F$13,-$I$86),0)</f>
        <v>0</v>
      </c>
      <c r="CO223" s="1312">
        <f t="shared" ref="CO223:CO286" si="157">CN223-CP223</f>
        <v>0</v>
      </c>
      <c r="CP223" s="1312">
        <f>CQ222*((1+'Instrumentos Financeiros'!$Q$43)^(1/12)-1)</f>
        <v>0</v>
      </c>
      <c r="CQ223" s="1312">
        <f t="shared" ref="CQ223:CQ286" si="158">IF(C223=$F$86,$I$86,CQ222-CO223)</f>
        <v>0</v>
      </c>
      <c r="CR223" s="1312">
        <f t="shared" si="127"/>
        <v>399789.55023115332</v>
      </c>
      <c r="CS223" s="1312">
        <f t="shared" si="127"/>
        <v>225680.02105048322</v>
      </c>
      <c r="CT223" s="1312">
        <f t="shared" si="127"/>
        <v>174109.52918067001</v>
      </c>
      <c r="CU223" s="1312">
        <f t="shared" si="127"/>
        <v>40517499.717403188</v>
      </c>
    </row>
    <row r="224" spans="3:99" x14ac:dyDescent="0.35">
      <c r="C224" s="1315">
        <f t="shared" si="128"/>
        <v>131</v>
      </c>
      <c r="D224" s="1312">
        <f>IF(AND(C224&gt;$F$59,'Instrumentos Financeiros'!C224&lt;'Instrumentos Financeiros'!$F$59+'Instrumentos Financeiros'!$F$11+1),PMT(((1+'Instrumentos Financeiros'!$G$43)^(1/12)-1),$F$11,-$I$59),0)</f>
        <v>91768.589635900134</v>
      </c>
      <c r="E224" s="1312">
        <f t="shared" si="125"/>
        <v>57210.92826794133</v>
      </c>
      <c r="F224" s="1312">
        <f>G223*((1+'Instrumentos Financeiros'!$G$43)^(1/12)-1)</f>
        <v>34557.661367958804</v>
      </c>
      <c r="G224" s="1312">
        <f t="shared" ref="G224:G287" si="159">IF(C224=$F$59,$I$59,G223-E224)</f>
        <v>8409067.8012897205</v>
      </c>
      <c r="H224" s="1312">
        <f>IF(AND(C224&gt;$F$60,'Instrumentos Financeiros'!C224&lt;'Instrumentos Financeiros'!$F$60+'Instrumentos Financeiros'!$F$11+1),PMT(((1+'Instrumentos Financeiros'!$G$43)^(1/12)-1),$F$11,-$I$60),0)</f>
        <v>0</v>
      </c>
      <c r="I224" s="1312">
        <f t="shared" si="111"/>
        <v>0</v>
      </c>
      <c r="J224" s="1312">
        <f>K223*((1+'Instrumentos Financeiros'!$G$43)^(1/12)-1)</f>
        <v>0</v>
      </c>
      <c r="K224" s="1312">
        <f t="shared" si="129"/>
        <v>0</v>
      </c>
      <c r="L224" s="1312">
        <f>IF(AND(C224&gt;$F$61,'Instrumentos Financeiros'!C224&lt;'Instrumentos Financeiros'!$F$61+'Instrumentos Financeiros'!$F$11+1),PMT(((1+'Instrumentos Financeiros'!$G$43)^(1/12)-1),$F$11,-$I$61),0)</f>
        <v>0</v>
      </c>
      <c r="M224" s="1312">
        <f t="shared" si="112"/>
        <v>0</v>
      </c>
      <c r="N224" s="1312">
        <f>O223*((1+'Instrumentos Financeiros'!$G$43)^(1/12)-1)</f>
        <v>0</v>
      </c>
      <c r="O224" s="1312">
        <f t="shared" si="130"/>
        <v>0</v>
      </c>
      <c r="P224" s="1312">
        <f>IF(AND(C224&gt;$F$62,'Instrumentos Financeiros'!C224&lt;'Instrumentos Financeiros'!$F$62+'Instrumentos Financeiros'!$F$11+1),PMT(((1+'Instrumentos Financeiros'!$H$43)^(1/12)-1),$F$11,-$I$62),0)</f>
        <v>0</v>
      </c>
      <c r="Q224" s="1312">
        <f t="shared" si="113"/>
        <v>0</v>
      </c>
      <c r="R224" s="1312">
        <f>S223*((1+'Instrumentos Financeiros'!$H$43)^(1/12)-1)</f>
        <v>0</v>
      </c>
      <c r="S224" s="1312">
        <f t="shared" si="131"/>
        <v>0</v>
      </c>
      <c r="T224" s="1312">
        <f>IF(AND(C224&gt;$F$63,'Instrumentos Financeiros'!C224&lt;'Instrumentos Financeiros'!$F$63+'Instrumentos Financeiros'!$F$11+1),PMT(((1+'Instrumentos Financeiros'!$H$43)^(1/12)-1),$F$11,-$I$63),0)</f>
        <v>0</v>
      </c>
      <c r="U224" s="1312">
        <f t="shared" si="114"/>
        <v>0</v>
      </c>
      <c r="V224" s="1312">
        <f>W223*((1+'Instrumentos Financeiros'!$H$43)^(1/12)-1)</f>
        <v>0</v>
      </c>
      <c r="W224" s="1312">
        <f t="shared" si="132"/>
        <v>0</v>
      </c>
      <c r="X224" s="1312">
        <f>IF(AND(C224&gt;$F$64,'Instrumentos Financeiros'!C224&lt;'Instrumentos Financeiros'!$F$64+'Instrumentos Financeiros'!$F$11+1),PMT(((1+'Instrumentos Financeiros'!$H$43)^(1/12)-1),$F$11,-$I$64),0)</f>
        <v>0</v>
      </c>
      <c r="Y224" s="1312">
        <f t="shared" si="115"/>
        <v>0</v>
      </c>
      <c r="Z224" s="1312">
        <f>AA223*((1+'Instrumentos Financeiros'!$H$43)^(1/12)-1)</f>
        <v>0</v>
      </c>
      <c r="AA224" s="1312">
        <f t="shared" si="133"/>
        <v>0</v>
      </c>
      <c r="AB224" s="1312">
        <f>IF(AND(C224&gt;$F$65,'Instrumentos Financeiros'!C224&lt;'Instrumentos Financeiros'!$F$65+'Instrumentos Financeiros'!$F$11+1),PMT(((1+'Instrumentos Financeiros'!$H$43)^(1/12)-1),$F$11,-$I$65),0)</f>
        <v>76636.661022032335</v>
      </c>
      <c r="AC224" s="1312">
        <f t="shared" si="116"/>
        <v>42987.407443712757</v>
      </c>
      <c r="AD224" s="1312">
        <f>AE223*((1+'Instrumentos Financeiros'!$H$43)^(1/12)-1)</f>
        <v>33649.253578319578</v>
      </c>
      <c r="AE224" s="1312">
        <f t="shared" si="134"/>
        <v>7738966.6936822934</v>
      </c>
      <c r="AF224" s="1312">
        <f>IF(AND(C224&gt;$F$66,'Instrumentos Financeiros'!C224&lt;'Instrumentos Financeiros'!$F$66+'Instrumentos Financeiros'!$F$11+1),PMT(((1+'Instrumentos Financeiros'!$I$43)^(1/12)-1),$F$11,-$I$66),0)</f>
        <v>76636.661022032335</v>
      </c>
      <c r="AG224" s="1312">
        <f t="shared" si="117"/>
        <v>42434.56130311852</v>
      </c>
      <c r="AH224" s="1312">
        <f>AI223*((1+'Instrumentos Financeiros'!$I$43)^(1/12)-1)</f>
        <v>34202.099718913814</v>
      </c>
      <c r="AI224" s="1312">
        <f t="shared" si="135"/>
        <v>7867374.4796382831</v>
      </c>
      <c r="AJ224" s="1312">
        <f>IF(AND(C224&gt;$F$67,'Instrumentos Financeiros'!C224&lt;'Instrumentos Financeiros'!$F$67+'Instrumentos Financeiros'!$F$11+1),PMT(((1+'Instrumentos Financeiros'!$I$43)^(1/12)-1),$F$11,-$I$67),0)</f>
        <v>76636.661022032335</v>
      </c>
      <c r="AK224" s="1312">
        <f t="shared" si="118"/>
        <v>41888.825125030628</v>
      </c>
      <c r="AL224" s="1312">
        <f>AM223*((1+'Instrumentos Financeiros'!$I$43)^(1/12)-1)</f>
        <v>34747.835897001707</v>
      </c>
      <c r="AM224" s="1312">
        <f t="shared" si="136"/>
        <v>7994130.8575864518</v>
      </c>
      <c r="AN224" s="1312">
        <f>IF(AND(C224&gt;$F$68,'Instrumentos Financeiros'!C224&lt;'Instrumentos Financeiros'!$F$68+'Instrumentos Financeiros'!$F$11+1),PMT(((1+'Instrumentos Financeiros'!$I$43)^(1/12)-1),$F$11,-$I$68),0)</f>
        <v>76636.661022032335</v>
      </c>
      <c r="AO224" s="1312">
        <f t="shared" si="119"/>
        <v>41350.107470686773</v>
      </c>
      <c r="AP224" s="1312">
        <f>AQ223*((1+'Instrumentos Financeiros'!$I$43)^(1/12)-1)</f>
        <v>35286.553551345562</v>
      </c>
      <c r="AQ224" s="1312">
        <f t="shared" si="137"/>
        <v>8119257.0657125376</v>
      </c>
      <c r="AR224" s="1312">
        <f>IF(AND(C224&gt;$F$69,'Instrumentos Financeiros'!C224&lt;'Instrumentos Financeiros'!$F$69+'Instrumentos Financeiros'!$F$11+1),PMT(((1+'Instrumentos Financeiros'!$I$43)^(1/12)-1),$F$11,-$I$69),0)</f>
        <v>0</v>
      </c>
      <c r="AS224" s="1312">
        <f t="shared" si="120"/>
        <v>0</v>
      </c>
      <c r="AT224" s="1312">
        <f>AU223*((1+'Instrumentos Financeiros'!$I$43)^(1/12)-1)</f>
        <v>0</v>
      </c>
      <c r="AU224" s="1312">
        <f t="shared" si="138"/>
        <v>0</v>
      </c>
      <c r="AV224" s="1312">
        <f>IF(AND(C224&gt;$F$70,'Instrumentos Financeiros'!C224&lt;'Instrumentos Financeiros'!$F$70+'Instrumentos Financeiros'!$F$11+1),PMT(((1+'Instrumentos Financeiros'!$J$43)^(1/12)-1),$F$11,-$I$70),0)</f>
        <v>0</v>
      </c>
      <c r="AW224" s="1312">
        <f t="shared" si="121"/>
        <v>0</v>
      </c>
      <c r="AX224" s="1312">
        <f>AY223*((1+'Instrumentos Financeiros'!$J$43)^(1/12)-1)</f>
        <v>0</v>
      </c>
      <c r="AY224" s="1312">
        <f t="shared" si="139"/>
        <v>0</v>
      </c>
      <c r="AZ224" s="1312">
        <f>IF(AND(C224&gt;$F$71,'Instrumentos Financeiros'!C224&lt;'Instrumentos Financeiros'!$F$71+'Instrumentos Financeiros'!$F$11+1),PMT(((1+'Instrumentos Financeiros'!$J$43)^(1/12)-1),$F$11,-$I$71),0)</f>
        <v>0</v>
      </c>
      <c r="BA224" s="1312">
        <f t="shared" si="122"/>
        <v>0</v>
      </c>
      <c r="BB224" s="1312">
        <f>BC223*((1+'Instrumentos Financeiros'!$J$43)^(1/12)-1)</f>
        <v>0</v>
      </c>
      <c r="BC224" s="1312">
        <f t="shared" si="140"/>
        <v>0</v>
      </c>
      <c r="BD224" s="1312">
        <f>IF(AND(C224&gt;$F$72,'Instrumentos Financeiros'!C224&lt;'Instrumentos Financeiros'!$F$72+'Instrumentos Financeiros'!$F$11+1),PMT(((1+'Instrumentos Financeiros'!$J$43)^(1/12)-1),$F$11,-'Instrumentos Financeiros'!$G$7*$G$72),0)</f>
        <v>0</v>
      </c>
      <c r="BE224" s="1312">
        <f t="shared" si="123"/>
        <v>0</v>
      </c>
      <c r="BF224" s="1312">
        <f>BG223*((1+'Instrumentos Financeiros'!$J$43)^(1/12)-1)</f>
        <v>0</v>
      </c>
      <c r="BG224" s="1312">
        <f t="shared" si="141"/>
        <v>0</v>
      </c>
      <c r="BH224" s="1312">
        <f>IF(AND(C224&gt;$F$73,'Instrumentos Financeiros'!C224&lt;'Instrumentos Financeiros'!$F$73+'Instrumentos Financeiros'!$F$11+1),PMT(((1+'Instrumentos Financeiros'!$J$43)^(1/12)-1),$F$11,-$I$73),0)</f>
        <v>0</v>
      </c>
      <c r="BI224" s="1312">
        <f t="shared" si="124"/>
        <v>0</v>
      </c>
      <c r="BJ224" s="1312">
        <f>BK223*((1+'Instrumentos Financeiros'!$J$43)^(1/12)-1)</f>
        <v>0</v>
      </c>
      <c r="BK224" s="1312">
        <f t="shared" si="142"/>
        <v>0</v>
      </c>
      <c r="BL224" s="1312">
        <f>IF(AND(C224&gt;$F$77,'Instrumentos Financeiros'!C224&lt;'Instrumentos Financeiros'!$F$77+'Instrumentos Financeiros'!$F$12+1),PMT(((1+'Instrumentos Financeiros'!$K$43)^(1/12)-1),$F$12,-$I$77),0)</f>
        <v>368.57912678094596</v>
      </c>
      <c r="BM224" s="1312">
        <f t="shared" si="143"/>
        <v>196.31309392861021</v>
      </c>
      <c r="BN224" s="1312">
        <f>BO223*((1+'Instrumentos Financeiros'!$K$43)^(1/12)-1)</f>
        <v>172.26603285233574</v>
      </c>
      <c r="BO224" s="1312">
        <f t="shared" si="144"/>
        <v>39643.095459956123</v>
      </c>
      <c r="BP224" s="1312">
        <f>IF(AND(C224&gt;$F$78,'Instrumentos Financeiros'!C224&lt;'Instrumentos Financeiros'!$F$78+'Instrumentos Financeiros'!$F$12+1),PMT(((1+'Instrumentos Financeiros'!$L$43)^(1/12)-1),$F$12,-$I$78),0)</f>
        <v>368.57912678094596</v>
      </c>
      <c r="BQ224" s="1312">
        <f t="shared" si="145"/>
        <v>193.78837930215462</v>
      </c>
      <c r="BR224" s="1312">
        <f>BS223*((1+'Instrumentos Financeiros'!$L$43)^(1/12)-1)</f>
        <v>174.79074747879133</v>
      </c>
      <c r="BS224" s="1312">
        <f t="shared" si="146"/>
        <v>40229.502764898869</v>
      </c>
      <c r="BT224" s="1312">
        <f>IF(AND(C224&gt;$F$79,'Instrumentos Financeiros'!C224&lt;'Instrumentos Financeiros'!$F$79+'Instrumentos Financeiros'!$F$12+1),PMT(((1+'Instrumentos Financeiros'!$L$43)^(1/12)-1),$F$12,-$I$79),0)</f>
        <v>368.57912678094596</v>
      </c>
      <c r="BU224" s="1312">
        <f t="shared" si="147"/>
        <v>191.29613415502658</v>
      </c>
      <c r="BV224" s="1312">
        <f>BW223*((1+'Instrumentos Financeiros'!$L$43)^(1/12)-1)</f>
        <v>177.28299262591938</v>
      </c>
      <c r="BW224" s="1312">
        <f t="shared" si="148"/>
        <v>40808.368488838423</v>
      </c>
      <c r="BX224" s="1312">
        <f>IF(AND(C224&gt;$F$80,'Instrumentos Financeiros'!C224&lt;'Instrumentos Financeiros'!$F$80+'Instrumentos Financeiros'!$F$12+1),PMT(((1+'Instrumentos Financeiros'!$L$43)^(1/12)-1),$F$12,-$I$80),0)</f>
        <v>368.57912678094596</v>
      </c>
      <c r="BY224" s="1312">
        <f t="shared" si="149"/>
        <v>188.8359409085117</v>
      </c>
      <c r="BZ224" s="1312">
        <f>CA223*((1+'Instrumentos Financeiros'!$L$43)^(1/12)-1)</f>
        <v>179.74318587243425</v>
      </c>
      <c r="CA224" s="1312">
        <f t="shared" si="150"/>
        <v>41379.789621432916</v>
      </c>
      <c r="CB224" s="1312">
        <f>IF(AND(C224&gt;$F$83,'Instrumentos Financeiros'!C224&lt;'Instrumentos Financeiros'!$F$83+'Instrumentos Financeiros'!$F$13+1),PMT(((1+'Instrumentos Financeiros'!$P$43)^(1/12)-1),$F$13,-$I$83),0)</f>
        <v>0</v>
      </c>
      <c r="CC224" s="1312">
        <f t="shared" si="151"/>
        <v>0</v>
      </c>
      <c r="CD224" s="1312">
        <f>CE223*((1+'Instrumentos Financeiros'!$P$43)^(1/12)-1)</f>
        <v>0</v>
      </c>
      <c r="CE224" s="1312">
        <f t="shared" si="152"/>
        <v>0</v>
      </c>
      <c r="CF224" s="1312">
        <f>IF(AND(C224&gt;$F$84,'Instrumentos Financeiros'!C224&lt;'Instrumentos Financeiros'!$F$84+'Instrumentos Financeiros'!$F$13+1),PMT(((1+'Instrumentos Financeiros'!$Q$43)^(1/12)-1),$F$13,-$I$84),0)</f>
        <v>0</v>
      </c>
      <c r="CG224" s="1312">
        <f t="shared" si="153"/>
        <v>0</v>
      </c>
      <c r="CH224" s="1312">
        <f>CI223*((1+'Instrumentos Financeiros'!$Q$43)^(1/12)-1)</f>
        <v>0</v>
      </c>
      <c r="CI224" s="1312">
        <f t="shared" si="154"/>
        <v>0</v>
      </c>
      <c r="CJ224" s="1312">
        <f>IF(AND(C224&gt;$F$85,'Instrumentos Financeiros'!C224&lt;'Instrumentos Financeiros'!$F$85+'Instrumentos Financeiros'!$F$13+1),PMT(((1+'Instrumentos Financeiros'!$Q$43)^(1/12)-1),$F$13,-$I$85),0)</f>
        <v>0</v>
      </c>
      <c r="CK224" s="1312">
        <f t="shared" si="155"/>
        <v>0</v>
      </c>
      <c r="CL224" s="1312">
        <f>CM223*((1+'Instrumentos Financeiros'!$Q$43)^(1/12)-1)</f>
        <v>0</v>
      </c>
      <c r="CM224" s="1312">
        <f t="shared" si="156"/>
        <v>0</v>
      </c>
      <c r="CN224" s="1312">
        <f>IF(AND(C224&gt;$F$86,'Instrumentos Financeiros'!C224&lt;'Instrumentos Financeiros'!$F$86+'Instrumentos Financeiros'!$F$13+1),PMT(((1+'Instrumentos Financeiros'!$Q$43)^(1/12)-1),$F$13,-$I$86),0)</f>
        <v>0</v>
      </c>
      <c r="CO224" s="1312">
        <f t="shared" si="157"/>
        <v>0</v>
      </c>
      <c r="CP224" s="1312">
        <f>CQ223*((1+'Instrumentos Financeiros'!$Q$43)^(1/12)-1)</f>
        <v>0</v>
      </c>
      <c r="CQ224" s="1312">
        <f t="shared" si="158"/>
        <v>0</v>
      </c>
      <c r="CR224" s="1312">
        <f t="shared" si="127"/>
        <v>399789.55023115332</v>
      </c>
      <c r="CS224" s="1312">
        <f t="shared" si="127"/>
        <v>226642.06315878435</v>
      </c>
      <c r="CT224" s="1312">
        <f t="shared" si="127"/>
        <v>173147.48707236897</v>
      </c>
      <c r="CU224" s="1312">
        <f t="shared" si="127"/>
        <v>40290857.654244408</v>
      </c>
    </row>
    <row r="225" spans="3:99" x14ac:dyDescent="0.35">
      <c r="C225" s="1316">
        <f t="shared" si="128"/>
        <v>132</v>
      </c>
      <c r="D225" s="1313">
        <f>IF(AND(C225&gt;$F$59,'Instrumentos Financeiros'!C225&lt;'Instrumentos Financeiros'!$F$59+'Instrumentos Financeiros'!$F$11+1),PMT(((1+'Instrumentos Financeiros'!$G$43)^(1/12)-1),$F$11,-$I$59),0)</f>
        <v>91768.589635900134</v>
      </c>
      <c r="E225" s="1313">
        <f t="shared" si="125"/>
        <v>57444.451867716954</v>
      </c>
      <c r="F225" s="1313">
        <f>G224*((1+'Instrumentos Financeiros'!$G$43)^(1/12)-1)</f>
        <v>34324.13776818318</v>
      </c>
      <c r="G225" s="1313">
        <f t="shared" si="159"/>
        <v>8351623.3494220031</v>
      </c>
      <c r="H225" s="1313">
        <f>IF(AND(C225&gt;$F$60,'Instrumentos Financeiros'!C225&lt;'Instrumentos Financeiros'!$F$60+'Instrumentos Financeiros'!$F$11+1),PMT(((1+'Instrumentos Financeiros'!$G$43)^(1/12)-1),$F$11,-$I$60),0)</f>
        <v>0</v>
      </c>
      <c r="I225" s="1313">
        <f t="shared" si="111"/>
        <v>0</v>
      </c>
      <c r="J225" s="1313">
        <f>K224*((1+'Instrumentos Financeiros'!$G$43)^(1/12)-1)</f>
        <v>0</v>
      </c>
      <c r="K225" s="1313">
        <f t="shared" si="129"/>
        <v>0</v>
      </c>
      <c r="L225" s="1313">
        <f>IF(AND(C225&gt;$F$61,'Instrumentos Financeiros'!C225&lt;'Instrumentos Financeiros'!$F$61+'Instrumentos Financeiros'!$F$11+1),PMT(((1+'Instrumentos Financeiros'!$G$43)^(1/12)-1),$F$11,-$I$61),0)</f>
        <v>0</v>
      </c>
      <c r="M225" s="1313">
        <f t="shared" si="112"/>
        <v>0</v>
      </c>
      <c r="N225" s="1313">
        <f>O224*((1+'Instrumentos Financeiros'!$G$43)^(1/12)-1)</f>
        <v>0</v>
      </c>
      <c r="O225" s="1313">
        <f t="shared" si="130"/>
        <v>0</v>
      </c>
      <c r="P225" s="1313">
        <f>IF(AND(C225&gt;$F$62,'Instrumentos Financeiros'!C225&lt;'Instrumentos Financeiros'!$F$62+'Instrumentos Financeiros'!$F$11+1),PMT(((1+'Instrumentos Financeiros'!$H$43)^(1/12)-1),$F$11,-$I$62),0)</f>
        <v>0</v>
      </c>
      <c r="Q225" s="1313">
        <f t="shared" si="113"/>
        <v>0</v>
      </c>
      <c r="R225" s="1313">
        <f>S224*((1+'Instrumentos Financeiros'!$H$43)^(1/12)-1)</f>
        <v>0</v>
      </c>
      <c r="S225" s="1313">
        <f t="shared" si="131"/>
        <v>0</v>
      </c>
      <c r="T225" s="1313">
        <f>IF(AND(C225&gt;$F$63,'Instrumentos Financeiros'!C225&lt;'Instrumentos Financeiros'!$F$63+'Instrumentos Financeiros'!$F$11+1),PMT(((1+'Instrumentos Financeiros'!$H$43)^(1/12)-1),$F$11,-$I$63),0)</f>
        <v>0</v>
      </c>
      <c r="U225" s="1313">
        <f t="shared" si="114"/>
        <v>0</v>
      </c>
      <c r="V225" s="1313">
        <f>W224*((1+'Instrumentos Financeiros'!$H$43)^(1/12)-1)</f>
        <v>0</v>
      </c>
      <c r="W225" s="1313">
        <f t="shared" si="132"/>
        <v>0</v>
      </c>
      <c r="X225" s="1313">
        <f>IF(AND(C225&gt;$F$64,'Instrumentos Financeiros'!C225&lt;'Instrumentos Financeiros'!$F$64+'Instrumentos Financeiros'!$F$11+1),PMT(((1+'Instrumentos Financeiros'!$H$43)^(1/12)-1),$F$11,-$I$64),0)</f>
        <v>0</v>
      </c>
      <c r="Y225" s="1313">
        <f t="shared" si="115"/>
        <v>0</v>
      </c>
      <c r="Z225" s="1313">
        <f>AA224*((1+'Instrumentos Financeiros'!$H$43)^(1/12)-1)</f>
        <v>0</v>
      </c>
      <c r="AA225" s="1313">
        <f t="shared" si="133"/>
        <v>0</v>
      </c>
      <c r="AB225" s="1313">
        <f>IF(AND(C225&gt;$F$65,'Instrumentos Financeiros'!C225&lt;'Instrumentos Financeiros'!$F$65+'Instrumentos Financeiros'!$F$11+1),PMT(((1+'Instrumentos Financeiros'!$H$43)^(1/12)-1),$F$11,-$I$65),0)</f>
        <v>76636.661022032335</v>
      </c>
      <c r="AC225" s="1313">
        <f t="shared" si="116"/>
        <v>43173.285457763079</v>
      </c>
      <c r="AD225" s="1313">
        <f>AE224*((1+'Instrumentos Financeiros'!$H$43)^(1/12)-1)</f>
        <v>33463.375564269256</v>
      </c>
      <c r="AE225" s="1313">
        <f t="shared" si="134"/>
        <v>7695793.4082245305</v>
      </c>
      <c r="AF225" s="1313">
        <f>IF(AND(C225&gt;$F$66,'Instrumentos Financeiros'!C225&lt;'Instrumentos Financeiros'!$F$66+'Instrumentos Financeiros'!$F$11+1),PMT(((1+'Instrumentos Financeiros'!$I$43)^(1/12)-1),$F$11,-$I$66),0)</f>
        <v>76636.661022032335</v>
      </c>
      <c r="AG225" s="1313">
        <f t="shared" si="117"/>
        <v>42618.04880448617</v>
      </c>
      <c r="AH225" s="1313">
        <f>AI224*((1+'Instrumentos Financeiros'!$I$43)^(1/12)-1)</f>
        <v>34018.612217546164</v>
      </c>
      <c r="AI225" s="1313">
        <f t="shared" si="135"/>
        <v>7824756.430833797</v>
      </c>
      <c r="AJ225" s="1313">
        <f>IF(AND(C225&gt;$F$67,'Instrumentos Financeiros'!C225&lt;'Instrumentos Financeiros'!$F$67+'Instrumentos Financeiros'!$F$11+1),PMT(((1+'Instrumentos Financeiros'!$I$43)^(1/12)-1),$F$11,-$I$67),0)</f>
        <v>76636.661022032335</v>
      </c>
      <c r="AK225" s="1313">
        <f t="shared" si="118"/>
        <v>42069.952857270284</v>
      </c>
      <c r="AL225" s="1313">
        <f>AM224*((1+'Instrumentos Financeiros'!$I$43)^(1/12)-1)</f>
        <v>34566.708164762051</v>
      </c>
      <c r="AM225" s="1313">
        <f t="shared" si="136"/>
        <v>7952060.9047291819</v>
      </c>
      <c r="AN225" s="1313">
        <f>IF(AND(C225&gt;$F$68,'Instrumentos Financeiros'!C225&lt;'Instrumentos Financeiros'!$F$68+'Instrumentos Financeiros'!$F$11+1),PMT(((1+'Instrumentos Financeiros'!$I$43)^(1/12)-1),$F$11,-$I$68),0)</f>
        <v>76636.661022032335</v>
      </c>
      <c r="AO225" s="1313">
        <f t="shared" si="119"/>
        <v>41528.905781970898</v>
      </c>
      <c r="AP225" s="1313">
        <f>AQ224*((1+'Instrumentos Financeiros'!$I$43)^(1/12)-1)</f>
        <v>35107.755240061437</v>
      </c>
      <c r="AQ225" s="1313">
        <f t="shared" si="137"/>
        <v>8077728.1599305663</v>
      </c>
      <c r="AR225" s="1313">
        <f>IF(AND(C225&gt;$F$69,'Instrumentos Financeiros'!C225&lt;'Instrumentos Financeiros'!$F$69+'Instrumentos Financeiros'!$F$11+1),PMT(((1+'Instrumentos Financeiros'!$I$43)^(1/12)-1),$F$11,-$I$69),0)</f>
        <v>0</v>
      </c>
      <c r="AS225" s="1313">
        <f t="shared" si="120"/>
        <v>0</v>
      </c>
      <c r="AT225" s="1313">
        <f>AU224*((1+'Instrumentos Financeiros'!$I$43)^(1/12)-1)</f>
        <v>0</v>
      </c>
      <c r="AU225" s="1313">
        <f t="shared" si="138"/>
        <v>0</v>
      </c>
      <c r="AV225" s="1313">
        <f>IF(AND(C225&gt;$F$70,'Instrumentos Financeiros'!C225&lt;'Instrumentos Financeiros'!$F$70+'Instrumentos Financeiros'!$F$11+1),PMT(((1+'Instrumentos Financeiros'!$J$43)^(1/12)-1),$F$11,-$I$70),0)</f>
        <v>0</v>
      </c>
      <c r="AW225" s="1313">
        <f t="shared" si="121"/>
        <v>0</v>
      </c>
      <c r="AX225" s="1313">
        <f>AY224*((1+'Instrumentos Financeiros'!$J$43)^(1/12)-1)</f>
        <v>0</v>
      </c>
      <c r="AY225" s="1313">
        <f t="shared" si="139"/>
        <v>0</v>
      </c>
      <c r="AZ225" s="1313">
        <f>IF(AND(C225&gt;$F$71,'Instrumentos Financeiros'!C225&lt;'Instrumentos Financeiros'!$F$71+'Instrumentos Financeiros'!$F$11+1),PMT(((1+'Instrumentos Financeiros'!$J$43)^(1/12)-1),$F$11,-$I$71),0)</f>
        <v>0</v>
      </c>
      <c r="BA225" s="1313">
        <f t="shared" si="122"/>
        <v>0</v>
      </c>
      <c r="BB225" s="1313">
        <f>BC224*((1+'Instrumentos Financeiros'!$J$43)^(1/12)-1)</f>
        <v>0</v>
      </c>
      <c r="BC225" s="1313">
        <f t="shared" si="140"/>
        <v>0</v>
      </c>
      <c r="BD225" s="1313">
        <f>IF(AND(C225&gt;$F$72,'Instrumentos Financeiros'!C225&lt;'Instrumentos Financeiros'!$F$72+'Instrumentos Financeiros'!$F$11+1),PMT(((1+'Instrumentos Financeiros'!$J$43)^(1/12)-1),$F$11,-'Instrumentos Financeiros'!$G$7*$G$72),0)</f>
        <v>0</v>
      </c>
      <c r="BE225" s="1313">
        <f t="shared" si="123"/>
        <v>0</v>
      </c>
      <c r="BF225" s="1313">
        <f>BG224*((1+'Instrumentos Financeiros'!$J$43)^(1/12)-1)</f>
        <v>0</v>
      </c>
      <c r="BG225" s="1313">
        <f t="shared" si="141"/>
        <v>0</v>
      </c>
      <c r="BH225" s="1313">
        <f>IF(AND(C225&gt;$F$73,'Instrumentos Financeiros'!C225&lt;'Instrumentos Financeiros'!$F$73+'Instrumentos Financeiros'!$F$11+1),PMT(((1+'Instrumentos Financeiros'!$J$43)^(1/12)-1),$F$11,-$I$73),0)</f>
        <v>0</v>
      </c>
      <c r="BI225" s="1313">
        <f t="shared" si="124"/>
        <v>0</v>
      </c>
      <c r="BJ225" s="1313">
        <f>BK224*((1+'Instrumentos Financeiros'!$J$43)^(1/12)-1)</f>
        <v>0</v>
      </c>
      <c r="BK225" s="1313">
        <f t="shared" si="142"/>
        <v>0</v>
      </c>
      <c r="BL225" s="1313">
        <f>IF(AND(C225&gt;$F$77,'Instrumentos Financeiros'!C225&lt;'Instrumentos Financeiros'!$F$77+'Instrumentos Financeiros'!$F$12+1),PMT(((1+'Instrumentos Financeiros'!$K$43)^(1/12)-1),$F$12,-$I$77),0)</f>
        <v>368.57912678094596</v>
      </c>
      <c r="BM225" s="1313">
        <f t="shared" si="143"/>
        <v>197.16195386693761</v>
      </c>
      <c r="BN225" s="1313">
        <f>BO224*((1+'Instrumentos Financeiros'!$K$43)^(1/12)-1)</f>
        <v>171.41717291400835</v>
      </c>
      <c r="BO225" s="1313">
        <f t="shared" si="144"/>
        <v>39445.933506089183</v>
      </c>
      <c r="BP225" s="1313">
        <f>IF(AND(C225&gt;$F$78,'Instrumentos Financeiros'!C225&lt;'Instrumentos Financeiros'!$F$78+'Instrumentos Financeiros'!$F$12+1),PMT(((1+'Instrumentos Financeiros'!$L$43)^(1/12)-1),$F$12,-$I$78),0)</f>
        <v>368.57912678094596</v>
      </c>
      <c r="BQ225" s="1313">
        <f t="shared" si="145"/>
        <v>194.62632234717032</v>
      </c>
      <c r="BR225" s="1313">
        <f>BS224*((1+'Instrumentos Financeiros'!$L$43)^(1/12)-1)</f>
        <v>173.95280443377564</v>
      </c>
      <c r="BS225" s="1313">
        <f t="shared" si="146"/>
        <v>40034.8764425517</v>
      </c>
      <c r="BT225" s="1313">
        <f>IF(AND(C225&gt;$F$79,'Instrumentos Financeiros'!C225&lt;'Instrumentos Financeiros'!$F$79+'Instrumentos Financeiros'!$F$12+1),PMT(((1+'Instrumentos Financeiros'!$L$43)^(1/12)-1),$F$12,-$I$79),0)</f>
        <v>368.57912678094596</v>
      </c>
      <c r="BU225" s="1313">
        <f t="shared" si="147"/>
        <v>192.12330070510984</v>
      </c>
      <c r="BV225" s="1313">
        <f>BW224*((1+'Instrumentos Financeiros'!$L$43)^(1/12)-1)</f>
        <v>176.45582607583611</v>
      </c>
      <c r="BW225" s="1313">
        <f t="shared" si="148"/>
        <v>40616.245188133311</v>
      </c>
      <c r="BX225" s="1313">
        <f>IF(AND(C225&gt;$F$80,'Instrumentos Financeiros'!C225&lt;'Instrumentos Financeiros'!$F$80+'Instrumentos Financeiros'!$F$12+1),PMT(((1+'Instrumentos Financeiros'!$L$43)^(1/12)-1),$F$12,-$I$80),0)</f>
        <v>368.57912678094596</v>
      </c>
      <c r="BY225" s="1313">
        <f t="shared" si="149"/>
        <v>189.65246955642695</v>
      </c>
      <c r="BZ225" s="1313">
        <f>CA224*((1+'Instrumentos Financeiros'!$L$43)^(1/12)-1)</f>
        <v>178.926657224519</v>
      </c>
      <c r="CA225" s="1313">
        <f t="shared" si="150"/>
        <v>41190.137151876486</v>
      </c>
      <c r="CB225" s="1313">
        <f>IF(AND(C225&gt;$F$83,'Instrumentos Financeiros'!C225&lt;'Instrumentos Financeiros'!$F$83+'Instrumentos Financeiros'!$F$13+1),PMT(((1+'Instrumentos Financeiros'!$P$43)^(1/12)-1),$F$13,-$I$83),0)</f>
        <v>0</v>
      </c>
      <c r="CC225" s="1313">
        <f t="shared" si="151"/>
        <v>0</v>
      </c>
      <c r="CD225" s="1313">
        <f>CE224*((1+'Instrumentos Financeiros'!$P$43)^(1/12)-1)</f>
        <v>0</v>
      </c>
      <c r="CE225" s="1313">
        <f t="shared" si="152"/>
        <v>0</v>
      </c>
      <c r="CF225" s="1313">
        <f>IF(AND(C225&gt;$F$84,'Instrumentos Financeiros'!C225&lt;'Instrumentos Financeiros'!$F$84+'Instrumentos Financeiros'!$F$13+1),PMT(((1+'Instrumentos Financeiros'!$Q$43)^(1/12)-1),$F$13,-$I$84),0)</f>
        <v>0</v>
      </c>
      <c r="CG225" s="1313">
        <f t="shared" si="153"/>
        <v>0</v>
      </c>
      <c r="CH225" s="1313">
        <f>CI224*((1+'Instrumentos Financeiros'!$Q$43)^(1/12)-1)</f>
        <v>0</v>
      </c>
      <c r="CI225" s="1313">
        <f t="shared" si="154"/>
        <v>0</v>
      </c>
      <c r="CJ225" s="1313">
        <f>IF(AND(C225&gt;$F$85,'Instrumentos Financeiros'!C225&lt;'Instrumentos Financeiros'!$F$85+'Instrumentos Financeiros'!$F$13+1),PMT(((1+'Instrumentos Financeiros'!$Q$43)^(1/12)-1),$F$13,-$I$85),0)</f>
        <v>0</v>
      </c>
      <c r="CK225" s="1313">
        <f t="shared" si="155"/>
        <v>0</v>
      </c>
      <c r="CL225" s="1313">
        <f>CM224*((1+'Instrumentos Financeiros'!$Q$43)^(1/12)-1)</f>
        <v>0</v>
      </c>
      <c r="CM225" s="1313">
        <f t="shared" si="156"/>
        <v>0</v>
      </c>
      <c r="CN225" s="1313">
        <f>IF(AND(C225&gt;$F$86,'Instrumentos Financeiros'!C225&lt;'Instrumentos Financeiros'!$F$86+'Instrumentos Financeiros'!$F$13+1),PMT(((1+'Instrumentos Financeiros'!$Q$43)^(1/12)-1),$F$13,-$I$86),0)</f>
        <v>0</v>
      </c>
      <c r="CO225" s="1313">
        <f t="shared" si="157"/>
        <v>0</v>
      </c>
      <c r="CP225" s="1313">
        <f>CQ224*((1+'Instrumentos Financeiros'!$Q$43)^(1/12)-1)</f>
        <v>0</v>
      </c>
      <c r="CQ225" s="1313">
        <f t="shared" si="158"/>
        <v>0</v>
      </c>
      <c r="CR225" s="1313">
        <f t="shared" si="127"/>
        <v>399789.55023115332</v>
      </c>
      <c r="CS225" s="1313">
        <f t="shared" si="127"/>
        <v>227608.20881568306</v>
      </c>
      <c r="CT225" s="1313">
        <f t="shared" si="127"/>
        <v>172181.34141547023</v>
      </c>
      <c r="CU225" s="1313">
        <f t="shared" si="127"/>
        <v>40063249.445428722</v>
      </c>
    </row>
    <row r="226" spans="3:99" x14ac:dyDescent="0.35">
      <c r="C226" s="1315">
        <f t="shared" si="128"/>
        <v>133</v>
      </c>
      <c r="D226" s="1312">
        <f>IF(AND(C226&gt;$F$59,'Instrumentos Financeiros'!C226&lt;'Instrumentos Financeiros'!$F$59+'Instrumentos Financeiros'!$F$11+1),PMT(((1+'Instrumentos Financeiros'!$G$43)^(1/12)-1),$F$11,-$I$59),0)</f>
        <v>91768.589635900134</v>
      </c>
      <c r="E226" s="1312">
        <f t="shared" si="125"/>
        <v>57678.928664255909</v>
      </c>
      <c r="F226" s="1312">
        <f>G225*((1+'Instrumentos Financeiros'!$G$43)^(1/12)-1)</f>
        <v>34089.660971644225</v>
      </c>
      <c r="G226" s="1312">
        <f t="shared" si="159"/>
        <v>8293944.4207577473</v>
      </c>
      <c r="H226" s="1312">
        <f>IF(AND(C226&gt;$F$60,'Instrumentos Financeiros'!C226&lt;'Instrumentos Financeiros'!$F$60+'Instrumentos Financeiros'!$F$11+1),PMT(((1+'Instrumentos Financeiros'!$G$43)^(1/12)-1),$F$11,-$I$60),0)</f>
        <v>0</v>
      </c>
      <c r="I226" s="1312">
        <f t="shared" si="111"/>
        <v>0</v>
      </c>
      <c r="J226" s="1312">
        <f>K225*((1+'Instrumentos Financeiros'!$G$43)^(1/12)-1)</f>
        <v>0</v>
      </c>
      <c r="K226" s="1312">
        <f t="shared" si="129"/>
        <v>0</v>
      </c>
      <c r="L226" s="1312">
        <f>IF(AND(C226&gt;$F$61,'Instrumentos Financeiros'!C226&lt;'Instrumentos Financeiros'!$F$61+'Instrumentos Financeiros'!$F$11+1),PMT(((1+'Instrumentos Financeiros'!$G$43)^(1/12)-1),$F$11,-$I$61),0)</f>
        <v>0</v>
      </c>
      <c r="M226" s="1312">
        <f t="shared" si="112"/>
        <v>0</v>
      </c>
      <c r="N226" s="1312">
        <f>O225*((1+'Instrumentos Financeiros'!$G$43)^(1/12)-1)</f>
        <v>0</v>
      </c>
      <c r="O226" s="1312">
        <f t="shared" si="130"/>
        <v>0</v>
      </c>
      <c r="P226" s="1312">
        <f>IF(AND(C226&gt;$F$62,'Instrumentos Financeiros'!C226&lt;'Instrumentos Financeiros'!$F$62+'Instrumentos Financeiros'!$F$11+1),PMT(((1+'Instrumentos Financeiros'!$H$43)^(1/12)-1),$F$11,-$I$62),0)</f>
        <v>0</v>
      </c>
      <c r="Q226" s="1312">
        <f t="shared" si="113"/>
        <v>0</v>
      </c>
      <c r="R226" s="1312">
        <f>S225*((1+'Instrumentos Financeiros'!$H$43)^(1/12)-1)</f>
        <v>0</v>
      </c>
      <c r="S226" s="1312">
        <f t="shared" si="131"/>
        <v>0</v>
      </c>
      <c r="T226" s="1312">
        <f>IF(AND(C226&gt;$F$63,'Instrumentos Financeiros'!C226&lt;'Instrumentos Financeiros'!$F$63+'Instrumentos Financeiros'!$F$11+1),PMT(((1+'Instrumentos Financeiros'!$H$43)^(1/12)-1),$F$11,-$I$63),0)</f>
        <v>0</v>
      </c>
      <c r="U226" s="1312">
        <f t="shared" si="114"/>
        <v>0</v>
      </c>
      <c r="V226" s="1312">
        <f>W225*((1+'Instrumentos Financeiros'!$H$43)^(1/12)-1)</f>
        <v>0</v>
      </c>
      <c r="W226" s="1312">
        <f t="shared" si="132"/>
        <v>0</v>
      </c>
      <c r="X226" s="1312">
        <f>IF(AND(C226&gt;$F$64,'Instrumentos Financeiros'!C226&lt;'Instrumentos Financeiros'!$F$64+'Instrumentos Financeiros'!$F$11+1),PMT(((1+'Instrumentos Financeiros'!$H$43)^(1/12)-1),$F$11,-$I$64),0)</f>
        <v>0</v>
      </c>
      <c r="Y226" s="1312">
        <f t="shared" si="115"/>
        <v>0</v>
      </c>
      <c r="Z226" s="1312">
        <f>AA225*((1+'Instrumentos Financeiros'!$H$43)^(1/12)-1)</f>
        <v>0</v>
      </c>
      <c r="AA226" s="1312">
        <f t="shared" si="133"/>
        <v>0</v>
      </c>
      <c r="AB226" s="1312">
        <f>IF(AND(C226&gt;$F$65,'Instrumentos Financeiros'!C226&lt;'Instrumentos Financeiros'!$F$65+'Instrumentos Financeiros'!$F$11+1),PMT(((1+'Instrumentos Financeiros'!$H$43)^(1/12)-1),$F$11,-$I$65),0)</f>
        <v>76636.661022032335</v>
      </c>
      <c r="AC226" s="1312">
        <f t="shared" si="116"/>
        <v>43359.967210353629</v>
      </c>
      <c r="AD226" s="1312">
        <f>AE225*((1+'Instrumentos Financeiros'!$H$43)^(1/12)-1)</f>
        <v>33276.693811678706</v>
      </c>
      <c r="AE226" s="1312">
        <f t="shared" si="134"/>
        <v>7652433.4410141772</v>
      </c>
      <c r="AF226" s="1312">
        <f>IF(AND(C226&gt;$F$66,'Instrumentos Financeiros'!C226&lt;'Instrumentos Financeiros'!$F$66+'Instrumentos Financeiros'!$F$11+1),PMT(((1+'Instrumentos Financeiros'!$I$43)^(1/12)-1),$F$11,-$I$66),0)</f>
        <v>76636.661022032335</v>
      </c>
      <c r="AG226" s="1312">
        <f t="shared" si="117"/>
        <v>42802.329707791403</v>
      </c>
      <c r="AH226" s="1312">
        <f>AI225*((1+'Instrumentos Financeiros'!$I$43)^(1/12)-1)</f>
        <v>33834.331314240932</v>
      </c>
      <c r="AI226" s="1312">
        <f t="shared" si="135"/>
        <v>7781954.1011260059</v>
      </c>
      <c r="AJ226" s="1312">
        <f>IF(AND(C226&gt;$F$67,'Instrumentos Financeiros'!C226&lt;'Instrumentos Financeiros'!$F$67+'Instrumentos Financeiros'!$F$11+1),PMT(((1+'Instrumentos Financeiros'!$I$43)^(1/12)-1),$F$11,-$I$67),0)</f>
        <v>76636.661022032335</v>
      </c>
      <c r="AK226" s="1312">
        <f t="shared" si="118"/>
        <v>42251.863787780319</v>
      </c>
      <c r="AL226" s="1312">
        <f>AM225*((1+'Instrumentos Financeiros'!$I$43)^(1/12)-1)</f>
        <v>34384.797234252015</v>
      </c>
      <c r="AM226" s="1312">
        <f t="shared" si="136"/>
        <v>7909809.0409414014</v>
      </c>
      <c r="AN226" s="1312">
        <f>IF(AND(C226&gt;$F$68,'Instrumentos Financeiros'!C226&lt;'Instrumentos Financeiros'!$F$68+'Instrumentos Financeiros'!$F$11+1),PMT(((1+'Instrumentos Financeiros'!$I$43)^(1/12)-1),$F$11,-$I$68),0)</f>
        <v>76636.661022032335</v>
      </c>
      <c r="AO226" s="1312">
        <f t="shared" si="119"/>
        <v>41708.477219084038</v>
      </c>
      <c r="AP226" s="1312">
        <f>AQ225*((1+'Instrumentos Financeiros'!$I$43)^(1/12)-1)</f>
        <v>34928.183802948297</v>
      </c>
      <c r="AQ226" s="1312">
        <f t="shared" si="137"/>
        <v>8036019.682711482</v>
      </c>
      <c r="AR226" s="1312">
        <f>IF(AND(C226&gt;$F$69,'Instrumentos Financeiros'!C226&lt;'Instrumentos Financeiros'!$F$69+'Instrumentos Financeiros'!$F$11+1),PMT(((1+'Instrumentos Financeiros'!$I$43)^(1/12)-1),$F$11,-$I$69),0)</f>
        <v>0</v>
      </c>
      <c r="AS226" s="1312">
        <f t="shared" si="120"/>
        <v>0</v>
      </c>
      <c r="AT226" s="1312">
        <f>AU225*((1+'Instrumentos Financeiros'!$I$43)^(1/12)-1)</f>
        <v>0</v>
      </c>
      <c r="AU226" s="1312">
        <f t="shared" si="138"/>
        <v>0</v>
      </c>
      <c r="AV226" s="1312">
        <f>IF(AND(C226&gt;$F$70,'Instrumentos Financeiros'!C226&lt;'Instrumentos Financeiros'!$F$70+'Instrumentos Financeiros'!$F$11+1),PMT(((1+'Instrumentos Financeiros'!$J$43)^(1/12)-1),$F$11,-$I$70),0)</f>
        <v>0</v>
      </c>
      <c r="AW226" s="1312">
        <f t="shared" si="121"/>
        <v>0</v>
      </c>
      <c r="AX226" s="1312">
        <f>AY225*((1+'Instrumentos Financeiros'!$J$43)^(1/12)-1)</f>
        <v>0</v>
      </c>
      <c r="AY226" s="1312">
        <f t="shared" si="139"/>
        <v>0</v>
      </c>
      <c r="AZ226" s="1312">
        <f>IF(AND(C226&gt;$F$71,'Instrumentos Financeiros'!C226&lt;'Instrumentos Financeiros'!$F$71+'Instrumentos Financeiros'!$F$11+1),PMT(((1+'Instrumentos Financeiros'!$J$43)^(1/12)-1),$F$11,-$I$71),0)</f>
        <v>0</v>
      </c>
      <c r="BA226" s="1312">
        <f t="shared" si="122"/>
        <v>0</v>
      </c>
      <c r="BB226" s="1312">
        <f>BC225*((1+'Instrumentos Financeiros'!$J$43)^(1/12)-1)</f>
        <v>0</v>
      </c>
      <c r="BC226" s="1312">
        <f t="shared" si="140"/>
        <v>0</v>
      </c>
      <c r="BD226" s="1312">
        <f>IF(AND(C226&gt;$F$72,'Instrumentos Financeiros'!C226&lt;'Instrumentos Financeiros'!$F$72+'Instrumentos Financeiros'!$F$11+1),PMT(((1+'Instrumentos Financeiros'!$J$43)^(1/12)-1),$F$11,-'Instrumentos Financeiros'!$G$7*$G$72),0)</f>
        <v>0</v>
      </c>
      <c r="BE226" s="1312">
        <f t="shared" si="123"/>
        <v>0</v>
      </c>
      <c r="BF226" s="1312">
        <f>BG225*((1+'Instrumentos Financeiros'!$J$43)^(1/12)-1)</f>
        <v>0</v>
      </c>
      <c r="BG226" s="1312">
        <f t="shared" si="141"/>
        <v>0</v>
      </c>
      <c r="BH226" s="1312">
        <f>IF(AND(C226&gt;$F$73,'Instrumentos Financeiros'!C226&lt;'Instrumentos Financeiros'!$F$73+'Instrumentos Financeiros'!$F$11+1),PMT(((1+'Instrumentos Financeiros'!$J$43)^(1/12)-1),$F$11,-$I$73),0)</f>
        <v>0</v>
      </c>
      <c r="BI226" s="1312">
        <f t="shared" si="124"/>
        <v>0</v>
      </c>
      <c r="BJ226" s="1312">
        <f>BK225*((1+'Instrumentos Financeiros'!$J$43)^(1/12)-1)</f>
        <v>0</v>
      </c>
      <c r="BK226" s="1312">
        <f t="shared" si="142"/>
        <v>0</v>
      </c>
      <c r="BL226" s="1312">
        <f>IF(AND(C226&gt;$F$77,'Instrumentos Financeiros'!C226&lt;'Instrumentos Financeiros'!$F$77+'Instrumentos Financeiros'!$F$12+1),PMT(((1+'Instrumentos Financeiros'!$K$43)^(1/12)-1),$F$12,-$I$77),0)</f>
        <v>368.57912678094596</v>
      </c>
      <c r="BM226" s="1312">
        <f t="shared" si="143"/>
        <v>198.014484284806</v>
      </c>
      <c r="BN226" s="1312">
        <f>BO225*((1+'Instrumentos Financeiros'!$K$43)^(1/12)-1)</f>
        <v>170.56464249613995</v>
      </c>
      <c r="BO226" s="1312">
        <f t="shared" si="144"/>
        <v>39247.919021804373</v>
      </c>
      <c r="BP226" s="1312">
        <f>IF(AND(C226&gt;$F$78,'Instrumentos Financeiros'!C226&lt;'Instrumentos Financeiros'!$F$78+'Instrumentos Financeiros'!$F$12+1),PMT(((1+'Instrumentos Financeiros'!$L$43)^(1/12)-1),$F$12,-$I$78),0)</f>
        <v>368.57912678094596</v>
      </c>
      <c r="BQ226" s="1312">
        <f t="shared" si="145"/>
        <v>195.46788866696241</v>
      </c>
      <c r="BR226" s="1312">
        <f>BS225*((1+'Instrumentos Financeiros'!$L$43)^(1/12)-1)</f>
        <v>173.11123811398355</v>
      </c>
      <c r="BS226" s="1312">
        <f t="shared" si="146"/>
        <v>39839.408553884736</v>
      </c>
      <c r="BT226" s="1312">
        <f>IF(AND(C226&gt;$F$79,'Instrumentos Financeiros'!C226&lt;'Instrumentos Financeiros'!$F$79+'Instrumentos Financeiros'!$F$12+1),PMT(((1+'Instrumentos Financeiros'!$L$43)^(1/12)-1),$F$12,-$I$79),0)</f>
        <v>368.57912678094596</v>
      </c>
      <c r="BU226" s="1312">
        <f t="shared" si="147"/>
        <v>192.95404393228907</v>
      </c>
      <c r="BV226" s="1312">
        <f>BW225*((1+'Instrumentos Financeiros'!$L$43)^(1/12)-1)</f>
        <v>175.62508284865689</v>
      </c>
      <c r="BW226" s="1312">
        <f t="shared" si="148"/>
        <v>40423.291144201023</v>
      </c>
      <c r="BX226" s="1312">
        <f>IF(AND(C226&gt;$F$80,'Instrumentos Financeiros'!C226&lt;'Instrumentos Financeiros'!$F$80+'Instrumentos Financeiros'!$F$12+1),PMT(((1+'Instrumentos Financeiros'!$L$43)^(1/12)-1),$F$12,-$I$80),0)</f>
        <v>368.57912678094596</v>
      </c>
      <c r="BY226" s="1312">
        <f t="shared" si="149"/>
        <v>190.47252888303433</v>
      </c>
      <c r="BZ226" s="1312">
        <f>CA225*((1+'Instrumentos Financeiros'!$L$43)^(1/12)-1)</f>
        <v>178.10659789791163</v>
      </c>
      <c r="CA226" s="1312">
        <f t="shared" si="150"/>
        <v>40999.664622993449</v>
      </c>
      <c r="CB226" s="1312">
        <f>IF(AND(C226&gt;$F$83,'Instrumentos Financeiros'!C226&lt;'Instrumentos Financeiros'!$F$83+'Instrumentos Financeiros'!$F$13+1),PMT(((1+'Instrumentos Financeiros'!$P$43)^(1/12)-1),$F$13,-$I$83),0)</f>
        <v>0</v>
      </c>
      <c r="CC226" s="1312">
        <f t="shared" si="151"/>
        <v>0</v>
      </c>
      <c r="CD226" s="1312">
        <f>CE225*((1+'Instrumentos Financeiros'!$P$43)^(1/12)-1)</f>
        <v>0</v>
      </c>
      <c r="CE226" s="1312">
        <f t="shared" si="152"/>
        <v>0</v>
      </c>
      <c r="CF226" s="1312">
        <f>IF(AND(C226&gt;$F$84,'Instrumentos Financeiros'!C226&lt;'Instrumentos Financeiros'!$F$84+'Instrumentos Financeiros'!$F$13+1),PMT(((1+'Instrumentos Financeiros'!$Q$43)^(1/12)-1),$F$13,-$I$84),0)</f>
        <v>0</v>
      </c>
      <c r="CG226" s="1312">
        <f t="shared" si="153"/>
        <v>0</v>
      </c>
      <c r="CH226" s="1312">
        <f>CI225*((1+'Instrumentos Financeiros'!$Q$43)^(1/12)-1)</f>
        <v>0</v>
      </c>
      <c r="CI226" s="1312">
        <f t="shared" si="154"/>
        <v>0</v>
      </c>
      <c r="CJ226" s="1312">
        <f>IF(AND(C226&gt;$F$85,'Instrumentos Financeiros'!C226&lt;'Instrumentos Financeiros'!$F$85+'Instrumentos Financeiros'!$F$13+1),PMT(((1+'Instrumentos Financeiros'!$Q$43)^(1/12)-1),$F$13,-$I$85),0)</f>
        <v>0</v>
      </c>
      <c r="CK226" s="1312">
        <f t="shared" si="155"/>
        <v>0</v>
      </c>
      <c r="CL226" s="1312">
        <f>CM225*((1+'Instrumentos Financeiros'!$Q$43)^(1/12)-1)</f>
        <v>0</v>
      </c>
      <c r="CM226" s="1312">
        <f t="shared" si="156"/>
        <v>0</v>
      </c>
      <c r="CN226" s="1312">
        <f>IF(AND(C226&gt;$F$86,'Instrumentos Financeiros'!C226&lt;'Instrumentos Financeiros'!$F$86+'Instrumentos Financeiros'!$F$13+1),PMT(((1+'Instrumentos Financeiros'!$Q$43)^(1/12)-1),$F$13,-$I$86),0)</f>
        <v>0</v>
      </c>
      <c r="CO226" s="1312">
        <f t="shared" si="157"/>
        <v>0</v>
      </c>
      <c r="CP226" s="1312">
        <f>CQ225*((1+'Instrumentos Financeiros'!$Q$43)^(1/12)-1)</f>
        <v>0</v>
      </c>
      <c r="CQ226" s="1312">
        <f t="shared" si="158"/>
        <v>0</v>
      </c>
      <c r="CR226" s="1312">
        <f t="shared" si="127"/>
        <v>399789.55023115332</v>
      </c>
      <c r="CS226" s="1312">
        <f t="shared" si="127"/>
        <v>228578.47553503234</v>
      </c>
      <c r="CT226" s="1312">
        <f t="shared" si="127"/>
        <v>171211.07469612086</v>
      </c>
      <c r="CU226" s="1312">
        <f t="shared" si="127"/>
        <v>39834670.969893694</v>
      </c>
    </row>
    <row r="227" spans="3:99" x14ac:dyDescent="0.35">
      <c r="C227" s="1315">
        <f t="shared" si="128"/>
        <v>134</v>
      </c>
      <c r="D227" s="1312">
        <f>IF(AND(C227&gt;$F$59,'Instrumentos Financeiros'!C227&lt;'Instrumentos Financeiros'!$F$59+'Instrumentos Financeiros'!$F$11+1),PMT(((1+'Instrumentos Financeiros'!$G$43)^(1/12)-1),$F$11,-$I$59),0)</f>
        <v>91768.589635900134</v>
      </c>
      <c r="E227" s="1312">
        <f t="shared" si="125"/>
        <v>57914.362548317287</v>
      </c>
      <c r="F227" s="1312">
        <f>G226*((1+'Instrumentos Financeiros'!$G$43)^(1/12)-1)</f>
        <v>33854.227087582847</v>
      </c>
      <c r="G227" s="1312">
        <f t="shared" si="159"/>
        <v>8236030.0582094304</v>
      </c>
      <c r="H227" s="1312">
        <f>IF(AND(C227&gt;$F$60,'Instrumentos Financeiros'!C227&lt;'Instrumentos Financeiros'!$F$60+'Instrumentos Financeiros'!$F$11+1),PMT(((1+'Instrumentos Financeiros'!$G$43)^(1/12)-1),$F$11,-$I$60),0)</f>
        <v>0</v>
      </c>
      <c r="I227" s="1312">
        <f t="shared" si="111"/>
        <v>0</v>
      </c>
      <c r="J227" s="1312">
        <f>K226*((1+'Instrumentos Financeiros'!$G$43)^(1/12)-1)</f>
        <v>0</v>
      </c>
      <c r="K227" s="1312">
        <f t="shared" si="129"/>
        <v>0</v>
      </c>
      <c r="L227" s="1312">
        <f>IF(AND(C227&gt;$F$61,'Instrumentos Financeiros'!C227&lt;'Instrumentos Financeiros'!$F$61+'Instrumentos Financeiros'!$F$11+1),PMT(((1+'Instrumentos Financeiros'!$G$43)^(1/12)-1),$F$11,-$I$61),0)</f>
        <v>0</v>
      </c>
      <c r="M227" s="1312">
        <f t="shared" si="112"/>
        <v>0</v>
      </c>
      <c r="N227" s="1312">
        <f>O226*((1+'Instrumentos Financeiros'!$G$43)^(1/12)-1)</f>
        <v>0</v>
      </c>
      <c r="O227" s="1312">
        <f t="shared" si="130"/>
        <v>0</v>
      </c>
      <c r="P227" s="1312">
        <f>IF(AND(C227&gt;$F$62,'Instrumentos Financeiros'!C227&lt;'Instrumentos Financeiros'!$F$62+'Instrumentos Financeiros'!$F$11+1),PMT(((1+'Instrumentos Financeiros'!$H$43)^(1/12)-1),$F$11,-$I$62),0)</f>
        <v>0</v>
      </c>
      <c r="Q227" s="1312">
        <f t="shared" si="113"/>
        <v>0</v>
      </c>
      <c r="R227" s="1312">
        <f>S226*((1+'Instrumentos Financeiros'!$H$43)^(1/12)-1)</f>
        <v>0</v>
      </c>
      <c r="S227" s="1312">
        <f t="shared" si="131"/>
        <v>0</v>
      </c>
      <c r="T227" s="1312">
        <f>IF(AND(C227&gt;$F$63,'Instrumentos Financeiros'!C227&lt;'Instrumentos Financeiros'!$F$63+'Instrumentos Financeiros'!$F$11+1),PMT(((1+'Instrumentos Financeiros'!$H$43)^(1/12)-1),$F$11,-$I$63),0)</f>
        <v>0</v>
      </c>
      <c r="U227" s="1312">
        <f t="shared" si="114"/>
        <v>0</v>
      </c>
      <c r="V227" s="1312">
        <f>W226*((1+'Instrumentos Financeiros'!$H$43)^(1/12)-1)</f>
        <v>0</v>
      </c>
      <c r="W227" s="1312">
        <f t="shared" si="132"/>
        <v>0</v>
      </c>
      <c r="X227" s="1312">
        <f>IF(AND(C227&gt;$F$64,'Instrumentos Financeiros'!C227&lt;'Instrumentos Financeiros'!$F$64+'Instrumentos Financeiros'!$F$11+1),PMT(((1+'Instrumentos Financeiros'!$H$43)^(1/12)-1),$F$11,-$I$64),0)</f>
        <v>0</v>
      </c>
      <c r="Y227" s="1312">
        <f t="shared" si="115"/>
        <v>0</v>
      </c>
      <c r="Z227" s="1312">
        <f>AA226*((1+'Instrumentos Financeiros'!$H$43)^(1/12)-1)</f>
        <v>0</v>
      </c>
      <c r="AA227" s="1312">
        <f t="shared" si="133"/>
        <v>0</v>
      </c>
      <c r="AB227" s="1312">
        <f>IF(AND(C227&gt;$F$65,'Instrumentos Financeiros'!C227&lt;'Instrumentos Financeiros'!$F$65+'Instrumentos Financeiros'!$F$11+1),PMT(((1+'Instrumentos Financeiros'!$H$43)^(1/12)-1),$F$11,-$I$65),0)</f>
        <v>76636.661022032335</v>
      </c>
      <c r="AC227" s="1312">
        <f t="shared" si="116"/>
        <v>43547.456176858548</v>
      </c>
      <c r="AD227" s="1312">
        <f>AE226*((1+'Instrumentos Financeiros'!$H$43)^(1/12)-1)</f>
        <v>33089.204845173786</v>
      </c>
      <c r="AE227" s="1312">
        <f t="shared" si="134"/>
        <v>7608885.9848373188</v>
      </c>
      <c r="AF227" s="1312">
        <f>IF(AND(C227&gt;$F$66,'Instrumentos Financeiros'!C227&lt;'Instrumentos Financeiros'!$F$66+'Instrumentos Financeiros'!$F$11+1),PMT(((1+'Instrumentos Financeiros'!$I$43)^(1/12)-1),$F$11,-$I$66),0)</f>
        <v>76636.661022032335</v>
      </c>
      <c r="AG227" s="1312">
        <f t="shared" si="117"/>
        <v>42987.407443712757</v>
      </c>
      <c r="AH227" s="1312">
        <f>AI226*((1+'Instrumentos Financeiros'!$I$43)^(1/12)-1)</f>
        <v>33649.253578319578</v>
      </c>
      <c r="AI227" s="1312">
        <f t="shared" si="135"/>
        <v>7738966.6936822934</v>
      </c>
      <c r="AJ227" s="1312">
        <f>IF(AND(C227&gt;$F$67,'Instrumentos Financeiros'!C227&lt;'Instrumentos Financeiros'!$F$67+'Instrumentos Financeiros'!$F$11+1),PMT(((1+'Instrumentos Financeiros'!$I$43)^(1/12)-1),$F$11,-$I$67),0)</f>
        <v>76636.661022032335</v>
      </c>
      <c r="AK227" s="1312">
        <f t="shared" si="118"/>
        <v>42434.56130311852</v>
      </c>
      <c r="AL227" s="1312">
        <f>AM226*((1+'Instrumentos Financeiros'!$I$43)^(1/12)-1)</f>
        <v>34202.099718913814</v>
      </c>
      <c r="AM227" s="1312">
        <f t="shared" si="136"/>
        <v>7867374.4796382831</v>
      </c>
      <c r="AN227" s="1312">
        <f>IF(AND(C227&gt;$F$68,'Instrumentos Financeiros'!C227&lt;'Instrumentos Financeiros'!$F$68+'Instrumentos Financeiros'!$F$11+1),PMT(((1+'Instrumentos Financeiros'!$I$43)^(1/12)-1),$F$11,-$I$68),0)</f>
        <v>76636.661022032335</v>
      </c>
      <c r="AO227" s="1312">
        <f t="shared" si="119"/>
        <v>41888.825125030628</v>
      </c>
      <c r="AP227" s="1312">
        <f>AQ226*((1+'Instrumentos Financeiros'!$I$43)^(1/12)-1)</f>
        <v>34747.835897001707</v>
      </c>
      <c r="AQ227" s="1312">
        <f t="shared" si="137"/>
        <v>7994130.8575864518</v>
      </c>
      <c r="AR227" s="1312">
        <f>IF(AND(C227&gt;$F$69,'Instrumentos Financeiros'!C227&lt;'Instrumentos Financeiros'!$F$69+'Instrumentos Financeiros'!$F$11+1),PMT(((1+'Instrumentos Financeiros'!$I$43)^(1/12)-1),$F$11,-$I$69),0)</f>
        <v>0</v>
      </c>
      <c r="AS227" s="1312">
        <f t="shared" si="120"/>
        <v>0</v>
      </c>
      <c r="AT227" s="1312">
        <f>AU226*((1+'Instrumentos Financeiros'!$I$43)^(1/12)-1)</f>
        <v>0</v>
      </c>
      <c r="AU227" s="1312">
        <f t="shared" si="138"/>
        <v>0</v>
      </c>
      <c r="AV227" s="1312">
        <f>IF(AND(C227&gt;$F$70,'Instrumentos Financeiros'!C227&lt;'Instrumentos Financeiros'!$F$70+'Instrumentos Financeiros'!$F$11+1),PMT(((1+'Instrumentos Financeiros'!$J$43)^(1/12)-1),$F$11,-$I$70),0)</f>
        <v>0</v>
      </c>
      <c r="AW227" s="1312">
        <f t="shared" si="121"/>
        <v>0</v>
      </c>
      <c r="AX227" s="1312">
        <f>AY226*((1+'Instrumentos Financeiros'!$J$43)^(1/12)-1)</f>
        <v>0</v>
      </c>
      <c r="AY227" s="1312">
        <f t="shared" si="139"/>
        <v>0</v>
      </c>
      <c r="AZ227" s="1312">
        <f>IF(AND(C227&gt;$F$71,'Instrumentos Financeiros'!C227&lt;'Instrumentos Financeiros'!$F$71+'Instrumentos Financeiros'!$F$11+1),PMT(((1+'Instrumentos Financeiros'!$J$43)^(1/12)-1),$F$11,-$I$71),0)</f>
        <v>0</v>
      </c>
      <c r="BA227" s="1312">
        <f t="shared" si="122"/>
        <v>0</v>
      </c>
      <c r="BB227" s="1312">
        <f>BC226*((1+'Instrumentos Financeiros'!$J$43)^(1/12)-1)</f>
        <v>0</v>
      </c>
      <c r="BC227" s="1312">
        <f t="shared" si="140"/>
        <v>0</v>
      </c>
      <c r="BD227" s="1312">
        <f>IF(AND(C227&gt;$F$72,'Instrumentos Financeiros'!C227&lt;'Instrumentos Financeiros'!$F$72+'Instrumentos Financeiros'!$F$11+1),PMT(((1+'Instrumentos Financeiros'!$J$43)^(1/12)-1),$F$11,-'Instrumentos Financeiros'!$G$7*$G$72),0)</f>
        <v>0</v>
      </c>
      <c r="BE227" s="1312">
        <f t="shared" si="123"/>
        <v>0</v>
      </c>
      <c r="BF227" s="1312">
        <f>BG226*((1+'Instrumentos Financeiros'!$J$43)^(1/12)-1)</f>
        <v>0</v>
      </c>
      <c r="BG227" s="1312">
        <f t="shared" si="141"/>
        <v>0</v>
      </c>
      <c r="BH227" s="1312">
        <f>IF(AND(C227&gt;$F$73,'Instrumentos Financeiros'!C227&lt;'Instrumentos Financeiros'!$F$73+'Instrumentos Financeiros'!$F$11+1),PMT(((1+'Instrumentos Financeiros'!$J$43)^(1/12)-1),$F$11,-$I$73),0)</f>
        <v>0</v>
      </c>
      <c r="BI227" s="1312">
        <f t="shared" si="124"/>
        <v>0</v>
      </c>
      <c r="BJ227" s="1312">
        <f>BK226*((1+'Instrumentos Financeiros'!$J$43)^(1/12)-1)</f>
        <v>0</v>
      </c>
      <c r="BK227" s="1312">
        <f t="shared" si="142"/>
        <v>0</v>
      </c>
      <c r="BL227" s="1312">
        <f>IF(AND(C227&gt;$F$77,'Instrumentos Financeiros'!C227&lt;'Instrumentos Financeiros'!$F$77+'Instrumentos Financeiros'!$F$12+1),PMT(((1+'Instrumentos Financeiros'!$K$43)^(1/12)-1),$F$12,-$I$77),0)</f>
        <v>368.57912678094596</v>
      </c>
      <c r="BM227" s="1312">
        <f t="shared" si="143"/>
        <v>198.87070105340857</v>
      </c>
      <c r="BN227" s="1312">
        <f>BO226*((1+'Instrumentos Financeiros'!$K$43)^(1/12)-1)</f>
        <v>169.70842572753739</v>
      </c>
      <c r="BO227" s="1312">
        <f t="shared" si="144"/>
        <v>39049.048320750968</v>
      </c>
      <c r="BP227" s="1312">
        <f>IF(AND(C227&gt;$F$78,'Instrumentos Financeiros'!C227&lt;'Instrumentos Financeiros'!$F$78+'Instrumentos Financeiros'!$F$12+1),PMT(((1+'Instrumentos Financeiros'!$L$43)^(1/12)-1),$F$12,-$I$78),0)</f>
        <v>368.57912678094596</v>
      </c>
      <c r="BQ227" s="1312">
        <f t="shared" si="145"/>
        <v>196.31309392861021</v>
      </c>
      <c r="BR227" s="1312">
        <f>BS226*((1+'Instrumentos Financeiros'!$L$43)^(1/12)-1)</f>
        <v>172.26603285233574</v>
      </c>
      <c r="BS227" s="1312">
        <f t="shared" si="146"/>
        <v>39643.095459956123</v>
      </c>
      <c r="BT227" s="1312">
        <f>IF(AND(C227&gt;$F$79,'Instrumentos Financeiros'!C227&lt;'Instrumentos Financeiros'!$F$79+'Instrumentos Financeiros'!$F$12+1),PMT(((1+'Instrumentos Financeiros'!$L$43)^(1/12)-1),$F$12,-$I$79),0)</f>
        <v>368.57912678094596</v>
      </c>
      <c r="BU227" s="1312">
        <f t="shared" si="147"/>
        <v>193.78837930215462</v>
      </c>
      <c r="BV227" s="1312">
        <f>BW226*((1+'Instrumentos Financeiros'!$L$43)^(1/12)-1)</f>
        <v>174.79074747879133</v>
      </c>
      <c r="BW227" s="1312">
        <f t="shared" si="148"/>
        <v>40229.502764898869</v>
      </c>
      <c r="BX227" s="1312">
        <f>IF(AND(C227&gt;$F$80,'Instrumentos Financeiros'!C227&lt;'Instrumentos Financeiros'!$F$80+'Instrumentos Financeiros'!$F$12+1),PMT(((1+'Instrumentos Financeiros'!$L$43)^(1/12)-1),$F$12,-$I$80),0)</f>
        <v>368.57912678094596</v>
      </c>
      <c r="BY227" s="1312">
        <f t="shared" si="149"/>
        <v>191.29613415502658</v>
      </c>
      <c r="BZ227" s="1312">
        <f>CA226*((1+'Instrumentos Financeiros'!$L$43)^(1/12)-1)</f>
        <v>177.28299262591938</v>
      </c>
      <c r="CA227" s="1312">
        <f t="shared" si="150"/>
        <v>40808.368488838423</v>
      </c>
      <c r="CB227" s="1312">
        <f>IF(AND(C227&gt;$F$83,'Instrumentos Financeiros'!C227&lt;'Instrumentos Financeiros'!$F$83+'Instrumentos Financeiros'!$F$13+1),PMT(((1+'Instrumentos Financeiros'!$P$43)^(1/12)-1),$F$13,-$I$83),0)</f>
        <v>0</v>
      </c>
      <c r="CC227" s="1312">
        <f t="shared" si="151"/>
        <v>0</v>
      </c>
      <c r="CD227" s="1312">
        <f>CE226*((1+'Instrumentos Financeiros'!$P$43)^(1/12)-1)</f>
        <v>0</v>
      </c>
      <c r="CE227" s="1312">
        <f t="shared" si="152"/>
        <v>0</v>
      </c>
      <c r="CF227" s="1312">
        <f>IF(AND(C227&gt;$F$84,'Instrumentos Financeiros'!C227&lt;'Instrumentos Financeiros'!$F$84+'Instrumentos Financeiros'!$F$13+1),PMT(((1+'Instrumentos Financeiros'!$Q$43)^(1/12)-1),$F$13,-$I$84),0)</f>
        <v>0</v>
      </c>
      <c r="CG227" s="1312">
        <f t="shared" si="153"/>
        <v>0</v>
      </c>
      <c r="CH227" s="1312">
        <f>CI226*((1+'Instrumentos Financeiros'!$Q$43)^(1/12)-1)</f>
        <v>0</v>
      </c>
      <c r="CI227" s="1312">
        <f t="shared" si="154"/>
        <v>0</v>
      </c>
      <c r="CJ227" s="1312">
        <f>IF(AND(C227&gt;$F$85,'Instrumentos Financeiros'!C227&lt;'Instrumentos Financeiros'!$F$85+'Instrumentos Financeiros'!$F$13+1),PMT(((1+'Instrumentos Financeiros'!$Q$43)^(1/12)-1),$F$13,-$I$85),0)</f>
        <v>0</v>
      </c>
      <c r="CK227" s="1312">
        <f t="shared" si="155"/>
        <v>0</v>
      </c>
      <c r="CL227" s="1312">
        <f>CM226*((1+'Instrumentos Financeiros'!$Q$43)^(1/12)-1)</f>
        <v>0</v>
      </c>
      <c r="CM227" s="1312">
        <f t="shared" si="156"/>
        <v>0</v>
      </c>
      <c r="CN227" s="1312">
        <f>IF(AND(C227&gt;$F$86,'Instrumentos Financeiros'!C227&lt;'Instrumentos Financeiros'!$F$86+'Instrumentos Financeiros'!$F$13+1),PMT(((1+'Instrumentos Financeiros'!$Q$43)^(1/12)-1),$F$13,-$I$86),0)</f>
        <v>0</v>
      </c>
      <c r="CO227" s="1312">
        <f t="shared" si="157"/>
        <v>0</v>
      </c>
      <c r="CP227" s="1312">
        <f>CQ226*((1+'Instrumentos Financeiros'!$Q$43)^(1/12)-1)</f>
        <v>0</v>
      </c>
      <c r="CQ227" s="1312">
        <f t="shared" si="158"/>
        <v>0</v>
      </c>
      <c r="CR227" s="1312">
        <f t="shared" si="127"/>
        <v>399789.55023115332</v>
      </c>
      <c r="CS227" s="1312">
        <f t="shared" si="127"/>
        <v>229552.88090547695</v>
      </c>
      <c r="CT227" s="1312">
        <f t="shared" si="127"/>
        <v>170236.66932567631</v>
      </c>
      <c r="CU227" s="1312">
        <f t="shared" si="127"/>
        <v>39605118.088988215</v>
      </c>
    </row>
    <row r="228" spans="3:99" x14ac:dyDescent="0.35">
      <c r="C228" s="1315">
        <f t="shared" si="128"/>
        <v>135</v>
      </c>
      <c r="D228" s="1312">
        <f>IF(AND(C228&gt;$F$59,'Instrumentos Financeiros'!C228&lt;'Instrumentos Financeiros'!$F$59+'Instrumentos Financeiros'!$F$11+1),PMT(((1+'Instrumentos Financeiros'!$G$43)^(1/12)-1),$F$11,-$I$59),0)</f>
        <v>91768.589635900134</v>
      </c>
      <c r="E228" s="1312">
        <f t="shared" si="125"/>
        <v>58150.757426541488</v>
      </c>
      <c r="F228" s="1312">
        <f>G227*((1+'Instrumentos Financeiros'!$G$43)^(1/12)-1)</f>
        <v>33617.832209358647</v>
      </c>
      <c r="G228" s="1312">
        <f t="shared" si="159"/>
        <v>8177879.3007828891</v>
      </c>
      <c r="H228" s="1312">
        <f>IF(AND(C228&gt;$F$60,'Instrumentos Financeiros'!C228&lt;'Instrumentos Financeiros'!$F$60+'Instrumentos Financeiros'!$F$11+1),PMT(((1+'Instrumentos Financeiros'!$G$43)^(1/12)-1),$F$11,-$I$60),0)</f>
        <v>0</v>
      </c>
      <c r="I228" s="1312">
        <f t="shared" si="111"/>
        <v>0</v>
      </c>
      <c r="J228" s="1312">
        <f>K227*((1+'Instrumentos Financeiros'!$G$43)^(1/12)-1)</f>
        <v>0</v>
      </c>
      <c r="K228" s="1312">
        <f t="shared" si="129"/>
        <v>0</v>
      </c>
      <c r="L228" s="1312">
        <f>IF(AND(C228&gt;$F$61,'Instrumentos Financeiros'!C228&lt;'Instrumentos Financeiros'!$F$61+'Instrumentos Financeiros'!$F$11+1),PMT(((1+'Instrumentos Financeiros'!$G$43)^(1/12)-1),$F$11,-$I$61),0)</f>
        <v>0</v>
      </c>
      <c r="M228" s="1312">
        <f t="shared" si="112"/>
        <v>0</v>
      </c>
      <c r="N228" s="1312">
        <f>O227*((1+'Instrumentos Financeiros'!$G$43)^(1/12)-1)</f>
        <v>0</v>
      </c>
      <c r="O228" s="1312">
        <f t="shared" si="130"/>
        <v>0</v>
      </c>
      <c r="P228" s="1312">
        <f>IF(AND(C228&gt;$F$62,'Instrumentos Financeiros'!C228&lt;'Instrumentos Financeiros'!$F$62+'Instrumentos Financeiros'!$F$11+1),PMT(((1+'Instrumentos Financeiros'!$H$43)^(1/12)-1),$F$11,-$I$62),0)</f>
        <v>0</v>
      </c>
      <c r="Q228" s="1312">
        <f t="shared" si="113"/>
        <v>0</v>
      </c>
      <c r="R228" s="1312">
        <f>S227*((1+'Instrumentos Financeiros'!$H$43)^(1/12)-1)</f>
        <v>0</v>
      </c>
      <c r="S228" s="1312">
        <f t="shared" si="131"/>
        <v>0</v>
      </c>
      <c r="T228" s="1312">
        <f>IF(AND(C228&gt;$F$63,'Instrumentos Financeiros'!C228&lt;'Instrumentos Financeiros'!$F$63+'Instrumentos Financeiros'!$F$11+1),PMT(((1+'Instrumentos Financeiros'!$H$43)^(1/12)-1),$F$11,-$I$63),0)</f>
        <v>0</v>
      </c>
      <c r="U228" s="1312">
        <f t="shared" si="114"/>
        <v>0</v>
      </c>
      <c r="V228" s="1312">
        <f>W227*((1+'Instrumentos Financeiros'!$H$43)^(1/12)-1)</f>
        <v>0</v>
      </c>
      <c r="W228" s="1312">
        <f t="shared" si="132"/>
        <v>0</v>
      </c>
      <c r="X228" s="1312">
        <f>IF(AND(C228&gt;$F$64,'Instrumentos Financeiros'!C228&lt;'Instrumentos Financeiros'!$F$64+'Instrumentos Financeiros'!$F$11+1),PMT(((1+'Instrumentos Financeiros'!$H$43)^(1/12)-1),$F$11,-$I$64),0)</f>
        <v>0</v>
      </c>
      <c r="Y228" s="1312">
        <f t="shared" si="115"/>
        <v>0</v>
      </c>
      <c r="Z228" s="1312">
        <f>AA227*((1+'Instrumentos Financeiros'!$H$43)^(1/12)-1)</f>
        <v>0</v>
      </c>
      <c r="AA228" s="1312">
        <f t="shared" si="133"/>
        <v>0</v>
      </c>
      <c r="AB228" s="1312">
        <f>IF(AND(C228&gt;$F$65,'Instrumentos Financeiros'!C228&lt;'Instrumentos Financeiros'!$F$65+'Instrumentos Financeiros'!$F$11+1),PMT(((1+'Instrumentos Financeiros'!$H$43)^(1/12)-1),$F$11,-$I$65),0)</f>
        <v>76636.661022032335</v>
      </c>
      <c r="AC228" s="1312">
        <f t="shared" si="116"/>
        <v>43735.755847679509</v>
      </c>
      <c r="AD228" s="1312">
        <f>AE227*((1+'Instrumentos Financeiros'!$H$43)^(1/12)-1)</f>
        <v>32900.905174352825</v>
      </c>
      <c r="AE228" s="1312">
        <f t="shared" si="134"/>
        <v>7565150.2289896393</v>
      </c>
      <c r="AF228" s="1312">
        <f>IF(AND(C228&gt;$F$66,'Instrumentos Financeiros'!C228&lt;'Instrumentos Financeiros'!$F$66+'Instrumentos Financeiros'!$F$11+1),PMT(((1+'Instrumentos Financeiros'!$I$43)^(1/12)-1),$F$11,-$I$66),0)</f>
        <v>76636.661022032335</v>
      </c>
      <c r="AG228" s="1312">
        <f t="shared" si="117"/>
        <v>43173.285457763079</v>
      </c>
      <c r="AH228" s="1312">
        <f>AI227*((1+'Instrumentos Financeiros'!$I$43)^(1/12)-1)</f>
        <v>33463.375564269256</v>
      </c>
      <c r="AI228" s="1312">
        <f t="shared" si="135"/>
        <v>7695793.4082245305</v>
      </c>
      <c r="AJ228" s="1312">
        <f>IF(AND(C228&gt;$F$67,'Instrumentos Financeiros'!C228&lt;'Instrumentos Financeiros'!$F$67+'Instrumentos Financeiros'!$F$11+1),PMT(((1+'Instrumentos Financeiros'!$I$43)^(1/12)-1),$F$11,-$I$67),0)</f>
        <v>76636.661022032335</v>
      </c>
      <c r="AK228" s="1312">
        <f t="shared" si="118"/>
        <v>42618.04880448617</v>
      </c>
      <c r="AL228" s="1312">
        <f>AM227*((1+'Instrumentos Financeiros'!$I$43)^(1/12)-1)</f>
        <v>34018.612217546164</v>
      </c>
      <c r="AM228" s="1312">
        <f t="shared" si="136"/>
        <v>7824756.430833797</v>
      </c>
      <c r="AN228" s="1312">
        <f>IF(AND(C228&gt;$F$68,'Instrumentos Financeiros'!C228&lt;'Instrumentos Financeiros'!$F$68+'Instrumentos Financeiros'!$F$11+1),PMT(((1+'Instrumentos Financeiros'!$I$43)^(1/12)-1),$F$11,-$I$68),0)</f>
        <v>76636.661022032335</v>
      </c>
      <c r="AO228" s="1312">
        <f t="shared" si="119"/>
        <v>42069.952857270284</v>
      </c>
      <c r="AP228" s="1312">
        <f>AQ227*((1+'Instrumentos Financeiros'!$I$43)^(1/12)-1)</f>
        <v>34566.708164762051</v>
      </c>
      <c r="AQ228" s="1312">
        <f t="shared" si="137"/>
        <v>7952060.9047291819</v>
      </c>
      <c r="AR228" s="1312">
        <f>IF(AND(C228&gt;$F$69,'Instrumentos Financeiros'!C228&lt;'Instrumentos Financeiros'!$F$69+'Instrumentos Financeiros'!$F$11+1),PMT(((1+'Instrumentos Financeiros'!$I$43)^(1/12)-1),$F$11,-$I$69),0)</f>
        <v>0</v>
      </c>
      <c r="AS228" s="1312">
        <f t="shared" si="120"/>
        <v>0</v>
      </c>
      <c r="AT228" s="1312">
        <f>AU227*((1+'Instrumentos Financeiros'!$I$43)^(1/12)-1)</f>
        <v>0</v>
      </c>
      <c r="AU228" s="1312">
        <f t="shared" si="138"/>
        <v>0</v>
      </c>
      <c r="AV228" s="1312">
        <f>IF(AND(C228&gt;$F$70,'Instrumentos Financeiros'!C228&lt;'Instrumentos Financeiros'!$F$70+'Instrumentos Financeiros'!$F$11+1),PMT(((1+'Instrumentos Financeiros'!$J$43)^(1/12)-1),$F$11,-$I$70),0)</f>
        <v>0</v>
      </c>
      <c r="AW228" s="1312">
        <f t="shared" si="121"/>
        <v>0</v>
      </c>
      <c r="AX228" s="1312">
        <f>AY227*((1+'Instrumentos Financeiros'!$J$43)^(1/12)-1)</f>
        <v>0</v>
      </c>
      <c r="AY228" s="1312">
        <f t="shared" si="139"/>
        <v>0</v>
      </c>
      <c r="AZ228" s="1312">
        <f>IF(AND(C228&gt;$F$71,'Instrumentos Financeiros'!C228&lt;'Instrumentos Financeiros'!$F$71+'Instrumentos Financeiros'!$F$11+1),PMT(((1+'Instrumentos Financeiros'!$J$43)^(1/12)-1),$F$11,-$I$71),0)</f>
        <v>0</v>
      </c>
      <c r="BA228" s="1312">
        <f t="shared" si="122"/>
        <v>0</v>
      </c>
      <c r="BB228" s="1312">
        <f>BC227*((1+'Instrumentos Financeiros'!$J$43)^(1/12)-1)</f>
        <v>0</v>
      </c>
      <c r="BC228" s="1312">
        <f t="shared" si="140"/>
        <v>0</v>
      </c>
      <c r="BD228" s="1312">
        <f>IF(AND(C228&gt;$F$72,'Instrumentos Financeiros'!C228&lt;'Instrumentos Financeiros'!$F$72+'Instrumentos Financeiros'!$F$11+1),PMT(((1+'Instrumentos Financeiros'!$J$43)^(1/12)-1),$F$11,-'Instrumentos Financeiros'!$G$7*$G$72),0)</f>
        <v>0</v>
      </c>
      <c r="BE228" s="1312">
        <f t="shared" si="123"/>
        <v>0</v>
      </c>
      <c r="BF228" s="1312">
        <f>BG227*((1+'Instrumentos Financeiros'!$J$43)^(1/12)-1)</f>
        <v>0</v>
      </c>
      <c r="BG228" s="1312">
        <f t="shared" si="141"/>
        <v>0</v>
      </c>
      <c r="BH228" s="1312">
        <f>IF(AND(C228&gt;$F$73,'Instrumentos Financeiros'!C228&lt;'Instrumentos Financeiros'!$F$73+'Instrumentos Financeiros'!$F$11+1),PMT(((1+'Instrumentos Financeiros'!$J$43)^(1/12)-1),$F$11,-$I$73),0)</f>
        <v>0</v>
      </c>
      <c r="BI228" s="1312">
        <f t="shared" si="124"/>
        <v>0</v>
      </c>
      <c r="BJ228" s="1312">
        <f>BK227*((1+'Instrumentos Financeiros'!$J$43)^(1/12)-1)</f>
        <v>0</v>
      </c>
      <c r="BK228" s="1312">
        <f t="shared" si="142"/>
        <v>0</v>
      </c>
      <c r="BL228" s="1312">
        <f>IF(AND(C228&gt;$F$77,'Instrumentos Financeiros'!C228&lt;'Instrumentos Financeiros'!$F$77+'Instrumentos Financeiros'!$F$12+1),PMT(((1+'Instrumentos Financeiros'!$K$43)^(1/12)-1),$F$12,-$I$77),0)</f>
        <v>368.57912678094596</v>
      </c>
      <c r="BM228" s="1312">
        <f t="shared" si="143"/>
        <v>199.7306201125657</v>
      </c>
      <c r="BN228" s="1312">
        <f>BO227*((1+'Instrumentos Financeiros'!$K$43)^(1/12)-1)</f>
        <v>168.84850666838025</v>
      </c>
      <c r="BO228" s="1312">
        <f t="shared" si="144"/>
        <v>38849.317700638399</v>
      </c>
      <c r="BP228" s="1312">
        <f>IF(AND(C228&gt;$F$78,'Instrumentos Financeiros'!C228&lt;'Instrumentos Financeiros'!$F$78+'Instrumentos Financeiros'!$F$12+1),PMT(((1+'Instrumentos Financeiros'!$L$43)^(1/12)-1),$F$12,-$I$78),0)</f>
        <v>368.57912678094596</v>
      </c>
      <c r="BQ228" s="1312">
        <f t="shared" si="145"/>
        <v>197.16195386693761</v>
      </c>
      <c r="BR228" s="1312">
        <f>BS227*((1+'Instrumentos Financeiros'!$L$43)^(1/12)-1)</f>
        <v>171.41717291400835</v>
      </c>
      <c r="BS228" s="1312">
        <f t="shared" si="146"/>
        <v>39445.933506089183</v>
      </c>
      <c r="BT228" s="1312">
        <f>IF(AND(C228&gt;$F$79,'Instrumentos Financeiros'!C228&lt;'Instrumentos Financeiros'!$F$79+'Instrumentos Financeiros'!$F$12+1),PMT(((1+'Instrumentos Financeiros'!$L$43)^(1/12)-1),$F$12,-$I$79),0)</f>
        <v>368.57912678094596</v>
      </c>
      <c r="BU228" s="1312">
        <f t="shared" si="147"/>
        <v>194.62632234717032</v>
      </c>
      <c r="BV228" s="1312">
        <f>BW227*((1+'Instrumentos Financeiros'!$L$43)^(1/12)-1)</f>
        <v>173.95280443377564</v>
      </c>
      <c r="BW228" s="1312">
        <f t="shared" si="148"/>
        <v>40034.8764425517</v>
      </c>
      <c r="BX228" s="1312">
        <f>IF(AND(C228&gt;$F$80,'Instrumentos Financeiros'!C228&lt;'Instrumentos Financeiros'!$F$80+'Instrumentos Financeiros'!$F$12+1),PMT(((1+'Instrumentos Financeiros'!$L$43)^(1/12)-1),$F$12,-$I$80),0)</f>
        <v>368.57912678094596</v>
      </c>
      <c r="BY228" s="1312">
        <f t="shared" si="149"/>
        <v>192.12330070510984</v>
      </c>
      <c r="BZ228" s="1312">
        <f>CA227*((1+'Instrumentos Financeiros'!$L$43)^(1/12)-1)</f>
        <v>176.45582607583611</v>
      </c>
      <c r="CA228" s="1312">
        <f t="shared" si="150"/>
        <v>40616.245188133311</v>
      </c>
      <c r="CB228" s="1312">
        <f>IF(AND(C228&gt;$F$83,'Instrumentos Financeiros'!C228&lt;'Instrumentos Financeiros'!$F$83+'Instrumentos Financeiros'!$F$13+1),PMT(((1+'Instrumentos Financeiros'!$P$43)^(1/12)-1),$F$13,-$I$83),0)</f>
        <v>0</v>
      </c>
      <c r="CC228" s="1312">
        <f t="shared" si="151"/>
        <v>0</v>
      </c>
      <c r="CD228" s="1312">
        <f>CE227*((1+'Instrumentos Financeiros'!$P$43)^(1/12)-1)</f>
        <v>0</v>
      </c>
      <c r="CE228" s="1312">
        <f t="shared" si="152"/>
        <v>0</v>
      </c>
      <c r="CF228" s="1312">
        <f>IF(AND(C228&gt;$F$84,'Instrumentos Financeiros'!C228&lt;'Instrumentos Financeiros'!$F$84+'Instrumentos Financeiros'!$F$13+1),PMT(((1+'Instrumentos Financeiros'!$Q$43)^(1/12)-1),$F$13,-$I$84),0)</f>
        <v>0</v>
      </c>
      <c r="CG228" s="1312">
        <f t="shared" si="153"/>
        <v>0</v>
      </c>
      <c r="CH228" s="1312">
        <f>CI227*((1+'Instrumentos Financeiros'!$Q$43)^(1/12)-1)</f>
        <v>0</v>
      </c>
      <c r="CI228" s="1312">
        <f t="shared" si="154"/>
        <v>0</v>
      </c>
      <c r="CJ228" s="1312">
        <f>IF(AND(C228&gt;$F$85,'Instrumentos Financeiros'!C228&lt;'Instrumentos Financeiros'!$F$85+'Instrumentos Financeiros'!$F$13+1),PMT(((1+'Instrumentos Financeiros'!$Q$43)^(1/12)-1),$F$13,-$I$85),0)</f>
        <v>0</v>
      </c>
      <c r="CK228" s="1312">
        <f t="shared" si="155"/>
        <v>0</v>
      </c>
      <c r="CL228" s="1312">
        <f>CM227*((1+'Instrumentos Financeiros'!$Q$43)^(1/12)-1)</f>
        <v>0</v>
      </c>
      <c r="CM228" s="1312">
        <f t="shared" si="156"/>
        <v>0</v>
      </c>
      <c r="CN228" s="1312">
        <f>IF(AND(C228&gt;$F$86,'Instrumentos Financeiros'!C228&lt;'Instrumentos Financeiros'!$F$86+'Instrumentos Financeiros'!$F$13+1),PMT(((1+'Instrumentos Financeiros'!$Q$43)^(1/12)-1),$F$13,-$I$86),0)</f>
        <v>0</v>
      </c>
      <c r="CO228" s="1312">
        <f t="shared" si="157"/>
        <v>0</v>
      </c>
      <c r="CP228" s="1312">
        <f>CQ227*((1+'Instrumentos Financeiros'!$Q$43)^(1/12)-1)</f>
        <v>0</v>
      </c>
      <c r="CQ228" s="1312">
        <f t="shared" si="158"/>
        <v>0</v>
      </c>
      <c r="CR228" s="1312">
        <f t="shared" si="127"/>
        <v>399789.55023115332</v>
      </c>
      <c r="CS228" s="1312">
        <f t="shared" si="127"/>
        <v>230531.44259077232</v>
      </c>
      <c r="CT228" s="1312">
        <f t="shared" si="127"/>
        <v>169258.10764038097</v>
      </c>
      <c r="CU228" s="1312">
        <f t="shared" si="127"/>
        <v>39374586.646397449</v>
      </c>
    </row>
    <row r="229" spans="3:99" x14ac:dyDescent="0.35">
      <c r="C229" s="1315">
        <f t="shared" si="128"/>
        <v>136</v>
      </c>
      <c r="D229" s="1312">
        <f>IF(AND(C229&gt;$F$59,'Instrumentos Financeiros'!C229&lt;'Instrumentos Financeiros'!$F$59+'Instrumentos Financeiros'!$F$11+1),PMT(((1+'Instrumentos Financeiros'!$G$43)^(1/12)-1),$F$11,-$I$59),0)</f>
        <v>91768.589635900134</v>
      </c>
      <c r="E229" s="1312">
        <f t="shared" si="125"/>
        <v>58388.117221515036</v>
      </c>
      <c r="F229" s="1312">
        <f>G228*((1+'Instrumentos Financeiros'!$G$43)^(1/12)-1)</f>
        <v>33380.472414385098</v>
      </c>
      <c r="G229" s="1312">
        <f t="shared" si="159"/>
        <v>8119491.1835613744</v>
      </c>
      <c r="H229" s="1312">
        <f>IF(AND(C229&gt;$F$60,'Instrumentos Financeiros'!C229&lt;'Instrumentos Financeiros'!$F$60+'Instrumentos Financeiros'!$F$11+1),PMT(((1+'Instrumentos Financeiros'!$G$43)^(1/12)-1),$F$11,-$I$60),0)</f>
        <v>0</v>
      </c>
      <c r="I229" s="1312">
        <f t="shared" si="111"/>
        <v>0</v>
      </c>
      <c r="J229" s="1312">
        <f>K228*((1+'Instrumentos Financeiros'!$G$43)^(1/12)-1)</f>
        <v>0</v>
      </c>
      <c r="K229" s="1312">
        <f t="shared" si="129"/>
        <v>0</v>
      </c>
      <c r="L229" s="1312">
        <f>IF(AND(C229&gt;$F$61,'Instrumentos Financeiros'!C229&lt;'Instrumentos Financeiros'!$F$61+'Instrumentos Financeiros'!$F$11+1),PMT(((1+'Instrumentos Financeiros'!$G$43)^(1/12)-1),$F$11,-$I$61),0)</f>
        <v>0</v>
      </c>
      <c r="M229" s="1312">
        <f t="shared" si="112"/>
        <v>0</v>
      </c>
      <c r="N229" s="1312">
        <f>O228*((1+'Instrumentos Financeiros'!$G$43)^(1/12)-1)</f>
        <v>0</v>
      </c>
      <c r="O229" s="1312">
        <f t="shared" si="130"/>
        <v>0</v>
      </c>
      <c r="P229" s="1312">
        <f>IF(AND(C229&gt;$F$62,'Instrumentos Financeiros'!C229&lt;'Instrumentos Financeiros'!$F$62+'Instrumentos Financeiros'!$F$11+1),PMT(((1+'Instrumentos Financeiros'!$H$43)^(1/12)-1),$F$11,-$I$62),0)</f>
        <v>0</v>
      </c>
      <c r="Q229" s="1312">
        <f t="shared" si="113"/>
        <v>0</v>
      </c>
      <c r="R229" s="1312">
        <f>S228*((1+'Instrumentos Financeiros'!$H$43)^(1/12)-1)</f>
        <v>0</v>
      </c>
      <c r="S229" s="1312">
        <f t="shared" si="131"/>
        <v>0</v>
      </c>
      <c r="T229" s="1312">
        <f>IF(AND(C229&gt;$F$63,'Instrumentos Financeiros'!C229&lt;'Instrumentos Financeiros'!$F$63+'Instrumentos Financeiros'!$F$11+1),PMT(((1+'Instrumentos Financeiros'!$H$43)^(1/12)-1),$F$11,-$I$63),0)</f>
        <v>0</v>
      </c>
      <c r="U229" s="1312">
        <f t="shared" si="114"/>
        <v>0</v>
      </c>
      <c r="V229" s="1312">
        <f>W228*((1+'Instrumentos Financeiros'!$H$43)^(1/12)-1)</f>
        <v>0</v>
      </c>
      <c r="W229" s="1312">
        <f t="shared" si="132"/>
        <v>0</v>
      </c>
      <c r="X229" s="1312">
        <f>IF(AND(C229&gt;$F$64,'Instrumentos Financeiros'!C229&lt;'Instrumentos Financeiros'!$F$64+'Instrumentos Financeiros'!$F$11+1),PMT(((1+'Instrumentos Financeiros'!$H$43)^(1/12)-1),$F$11,-$I$64),0)</f>
        <v>0</v>
      </c>
      <c r="Y229" s="1312">
        <f t="shared" si="115"/>
        <v>0</v>
      </c>
      <c r="Z229" s="1312">
        <f>AA228*((1+'Instrumentos Financeiros'!$H$43)^(1/12)-1)</f>
        <v>0</v>
      </c>
      <c r="AA229" s="1312">
        <f t="shared" si="133"/>
        <v>0</v>
      </c>
      <c r="AB229" s="1312">
        <f>IF(AND(C229&gt;$F$65,'Instrumentos Financeiros'!C229&lt;'Instrumentos Financeiros'!$F$65+'Instrumentos Financeiros'!$F$11+1),PMT(((1+'Instrumentos Financeiros'!$H$43)^(1/12)-1),$F$11,-$I$65),0)</f>
        <v>76636.661022032335</v>
      </c>
      <c r="AC229" s="1312">
        <f t="shared" si="116"/>
        <v>43924.869728310732</v>
      </c>
      <c r="AD229" s="1312">
        <f>AE228*((1+'Instrumentos Financeiros'!$H$43)^(1/12)-1)</f>
        <v>32711.791293721599</v>
      </c>
      <c r="AE229" s="1312">
        <f t="shared" si="134"/>
        <v>7521225.3592613284</v>
      </c>
      <c r="AF229" s="1312">
        <f>IF(AND(C229&gt;$F$66,'Instrumentos Financeiros'!C229&lt;'Instrumentos Financeiros'!$F$66+'Instrumentos Financeiros'!$F$11+1),PMT(((1+'Instrumentos Financeiros'!$I$43)^(1/12)-1),$F$11,-$I$66),0)</f>
        <v>76636.661022032335</v>
      </c>
      <c r="AG229" s="1312">
        <f t="shared" si="117"/>
        <v>43359.967210353629</v>
      </c>
      <c r="AH229" s="1312">
        <f>AI228*((1+'Instrumentos Financeiros'!$I$43)^(1/12)-1)</f>
        <v>33276.693811678706</v>
      </c>
      <c r="AI229" s="1312">
        <f t="shared" si="135"/>
        <v>7652433.4410141772</v>
      </c>
      <c r="AJ229" s="1312">
        <f>IF(AND(C229&gt;$F$67,'Instrumentos Financeiros'!C229&lt;'Instrumentos Financeiros'!$F$67+'Instrumentos Financeiros'!$F$11+1),PMT(((1+'Instrumentos Financeiros'!$I$43)^(1/12)-1),$F$11,-$I$67),0)</f>
        <v>76636.661022032335</v>
      </c>
      <c r="AK229" s="1312">
        <f t="shared" si="118"/>
        <v>42802.329707791403</v>
      </c>
      <c r="AL229" s="1312">
        <f>AM228*((1+'Instrumentos Financeiros'!$I$43)^(1/12)-1)</f>
        <v>33834.331314240932</v>
      </c>
      <c r="AM229" s="1312">
        <f t="shared" si="136"/>
        <v>7781954.1011260059</v>
      </c>
      <c r="AN229" s="1312">
        <f>IF(AND(C229&gt;$F$68,'Instrumentos Financeiros'!C229&lt;'Instrumentos Financeiros'!$F$68+'Instrumentos Financeiros'!$F$11+1),PMT(((1+'Instrumentos Financeiros'!$I$43)^(1/12)-1),$F$11,-$I$68),0)</f>
        <v>76636.661022032335</v>
      </c>
      <c r="AO229" s="1312">
        <f t="shared" si="119"/>
        <v>42251.863787780319</v>
      </c>
      <c r="AP229" s="1312">
        <f>AQ228*((1+'Instrumentos Financeiros'!$I$43)^(1/12)-1)</f>
        <v>34384.797234252015</v>
      </c>
      <c r="AQ229" s="1312">
        <f t="shared" si="137"/>
        <v>7909809.0409414014</v>
      </c>
      <c r="AR229" s="1312">
        <f>IF(AND(C229&gt;$F$69,'Instrumentos Financeiros'!C229&lt;'Instrumentos Financeiros'!$F$69+'Instrumentos Financeiros'!$F$11+1),PMT(((1+'Instrumentos Financeiros'!$I$43)^(1/12)-1),$F$11,-$I$69),0)</f>
        <v>0</v>
      </c>
      <c r="AS229" s="1312">
        <f t="shared" si="120"/>
        <v>0</v>
      </c>
      <c r="AT229" s="1312">
        <f>AU228*((1+'Instrumentos Financeiros'!$I$43)^(1/12)-1)</f>
        <v>0</v>
      </c>
      <c r="AU229" s="1312">
        <f t="shared" si="138"/>
        <v>0</v>
      </c>
      <c r="AV229" s="1312">
        <f>IF(AND(C229&gt;$F$70,'Instrumentos Financeiros'!C229&lt;'Instrumentos Financeiros'!$F$70+'Instrumentos Financeiros'!$F$11+1),PMT(((1+'Instrumentos Financeiros'!$J$43)^(1/12)-1),$F$11,-$I$70),0)</f>
        <v>0</v>
      </c>
      <c r="AW229" s="1312">
        <f t="shared" si="121"/>
        <v>0</v>
      </c>
      <c r="AX229" s="1312">
        <f>AY228*((1+'Instrumentos Financeiros'!$J$43)^(1/12)-1)</f>
        <v>0</v>
      </c>
      <c r="AY229" s="1312">
        <f t="shared" si="139"/>
        <v>0</v>
      </c>
      <c r="AZ229" s="1312">
        <f>IF(AND(C229&gt;$F$71,'Instrumentos Financeiros'!C229&lt;'Instrumentos Financeiros'!$F$71+'Instrumentos Financeiros'!$F$11+1),PMT(((1+'Instrumentos Financeiros'!$J$43)^(1/12)-1),$F$11,-$I$71),0)</f>
        <v>0</v>
      </c>
      <c r="BA229" s="1312">
        <f t="shared" si="122"/>
        <v>0</v>
      </c>
      <c r="BB229" s="1312">
        <f>BC228*((1+'Instrumentos Financeiros'!$J$43)^(1/12)-1)</f>
        <v>0</v>
      </c>
      <c r="BC229" s="1312">
        <f t="shared" si="140"/>
        <v>0</v>
      </c>
      <c r="BD229" s="1312">
        <f>IF(AND(C229&gt;$F$72,'Instrumentos Financeiros'!C229&lt;'Instrumentos Financeiros'!$F$72+'Instrumentos Financeiros'!$F$11+1),PMT(((1+'Instrumentos Financeiros'!$J$43)^(1/12)-1),$F$11,-'Instrumentos Financeiros'!$G$7*$G$72),0)</f>
        <v>0</v>
      </c>
      <c r="BE229" s="1312">
        <f t="shared" si="123"/>
        <v>0</v>
      </c>
      <c r="BF229" s="1312">
        <f>BG228*((1+'Instrumentos Financeiros'!$J$43)^(1/12)-1)</f>
        <v>0</v>
      </c>
      <c r="BG229" s="1312">
        <f t="shared" si="141"/>
        <v>0</v>
      </c>
      <c r="BH229" s="1312">
        <f>IF(AND(C229&gt;$F$73,'Instrumentos Financeiros'!C229&lt;'Instrumentos Financeiros'!$F$73+'Instrumentos Financeiros'!$F$11+1),PMT(((1+'Instrumentos Financeiros'!$J$43)^(1/12)-1),$F$11,-$I$73),0)</f>
        <v>0</v>
      </c>
      <c r="BI229" s="1312">
        <f t="shared" si="124"/>
        <v>0</v>
      </c>
      <c r="BJ229" s="1312">
        <f>BK228*((1+'Instrumentos Financeiros'!$J$43)^(1/12)-1)</f>
        <v>0</v>
      </c>
      <c r="BK229" s="1312">
        <f t="shared" si="142"/>
        <v>0</v>
      </c>
      <c r="BL229" s="1312">
        <f>IF(AND(C229&gt;$F$77,'Instrumentos Financeiros'!C229&lt;'Instrumentos Financeiros'!$F$77+'Instrumentos Financeiros'!$F$12+1),PMT(((1+'Instrumentos Financeiros'!$K$43)^(1/12)-1),$F$12,-$I$77),0)</f>
        <v>368.57912678094596</v>
      </c>
      <c r="BM229" s="1312">
        <f t="shared" si="143"/>
        <v>200.59425747102176</v>
      </c>
      <c r="BN229" s="1312">
        <f>BO228*((1+'Instrumentos Financeiros'!$K$43)^(1/12)-1)</f>
        <v>167.98486930992419</v>
      </c>
      <c r="BO229" s="1312">
        <f t="shared" si="144"/>
        <v>38648.723443167379</v>
      </c>
      <c r="BP229" s="1312">
        <f>IF(AND(C229&gt;$F$78,'Instrumentos Financeiros'!C229&lt;'Instrumentos Financeiros'!$F$78+'Instrumentos Financeiros'!$F$12+1),PMT(((1+'Instrumentos Financeiros'!$L$43)^(1/12)-1),$F$12,-$I$78),0)</f>
        <v>368.57912678094596</v>
      </c>
      <c r="BQ229" s="1312">
        <f t="shared" si="145"/>
        <v>198.014484284806</v>
      </c>
      <c r="BR229" s="1312">
        <f>BS228*((1+'Instrumentos Financeiros'!$L$43)^(1/12)-1)</f>
        <v>170.56464249613995</v>
      </c>
      <c r="BS229" s="1312">
        <f t="shared" si="146"/>
        <v>39247.919021804373</v>
      </c>
      <c r="BT229" s="1312">
        <f>IF(AND(C229&gt;$F$79,'Instrumentos Financeiros'!C229&lt;'Instrumentos Financeiros'!$F$79+'Instrumentos Financeiros'!$F$12+1),PMT(((1+'Instrumentos Financeiros'!$L$43)^(1/12)-1),$F$12,-$I$79),0)</f>
        <v>368.57912678094596</v>
      </c>
      <c r="BU229" s="1312">
        <f t="shared" si="147"/>
        <v>195.46788866696241</v>
      </c>
      <c r="BV229" s="1312">
        <f>BW228*((1+'Instrumentos Financeiros'!$L$43)^(1/12)-1)</f>
        <v>173.11123811398355</v>
      </c>
      <c r="BW229" s="1312">
        <f t="shared" si="148"/>
        <v>39839.408553884736</v>
      </c>
      <c r="BX229" s="1312">
        <f>IF(AND(C229&gt;$F$80,'Instrumentos Financeiros'!C229&lt;'Instrumentos Financeiros'!$F$80+'Instrumentos Financeiros'!$F$12+1),PMT(((1+'Instrumentos Financeiros'!$L$43)^(1/12)-1),$F$12,-$I$80),0)</f>
        <v>368.57912678094596</v>
      </c>
      <c r="BY229" s="1312">
        <f t="shared" si="149"/>
        <v>192.95404393228907</v>
      </c>
      <c r="BZ229" s="1312">
        <f>CA228*((1+'Instrumentos Financeiros'!$L$43)^(1/12)-1)</f>
        <v>175.62508284865689</v>
      </c>
      <c r="CA229" s="1312">
        <f t="shared" si="150"/>
        <v>40423.291144201023</v>
      </c>
      <c r="CB229" s="1312">
        <f>IF(AND(C229&gt;$F$83,'Instrumentos Financeiros'!C229&lt;'Instrumentos Financeiros'!$F$83+'Instrumentos Financeiros'!$F$13+1),PMT(((1+'Instrumentos Financeiros'!$P$43)^(1/12)-1),$F$13,-$I$83),0)</f>
        <v>0</v>
      </c>
      <c r="CC229" s="1312">
        <f t="shared" si="151"/>
        <v>0</v>
      </c>
      <c r="CD229" s="1312">
        <f>CE228*((1+'Instrumentos Financeiros'!$P$43)^(1/12)-1)</f>
        <v>0</v>
      </c>
      <c r="CE229" s="1312">
        <f t="shared" si="152"/>
        <v>0</v>
      </c>
      <c r="CF229" s="1312">
        <f>IF(AND(C229&gt;$F$84,'Instrumentos Financeiros'!C229&lt;'Instrumentos Financeiros'!$F$84+'Instrumentos Financeiros'!$F$13+1),PMT(((1+'Instrumentos Financeiros'!$Q$43)^(1/12)-1),$F$13,-$I$84),0)</f>
        <v>0</v>
      </c>
      <c r="CG229" s="1312">
        <f t="shared" si="153"/>
        <v>0</v>
      </c>
      <c r="CH229" s="1312">
        <f>CI228*((1+'Instrumentos Financeiros'!$Q$43)^(1/12)-1)</f>
        <v>0</v>
      </c>
      <c r="CI229" s="1312">
        <f t="shared" si="154"/>
        <v>0</v>
      </c>
      <c r="CJ229" s="1312">
        <f>IF(AND(C229&gt;$F$85,'Instrumentos Financeiros'!C229&lt;'Instrumentos Financeiros'!$F$85+'Instrumentos Financeiros'!$F$13+1),PMT(((1+'Instrumentos Financeiros'!$Q$43)^(1/12)-1),$F$13,-$I$85),0)</f>
        <v>0</v>
      </c>
      <c r="CK229" s="1312">
        <f t="shared" si="155"/>
        <v>0</v>
      </c>
      <c r="CL229" s="1312">
        <f>CM228*((1+'Instrumentos Financeiros'!$Q$43)^(1/12)-1)</f>
        <v>0</v>
      </c>
      <c r="CM229" s="1312">
        <f t="shared" si="156"/>
        <v>0</v>
      </c>
      <c r="CN229" s="1312">
        <f>IF(AND(C229&gt;$F$86,'Instrumentos Financeiros'!C229&lt;'Instrumentos Financeiros'!$F$86+'Instrumentos Financeiros'!$F$13+1),PMT(((1+'Instrumentos Financeiros'!$Q$43)^(1/12)-1),$F$13,-$I$86),0)</f>
        <v>0</v>
      </c>
      <c r="CO229" s="1312">
        <f t="shared" si="157"/>
        <v>0</v>
      </c>
      <c r="CP229" s="1312">
        <f>CQ228*((1+'Instrumentos Financeiros'!$Q$43)^(1/12)-1)</f>
        <v>0</v>
      </c>
      <c r="CQ229" s="1312">
        <f t="shared" si="158"/>
        <v>0</v>
      </c>
      <c r="CR229" s="1312">
        <f t="shared" si="127"/>
        <v>399789.55023115332</v>
      </c>
      <c r="CS229" s="1312">
        <f t="shared" si="127"/>
        <v>231514.1783301062</v>
      </c>
      <c r="CT229" s="1312">
        <f t="shared" si="127"/>
        <v>168275.37190104704</v>
      </c>
      <c r="CU229" s="1312">
        <f t="shared" si="127"/>
        <v>39143072.468067348</v>
      </c>
    </row>
    <row r="230" spans="3:99" x14ac:dyDescent="0.35">
      <c r="C230" s="1315">
        <f t="shared" si="128"/>
        <v>137</v>
      </c>
      <c r="D230" s="1312">
        <f>IF(AND(C230&gt;$F$59,'Instrumentos Financeiros'!C230&lt;'Instrumentos Financeiros'!$F$59+'Instrumentos Financeiros'!$F$11+1),PMT(((1+'Instrumentos Financeiros'!$G$43)^(1/12)-1),$F$11,-$I$59),0)</f>
        <v>91768.589635900134</v>
      </c>
      <c r="E230" s="1312">
        <f t="shared" si="125"/>
        <v>58626.445871835676</v>
      </c>
      <c r="F230" s="1312">
        <f>G229*((1+'Instrumentos Financeiros'!$G$43)^(1/12)-1)</f>
        <v>33142.143764064458</v>
      </c>
      <c r="G230" s="1312">
        <f t="shared" si="159"/>
        <v>8060864.7376895389</v>
      </c>
      <c r="H230" s="1312">
        <f>IF(AND(C230&gt;$F$60,'Instrumentos Financeiros'!C230&lt;'Instrumentos Financeiros'!$F$60+'Instrumentos Financeiros'!$F$11+1),PMT(((1+'Instrumentos Financeiros'!$G$43)^(1/12)-1),$F$11,-$I$60),0)</f>
        <v>0</v>
      </c>
      <c r="I230" s="1312">
        <f t="shared" ref="I230:I279" si="160">H230-J230</f>
        <v>0</v>
      </c>
      <c r="J230" s="1312">
        <f>K229*((1+'Instrumentos Financeiros'!$G$43)^(1/12)-1)</f>
        <v>0</v>
      </c>
      <c r="K230" s="1312">
        <f t="shared" si="129"/>
        <v>0</v>
      </c>
      <c r="L230" s="1312">
        <f>IF(AND(C230&gt;$F$61,'Instrumentos Financeiros'!C230&lt;'Instrumentos Financeiros'!$F$61+'Instrumentos Financeiros'!$F$11+1),PMT(((1+'Instrumentos Financeiros'!$G$43)^(1/12)-1),$F$11,-$I$61),0)</f>
        <v>0</v>
      </c>
      <c r="M230" s="1312">
        <f t="shared" ref="M230:M279" si="161">L230-N230</f>
        <v>0</v>
      </c>
      <c r="N230" s="1312">
        <f>O229*((1+'Instrumentos Financeiros'!$G$43)^(1/12)-1)</f>
        <v>0</v>
      </c>
      <c r="O230" s="1312">
        <f t="shared" si="130"/>
        <v>0</v>
      </c>
      <c r="P230" s="1312">
        <f>IF(AND(C230&gt;$F$62,'Instrumentos Financeiros'!C230&lt;'Instrumentos Financeiros'!$F$62+'Instrumentos Financeiros'!$F$11+1),PMT(((1+'Instrumentos Financeiros'!$H$43)^(1/12)-1),$F$11,-$I$62),0)</f>
        <v>0</v>
      </c>
      <c r="Q230" s="1312">
        <f t="shared" ref="Q230:Q279" si="162">P230-R230</f>
        <v>0</v>
      </c>
      <c r="R230" s="1312">
        <f>S229*((1+'Instrumentos Financeiros'!$H$43)^(1/12)-1)</f>
        <v>0</v>
      </c>
      <c r="S230" s="1312">
        <f t="shared" si="131"/>
        <v>0</v>
      </c>
      <c r="T230" s="1312">
        <f>IF(AND(C230&gt;$F$63,'Instrumentos Financeiros'!C230&lt;'Instrumentos Financeiros'!$F$63+'Instrumentos Financeiros'!$F$11+1),PMT(((1+'Instrumentos Financeiros'!$H$43)^(1/12)-1),$F$11,-$I$63),0)</f>
        <v>0</v>
      </c>
      <c r="U230" s="1312">
        <f t="shared" ref="U230:U279" si="163">T230-V230</f>
        <v>0</v>
      </c>
      <c r="V230" s="1312">
        <f>W229*((1+'Instrumentos Financeiros'!$H$43)^(1/12)-1)</f>
        <v>0</v>
      </c>
      <c r="W230" s="1312">
        <f t="shared" si="132"/>
        <v>0</v>
      </c>
      <c r="X230" s="1312">
        <f>IF(AND(C230&gt;$F$64,'Instrumentos Financeiros'!C230&lt;'Instrumentos Financeiros'!$F$64+'Instrumentos Financeiros'!$F$11+1),PMT(((1+'Instrumentos Financeiros'!$H$43)^(1/12)-1),$F$11,-$I$64),0)</f>
        <v>0</v>
      </c>
      <c r="Y230" s="1312">
        <f t="shared" ref="Y230:Y279" si="164">X230-Z230</f>
        <v>0</v>
      </c>
      <c r="Z230" s="1312">
        <f>AA229*((1+'Instrumentos Financeiros'!$H$43)^(1/12)-1)</f>
        <v>0</v>
      </c>
      <c r="AA230" s="1312">
        <f t="shared" si="133"/>
        <v>0</v>
      </c>
      <c r="AB230" s="1312">
        <f>IF(AND(C230&gt;$F$65,'Instrumentos Financeiros'!C230&lt;'Instrumentos Financeiros'!$F$65+'Instrumentos Financeiros'!$F$11+1),PMT(((1+'Instrumentos Financeiros'!$H$43)^(1/12)-1),$F$11,-$I$65),0)</f>
        <v>76636.661022032335</v>
      </c>
      <c r="AC230" s="1312">
        <f t="shared" ref="AC230:AC279" si="165">AB230-AD230</f>
        <v>44114.801339404243</v>
      </c>
      <c r="AD230" s="1312">
        <f>AE229*((1+'Instrumentos Financeiros'!$H$43)^(1/12)-1)</f>
        <v>32521.859682628092</v>
      </c>
      <c r="AE230" s="1312">
        <f t="shared" si="134"/>
        <v>7477110.5579219237</v>
      </c>
      <c r="AF230" s="1312">
        <f>IF(AND(C230&gt;$F$66,'Instrumentos Financeiros'!C230&lt;'Instrumentos Financeiros'!$F$66+'Instrumentos Financeiros'!$F$11+1),PMT(((1+'Instrumentos Financeiros'!$I$43)^(1/12)-1),$F$11,-$I$66),0)</f>
        <v>76636.661022032335</v>
      </c>
      <c r="AG230" s="1312">
        <f t="shared" ref="AG230:AG279" si="166">AF230-AH230</f>
        <v>43547.456176858548</v>
      </c>
      <c r="AH230" s="1312">
        <f>AI229*((1+'Instrumentos Financeiros'!$I$43)^(1/12)-1)</f>
        <v>33089.204845173786</v>
      </c>
      <c r="AI230" s="1312">
        <f t="shared" si="135"/>
        <v>7608885.9848373188</v>
      </c>
      <c r="AJ230" s="1312">
        <f>IF(AND(C230&gt;$F$67,'Instrumentos Financeiros'!C230&lt;'Instrumentos Financeiros'!$F$67+'Instrumentos Financeiros'!$F$11+1),PMT(((1+'Instrumentos Financeiros'!$I$43)^(1/12)-1),$F$11,-$I$67),0)</f>
        <v>76636.661022032335</v>
      </c>
      <c r="AK230" s="1312">
        <f t="shared" ref="AK230:AK279" si="167">AJ230-AL230</f>
        <v>42987.407443712757</v>
      </c>
      <c r="AL230" s="1312">
        <f>AM229*((1+'Instrumentos Financeiros'!$I$43)^(1/12)-1)</f>
        <v>33649.253578319578</v>
      </c>
      <c r="AM230" s="1312">
        <f t="shared" si="136"/>
        <v>7738966.6936822934</v>
      </c>
      <c r="AN230" s="1312">
        <f>IF(AND(C230&gt;$F$68,'Instrumentos Financeiros'!C230&lt;'Instrumentos Financeiros'!$F$68+'Instrumentos Financeiros'!$F$11+1),PMT(((1+'Instrumentos Financeiros'!$I$43)^(1/12)-1),$F$11,-$I$68),0)</f>
        <v>76636.661022032335</v>
      </c>
      <c r="AO230" s="1312">
        <f t="shared" ref="AO230:AO279" si="168">AN230-AP230</f>
        <v>42434.56130311852</v>
      </c>
      <c r="AP230" s="1312">
        <f>AQ229*((1+'Instrumentos Financeiros'!$I$43)^(1/12)-1)</f>
        <v>34202.099718913814</v>
      </c>
      <c r="AQ230" s="1312">
        <f t="shared" si="137"/>
        <v>7867374.4796382831</v>
      </c>
      <c r="AR230" s="1312">
        <f>IF(AND(C230&gt;$F$69,'Instrumentos Financeiros'!C230&lt;'Instrumentos Financeiros'!$F$69+'Instrumentos Financeiros'!$F$11+1),PMT(((1+'Instrumentos Financeiros'!$I$43)^(1/12)-1),$F$11,-$I$69),0)</f>
        <v>0</v>
      </c>
      <c r="AS230" s="1312">
        <f t="shared" ref="AS230:AS279" si="169">AR230-AT230</f>
        <v>0</v>
      </c>
      <c r="AT230" s="1312">
        <f>AU229*((1+'Instrumentos Financeiros'!$I$43)^(1/12)-1)</f>
        <v>0</v>
      </c>
      <c r="AU230" s="1312">
        <f t="shared" si="138"/>
        <v>0</v>
      </c>
      <c r="AV230" s="1312">
        <f>IF(AND(C230&gt;$F$70,'Instrumentos Financeiros'!C230&lt;'Instrumentos Financeiros'!$F$70+'Instrumentos Financeiros'!$F$11+1),PMT(((1+'Instrumentos Financeiros'!$J$43)^(1/12)-1),$F$11,-$I$70),0)</f>
        <v>0</v>
      </c>
      <c r="AW230" s="1312">
        <f t="shared" ref="AW230:AW279" si="170">AV230-AX230</f>
        <v>0</v>
      </c>
      <c r="AX230" s="1312">
        <f>AY229*((1+'Instrumentos Financeiros'!$J$43)^(1/12)-1)</f>
        <v>0</v>
      </c>
      <c r="AY230" s="1312">
        <f t="shared" si="139"/>
        <v>0</v>
      </c>
      <c r="AZ230" s="1312">
        <f>IF(AND(C230&gt;$F$71,'Instrumentos Financeiros'!C230&lt;'Instrumentos Financeiros'!$F$71+'Instrumentos Financeiros'!$F$11+1),PMT(((1+'Instrumentos Financeiros'!$J$43)^(1/12)-1),$F$11,-$I$71),0)</f>
        <v>0</v>
      </c>
      <c r="BA230" s="1312">
        <f t="shared" ref="BA230:BA279" si="171">AZ230-BB230</f>
        <v>0</v>
      </c>
      <c r="BB230" s="1312">
        <f>BC229*((1+'Instrumentos Financeiros'!$J$43)^(1/12)-1)</f>
        <v>0</v>
      </c>
      <c r="BC230" s="1312">
        <f t="shared" si="140"/>
        <v>0</v>
      </c>
      <c r="BD230" s="1312">
        <f>IF(AND(C230&gt;$F$72,'Instrumentos Financeiros'!C230&lt;'Instrumentos Financeiros'!$F$72+'Instrumentos Financeiros'!$F$11+1),PMT(((1+'Instrumentos Financeiros'!$J$43)^(1/12)-1),$F$11,-'Instrumentos Financeiros'!$G$7*$G$72),0)</f>
        <v>0</v>
      </c>
      <c r="BE230" s="1312">
        <f t="shared" ref="BE230:BE279" si="172">BD230-BF230</f>
        <v>0</v>
      </c>
      <c r="BF230" s="1312">
        <f>BG229*((1+'Instrumentos Financeiros'!$J$43)^(1/12)-1)</f>
        <v>0</v>
      </c>
      <c r="BG230" s="1312">
        <f t="shared" si="141"/>
        <v>0</v>
      </c>
      <c r="BH230" s="1312">
        <f>IF(AND(C230&gt;$F$73,'Instrumentos Financeiros'!C230&lt;'Instrumentos Financeiros'!$F$73+'Instrumentos Financeiros'!$F$11+1),PMT(((1+'Instrumentos Financeiros'!$J$43)^(1/12)-1),$F$11,-$I$73),0)</f>
        <v>0</v>
      </c>
      <c r="BI230" s="1312">
        <f t="shared" ref="BI230:BI279" si="173">BH230-BJ230</f>
        <v>0</v>
      </c>
      <c r="BJ230" s="1312">
        <f>BK229*((1+'Instrumentos Financeiros'!$J$43)^(1/12)-1)</f>
        <v>0</v>
      </c>
      <c r="BK230" s="1312">
        <f t="shared" si="142"/>
        <v>0</v>
      </c>
      <c r="BL230" s="1312">
        <f>IF(AND(C230&gt;$F$77,'Instrumentos Financeiros'!C230&lt;'Instrumentos Financeiros'!$F$77+'Instrumentos Financeiros'!$F$12+1),PMT(((1+'Instrumentos Financeiros'!$K$43)^(1/12)-1),$F$12,-$I$77),0)</f>
        <v>368.57912678094596</v>
      </c>
      <c r="BM230" s="1312">
        <f t="shared" si="143"/>
        <v>201.46162920674305</v>
      </c>
      <c r="BN230" s="1312">
        <f>BO229*((1+'Instrumentos Financeiros'!$K$43)^(1/12)-1)</f>
        <v>167.1174975742029</v>
      </c>
      <c r="BO230" s="1312">
        <f t="shared" si="144"/>
        <v>38447.261813960635</v>
      </c>
      <c r="BP230" s="1312">
        <f>IF(AND(C230&gt;$F$78,'Instrumentos Financeiros'!C230&lt;'Instrumentos Financeiros'!$F$78+'Instrumentos Financeiros'!$F$12+1),PMT(((1+'Instrumentos Financeiros'!$L$43)^(1/12)-1),$F$12,-$I$78),0)</f>
        <v>368.57912678094596</v>
      </c>
      <c r="BQ230" s="1312">
        <f t="shared" si="145"/>
        <v>198.87070105340857</v>
      </c>
      <c r="BR230" s="1312">
        <f>BS229*((1+'Instrumentos Financeiros'!$L$43)^(1/12)-1)</f>
        <v>169.70842572753739</v>
      </c>
      <c r="BS230" s="1312">
        <f t="shared" si="146"/>
        <v>39049.048320750968</v>
      </c>
      <c r="BT230" s="1312">
        <f>IF(AND(C230&gt;$F$79,'Instrumentos Financeiros'!C230&lt;'Instrumentos Financeiros'!$F$79+'Instrumentos Financeiros'!$F$12+1),PMT(((1+'Instrumentos Financeiros'!$L$43)^(1/12)-1),$F$12,-$I$79),0)</f>
        <v>368.57912678094596</v>
      </c>
      <c r="BU230" s="1312">
        <f t="shared" si="147"/>
        <v>196.31309392861021</v>
      </c>
      <c r="BV230" s="1312">
        <f>BW229*((1+'Instrumentos Financeiros'!$L$43)^(1/12)-1)</f>
        <v>172.26603285233574</v>
      </c>
      <c r="BW230" s="1312">
        <f t="shared" si="148"/>
        <v>39643.095459956123</v>
      </c>
      <c r="BX230" s="1312">
        <f>IF(AND(C230&gt;$F$80,'Instrumentos Financeiros'!C230&lt;'Instrumentos Financeiros'!$F$80+'Instrumentos Financeiros'!$F$12+1),PMT(((1+'Instrumentos Financeiros'!$L$43)^(1/12)-1),$F$12,-$I$80),0)</f>
        <v>368.57912678094596</v>
      </c>
      <c r="BY230" s="1312">
        <f t="shared" si="149"/>
        <v>193.78837930215462</v>
      </c>
      <c r="BZ230" s="1312">
        <f>CA229*((1+'Instrumentos Financeiros'!$L$43)^(1/12)-1)</f>
        <v>174.79074747879133</v>
      </c>
      <c r="CA230" s="1312">
        <f t="shared" si="150"/>
        <v>40229.502764898869</v>
      </c>
      <c r="CB230" s="1312">
        <f>IF(AND(C230&gt;$F$83,'Instrumentos Financeiros'!C230&lt;'Instrumentos Financeiros'!$F$83+'Instrumentos Financeiros'!$F$13+1),PMT(((1+'Instrumentos Financeiros'!$P$43)^(1/12)-1),$F$13,-$I$83),0)</f>
        <v>0</v>
      </c>
      <c r="CC230" s="1312">
        <f t="shared" si="151"/>
        <v>0</v>
      </c>
      <c r="CD230" s="1312">
        <f>CE229*((1+'Instrumentos Financeiros'!$P$43)^(1/12)-1)</f>
        <v>0</v>
      </c>
      <c r="CE230" s="1312">
        <f t="shared" si="152"/>
        <v>0</v>
      </c>
      <c r="CF230" s="1312">
        <f>IF(AND(C230&gt;$F$84,'Instrumentos Financeiros'!C230&lt;'Instrumentos Financeiros'!$F$84+'Instrumentos Financeiros'!$F$13+1),PMT(((1+'Instrumentos Financeiros'!$Q$43)^(1/12)-1),$F$13,-$I$84),0)</f>
        <v>0</v>
      </c>
      <c r="CG230" s="1312">
        <f t="shared" si="153"/>
        <v>0</v>
      </c>
      <c r="CH230" s="1312">
        <f>CI229*((1+'Instrumentos Financeiros'!$Q$43)^(1/12)-1)</f>
        <v>0</v>
      </c>
      <c r="CI230" s="1312">
        <f t="shared" si="154"/>
        <v>0</v>
      </c>
      <c r="CJ230" s="1312">
        <f>IF(AND(C230&gt;$F$85,'Instrumentos Financeiros'!C230&lt;'Instrumentos Financeiros'!$F$85+'Instrumentos Financeiros'!$F$13+1),PMT(((1+'Instrumentos Financeiros'!$Q$43)^(1/12)-1),$F$13,-$I$85),0)</f>
        <v>0</v>
      </c>
      <c r="CK230" s="1312">
        <f t="shared" si="155"/>
        <v>0</v>
      </c>
      <c r="CL230" s="1312">
        <f>CM229*((1+'Instrumentos Financeiros'!$Q$43)^(1/12)-1)</f>
        <v>0</v>
      </c>
      <c r="CM230" s="1312">
        <f t="shared" si="156"/>
        <v>0</v>
      </c>
      <c r="CN230" s="1312">
        <f>IF(AND(C230&gt;$F$86,'Instrumentos Financeiros'!C230&lt;'Instrumentos Financeiros'!$F$86+'Instrumentos Financeiros'!$F$13+1),PMT(((1+'Instrumentos Financeiros'!$Q$43)^(1/12)-1),$F$13,-$I$86),0)</f>
        <v>0</v>
      </c>
      <c r="CO230" s="1312">
        <f t="shared" si="157"/>
        <v>0</v>
      </c>
      <c r="CP230" s="1312">
        <f>CQ229*((1+'Instrumentos Financeiros'!$Q$43)^(1/12)-1)</f>
        <v>0</v>
      </c>
      <c r="CQ230" s="1312">
        <f t="shared" si="158"/>
        <v>0</v>
      </c>
      <c r="CR230" s="1312">
        <f t="shared" si="127"/>
        <v>399789.55023115332</v>
      </c>
      <c r="CS230" s="1312">
        <f t="shared" si="127"/>
        <v>232501.10593842069</v>
      </c>
      <c r="CT230" s="1312">
        <f t="shared" si="127"/>
        <v>167288.44429273257</v>
      </c>
      <c r="CU230" s="1312">
        <f t="shared" si="127"/>
        <v>38910571.362128921</v>
      </c>
    </row>
    <row r="231" spans="3:99" x14ac:dyDescent="0.35">
      <c r="C231" s="1315">
        <f t="shared" si="128"/>
        <v>138</v>
      </c>
      <c r="D231" s="1312">
        <f>IF(AND(C231&gt;$F$59,'Instrumentos Financeiros'!C231&lt;'Instrumentos Financeiros'!$F$59+'Instrumentos Financeiros'!$F$11+1),PMT(((1+'Instrumentos Financeiros'!$G$43)^(1/12)-1),$F$11,-$I$59),0)</f>
        <v>91768.589635900134</v>
      </c>
      <c r="E231" s="1312">
        <f t="shared" si="125"/>
        <v>58865.747332177707</v>
      </c>
      <c r="F231" s="1312">
        <f>G230*((1+'Instrumentos Financeiros'!$G$43)^(1/12)-1)</f>
        <v>32902.842303722427</v>
      </c>
      <c r="G231" s="1312">
        <f t="shared" si="159"/>
        <v>8001998.9903573608</v>
      </c>
      <c r="H231" s="1312">
        <f>IF(AND(C231&gt;$F$60,'Instrumentos Financeiros'!C231&lt;'Instrumentos Financeiros'!$F$60+'Instrumentos Financeiros'!$F$11+1),PMT(((1+'Instrumentos Financeiros'!$G$43)^(1/12)-1),$F$11,-$I$60),0)</f>
        <v>0</v>
      </c>
      <c r="I231" s="1312">
        <f t="shared" si="160"/>
        <v>0</v>
      </c>
      <c r="J231" s="1312">
        <f>K230*((1+'Instrumentos Financeiros'!$G$43)^(1/12)-1)</f>
        <v>0</v>
      </c>
      <c r="K231" s="1312">
        <f t="shared" si="129"/>
        <v>0</v>
      </c>
      <c r="L231" s="1312">
        <f>IF(AND(C231&gt;$F$61,'Instrumentos Financeiros'!C231&lt;'Instrumentos Financeiros'!$F$61+'Instrumentos Financeiros'!$F$11+1),PMT(((1+'Instrumentos Financeiros'!$G$43)^(1/12)-1),$F$11,-$I$61),0)</f>
        <v>0</v>
      </c>
      <c r="M231" s="1312">
        <f t="shared" si="161"/>
        <v>0</v>
      </c>
      <c r="N231" s="1312">
        <f>O230*((1+'Instrumentos Financeiros'!$G$43)^(1/12)-1)</f>
        <v>0</v>
      </c>
      <c r="O231" s="1312">
        <f t="shared" si="130"/>
        <v>0</v>
      </c>
      <c r="P231" s="1312">
        <f>IF(AND(C231&gt;$F$62,'Instrumentos Financeiros'!C231&lt;'Instrumentos Financeiros'!$F$62+'Instrumentos Financeiros'!$F$11+1),PMT(((1+'Instrumentos Financeiros'!$H$43)^(1/12)-1),$F$11,-$I$62),0)</f>
        <v>0</v>
      </c>
      <c r="Q231" s="1312">
        <f t="shared" si="162"/>
        <v>0</v>
      </c>
      <c r="R231" s="1312">
        <f>S230*((1+'Instrumentos Financeiros'!$H$43)^(1/12)-1)</f>
        <v>0</v>
      </c>
      <c r="S231" s="1312">
        <f t="shared" si="131"/>
        <v>0</v>
      </c>
      <c r="T231" s="1312">
        <f>IF(AND(C231&gt;$F$63,'Instrumentos Financeiros'!C231&lt;'Instrumentos Financeiros'!$F$63+'Instrumentos Financeiros'!$F$11+1),PMT(((1+'Instrumentos Financeiros'!$H$43)^(1/12)-1),$F$11,-$I$63),0)</f>
        <v>0</v>
      </c>
      <c r="U231" s="1312">
        <f t="shared" si="163"/>
        <v>0</v>
      </c>
      <c r="V231" s="1312">
        <f>W230*((1+'Instrumentos Financeiros'!$H$43)^(1/12)-1)</f>
        <v>0</v>
      </c>
      <c r="W231" s="1312">
        <f t="shared" si="132"/>
        <v>0</v>
      </c>
      <c r="X231" s="1312">
        <f>IF(AND(C231&gt;$F$64,'Instrumentos Financeiros'!C231&lt;'Instrumentos Financeiros'!$F$64+'Instrumentos Financeiros'!$F$11+1),PMT(((1+'Instrumentos Financeiros'!$H$43)^(1/12)-1),$F$11,-$I$64),0)</f>
        <v>0</v>
      </c>
      <c r="Y231" s="1312">
        <f t="shared" si="164"/>
        <v>0</v>
      </c>
      <c r="Z231" s="1312">
        <f>AA230*((1+'Instrumentos Financeiros'!$H$43)^(1/12)-1)</f>
        <v>0</v>
      </c>
      <c r="AA231" s="1312">
        <f t="shared" si="133"/>
        <v>0</v>
      </c>
      <c r="AB231" s="1312">
        <f>IF(AND(C231&gt;$F$65,'Instrumentos Financeiros'!C231&lt;'Instrumentos Financeiros'!$F$65+'Instrumentos Financeiros'!$F$11+1),PMT(((1+'Instrumentos Financeiros'!$H$43)^(1/12)-1),$F$11,-$I$65),0)</f>
        <v>76636.661022032335</v>
      </c>
      <c r="AC231" s="1312">
        <f t="shared" si="165"/>
        <v>44305.554216835379</v>
      </c>
      <c r="AD231" s="1312">
        <f>AE230*((1+'Instrumentos Financeiros'!$H$43)^(1/12)-1)</f>
        <v>32331.106805196956</v>
      </c>
      <c r="AE231" s="1312">
        <f t="shared" si="134"/>
        <v>7432805.003705088</v>
      </c>
      <c r="AF231" s="1312">
        <f>IF(AND(C231&gt;$F$66,'Instrumentos Financeiros'!C231&lt;'Instrumentos Financeiros'!$F$66+'Instrumentos Financeiros'!$F$11+1),PMT(((1+'Instrumentos Financeiros'!$I$43)^(1/12)-1),$F$11,-$I$66),0)</f>
        <v>76636.661022032335</v>
      </c>
      <c r="AG231" s="1312">
        <f t="shared" si="166"/>
        <v>43735.755847679509</v>
      </c>
      <c r="AH231" s="1312">
        <f>AI230*((1+'Instrumentos Financeiros'!$I$43)^(1/12)-1)</f>
        <v>32900.905174352825</v>
      </c>
      <c r="AI231" s="1312">
        <f t="shared" si="135"/>
        <v>7565150.2289896393</v>
      </c>
      <c r="AJ231" s="1312">
        <f>IF(AND(C231&gt;$F$67,'Instrumentos Financeiros'!C231&lt;'Instrumentos Financeiros'!$F$67+'Instrumentos Financeiros'!$F$11+1),PMT(((1+'Instrumentos Financeiros'!$I$43)^(1/12)-1),$F$11,-$I$67),0)</f>
        <v>76636.661022032335</v>
      </c>
      <c r="AK231" s="1312">
        <f t="shared" si="167"/>
        <v>43173.285457763079</v>
      </c>
      <c r="AL231" s="1312">
        <f>AM230*((1+'Instrumentos Financeiros'!$I$43)^(1/12)-1)</f>
        <v>33463.375564269256</v>
      </c>
      <c r="AM231" s="1312">
        <f t="shared" si="136"/>
        <v>7695793.4082245305</v>
      </c>
      <c r="AN231" s="1312">
        <f>IF(AND(C231&gt;$F$68,'Instrumentos Financeiros'!C231&lt;'Instrumentos Financeiros'!$F$68+'Instrumentos Financeiros'!$F$11+1),PMT(((1+'Instrumentos Financeiros'!$I$43)^(1/12)-1),$F$11,-$I$68),0)</f>
        <v>76636.661022032335</v>
      </c>
      <c r="AO231" s="1312">
        <f t="shared" si="168"/>
        <v>42618.04880448617</v>
      </c>
      <c r="AP231" s="1312">
        <f>AQ230*((1+'Instrumentos Financeiros'!$I$43)^(1/12)-1)</f>
        <v>34018.612217546164</v>
      </c>
      <c r="AQ231" s="1312">
        <f t="shared" si="137"/>
        <v>7824756.430833797</v>
      </c>
      <c r="AR231" s="1312">
        <f>IF(AND(C231&gt;$F$69,'Instrumentos Financeiros'!C231&lt;'Instrumentos Financeiros'!$F$69+'Instrumentos Financeiros'!$F$11+1),PMT(((1+'Instrumentos Financeiros'!$I$43)^(1/12)-1),$F$11,-$I$69),0)</f>
        <v>0</v>
      </c>
      <c r="AS231" s="1312">
        <f t="shared" si="169"/>
        <v>0</v>
      </c>
      <c r="AT231" s="1312">
        <f>AU230*((1+'Instrumentos Financeiros'!$I$43)^(1/12)-1)</f>
        <v>0</v>
      </c>
      <c r="AU231" s="1312">
        <f t="shared" si="138"/>
        <v>0</v>
      </c>
      <c r="AV231" s="1312">
        <f>IF(AND(C231&gt;$F$70,'Instrumentos Financeiros'!C231&lt;'Instrumentos Financeiros'!$F$70+'Instrumentos Financeiros'!$F$11+1),PMT(((1+'Instrumentos Financeiros'!$J$43)^(1/12)-1),$F$11,-$I$70),0)</f>
        <v>0</v>
      </c>
      <c r="AW231" s="1312">
        <f t="shared" si="170"/>
        <v>0</v>
      </c>
      <c r="AX231" s="1312">
        <f>AY230*((1+'Instrumentos Financeiros'!$J$43)^(1/12)-1)</f>
        <v>0</v>
      </c>
      <c r="AY231" s="1312">
        <f t="shared" si="139"/>
        <v>0</v>
      </c>
      <c r="AZ231" s="1312">
        <f>IF(AND(C231&gt;$F$71,'Instrumentos Financeiros'!C231&lt;'Instrumentos Financeiros'!$F$71+'Instrumentos Financeiros'!$F$11+1),PMT(((1+'Instrumentos Financeiros'!$J$43)^(1/12)-1),$F$11,-$I$71),0)</f>
        <v>0</v>
      </c>
      <c r="BA231" s="1312">
        <f t="shared" si="171"/>
        <v>0</v>
      </c>
      <c r="BB231" s="1312">
        <f>BC230*((1+'Instrumentos Financeiros'!$J$43)^(1/12)-1)</f>
        <v>0</v>
      </c>
      <c r="BC231" s="1312">
        <f t="shared" si="140"/>
        <v>0</v>
      </c>
      <c r="BD231" s="1312">
        <f>IF(AND(C231&gt;$F$72,'Instrumentos Financeiros'!C231&lt;'Instrumentos Financeiros'!$F$72+'Instrumentos Financeiros'!$F$11+1),PMT(((1+'Instrumentos Financeiros'!$J$43)^(1/12)-1),$F$11,-'Instrumentos Financeiros'!$G$7*$G$72),0)</f>
        <v>0</v>
      </c>
      <c r="BE231" s="1312">
        <f t="shared" si="172"/>
        <v>0</v>
      </c>
      <c r="BF231" s="1312">
        <f>BG230*((1+'Instrumentos Financeiros'!$J$43)^(1/12)-1)</f>
        <v>0</v>
      </c>
      <c r="BG231" s="1312">
        <f t="shared" si="141"/>
        <v>0</v>
      </c>
      <c r="BH231" s="1312">
        <f>IF(AND(C231&gt;$F$73,'Instrumentos Financeiros'!C231&lt;'Instrumentos Financeiros'!$F$73+'Instrumentos Financeiros'!$F$11+1),PMT(((1+'Instrumentos Financeiros'!$J$43)^(1/12)-1),$F$11,-$I$73),0)</f>
        <v>0</v>
      </c>
      <c r="BI231" s="1312">
        <f t="shared" si="173"/>
        <v>0</v>
      </c>
      <c r="BJ231" s="1312">
        <f>BK230*((1+'Instrumentos Financeiros'!$J$43)^(1/12)-1)</f>
        <v>0</v>
      </c>
      <c r="BK231" s="1312">
        <f t="shared" si="142"/>
        <v>0</v>
      </c>
      <c r="BL231" s="1312">
        <f>IF(AND(C231&gt;$F$77,'Instrumentos Financeiros'!C231&lt;'Instrumentos Financeiros'!$F$77+'Instrumentos Financeiros'!$F$12+1),PMT(((1+'Instrumentos Financeiros'!$K$43)^(1/12)-1),$F$12,-$I$77),0)</f>
        <v>368.57912678094596</v>
      </c>
      <c r="BM231" s="1312">
        <f t="shared" si="143"/>
        <v>202.33275146721724</v>
      </c>
      <c r="BN231" s="1312">
        <f>BO230*((1+'Instrumentos Financeiros'!$K$43)^(1/12)-1)</f>
        <v>166.24637531372872</v>
      </c>
      <c r="BO231" s="1312">
        <f t="shared" si="144"/>
        <v>38244.929062493415</v>
      </c>
      <c r="BP231" s="1312">
        <f>IF(AND(C231&gt;$F$78,'Instrumentos Financeiros'!C231&lt;'Instrumentos Financeiros'!$F$78+'Instrumentos Financeiros'!$F$12+1),PMT(((1+'Instrumentos Financeiros'!$L$43)^(1/12)-1),$F$12,-$I$78),0)</f>
        <v>368.57912678094596</v>
      </c>
      <c r="BQ231" s="1312">
        <f t="shared" si="145"/>
        <v>199.7306201125657</v>
      </c>
      <c r="BR231" s="1312">
        <f>BS230*((1+'Instrumentos Financeiros'!$L$43)^(1/12)-1)</f>
        <v>168.84850666838025</v>
      </c>
      <c r="BS231" s="1312">
        <f t="shared" si="146"/>
        <v>38849.317700638399</v>
      </c>
      <c r="BT231" s="1312">
        <f>IF(AND(C231&gt;$F$79,'Instrumentos Financeiros'!C231&lt;'Instrumentos Financeiros'!$F$79+'Instrumentos Financeiros'!$F$12+1),PMT(((1+'Instrumentos Financeiros'!$L$43)^(1/12)-1),$F$12,-$I$79),0)</f>
        <v>368.57912678094596</v>
      </c>
      <c r="BU231" s="1312">
        <f t="shared" si="147"/>
        <v>197.16195386693761</v>
      </c>
      <c r="BV231" s="1312">
        <f>BW230*((1+'Instrumentos Financeiros'!$L$43)^(1/12)-1)</f>
        <v>171.41717291400835</v>
      </c>
      <c r="BW231" s="1312">
        <f t="shared" si="148"/>
        <v>39445.933506089183</v>
      </c>
      <c r="BX231" s="1312">
        <f>IF(AND(C231&gt;$F$80,'Instrumentos Financeiros'!C231&lt;'Instrumentos Financeiros'!$F$80+'Instrumentos Financeiros'!$F$12+1),PMT(((1+'Instrumentos Financeiros'!$L$43)^(1/12)-1),$F$12,-$I$80),0)</f>
        <v>368.57912678094596</v>
      </c>
      <c r="BY231" s="1312">
        <f t="shared" si="149"/>
        <v>194.62632234717032</v>
      </c>
      <c r="BZ231" s="1312">
        <f>CA230*((1+'Instrumentos Financeiros'!$L$43)^(1/12)-1)</f>
        <v>173.95280443377564</v>
      </c>
      <c r="CA231" s="1312">
        <f t="shared" si="150"/>
        <v>40034.8764425517</v>
      </c>
      <c r="CB231" s="1312">
        <f>IF(AND(C231&gt;$F$83,'Instrumentos Financeiros'!C231&lt;'Instrumentos Financeiros'!$F$83+'Instrumentos Financeiros'!$F$13+1),PMT(((1+'Instrumentos Financeiros'!$P$43)^(1/12)-1),$F$13,-$I$83),0)</f>
        <v>0</v>
      </c>
      <c r="CC231" s="1312">
        <f t="shared" si="151"/>
        <v>0</v>
      </c>
      <c r="CD231" s="1312">
        <f>CE230*((1+'Instrumentos Financeiros'!$P$43)^(1/12)-1)</f>
        <v>0</v>
      </c>
      <c r="CE231" s="1312">
        <f t="shared" si="152"/>
        <v>0</v>
      </c>
      <c r="CF231" s="1312">
        <f>IF(AND(C231&gt;$F$84,'Instrumentos Financeiros'!C231&lt;'Instrumentos Financeiros'!$F$84+'Instrumentos Financeiros'!$F$13+1),PMT(((1+'Instrumentos Financeiros'!$Q$43)^(1/12)-1),$F$13,-$I$84),0)</f>
        <v>0</v>
      </c>
      <c r="CG231" s="1312">
        <f t="shared" si="153"/>
        <v>0</v>
      </c>
      <c r="CH231" s="1312">
        <f>CI230*((1+'Instrumentos Financeiros'!$Q$43)^(1/12)-1)</f>
        <v>0</v>
      </c>
      <c r="CI231" s="1312">
        <f t="shared" si="154"/>
        <v>0</v>
      </c>
      <c r="CJ231" s="1312">
        <f>IF(AND(C231&gt;$F$85,'Instrumentos Financeiros'!C231&lt;'Instrumentos Financeiros'!$F$85+'Instrumentos Financeiros'!$F$13+1),PMT(((1+'Instrumentos Financeiros'!$Q$43)^(1/12)-1),$F$13,-$I$85),0)</f>
        <v>0</v>
      </c>
      <c r="CK231" s="1312">
        <f t="shared" si="155"/>
        <v>0</v>
      </c>
      <c r="CL231" s="1312">
        <f>CM230*((1+'Instrumentos Financeiros'!$Q$43)^(1/12)-1)</f>
        <v>0</v>
      </c>
      <c r="CM231" s="1312">
        <f t="shared" si="156"/>
        <v>0</v>
      </c>
      <c r="CN231" s="1312">
        <f>IF(AND(C231&gt;$F$86,'Instrumentos Financeiros'!C231&lt;'Instrumentos Financeiros'!$F$86+'Instrumentos Financeiros'!$F$13+1),PMT(((1+'Instrumentos Financeiros'!$Q$43)^(1/12)-1),$F$13,-$I$86),0)</f>
        <v>0</v>
      </c>
      <c r="CO231" s="1312">
        <f t="shared" si="157"/>
        <v>0</v>
      </c>
      <c r="CP231" s="1312">
        <f>CQ230*((1+'Instrumentos Financeiros'!$Q$43)^(1/12)-1)</f>
        <v>0</v>
      </c>
      <c r="CQ231" s="1312">
        <f t="shared" si="158"/>
        <v>0</v>
      </c>
      <c r="CR231" s="1312">
        <f t="shared" si="127"/>
        <v>399789.55023115332</v>
      </c>
      <c r="CS231" s="1312">
        <f t="shared" si="127"/>
        <v>233492.24330673576</v>
      </c>
      <c r="CT231" s="1312">
        <f t="shared" si="127"/>
        <v>166297.30692441753</v>
      </c>
      <c r="CU231" s="1312">
        <f t="shared" si="127"/>
        <v>38677079.118822187</v>
      </c>
    </row>
    <row r="232" spans="3:99" x14ac:dyDescent="0.35">
      <c r="C232" s="1315">
        <f t="shared" si="128"/>
        <v>139</v>
      </c>
      <c r="D232" s="1312">
        <f>IF(AND(C232&gt;$F$59,'Instrumentos Financeiros'!C232&lt;'Instrumentos Financeiros'!$F$59+'Instrumentos Financeiros'!$F$11+1),PMT(((1+'Instrumentos Financeiros'!$G$43)^(1/12)-1),$F$11,-$I$59),0)</f>
        <v>91768.589635900134</v>
      </c>
      <c r="E232" s="1312">
        <f t="shared" si="125"/>
        <v>59106.025573357649</v>
      </c>
      <c r="F232" s="1312">
        <f>G231*((1+'Instrumentos Financeiros'!$G$43)^(1/12)-1)</f>
        <v>32662.564062542486</v>
      </c>
      <c r="G232" s="1312">
        <f t="shared" si="159"/>
        <v>7942892.9647840029</v>
      </c>
      <c r="H232" s="1312">
        <f>IF(AND(C232&gt;$F$60,'Instrumentos Financeiros'!C232&lt;'Instrumentos Financeiros'!$F$60+'Instrumentos Financeiros'!$F$11+1),PMT(((1+'Instrumentos Financeiros'!$G$43)^(1/12)-1),$F$11,-$I$60),0)</f>
        <v>0</v>
      </c>
      <c r="I232" s="1312">
        <f t="shared" si="160"/>
        <v>0</v>
      </c>
      <c r="J232" s="1312">
        <f>K231*((1+'Instrumentos Financeiros'!$G$43)^(1/12)-1)</f>
        <v>0</v>
      </c>
      <c r="K232" s="1312">
        <f t="shared" si="129"/>
        <v>0</v>
      </c>
      <c r="L232" s="1312">
        <f>IF(AND(C232&gt;$F$61,'Instrumentos Financeiros'!C232&lt;'Instrumentos Financeiros'!$F$61+'Instrumentos Financeiros'!$F$11+1),PMT(((1+'Instrumentos Financeiros'!$G$43)^(1/12)-1),$F$11,-$I$61),0)</f>
        <v>0</v>
      </c>
      <c r="M232" s="1312">
        <f t="shared" si="161"/>
        <v>0</v>
      </c>
      <c r="N232" s="1312">
        <f>O231*((1+'Instrumentos Financeiros'!$G$43)^(1/12)-1)</f>
        <v>0</v>
      </c>
      <c r="O232" s="1312">
        <f t="shared" si="130"/>
        <v>0</v>
      </c>
      <c r="P232" s="1312">
        <f>IF(AND(C232&gt;$F$62,'Instrumentos Financeiros'!C232&lt;'Instrumentos Financeiros'!$F$62+'Instrumentos Financeiros'!$F$11+1),PMT(((1+'Instrumentos Financeiros'!$H$43)^(1/12)-1),$F$11,-$I$62),0)</f>
        <v>0</v>
      </c>
      <c r="Q232" s="1312">
        <f t="shared" si="162"/>
        <v>0</v>
      </c>
      <c r="R232" s="1312">
        <f>S231*((1+'Instrumentos Financeiros'!$H$43)^(1/12)-1)</f>
        <v>0</v>
      </c>
      <c r="S232" s="1312">
        <f t="shared" si="131"/>
        <v>0</v>
      </c>
      <c r="T232" s="1312">
        <f>IF(AND(C232&gt;$F$63,'Instrumentos Financeiros'!C232&lt;'Instrumentos Financeiros'!$F$63+'Instrumentos Financeiros'!$F$11+1),PMT(((1+'Instrumentos Financeiros'!$H$43)^(1/12)-1),$F$11,-$I$63),0)</f>
        <v>0</v>
      </c>
      <c r="U232" s="1312">
        <f t="shared" si="163"/>
        <v>0</v>
      </c>
      <c r="V232" s="1312">
        <f>W231*((1+'Instrumentos Financeiros'!$H$43)^(1/12)-1)</f>
        <v>0</v>
      </c>
      <c r="W232" s="1312">
        <f t="shared" si="132"/>
        <v>0</v>
      </c>
      <c r="X232" s="1312">
        <f>IF(AND(C232&gt;$F$64,'Instrumentos Financeiros'!C232&lt;'Instrumentos Financeiros'!$F$64+'Instrumentos Financeiros'!$F$11+1),PMT(((1+'Instrumentos Financeiros'!$H$43)^(1/12)-1),$F$11,-$I$64),0)</f>
        <v>0</v>
      </c>
      <c r="Y232" s="1312">
        <f t="shared" si="164"/>
        <v>0</v>
      </c>
      <c r="Z232" s="1312">
        <f>AA231*((1+'Instrumentos Financeiros'!$H$43)^(1/12)-1)</f>
        <v>0</v>
      </c>
      <c r="AA232" s="1312">
        <f t="shared" si="133"/>
        <v>0</v>
      </c>
      <c r="AB232" s="1312">
        <f>IF(AND(C232&gt;$F$65,'Instrumentos Financeiros'!C232&lt;'Instrumentos Financeiros'!$F$65+'Instrumentos Financeiros'!$F$11+1),PMT(((1+'Instrumentos Financeiros'!$H$43)^(1/12)-1),$F$11,-$I$65),0)</f>
        <v>76636.661022032335</v>
      </c>
      <c r="AC232" s="1312">
        <f t="shared" si="165"/>
        <v>44497.131911768658</v>
      </c>
      <c r="AD232" s="1312">
        <f>AE231*((1+'Instrumentos Financeiros'!$H$43)^(1/12)-1)</f>
        <v>32139.529110263677</v>
      </c>
      <c r="AE232" s="1312">
        <f t="shared" si="134"/>
        <v>7388307.8717933195</v>
      </c>
      <c r="AF232" s="1312">
        <f>IF(AND(C232&gt;$F$66,'Instrumentos Financeiros'!C232&lt;'Instrumentos Financeiros'!$F$66+'Instrumentos Financeiros'!$F$11+1),PMT(((1+'Instrumentos Financeiros'!$I$43)^(1/12)-1),$F$11,-$I$66),0)</f>
        <v>76636.661022032335</v>
      </c>
      <c r="AG232" s="1312">
        <f t="shared" si="166"/>
        <v>43924.869728310732</v>
      </c>
      <c r="AH232" s="1312">
        <f>AI231*((1+'Instrumentos Financeiros'!$I$43)^(1/12)-1)</f>
        <v>32711.791293721599</v>
      </c>
      <c r="AI232" s="1312">
        <f t="shared" si="135"/>
        <v>7521225.3592613284</v>
      </c>
      <c r="AJ232" s="1312">
        <f>IF(AND(C232&gt;$F$67,'Instrumentos Financeiros'!C232&lt;'Instrumentos Financeiros'!$F$67+'Instrumentos Financeiros'!$F$11+1),PMT(((1+'Instrumentos Financeiros'!$I$43)^(1/12)-1),$F$11,-$I$67),0)</f>
        <v>76636.661022032335</v>
      </c>
      <c r="AK232" s="1312">
        <f t="shared" si="167"/>
        <v>43359.967210353629</v>
      </c>
      <c r="AL232" s="1312">
        <f>AM231*((1+'Instrumentos Financeiros'!$I$43)^(1/12)-1)</f>
        <v>33276.693811678706</v>
      </c>
      <c r="AM232" s="1312">
        <f t="shared" si="136"/>
        <v>7652433.4410141772</v>
      </c>
      <c r="AN232" s="1312">
        <f>IF(AND(C232&gt;$F$68,'Instrumentos Financeiros'!C232&lt;'Instrumentos Financeiros'!$F$68+'Instrumentos Financeiros'!$F$11+1),PMT(((1+'Instrumentos Financeiros'!$I$43)^(1/12)-1),$F$11,-$I$68),0)</f>
        <v>76636.661022032335</v>
      </c>
      <c r="AO232" s="1312">
        <f t="shared" si="168"/>
        <v>42802.329707791403</v>
      </c>
      <c r="AP232" s="1312">
        <f>AQ231*((1+'Instrumentos Financeiros'!$I$43)^(1/12)-1)</f>
        <v>33834.331314240932</v>
      </c>
      <c r="AQ232" s="1312">
        <f t="shared" si="137"/>
        <v>7781954.1011260059</v>
      </c>
      <c r="AR232" s="1312">
        <f>IF(AND(C232&gt;$F$69,'Instrumentos Financeiros'!C232&lt;'Instrumentos Financeiros'!$F$69+'Instrumentos Financeiros'!$F$11+1),PMT(((1+'Instrumentos Financeiros'!$I$43)^(1/12)-1),$F$11,-$I$69),0)</f>
        <v>0</v>
      </c>
      <c r="AS232" s="1312">
        <f t="shared" si="169"/>
        <v>0</v>
      </c>
      <c r="AT232" s="1312">
        <f>AU231*((1+'Instrumentos Financeiros'!$I$43)^(1/12)-1)</f>
        <v>0</v>
      </c>
      <c r="AU232" s="1312">
        <f t="shared" si="138"/>
        <v>0</v>
      </c>
      <c r="AV232" s="1312">
        <f>IF(AND(C232&gt;$F$70,'Instrumentos Financeiros'!C232&lt;'Instrumentos Financeiros'!$F$70+'Instrumentos Financeiros'!$F$11+1),PMT(((1+'Instrumentos Financeiros'!$J$43)^(1/12)-1),$F$11,-$I$70),0)</f>
        <v>0</v>
      </c>
      <c r="AW232" s="1312">
        <f t="shared" si="170"/>
        <v>0</v>
      </c>
      <c r="AX232" s="1312">
        <f>AY231*((1+'Instrumentos Financeiros'!$J$43)^(1/12)-1)</f>
        <v>0</v>
      </c>
      <c r="AY232" s="1312">
        <f t="shared" si="139"/>
        <v>0</v>
      </c>
      <c r="AZ232" s="1312">
        <f>IF(AND(C232&gt;$F$71,'Instrumentos Financeiros'!C232&lt;'Instrumentos Financeiros'!$F$71+'Instrumentos Financeiros'!$F$11+1),PMT(((1+'Instrumentos Financeiros'!$J$43)^(1/12)-1),$F$11,-$I$71),0)</f>
        <v>0</v>
      </c>
      <c r="BA232" s="1312">
        <f t="shared" si="171"/>
        <v>0</v>
      </c>
      <c r="BB232" s="1312">
        <f>BC231*((1+'Instrumentos Financeiros'!$J$43)^(1/12)-1)</f>
        <v>0</v>
      </c>
      <c r="BC232" s="1312">
        <f t="shared" si="140"/>
        <v>0</v>
      </c>
      <c r="BD232" s="1312">
        <f>IF(AND(C232&gt;$F$72,'Instrumentos Financeiros'!C232&lt;'Instrumentos Financeiros'!$F$72+'Instrumentos Financeiros'!$F$11+1),PMT(((1+'Instrumentos Financeiros'!$J$43)^(1/12)-1),$F$11,-'Instrumentos Financeiros'!$G$7*$G$72),0)</f>
        <v>0</v>
      </c>
      <c r="BE232" s="1312">
        <f t="shared" si="172"/>
        <v>0</v>
      </c>
      <c r="BF232" s="1312">
        <f>BG231*((1+'Instrumentos Financeiros'!$J$43)^(1/12)-1)</f>
        <v>0</v>
      </c>
      <c r="BG232" s="1312">
        <f t="shared" si="141"/>
        <v>0</v>
      </c>
      <c r="BH232" s="1312">
        <f>IF(AND(C232&gt;$F$73,'Instrumentos Financeiros'!C232&lt;'Instrumentos Financeiros'!$F$73+'Instrumentos Financeiros'!$F$11+1),PMT(((1+'Instrumentos Financeiros'!$J$43)^(1/12)-1),$F$11,-$I$73),0)</f>
        <v>0</v>
      </c>
      <c r="BI232" s="1312">
        <f t="shared" si="173"/>
        <v>0</v>
      </c>
      <c r="BJ232" s="1312">
        <f>BK231*((1+'Instrumentos Financeiros'!$J$43)^(1/12)-1)</f>
        <v>0</v>
      </c>
      <c r="BK232" s="1312">
        <f t="shared" si="142"/>
        <v>0</v>
      </c>
      <c r="BL232" s="1312">
        <f>IF(AND(C232&gt;$F$77,'Instrumentos Financeiros'!C232&lt;'Instrumentos Financeiros'!$F$77+'Instrumentos Financeiros'!$F$12+1),PMT(((1+'Instrumentos Financeiros'!$K$43)^(1/12)-1),$F$12,-$I$77),0)</f>
        <v>368.57912678094596</v>
      </c>
      <c r="BM232" s="1312">
        <f t="shared" si="143"/>
        <v>203.20764046975381</v>
      </c>
      <c r="BN232" s="1312">
        <f>BO231*((1+'Instrumentos Financeiros'!$K$43)^(1/12)-1)</f>
        <v>165.37148631119214</v>
      </c>
      <c r="BO232" s="1312">
        <f t="shared" si="144"/>
        <v>38041.721422023664</v>
      </c>
      <c r="BP232" s="1312">
        <f>IF(AND(C232&gt;$F$78,'Instrumentos Financeiros'!C232&lt;'Instrumentos Financeiros'!$F$78+'Instrumentos Financeiros'!$F$12+1),PMT(((1+'Instrumentos Financeiros'!$L$43)^(1/12)-1),$F$12,-$I$78),0)</f>
        <v>368.57912678094596</v>
      </c>
      <c r="BQ232" s="1312">
        <f t="shared" si="145"/>
        <v>200.59425747102176</v>
      </c>
      <c r="BR232" s="1312">
        <f>BS231*((1+'Instrumentos Financeiros'!$L$43)^(1/12)-1)</f>
        <v>167.98486930992419</v>
      </c>
      <c r="BS232" s="1312">
        <f t="shared" si="146"/>
        <v>38648.723443167379</v>
      </c>
      <c r="BT232" s="1312">
        <f>IF(AND(C232&gt;$F$79,'Instrumentos Financeiros'!C232&lt;'Instrumentos Financeiros'!$F$79+'Instrumentos Financeiros'!$F$12+1),PMT(((1+'Instrumentos Financeiros'!$L$43)^(1/12)-1),$F$12,-$I$79),0)</f>
        <v>368.57912678094596</v>
      </c>
      <c r="BU232" s="1312">
        <f t="shared" si="147"/>
        <v>198.014484284806</v>
      </c>
      <c r="BV232" s="1312">
        <f>BW231*((1+'Instrumentos Financeiros'!$L$43)^(1/12)-1)</f>
        <v>170.56464249613995</v>
      </c>
      <c r="BW232" s="1312">
        <f t="shared" si="148"/>
        <v>39247.919021804373</v>
      </c>
      <c r="BX232" s="1312">
        <f>IF(AND(C232&gt;$F$80,'Instrumentos Financeiros'!C232&lt;'Instrumentos Financeiros'!$F$80+'Instrumentos Financeiros'!$F$12+1),PMT(((1+'Instrumentos Financeiros'!$L$43)^(1/12)-1),$F$12,-$I$80),0)</f>
        <v>368.57912678094596</v>
      </c>
      <c r="BY232" s="1312">
        <f t="shared" si="149"/>
        <v>195.46788866696241</v>
      </c>
      <c r="BZ232" s="1312">
        <f>CA231*((1+'Instrumentos Financeiros'!$L$43)^(1/12)-1)</f>
        <v>173.11123811398355</v>
      </c>
      <c r="CA232" s="1312">
        <f t="shared" si="150"/>
        <v>39839.408553884736</v>
      </c>
      <c r="CB232" s="1312">
        <f>IF(AND(C232&gt;$F$83,'Instrumentos Financeiros'!C232&lt;'Instrumentos Financeiros'!$F$83+'Instrumentos Financeiros'!$F$13+1),PMT(((1+'Instrumentos Financeiros'!$P$43)^(1/12)-1),$F$13,-$I$83),0)</f>
        <v>0</v>
      </c>
      <c r="CC232" s="1312">
        <f t="shared" si="151"/>
        <v>0</v>
      </c>
      <c r="CD232" s="1312">
        <f>CE231*((1+'Instrumentos Financeiros'!$P$43)^(1/12)-1)</f>
        <v>0</v>
      </c>
      <c r="CE232" s="1312">
        <f t="shared" si="152"/>
        <v>0</v>
      </c>
      <c r="CF232" s="1312">
        <f>IF(AND(C232&gt;$F$84,'Instrumentos Financeiros'!C232&lt;'Instrumentos Financeiros'!$F$84+'Instrumentos Financeiros'!$F$13+1),PMT(((1+'Instrumentos Financeiros'!$Q$43)^(1/12)-1),$F$13,-$I$84),0)</f>
        <v>0</v>
      </c>
      <c r="CG232" s="1312">
        <f t="shared" si="153"/>
        <v>0</v>
      </c>
      <c r="CH232" s="1312">
        <f>CI231*((1+'Instrumentos Financeiros'!$Q$43)^(1/12)-1)</f>
        <v>0</v>
      </c>
      <c r="CI232" s="1312">
        <f t="shared" si="154"/>
        <v>0</v>
      </c>
      <c r="CJ232" s="1312">
        <f>IF(AND(C232&gt;$F$85,'Instrumentos Financeiros'!C232&lt;'Instrumentos Financeiros'!$F$85+'Instrumentos Financeiros'!$F$13+1),PMT(((1+'Instrumentos Financeiros'!$Q$43)^(1/12)-1),$F$13,-$I$85),0)</f>
        <v>0</v>
      </c>
      <c r="CK232" s="1312">
        <f t="shared" si="155"/>
        <v>0</v>
      </c>
      <c r="CL232" s="1312">
        <f>CM231*((1+'Instrumentos Financeiros'!$Q$43)^(1/12)-1)</f>
        <v>0</v>
      </c>
      <c r="CM232" s="1312">
        <f t="shared" si="156"/>
        <v>0</v>
      </c>
      <c r="CN232" s="1312">
        <f>IF(AND(C232&gt;$F$86,'Instrumentos Financeiros'!C232&lt;'Instrumentos Financeiros'!$F$86+'Instrumentos Financeiros'!$F$13+1),PMT(((1+'Instrumentos Financeiros'!$Q$43)^(1/12)-1),$F$13,-$I$86),0)</f>
        <v>0</v>
      </c>
      <c r="CO232" s="1312">
        <f t="shared" si="157"/>
        <v>0</v>
      </c>
      <c r="CP232" s="1312">
        <f>CQ231*((1+'Instrumentos Financeiros'!$Q$43)^(1/12)-1)</f>
        <v>0</v>
      </c>
      <c r="CQ232" s="1312">
        <f t="shared" si="158"/>
        <v>0</v>
      </c>
      <c r="CR232" s="1312">
        <f t="shared" si="127"/>
        <v>399789.55023115332</v>
      </c>
      <c r="CS232" s="1312">
        <f t="shared" si="127"/>
        <v>234487.60840247458</v>
      </c>
      <c r="CT232" s="1312">
        <f t="shared" si="127"/>
        <v>165301.94182867865</v>
      </c>
      <c r="CU232" s="1312">
        <f t="shared" si="127"/>
        <v>38442591.510419719</v>
      </c>
    </row>
    <row r="233" spans="3:99" x14ac:dyDescent="0.35">
      <c r="C233" s="1315">
        <f t="shared" si="128"/>
        <v>140</v>
      </c>
      <c r="D233" s="1312">
        <f>IF(AND(C233&gt;$F$59,'Instrumentos Financeiros'!C233&lt;'Instrumentos Financeiros'!$F$59+'Instrumentos Financeiros'!$F$11+1),PMT(((1+'Instrumentos Financeiros'!$G$43)^(1/12)-1),$F$11,-$I$59),0)</f>
        <v>91768.589635900134</v>
      </c>
      <c r="E233" s="1312">
        <f t="shared" si="125"/>
        <v>59347.284582400069</v>
      </c>
      <c r="F233" s="1312">
        <f>G232*((1+'Instrumentos Financeiros'!$G$43)^(1/12)-1)</f>
        <v>32421.305053500066</v>
      </c>
      <c r="G233" s="1312">
        <f t="shared" si="159"/>
        <v>7883545.6802016031</v>
      </c>
      <c r="H233" s="1312">
        <f>IF(AND(C233&gt;$F$60,'Instrumentos Financeiros'!C233&lt;'Instrumentos Financeiros'!$F$60+'Instrumentos Financeiros'!$F$11+1),PMT(((1+'Instrumentos Financeiros'!$G$43)^(1/12)-1),$F$11,-$I$60),0)</f>
        <v>0</v>
      </c>
      <c r="I233" s="1312">
        <f t="shared" si="160"/>
        <v>0</v>
      </c>
      <c r="J233" s="1312">
        <f>K232*((1+'Instrumentos Financeiros'!$G$43)^(1/12)-1)</f>
        <v>0</v>
      </c>
      <c r="K233" s="1312">
        <f t="shared" si="129"/>
        <v>0</v>
      </c>
      <c r="L233" s="1312">
        <f>IF(AND(C233&gt;$F$61,'Instrumentos Financeiros'!C233&lt;'Instrumentos Financeiros'!$F$61+'Instrumentos Financeiros'!$F$11+1),PMT(((1+'Instrumentos Financeiros'!$G$43)^(1/12)-1),$F$11,-$I$61),0)</f>
        <v>0</v>
      </c>
      <c r="M233" s="1312">
        <f t="shared" si="161"/>
        <v>0</v>
      </c>
      <c r="N233" s="1312">
        <f>O232*((1+'Instrumentos Financeiros'!$G$43)^(1/12)-1)</f>
        <v>0</v>
      </c>
      <c r="O233" s="1312">
        <f t="shared" si="130"/>
        <v>0</v>
      </c>
      <c r="P233" s="1312">
        <f>IF(AND(C233&gt;$F$62,'Instrumentos Financeiros'!C233&lt;'Instrumentos Financeiros'!$F$62+'Instrumentos Financeiros'!$F$11+1),PMT(((1+'Instrumentos Financeiros'!$H$43)^(1/12)-1),$F$11,-$I$62),0)</f>
        <v>0</v>
      </c>
      <c r="Q233" s="1312">
        <f t="shared" si="162"/>
        <v>0</v>
      </c>
      <c r="R233" s="1312">
        <f>S232*((1+'Instrumentos Financeiros'!$H$43)^(1/12)-1)</f>
        <v>0</v>
      </c>
      <c r="S233" s="1312">
        <f t="shared" si="131"/>
        <v>0</v>
      </c>
      <c r="T233" s="1312">
        <f>IF(AND(C233&gt;$F$63,'Instrumentos Financeiros'!C233&lt;'Instrumentos Financeiros'!$F$63+'Instrumentos Financeiros'!$F$11+1),PMT(((1+'Instrumentos Financeiros'!$H$43)^(1/12)-1),$F$11,-$I$63),0)</f>
        <v>0</v>
      </c>
      <c r="U233" s="1312">
        <f t="shared" si="163"/>
        <v>0</v>
      </c>
      <c r="V233" s="1312">
        <f>W232*((1+'Instrumentos Financeiros'!$H$43)^(1/12)-1)</f>
        <v>0</v>
      </c>
      <c r="W233" s="1312">
        <f t="shared" si="132"/>
        <v>0</v>
      </c>
      <c r="X233" s="1312">
        <f>IF(AND(C233&gt;$F$64,'Instrumentos Financeiros'!C233&lt;'Instrumentos Financeiros'!$F$64+'Instrumentos Financeiros'!$F$11+1),PMT(((1+'Instrumentos Financeiros'!$H$43)^(1/12)-1),$F$11,-$I$64),0)</f>
        <v>0</v>
      </c>
      <c r="Y233" s="1312">
        <f t="shared" si="164"/>
        <v>0</v>
      </c>
      <c r="Z233" s="1312">
        <f>AA232*((1+'Instrumentos Financeiros'!$H$43)^(1/12)-1)</f>
        <v>0</v>
      </c>
      <c r="AA233" s="1312">
        <f t="shared" si="133"/>
        <v>0</v>
      </c>
      <c r="AB233" s="1312">
        <f>IF(AND(C233&gt;$F$65,'Instrumentos Financeiros'!C233&lt;'Instrumentos Financeiros'!$F$65+'Instrumentos Financeiros'!$F$11+1),PMT(((1+'Instrumentos Financeiros'!$H$43)^(1/12)-1),$F$11,-$I$65),0)</f>
        <v>76636.661022032335</v>
      </c>
      <c r="AC233" s="1312">
        <f t="shared" si="165"/>
        <v>44689.537990723868</v>
      </c>
      <c r="AD233" s="1312">
        <f>AE232*((1+'Instrumentos Financeiros'!$H$43)^(1/12)-1)</f>
        <v>31947.123031308471</v>
      </c>
      <c r="AE233" s="1312">
        <f t="shared" si="134"/>
        <v>7343618.3338025957</v>
      </c>
      <c r="AF233" s="1312">
        <f>IF(AND(C233&gt;$F$66,'Instrumentos Financeiros'!C233&lt;'Instrumentos Financeiros'!$F$66+'Instrumentos Financeiros'!$F$11+1),PMT(((1+'Instrumentos Financeiros'!$I$43)^(1/12)-1),$F$11,-$I$66),0)</f>
        <v>76636.661022032335</v>
      </c>
      <c r="AG233" s="1312">
        <f t="shared" si="166"/>
        <v>44114.801339404243</v>
      </c>
      <c r="AH233" s="1312">
        <f>AI232*((1+'Instrumentos Financeiros'!$I$43)^(1/12)-1)</f>
        <v>32521.859682628092</v>
      </c>
      <c r="AI233" s="1312">
        <f t="shared" si="135"/>
        <v>7477110.5579219237</v>
      </c>
      <c r="AJ233" s="1312">
        <f>IF(AND(C233&gt;$F$67,'Instrumentos Financeiros'!C233&lt;'Instrumentos Financeiros'!$F$67+'Instrumentos Financeiros'!$F$11+1),PMT(((1+'Instrumentos Financeiros'!$I$43)^(1/12)-1),$F$11,-$I$67),0)</f>
        <v>76636.661022032335</v>
      </c>
      <c r="AK233" s="1312">
        <f t="shared" si="167"/>
        <v>43547.456176858548</v>
      </c>
      <c r="AL233" s="1312">
        <f>AM232*((1+'Instrumentos Financeiros'!$I$43)^(1/12)-1)</f>
        <v>33089.204845173786</v>
      </c>
      <c r="AM233" s="1312">
        <f t="shared" si="136"/>
        <v>7608885.9848373188</v>
      </c>
      <c r="AN233" s="1312">
        <f>IF(AND(C233&gt;$F$68,'Instrumentos Financeiros'!C233&lt;'Instrumentos Financeiros'!$F$68+'Instrumentos Financeiros'!$F$11+1),PMT(((1+'Instrumentos Financeiros'!$I$43)^(1/12)-1),$F$11,-$I$68),0)</f>
        <v>76636.661022032335</v>
      </c>
      <c r="AO233" s="1312">
        <f t="shared" si="168"/>
        <v>42987.407443712757</v>
      </c>
      <c r="AP233" s="1312">
        <f>AQ232*((1+'Instrumentos Financeiros'!$I$43)^(1/12)-1)</f>
        <v>33649.253578319578</v>
      </c>
      <c r="AQ233" s="1312">
        <f t="shared" si="137"/>
        <v>7738966.6936822934</v>
      </c>
      <c r="AR233" s="1312">
        <f>IF(AND(C233&gt;$F$69,'Instrumentos Financeiros'!C233&lt;'Instrumentos Financeiros'!$F$69+'Instrumentos Financeiros'!$F$11+1),PMT(((1+'Instrumentos Financeiros'!$I$43)^(1/12)-1),$F$11,-$I$69),0)</f>
        <v>0</v>
      </c>
      <c r="AS233" s="1312">
        <f t="shared" si="169"/>
        <v>0</v>
      </c>
      <c r="AT233" s="1312">
        <f>AU232*((1+'Instrumentos Financeiros'!$I$43)^(1/12)-1)</f>
        <v>0</v>
      </c>
      <c r="AU233" s="1312">
        <f t="shared" si="138"/>
        <v>0</v>
      </c>
      <c r="AV233" s="1312">
        <f>IF(AND(C233&gt;$F$70,'Instrumentos Financeiros'!C233&lt;'Instrumentos Financeiros'!$F$70+'Instrumentos Financeiros'!$F$11+1),PMT(((1+'Instrumentos Financeiros'!$J$43)^(1/12)-1),$F$11,-$I$70),0)</f>
        <v>0</v>
      </c>
      <c r="AW233" s="1312">
        <f t="shared" si="170"/>
        <v>0</v>
      </c>
      <c r="AX233" s="1312">
        <f>AY232*((1+'Instrumentos Financeiros'!$J$43)^(1/12)-1)</f>
        <v>0</v>
      </c>
      <c r="AY233" s="1312">
        <f t="shared" si="139"/>
        <v>0</v>
      </c>
      <c r="AZ233" s="1312">
        <f>IF(AND(C233&gt;$F$71,'Instrumentos Financeiros'!C233&lt;'Instrumentos Financeiros'!$F$71+'Instrumentos Financeiros'!$F$11+1),PMT(((1+'Instrumentos Financeiros'!$J$43)^(1/12)-1),$F$11,-$I$71),0)</f>
        <v>0</v>
      </c>
      <c r="BA233" s="1312">
        <f t="shared" si="171"/>
        <v>0</v>
      </c>
      <c r="BB233" s="1312">
        <f>BC232*((1+'Instrumentos Financeiros'!$J$43)^(1/12)-1)</f>
        <v>0</v>
      </c>
      <c r="BC233" s="1312">
        <f t="shared" si="140"/>
        <v>0</v>
      </c>
      <c r="BD233" s="1312">
        <f>IF(AND(C233&gt;$F$72,'Instrumentos Financeiros'!C233&lt;'Instrumentos Financeiros'!$F$72+'Instrumentos Financeiros'!$F$11+1),PMT(((1+'Instrumentos Financeiros'!$J$43)^(1/12)-1),$F$11,-'Instrumentos Financeiros'!$G$7*$G$72),0)</f>
        <v>0</v>
      </c>
      <c r="BE233" s="1312">
        <f t="shared" si="172"/>
        <v>0</v>
      </c>
      <c r="BF233" s="1312">
        <f>BG232*((1+'Instrumentos Financeiros'!$J$43)^(1/12)-1)</f>
        <v>0</v>
      </c>
      <c r="BG233" s="1312">
        <f t="shared" si="141"/>
        <v>0</v>
      </c>
      <c r="BH233" s="1312">
        <f>IF(AND(C233&gt;$F$73,'Instrumentos Financeiros'!C233&lt;'Instrumentos Financeiros'!$F$73+'Instrumentos Financeiros'!$F$11+1),PMT(((1+'Instrumentos Financeiros'!$J$43)^(1/12)-1),$F$11,-$I$73),0)</f>
        <v>0</v>
      </c>
      <c r="BI233" s="1312">
        <f t="shared" si="173"/>
        <v>0</v>
      </c>
      <c r="BJ233" s="1312">
        <f>BK232*((1+'Instrumentos Financeiros'!$J$43)^(1/12)-1)</f>
        <v>0</v>
      </c>
      <c r="BK233" s="1312">
        <f t="shared" si="142"/>
        <v>0</v>
      </c>
      <c r="BL233" s="1312">
        <f>IF(AND(C233&gt;$F$77,'Instrumentos Financeiros'!C233&lt;'Instrumentos Financeiros'!$F$77+'Instrumentos Financeiros'!$F$12+1),PMT(((1+'Instrumentos Financeiros'!$K$43)^(1/12)-1),$F$12,-$I$77),0)</f>
        <v>368.57912678094596</v>
      </c>
      <c r="BM233" s="1312">
        <f t="shared" si="143"/>
        <v>204.08631250178613</v>
      </c>
      <c r="BN233" s="1312">
        <f>BO232*((1+'Instrumentos Financeiros'!$K$43)^(1/12)-1)</f>
        <v>164.49281427915983</v>
      </c>
      <c r="BO233" s="1312">
        <f t="shared" si="144"/>
        <v>37837.635109521878</v>
      </c>
      <c r="BP233" s="1312">
        <f>IF(AND(C233&gt;$F$78,'Instrumentos Financeiros'!C233&lt;'Instrumentos Financeiros'!$F$78+'Instrumentos Financeiros'!$F$12+1),PMT(((1+'Instrumentos Financeiros'!$L$43)^(1/12)-1),$F$12,-$I$78),0)</f>
        <v>368.57912678094596</v>
      </c>
      <c r="BQ233" s="1312">
        <f t="shared" si="145"/>
        <v>201.46162920674305</v>
      </c>
      <c r="BR233" s="1312">
        <f>BS232*((1+'Instrumentos Financeiros'!$L$43)^(1/12)-1)</f>
        <v>167.1174975742029</v>
      </c>
      <c r="BS233" s="1312">
        <f t="shared" si="146"/>
        <v>38447.261813960635</v>
      </c>
      <c r="BT233" s="1312">
        <f>IF(AND(C233&gt;$F$79,'Instrumentos Financeiros'!C233&lt;'Instrumentos Financeiros'!$F$79+'Instrumentos Financeiros'!$F$12+1),PMT(((1+'Instrumentos Financeiros'!$L$43)^(1/12)-1),$F$12,-$I$79),0)</f>
        <v>368.57912678094596</v>
      </c>
      <c r="BU233" s="1312">
        <f t="shared" si="147"/>
        <v>198.87070105340857</v>
      </c>
      <c r="BV233" s="1312">
        <f>BW232*((1+'Instrumentos Financeiros'!$L$43)^(1/12)-1)</f>
        <v>169.70842572753739</v>
      </c>
      <c r="BW233" s="1312">
        <f t="shared" si="148"/>
        <v>39049.048320750968</v>
      </c>
      <c r="BX233" s="1312">
        <f>IF(AND(C233&gt;$F$80,'Instrumentos Financeiros'!C233&lt;'Instrumentos Financeiros'!$F$80+'Instrumentos Financeiros'!$F$12+1),PMT(((1+'Instrumentos Financeiros'!$L$43)^(1/12)-1),$F$12,-$I$80),0)</f>
        <v>368.57912678094596</v>
      </c>
      <c r="BY233" s="1312">
        <f t="shared" si="149"/>
        <v>196.31309392861021</v>
      </c>
      <c r="BZ233" s="1312">
        <f>CA232*((1+'Instrumentos Financeiros'!$L$43)^(1/12)-1)</f>
        <v>172.26603285233574</v>
      </c>
      <c r="CA233" s="1312">
        <f t="shared" si="150"/>
        <v>39643.095459956123</v>
      </c>
      <c r="CB233" s="1312">
        <f>IF(AND(C233&gt;$F$83,'Instrumentos Financeiros'!C233&lt;'Instrumentos Financeiros'!$F$83+'Instrumentos Financeiros'!$F$13+1),PMT(((1+'Instrumentos Financeiros'!$P$43)^(1/12)-1),$F$13,-$I$83),0)</f>
        <v>0</v>
      </c>
      <c r="CC233" s="1312">
        <f t="shared" si="151"/>
        <v>0</v>
      </c>
      <c r="CD233" s="1312">
        <f>CE232*((1+'Instrumentos Financeiros'!$P$43)^(1/12)-1)</f>
        <v>0</v>
      </c>
      <c r="CE233" s="1312">
        <f t="shared" si="152"/>
        <v>0</v>
      </c>
      <c r="CF233" s="1312">
        <f>IF(AND(C233&gt;$F$84,'Instrumentos Financeiros'!C233&lt;'Instrumentos Financeiros'!$F$84+'Instrumentos Financeiros'!$F$13+1),PMT(((1+'Instrumentos Financeiros'!$Q$43)^(1/12)-1),$F$13,-$I$84),0)</f>
        <v>0</v>
      </c>
      <c r="CG233" s="1312">
        <f t="shared" si="153"/>
        <v>0</v>
      </c>
      <c r="CH233" s="1312">
        <f>CI232*((1+'Instrumentos Financeiros'!$Q$43)^(1/12)-1)</f>
        <v>0</v>
      </c>
      <c r="CI233" s="1312">
        <f t="shared" si="154"/>
        <v>0</v>
      </c>
      <c r="CJ233" s="1312">
        <f>IF(AND(C233&gt;$F$85,'Instrumentos Financeiros'!C233&lt;'Instrumentos Financeiros'!$F$85+'Instrumentos Financeiros'!$F$13+1),PMT(((1+'Instrumentos Financeiros'!$Q$43)^(1/12)-1),$F$13,-$I$85),0)</f>
        <v>0</v>
      </c>
      <c r="CK233" s="1312">
        <f t="shared" si="155"/>
        <v>0</v>
      </c>
      <c r="CL233" s="1312">
        <f>CM232*((1+'Instrumentos Financeiros'!$Q$43)^(1/12)-1)</f>
        <v>0</v>
      </c>
      <c r="CM233" s="1312">
        <f t="shared" si="156"/>
        <v>0</v>
      </c>
      <c r="CN233" s="1312">
        <f>IF(AND(C233&gt;$F$86,'Instrumentos Financeiros'!C233&lt;'Instrumentos Financeiros'!$F$86+'Instrumentos Financeiros'!$F$13+1),PMT(((1+'Instrumentos Financeiros'!$Q$43)^(1/12)-1),$F$13,-$I$86),0)</f>
        <v>0</v>
      </c>
      <c r="CO233" s="1312">
        <f t="shared" si="157"/>
        <v>0</v>
      </c>
      <c r="CP233" s="1312">
        <f>CQ232*((1+'Instrumentos Financeiros'!$Q$43)^(1/12)-1)</f>
        <v>0</v>
      </c>
      <c r="CQ233" s="1312">
        <f t="shared" si="158"/>
        <v>0</v>
      </c>
      <c r="CR233" s="1312">
        <f t="shared" si="127"/>
        <v>399789.55023115332</v>
      </c>
      <c r="CS233" s="1312">
        <f t="shared" si="127"/>
        <v>235487.21926979005</v>
      </c>
      <c r="CT233" s="1312">
        <f t="shared" si="127"/>
        <v>164302.33096136319</v>
      </c>
      <c r="CU233" s="1312">
        <f t="shared" si="127"/>
        <v>38207104.291149922</v>
      </c>
    </row>
    <row r="234" spans="3:99" x14ac:dyDescent="0.35">
      <c r="C234" s="1315">
        <f t="shared" si="128"/>
        <v>141</v>
      </c>
      <c r="D234" s="1312">
        <f>IF(AND(C234&gt;$F$59,'Instrumentos Financeiros'!C234&lt;'Instrumentos Financeiros'!$F$59+'Instrumentos Financeiros'!$F$11+1),PMT(((1+'Instrumentos Financeiros'!$G$43)^(1/12)-1),$F$11,-$I$59),0)</f>
        <v>91768.589635900134</v>
      </c>
      <c r="E234" s="1312">
        <f t="shared" si="125"/>
        <v>59589.5283626038</v>
      </c>
      <c r="F234" s="1312">
        <f>G233*((1+'Instrumentos Financeiros'!$G$43)^(1/12)-1)</f>
        <v>32179.061273296338</v>
      </c>
      <c r="G234" s="1312">
        <f t="shared" si="159"/>
        <v>7823956.1518389992</v>
      </c>
      <c r="H234" s="1312">
        <f>IF(AND(C234&gt;$F$60,'Instrumentos Financeiros'!C234&lt;'Instrumentos Financeiros'!$F$60+'Instrumentos Financeiros'!$F$11+1),PMT(((1+'Instrumentos Financeiros'!$G$43)^(1/12)-1),$F$11,-$I$60),0)</f>
        <v>0</v>
      </c>
      <c r="I234" s="1312">
        <f t="shared" si="160"/>
        <v>0</v>
      </c>
      <c r="J234" s="1312">
        <f>K233*((1+'Instrumentos Financeiros'!$G$43)^(1/12)-1)</f>
        <v>0</v>
      </c>
      <c r="K234" s="1312">
        <f t="shared" si="129"/>
        <v>0</v>
      </c>
      <c r="L234" s="1312">
        <f>IF(AND(C234&gt;$F$61,'Instrumentos Financeiros'!C234&lt;'Instrumentos Financeiros'!$F$61+'Instrumentos Financeiros'!$F$11+1),PMT(((1+'Instrumentos Financeiros'!$G$43)^(1/12)-1),$F$11,-$I$61),0)</f>
        <v>0</v>
      </c>
      <c r="M234" s="1312">
        <f t="shared" si="161"/>
        <v>0</v>
      </c>
      <c r="N234" s="1312">
        <f>O233*((1+'Instrumentos Financeiros'!$G$43)^(1/12)-1)</f>
        <v>0</v>
      </c>
      <c r="O234" s="1312">
        <f t="shared" si="130"/>
        <v>0</v>
      </c>
      <c r="P234" s="1312">
        <f>IF(AND(C234&gt;$F$62,'Instrumentos Financeiros'!C234&lt;'Instrumentos Financeiros'!$F$62+'Instrumentos Financeiros'!$F$11+1),PMT(((1+'Instrumentos Financeiros'!$H$43)^(1/12)-1),$F$11,-$I$62),0)</f>
        <v>0</v>
      </c>
      <c r="Q234" s="1312">
        <f t="shared" si="162"/>
        <v>0</v>
      </c>
      <c r="R234" s="1312">
        <f>S233*((1+'Instrumentos Financeiros'!$H$43)^(1/12)-1)</f>
        <v>0</v>
      </c>
      <c r="S234" s="1312">
        <f t="shared" si="131"/>
        <v>0</v>
      </c>
      <c r="T234" s="1312">
        <f>IF(AND(C234&gt;$F$63,'Instrumentos Financeiros'!C234&lt;'Instrumentos Financeiros'!$F$63+'Instrumentos Financeiros'!$F$11+1),PMT(((1+'Instrumentos Financeiros'!$H$43)^(1/12)-1),$F$11,-$I$63),0)</f>
        <v>0</v>
      </c>
      <c r="U234" s="1312">
        <f t="shared" si="163"/>
        <v>0</v>
      </c>
      <c r="V234" s="1312">
        <f>W233*((1+'Instrumentos Financeiros'!$H$43)^(1/12)-1)</f>
        <v>0</v>
      </c>
      <c r="W234" s="1312">
        <f t="shared" si="132"/>
        <v>0</v>
      </c>
      <c r="X234" s="1312">
        <f>IF(AND(C234&gt;$F$64,'Instrumentos Financeiros'!C234&lt;'Instrumentos Financeiros'!$F$64+'Instrumentos Financeiros'!$F$11+1),PMT(((1+'Instrumentos Financeiros'!$H$43)^(1/12)-1),$F$11,-$I$64),0)</f>
        <v>0</v>
      </c>
      <c r="Y234" s="1312">
        <f t="shared" si="164"/>
        <v>0</v>
      </c>
      <c r="Z234" s="1312">
        <f>AA233*((1+'Instrumentos Financeiros'!$H$43)^(1/12)-1)</f>
        <v>0</v>
      </c>
      <c r="AA234" s="1312">
        <f t="shared" si="133"/>
        <v>0</v>
      </c>
      <c r="AB234" s="1312">
        <f>IF(AND(C234&gt;$F$65,'Instrumentos Financeiros'!C234&lt;'Instrumentos Financeiros'!$F$65+'Instrumentos Financeiros'!$F$11+1),PMT(((1+'Instrumentos Financeiros'!$H$43)^(1/12)-1),$F$11,-$I$65),0)</f>
        <v>76636.661022032335</v>
      </c>
      <c r="AC234" s="1312">
        <f t="shared" si="165"/>
        <v>44882.776035642455</v>
      </c>
      <c r="AD234" s="1312">
        <f>AE233*((1+'Instrumentos Financeiros'!$H$43)^(1/12)-1)</f>
        <v>31753.884986389879</v>
      </c>
      <c r="AE234" s="1312">
        <f t="shared" si="134"/>
        <v>7298735.5577669535</v>
      </c>
      <c r="AF234" s="1312">
        <f>IF(AND(C234&gt;$F$66,'Instrumentos Financeiros'!C234&lt;'Instrumentos Financeiros'!$F$66+'Instrumentos Financeiros'!$F$11+1),PMT(((1+'Instrumentos Financeiros'!$I$43)^(1/12)-1),$F$11,-$I$66),0)</f>
        <v>76636.661022032335</v>
      </c>
      <c r="AG234" s="1312">
        <f t="shared" si="166"/>
        <v>44305.554216835379</v>
      </c>
      <c r="AH234" s="1312">
        <f>AI233*((1+'Instrumentos Financeiros'!$I$43)^(1/12)-1)</f>
        <v>32331.106805196956</v>
      </c>
      <c r="AI234" s="1312">
        <f t="shared" si="135"/>
        <v>7432805.003705088</v>
      </c>
      <c r="AJ234" s="1312">
        <f>IF(AND(C234&gt;$F$67,'Instrumentos Financeiros'!C234&lt;'Instrumentos Financeiros'!$F$67+'Instrumentos Financeiros'!$F$11+1),PMT(((1+'Instrumentos Financeiros'!$I$43)^(1/12)-1),$F$11,-$I$67),0)</f>
        <v>76636.661022032335</v>
      </c>
      <c r="AK234" s="1312">
        <f t="shared" si="167"/>
        <v>43735.755847679509</v>
      </c>
      <c r="AL234" s="1312">
        <f>AM233*((1+'Instrumentos Financeiros'!$I$43)^(1/12)-1)</f>
        <v>32900.905174352825</v>
      </c>
      <c r="AM234" s="1312">
        <f t="shared" si="136"/>
        <v>7565150.2289896393</v>
      </c>
      <c r="AN234" s="1312">
        <f>IF(AND(C234&gt;$F$68,'Instrumentos Financeiros'!C234&lt;'Instrumentos Financeiros'!$F$68+'Instrumentos Financeiros'!$F$11+1),PMT(((1+'Instrumentos Financeiros'!$I$43)^(1/12)-1),$F$11,-$I$68),0)</f>
        <v>76636.661022032335</v>
      </c>
      <c r="AO234" s="1312">
        <f t="shared" si="168"/>
        <v>43173.285457763079</v>
      </c>
      <c r="AP234" s="1312">
        <f>AQ233*((1+'Instrumentos Financeiros'!$I$43)^(1/12)-1)</f>
        <v>33463.375564269256</v>
      </c>
      <c r="AQ234" s="1312">
        <f t="shared" si="137"/>
        <v>7695793.4082245305</v>
      </c>
      <c r="AR234" s="1312">
        <f>IF(AND(C234&gt;$F$69,'Instrumentos Financeiros'!C234&lt;'Instrumentos Financeiros'!$F$69+'Instrumentos Financeiros'!$F$11+1),PMT(((1+'Instrumentos Financeiros'!$I$43)^(1/12)-1),$F$11,-$I$69),0)</f>
        <v>0</v>
      </c>
      <c r="AS234" s="1312">
        <f t="shared" si="169"/>
        <v>0</v>
      </c>
      <c r="AT234" s="1312">
        <f>AU233*((1+'Instrumentos Financeiros'!$I$43)^(1/12)-1)</f>
        <v>0</v>
      </c>
      <c r="AU234" s="1312">
        <f t="shared" si="138"/>
        <v>0</v>
      </c>
      <c r="AV234" s="1312">
        <f>IF(AND(C234&gt;$F$70,'Instrumentos Financeiros'!C234&lt;'Instrumentos Financeiros'!$F$70+'Instrumentos Financeiros'!$F$11+1),PMT(((1+'Instrumentos Financeiros'!$J$43)^(1/12)-1),$F$11,-$I$70),0)</f>
        <v>0</v>
      </c>
      <c r="AW234" s="1312">
        <f t="shared" si="170"/>
        <v>0</v>
      </c>
      <c r="AX234" s="1312">
        <f>AY233*((1+'Instrumentos Financeiros'!$J$43)^(1/12)-1)</f>
        <v>0</v>
      </c>
      <c r="AY234" s="1312">
        <f t="shared" si="139"/>
        <v>0</v>
      </c>
      <c r="AZ234" s="1312">
        <f>IF(AND(C234&gt;$F$71,'Instrumentos Financeiros'!C234&lt;'Instrumentos Financeiros'!$F$71+'Instrumentos Financeiros'!$F$11+1),PMT(((1+'Instrumentos Financeiros'!$J$43)^(1/12)-1),$F$11,-$I$71),0)</f>
        <v>0</v>
      </c>
      <c r="BA234" s="1312">
        <f t="shared" si="171"/>
        <v>0</v>
      </c>
      <c r="BB234" s="1312">
        <f>BC233*((1+'Instrumentos Financeiros'!$J$43)^(1/12)-1)</f>
        <v>0</v>
      </c>
      <c r="BC234" s="1312">
        <f t="shared" si="140"/>
        <v>0</v>
      </c>
      <c r="BD234" s="1312">
        <f>IF(AND(C234&gt;$F$72,'Instrumentos Financeiros'!C234&lt;'Instrumentos Financeiros'!$F$72+'Instrumentos Financeiros'!$F$11+1),PMT(((1+'Instrumentos Financeiros'!$J$43)^(1/12)-1),$F$11,-'Instrumentos Financeiros'!$G$7*$G$72),0)</f>
        <v>0</v>
      </c>
      <c r="BE234" s="1312">
        <f t="shared" si="172"/>
        <v>0</v>
      </c>
      <c r="BF234" s="1312">
        <f>BG233*((1+'Instrumentos Financeiros'!$J$43)^(1/12)-1)</f>
        <v>0</v>
      </c>
      <c r="BG234" s="1312">
        <f t="shared" si="141"/>
        <v>0</v>
      </c>
      <c r="BH234" s="1312">
        <f>IF(AND(C234&gt;$F$73,'Instrumentos Financeiros'!C234&lt;'Instrumentos Financeiros'!$F$73+'Instrumentos Financeiros'!$F$11+1),PMT(((1+'Instrumentos Financeiros'!$J$43)^(1/12)-1),$F$11,-$I$73),0)</f>
        <v>0</v>
      </c>
      <c r="BI234" s="1312">
        <f t="shared" si="173"/>
        <v>0</v>
      </c>
      <c r="BJ234" s="1312">
        <f>BK233*((1+'Instrumentos Financeiros'!$J$43)^(1/12)-1)</f>
        <v>0</v>
      </c>
      <c r="BK234" s="1312">
        <f t="shared" si="142"/>
        <v>0</v>
      </c>
      <c r="BL234" s="1312">
        <f>IF(AND(C234&gt;$F$77,'Instrumentos Financeiros'!C234&lt;'Instrumentos Financeiros'!$F$77+'Instrumentos Financeiros'!$F$12+1),PMT(((1+'Instrumentos Financeiros'!$K$43)^(1/12)-1),$F$12,-$I$77),0)</f>
        <v>368.57912678094596</v>
      </c>
      <c r="BM234" s="1312">
        <f t="shared" si="143"/>
        <v>204.96878392117463</v>
      </c>
      <c r="BN234" s="1312">
        <f>BO233*((1+'Instrumentos Financeiros'!$K$43)^(1/12)-1)</f>
        <v>163.61034285977132</v>
      </c>
      <c r="BO234" s="1312">
        <f t="shared" si="144"/>
        <v>37632.666325600701</v>
      </c>
      <c r="BP234" s="1312">
        <f>IF(AND(C234&gt;$F$78,'Instrumentos Financeiros'!C234&lt;'Instrumentos Financeiros'!$F$78+'Instrumentos Financeiros'!$F$12+1),PMT(((1+'Instrumentos Financeiros'!$L$43)^(1/12)-1),$F$12,-$I$78),0)</f>
        <v>368.57912678094596</v>
      </c>
      <c r="BQ234" s="1312">
        <f t="shared" si="145"/>
        <v>202.33275146721724</v>
      </c>
      <c r="BR234" s="1312">
        <f>BS233*((1+'Instrumentos Financeiros'!$L$43)^(1/12)-1)</f>
        <v>166.24637531372872</v>
      </c>
      <c r="BS234" s="1312">
        <f t="shared" si="146"/>
        <v>38244.929062493415</v>
      </c>
      <c r="BT234" s="1312">
        <f>IF(AND(C234&gt;$F$79,'Instrumentos Financeiros'!C234&lt;'Instrumentos Financeiros'!$F$79+'Instrumentos Financeiros'!$F$12+1),PMT(((1+'Instrumentos Financeiros'!$L$43)^(1/12)-1),$F$12,-$I$79),0)</f>
        <v>368.57912678094596</v>
      </c>
      <c r="BU234" s="1312">
        <f t="shared" si="147"/>
        <v>199.7306201125657</v>
      </c>
      <c r="BV234" s="1312">
        <f>BW233*((1+'Instrumentos Financeiros'!$L$43)^(1/12)-1)</f>
        <v>168.84850666838025</v>
      </c>
      <c r="BW234" s="1312">
        <f t="shared" si="148"/>
        <v>38849.317700638399</v>
      </c>
      <c r="BX234" s="1312">
        <f>IF(AND(C234&gt;$F$80,'Instrumentos Financeiros'!C234&lt;'Instrumentos Financeiros'!$F$80+'Instrumentos Financeiros'!$F$12+1),PMT(((1+'Instrumentos Financeiros'!$L$43)^(1/12)-1),$F$12,-$I$80),0)</f>
        <v>368.57912678094596</v>
      </c>
      <c r="BY234" s="1312">
        <f t="shared" si="149"/>
        <v>197.16195386693761</v>
      </c>
      <c r="BZ234" s="1312">
        <f>CA233*((1+'Instrumentos Financeiros'!$L$43)^(1/12)-1)</f>
        <v>171.41717291400835</v>
      </c>
      <c r="CA234" s="1312">
        <f t="shared" si="150"/>
        <v>39445.933506089183</v>
      </c>
      <c r="CB234" s="1312">
        <f>IF(AND(C234&gt;$F$83,'Instrumentos Financeiros'!C234&lt;'Instrumentos Financeiros'!$F$83+'Instrumentos Financeiros'!$F$13+1),PMT(((1+'Instrumentos Financeiros'!$P$43)^(1/12)-1),$F$13,-$I$83),0)</f>
        <v>0</v>
      </c>
      <c r="CC234" s="1312">
        <f t="shared" si="151"/>
        <v>0</v>
      </c>
      <c r="CD234" s="1312">
        <f>CE233*((1+'Instrumentos Financeiros'!$P$43)^(1/12)-1)</f>
        <v>0</v>
      </c>
      <c r="CE234" s="1312">
        <f t="shared" si="152"/>
        <v>0</v>
      </c>
      <c r="CF234" s="1312">
        <f>IF(AND(C234&gt;$F$84,'Instrumentos Financeiros'!C234&lt;'Instrumentos Financeiros'!$F$84+'Instrumentos Financeiros'!$F$13+1),PMT(((1+'Instrumentos Financeiros'!$Q$43)^(1/12)-1),$F$13,-$I$84),0)</f>
        <v>0</v>
      </c>
      <c r="CG234" s="1312">
        <f t="shared" si="153"/>
        <v>0</v>
      </c>
      <c r="CH234" s="1312">
        <f>CI233*((1+'Instrumentos Financeiros'!$Q$43)^(1/12)-1)</f>
        <v>0</v>
      </c>
      <c r="CI234" s="1312">
        <f t="shared" si="154"/>
        <v>0</v>
      </c>
      <c r="CJ234" s="1312">
        <f>IF(AND(C234&gt;$F$85,'Instrumentos Financeiros'!C234&lt;'Instrumentos Financeiros'!$F$85+'Instrumentos Financeiros'!$F$13+1),PMT(((1+'Instrumentos Financeiros'!$Q$43)^(1/12)-1),$F$13,-$I$85),0)</f>
        <v>0</v>
      </c>
      <c r="CK234" s="1312">
        <f t="shared" si="155"/>
        <v>0</v>
      </c>
      <c r="CL234" s="1312">
        <f>CM233*((1+'Instrumentos Financeiros'!$Q$43)^(1/12)-1)</f>
        <v>0</v>
      </c>
      <c r="CM234" s="1312">
        <f t="shared" si="156"/>
        <v>0</v>
      </c>
      <c r="CN234" s="1312">
        <f>IF(AND(C234&gt;$F$86,'Instrumentos Financeiros'!C234&lt;'Instrumentos Financeiros'!$F$86+'Instrumentos Financeiros'!$F$13+1),PMT(((1+'Instrumentos Financeiros'!$Q$43)^(1/12)-1),$F$13,-$I$86),0)</f>
        <v>0</v>
      </c>
      <c r="CO234" s="1312">
        <f t="shared" si="157"/>
        <v>0</v>
      </c>
      <c r="CP234" s="1312">
        <f>CQ233*((1+'Instrumentos Financeiros'!$Q$43)^(1/12)-1)</f>
        <v>0</v>
      </c>
      <c r="CQ234" s="1312">
        <f t="shared" si="158"/>
        <v>0</v>
      </c>
      <c r="CR234" s="1312">
        <f t="shared" si="127"/>
        <v>399789.55023115332</v>
      </c>
      <c r="CS234" s="1312">
        <f t="shared" si="127"/>
        <v>236491.09402989212</v>
      </c>
      <c r="CT234" s="1312">
        <f t="shared" si="127"/>
        <v>163298.45620126114</v>
      </c>
      <c r="CU234" s="1312">
        <f t="shared" si="127"/>
        <v>37970613.197120026</v>
      </c>
    </row>
    <row r="235" spans="3:99" x14ac:dyDescent="0.35">
      <c r="C235" s="1315">
        <f t="shared" si="128"/>
        <v>142</v>
      </c>
      <c r="D235" s="1312">
        <f>IF(AND(C235&gt;$F$59,'Instrumentos Financeiros'!C235&lt;'Instrumentos Financeiros'!$F$59+'Instrumentos Financeiros'!$F$11+1),PMT(((1+'Instrumentos Financeiros'!$G$43)^(1/12)-1),$F$11,-$I$59),0)</f>
        <v>91768.589635900134</v>
      </c>
      <c r="E235" s="1312">
        <f t="shared" si="125"/>
        <v>59832.760933608326</v>
      </c>
      <c r="F235" s="1312">
        <f>G234*((1+'Instrumentos Financeiros'!$G$43)^(1/12)-1)</f>
        <v>31935.828702291812</v>
      </c>
      <c r="G235" s="1312">
        <f t="shared" si="159"/>
        <v>7764123.3909053905</v>
      </c>
      <c r="H235" s="1312">
        <f>IF(AND(C235&gt;$F$60,'Instrumentos Financeiros'!C235&lt;'Instrumentos Financeiros'!$F$60+'Instrumentos Financeiros'!$F$11+1),PMT(((1+'Instrumentos Financeiros'!$G$43)^(1/12)-1),$F$11,-$I$60),0)</f>
        <v>0</v>
      </c>
      <c r="I235" s="1312">
        <f t="shared" si="160"/>
        <v>0</v>
      </c>
      <c r="J235" s="1312">
        <f>K234*((1+'Instrumentos Financeiros'!$G$43)^(1/12)-1)</f>
        <v>0</v>
      </c>
      <c r="K235" s="1312">
        <f t="shared" si="129"/>
        <v>0</v>
      </c>
      <c r="L235" s="1312">
        <f>IF(AND(C235&gt;$F$61,'Instrumentos Financeiros'!C235&lt;'Instrumentos Financeiros'!$F$61+'Instrumentos Financeiros'!$F$11+1),PMT(((1+'Instrumentos Financeiros'!$G$43)^(1/12)-1),$F$11,-$I$61),0)</f>
        <v>0</v>
      </c>
      <c r="M235" s="1312">
        <f t="shared" si="161"/>
        <v>0</v>
      </c>
      <c r="N235" s="1312">
        <f>O234*((1+'Instrumentos Financeiros'!$G$43)^(1/12)-1)</f>
        <v>0</v>
      </c>
      <c r="O235" s="1312">
        <f t="shared" si="130"/>
        <v>0</v>
      </c>
      <c r="P235" s="1312">
        <f>IF(AND(C235&gt;$F$62,'Instrumentos Financeiros'!C235&lt;'Instrumentos Financeiros'!$F$62+'Instrumentos Financeiros'!$F$11+1),PMT(((1+'Instrumentos Financeiros'!$H$43)^(1/12)-1),$F$11,-$I$62),0)</f>
        <v>0</v>
      </c>
      <c r="Q235" s="1312">
        <f t="shared" si="162"/>
        <v>0</v>
      </c>
      <c r="R235" s="1312">
        <f>S234*((1+'Instrumentos Financeiros'!$H$43)^(1/12)-1)</f>
        <v>0</v>
      </c>
      <c r="S235" s="1312">
        <f t="shared" si="131"/>
        <v>0</v>
      </c>
      <c r="T235" s="1312">
        <f>IF(AND(C235&gt;$F$63,'Instrumentos Financeiros'!C235&lt;'Instrumentos Financeiros'!$F$63+'Instrumentos Financeiros'!$F$11+1),PMT(((1+'Instrumentos Financeiros'!$H$43)^(1/12)-1),$F$11,-$I$63),0)</f>
        <v>0</v>
      </c>
      <c r="U235" s="1312">
        <f t="shared" si="163"/>
        <v>0</v>
      </c>
      <c r="V235" s="1312">
        <f>W234*((1+'Instrumentos Financeiros'!$H$43)^(1/12)-1)</f>
        <v>0</v>
      </c>
      <c r="W235" s="1312">
        <f t="shared" si="132"/>
        <v>0</v>
      </c>
      <c r="X235" s="1312">
        <f>IF(AND(C235&gt;$F$64,'Instrumentos Financeiros'!C235&lt;'Instrumentos Financeiros'!$F$64+'Instrumentos Financeiros'!$F$11+1),PMT(((1+'Instrumentos Financeiros'!$H$43)^(1/12)-1),$F$11,-$I$64),0)</f>
        <v>0</v>
      </c>
      <c r="Y235" s="1312">
        <f t="shared" si="164"/>
        <v>0</v>
      </c>
      <c r="Z235" s="1312">
        <f>AA234*((1+'Instrumentos Financeiros'!$H$43)^(1/12)-1)</f>
        <v>0</v>
      </c>
      <c r="AA235" s="1312">
        <f t="shared" si="133"/>
        <v>0</v>
      </c>
      <c r="AB235" s="1312">
        <f>IF(AND(C235&gt;$F$65,'Instrumentos Financeiros'!C235&lt;'Instrumentos Financeiros'!$F$65+'Instrumentos Financeiros'!$F$11+1),PMT(((1+'Instrumentos Financeiros'!$H$43)^(1/12)-1),$F$11,-$I$65),0)</f>
        <v>76636.661022032335</v>
      </c>
      <c r="AC235" s="1312">
        <f t="shared" si="165"/>
        <v>45076.849643954243</v>
      </c>
      <c r="AD235" s="1312">
        <f>AE234*((1+'Instrumentos Financeiros'!$H$43)^(1/12)-1)</f>
        <v>31559.811378078091</v>
      </c>
      <c r="AE235" s="1312">
        <f t="shared" si="134"/>
        <v>7253658.7081229994</v>
      </c>
      <c r="AF235" s="1312">
        <f>IF(AND(C235&gt;$F$66,'Instrumentos Financeiros'!C235&lt;'Instrumentos Financeiros'!$F$66+'Instrumentos Financeiros'!$F$11+1),PMT(((1+'Instrumentos Financeiros'!$I$43)^(1/12)-1),$F$11,-$I$66),0)</f>
        <v>76636.661022032335</v>
      </c>
      <c r="AG235" s="1312">
        <f t="shared" si="166"/>
        <v>44497.131911768658</v>
      </c>
      <c r="AH235" s="1312">
        <f>AI234*((1+'Instrumentos Financeiros'!$I$43)^(1/12)-1)</f>
        <v>32139.529110263677</v>
      </c>
      <c r="AI235" s="1312">
        <f t="shared" si="135"/>
        <v>7388307.8717933195</v>
      </c>
      <c r="AJ235" s="1312">
        <f>IF(AND(C235&gt;$F$67,'Instrumentos Financeiros'!C235&lt;'Instrumentos Financeiros'!$F$67+'Instrumentos Financeiros'!$F$11+1),PMT(((1+'Instrumentos Financeiros'!$I$43)^(1/12)-1),$F$11,-$I$67),0)</f>
        <v>76636.661022032335</v>
      </c>
      <c r="AK235" s="1312">
        <f t="shared" si="167"/>
        <v>43924.869728310732</v>
      </c>
      <c r="AL235" s="1312">
        <f>AM234*((1+'Instrumentos Financeiros'!$I$43)^(1/12)-1)</f>
        <v>32711.791293721599</v>
      </c>
      <c r="AM235" s="1312">
        <f t="shared" si="136"/>
        <v>7521225.3592613284</v>
      </c>
      <c r="AN235" s="1312">
        <f>IF(AND(C235&gt;$F$68,'Instrumentos Financeiros'!C235&lt;'Instrumentos Financeiros'!$F$68+'Instrumentos Financeiros'!$F$11+1),PMT(((1+'Instrumentos Financeiros'!$I$43)^(1/12)-1),$F$11,-$I$68),0)</f>
        <v>76636.661022032335</v>
      </c>
      <c r="AO235" s="1312">
        <f t="shared" si="168"/>
        <v>43359.967210353629</v>
      </c>
      <c r="AP235" s="1312">
        <f>AQ234*((1+'Instrumentos Financeiros'!$I$43)^(1/12)-1)</f>
        <v>33276.693811678706</v>
      </c>
      <c r="AQ235" s="1312">
        <f t="shared" si="137"/>
        <v>7652433.4410141772</v>
      </c>
      <c r="AR235" s="1312">
        <f>IF(AND(C235&gt;$F$69,'Instrumentos Financeiros'!C235&lt;'Instrumentos Financeiros'!$F$69+'Instrumentos Financeiros'!$F$11+1),PMT(((1+'Instrumentos Financeiros'!$I$43)^(1/12)-1),$F$11,-$I$69),0)</f>
        <v>0</v>
      </c>
      <c r="AS235" s="1312">
        <f t="shared" si="169"/>
        <v>0</v>
      </c>
      <c r="AT235" s="1312">
        <f>AU234*((1+'Instrumentos Financeiros'!$I$43)^(1/12)-1)</f>
        <v>0</v>
      </c>
      <c r="AU235" s="1312">
        <f t="shared" si="138"/>
        <v>0</v>
      </c>
      <c r="AV235" s="1312">
        <f>IF(AND(C235&gt;$F$70,'Instrumentos Financeiros'!C235&lt;'Instrumentos Financeiros'!$F$70+'Instrumentos Financeiros'!$F$11+1),PMT(((1+'Instrumentos Financeiros'!$J$43)^(1/12)-1),$F$11,-$I$70),0)</f>
        <v>0</v>
      </c>
      <c r="AW235" s="1312">
        <f t="shared" si="170"/>
        <v>0</v>
      </c>
      <c r="AX235" s="1312">
        <f>AY234*((1+'Instrumentos Financeiros'!$J$43)^(1/12)-1)</f>
        <v>0</v>
      </c>
      <c r="AY235" s="1312">
        <f t="shared" si="139"/>
        <v>0</v>
      </c>
      <c r="AZ235" s="1312">
        <f>IF(AND(C235&gt;$F$71,'Instrumentos Financeiros'!C235&lt;'Instrumentos Financeiros'!$F$71+'Instrumentos Financeiros'!$F$11+1),PMT(((1+'Instrumentos Financeiros'!$J$43)^(1/12)-1),$F$11,-$I$71),0)</f>
        <v>0</v>
      </c>
      <c r="BA235" s="1312">
        <f t="shared" si="171"/>
        <v>0</v>
      </c>
      <c r="BB235" s="1312">
        <f>BC234*((1+'Instrumentos Financeiros'!$J$43)^(1/12)-1)</f>
        <v>0</v>
      </c>
      <c r="BC235" s="1312">
        <f t="shared" si="140"/>
        <v>0</v>
      </c>
      <c r="BD235" s="1312">
        <f>IF(AND(C235&gt;$F$72,'Instrumentos Financeiros'!C235&lt;'Instrumentos Financeiros'!$F$72+'Instrumentos Financeiros'!$F$11+1),PMT(((1+'Instrumentos Financeiros'!$J$43)^(1/12)-1),$F$11,-'Instrumentos Financeiros'!$G$7*$G$72),0)</f>
        <v>0</v>
      </c>
      <c r="BE235" s="1312">
        <f t="shared" si="172"/>
        <v>0</v>
      </c>
      <c r="BF235" s="1312">
        <f>BG234*((1+'Instrumentos Financeiros'!$J$43)^(1/12)-1)</f>
        <v>0</v>
      </c>
      <c r="BG235" s="1312">
        <f t="shared" si="141"/>
        <v>0</v>
      </c>
      <c r="BH235" s="1312">
        <f>IF(AND(C235&gt;$F$73,'Instrumentos Financeiros'!C235&lt;'Instrumentos Financeiros'!$F$73+'Instrumentos Financeiros'!$F$11+1),PMT(((1+'Instrumentos Financeiros'!$J$43)^(1/12)-1),$F$11,-$I$73),0)</f>
        <v>0</v>
      </c>
      <c r="BI235" s="1312">
        <f t="shared" si="173"/>
        <v>0</v>
      </c>
      <c r="BJ235" s="1312">
        <f>BK234*((1+'Instrumentos Financeiros'!$J$43)^(1/12)-1)</f>
        <v>0</v>
      </c>
      <c r="BK235" s="1312">
        <f t="shared" si="142"/>
        <v>0</v>
      </c>
      <c r="BL235" s="1312">
        <f>IF(AND(C235&gt;$F$77,'Instrumentos Financeiros'!C235&lt;'Instrumentos Financeiros'!$F$77+'Instrumentos Financeiros'!$F$12+1),PMT(((1+'Instrumentos Financeiros'!$K$43)^(1/12)-1),$F$12,-$I$77),0)</f>
        <v>368.57912678094596</v>
      </c>
      <c r="BM235" s="1312">
        <f t="shared" si="143"/>
        <v>205.85507115651126</v>
      </c>
      <c r="BN235" s="1312">
        <f>BO234*((1+'Instrumentos Financeiros'!$K$43)^(1/12)-1)</f>
        <v>162.7240556244347</v>
      </c>
      <c r="BO235" s="1312">
        <f t="shared" si="144"/>
        <v>37426.81125444419</v>
      </c>
      <c r="BP235" s="1312">
        <f>IF(AND(C235&gt;$F$78,'Instrumentos Financeiros'!C235&lt;'Instrumentos Financeiros'!$F$78+'Instrumentos Financeiros'!$F$12+1),PMT(((1+'Instrumentos Financeiros'!$L$43)^(1/12)-1),$F$12,-$I$78),0)</f>
        <v>368.57912678094596</v>
      </c>
      <c r="BQ235" s="1312">
        <f t="shared" si="145"/>
        <v>203.20764046975381</v>
      </c>
      <c r="BR235" s="1312">
        <f>BS234*((1+'Instrumentos Financeiros'!$L$43)^(1/12)-1)</f>
        <v>165.37148631119214</v>
      </c>
      <c r="BS235" s="1312">
        <f t="shared" si="146"/>
        <v>38041.721422023664</v>
      </c>
      <c r="BT235" s="1312">
        <f>IF(AND(C235&gt;$F$79,'Instrumentos Financeiros'!C235&lt;'Instrumentos Financeiros'!$F$79+'Instrumentos Financeiros'!$F$12+1),PMT(((1+'Instrumentos Financeiros'!$L$43)^(1/12)-1),$F$12,-$I$79),0)</f>
        <v>368.57912678094596</v>
      </c>
      <c r="BU235" s="1312">
        <f t="shared" si="147"/>
        <v>200.59425747102176</v>
      </c>
      <c r="BV235" s="1312">
        <f>BW234*((1+'Instrumentos Financeiros'!$L$43)^(1/12)-1)</f>
        <v>167.98486930992419</v>
      </c>
      <c r="BW235" s="1312">
        <f t="shared" si="148"/>
        <v>38648.723443167379</v>
      </c>
      <c r="BX235" s="1312">
        <f>IF(AND(C235&gt;$F$80,'Instrumentos Financeiros'!C235&lt;'Instrumentos Financeiros'!$F$80+'Instrumentos Financeiros'!$F$12+1),PMT(((1+'Instrumentos Financeiros'!$L$43)^(1/12)-1),$F$12,-$I$80),0)</f>
        <v>368.57912678094596</v>
      </c>
      <c r="BY235" s="1312">
        <f t="shared" si="149"/>
        <v>198.014484284806</v>
      </c>
      <c r="BZ235" s="1312">
        <f>CA234*((1+'Instrumentos Financeiros'!$L$43)^(1/12)-1)</f>
        <v>170.56464249613995</v>
      </c>
      <c r="CA235" s="1312">
        <f t="shared" si="150"/>
        <v>39247.919021804373</v>
      </c>
      <c r="CB235" s="1312">
        <f>IF(AND(C235&gt;$F$83,'Instrumentos Financeiros'!C235&lt;'Instrumentos Financeiros'!$F$83+'Instrumentos Financeiros'!$F$13+1),PMT(((1+'Instrumentos Financeiros'!$P$43)^(1/12)-1),$F$13,-$I$83),0)</f>
        <v>0</v>
      </c>
      <c r="CC235" s="1312">
        <f t="shared" si="151"/>
        <v>0</v>
      </c>
      <c r="CD235" s="1312">
        <f>CE234*((1+'Instrumentos Financeiros'!$P$43)^(1/12)-1)</f>
        <v>0</v>
      </c>
      <c r="CE235" s="1312">
        <f t="shared" si="152"/>
        <v>0</v>
      </c>
      <c r="CF235" s="1312">
        <f>IF(AND(C235&gt;$F$84,'Instrumentos Financeiros'!C235&lt;'Instrumentos Financeiros'!$F$84+'Instrumentos Financeiros'!$F$13+1),PMT(((1+'Instrumentos Financeiros'!$Q$43)^(1/12)-1),$F$13,-$I$84),0)</f>
        <v>0</v>
      </c>
      <c r="CG235" s="1312">
        <f t="shared" si="153"/>
        <v>0</v>
      </c>
      <c r="CH235" s="1312">
        <f>CI234*((1+'Instrumentos Financeiros'!$Q$43)^(1/12)-1)</f>
        <v>0</v>
      </c>
      <c r="CI235" s="1312">
        <f t="shared" si="154"/>
        <v>0</v>
      </c>
      <c r="CJ235" s="1312">
        <f>IF(AND(C235&gt;$F$85,'Instrumentos Financeiros'!C235&lt;'Instrumentos Financeiros'!$F$85+'Instrumentos Financeiros'!$F$13+1),PMT(((1+'Instrumentos Financeiros'!$Q$43)^(1/12)-1),$F$13,-$I$85),0)</f>
        <v>0</v>
      </c>
      <c r="CK235" s="1312">
        <f t="shared" si="155"/>
        <v>0</v>
      </c>
      <c r="CL235" s="1312">
        <f>CM234*((1+'Instrumentos Financeiros'!$Q$43)^(1/12)-1)</f>
        <v>0</v>
      </c>
      <c r="CM235" s="1312">
        <f t="shared" si="156"/>
        <v>0</v>
      </c>
      <c r="CN235" s="1312">
        <f>IF(AND(C235&gt;$F$86,'Instrumentos Financeiros'!C235&lt;'Instrumentos Financeiros'!$F$86+'Instrumentos Financeiros'!$F$13+1),PMT(((1+'Instrumentos Financeiros'!$Q$43)^(1/12)-1),$F$13,-$I$86),0)</f>
        <v>0</v>
      </c>
      <c r="CO235" s="1312">
        <f t="shared" si="157"/>
        <v>0</v>
      </c>
      <c r="CP235" s="1312">
        <f>CQ234*((1+'Instrumentos Financeiros'!$Q$43)^(1/12)-1)</f>
        <v>0</v>
      </c>
      <c r="CQ235" s="1312">
        <f t="shared" si="158"/>
        <v>0</v>
      </c>
      <c r="CR235" s="1312">
        <f t="shared" si="127"/>
        <v>399789.55023115332</v>
      </c>
      <c r="CS235" s="1312">
        <f t="shared" si="127"/>
        <v>237499.25088137769</v>
      </c>
      <c r="CT235" s="1312">
        <f t="shared" si="127"/>
        <v>162290.2993497756</v>
      </c>
      <c r="CU235" s="1312">
        <f t="shared" si="127"/>
        <v>37733113.946238652</v>
      </c>
    </row>
    <row r="236" spans="3:99" x14ac:dyDescent="0.35">
      <c r="C236" s="1315">
        <f t="shared" si="128"/>
        <v>143</v>
      </c>
      <c r="D236" s="1312">
        <f>IF(AND(C236&gt;$F$59,'Instrumentos Financeiros'!C236&lt;'Instrumentos Financeiros'!$F$59+'Instrumentos Financeiros'!$F$11+1),PMT(((1+'Instrumentos Financeiros'!$G$43)^(1/12)-1),$F$11,-$I$59),0)</f>
        <v>91768.589635900134</v>
      </c>
      <c r="E236" s="1312">
        <f t="shared" si="125"/>
        <v>60076.986331460503</v>
      </c>
      <c r="F236" s="1312">
        <f>G235*((1+'Instrumentos Financeiros'!$G$43)^(1/12)-1)</f>
        <v>31691.603304439632</v>
      </c>
      <c r="G236" s="1312">
        <f t="shared" si="159"/>
        <v>7704046.4045739304</v>
      </c>
      <c r="H236" s="1312">
        <f>IF(AND(C236&gt;$F$60,'Instrumentos Financeiros'!C236&lt;'Instrumentos Financeiros'!$F$60+'Instrumentos Financeiros'!$F$11+1),PMT(((1+'Instrumentos Financeiros'!$G$43)^(1/12)-1),$F$11,-$I$60),0)</f>
        <v>0</v>
      </c>
      <c r="I236" s="1312">
        <f t="shared" si="160"/>
        <v>0</v>
      </c>
      <c r="J236" s="1312">
        <f>K235*((1+'Instrumentos Financeiros'!$G$43)^(1/12)-1)</f>
        <v>0</v>
      </c>
      <c r="K236" s="1312">
        <f t="shared" si="129"/>
        <v>0</v>
      </c>
      <c r="L236" s="1312">
        <f>IF(AND(C236&gt;$F$61,'Instrumentos Financeiros'!C236&lt;'Instrumentos Financeiros'!$F$61+'Instrumentos Financeiros'!$F$11+1),PMT(((1+'Instrumentos Financeiros'!$G$43)^(1/12)-1),$F$11,-$I$61),0)</f>
        <v>0</v>
      </c>
      <c r="M236" s="1312">
        <f t="shared" si="161"/>
        <v>0</v>
      </c>
      <c r="N236" s="1312">
        <f>O235*((1+'Instrumentos Financeiros'!$G$43)^(1/12)-1)</f>
        <v>0</v>
      </c>
      <c r="O236" s="1312">
        <f t="shared" si="130"/>
        <v>0</v>
      </c>
      <c r="P236" s="1312">
        <f>IF(AND(C236&gt;$F$62,'Instrumentos Financeiros'!C236&lt;'Instrumentos Financeiros'!$F$62+'Instrumentos Financeiros'!$F$11+1),PMT(((1+'Instrumentos Financeiros'!$H$43)^(1/12)-1),$F$11,-$I$62),0)</f>
        <v>0</v>
      </c>
      <c r="Q236" s="1312">
        <f t="shared" si="162"/>
        <v>0</v>
      </c>
      <c r="R236" s="1312">
        <f>S235*((1+'Instrumentos Financeiros'!$H$43)^(1/12)-1)</f>
        <v>0</v>
      </c>
      <c r="S236" s="1312">
        <f t="shared" si="131"/>
        <v>0</v>
      </c>
      <c r="T236" s="1312">
        <f>IF(AND(C236&gt;$F$63,'Instrumentos Financeiros'!C236&lt;'Instrumentos Financeiros'!$F$63+'Instrumentos Financeiros'!$F$11+1),PMT(((1+'Instrumentos Financeiros'!$H$43)^(1/12)-1),$F$11,-$I$63),0)</f>
        <v>0</v>
      </c>
      <c r="U236" s="1312">
        <f t="shared" si="163"/>
        <v>0</v>
      </c>
      <c r="V236" s="1312">
        <f>W235*((1+'Instrumentos Financeiros'!$H$43)^(1/12)-1)</f>
        <v>0</v>
      </c>
      <c r="W236" s="1312">
        <f t="shared" si="132"/>
        <v>0</v>
      </c>
      <c r="X236" s="1312">
        <f>IF(AND(C236&gt;$F$64,'Instrumentos Financeiros'!C236&lt;'Instrumentos Financeiros'!$F$64+'Instrumentos Financeiros'!$F$11+1),PMT(((1+'Instrumentos Financeiros'!$H$43)^(1/12)-1),$F$11,-$I$64),0)</f>
        <v>0</v>
      </c>
      <c r="Y236" s="1312">
        <f t="shared" si="164"/>
        <v>0</v>
      </c>
      <c r="Z236" s="1312">
        <f>AA235*((1+'Instrumentos Financeiros'!$H$43)^(1/12)-1)</f>
        <v>0</v>
      </c>
      <c r="AA236" s="1312">
        <f t="shared" si="133"/>
        <v>0</v>
      </c>
      <c r="AB236" s="1312">
        <f>IF(AND(C236&gt;$F$65,'Instrumentos Financeiros'!C236&lt;'Instrumentos Financeiros'!$F$65+'Instrumentos Financeiros'!$F$11+1),PMT(((1+'Instrumentos Financeiros'!$H$43)^(1/12)-1),$F$11,-$I$65),0)</f>
        <v>76636.661022032335</v>
      </c>
      <c r="AC236" s="1312">
        <f t="shared" si="165"/>
        <v>45271.762428644368</v>
      </c>
      <c r="AD236" s="1312">
        <f>AE235*((1+'Instrumentos Financeiros'!$H$43)^(1/12)-1)</f>
        <v>31364.898593387967</v>
      </c>
      <c r="AE236" s="1312">
        <f t="shared" si="134"/>
        <v>7208386.9456943553</v>
      </c>
      <c r="AF236" s="1312">
        <f>IF(AND(C236&gt;$F$66,'Instrumentos Financeiros'!C236&lt;'Instrumentos Financeiros'!$F$66+'Instrumentos Financeiros'!$F$11+1),PMT(((1+'Instrumentos Financeiros'!$I$43)^(1/12)-1),$F$11,-$I$66),0)</f>
        <v>76636.661022032335</v>
      </c>
      <c r="AG236" s="1312">
        <f t="shared" si="166"/>
        <v>44689.537990723868</v>
      </c>
      <c r="AH236" s="1312">
        <f>AI235*((1+'Instrumentos Financeiros'!$I$43)^(1/12)-1)</f>
        <v>31947.123031308471</v>
      </c>
      <c r="AI236" s="1312">
        <f t="shared" si="135"/>
        <v>7343618.3338025957</v>
      </c>
      <c r="AJ236" s="1312">
        <f>IF(AND(C236&gt;$F$67,'Instrumentos Financeiros'!C236&lt;'Instrumentos Financeiros'!$F$67+'Instrumentos Financeiros'!$F$11+1),PMT(((1+'Instrumentos Financeiros'!$I$43)^(1/12)-1),$F$11,-$I$67),0)</f>
        <v>76636.661022032335</v>
      </c>
      <c r="AK236" s="1312">
        <f t="shared" si="167"/>
        <v>44114.801339404243</v>
      </c>
      <c r="AL236" s="1312">
        <f>AM235*((1+'Instrumentos Financeiros'!$I$43)^(1/12)-1)</f>
        <v>32521.859682628092</v>
      </c>
      <c r="AM236" s="1312">
        <f t="shared" si="136"/>
        <v>7477110.5579219237</v>
      </c>
      <c r="AN236" s="1312">
        <f>IF(AND(C236&gt;$F$68,'Instrumentos Financeiros'!C236&lt;'Instrumentos Financeiros'!$F$68+'Instrumentos Financeiros'!$F$11+1),PMT(((1+'Instrumentos Financeiros'!$I$43)^(1/12)-1),$F$11,-$I$68),0)</f>
        <v>76636.661022032335</v>
      </c>
      <c r="AO236" s="1312">
        <f t="shared" si="168"/>
        <v>43547.456176858548</v>
      </c>
      <c r="AP236" s="1312">
        <f>AQ235*((1+'Instrumentos Financeiros'!$I$43)^(1/12)-1)</f>
        <v>33089.204845173786</v>
      </c>
      <c r="AQ236" s="1312">
        <f t="shared" si="137"/>
        <v>7608885.9848373188</v>
      </c>
      <c r="AR236" s="1312">
        <f>IF(AND(C236&gt;$F$69,'Instrumentos Financeiros'!C236&lt;'Instrumentos Financeiros'!$F$69+'Instrumentos Financeiros'!$F$11+1),PMT(((1+'Instrumentos Financeiros'!$I$43)^(1/12)-1),$F$11,-$I$69),0)</f>
        <v>0</v>
      </c>
      <c r="AS236" s="1312">
        <f t="shared" si="169"/>
        <v>0</v>
      </c>
      <c r="AT236" s="1312">
        <f>AU235*((1+'Instrumentos Financeiros'!$I$43)^(1/12)-1)</f>
        <v>0</v>
      </c>
      <c r="AU236" s="1312">
        <f t="shared" si="138"/>
        <v>0</v>
      </c>
      <c r="AV236" s="1312">
        <f>IF(AND(C236&gt;$F$70,'Instrumentos Financeiros'!C236&lt;'Instrumentos Financeiros'!$F$70+'Instrumentos Financeiros'!$F$11+1),PMT(((1+'Instrumentos Financeiros'!$J$43)^(1/12)-1),$F$11,-$I$70),0)</f>
        <v>0</v>
      </c>
      <c r="AW236" s="1312">
        <f t="shared" si="170"/>
        <v>0</v>
      </c>
      <c r="AX236" s="1312">
        <f>AY235*((1+'Instrumentos Financeiros'!$J$43)^(1/12)-1)</f>
        <v>0</v>
      </c>
      <c r="AY236" s="1312">
        <f t="shared" si="139"/>
        <v>0</v>
      </c>
      <c r="AZ236" s="1312">
        <f>IF(AND(C236&gt;$F$71,'Instrumentos Financeiros'!C236&lt;'Instrumentos Financeiros'!$F$71+'Instrumentos Financeiros'!$F$11+1),PMT(((1+'Instrumentos Financeiros'!$J$43)^(1/12)-1),$F$11,-$I$71),0)</f>
        <v>0</v>
      </c>
      <c r="BA236" s="1312">
        <f t="shared" si="171"/>
        <v>0</v>
      </c>
      <c r="BB236" s="1312">
        <f>BC235*((1+'Instrumentos Financeiros'!$J$43)^(1/12)-1)</f>
        <v>0</v>
      </c>
      <c r="BC236" s="1312">
        <f t="shared" si="140"/>
        <v>0</v>
      </c>
      <c r="BD236" s="1312">
        <f>IF(AND(C236&gt;$F$72,'Instrumentos Financeiros'!C236&lt;'Instrumentos Financeiros'!$F$72+'Instrumentos Financeiros'!$F$11+1),PMT(((1+'Instrumentos Financeiros'!$J$43)^(1/12)-1),$F$11,-'Instrumentos Financeiros'!$G$7*$G$72),0)</f>
        <v>0</v>
      </c>
      <c r="BE236" s="1312">
        <f t="shared" si="172"/>
        <v>0</v>
      </c>
      <c r="BF236" s="1312">
        <f>BG235*((1+'Instrumentos Financeiros'!$J$43)^(1/12)-1)</f>
        <v>0</v>
      </c>
      <c r="BG236" s="1312">
        <f t="shared" si="141"/>
        <v>0</v>
      </c>
      <c r="BH236" s="1312">
        <f>IF(AND(C236&gt;$F$73,'Instrumentos Financeiros'!C236&lt;'Instrumentos Financeiros'!$F$73+'Instrumentos Financeiros'!$F$11+1),PMT(((1+'Instrumentos Financeiros'!$J$43)^(1/12)-1),$F$11,-$I$73),0)</f>
        <v>0</v>
      </c>
      <c r="BI236" s="1312">
        <f t="shared" si="173"/>
        <v>0</v>
      </c>
      <c r="BJ236" s="1312">
        <f>BK235*((1+'Instrumentos Financeiros'!$J$43)^(1/12)-1)</f>
        <v>0</v>
      </c>
      <c r="BK236" s="1312">
        <f t="shared" si="142"/>
        <v>0</v>
      </c>
      <c r="BL236" s="1312">
        <f>IF(AND(C236&gt;$F$77,'Instrumentos Financeiros'!C236&lt;'Instrumentos Financeiros'!$F$77+'Instrumentos Financeiros'!$F$12+1),PMT(((1+'Instrumentos Financeiros'!$K$43)^(1/12)-1),$F$12,-$I$77),0)</f>
        <v>368.57912678094596</v>
      </c>
      <c r="BM236" s="1312">
        <f t="shared" si="143"/>
        <v>206.74519070742537</v>
      </c>
      <c r="BN236" s="1312">
        <f>BO235*((1+'Instrumentos Financeiros'!$K$43)^(1/12)-1)</f>
        <v>161.83393607352059</v>
      </c>
      <c r="BO236" s="1312">
        <f t="shared" si="144"/>
        <v>37220.066063736762</v>
      </c>
      <c r="BP236" s="1312">
        <f>IF(AND(C236&gt;$F$78,'Instrumentos Financeiros'!C236&lt;'Instrumentos Financeiros'!$F$78+'Instrumentos Financeiros'!$F$12+1),PMT(((1+'Instrumentos Financeiros'!$L$43)^(1/12)-1),$F$12,-$I$78),0)</f>
        <v>368.57912678094596</v>
      </c>
      <c r="BQ236" s="1312">
        <f t="shared" si="145"/>
        <v>204.08631250178613</v>
      </c>
      <c r="BR236" s="1312">
        <f>BS235*((1+'Instrumentos Financeiros'!$L$43)^(1/12)-1)</f>
        <v>164.49281427915983</v>
      </c>
      <c r="BS236" s="1312">
        <f t="shared" si="146"/>
        <v>37837.635109521878</v>
      </c>
      <c r="BT236" s="1312">
        <f>IF(AND(C236&gt;$F$79,'Instrumentos Financeiros'!C236&lt;'Instrumentos Financeiros'!$F$79+'Instrumentos Financeiros'!$F$12+1),PMT(((1+'Instrumentos Financeiros'!$L$43)^(1/12)-1),$F$12,-$I$79),0)</f>
        <v>368.57912678094596</v>
      </c>
      <c r="BU236" s="1312">
        <f t="shared" si="147"/>
        <v>201.46162920674305</v>
      </c>
      <c r="BV236" s="1312">
        <f>BW235*((1+'Instrumentos Financeiros'!$L$43)^(1/12)-1)</f>
        <v>167.1174975742029</v>
      </c>
      <c r="BW236" s="1312">
        <f t="shared" si="148"/>
        <v>38447.261813960635</v>
      </c>
      <c r="BX236" s="1312">
        <f>IF(AND(C236&gt;$F$80,'Instrumentos Financeiros'!C236&lt;'Instrumentos Financeiros'!$F$80+'Instrumentos Financeiros'!$F$12+1),PMT(((1+'Instrumentos Financeiros'!$L$43)^(1/12)-1),$F$12,-$I$80),0)</f>
        <v>368.57912678094596</v>
      </c>
      <c r="BY236" s="1312">
        <f t="shared" si="149"/>
        <v>198.87070105340857</v>
      </c>
      <c r="BZ236" s="1312">
        <f>CA235*((1+'Instrumentos Financeiros'!$L$43)^(1/12)-1)</f>
        <v>169.70842572753739</v>
      </c>
      <c r="CA236" s="1312">
        <f t="shared" si="150"/>
        <v>39049.048320750968</v>
      </c>
      <c r="CB236" s="1312">
        <f>IF(AND(C236&gt;$F$83,'Instrumentos Financeiros'!C236&lt;'Instrumentos Financeiros'!$F$83+'Instrumentos Financeiros'!$F$13+1),PMT(((1+'Instrumentos Financeiros'!$P$43)^(1/12)-1),$F$13,-$I$83),0)</f>
        <v>0</v>
      </c>
      <c r="CC236" s="1312">
        <f t="shared" si="151"/>
        <v>0</v>
      </c>
      <c r="CD236" s="1312">
        <f>CE235*((1+'Instrumentos Financeiros'!$P$43)^(1/12)-1)</f>
        <v>0</v>
      </c>
      <c r="CE236" s="1312">
        <f t="shared" si="152"/>
        <v>0</v>
      </c>
      <c r="CF236" s="1312">
        <f>IF(AND(C236&gt;$F$84,'Instrumentos Financeiros'!C236&lt;'Instrumentos Financeiros'!$F$84+'Instrumentos Financeiros'!$F$13+1),PMT(((1+'Instrumentos Financeiros'!$Q$43)^(1/12)-1),$F$13,-$I$84),0)</f>
        <v>0</v>
      </c>
      <c r="CG236" s="1312">
        <f t="shared" si="153"/>
        <v>0</v>
      </c>
      <c r="CH236" s="1312">
        <f>CI235*((1+'Instrumentos Financeiros'!$Q$43)^(1/12)-1)</f>
        <v>0</v>
      </c>
      <c r="CI236" s="1312">
        <f t="shared" si="154"/>
        <v>0</v>
      </c>
      <c r="CJ236" s="1312">
        <f>IF(AND(C236&gt;$F$85,'Instrumentos Financeiros'!C236&lt;'Instrumentos Financeiros'!$F$85+'Instrumentos Financeiros'!$F$13+1),PMT(((1+'Instrumentos Financeiros'!$Q$43)^(1/12)-1),$F$13,-$I$85),0)</f>
        <v>0</v>
      </c>
      <c r="CK236" s="1312">
        <f t="shared" si="155"/>
        <v>0</v>
      </c>
      <c r="CL236" s="1312">
        <f>CM235*((1+'Instrumentos Financeiros'!$Q$43)^(1/12)-1)</f>
        <v>0</v>
      </c>
      <c r="CM236" s="1312">
        <f t="shared" si="156"/>
        <v>0</v>
      </c>
      <c r="CN236" s="1312">
        <f>IF(AND(C236&gt;$F$86,'Instrumentos Financeiros'!C236&lt;'Instrumentos Financeiros'!$F$86+'Instrumentos Financeiros'!$F$13+1),PMT(((1+'Instrumentos Financeiros'!$Q$43)^(1/12)-1),$F$13,-$I$86),0)</f>
        <v>0</v>
      </c>
      <c r="CO236" s="1312">
        <f t="shared" si="157"/>
        <v>0</v>
      </c>
      <c r="CP236" s="1312">
        <f>CQ235*((1+'Instrumentos Financeiros'!$Q$43)^(1/12)-1)</f>
        <v>0</v>
      </c>
      <c r="CQ236" s="1312">
        <f t="shared" si="158"/>
        <v>0</v>
      </c>
      <c r="CR236" s="1312">
        <f t="shared" si="127"/>
        <v>399789.55023115332</v>
      </c>
      <c r="CS236" s="1312">
        <f t="shared" si="127"/>
        <v>238511.70810056088</v>
      </c>
      <c r="CT236" s="1312">
        <f t="shared" si="127"/>
        <v>161277.84213059235</v>
      </c>
      <c r="CU236" s="1312">
        <f t="shared" si="127"/>
        <v>37494602.238138095</v>
      </c>
    </row>
    <row r="237" spans="3:99" x14ac:dyDescent="0.35">
      <c r="C237" s="1316">
        <f t="shared" si="128"/>
        <v>144</v>
      </c>
      <c r="D237" s="1313">
        <f>IF(AND(C237&gt;$F$59,'Instrumentos Financeiros'!C237&lt;'Instrumentos Financeiros'!$F$59+'Instrumentos Financeiros'!$F$11+1),PMT(((1+'Instrumentos Financeiros'!$G$43)^(1/12)-1),$F$11,-$I$59),0)</f>
        <v>91768.589635900134</v>
      </c>
      <c r="E237" s="1313">
        <f t="shared" si="125"/>
        <v>60322.208608681532</v>
      </c>
      <c r="F237" s="1313">
        <f>G236*((1+'Instrumentos Financeiros'!$G$43)^(1/12)-1)</f>
        <v>31446.381027218602</v>
      </c>
      <c r="G237" s="1313">
        <f t="shared" si="159"/>
        <v>7643724.1959652491</v>
      </c>
      <c r="H237" s="1313">
        <f>IF(AND(C237&gt;$F$60,'Instrumentos Financeiros'!C237&lt;'Instrumentos Financeiros'!$F$60+'Instrumentos Financeiros'!$F$11+1),PMT(((1+'Instrumentos Financeiros'!$G$43)^(1/12)-1),$F$11,-$I$60),0)</f>
        <v>0</v>
      </c>
      <c r="I237" s="1313">
        <f t="shared" si="160"/>
        <v>0</v>
      </c>
      <c r="J237" s="1313">
        <f>K236*((1+'Instrumentos Financeiros'!$G$43)^(1/12)-1)</f>
        <v>0</v>
      </c>
      <c r="K237" s="1313">
        <f t="shared" si="129"/>
        <v>0</v>
      </c>
      <c r="L237" s="1313">
        <f>IF(AND(C237&gt;$F$61,'Instrumentos Financeiros'!C237&lt;'Instrumentos Financeiros'!$F$61+'Instrumentos Financeiros'!$F$11+1),PMT(((1+'Instrumentos Financeiros'!$G$43)^(1/12)-1),$F$11,-$I$61),0)</f>
        <v>0</v>
      </c>
      <c r="M237" s="1313">
        <f t="shared" si="161"/>
        <v>0</v>
      </c>
      <c r="N237" s="1313">
        <f>O236*((1+'Instrumentos Financeiros'!$G$43)^(1/12)-1)</f>
        <v>0</v>
      </c>
      <c r="O237" s="1313">
        <f t="shared" si="130"/>
        <v>0</v>
      </c>
      <c r="P237" s="1313">
        <f>IF(AND(C237&gt;$F$62,'Instrumentos Financeiros'!C237&lt;'Instrumentos Financeiros'!$F$62+'Instrumentos Financeiros'!$F$11+1),PMT(((1+'Instrumentos Financeiros'!$H$43)^(1/12)-1),$F$11,-$I$62),0)</f>
        <v>0</v>
      </c>
      <c r="Q237" s="1313">
        <f t="shared" si="162"/>
        <v>0</v>
      </c>
      <c r="R237" s="1313">
        <f>S236*((1+'Instrumentos Financeiros'!$H$43)^(1/12)-1)</f>
        <v>0</v>
      </c>
      <c r="S237" s="1313">
        <f t="shared" si="131"/>
        <v>0</v>
      </c>
      <c r="T237" s="1313">
        <f>IF(AND(C237&gt;$F$63,'Instrumentos Financeiros'!C237&lt;'Instrumentos Financeiros'!$F$63+'Instrumentos Financeiros'!$F$11+1),PMT(((1+'Instrumentos Financeiros'!$H$43)^(1/12)-1),$F$11,-$I$63),0)</f>
        <v>0</v>
      </c>
      <c r="U237" s="1313">
        <f t="shared" si="163"/>
        <v>0</v>
      </c>
      <c r="V237" s="1313">
        <f>W236*((1+'Instrumentos Financeiros'!$H$43)^(1/12)-1)</f>
        <v>0</v>
      </c>
      <c r="W237" s="1313">
        <f t="shared" si="132"/>
        <v>0</v>
      </c>
      <c r="X237" s="1313">
        <f>IF(AND(C237&gt;$F$64,'Instrumentos Financeiros'!C237&lt;'Instrumentos Financeiros'!$F$64+'Instrumentos Financeiros'!$F$11+1),PMT(((1+'Instrumentos Financeiros'!$H$43)^(1/12)-1),$F$11,-$I$64),0)</f>
        <v>0</v>
      </c>
      <c r="Y237" s="1313">
        <f t="shared" si="164"/>
        <v>0</v>
      </c>
      <c r="Z237" s="1313">
        <f>AA236*((1+'Instrumentos Financeiros'!$H$43)^(1/12)-1)</f>
        <v>0</v>
      </c>
      <c r="AA237" s="1313">
        <f t="shared" si="133"/>
        <v>0</v>
      </c>
      <c r="AB237" s="1313">
        <f>IF(AND(C237&gt;$F$65,'Instrumentos Financeiros'!C237&lt;'Instrumentos Financeiros'!$F$65+'Instrumentos Financeiros'!$F$11+1),PMT(((1+'Instrumentos Financeiros'!$H$43)^(1/12)-1),$F$11,-$I$65),0)</f>
        <v>76636.661022032335</v>
      </c>
      <c r="AC237" s="1313">
        <f t="shared" si="165"/>
        <v>45467.518018320552</v>
      </c>
      <c r="AD237" s="1313">
        <f>AE236*((1+'Instrumentos Financeiros'!$H$43)^(1/12)-1)</f>
        <v>31169.143003711786</v>
      </c>
      <c r="AE237" s="1313">
        <f t="shared" si="134"/>
        <v>7162919.4276760351</v>
      </c>
      <c r="AF237" s="1313">
        <f>IF(AND(C237&gt;$F$66,'Instrumentos Financeiros'!C237&lt;'Instrumentos Financeiros'!$F$66+'Instrumentos Financeiros'!$F$11+1),PMT(((1+'Instrumentos Financeiros'!$I$43)^(1/12)-1),$F$11,-$I$66),0)</f>
        <v>76636.661022032335</v>
      </c>
      <c r="AG237" s="1313">
        <f t="shared" si="166"/>
        <v>44882.776035642455</v>
      </c>
      <c r="AH237" s="1313">
        <f>AI236*((1+'Instrumentos Financeiros'!$I$43)^(1/12)-1)</f>
        <v>31753.884986389879</v>
      </c>
      <c r="AI237" s="1313">
        <f t="shared" si="135"/>
        <v>7298735.5577669535</v>
      </c>
      <c r="AJ237" s="1313">
        <f>IF(AND(C237&gt;$F$67,'Instrumentos Financeiros'!C237&lt;'Instrumentos Financeiros'!$F$67+'Instrumentos Financeiros'!$F$11+1),PMT(((1+'Instrumentos Financeiros'!$I$43)^(1/12)-1),$F$11,-$I$67),0)</f>
        <v>76636.661022032335</v>
      </c>
      <c r="AK237" s="1313">
        <f t="shared" si="167"/>
        <v>44305.554216835379</v>
      </c>
      <c r="AL237" s="1313">
        <f>AM236*((1+'Instrumentos Financeiros'!$I$43)^(1/12)-1)</f>
        <v>32331.106805196956</v>
      </c>
      <c r="AM237" s="1313">
        <f t="shared" si="136"/>
        <v>7432805.003705088</v>
      </c>
      <c r="AN237" s="1313">
        <f>IF(AND(C237&gt;$F$68,'Instrumentos Financeiros'!C237&lt;'Instrumentos Financeiros'!$F$68+'Instrumentos Financeiros'!$F$11+1),PMT(((1+'Instrumentos Financeiros'!$I$43)^(1/12)-1),$F$11,-$I$68),0)</f>
        <v>76636.661022032335</v>
      </c>
      <c r="AO237" s="1313">
        <f t="shared" si="168"/>
        <v>43735.755847679509</v>
      </c>
      <c r="AP237" s="1313">
        <f>AQ236*((1+'Instrumentos Financeiros'!$I$43)^(1/12)-1)</f>
        <v>32900.905174352825</v>
      </c>
      <c r="AQ237" s="1313">
        <f t="shared" si="137"/>
        <v>7565150.2289896393</v>
      </c>
      <c r="AR237" s="1313">
        <f>IF(AND(C237&gt;$F$69,'Instrumentos Financeiros'!C237&lt;'Instrumentos Financeiros'!$F$69+'Instrumentos Financeiros'!$F$11+1),PMT(((1+'Instrumentos Financeiros'!$I$43)^(1/12)-1),$F$11,-$I$69),0)</f>
        <v>0</v>
      </c>
      <c r="AS237" s="1313">
        <f t="shared" si="169"/>
        <v>0</v>
      </c>
      <c r="AT237" s="1313">
        <f>AU236*((1+'Instrumentos Financeiros'!$I$43)^(1/12)-1)</f>
        <v>0</v>
      </c>
      <c r="AU237" s="1313">
        <f t="shared" si="138"/>
        <v>0</v>
      </c>
      <c r="AV237" s="1313">
        <f>IF(AND(C237&gt;$F$70,'Instrumentos Financeiros'!C237&lt;'Instrumentos Financeiros'!$F$70+'Instrumentos Financeiros'!$F$11+1),PMT(((1+'Instrumentos Financeiros'!$J$43)^(1/12)-1),$F$11,-$I$70),0)</f>
        <v>0</v>
      </c>
      <c r="AW237" s="1313">
        <f t="shared" si="170"/>
        <v>0</v>
      </c>
      <c r="AX237" s="1313">
        <f>AY236*((1+'Instrumentos Financeiros'!$J$43)^(1/12)-1)</f>
        <v>0</v>
      </c>
      <c r="AY237" s="1313">
        <f t="shared" si="139"/>
        <v>0</v>
      </c>
      <c r="AZ237" s="1313">
        <f>IF(AND(C237&gt;$F$71,'Instrumentos Financeiros'!C237&lt;'Instrumentos Financeiros'!$F$71+'Instrumentos Financeiros'!$F$11+1),PMT(((1+'Instrumentos Financeiros'!$J$43)^(1/12)-1),$F$11,-$I$71),0)</f>
        <v>0</v>
      </c>
      <c r="BA237" s="1313">
        <f t="shared" si="171"/>
        <v>0</v>
      </c>
      <c r="BB237" s="1313">
        <f>BC236*((1+'Instrumentos Financeiros'!$J$43)^(1/12)-1)</f>
        <v>0</v>
      </c>
      <c r="BC237" s="1313">
        <f t="shared" si="140"/>
        <v>0</v>
      </c>
      <c r="BD237" s="1313">
        <f>IF(AND(C237&gt;$F$72,'Instrumentos Financeiros'!C237&lt;'Instrumentos Financeiros'!$F$72+'Instrumentos Financeiros'!$F$11+1),PMT(((1+'Instrumentos Financeiros'!$J$43)^(1/12)-1),$F$11,-'Instrumentos Financeiros'!$G$7*$G$72),0)</f>
        <v>0</v>
      </c>
      <c r="BE237" s="1313">
        <f t="shared" si="172"/>
        <v>0</v>
      </c>
      <c r="BF237" s="1313">
        <f>BG236*((1+'Instrumentos Financeiros'!$J$43)^(1/12)-1)</f>
        <v>0</v>
      </c>
      <c r="BG237" s="1313">
        <f t="shared" si="141"/>
        <v>0</v>
      </c>
      <c r="BH237" s="1313">
        <f>IF(AND(C237&gt;$F$73,'Instrumentos Financeiros'!C237&lt;'Instrumentos Financeiros'!$F$73+'Instrumentos Financeiros'!$F$11+1),PMT(((1+'Instrumentos Financeiros'!$J$43)^(1/12)-1),$F$11,-$I$73),0)</f>
        <v>0</v>
      </c>
      <c r="BI237" s="1313">
        <f t="shared" si="173"/>
        <v>0</v>
      </c>
      <c r="BJ237" s="1313">
        <f>BK236*((1+'Instrumentos Financeiros'!$J$43)^(1/12)-1)</f>
        <v>0</v>
      </c>
      <c r="BK237" s="1313">
        <f t="shared" si="142"/>
        <v>0</v>
      </c>
      <c r="BL237" s="1313">
        <f>IF(AND(C237&gt;$F$77,'Instrumentos Financeiros'!C237&lt;'Instrumentos Financeiros'!$F$77+'Instrumentos Financeiros'!$F$12+1),PMT(((1+'Instrumentos Financeiros'!$K$43)^(1/12)-1),$F$12,-$I$77),0)</f>
        <v>368.57912678094596</v>
      </c>
      <c r="BM237" s="1313">
        <f t="shared" si="143"/>
        <v>207.63915914489093</v>
      </c>
      <c r="BN237" s="1313">
        <f>BO236*((1+'Instrumentos Financeiros'!$K$43)^(1/12)-1)</f>
        <v>160.93996763605503</v>
      </c>
      <c r="BO237" s="1313">
        <f t="shared" si="144"/>
        <v>37012.42690459187</v>
      </c>
      <c r="BP237" s="1313">
        <f>IF(AND(C237&gt;$F$78,'Instrumentos Financeiros'!C237&lt;'Instrumentos Financeiros'!$F$78+'Instrumentos Financeiros'!$F$12+1),PMT(((1+'Instrumentos Financeiros'!$L$43)^(1/12)-1),$F$12,-$I$78),0)</f>
        <v>368.57912678094596</v>
      </c>
      <c r="BQ237" s="1313">
        <f t="shared" si="145"/>
        <v>204.96878392117463</v>
      </c>
      <c r="BR237" s="1313">
        <f>BS236*((1+'Instrumentos Financeiros'!$L$43)^(1/12)-1)</f>
        <v>163.61034285977132</v>
      </c>
      <c r="BS237" s="1313">
        <f t="shared" si="146"/>
        <v>37632.666325600701</v>
      </c>
      <c r="BT237" s="1313">
        <f>IF(AND(C237&gt;$F$79,'Instrumentos Financeiros'!C237&lt;'Instrumentos Financeiros'!$F$79+'Instrumentos Financeiros'!$F$12+1),PMT(((1+'Instrumentos Financeiros'!$L$43)^(1/12)-1),$F$12,-$I$79),0)</f>
        <v>368.57912678094596</v>
      </c>
      <c r="BU237" s="1313">
        <f t="shared" si="147"/>
        <v>202.33275146721724</v>
      </c>
      <c r="BV237" s="1313">
        <f>BW236*((1+'Instrumentos Financeiros'!$L$43)^(1/12)-1)</f>
        <v>166.24637531372872</v>
      </c>
      <c r="BW237" s="1313">
        <f t="shared" si="148"/>
        <v>38244.929062493415</v>
      </c>
      <c r="BX237" s="1313">
        <f>IF(AND(C237&gt;$F$80,'Instrumentos Financeiros'!C237&lt;'Instrumentos Financeiros'!$F$80+'Instrumentos Financeiros'!$F$12+1),PMT(((1+'Instrumentos Financeiros'!$L$43)^(1/12)-1),$F$12,-$I$80),0)</f>
        <v>368.57912678094596</v>
      </c>
      <c r="BY237" s="1313">
        <f t="shared" si="149"/>
        <v>199.7306201125657</v>
      </c>
      <c r="BZ237" s="1313">
        <f>CA236*((1+'Instrumentos Financeiros'!$L$43)^(1/12)-1)</f>
        <v>168.84850666838025</v>
      </c>
      <c r="CA237" s="1313">
        <f t="shared" si="150"/>
        <v>38849.317700638399</v>
      </c>
      <c r="CB237" s="1313">
        <f>IF(AND(C237&gt;$F$83,'Instrumentos Financeiros'!C237&lt;'Instrumentos Financeiros'!$F$83+'Instrumentos Financeiros'!$F$13+1),PMT(((1+'Instrumentos Financeiros'!$P$43)^(1/12)-1),$F$13,-$I$83),0)</f>
        <v>0</v>
      </c>
      <c r="CC237" s="1313">
        <f t="shared" si="151"/>
        <v>0</v>
      </c>
      <c r="CD237" s="1313">
        <f>CE236*((1+'Instrumentos Financeiros'!$P$43)^(1/12)-1)</f>
        <v>0</v>
      </c>
      <c r="CE237" s="1313">
        <f t="shared" si="152"/>
        <v>0</v>
      </c>
      <c r="CF237" s="1313">
        <f>IF(AND(C237&gt;$F$84,'Instrumentos Financeiros'!C237&lt;'Instrumentos Financeiros'!$F$84+'Instrumentos Financeiros'!$F$13+1),PMT(((1+'Instrumentos Financeiros'!$Q$43)^(1/12)-1),$F$13,-$I$84),0)</f>
        <v>0</v>
      </c>
      <c r="CG237" s="1313">
        <f t="shared" si="153"/>
        <v>0</v>
      </c>
      <c r="CH237" s="1313">
        <f>CI236*((1+'Instrumentos Financeiros'!$Q$43)^(1/12)-1)</f>
        <v>0</v>
      </c>
      <c r="CI237" s="1313">
        <f t="shared" si="154"/>
        <v>0</v>
      </c>
      <c r="CJ237" s="1313">
        <f>IF(AND(C237&gt;$F$85,'Instrumentos Financeiros'!C237&lt;'Instrumentos Financeiros'!$F$85+'Instrumentos Financeiros'!$F$13+1),PMT(((1+'Instrumentos Financeiros'!$Q$43)^(1/12)-1),$F$13,-$I$85),0)</f>
        <v>0</v>
      </c>
      <c r="CK237" s="1313">
        <f t="shared" si="155"/>
        <v>0</v>
      </c>
      <c r="CL237" s="1313">
        <f>CM236*((1+'Instrumentos Financeiros'!$Q$43)^(1/12)-1)</f>
        <v>0</v>
      </c>
      <c r="CM237" s="1313">
        <f t="shared" si="156"/>
        <v>0</v>
      </c>
      <c r="CN237" s="1313">
        <f>IF(AND(C237&gt;$F$86,'Instrumentos Financeiros'!C237&lt;'Instrumentos Financeiros'!$F$86+'Instrumentos Financeiros'!$F$13+1),PMT(((1+'Instrumentos Financeiros'!$Q$43)^(1/12)-1),$F$13,-$I$86),0)</f>
        <v>0</v>
      </c>
      <c r="CO237" s="1313">
        <f t="shared" si="157"/>
        <v>0</v>
      </c>
      <c r="CP237" s="1313">
        <f>CQ236*((1+'Instrumentos Financeiros'!$Q$43)^(1/12)-1)</f>
        <v>0</v>
      </c>
      <c r="CQ237" s="1313">
        <f t="shared" si="158"/>
        <v>0</v>
      </c>
      <c r="CR237" s="1313">
        <f t="shared" si="127"/>
        <v>399789.55023115332</v>
      </c>
      <c r="CS237" s="1313">
        <f t="shared" si="127"/>
        <v>239528.48404180529</v>
      </c>
      <c r="CT237" s="1313">
        <f t="shared" si="127"/>
        <v>160261.06618934797</v>
      </c>
      <c r="CU237" s="1313">
        <f t="shared" si="127"/>
        <v>37255073.754096285</v>
      </c>
    </row>
    <row r="238" spans="3:99" x14ac:dyDescent="0.35">
      <c r="C238" s="1315">
        <f t="shared" si="128"/>
        <v>145</v>
      </c>
      <c r="D238" s="1312">
        <f>IF(AND(C238&gt;$F$59,'Instrumentos Financeiros'!C238&lt;'Instrumentos Financeiros'!$F$59+'Instrumentos Financeiros'!$F$11+1),PMT(((1+'Instrumentos Financeiros'!$G$43)^(1/12)-1),$F$11,-$I$59),0)</f>
        <v>91768.589635900134</v>
      </c>
      <c r="E238" s="1312">
        <f t="shared" si="125"/>
        <v>60568.431834334187</v>
      </c>
      <c r="F238" s="1312">
        <f>G237*((1+'Instrumentos Financeiros'!$G$43)^(1/12)-1)</f>
        <v>31200.157801565943</v>
      </c>
      <c r="G238" s="1312">
        <f t="shared" si="159"/>
        <v>7583155.7641309146</v>
      </c>
      <c r="H238" s="1312">
        <f>IF(AND(C238&gt;$F$60,'Instrumentos Financeiros'!C238&lt;'Instrumentos Financeiros'!$F$60+'Instrumentos Financeiros'!$F$11+1),PMT(((1+'Instrumentos Financeiros'!$G$43)^(1/12)-1),$F$11,-$I$60),0)</f>
        <v>0</v>
      </c>
      <c r="I238" s="1312">
        <f t="shared" si="160"/>
        <v>0</v>
      </c>
      <c r="J238" s="1312">
        <f>K237*((1+'Instrumentos Financeiros'!$G$43)^(1/12)-1)</f>
        <v>0</v>
      </c>
      <c r="K238" s="1312">
        <f t="shared" si="129"/>
        <v>0</v>
      </c>
      <c r="L238" s="1312">
        <f>IF(AND(C238&gt;$F$61,'Instrumentos Financeiros'!C238&lt;'Instrumentos Financeiros'!$F$61+'Instrumentos Financeiros'!$F$11+1),PMT(((1+'Instrumentos Financeiros'!$G$43)^(1/12)-1),$F$11,-$I$61),0)</f>
        <v>0</v>
      </c>
      <c r="M238" s="1312">
        <f t="shared" si="161"/>
        <v>0</v>
      </c>
      <c r="N238" s="1312">
        <f>O237*((1+'Instrumentos Financeiros'!$G$43)^(1/12)-1)</f>
        <v>0</v>
      </c>
      <c r="O238" s="1312">
        <f t="shared" si="130"/>
        <v>0</v>
      </c>
      <c r="P238" s="1312">
        <f>IF(AND(C238&gt;$F$62,'Instrumentos Financeiros'!C238&lt;'Instrumentos Financeiros'!$F$62+'Instrumentos Financeiros'!$F$11+1),PMT(((1+'Instrumentos Financeiros'!$H$43)^(1/12)-1),$F$11,-$I$62),0)</f>
        <v>0</v>
      </c>
      <c r="Q238" s="1312">
        <f t="shared" si="162"/>
        <v>0</v>
      </c>
      <c r="R238" s="1312">
        <f>S237*((1+'Instrumentos Financeiros'!$H$43)^(1/12)-1)</f>
        <v>0</v>
      </c>
      <c r="S238" s="1312">
        <f t="shared" si="131"/>
        <v>0</v>
      </c>
      <c r="T238" s="1312">
        <f>IF(AND(C238&gt;$F$63,'Instrumentos Financeiros'!C238&lt;'Instrumentos Financeiros'!$F$63+'Instrumentos Financeiros'!$F$11+1),PMT(((1+'Instrumentos Financeiros'!$H$43)^(1/12)-1),$F$11,-$I$63),0)</f>
        <v>0</v>
      </c>
      <c r="U238" s="1312">
        <f t="shared" si="163"/>
        <v>0</v>
      </c>
      <c r="V238" s="1312">
        <f>W237*((1+'Instrumentos Financeiros'!$H$43)^(1/12)-1)</f>
        <v>0</v>
      </c>
      <c r="W238" s="1312">
        <f t="shared" si="132"/>
        <v>0</v>
      </c>
      <c r="X238" s="1312">
        <f>IF(AND(C238&gt;$F$64,'Instrumentos Financeiros'!C238&lt;'Instrumentos Financeiros'!$F$64+'Instrumentos Financeiros'!$F$11+1),PMT(((1+'Instrumentos Financeiros'!$H$43)^(1/12)-1),$F$11,-$I$64),0)</f>
        <v>0</v>
      </c>
      <c r="Y238" s="1312">
        <f t="shared" si="164"/>
        <v>0</v>
      </c>
      <c r="Z238" s="1312">
        <f>AA237*((1+'Instrumentos Financeiros'!$H$43)^(1/12)-1)</f>
        <v>0</v>
      </c>
      <c r="AA238" s="1312">
        <f t="shared" si="133"/>
        <v>0</v>
      </c>
      <c r="AB238" s="1312">
        <f>IF(AND(C238&gt;$F$65,'Instrumentos Financeiros'!C238&lt;'Instrumentos Financeiros'!$F$65+'Instrumentos Financeiros'!$F$11+1),PMT(((1+'Instrumentos Financeiros'!$H$43)^(1/12)-1),$F$11,-$I$65),0)</f>
        <v>76636.661022032335</v>
      </c>
      <c r="AC238" s="1312">
        <f t="shared" si="165"/>
        <v>45664.120057280641</v>
      </c>
      <c r="AD238" s="1312">
        <f>AE237*((1+'Instrumentos Financeiros'!$H$43)^(1/12)-1)</f>
        <v>30972.54096475169</v>
      </c>
      <c r="AE238" s="1312">
        <f t="shared" si="134"/>
        <v>7117255.307618754</v>
      </c>
      <c r="AF238" s="1312">
        <f>IF(AND(C238&gt;$F$66,'Instrumentos Financeiros'!C238&lt;'Instrumentos Financeiros'!$F$66+'Instrumentos Financeiros'!$F$11+1),PMT(((1+'Instrumentos Financeiros'!$I$43)^(1/12)-1),$F$11,-$I$66),0)</f>
        <v>76636.661022032335</v>
      </c>
      <c r="AG238" s="1312">
        <f t="shared" si="166"/>
        <v>45076.849643954243</v>
      </c>
      <c r="AH238" s="1312">
        <f>AI237*((1+'Instrumentos Financeiros'!$I$43)^(1/12)-1)</f>
        <v>31559.811378078091</v>
      </c>
      <c r="AI238" s="1312">
        <f t="shared" si="135"/>
        <v>7253658.7081229994</v>
      </c>
      <c r="AJ238" s="1312">
        <f>IF(AND(C238&gt;$F$67,'Instrumentos Financeiros'!C238&lt;'Instrumentos Financeiros'!$F$67+'Instrumentos Financeiros'!$F$11+1),PMT(((1+'Instrumentos Financeiros'!$I$43)^(1/12)-1),$F$11,-$I$67),0)</f>
        <v>76636.661022032335</v>
      </c>
      <c r="AK238" s="1312">
        <f t="shared" si="167"/>
        <v>44497.131911768658</v>
      </c>
      <c r="AL238" s="1312">
        <f>AM237*((1+'Instrumentos Financeiros'!$I$43)^(1/12)-1)</f>
        <v>32139.529110263677</v>
      </c>
      <c r="AM238" s="1312">
        <f t="shared" si="136"/>
        <v>7388307.8717933195</v>
      </c>
      <c r="AN238" s="1312">
        <f>IF(AND(C238&gt;$F$68,'Instrumentos Financeiros'!C238&lt;'Instrumentos Financeiros'!$F$68+'Instrumentos Financeiros'!$F$11+1),PMT(((1+'Instrumentos Financeiros'!$I$43)^(1/12)-1),$F$11,-$I$68),0)</f>
        <v>76636.661022032335</v>
      </c>
      <c r="AO238" s="1312">
        <f t="shared" si="168"/>
        <v>43924.869728310732</v>
      </c>
      <c r="AP238" s="1312">
        <f>AQ237*((1+'Instrumentos Financeiros'!$I$43)^(1/12)-1)</f>
        <v>32711.791293721599</v>
      </c>
      <c r="AQ238" s="1312">
        <f t="shared" si="137"/>
        <v>7521225.3592613284</v>
      </c>
      <c r="AR238" s="1312">
        <f>IF(AND(C238&gt;$F$69,'Instrumentos Financeiros'!C238&lt;'Instrumentos Financeiros'!$F$69+'Instrumentos Financeiros'!$F$11+1),PMT(((1+'Instrumentos Financeiros'!$I$43)^(1/12)-1),$F$11,-$I$69),0)</f>
        <v>0</v>
      </c>
      <c r="AS238" s="1312">
        <f t="shared" si="169"/>
        <v>0</v>
      </c>
      <c r="AT238" s="1312">
        <f>AU237*((1+'Instrumentos Financeiros'!$I$43)^(1/12)-1)</f>
        <v>0</v>
      </c>
      <c r="AU238" s="1312">
        <f t="shared" si="138"/>
        <v>0</v>
      </c>
      <c r="AV238" s="1312">
        <f>IF(AND(C238&gt;$F$70,'Instrumentos Financeiros'!C238&lt;'Instrumentos Financeiros'!$F$70+'Instrumentos Financeiros'!$F$11+1),PMT(((1+'Instrumentos Financeiros'!$J$43)^(1/12)-1),$F$11,-$I$70),0)</f>
        <v>0</v>
      </c>
      <c r="AW238" s="1312">
        <f t="shared" si="170"/>
        <v>0</v>
      </c>
      <c r="AX238" s="1312">
        <f>AY237*((1+'Instrumentos Financeiros'!$J$43)^(1/12)-1)</f>
        <v>0</v>
      </c>
      <c r="AY238" s="1312">
        <f t="shared" si="139"/>
        <v>0</v>
      </c>
      <c r="AZ238" s="1312">
        <f>IF(AND(C238&gt;$F$71,'Instrumentos Financeiros'!C238&lt;'Instrumentos Financeiros'!$F$71+'Instrumentos Financeiros'!$F$11+1),PMT(((1+'Instrumentos Financeiros'!$J$43)^(1/12)-1),$F$11,-$I$71),0)</f>
        <v>0</v>
      </c>
      <c r="BA238" s="1312">
        <f t="shared" si="171"/>
        <v>0</v>
      </c>
      <c r="BB238" s="1312">
        <f>BC237*((1+'Instrumentos Financeiros'!$J$43)^(1/12)-1)</f>
        <v>0</v>
      </c>
      <c r="BC238" s="1312">
        <f t="shared" si="140"/>
        <v>0</v>
      </c>
      <c r="BD238" s="1312">
        <f>IF(AND(C238&gt;$F$72,'Instrumentos Financeiros'!C238&lt;'Instrumentos Financeiros'!$F$72+'Instrumentos Financeiros'!$F$11+1),PMT(((1+'Instrumentos Financeiros'!$J$43)^(1/12)-1),$F$11,-'Instrumentos Financeiros'!$G$7*$G$72),0)</f>
        <v>0</v>
      </c>
      <c r="BE238" s="1312">
        <f t="shared" si="172"/>
        <v>0</v>
      </c>
      <c r="BF238" s="1312">
        <f>BG237*((1+'Instrumentos Financeiros'!$J$43)^(1/12)-1)</f>
        <v>0</v>
      </c>
      <c r="BG238" s="1312">
        <f t="shared" si="141"/>
        <v>0</v>
      </c>
      <c r="BH238" s="1312">
        <f>IF(AND(C238&gt;$F$73,'Instrumentos Financeiros'!C238&lt;'Instrumentos Financeiros'!$F$73+'Instrumentos Financeiros'!$F$11+1),PMT(((1+'Instrumentos Financeiros'!$J$43)^(1/12)-1),$F$11,-$I$73),0)</f>
        <v>0</v>
      </c>
      <c r="BI238" s="1312">
        <f t="shared" si="173"/>
        <v>0</v>
      </c>
      <c r="BJ238" s="1312">
        <f>BK237*((1+'Instrumentos Financeiros'!$J$43)^(1/12)-1)</f>
        <v>0</v>
      </c>
      <c r="BK238" s="1312">
        <f t="shared" si="142"/>
        <v>0</v>
      </c>
      <c r="BL238" s="1312">
        <f>IF(AND(C238&gt;$F$77,'Instrumentos Financeiros'!C238&lt;'Instrumentos Financeiros'!$F$77+'Instrumentos Financeiros'!$F$12+1),PMT(((1+'Instrumentos Financeiros'!$K$43)^(1/12)-1),$F$12,-$I$77),0)</f>
        <v>368.57912678094596</v>
      </c>
      <c r="BM238" s="1312">
        <f t="shared" si="143"/>
        <v>208.53699311153491</v>
      </c>
      <c r="BN238" s="1312">
        <f>BO237*((1+'Instrumentos Financeiros'!$K$43)^(1/12)-1)</f>
        <v>160.04213366941104</v>
      </c>
      <c r="BO238" s="1312">
        <f t="shared" si="144"/>
        <v>36803.889911480335</v>
      </c>
      <c r="BP238" s="1312">
        <f>IF(AND(C238&gt;$F$78,'Instrumentos Financeiros'!C238&lt;'Instrumentos Financeiros'!$F$78+'Instrumentos Financeiros'!$F$12+1),PMT(((1+'Instrumentos Financeiros'!$L$43)^(1/12)-1),$F$12,-$I$78),0)</f>
        <v>368.57912678094596</v>
      </c>
      <c r="BQ238" s="1312">
        <f t="shared" si="145"/>
        <v>205.85507115651126</v>
      </c>
      <c r="BR238" s="1312">
        <f>BS237*((1+'Instrumentos Financeiros'!$L$43)^(1/12)-1)</f>
        <v>162.7240556244347</v>
      </c>
      <c r="BS238" s="1312">
        <f t="shared" si="146"/>
        <v>37426.81125444419</v>
      </c>
      <c r="BT238" s="1312">
        <f>IF(AND(C238&gt;$F$79,'Instrumentos Financeiros'!C238&lt;'Instrumentos Financeiros'!$F$79+'Instrumentos Financeiros'!$F$12+1),PMT(((1+'Instrumentos Financeiros'!$L$43)^(1/12)-1),$F$12,-$I$79),0)</f>
        <v>368.57912678094596</v>
      </c>
      <c r="BU238" s="1312">
        <f t="shared" si="147"/>
        <v>203.20764046975381</v>
      </c>
      <c r="BV238" s="1312">
        <f>BW237*((1+'Instrumentos Financeiros'!$L$43)^(1/12)-1)</f>
        <v>165.37148631119214</v>
      </c>
      <c r="BW238" s="1312">
        <f t="shared" si="148"/>
        <v>38041.721422023664</v>
      </c>
      <c r="BX238" s="1312">
        <f>IF(AND(C238&gt;$F$80,'Instrumentos Financeiros'!C238&lt;'Instrumentos Financeiros'!$F$80+'Instrumentos Financeiros'!$F$12+1),PMT(((1+'Instrumentos Financeiros'!$L$43)^(1/12)-1),$F$12,-$I$80),0)</f>
        <v>368.57912678094596</v>
      </c>
      <c r="BY238" s="1312">
        <f t="shared" si="149"/>
        <v>200.59425747102176</v>
      </c>
      <c r="BZ238" s="1312">
        <f>CA237*((1+'Instrumentos Financeiros'!$L$43)^(1/12)-1)</f>
        <v>167.98486930992419</v>
      </c>
      <c r="CA238" s="1312">
        <f t="shared" si="150"/>
        <v>38648.723443167379</v>
      </c>
      <c r="CB238" s="1312">
        <f>IF(AND(C238&gt;$F$83,'Instrumentos Financeiros'!C238&lt;'Instrumentos Financeiros'!$F$83+'Instrumentos Financeiros'!$F$13+1),PMT(((1+'Instrumentos Financeiros'!$P$43)^(1/12)-1),$F$13,-$I$83),0)</f>
        <v>0</v>
      </c>
      <c r="CC238" s="1312">
        <f t="shared" si="151"/>
        <v>0</v>
      </c>
      <c r="CD238" s="1312">
        <f>CE237*((1+'Instrumentos Financeiros'!$P$43)^(1/12)-1)</f>
        <v>0</v>
      </c>
      <c r="CE238" s="1312">
        <f t="shared" si="152"/>
        <v>0</v>
      </c>
      <c r="CF238" s="1312">
        <f>IF(AND(C238&gt;$F$84,'Instrumentos Financeiros'!C238&lt;'Instrumentos Financeiros'!$F$84+'Instrumentos Financeiros'!$F$13+1),PMT(((1+'Instrumentos Financeiros'!$Q$43)^(1/12)-1),$F$13,-$I$84),0)</f>
        <v>0</v>
      </c>
      <c r="CG238" s="1312">
        <f t="shared" si="153"/>
        <v>0</v>
      </c>
      <c r="CH238" s="1312">
        <f>CI237*((1+'Instrumentos Financeiros'!$Q$43)^(1/12)-1)</f>
        <v>0</v>
      </c>
      <c r="CI238" s="1312">
        <f t="shared" si="154"/>
        <v>0</v>
      </c>
      <c r="CJ238" s="1312">
        <f>IF(AND(C238&gt;$F$85,'Instrumentos Financeiros'!C238&lt;'Instrumentos Financeiros'!$F$85+'Instrumentos Financeiros'!$F$13+1),PMT(((1+'Instrumentos Financeiros'!$Q$43)^(1/12)-1),$F$13,-$I$85),0)</f>
        <v>0</v>
      </c>
      <c r="CK238" s="1312">
        <f t="shared" si="155"/>
        <v>0</v>
      </c>
      <c r="CL238" s="1312">
        <f>CM237*((1+'Instrumentos Financeiros'!$Q$43)^(1/12)-1)</f>
        <v>0</v>
      </c>
      <c r="CM238" s="1312">
        <f t="shared" si="156"/>
        <v>0</v>
      </c>
      <c r="CN238" s="1312">
        <f>IF(AND(C238&gt;$F$86,'Instrumentos Financeiros'!C238&lt;'Instrumentos Financeiros'!$F$86+'Instrumentos Financeiros'!$F$13+1),PMT(((1+'Instrumentos Financeiros'!$Q$43)^(1/12)-1),$F$13,-$I$86),0)</f>
        <v>0</v>
      </c>
      <c r="CO238" s="1312">
        <f t="shared" si="157"/>
        <v>0</v>
      </c>
      <c r="CP238" s="1312">
        <f>CQ237*((1+'Instrumentos Financeiros'!$Q$43)^(1/12)-1)</f>
        <v>0</v>
      </c>
      <c r="CQ238" s="1312">
        <f t="shared" si="158"/>
        <v>0</v>
      </c>
      <c r="CR238" s="1312">
        <f t="shared" si="127"/>
        <v>399789.55023115332</v>
      </c>
      <c r="CS238" s="1312">
        <f t="shared" si="127"/>
        <v>240549.59713785732</v>
      </c>
      <c r="CT238" s="1312">
        <f t="shared" si="127"/>
        <v>159239.95309329595</v>
      </c>
      <c r="CU238" s="1312">
        <f t="shared" si="127"/>
        <v>37014524.156958424</v>
      </c>
    </row>
    <row r="239" spans="3:99" x14ac:dyDescent="0.35">
      <c r="C239" s="1315">
        <f t="shared" si="128"/>
        <v>146</v>
      </c>
      <c r="D239" s="1312">
        <f>IF(AND(C239&gt;$F$59,'Instrumentos Financeiros'!C239&lt;'Instrumentos Financeiros'!$F$59+'Instrumentos Financeiros'!$F$11+1),PMT(((1+'Instrumentos Financeiros'!$G$43)^(1/12)-1),$F$11,-$I$59),0)</f>
        <v>91768.589635900134</v>
      </c>
      <c r="E239" s="1312">
        <f t="shared" si="125"/>
        <v>60815.660094090359</v>
      </c>
      <c r="F239" s="1312">
        <f>G238*((1+'Instrumentos Financeiros'!$G$43)^(1/12)-1)</f>
        <v>30952.929541809772</v>
      </c>
      <c r="G239" s="1312">
        <f t="shared" si="159"/>
        <v>7522340.1040368238</v>
      </c>
      <c r="H239" s="1312">
        <f>IF(AND(C239&gt;$F$60,'Instrumentos Financeiros'!C239&lt;'Instrumentos Financeiros'!$F$60+'Instrumentos Financeiros'!$F$11+1),PMT(((1+'Instrumentos Financeiros'!$G$43)^(1/12)-1),$F$11,-$I$60),0)</f>
        <v>0</v>
      </c>
      <c r="I239" s="1312">
        <f t="shared" si="160"/>
        <v>0</v>
      </c>
      <c r="J239" s="1312">
        <f>K238*((1+'Instrumentos Financeiros'!$G$43)^(1/12)-1)</f>
        <v>0</v>
      </c>
      <c r="K239" s="1312">
        <f t="shared" si="129"/>
        <v>0</v>
      </c>
      <c r="L239" s="1312">
        <f>IF(AND(C239&gt;$F$61,'Instrumentos Financeiros'!C239&lt;'Instrumentos Financeiros'!$F$61+'Instrumentos Financeiros'!$F$11+1),PMT(((1+'Instrumentos Financeiros'!$G$43)^(1/12)-1),$F$11,-$I$61),0)</f>
        <v>0</v>
      </c>
      <c r="M239" s="1312">
        <f t="shared" si="161"/>
        <v>0</v>
      </c>
      <c r="N239" s="1312">
        <f>O238*((1+'Instrumentos Financeiros'!$G$43)^(1/12)-1)</f>
        <v>0</v>
      </c>
      <c r="O239" s="1312">
        <f t="shared" si="130"/>
        <v>0</v>
      </c>
      <c r="P239" s="1312">
        <f>IF(AND(C239&gt;$F$62,'Instrumentos Financeiros'!C239&lt;'Instrumentos Financeiros'!$F$62+'Instrumentos Financeiros'!$F$11+1),PMT(((1+'Instrumentos Financeiros'!$H$43)^(1/12)-1),$F$11,-$I$62),0)</f>
        <v>0</v>
      </c>
      <c r="Q239" s="1312">
        <f t="shared" si="162"/>
        <v>0</v>
      </c>
      <c r="R239" s="1312">
        <f>S238*((1+'Instrumentos Financeiros'!$H$43)^(1/12)-1)</f>
        <v>0</v>
      </c>
      <c r="S239" s="1312">
        <f t="shared" si="131"/>
        <v>0</v>
      </c>
      <c r="T239" s="1312">
        <f>IF(AND(C239&gt;$F$63,'Instrumentos Financeiros'!C239&lt;'Instrumentos Financeiros'!$F$63+'Instrumentos Financeiros'!$F$11+1),PMT(((1+'Instrumentos Financeiros'!$H$43)^(1/12)-1),$F$11,-$I$63),0)</f>
        <v>0</v>
      </c>
      <c r="U239" s="1312">
        <f t="shared" si="163"/>
        <v>0</v>
      </c>
      <c r="V239" s="1312">
        <f>W238*((1+'Instrumentos Financeiros'!$H$43)^(1/12)-1)</f>
        <v>0</v>
      </c>
      <c r="W239" s="1312">
        <f t="shared" si="132"/>
        <v>0</v>
      </c>
      <c r="X239" s="1312">
        <f>IF(AND(C239&gt;$F$64,'Instrumentos Financeiros'!C239&lt;'Instrumentos Financeiros'!$F$64+'Instrumentos Financeiros'!$F$11+1),PMT(((1+'Instrumentos Financeiros'!$H$43)^(1/12)-1),$F$11,-$I$64),0)</f>
        <v>0</v>
      </c>
      <c r="Y239" s="1312">
        <f t="shared" si="164"/>
        <v>0</v>
      </c>
      <c r="Z239" s="1312">
        <f>AA238*((1+'Instrumentos Financeiros'!$H$43)^(1/12)-1)</f>
        <v>0</v>
      </c>
      <c r="AA239" s="1312">
        <f t="shared" si="133"/>
        <v>0</v>
      </c>
      <c r="AB239" s="1312">
        <f>IF(AND(C239&gt;$F$65,'Instrumentos Financeiros'!C239&lt;'Instrumentos Financeiros'!$F$65+'Instrumentos Financeiros'!$F$11+1),PMT(((1+'Instrumentos Financeiros'!$H$43)^(1/12)-1),$F$11,-$I$65),0)</f>
        <v>76636.661022032335</v>
      </c>
      <c r="AC239" s="1312">
        <f t="shared" si="165"/>
        <v>45861.572205580509</v>
      </c>
      <c r="AD239" s="1312">
        <f>AE238*((1+'Instrumentos Financeiros'!$H$43)^(1/12)-1)</f>
        <v>30775.088816451822</v>
      </c>
      <c r="AE239" s="1312">
        <f t="shared" si="134"/>
        <v>7071393.7354131732</v>
      </c>
      <c r="AF239" s="1312">
        <f>IF(AND(C239&gt;$F$66,'Instrumentos Financeiros'!C239&lt;'Instrumentos Financeiros'!$F$66+'Instrumentos Financeiros'!$F$11+1),PMT(((1+'Instrumentos Financeiros'!$I$43)^(1/12)-1),$F$11,-$I$66),0)</f>
        <v>76636.661022032335</v>
      </c>
      <c r="AG239" s="1312">
        <f t="shared" si="166"/>
        <v>45271.762428644368</v>
      </c>
      <c r="AH239" s="1312">
        <f>AI238*((1+'Instrumentos Financeiros'!$I$43)^(1/12)-1)</f>
        <v>31364.898593387967</v>
      </c>
      <c r="AI239" s="1312">
        <f t="shared" si="135"/>
        <v>7208386.9456943553</v>
      </c>
      <c r="AJ239" s="1312">
        <f>IF(AND(C239&gt;$F$67,'Instrumentos Financeiros'!C239&lt;'Instrumentos Financeiros'!$F$67+'Instrumentos Financeiros'!$F$11+1),PMT(((1+'Instrumentos Financeiros'!$I$43)^(1/12)-1),$F$11,-$I$67),0)</f>
        <v>76636.661022032335</v>
      </c>
      <c r="AK239" s="1312">
        <f t="shared" si="167"/>
        <v>44689.537990723868</v>
      </c>
      <c r="AL239" s="1312">
        <f>AM238*((1+'Instrumentos Financeiros'!$I$43)^(1/12)-1)</f>
        <v>31947.123031308471</v>
      </c>
      <c r="AM239" s="1312">
        <f t="shared" si="136"/>
        <v>7343618.3338025957</v>
      </c>
      <c r="AN239" s="1312">
        <f>IF(AND(C239&gt;$F$68,'Instrumentos Financeiros'!C239&lt;'Instrumentos Financeiros'!$F$68+'Instrumentos Financeiros'!$F$11+1),PMT(((1+'Instrumentos Financeiros'!$I$43)^(1/12)-1),$F$11,-$I$68),0)</f>
        <v>76636.661022032335</v>
      </c>
      <c r="AO239" s="1312">
        <f t="shared" si="168"/>
        <v>44114.801339404243</v>
      </c>
      <c r="AP239" s="1312">
        <f>AQ238*((1+'Instrumentos Financeiros'!$I$43)^(1/12)-1)</f>
        <v>32521.859682628092</v>
      </c>
      <c r="AQ239" s="1312">
        <f t="shared" si="137"/>
        <v>7477110.5579219237</v>
      </c>
      <c r="AR239" s="1312">
        <f>IF(AND(C239&gt;$F$69,'Instrumentos Financeiros'!C239&lt;'Instrumentos Financeiros'!$F$69+'Instrumentos Financeiros'!$F$11+1),PMT(((1+'Instrumentos Financeiros'!$I$43)^(1/12)-1),$F$11,-$I$69),0)</f>
        <v>0</v>
      </c>
      <c r="AS239" s="1312">
        <f t="shared" si="169"/>
        <v>0</v>
      </c>
      <c r="AT239" s="1312">
        <f>AU238*((1+'Instrumentos Financeiros'!$I$43)^(1/12)-1)</f>
        <v>0</v>
      </c>
      <c r="AU239" s="1312">
        <f t="shared" si="138"/>
        <v>0</v>
      </c>
      <c r="AV239" s="1312">
        <f>IF(AND(C239&gt;$F$70,'Instrumentos Financeiros'!C239&lt;'Instrumentos Financeiros'!$F$70+'Instrumentos Financeiros'!$F$11+1),PMT(((1+'Instrumentos Financeiros'!$J$43)^(1/12)-1),$F$11,-$I$70),0)</f>
        <v>0</v>
      </c>
      <c r="AW239" s="1312">
        <f t="shared" si="170"/>
        <v>0</v>
      </c>
      <c r="AX239" s="1312">
        <f>AY238*((1+'Instrumentos Financeiros'!$J$43)^(1/12)-1)</f>
        <v>0</v>
      </c>
      <c r="AY239" s="1312">
        <f t="shared" si="139"/>
        <v>0</v>
      </c>
      <c r="AZ239" s="1312">
        <f>IF(AND(C239&gt;$F$71,'Instrumentos Financeiros'!C239&lt;'Instrumentos Financeiros'!$F$71+'Instrumentos Financeiros'!$F$11+1),PMT(((1+'Instrumentos Financeiros'!$J$43)^(1/12)-1),$F$11,-$I$71),0)</f>
        <v>0</v>
      </c>
      <c r="BA239" s="1312">
        <f t="shared" si="171"/>
        <v>0</v>
      </c>
      <c r="BB239" s="1312">
        <f>BC238*((1+'Instrumentos Financeiros'!$J$43)^(1/12)-1)</f>
        <v>0</v>
      </c>
      <c r="BC239" s="1312">
        <f t="shared" si="140"/>
        <v>0</v>
      </c>
      <c r="BD239" s="1312">
        <f>IF(AND(C239&gt;$F$72,'Instrumentos Financeiros'!C239&lt;'Instrumentos Financeiros'!$F$72+'Instrumentos Financeiros'!$F$11+1),PMT(((1+'Instrumentos Financeiros'!$J$43)^(1/12)-1),$F$11,-'Instrumentos Financeiros'!$G$7*$G$72),0)</f>
        <v>0</v>
      </c>
      <c r="BE239" s="1312">
        <f t="shared" si="172"/>
        <v>0</v>
      </c>
      <c r="BF239" s="1312">
        <f>BG238*((1+'Instrumentos Financeiros'!$J$43)^(1/12)-1)</f>
        <v>0</v>
      </c>
      <c r="BG239" s="1312">
        <f t="shared" si="141"/>
        <v>0</v>
      </c>
      <c r="BH239" s="1312">
        <f>IF(AND(C239&gt;$F$73,'Instrumentos Financeiros'!C239&lt;'Instrumentos Financeiros'!$F$73+'Instrumentos Financeiros'!$F$11+1),PMT(((1+'Instrumentos Financeiros'!$J$43)^(1/12)-1),$F$11,-$I$73),0)</f>
        <v>0</v>
      </c>
      <c r="BI239" s="1312">
        <f t="shared" si="173"/>
        <v>0</v>
      </c>
      <c r="BJ239" s="1312">
        <f>BK238*((1+'Instrumentos Financeiros'!$J$43)^(1/12)-1)</f>
        <v>0</v>
      </c>
      <c r="BK239" s="1312">
        <f t="shared" si="142"/>
        <v>0</v>
      </c>
      <c r="BL239" s="1312">
        <f>IF(AND(C239&gt;$F$77,'Instrumentos Financeiros'!C239&lt;'Instrumentos Financeiros'!$F$77+'Instrumentos Financeiros'!$F$12+1),PMT(((1+'Instrumentos Financeiros'!$K$43)^(1/12)-1),$F$12,-$I$77),0)</f>
        <v>368.57912678094596</v>
      </c>
      <c r="BM239" s="1312">
        <f t="shared" si="143"/>
        <v>209.43870932194727</v>
      </c>
      <c r="BN239" s="1312">
        <f>BO238*((1+'Instrumentos Financeiros'!$K$43)^(1/12)-1)</f>
        <v>159.14041745899868</v>
      </c>
      <c r="BO239" s="1312">
        <f t="shared" si="144"/>
        <v>36594.451202158387</v>
      </c>
      <c r="BP239" s="1312">
        <f>IF(AND(C239&gt;$F$78,'Instrumentos Financeiros'!C239&lt;'Instrumentos Financeiros'!$F$78+'Instrumentos Financeiros'!$F$12+1),PMT(((1+'Instrumentos Financeiros'!$L$43)^(1/12)-1),$F$12,-$I$78),0)</f>
        <v>368.57912678094596</v>
      </c>
      <c r="BQ239" s="1312">
        <f t="shared" si="145"/>
        <v>206.74519070742537</v>
      </c>
      <c r="BR239" s="1312">
        <f>BS238*((1+'Instrumentos Financeiros'!$L$43)^(1/12)-1)</f>
        <v>161.83393607352059</v>
      </c>
      <c r="BS239" s="1312">
        <f t="shared" si="146"/>
        <v>37220.066063736762</v>
      </c>
      <c r="BT239" s="1312">
        <f>IF(AND(C239&gt;$F$79,'Instrumentos Financeiros'!C239&lt;'Instrumentos Financeiros'!$F$79+'Instrumentos Financeiros'!$F$12+1),PMT(((1+'Instrumentos Financeiros'!$L$43)^(1/12)-1),$F$12,-$I$79),0)</f>
        <v>368.57912678094596</v>
      </c>
      <c r="BU239" s="1312">
        <f t="shared" si="147"/>
        <v>204.08631250178613</v>
      </c>
      <c r="BV239" s="1312">
        <f>BW238*((1+'Instrumentos Financeiros'!$L$43)^(1/12)-1)</f>
        <v>164.49281427915983</v>
      </c>
      <c r="BW239" s="1312">
        <f t="shared" si="148"/>
        <v>37837.635109521878</v>
      </c>
      <c r="BX239" s="1312">
        <f>IF(AND(C239&gt;$F$80,'Instrumentos Financeiros'!C239&lt;'Instrumentos Financeiros'!$F$80+'Instrumentos Financeiros'!$F$12+1),PMT(((1+'Instrumentos Financeiros'!$L$43)^(1/12)-1),$F$12,-$I$80),0)</f>
        <v>368.57912678094596</v>
      </c>
      <c r="BY239" s="1312">
        <f t="shared" si="149"/>
        <v>201.46162920674305</v>
      </c>
      <c r="BZ239" s="1312">
        <f>CA238*((1+'Instrumentos Financeiros'!$L$43)^(1/12)-1)</f>
        <v>167.1174975742029</v>
      </c>
      <c r="CA239" s="1312">
        <f t="shared" si="150"/>
        <v>38447.261813960635</v>
      </c>
      <c r="CB239" s="1312">
        <f>IF(AND(C239&gt;$F$83,'Instrumentos Financeiros'!C239&lt;'Instrumentos Financeiros'!$F$83+'Instrumentos Financeiros'!$F$13+1),PMT(((1+'Instrumentos Financeiros'!$P$43)^(1/12)-1),$F$13,-$I$83),0)</f>
        <v>0</v>
      </c>
      <c r="CC239" s="1312">
        <f t="shared" si="151"/>
        <v>0</v>
      </c>
      <c r="CD239" s="1312">
        <f>CE238*((1+'Instrumentos Financeiros'!$P$43)^(1/12)-1)</f>
        <v>0</v>
      </c>
      <c r="CE239" s="1312">
        <f t="shared" si="152"/>
        <v>0</v>
      </c>
      <c r="CF239" s="1312">
        <f>IF(AND(C239&gt;$F$84,'Instrumentos Financeiros'!C239&lt;'Instrumentos Financeiros'!$F$84+'Instrumentos Financeiros'!$F$13+1),PMT(((1+'Instrumentos Financeiros'!$Q$43)^(1/12)-1),$F$13,-$I$84),0)</f>
        <v>0</v>
      </c>
      <c r="CG239" s="1312">
        <f t="shared" si="153"/>
        <v>0</v>
      </c>
      <c r="CH239" s="1312">
        <f>CI238*((1+'Instrumentos Financeiros'!$Q$43)^(1/12)-1)</f>
        <v>0</v>
      </c>
      <c r="CI239" s="1312">
        <f t="shared" si="154"/>
        <v>0</v>
      </c>
      <c r="CJ239" s="1312">
        <f>IF(AND(C239&gt;$F$85,'Instrumentos Financeiros'!C239&lt;'Instrumentos Financeiros'!$F$85+'Instrumentos Financeiros'!$F$13+1),PMT(((1+'Instrumentos Financeiros'!$Q$43)^(1/12)-1),$F$13,-$I$85),0)</f>
        <v>0</v>
      </c>
      <c r="CK239" s="1312">
        <f t="shared" si="155"/>
        <v>0</v>
      </c>
      <c r="CL239" s="1312">
        <f>CM238*((1+'Instrumentos Financeiros'!$Q$43)^(1/12)-1)</f>
        <v>0</v>
      </c>
      <c r="CM239" s="1312">
        <f t="shared" si="156"/>
        <v>0</v>
      </c>
      <c r="CN239" s="1312">
        <f>IF(AND(C239&gt;$F$86,'Instrumentos Financeiros'!C239&lt;'Instrumentos Financeiros'!$F$86+'Instrumentos Financeiros'!$F$13+1),PMT(((1+'Instrumentos Financeiros'!$Q$43)^(1/12)-1),$F$13,-$I$86),0)</f>
        <v>0</v>
      </c>
      <c r="CO239" s="1312">
        <f t="shared" si="157"/>
        <v>0</v>
      </c>
      <c r="CP239" s="1312">
        <f>CQ238*((1+'Instrumentos Financeiros'!$Q$43)^(1/12)-1)</f>
        <v>0</v>
      </c>
      <c r="CQ239" s="1312">
        <f t="shared" si="158"/>
        <v>0</v>
      </c>
      <c r="CR239" s="1312">
        <f t="shared" si="127"/>
        <v>399789.55023115332</v>
      </c>
      <c r="CS239" s="1312">
        <f t="shared" si="127"/>
        <v>241575.06590018127</v>
      </c>
      <c r="CT239" s="1312">
        <f t="shared" si="127"/>
        <v>158214.48433097199</v>
      </c>
      <c r="CU239" s="1312">
        <f t="shared" si="127"/>
        <v>36772949.091058254</v>
      </c>
    </row>
    <row r="240" spans="3:99" x14ac:dyDescent="0.35">
      <c r="C240" s="1315">
        <f t="shared" si="128"/>
        <v>147</v>
      </c>
      <c r="D240" s="1312">
        <f>IF(AND(C240&gt;$F$59,'Instrumentos Financeiros'!C240&lt;'Instrumentos Financeiros'!$F$59+'Instrumentos Financeiros'!$F$11+1),PMT(((1+'Instrumentos Financeiros'!$G$43)^(1/12)-1),$F$11,-$I$59),0)</f>
        <v>91768.589635900134</v>
      </c>
      <c r="E240" s="1312">
        <f t="shared" si="125"/>
        <v>61063.897490298827</v>
      </c>
      <c r="F240" s="1312">
        <f>G239*((1+'Instrumentos Financeiros'!$G$43)^(1/12)-1)</f>
        <v>30704.692145601311</v>
      </c>
      <c r="G240" s="1312">
        <f t="shared" si="159"/>
        <v>7461276.2065465255</v>
      </c>
      <c r="H240" s="1312">
        <f>IF(AND(C240&gt;$F$60,'Instrumentos Financeiros'!C240&lt;'Instrumentos Financeiros'!$F$60+'Instrumentos Financeiros'!$F$11+1),PMT(((1+'Instrumentos Financeiros'!$G$43)^(1/12)-1),$F$11,-$I$60),0)</f>
        <v>0</v>
      </c>
      <c r="I240" s="1312">
        <f t="shared" si="160"/>
        <v>0</v>
      </c>
      <c r="J240" s="1312">
        <f>K239*((1+'Instrumentos Financeiros'!$G$43)^(1/12)-1)</f>
        <v>0</v>
      </c>
      <c r="K240" s="1312">
        <f t="shared" si="129"/>
        <v>0</v>
      </c>
      <c r="L240" s="1312">
        <f>IF(AND(C240&gt;$F$61,'Instrumentos Financeiros'!C240&lt;'Instrumentos Financeiros'!$F$61+'Instrumentos Financeiros'!$F$11+1),PMT(((1+'Instrumentos Financeiros'!$G$43)^(1/12)-1),$F$11,-$I$61),0)</f>
        <v>0</v>
      </c>
      <c r="M240" s="1312">
        <f t="shared" si="161"/>
        <v>0</v>
      </c>
      <c r="N240" s="1312">
        <f>O239*((1+'Instrumentos Financeiros'!$G$43)^(1/12)-1)</f>
        <v>0</v>
      </c>
      <c r="O240" s="1312">
        <f t="shared" si="130"/>
        <v>0</v>
      </c>
      <c r="P240" s="1312">
        <f>IF(AND(C240&gt;$F$62,'Instrumentos Financeiros'!C240&lt;'Instrumentos Financeiros'!$F$62+'Instrumentos Financeiros'!$F$11+1),PMT(((1+'Instrumentos Financeiros'!$H$43)^(1/12)-1),$F$11,-$I$62),0)</f>
        <v>0</v>
      </c>
      <c r="Q240" s="1312">
        <f t="shared" si="162"/>
        <v>0</v>
      </c>
      <c r="R240" s="1312">
        <f>S239*((1+'Instrumentos Financeiros'!$H$43)^(1/12)-1)</f>
        <v>0</v>
      </c>
      <c r="S240" s="1312">
        <f t="shared" si="131"/>
        <v>0</v>
      </c>
      <c r="T240" s="1312">
        <f>IF(AND(C240&gt;$F$63,'Instrumentos Financeiros'!C240&lt;'Instrumentos Financeiros'!$F$63+'Instrumentos Financeiros'!$F$11+1),PMT(((1+'Instrumentos Financeiros'!$H$43)^(1/12)-1),$F$11,-$I$63),0)</f>
        <v>0</v>
      </c>
      <c r="U240" s="1312">
        <f t="shared" si="163"/>
        <v>0</v>
      </c>
      <c r="V240" s="1312">
        <f>W239*((1+'Instrumentos Financeiros'!$H$43)^(1/12)-1)</f>
        <v>0</v>
      </c>
      <c r="W240" s="1312">
        <f t="shared" si="132"/>
        <v>0</v>
      </c>
      <c r="X240" s="1312">
        <f>IF(AND(C240&gt;$F$64,'Instrumentos Financeiros'!C240&lt;'Instrumentos Financeiros'!$F$64+'Instrumentos Financeiros'!$F$11+1),PMT(((1+'Instrumentos Financeiros'!$H$43)^(1/12)-1),$F$11,-$I$64),0)</f>
        <v>0</v>
      </c>
      <c r="Y240" s="1312">
        <f t="shared" si="164"/>
        <v>0</v>
      </c>
      <c r="Z240" s="1312">
        <f>AA239*((1+'Instrumentos Financeiros'!$H$43)^(1/12)-1)</f>
        <v>0</v>
      </c>
      <c r="AA240" s="1312">
        <f t="shared" si="133"/>
        <v>0</v>
      </c>
      <c r="AB240" s="1312">
        <f>IF(AND(C240&gt;$F$65,'Instrumentos Financeiros'!C240&lt;'Instrumentos Financeiros'!$F$65+'Instrumentos Financeiros'!$F$11+1),PMT(((1+'Instrumentos Financeiros'!$H$43)^(1/12)-1),$F$11,-$I$65),0)</f>
        <v>76636.661022032335</v>
      </c>
      <c r="AC240" s="1312">
        <f t="shared" si="165"/>
        <v>46059.878139102104</v>
      </c>
      <c r="AD240" s="1312">
        <f>AE239*((1+'Instrumentos Financeiros'!$H$43)^(1/12)-1)</f>
        <v>30576.782882930227</v>
      </c>
      <c r="AE240" s="1312">
        <f t="shared" si="134"/>
        <v>7025333.8572740713</v>
      </c>
      <c r="AF240" s="1312">
        <f>IF(AND(C240&gt;$F$66,'Instrumentos Financeiros'!C240&lt;'Instrumentos Financeiros'!$F$66+'Instrumentos Financeiros'!$F$11+1),PMT(((1+'Instrumentos Financeiros'!$I$43)^(1/12)-1),$F$11,-$I$66),0)</f>
        <v>76636.661022032335</v>
      </c>
      <c r="AG240" s="1312">
        <f t="shared" si="166"/>
        <v>45467.518018320552</v>
      </c>
      <c r="AH240" s="1312">
        <f>AI239*((1+'Instrumentos Financeiros'!$I$43)^(1/12)-1)</f>
        <v>31169.143003711786</v>
      </c>
      <c r="AI240" s="1312">
        <f t="shared" si="135"/>
        <v>7162919.4276760351</v>
      </c>
      <c r="AJ240" s="1312">
        <f>IF(AND(C240&gt;$F$67,'Instrumentos Financeiros'!C240&lt;'Instrumentos Financeiros'!$F$67+'Instrumentos Financeiros'!$F$11+1),PMT(((1+'Instrumentos Financeiros'!$I$43)^(1/12)-1),$F$11,-$I$67),0)</f>
        <v>76636.661022032335</v>
      </c>
      <c r="AK240" s="1312">
        <f t="shared" si="167"/>
        <v>44882.776035642455</v>
      </c>
      <c r="AL240" s="1312">
        <f>AM239*((1+'Instrumentos Financeiros'!$I$43)^(1/12)-1)</f>
        <v>31753.884986389879</v>
      </c>
      <c r="AM240" s="1312">
        <f t="shared" si="136"/>
        <v>7298735.5577669535</v>
      </c>
      <c r="AN240" s="1312">
        <f>IF(AND(C240&gt;$F$68,'Instrumentos Financeiros'!C240&lt;'Instrumentos Financeiros'!$F$68+'Instrumentos Financeiros'!$F$11+1),PMT(((1+'Instrumentos Financeiros'!$I$43)^(1/12)-1),$F$11,-$I$68),0)</f>
        <v>76636.661022032335</v>
      </c>
      <c r="AO240" s="1312">
        <f t="shared" si="168"/>
        <v>44305.554216835379</v>
      </c>
      <c r="AP240" s="1312">
        <f>AQ239*((1+'Instrumentos Financeiros'!$I$43)^(1/12)-1)</f>
        <v>32331.106805196956</v>
      </c>
      <c r="AQ240" s="1312">
        <f t="shared" si="137"/>
        <v>7432805.003705088</v>
      </c>
      <c r="AR240" s="1312">
        <f>IF(AND(C240&gt;$F$69,'Instrumentos Financeiros'!C240&lt;'Instrumentos Financeiros'!$F$69+'Instrumentos Financeiros'!$F$11+1),PMT(((1+'Instrumentos Financeiros'!$I$43)^(1/12)-1),$F$11,-$I$69),0)</f>
        <v>0</v>
      </c>
      <c r="AS240" s="1312">
        <f t="shared" si="169"/>
        <v>0</v>
      </c>
      <c r="AT240" s="1312">
        <f>AU239*((1+'Instrumentos Financeiros'!$I$43)^(1/12)-1)</f>
        <v>0</v>
      </c>
      <c r="AU240" s="1312">
        <f t="shared" si="138"/>
        <v>0</v>
      </c>
      <c r="AV240" s="1312">
        <f>IF(AND(C240&gt;$F$70,'Instrumentos Financeiros'!C240&lt;'Instrumentos Financeiros'!$F$70+'Instrumentos Financeiros'!$F$11+1),PMT(((1+'Instrumentos Financeiros'!$J$43)^(1/12)-1),$F$11,-$I$70),0)</f>
        <v>0</v>
      </c>
      <c r="AW240" s="1312">
        <f t="shared" si="170"/>
        <v>0</v>
      </c>
      <c r="AX240" s="1312">
        <f>AY239*((1+'Instrumentos Financeiros'!$J$43)^(1/12)-1)</f>
        <v>0</v>
      </c>
      <c r="AY240" s="1312">
        <f t="shared" si="139"/>
        <v>0</v>
      </c>
      <c r="AZ240" s="1312">
        <f>IF(AND(C240&gt;$F$71,'Instrumentos Financeiros'!C240&lt;'Instrumentos Financeiros'!$F$71+'Instrumentos Financeiros'!$F$11+1),PMT(((1+'Instrumentos Financeiros'!$J$43)^(1/12)-1),$F$11,-$I$71),0)</f>
        <v>0</v>
      </c>
      <c r="BA240" s="1312">
        <f t="shared" si="171"/>
        <v>0</v>
      </c>
      <c r="BB240" s="1312">
        <f>BC239*((1+'Instrumentos Financeiros'!$J$43)^(1/12)-1)</f>
        <v>0</v>
      </c>
      <c r="BC240" s="1312">
        <f t="shared" si="140"/>
        <v>0</v>
      </c>
      <c r="BD240" s="1312">
        <f>IF(AND(C240&gt;$F$72,'Instrumentos Financeiros'!C240&lt;'Instrumentos Financeiros'!$F$72+'Instrumentos Financeiros'!$F$11+1),PMT(((1+'Instrumentos Financeiros'!$J$43)^(1/12)-1),$F$11,-'Instrumentos Financeiros'!$G$7*$G$72),0)</f>
        <v>0</v>
      </c>
      <c r="BE240" s="1312">
        <f t="shared" si="172"/>
        <v>0</v>
      </c>
      <c r="BF240" s="1312">
        <f>BG239*((1+'Instrumentos Financeiros'!$J$43)^(1/12)-1)</f>
        <v>0</v>
      </c>
      <c r="BG240" s="1312">
        <f t="shared" si="141"/>
        <v>0</v>
      </c>
      <c r="BH240" s="1312">
        <f>IF(AND(C240&gt;$F$73,'Instrumentos Financeiros'!C240&lt;'Instrumentos Financeiros'!$F$73+'Instrumentos Financeiros'!$F$11+1),PMT(((1+'Instrumentos Financeiros'!$J$43)^(1/12)-1),$F$11,-$I$73),0)</f>
        <v>0</v>
      </c>
      <c r="BI240" s="1312">
        <f t="shared" si="173"/>
        <v>0</v>
      </c>
      <c r="BJ240" s="1312">
        <f>BK239*((1+'Instrumentos Financeiros'!$J$43)^(1/12)-1)</f>
        <v>0</v>
      </c>
      <c r="BK240" s="1312">
        <f t="shared" si="142"/>
        <v>0</v>
      </c>
      <c r="BL240" s="1312">
        <f>IF(AND(C240&gt;$F$77,'Instrumentos Financeiros'!C240&lt;'Instrumentos Financeiros'!$F$77+'Instrumentos Financeiros'!$F$12+1),PMT(((1+'Instrumentos Financeiros'!$K$43)^(1/12)-1),$F$12,-$I$77),0)</f>
        <v>368.57912678094596</v>
      </c>
      <c r="BM240" s="1312">
        <f t="shared" si="143"/>
        <v>210.344324562992</v>
      </c>
      <c r="BN240" s="1312">
        <f>BO239*((1+'Instrumentos Financeiros'!$K$43)^(1/12)-1)</f>
        <v>158.23480221795396</v>
      </c>
      <c r="BO240" s="1312">
        <f t="shared" si="144"/>
        <v>36384.106877595397</v>
      </c>
      <c r="BP240" s="1312">
        <f>IF(AND(C240&gt;$F$78,'Instrumentos Financeiros'!C240&lt;'Instrumentos Financeiros'!$F$78+'Instrumentos Financeiros'!$F$12+1),PMT(((1+'Instrumentos Financeiros'!$L$43)^(1/12)-1),$F$12,-$I$78),0)</f>
        <v>368.57912678094596</v>
      </c>
      <c r="BQ240" s="1312">
        <f t="shared" si="145"/>
        <v>207.63915914489093</v>
      </c>
      <c r="BR240" s="1312">
        <f>BS239*((1+'Instrumentos Financeiros'!$L$43)^(1/12)-1)</f>
        <v>160.93996763605503</v>
      </c>
      <c r="BS240" s="1312">
        <f t="shared" si="146"/>
        <v>37012.42690459187</v>
      </c>
      <c r="BT240" s="1312">
        <f>IF(AND(C240&gt;$F$79,'Instrumentos Financeiros'!C240&lt;'Instrumentos Financeiros'!$F$79+'Instrumentos Financeiros'!$F$12+1),PMT(((1+'Instrumentos Financeiros'!$L$43)^(1/12)-1),$F$12,-$I$79),0)</f>
        <v>368.57912678094596</v>
      </c>
      <c r="BU240" s="1312">
        <f t="shared" si="147"/>
        <v>204.96878392117463</v>
      </c>
      <c r="BV240" s="1312">
        <f>BW239*((1+'Instrumentos Financeiros'!$L$43)^(1/12)-1)</f>
        <v>163.61034285977132</v>
      </c>
      <c r="BW240" s="1312">
        <f t="shared" si="148"/>
        <v>37632.666325600701</v>
      </c>
      <c r="BX240" s="1312">
        <f>IF(AND(C240&gt;$F$80,'Instrumentos Financeiros'!C240&lt;'Instrumentos Financeiros'!$F$80+'Instrumentos Financeiros'!$F$12+1),PMT(((1+'Instrumentos Financeiros'!$L$43)^(1/12)-1),$F$12,-$I$80),0)</f>
        <v>368.57912678094596</v>
      </c>
      <c r="BY240" s="1312">
        <f t="shared" si="149"/>
        <v>202.33275146721724</v>
      </c>
      <c r="BZ240" s="1312">
        <f>CA239*((1+'Instrumentos Financeiros'!$L$43)^(1/12)-1)</f>
        <v>166.24637531372872</v>
      </c>
      <c r="CA240" s="1312">
        <f t="shared" si="150"/>
        <v>38244.929062493415</v>
      </c>
      <c r="CB240" s="1312">
        <f>IF(AND(C240&gt;$F$83,'Instrumentos Financeiros'!C240&lt;'Instrumentos Financeiros'!$F$83+'Instrumentos Financeiros'!$F$13+1),PMT(((1+'Instrumentos Financeiros'!$P$43)^(1/12)-1),$F$13,-$I$83),0)</f>
        <v>0</v>
      </c>
      <c r="CC240" s="1312">
        <f t="shared" si="151"/>
        <v>0</v>
      </c>
      <c r="CD240" s="1312">
        <f>CE239*((1+'Instrumentos Financeiros'!$P$43)^(1/12)-1)</f>
        <v>0</v>
      </c>
      <c r="CE240" s="1312">
        <f t="shared" si="152"/>
        <v>0</v>
      </c>
      <c r="CF240" s="1312">
        <f>IF(AND(C240&gt;$F$84,'Instrumentos Financeiros'!C240&lt;'Instrumentos Financeiros'!$F$84+'Instrumentos Financeiros'!$F$13+1),PMT(((1+'Instrumentos Financeiros'!$Q$43)^(1/12)-1),$F$13,-$I$84),0)</f>
        <v>0</v>
      </c>
      <c r="CG240" s="1312">
        <f t="shared" si="153"/>
        <v>0</v>
      </c>
      <c r="CH240" s="1312">
        <f>CI239*((1+'Instrumentos Financeiros'!$Q$43)^(1/12)-1)</f>
        <v>0</v>
      </c>
      <c r="CI240" s="1312">
        <f t="shared" si="154"/>
        <v>0</v>
      </c>
      <c r="CJ240" s="1312">
        <f>IF(AND(C240&gt;$F$85,'Instrumentos Financeiros'!C240&lt;'Instrumentos Financeiros'!$F$85+'Instrumentos Financeiros'!$F$13+1),PMT(((1+'Instrumentos Financeiros'!$Q$43)^(1/12)-1),$F$13,-$I$85),0)</f>
        <v>0</v>
      </c>
      <c r="CK240" s="1312">
        <f t="shared" si="155"/>
        <v>0</v>
      </c>
      <c r="CL240" s="1312">
        <f>CM239*((1+'Instrumentos Financeiros'!$Q$43)^(1/12)-1)</f>
        <v>0</v>
      </c>
      <c r="CM240" s="1312">
        <f t="shared" si="156"/>
        <v>0</v>
      </c>
      <c r="CN240" s="1312">
        <f>IF(AND(C240&gt;$F$86,'Instrumentos Financeiros'!C240&lt;'Instrumentos Financeiros'!$F$86+'Instrumentos Financeiros'!$F$13+1),PMT(((1+'Instrumentos Financeiros'!$Q$43)^(1/12)-1),$F$13,-$I$86),0)</f>
        <v>0</v>
      </c>
      <c r="CO240" s="1312">
        <f t="shared" si="157"/>
        <v>0</v>
      </c>
      <c r="CP240" s="1312">
        <f>CQ239*((1+'Instrumentos Financeiros'!$Q$43)^(1/12)-1)</f>
        <v>0</v>
      </c>
      <c r="CQ240" s="1312">
        <f t="shared" si="158"/>
        <v>0</v>
      </c>
      <c r="CR240" s="1312">
        <f t="shared" si="127"/>
        <v>399789.55023115332</v>
      </c>
      <c r="CS240" s="1312">
        <f t="shared" si="127"/>
        <v>242604.90891929559</v>
      </c>
      <c r="CT240" s="1312">
        <f t="shared" si="127"/>
        <v>157184.64131185767</v>
      </c>
      <c r="CU240" s="1312">
        <f t="shared" si="127"/>
        <v>36530344.182138942</v>
      </c>
    </row>
    <row r="241" spans="3:99" x14ac:dyDescent="0.35">
      <c r="C241" s="1315">
        <f t="shared" si="128"/>
        <v>148</v>
      </c>
      <c r="D241" s="1312">
        <f>IF(AND(C241&gt;$F$59,'Instrumentos Financeiros'!C241&lt;'Instrumentos Financeiros'!$F$59+'Instrumentos Financeiros'!$F$11+1),PMT(((1+'Instrumentos Financeiros'!$G$43)^(1/12)-1),$F$11,-$I$59),0)</f>
        <v>91768.589635900134</v>
      </c>
      <c r="E241" s="1312">
        <f t="shared" si="125"/>
        <v>61313.148142053324</v>
      </c>
      <c r="F241" s="1312">
        <f>G240*((1+'Instrumentos Financeiros'!$G$43)^(1/12)-1)</f>
        <v>30455.441493846814</v>
      </c>
      <c r="G241" s="1312">
        <f t="shared" si="159"/>
        <v>7399963.0584044717</v>
      </c>
      <c r="H241" s="1312">
        <f>IF(AND(C241&gt;$F$60,'Instrumentos Financeiros'!C241&lt;'Instrumentos Financeiros'!$F$60+'Instrumentos Financeiros'!$F$11+1),PMT(((1+'Instrumentos Financeiros'!$G$43)^(1/12)-1),$F$11,-$I$60),0)</f>
        <v>0</v>
      </c>
      <c r="I241" s="1312">
        <f t="shared" si="160"/>
        <v>0</v>
      </c>
      <c r="J241" s="1312">
        <f>K240*((1+'Instrumentos Financeiros'!$G$43)^(1/12)-1)</f>
        <v>0</v>
      </c>
      <c r="K241" s="1312">
        <f t="shared" si="129"/>
        <v>0</v>
      </c>
      <c r="L241" s="1312">
        <f>IF(AND(C241&gt;$F$61,'Instrumentos Financeiros'!C241&lt;'Instrumentos Financeiros'!$F$61+'Instrumentos Financeiros'!$F$11+1),PMT(((1+'Instrumentos Financeiros'!$G$43)^(1/12)-1),$F$11,-$I$61),0)</f>
        <v>0</v>
      </c>
      <c r="M241" s="1312">
        <f t="shared" si="161"/>
        <v>0</v>
      </c>
      <c r="N241" s="1312">
        <f>O240*((1+'Instrumentos Financeiros'!$G$43)^(1/12)-1)</f>
        <v>0</v>
      </c>
      <c r="O241" s="1312">
        <f t="shared" si="130"/>
        <v>0</v>
      </c>
      <c r="P241" s="1312">
        <f>IF(AND(C241&gt;$F$62,'Instrumentos Financeiros'!C241&lt;'Instrumentos Financeiros'!$F$62+'Instrumentos Financeiros'!$F$11+1),PMT(((1+'Instrumentos Financeiros'!$H$43)^(1/12)-1),$F$11,-$I$62),0)</f>
        <v>0</v>
      </c>
      <c r="Q241" s="1312">
        <f t="shared" si="162"/>
        <v>0</v>
      </c>
      <c r="R241" s="1312">
        <f>S240*((1+'Instrumentos Financeiros'!$H$43)^(1/12)-1)</f>
        <v>0</v>
      </c>
      <c r="S241" s="1312">
        <f t="shared" si="131"/>
        <v>0</v>
      </c>
      <c r="T241" s="1312">
        <f>IF(AND(C241&gt;$F$63,'Instrumentos Financeiros'!C241&lt;'Instrumentos Financeiros'!$F$63+'Instrumentos Financeiros'!$F$11+1),PMT(((1+'Instrumentos Financeiros'!$H$43)^(1/12)-1),$F$11,-$I$63),0)</f>
        <v>0</v>
      </c>
      <c r="U241" s="1312">
        <f t="shared" si="163"/>
        <v>0</v>
      </c>
      <c r="V241" s="1312">
        <f>W240*((1+'Instrumentos Financeiros'!$H$43)^(1/12)-1)</f>
        <v>0</v>
      </c>
      <c r="W241" s="1312">
        <f t="shared" si="132"/>
        <v>0</v>
      </c>
      <c r="X241" s="1312">
        <f>IF(AND(C241&gt;$F$64,'Instrumentos Financeiros'!C241&lt;'Instrumentos Financeiros'!$F$64+'Instrumentos Financeiros'!$F$11+1),PMT(((1+'Instrumentos Financeiros'!$H$43)^(1/12)-1),$F$11,-$I$64),0)</f>
        <v>0</v>
      </c>
      <c r="Y241" s="1312">
        <f t="shared" si="164"/>
        <v>0</v>
      </c>
      <c r="Z241" s="1312">
        <f>AA240*((1+'Instrumentos Financeiros'!$H$43)^(1/12)-1)</f>
        <v>0</v>
      </c>
      <c r="AA241" s="1312">
        <f t="shared" si="133"/>
        <v>0</v>
      </c>
      <c r="AB241" s="1312">
        <f>IF(AND(C241&gt;$F$65,'Instrumentos Financeiros'!C241&lt;'Instrumentos Financeiros'!$F$65+'Instrumentos Financeiros'!$F$11+1),PMT(((1+'Instrumentos Financeiros'!$H$43)^(1/12)-1),$F$11,-$I$65),0)</f>
        <v>76636.661022032335</v>
      </c>
      <c r="AC241" s="1312">
        <f t="shared" si="165"/>
        <v>46259.04154962195</v>
      </c>
      <c r="AD241" s="1312">
        <f>AE240*((1+'Instrumentos Financeiros'!$H$43)^(1/12)-1)</f>
        <v>30377.619472410384</v>
      </c>
      <c r="AE241" s="1312">
        <f t="shared" si="134"/>
        <v>6979074.8157244492</v>
      </c>
      <c r="AF241" s="1312">
        <f>IF(AND(C241&gt;$F$66,'Instrumentos Financeiros'!C241&lt;'Instrumentos Financeiros'!$F$66+'Instrumentos Financeiros'!$F$11+1),PMT(((1+'Instrumentos Financeiros'!$I$43)^(1/12)-1),$F$11,-$I$66),0)</f>
        <v>76636.661022032335</v>
      </c>
      <c r="AG241" s="1312">
        <f t="shared" si="166"/>
        <v>45664.120057280641</v>
      </c>
      <c r="AH241" s="1312">
        <f>AI240*((1+'Instrumentos Financeiros'!$I$43)^(1/12)-1)</f>
        <v>30972.54096475169</v>
      </c>
      <c r="AI241" s="1312">
        <f t="shared" si="135"/>
        <v>7117255.307618754</v>
      </c>
      <c r="AJ241" s="1312">
        <f>IF(AND(C241&gt;$F$67,'Instrumentos Financeiros'!C241&lt;'Instrumentos Financeiros'!$F$67+'Instrumentos Financeiros'!$F$11+1),PMT(((1+'Instrumentos Financeiros'!$I$43)^(1/12)-1),$F$11,-$I$67),0)</f>
        <v>76636.661022032335</v>
      </c>
      <c r="AK241" s="1312">
        <f t="shared" si="167"/>
        <v>45076.849643954243</v>
      </c>
      <c r="AL241" s="1312">
        <f>AM240*((1+'Instrumentos Financeiros'!$I$43)^(1/12)-1)</f>
        <v>31559.811378078091</v>
      </c>
      <c r="AM241" s="1312">
        <f t="shared" si="136"/>
        <v>7253658.7081229994</v>
      </c>
      <c r="AN241" s="1312">
        <f>IF(AND(C241&gt;$F$68,'Instrumentos Financeiros'!C241&lt;'Instrumentos Financeiros'!$F$68+'Instrumentos Financeiros'!$F$11+1),PMT(((1+'Instrumentos Financeiros'!$I$43)^(1/12)-1),$F$11,-$I$68),0)</f>
        <v>76636.661022032335</v>
      </c>
      <c r="AO241" s="1312">
        <f t="shared" si="168"/>
        <v>44497.131911768658</v>
      </c>
      <c r="AP241" s="1312">
        <f>AQ240*((1+'Instrumentos Financeiros'!$I$43)^(1/12)-1)</f>
        <v>32139.529110263677</v>
      </c>
      <c r="AQ241" s="1312">
        <f t="shared" si="137"/>
        <v>7388307.8717933195</v>
      </c>
      <c r="AR241" s="1312">
        <f>IF(AND(C241&gt;$F$69,'Instrumentos Financeiros'!C241&lt;'Instrumentos Financeiros'!$F$69+'Instrumentos Financeiros'!$F$11+1),PMT(((1+'Instrumentos Financeiros'!$I$43)^(1/12)-1),$F$11,-$I$69),0)</f>
        <v>0</v>
      </c>
      <c r="AS241" s="1312">
        <f t="shared" si="169"/>
        <v>0</v>
      </c>
      <c r="AT241" s="1312">
        <f>AU240*((1+'Instrumentos Financeiros'!$I$43)^(1/12)-1)</f>
        <v>0</v>
      </c>
      <c r="AU241" s="1312">
        <f t="shared" si="138"/>
        <v>0</v>
      </c>
      <c r="AV241" s="1312">
        <f>IF(AND(C241&gt;$F$70,'Instrumentos Financeiros'!C241&lt;'Instrumentos Financeiros'!$F$70+'Instrumentos Financeiros'!$F$11+1),PMT(((1+'Instrumentos Financeiros'!$J$43)^(1/12)-1),$F$11,-$I$70),0)</f>
        <v>0</v>
      </c>
      <c r="AW241" s="1312">
        <f t="shared" si="170"/>
        <v>0</v>
      </c>
      <c r="AX241" s="1312">
        <f>AY240*((1+'Instrumentos Financeiros'!$J$43)^(1/12)-1)</f>
        <v>0</v>
      </c>
      <c r="AY241" s="1312">
        <f t="shared" si="139"/>
        <v>0</v>
      </c>
      <c r="AZ241" s="1312">
        <f>IF(AND(C241&gt;$F$71,'Instrumentos Financeiros'!C241&lt;'Instrumentos Financeiros'!$F$71+'Instrumentos Financeiros'!$F$11+1),PMT(((1+'Instrumentos Financeiros'!$J$43)^(1/12)-1),$F$11,-$I$71),0)</f>
        <v>0</v>
      </c>
      <c r="BA241" s="1312">
        <f t="shared" si="171"/>
        <v>0</v>
      </c>
      <c r="BB241" s="1312">
        <f>BC240*((1+'Instrumentos Financeiros'!$J$43)^(1/12)-1)</f>
        <v>0</v>
      </c>
      <c r="BC241" s="1312">
        <f t="shared" si="140"/>
        <v>0</v>
      </c>
      <c r="BD241" s="1312">
        <f>IF(AND(C241&gt;$F$72,'Instrumentos Financeiros'!C241&lt;'Instrumentos Financeiros'!$F$72+'Instrumentos Financeiros'!$F$11+1),PMT(((1+'Instrumentos Financeiros'!$J$43)^(1/12)-1),$F$11,-'Instrumentos Financeiros'!$G$7*$G$72),0)</f>
        <v>0</v>
      </c>
      <c r="BE241" s="1312">
        <f t="shared" si="172"/>
        <v>0</v>
      </c>
      <c r="BF241" s="1312">
        <f>BG240*((1+'Instrumentos Financeiros'!$J$43)^(1/12)-1)</f>
        <v>0</v>
      </c>
      <c r="BG241" s="1312">
        <f t="shared" si="141"/>
        <v>0</v>
      </c>
      <c r="BH241" s="1312">
        <f>IF(AND(C241&gt;$F$73,'Instrumentos Financeiros'!C241&lt;'Instrumentos Financeiros'!$F$73+'Instrumentos Financeiros'!$F$11+1),PMT(((1+'Instrumentos Financeiros'!$J$43)^(1/12)-1),$F$11,-$I$73),0)</f>
        <v>0</v>
      </c>
      <c r="BI241" s="1312">
        <f t="shared" si="173"/>
        <v>0</v>
      </c>
      <c r="BJ241" s="1312">
        <f>BK240*((1+'Instrumentos Financeiros'!$J$43)^(1/12)-1)</f>
        <v>0</v>
      </c>
      <c r="BK241" s="1312">
        <f t="shared" si="142"/>
        <v>0</v>
      </c>
      <c r="BL241" s="1312">
        <f>IF(AND(C241&gt;$F$77,'Instrumentos Financeiros'!C241&lt;'Instrumentos Financeiros'!$F$77+'Instrumentos Financeiros'!$F$12+1),PMT(((1+'Instrumentos Financeiros'!$K$43)^(1/12)-1),$F$12,-$I$77),0)</f>
        <v>368.57912678094596</v>
      </c>
      <c r="BM241" s="1312">
        <f t="shared" si="143"/>
        <v>211.25385569411964</v>
      </c>
      <c r="BN241" s="1312">
        <f>BO240*((1+'Instrumentos Financeiros'!$K$43)^(1/12)-1)</f>
        <v>157.32527108682632</v>
      </c>
      <c r="BO241" s="1312">
        <f t="shared" si="144"/>
        <v>36172.853021901275</v>
      </c>
      <c r="BP241" s="1312">
        <f>IF(AND(C241&gt;$F$78,'Instrumentos Financeiros'!C241&lt;'Instrumentos Financeiros'!$F$78+'Instrumentos Financeiros'!$F$12+1),PMT(((1+'Instrumentos Financeiros'!$L$43)^(1/12)-1),$F$12,-$I$78),0)</f>
        <v>368.57912678094596</v>
      </c>
      <c r="BQ241" s="1312">
        <f t="shared" si="145"/>
        <v>208.53699311153491</v>
      </c>
      <c r="BR241" s="1312">
        <f>BS240*((1+'Instrumentos Financeiros'!$L$43)^(1/12)-1)</f>
        <v>160.04213366941104</v>
      </c>
      <c r="BS241" s="1312">
        <f t="shared" si="146"/>
        <v>36803.889911480335</v>
      </c>
      <c r="BT241" s="1312">
        <f>IF(AND(C241&gt;$F$79,'Instrumentos Financeiros'!C241&lt;'Instrumentos Financeiros'!$F$79+'Instrumentos Financeiros'!$F$12+1),PMT(((1+'Instrumentos Financeiros'!$L$43)^(1/12)-1),$F$12,-$I$79),0)</f>
        <v>368.57912678094596</v>
      </c>
      <c r="BU241" s="1312">
        <f t="shared" si="147"/>
        <v>205.85507115651126</v>
      </c>
      <c r="BV241" s="1312">
        <f>BW240*((1+'Instrumentos Financeiros'!$L$43)^(1/12)-1)</f>
        <v>162.7240556244347</v>
      </c>
      <c r="BW241" s="1312">
        <f t="shared" si="148"/>
        <v>37426.81125444419</v>
      </c>
      <c r="BX241" s="1312">
        <f>IF(AND(C241&gt;$F$80,'Instrumentos Financeiros'!C241&lt;'Instrumentos Financeiros'!$F$80+'Instrumentos Financeiros'!$F$12+1),PMT(((1+'Instrumentos Financeiros'!$L$43)^(1/12)-1),$F$12,-$I$80),0)</f>
        <v>368.57912678094596</v>
      </c>
      <c r="BY241" s="1312">
        <f t="shared" si="149"/>
        <v>203.20764046975381</v>
      </c>
      <c r="BZ241" s="1312">
        <f>CA240*((1+'Instrumentos Financeiros'!$L$43)^(1/12)-1)</f>
        <v>165.37148631119214</v>
      </c>
      <c r="CA241" s="1312">
        <f t="shared" si="150"/>
        <v>38041.721422023664</v>
      </c>
      <c r="CB241" s="1312">
        <f>IF(AND(C241&gt;$F$83,'Instrumentos Financeiros'!C241&lt;'Instrumentos Financeiros'!$F$83+'Instrumentos Financeiros'!$F$13+1),PMT(((1+'Instrumentos Financeiros'!$P$43)^(1/12)-1),$F$13,-$I$83),0)</f>
        <v>0</v>
      </c>
      <c r="CC241" s="1312">
        <f t="shared" si="151"/>
        <v>0</v>
      </c>
      <c r="CD241" s="1312">
        <f>CE240*((1+'Instrumentos Financeiros'!$P$43)^(1/12)-1)</f>
        <v>0</v>
      </c>
      <c r="CE241" s="1312">
        <f t="shared" si="152"/>
        <v>0</v>
      </c>
      <c r="CF241" s="1312">
        <f>IF(AND(C241&gt;$F$84,'Instrumentos Financeiros'!C241&lt;'Instrumentos Financeiros'!$F$84+'Instrumentos Financeiros'!$F$13+1),PMT(((1+'Instrumentos Financeiros'!$Q$43)^(1/12)-1),$F$13,-$I$84),0)</f>
        <v>0</v>
      </c>
      <c r="CG241" s="1312">
        <f t="shared" si="153"/>
        <v>0</v>
      </c>
      <c r="CH241" s="1312">
        <f>CI240*((1+'Instrumentos Financeiros'!$Q$43)^(1/12)-1)</f>
        <v>0</v>
      </c>
      <c r="CI241" s="1312">
        <f t="shared" si="154"/>
        <v>0</v>
      </c>
      <c r="CJ241" s="1312">
        <f>IF(AND(C241&gt;$F$85,'Instrumentos Financeiros'!C241&lt;'Instrumentos Financeiros'!$F$85+'Instrumentos Financeiros'!$F$13+1),PMT(((1+'Instrumentos Financeiros'!$Q$43)^(1/12)-1),$F$13,-$I$85),0)</f>
        <v>0</v>
      </c>
      <c r="CK241" s="1312">
        <f t="shared" si="155"/>
        <v>0</v>
      </c>
      <c r="CL241" s="1312">
        <f>CM240*((1+'Instrumentos Financeiros'!$Q$43)^(1/12)-1)</f>
        <v>0</v>
      </c>
      <c r="CM241" s="1312">
        <f t="shared" si="156"/>
        <v>0</v>
      </c>
      <c r="CN241" s="1312">
        <f>IF(AND(C241&gt;$F$86,'Instrumentos Financeiros'!C241&lt;'Instrumentos Financeiros'!$F$86+'Instrumentos Financeiros'!$F$13+1),PMT(((1+'Instrumentos Financeiros'!$Q$43)^(1/12)-1),$F$13,-$I$86),0)</f>
        <v>0</v>
      </c>
      <c r="CO241" s="1312">
        <f t="shared" si="157"/>
        <v>0</v>
      </c>
      <c r="CP241" s="1312">
        <f>CQ240*((1+'Instrumentos Financeiros'!$Q$43)^(1/12)-1)</f>
        <v>0</v>
      </c>
      <c r="CQ241" s="1312">
        <f t="shared" si="158"/>
        <v>0</v>
      </c>
      <c r="CR241" s="1312">
        <f t="shared" si="127"/>
        <v>399789.55023115332</v>
      </c>
      <c r="CS241" s="1312">
        <f t="shared" si="127"/>
        <v>243639.14486511075</v>
      </c>
      <c r="CT241" s="1312">
        <f t="shared" si="127"/>
        <v>156150.40536604251</v>
      </c>
      <c r="CU241" s="1312">
        <f t="shared" si="127"/>
        <v>36286705.037273847</v>
      </c>
    </row>
    <row r="242" spans="3:99" x14ac:dyDescent="0.35">
      <c r="C242" s="1315">
        <f t="shared" si="128"/>
        <v>149</v>
      </c>
      <c r="D242" s="1312">
        <f>IF(AND(C242&gt;$F$59,'Instrumentos Financeiros'!C242&lt;'Instrumentos Financeiros'!$F$59+'Instrumentos Financeiros'!$F$11+1),PMT(((1+'Instrumentos Financeiros'!$G$43)^(1/12)-1),$F$11,-$I$59),0)</f>
        <v>91768.589635900134</v>
      </c>
      <c r="E242" s="1312">
        <f t="shared" si="125"/>
        <v>61563.416185260925</v>
      </c>
      <c r="F242" s="1312">
        <f>G241*((1+'Instrumentos Financeiros'!$G$43)^(1/12)-1)</f>
        <v>30205.173450639206</v>
      </c>
      <c r="G242" s="1312">
        <f t="shared" si="159"/>
        <v>7338399.642219211</v>
      </c>
      <c r="H242" s="1312">
        <f>IF(AND(C242&gt;$F$60,'Instrumentos Financeiros'!C242&lt;'Instrumentos Financeiros'!$F$60+'Instrumentos Financeiros'!$F$11+1),PMT(((1+'Instrumentos Financeiros'!$G$43)^(1/12)-1),$F$11,-$I$60),0)</f>
        <v>0</v>
      </c>
      <c r="I242" s="1312">
        <f t="shared" si="160"/>
        <v>0</v>
      </c>
      <c r="J242" s="1312">
        <f>K241*((1+'Instrumentos Financeiros'!$G$43)^(1/12)-1)</f>
        <v>0</v>
      </c>
      <c r="K242" s="1312">
        <f t="shared" si="129"/>
        <v>0</v>
      </c>
      <c r="L242" s="1312">
        <f>IF(AND(C242&gt;$F$61,'Instrumentos Financeiros'!C242&lt;'Instrumentos Financeiros'!$F$61+'Instrumentos Financeiros'!$F$11+1),PMT(((1+'Instrumentos Financeiros'!$G$43)^(1/12)-1),$F$11,-$I$61),0)</f>
        <v>0</v>
      </c>
      <c r="M242" s="1312">
        <f t="shared" si="161"/>
        <v>0</v>
      </c>
      <c r="N242" s="1312">
        <f>O241*((1+'Instrumentos Financeiros'!$G$43)^(1/12)-1)</f>
        <v>0</v>
      </c>
      <c r="O242" s="1312">
        <f t="shared" si="130"/>
        <v>0</v>
      </c>
      <c r="P242" s="1312">
        <f>IF(AND(C242&gt;$F$62,'Instrumentos Financeiros'!C242&lt;'Instrumentos Financeiros'!$F$62+'Instrumentos Financeiros'!$F$11+1),PMT(((1+'Instrumentos Financeiros'!$H$43)^(1/12)-1),$F$11,-$I$62),0)</f>
        <v>0</v>
      </c>
      <c r="Q242" s="1312">
        <f t="shared" si="162"/>
        <v>0</v>
      </c>
      <c r="R242" s="1312">
        <f>S241*((1+'Instrumentos Financeiros'!$H$43)^(1/12)-1)</f>
        <v>0</v>
      </c>
      <c r="S242" s="1312">
        <f t="shared" si="131"/>
        <v>0</v>
      </c>
      <c r="T242" s="1312">
        <f>IF(AND(C242&gt;$F$63,'Instrumentos Financeiros'!C242&lt;'Instrumentos Financeiros'!$F$63+'Instrumentos Financeiros'!$F$11+1),PMT(((1+'Instrumentos Financeiros'!$H$43)^(1/12)-1),$F$11,-$I$63),0)</f>
        <v>0</v>
      </c>
      <c r="U242" s="1312">
        <f t="shared" si="163"/>
        <v>0</v>
      </c>
      <c r="V242" s="1312">
        <f>W241*((1+'Instrumentos Financeiros'!$H$43)^(1/12)-1)</f>
        <v>0</v>
      </c>
      <c r="W242" s="1312">
        <f t="shared" si="132"/>
        <v>0</v>
      </c>
      <c r="X242" s="1312">
        <f>IF(AND(C242&gt;$F$64,'Instrumentos Financeiros'!C242&lt;'Instrumentos Financeiros'!$F$64+'Instrumentos Financeiros'!$F$11+1),PMT(((1+'Instrumentos Financeiros'!$H$43)^(1/12)-1),$F$11,-$I$64),0)</f>
        <v>0</v>
      </c>
      <c r="Y242" s="1312">
        <f t="shared" si="164"/>
        <v>0</v>
      </c>
      <c r="Z242" s="1312">
        <f>AA241*((1+'Instrumentos Financeiros'!$H$43)^(1/12)-1)</f>
        <v>0</v>
      </c>
      <c r="AA242" s="1312">
        <f t="shared" si="133"/>
        <v>0</v>
      </c>
      <c r="AB242" s="1312">
        <f>IF(AND(C242&gt;$F$65,'Instrumentos Financeiros'!C242&lt;'Instrumentos Financeiros'!$F$65+'Instrumentos Financeiros'!$F$11+1),PMT(((1+'Instrumentos Financeiros'!$H$43)^(1/12)-1),$F$11,-$I$65),0)</f>
        <v>76636.661022032335</v>
      </c>
      <c r="AC242" s="1312">
        <f t="shared" si="165"/>
        <v>46459.066144879849</v>
      </c>
      <c r="AD242" s="1312">
        <f>AE241*((1+'Instrumentos Financeiros'!$H$43)^(1/12)-1)</f>
        <v>30177.594877152489</v>
      </c>
      <c r="AE242" s="1312">
        <f t="shared" si="134"/>
        <v>6932615.7495795693</v>
      </c>
      <c r="AF242" s="1312">
        <f>IF(AND(C242&gt;$F$66,'Instrumentos Financeiros'!C242&lt;'Instrumentos Financeiros'!$F$66+'Instrumentos Financeiros'!$F$11+1),PMT(((1+'Instrumentos Financeiros'!$I$43)^(1/12)-1),$F$11,-$I$66),0)</f>
        <v>76636.661022032335</v>
      </c>
      <c r="AG242" s="1312">
        <f t="shared" si="166"/>
        <v>45861.572205580509</v>
      </c>
      <c r="AH242" s="1312">
        <f>AI241*((1+'Instrumentos Financeiros'!$I$43)^(1/12)-1)</f>
        <v>30775.088816451822</v>
      </c>
      <c r="AI242" s="1312">
        <f t="shared" si="135"/>
        <v>7071393.7354131732</v>
      </c>
      <c r="AJ242" s="1312">
        <f>IF(AND(C242&gt;$F$67,'Instrumentos Financeiros'!C242&lt;'Instrumentos Financeiros'!$F$67+'Instrumentos Financeiros'!$F$11+1),PMT(((1+'Instrumentos Financeiros'!$I$43)^(1/12)-1),$F$11,-$I$67),0)</f>
        <v>76636.661022032335</v>
      </c>
      <c r="AK242" s="1312">
        <f t="shared" si="167"/>
        <v>45271.762428644368</v>
      </c>
      <c r="AL242" s="1312">
        <f>AM241*((1+'Instrumentos Financeiros'!$I$43)^(1/12)-1)</f>
        <v>31364.898593387967</v>
      </c>
      <c r="AM242" s="1312">
        <f t="shared" si="136"/>
        <v>7208386.9456943553</v>
      </c>
      <c r="AN242" s="1312">
        <f>IF(AND(C242&gt;$F$68,'Instrumentos Financeiros'!C242&lt;'Instrumentos Financeiros'!$F$68+'Instrumentos Financeiros'!$F$11+1),PMT(((1+'Instrumentos Financeiros'!$I$43)^(1/12)-1),$F$11,-$I$68),0)</f>
        <v>76636.661022032335</v>
      </c>
      <c r="AO242" s="1312">
        <f t="shared" si="168"/>
        <v>44689.537990723868</v>
      </c>
      <c r="AP242" s="1312">
        <f>AQ241*((1+'Instrumentos Financeiros'!$I$43)^(1/12)-1)</f>
        <v>31947.123031308471</v>
      </c>
      <c r="AQ242" s="1312">
        <f t="shared" si="137"/>
        <v>7343618.3338025957</v>
      </c>
      <c r="AR242" s="1312">
        <f>IF(AND(C242&gt;$F$69,'Instrumentos Financeiros'!C242&lt;'Instrumentos Financeiros'!$F$69+'Instrumentos Financeiros'!$F$11+1),PMT(((1+'Instrumentos Financeiros'!$I$43)^(1/12)-1),$F$11,-$I$69),0)</f>
        <v>0</v>
      </c>
      <c r="AS242" s="1312">
        <f t="shared" si="169"/>
        <v>0</v>
      </c>
      <c r="AT242" s="1312">
        <f>AU241*((1+'Instrumentos Financeiros'!$I$43)^(1/12)-1)</f>
        <v>0</v>
      </c>
      <c r="AU242" s="1312">
        <f t="shared" si="138"/>
        <v>0</v>
      </c>
      <c r="AV242" s="1312">
        <f>IF(AND(C242&gt;$F$70,'Instrumentos Financeiros'!C242&lt;'Instrumentos Financeiros'!$F$70+'Instrumentos Financeiros'!$F$11+1),PMT(((1+'Instrumentos Financeiros'!$J$43)^(1/12)-1),$F$11,-$I$70),0)</f>
        <v>0</v>
      </c>
      <c r="AW242" s="1312">
        <f t="shared" si="170"/>
        <v>0</v>
      </c>
      <c r="AX242" s="1312">
        <f>AY241*((1+'Instrumentos Financeiros'!$J$43)^(1/12)-1)</f>
        <v>0</v>
      </c>
      <c r="AY242" s="1312">
        <f t="shared" si="139"/>
        <v>0</v>
      </c>
      <c r="AZ242" s="1312">
        <f>IF(AND(C242&gt;$F$71,'Instrumentos Financeiros'!C242&lt;'Instrumentos Financeiros'!$F$71+'Instrumentos Financeiros'!$F$11+1),PMT(((1+'Instrumentos Financeiros'!$J$43)^(1/12)-1),$F$11,-$I$71),0)</f>
        <v>0</v>
      </c>
      <c r="BA242" s="1312">
        <f t="shared" si="171"/>
        <v>0</v>
      </c>
      <c r="BB242" s="1312">
        <f>BC241*((1+'Instrumentos Financeiros'!$J$43)^(1/12)-1)</f>
        <v>0</v>
      </c>
      <c r="BC242" s="1312">
        <f t="shared" si="140"/>
        <v>0</v>
      </c>
      <c r="BD242" s="1312">
        <f>IF(AND(C242&gt;$F$72,'Instrumentos Financeiros'!C242&lt;'Instrumentos Financeiros'!$F$72+'Instrumentos Financeiros'!$F$11+1),PMT(((1+'Instrumentos Financeiros'!$J$43)^(1/12)-1),$F$11,-'Instrumentos Financeiros'!$G$7*$G$72),0)</f>
        <v>0</v>
      </c>
      <c r="BE242" s="1312">
        <f t="shared" si="172"/>
        <v>0</v>
      </c>
      <c r="BF242" s="1312">
        <f>BG241*((1+'Instrumentos Financeiros'!$J$43)^(1/12)-1)</f>
        <v>0</v>
      </c>
      <c r="BG242" s="1312">
        <f t="shared" si="141"/>
        <v>0</v>
      </c>
      <c r="BH242" s="1312">
        <f>IF(AND(C242&gt;$F$73,'Instrumentos Financeiros'!C242&lt;'Instrumentos Financeiros'!$F$73+'Instrumentos Financeiros'!$F$11+1),PMT(((1+'Instrumentos Financeiros'!$J$43)^(1/12)-1),$F$11,-$I$73),0)</f>
        <v>0</v>
      </c>
      <c r="BI242" s="1312">
        <f t="shared" si="173"/>
        <v>0</v>
      </c>
      <c r="BJ242" s="1312">
        <f>BK241*((1+'Instrumentos Financeiros'!$J$43)^(1/12)-1)</f>
        <v>0</v>
      </c>
      <c r="BK242" s="1312">
        <f t="shared" si="142"/>
        <v>0</v>
      </c>
      <c r="BL242" s="1312">
        <f>IF(AND(C242&gt;$F$77,'Instrumentos Financeiros'!C242&lt;'Instrumentos Financeiros'!$F$77+'Instrumentos Financeiros'!$F$12+1),PMT(((1+'Instrumentos Financeiros'!$K$43)^(1/12)-1),$F$12,-$I$77),0)</f>
        <v>368.57912678094596</v>
      </c>
      <c r="BM242" s="1312">
        <f t="shared" si="143"/>
        <v>212.16731964768121</v>
      </c>
      <c r="BN242" s="1312">
        <f>BO241*((1+'Instrumentos Financeiros'!$K$43)^(1/12)-1)</f>
        <v>156.41180713326474</v>
      </c>
      <c r="BO242" s="1312">
        <f t="shared" si="144"/>
        <v>35960.685702253591</v>
      </c>
      <c r="BP242" s="1312">
        <f>IF(AND(C242&gt;$F$78,'Instrumentos Financeiros'!C242&lt;'Instrumentos Financeiros'!$F$78+'Instrumentos Financeiros'!$F$12+1),PMT(((1+'Instrumentos Financeiros'!$L$43)^(1/12)-1),$F$12,-$I$78),0)</f>
        <v>368.57912678094596</v>
      </c>
      <c r="BQ242" s="1312">
        <f t="shared" si="145"/>
        <v>209.43870932194727</v>
      </c>
      <c r="BR242" s="1312">
        <f>BS241*((1+'Instrumentos Financeiros'!$L$43)^(1/12)-1)</f>
        <v>159.14041745899868</v>
      </c>
      <c r="BS242" s="1312">
        <f t="shared" si="146"/>
        <v>36594.451202158387</v>
      </c>
      <c r="BT242" s="1312">
        <f>IF(AND(C242&gt;$F$79,'Instrumentos Financeiros'!C242&lt;'Instrumentos Financeiros'!$F$79+'Instrumentos Financeiros'!$F$12+1),PMT(((1+'Instrumentos Financeiros'!$L$43)^(1/12)-1),$F$12,-$I$79),0)</f>
        <v>368.57912678094596</v>
      </c>
      <c r="BU242" s="1312">
        <f t="shared" si="147"/>
        <v>206.74519070742537</v>
      </c>
      <c r="BV242" s="1312">
        <f>BW241*((1+'Instrumentos Financeiros'!$L$43)^(1/12)-1)</f>
        <v>161.83393607352059</v>
      </c>
      <c r="BW242" s="1312">
        <f t="shared" si="148"/>
        <v>37220.066063736762</v>
      </c>
      <c r="BX242" s="1312">
        <f>IF(AND(C242&gt;$F$80,'Instrumentos Financeiros'!C242&lt;'Instrumentos Financeiros'!$F$80+'Instrumentos Financeiros'!$F$12+1),PMT(((1+'Instrumentos Financeiros'!$L$43)^(1/12)-1),$F$12,-$I$80),0)</f>
        <v>368.57912678094596</v>
      </c>
      <c r="BY242" s="1312">
        <f t="shared" si="149"/>
        <v>204.08631250178613</v>
      </c>
      <c r="BZ242" s="1312">
        <f>CA241*((1+'Instrumentos Financeiros'!$L$43)^(1/12)-1)</f>
        <v>164.49281427915983</v>
      </c>
      <c r="CA242" s="1312">
        <f t="shared" si="150"/>
        <v>37837.635109521878</v>
      </c>
      <c r="CB242" s="1312">
        <f>IF(AND(C242&gt;$F$83,'Instrumentos Financeiros'!C242&lt;'Instrumentos Financeiros'!$F$83+'Instrumentos Financeiros'!$F$13+1),PMT(((1+'Instrumentos Financeiros'!$P$43)^(1/12)-1),$F$13,-$I$83),0)</f>
        <v>0</v>
      </c>
      <c r="CC242" s="1312">
        <f t="shared" si="151"/>
        <v>0</v>
      </c>
      <c r="CD242" s="1312">
        <f>CE241*((1+'Instrumentos Financeiros'!$P$43)^(1/12)-1)</f>
        <v>0</v>
      </c>
      <c r="CE242" s="1312">
        <f t="shared" si="152"/>
        <v>0</v>
      </c>
      <c r="CF242" s="1312">
        <f>IF(AND(C242&gt;$F$84,'Instrumentos Financeiros'!C242&lt;'Instrumentos Financeiros'!$F$84+'Instrumentos Financeiros'!$F$13+1),PMT(((1+'Instrumentos Financeiros'!$Q$43)^(1/12)-1),$F$13,-$I$84),0)</f>
        <v>0</v>
      </c>
      <c r="CG242" s="1312">
        <f t="shared" si="153"/>
        <v>0</v>
      </c>
      <c r="CH242" s="1312">
        <f>CI241*((1+'Instrumentos Financeiros'!$Q$43)^(1/12)-1)</f>
        <v>0</v>
      </c>
      <c r="CI242" s="1312">
        <f t="shared" si="154"/>
        <v>0</v>
      </c>
      <c r="CJ242" s="1312">
        <f>IF(AND(C242&gt;$F$85,'Instrumentos Financeiros'!C242&lt;'Instrumentos Financeiros'!$F$85+'Instrumentos Financeiros'!$F$13+1),PMT(((1+'Instrumentos Financeiros'!$Q$43)^(1/12)-1),$F$13,-$I$85),0)</f>
        <v>0</v>
      </c>
      <c r="CK242" s="1312">
        <f t="shared" si="155"/>
        <v>0</v>
      </c>
      <c r="CL242" s="1312">
        <f>CM241*((1+'Instrumentos Financeiros'!$Q$43)^(1/12)-1)</f>
        <v>0</v>
      </c>
      <c r="CM242" s="1312">
        <f t="shared" si="156"/>
        <v>0</v>
      </c>
      <c r="CN242" s="1312">
        <f>IF(AND(C242&gt;$F$86,'Instrumentos Financeiros'!C242&lt;'Instrumentos Financeiros'!$F$86+'Instrumentos Financeiros'!$F$13+1),PMT(((1+'Instrumentos Financeiros'!$Q$43)^(1/12)-1),$F$13,-$I$86),0)</f>
        <v>0</v>
      </c>
      <c r="CO242" s="1312">
        <f t="shared" si="157"/>
        <v>0</v>
      </c>
      <c r="CP242" s="1312">
        <f>CQ241*((1+'Instrumentos Financeiros'!$Q$43)^(1/12)-1)</f>
        <v>0</v>
      </c>
      <c r="CQ242" s="1312">
        <f t="shared" si="158"/>
        <v>0</v>
      </c>
      <c r="CR242" s="1312">
        <f t="shared" si="127"/>
        <v>399789.55023115332</v>
      </c>
      <c r="CS242" s="1312">
        <f t="shared" si="127"/>
        <v>244677.79248726834</v>
      </c>
      <c r="CT242" s="1312">
        <f t="shared" si="127"/>
        <v>155111.7577438849</v>
      </c>
      <c r="CU242" s="1312">
        <f t="shared" si="127"/>
        <v>36042027.244786583</v>
      </c>
    </row>
    <row r="243" spans="3:99" x14ac:dyDescent="0.35">
      <c r="C243" s="1315">
        <f t="shared" si="128"/>
        <v>150</v>
      </c>
      <c r="D243" s="1312">
        <f>IF(AND(C243&gt;$F$59,'Instrumentos Financeiros'!C243&lt;'Instrumentos Financeiros'!$F$59+'Instrumentos Financeiros'!$F$11+1),PMT(((1+'Instrumentos Financeiros'!$G$43)^(1/12)-1),$F$11,-$I$59),0)</f>
        <v>91768.589635900134</v>
      </c>
      <c r="E243" s="1312">
        <f t="shared" si="125"/>
        <v>61814.705772710658</v>
      </c>
      <c r="F243" s="1312">
        <f>G242*((1+'Instrumentos Financeiros'!$G$43)^(1/12)-1)</f>
        <v>29953.88386318948</v>
      </c>
      <c r="G243" s="1312">
        <f t="shared" si="159"/>
        <v>7276584.9364465</v>
      </c>
      <c r="H243" s="1312">
        <f>IF(AND(C243&gt;$F$60,'Instrumentos Financeiros'!C243&lt;'Instrumentos Financeiros'!$F$60+'Instrumentos Financeiros'!$F$11+1),PMT(((1+'Instrumentos Financeiros'!$G$43)^(1/12)-1),$F$11,-$I$60),0)</f>
        <v>0</v>
      </c>
      <c r="I243" s="1312">
        <f t="shared" si="160"/>
        <v>0</v>
      </c>
      <c r="J243" s="1312">
        <f>K242*((1+'Instrumentos Financeiros'!$G$43)^(1/12)-1)</f>
        <v>0</v>
      </c>
      <c r="K243" s="1312">
        <f t="shared" si="129"/>
        <v>0</v>
      </c>
      <c r="L243" s="1312">
        <f>IF(AND(C243&gt;$F$61,'Instrumentos Financeiros'!C243&lt;'Instrumentos Financeiros'!$F$61+'Instrumentos Financeiros'!$F$11+1),PMT(((1+'Instrumentos Financeiros'!$G$43)^(1/12)-1),$F$11,-$I$61),0)</f>
        <v>0</v>
      </c>
      <c r="M243" s="1312">
        <f t="shared" si="161"/>
        <v>0</v>
      </c>
      <c r="N243" s="1312">
        <f>O242*((1+'Instrumentos Financeiros'!$G$43)^(1/12)-1)</f>
        <v>0</v>
      </c>
      <c r="O243" s="1312">
        <f t="shared" si="130"/>
        <v>0</v>
      </c>
      <c r="P243" s="1312">
        <f>IF(AND(C243&gt;$F$62,'Instrumentos Financeiros'!C243&lt;'Instrumentos Financeiros'!$F$62+'Instrumentos Financeiros'!$F$11+1),PMT(((1+'Instrumentos Financeiros'!$H$43)^(1/12)-1),$F$11,-$I$62),0)</f>
        <v>0</v>
      </c>
      <c r="Q243" s="1312">
        <f t="shared" si="162"/>
        <v>0</v>
      </c>
      <c r="R243" s="1312">
        <f>S242*((1+'Instrumentos Financeiros'!$H$43)^(1/12)-1)</f>
        <v>0</v>
      </c>
      <c r="S243" s="1312">
        <f t="shared" si="131"/>
        <v>0</v>
      </c>
      <c r="T243" s="1312">
        <f>IF(AND(C243&gt;$F$63,'Instrumentos Financeiros'!C243&lt;'Instrumentos Financeiros'!$F$63+'Instrumentos Financeiros'!$F$11+1),PMT(((1+'Instrumentos Financeiros'!$H$43)^(1/12)-1),$F$11,-$I$63),0)</f>
        <v>0</v>
      </c>
      <c r="U243" s="1312">
        <f t="shared" si="163"/>
        <v>0</v>
      </c>
      <c r="V243" s="1312">
        <f>W242*((1+'Instrumentos Financeiros'!$H$43)^(1/12)-1)</f>
        <v>0</v>
      </c>
      <c r="W243" s="1312">
        <f t="shared" si="132"/>
        <v>0</v>
      </c>
      <c r="X243" s="1312">
        <f>IF(AND(C243&gt;$F$64,'Instrumentos Financeiros'!C243&lt;'Instrumentos Financeiros'!$F$64+'Instrumentos Financeiros'!$F$11+1),PMT(((1+'Instrumentos Financeiros'!$H$43)^(1/12)-1),$F$11,-$I$64),0)</f>
        <v>0</v>
      </c>
      <c r="Y243" s="1312">
        <f t="shared" si="164"/>
        <v>0</v>
      </c>
      <c r="Z243" s="1312">
        <f>AA242*((1+'Instrumentos Financeiros'!$H$43)^(1/12)-1)</f>
        <v>0</v>
      </c>
      <c r="AA243" s="1312">
        <f t="shared" si="133"/>
        <v>0</v>
      </c>
      <c r="AB243" s="1312">
        <f>IF(AND(C243&gt;$F$65,'Instrumentos Financeiros'!C243&lt;'Instrumentos Financeiros'!$F$65+'Instrumentos Financeiros'!$F$11+1),PMT(((1+'Instrumentos Financeiros'!$H$43)^(1/12)-1),$F$11,-$I$65),0)</f>
        <v>76636.661022032335</v>
      </c>
      <c r="AC243" s="1312">
        <f t="shared" si="165"/>
        <v>46659.955648647898</v>
      </c>
      <c r="AD243" s="1312">
        <f>AE242*((1+'Instrumentos Financeiros'!$H$43)^(1/12)-1)</f>
        <v>29976.705373384433</v>
      </c>
      <c r="AE243" s="1312">
        <f t="shared" si="134"/>
        <v>6885955.7939309217</v>
      </c>
      <c r="AF243" s="1312">
        <f>IF(AND(C243&gt;$F$66,'Instrumentos Financeiros'!C243&lt;'Instrumentos Financeiros'!$F$66+'Instrumentos Financeiros'!$F$11+1),PMT(((1+'Instrumentos Financeiros'!$I$43)^(1/12)-1),$F$11,-$I$66),0)</f>
        <v>76636.661022032335</v>
      </c>
      <c r="AG243" s="1312">
        <f t="shared" si="166"/>
        <v>46059.878139102104</v>
      </c>
      <c r="AH243" s="1312">
        <f>AI242*((1+'Instrumentos Financeiros'!$I$43)^(1/12)-1)</f>
        <v>30576.782882930227</v>
      </c>
      <c r="AI243" s="1312">
        <f t="shared" si="135"/>
        <v>7025333.8572740713</v>
      </c>
      <c r="AJ243" s="1312">
        <f>IF(AND(C243&gt;$F$67,'Instrumentos Financeiros'!C243&lt;'Instrumentos Financeiros'!$F$67+'Instrumentos Financeiros'!$F$11+1),PMT(((1+'Instrumentos Financeiros'!$I$43)^(1/12)-1),$F$11,-$I$67),0)</f>
        <v>76636.661022032335</v>
      </c>
      <c r="AK243" s="1312">
        <f t="shared" si="167"/>
        <v>45467.518018320552</v>
      </c>
      <c r="AL243" s="1312">
        <f>AM242*((1+'Instrumentos Financeiros'!$I$43)^(1/12)-1)</f>
        <v>31169.143003711786</v>
      </c>
      <c r="AM243" s="1312">
        <f t="shared" si="136"/>
        <v>7162919.4276760351</v>
      </c>
      <c r="AN243" s="1312">
        <f>IF(AND(C243&gt;$F$68,'Instrumentos Financeiros'!C243&lt;'Instrumentos Financeiros'!$F$68+'Instrumentos Financeiros'!$F$11+1),PMT(((1+'Instrumentos Financeiros'!$I$43)^(1/12)-1),$F$11,-$I$68),0)</f>
        <v>76636.661022032335</v>
      </c>
      <c r="AO243" s="1312">
        <f t="shared" si="168"/>
        <v>44882.776035642455</v>
      </c>
      <c r="AP243" s="1312">
        <f>AQ242*((1+'Instrumentos Financeiros'!$I$43)^(1/12)-1)</f>
        <v>31753.884986389879</v>
      </c>
      <c r="AQ243" s="1312">
        <f t="shared" si="137"/>
        <v>7298735.5577669535</v>
      </c>
      <c r="AR243" s="1312">
        <f>IF(AND(C243&gt;$F$69,'Instrumentos Financeiros'!C243&lt;'Instrumentos Financeiros'!$F$69+'Instrumentos Financeiros'!$F$11+1),PMT(((1+'Instrumentos Financeiros'!$I$43)^(1/12)-1),$F$11,-$I$69),0)</f>
        <v>0</v>
      </c>
      <c r="AS243" s="1312">
        <f t="shared" si="169"/>
        <v>0</v>
      </c>
      <c r="AT243" s="1312">
        <f>AU242*((1+'Instrumentos Financeiros'!$I$43)^(1/12)-1)</f>
        <v>0</v>
      </c>
      <c r="AU243" s="1312">
        <f t="shared" si="138"/>
        <v>0</v>
      </c>
      <c r="AV243" s="1312">
        <f>IF(AND(C243&gt;$F$70,'Instrumentos Financeiros'!C243&lt;'Instrumentos Financeiros'!$F$70+'Instrumentos Financeiros'!$F$11+1),PMT(((1+'Instrumentos Financeiros'!$J$43)^(1/12)-1),$F$11,-$I$70),0)</f>
        <v>0</v>
      </c>
      <c r="AW243" s="1312">
        <f t="shared" si="170"/>
        <v>0</v>
      </c>
      <c r="AX243" s="1312">
        <f>AY242*((1+'Instrumentos Financeiros'!$J$43)^(1/12)-1)</f>
        <v>0</v>
      </c>
      <c r="AY243" s="1312">
        <f t="shared" si="139"/>
        <v>0</v>
      </c>
      <c r="AZ243" s="1312">
        <f>IF(AND(C243&gt;$F$71,'Instrumentos Financeiros'!C243&lt;'Instrumentos Financeiros'!$F$71+'Instrumentos Financeiros'!$F$11+1),PMT(((1+'Instrumentos Financeiros'!$J$43)^(1/12)-1),$F$11,-$I$71),0)</f>
        <v>0</v>
      </c>
      <c r="BA243" s="1312">
        <f t="shared" si="171"/>
        <v>0</v>
      </c>
      <c r="BB243" s="1312">
        <f>BC242*((1+'Instrumentos Financeiros'!$J$43)^(1/12)-1)</f>
        <v>0</v>
      </c>
      <c r="BC243" s="1312">
        <f t="shared" si="140"/>
        <v>0</v>
      </c>
      <c r="BD243" s="1312">
        <f>IF(AND(C243&gt;$F$72,'Instrumentos Financeiros'!C243&lt;'Instrumentos Financeiros'!$F$72+'Instrumentos Financeiros'!$F$11+1),PMT(((1+'Instrumentos Financeiros'!$J$43)^(1/12)-1),$F$11,-'Instrumentos Financeiros'!$G$7*$G$72),0)</f>
        <v>0</v>
      </c>
      <c r="BE243" s="1312">
        <f t="shared" si="172"/>
        <v>0</v>
      </c>
      <c r="BF243" s="1312">
        <f>BG242*((1+'Instrumentos Financeiros'!$J$43)^(1/12)-1)</f>
        <v>0</v>
      </c>
      <c r="BG243" s="1312">
        <f t="shared" si="141"/>
        <v>0</v>
      </c>
      <c r="BH243" s="1312">
        <f>IF(AND(C243&gt;$F$73,'Instrumentos Financeiros'!C243&lt;'Instrumentos Financeiros'!$F$73+'Instrumentos Financeiros'!$F$11+1),PMT(((1+'Instrumentos Financeiros'!$J$43)^(1/12)-1),$F$11,-$I$73),0)</f>
        <v>0</v>
      </c>
      <c r="BI243" s="1312">
        <f t="shared" si="173"/>
        <v>0</v>
      </c>
      <c r="BJ243" s="1312">
        <f>BK242*((1+'Instrumentos Financeiros'!$J$43)^(1/12)-1)</f>
        <v>0</v>
      </c>
      <c r="BK243" s="1312">
        <f t="shared" si="142"/>
        <v>0</v>
      </c>
      <c r="BL243" s="1312">
        <f>IF(AND(C243&gt;$F$77,'Instrumentos Financeiros'!C243&lt;'Instrumentos Financeiros'!$F$77+'Instrumentos Financeiros'!$F$12+1),PMT(((1+'Instrumentos Financeiros'!$K$43)^(1/12)-1),$F$12,-$I$77),0)</f>
        <v>368.57912678094596</v>
      </c>
      <c r="BM243" s="1312">
        <f t="shared" si="143"/>
        <v>213.08473342924339</v>
      </c>
      <c r="BN243" s="1312">
        <f>BO242*((1+'Instrumentos Financeiros'!$K$43)^(1/12)-1)</f>
        <v>155.49439335170257</v>
      </c>
      <c r="BO243" s="1312">
        <f t="shared" si="144"/>
        <v>35747.60096882435</v>
      </c>
      <c r="BP243" s="1312">
        <f>IF(AND(C243&gt;$F$78,'Instrumentos Financeiros'!C243&lt;'Instrumentos Financeiros'!$F$78+'Instrumentos Financeiros'!$F$12+1),PMT(((1+'Instrumentos Financeiros'!$L$43)^(1/12)-1),$F$12,-$I$78),0)</f>
        <v>368.57912678094596</v>
      </c>
      <c r="BQ243" s="1312">
        <f t="shared" si="145"/>
        <v>210.344324562992</v>
      </c>
      <c r="BR243" s="1312">
        <f>BS242*((1+'Instrumentos Financeiros'!$L$43)^(1/12)-1)</f>
        <v>158.23480221795396</v>
      </c>
      <c r="BS243" s="1312">
        <f t="shared" si="146"/>
        <v>36384.106877595397</v>
      </c>
      <c r="BT243" s="1312">
        <f>IF(AND(C243&gt;$F$79,'Instrumentos Financeiros'!C243&lt;'Instrumentos Financeiros'!$F$79+'Instrumentos Financeiros'!$F$12+1),PMT(((1+'Instrumentos Financeiros'!$L$43)^(1/12)-1),$F$12,-$I$79),0)</f>
        <v>368.57912678094596</v>
      </c>
      <c r="BU243" s="1312">
        <f t="shared" si="147"/>
        <v>207.63915914489093</v>
      </c>
      <c r="BV243" s="1312">
        <f>BW242*((1+'Instrumentos Financeiros'!$L$43)^(1/12)-1)</f>
        <v>160.93996763605503</v>
      </c>
      <c r="BW243" s="1312">
        <f t="shared" si="148"/>
        <v>37012.42690459187</v>
      </c>
      <c r="BX243" s="1312">
        <f>IF(AND(C243&gt;$F$80,'Instrumentos Financeiros'!C243&lt;'Instrumentos Financeiros'!$F$80+'Instrumentos Financeiros'!$F$12+1),PMT(((1+'Instrumentos Financeiros'!$L$43)^(1/12)-1),$F$12,-$I$80),0)</f>
        <v>368.57912678094596</v>
      </c>
      <c r="BY243" s="1312">
        <f t="shared" si="149"/>
        <v>204.96878392117463</v>
      </c>
      <c r="BZ243" s="1312">
        <f>CA242*((1+'Instrumentos Financeiros'!$L$43)^(1/12)-1)</f>
        <v>163.61034285977132</v>
      </c>
      <c r="CA243" s="1312">
        <f t="shared" si="150"/>
        <v>37632.666325600701</v>
      </c>
      <c r="CB243" s="1312">
        <f>IF(AND(C243&gt;$F$83,'Instrumentos Financeiros'!C243&lt;'Instrumentos Financeiros'!$F$83+'Instrumentos Financeiros'!$F$13+1),PMT(((1+'Instrumentos Financeiros'!$P$43)^(1/12)-1),$F$13,-$I$83),0)</f>
        <v>0</v>
      </c>
      <c r="CC243" s="1312">
        <f t="shared" si="151"/>
        <v>0</v>
      </c>
      <c r="CD243" s="1312">
        <f>CE242*((1+'Instrumentos Financeiros'!$P$43)^(1/12)-1)</f>
        <v>0</v>
      </c>
      <c r="CE243" s="1312">
        <f t="shared" si="152"/>
        <v>0</v>
      </c>
      <c r="CF243" s="1312">
        <f>IF(AND(C243&gt;$F$84,'Instrumentos Financeiros'!C243&lt;'Instrumentos Financeiros'!$F$84+'Instrumentos Financeiros'!$F$13+1),PMT(((1+'Instrumentos Financeiros'!$Q$43)^(1/12)-1),$F$13,-$I$84),0)</f>
        <v>0</v>
      </c>
      <c r="CG243" s="1312">
        <f t="shared" si="153"/>
        <v>0</v>
      </c>
      <c r="CH243" s="1312">
        <f>CI242*((1+'Instrumentos Financeiros'!$Q$43)^(1/12)-1)</f>
        <v>0</v>
      </c>
      <c r="CI243" s="1312">
        <f t="shared" si="154"/>
        <v>0</v>
      </c>
      <c r="CJ243" s="1312">
        <f>IF(AND(C243&gt;$F$85,'Instrumentos Financeiros'!C243&lt;'Instrumentos Financeiros'!$F$85+'Instrumentos Financeiros'!$F$13+1),PMT(((1+'Instrumentos Financeiros'!$Q$43)^(1/12)-1),$F$13,-$I$85),0)</f>
        <v>0</v>
      </c>
      <c r="CK243" s="1312">
        <f t="shared" si="155"/>
        <v>0</v>
      </c>
      <c r="CL243" s="1312">
        <f>CM242*((1+'Instrumentos Financeiros'!$Q$43)^(1/12)-1)</f>
        <v>0</v>
      </c>
      <c r="CM243" s="1312">
        <f t="shared" si="156"/>
        <v>0</v>
      </c>
      <c r="CN243" s="1312">
        <f>IF(AND(C243&gt;$F$86,'Instrumentos Financeiros'!C243&lt;'Instrumentos Financeiros'!$F$86+'Instrumentos Financeiros'!$F$13+1),PMT(((1+'Instrumentos Financeiros'!$Q$43)^(1/12)-1),$F$13,-$I$86),0)</f>
        <v>0</v>
      </c>
      <c r="CO243" s="1312">
        <f t="shared" si="157"/>
        <v>0</v>
      </c>
      <c r="CP243" s="1312">
        <f>CQ242*((1+'Instrumentos Financeiros'!$Q$43)^(1/12)-1)</f>
        <v>0</v>
      </c>
      <c r="CQ243" s="1312">
        <f t="shared" si="158"/>
        <v>0</v>
      </c>
      <c r="CR243" s="1312">
        <f t="shared" si="127"/>
        <v>399789.55023115332</v>
      </c>
      <c r="CS243" s="1312">
        <f t="shared" si="127"/>
        <v>245720.87061548198</v>
      </c>
      <c r="CT243" s="1312">
        <f t="shared" si="127"/>
        <v>154068.67961567128</v>
      </c>
      <c r="CU243" s="1312">
        <f t="shared" si="127"/>
        <v>35796306.374171086</v>
      </c>
    </row>
    <row r="244" spans="3:99" x14ac:dyDescent="0.35">
      <c r="C244" s="1315">
        <f t="shared" si="128"/>
        <v>151</v>
      </c>
      <c r="D244" s="1312">
        <f>IF(AND(C244&gt;$F$59,'Instrumentos Financeiros'!C244&lt;'Instrumentos Financeiros'!$F$59+'Instrumentos Financeiros'!$F$11+1),PMT(((1+'Instrumentos Financeiros'!$G$43)^(1/12)-1),$F$11,-$I$59),0)</f>
        <v>91768.589635900134</v>
      </c>
      <c r="E244" s="1312">
        <f t="shared" si="125"/>
        <v>62067.02107414238</v>
      </c>
      <c r="F244" s="1312">
        <f>G243*((1+'Instrumentos Financeiros'!$G$43)^(1/12)-1)</f>
        <v>29701.568561757751</v>
      </c>
      <c r="G244" s="1312">
        <f t="shared" si="159"/>
        <v>7214517.9153723577</v>
      </c>
      <c r="H244" s="1312">
        <f>IF(AND(C244&gt;$F$60,'Instrumentos Financeiros'!C244&lt;'Instrumentos Financeiros'!$F$60+'Instrumentos Financeiros'!$F$11+1),PMT(((1+'Instrumentos Financeiros'!$G$43)^(1/12)-1),$F$11,-$I$60),0)</f>
        <v>0</v>
      </c>
      <c r="I244" s="1312">
        <f t="shared" si="160"/>
        <v>0</v>
      </c>
      <c r="J244" s="1312">
        <f>K243*((1+'Instrumentos Financeiros'!$G$43)^(1/12)-1)</f>
        <v>0</v>
      </c>
      <c r="K244" s="1312">
        <f t="shared" si="129"/>
        <v>0</v>
      </c>
      <c r="L244" s="1312">
        <f>IF(AND(C244&gt;$F$61,'Instrumentos Financeiros'!C244&lt;'Instrumentos Financeiros'!$F$61+'Instrumentos Financeiros'!$F$11+1),PMT(((1+'Instrumentos Financeiros'!$G$43)^(1/12)-1),$F$11,-$I$61),0)</f>
        <v>0</v>
      </c>
      <c r="M244" s="1312">
        <f t="shared" si="161"/>
        <v>0</v>
      </c>
      <c r="N244" s="1312">
        <f>O243*((1+'Instrumentos Financeiros'!$G$43)^(1/12)-1)</f>
        <v>0</v>
      </c>
      <c r="O244" s="1312">
        <f t="shared" si="130"/>
        <v>0</v>
      </c>
      <c r="P244" s="1312">
        <f>IF(AND(C244&gt;$F$62,'Instrumentos Financeiros'!C244&lt;'Instrumentos Financeiros'!$F$62+'Instrumentos Financeiros'!$F$11+1),PMT(((1+'Instrumentos Financeiros'!$H$43)^(1/12)-1),$F$11,-$I$62),0)</f>
        <v>0</v>
      </c>
      <c r="Q244" s="1312">
        <f t="shared" si="162"/>
        <v>0</v>
      </c>
      <c r="R244" s="1312">
        <f>S243*((1+'Instrumentos Financeiros'!$H$43)^(1/12)-1)</f>
        <v>0</v>
      </c>
      <c r="S244" s="1312">
        <f t="shared" si="131"/>
        <v>0</v>
      </c>
      <c r="T244" s="1312">
        <f>IF(AND(C244&gt;$F$63,'Instrumentos Financeiros'!C244&lt;'Instrumentos Financeiros'!$F$63+'Instrumentos Financeiros'!$F$11+1),PMT(((1+'Instrumentos Financeiros'!$H$43)^(1/12)-1),$F$11,-$I$63),0)</f>
        <v>0</v>
      </c>
      <c r="U244" s="1312">
        <f t="shared" si="163"/>
        <v>0</v>
      </c>
      <c r="V244" s="1312">
        <f>W243*((1+'Instrumentos Financeiros'!$H$43)^(1/12)-1)</f>
        <v>0</v>
      </c>
      <c r="W244" s="1312">
        <f t="shared" si="132"/>
        <v>0</v>
      </c>
      <c r="X244" s="1312">
        <f>IF(AND(C244&gt;$F$64,'Instrumentos Financeiros'!C244&lt;'Instrumentos Financeiros'!$F$64+'Instrumentos Financeiros'!$F$11+1),PMT(((1+'Instrumentos Financeiros'!$H$43)^(1/12)-1),$F$11,-$I$64),0)</f>
        <v>0</v>
      </c>
      <c r="Y244" s="1312">
        <f t="shared" si="164"/>
        <v>0</v>
      </c>
      <c r="Z244" s="1312">
        <f>AA243*((1+'Instrumentos Financeiros'!$H$43)^(1/12)-1)</f>
        <v>0</v>
      </c>
      <c r="AA244" s="1312">
        <f t="shared" si="133"/>
        <v>0</v>
      </c>
      <c r="AB244" s="1312">
        <f>IF(AND(C244&gt;$F$65,'Instrumentos Financeiros'!C244&lt;'Instrumentos Financeiros'!$F$65+'Instrumentos Financeiros'!$F$11+1),PMT(((1+'Instrumentos Financeiros'!$H$43)^(1/12)-1),$F$11,-$I$65),0)</f>
        <v>76636.661022032335</v>
      </c>
      <c r="AC244" s="1312">
        <f t="shared" si="165"/>
        <v>46861.713800799858</v>
      </c>
      <c r="AD244" s="1312">
        <f>AE243*((1+'Instrumentos Financeiros'!$H$43)^(1/12)-1)</f>
        <v>29774.94722123248</v>
      </c>
      <c r="AE244" s="1312">
        <f t="shared" si="134"/>
        <v>6839094.0801301217</v>
      </c>
      <c r="AF244" s="1312">
        <f>IF(AND(C244&gt;$F$66,'Instrumentos Financeiros'!C244&lt;'Instrumentos Financeiros'!$F$66+'Instrumentos Financeiros'!$F$11+1),PMT(((1+'Instrumentos Financeiros'!$I$43)^(1/12)-1),$F$11,-$I$66),0)</f>
        <v>76636.661022032335</v>
      </c>
      <c r="AG244" s="1312">
        <f t="shared" si="166"/>
        <v>46259.04154962195</v>
      </c>
      <c r="AH244" s="1312">
        <f>AI243*((1+'Instrumentos Financeiros'!$I$43)^(1/12)-1)</f>
        <v>30377.619472410384</v>
      </c>
      <c r="AI244" s="1312">
        <f t="shared" si="135"/>
        <v>6979074.8157244492</v>
      </c>
      <c r="AJ244" s="1312">
        <f>IF(AND(C244&gt;$F$67,'Instrumentos Financeiros'!C244&lt;'Instrumentos Financeiros'!$F$67+'Instrumentos Financeiros'!$F$11+1),PMT(((1+'Instrumentos Financeiros'!$I$43)^(1/12)-1),$F$11,-$I$67),0)</f>
        <v>76636.661022032335</v>
      </c>
      <c r="AK244" s="1312">
        <f t="shared" si="167"/>
        <v>45664.120057280641</v>
      </c>
      <c r="AL244" s="1312">
        <f>AM243*((1+'Instrumentos Financeiros'!$I$43)^(1/12)-1)</f>
        <v>30972.54096475169</v>
      </c>
      <c r="AM244" s="1312">
        <f t="shared" si="136"/>
        <v>7117255.307618754</v>
      </c>
      <c r="AN244" s="1312">
        <f>IF(AND(C244&gt;$F$68,'Instrumentos Financeiros'!C244&lt;'Instrumentos Financeiros'!$F$68+'Instrumentos Financeiros'!$F$11+1),PMT(((1+'Instrumentos Financeiros'!$I$43)^(1/12)-1),$F$11,-$I$68),0)</f>
        <v>76636.661022032335</v>
      </c>
      <c r="AO244" s="1312">
        <f t="shared" si="168"/>
        <v>45076.849643954243</v>
      </c>
      <c r="AP244" s="1312">
        <f>AQ243*((1+'Instrumentos Financeiros'!$I$43)^(1/12)-1)</f>
        <v>31559.811378078091</v>
      </c>
      <c r="AQ244" s="1312">
        <f t="shared" si="137"/>
        <v>7253658.7081229994</v>
      </c>
      <c r="AR244" s="1312">
        <f>IF(AND(C244&gt;$F$69,'Instrumentos Financeiros'!C244&lt;'Instrumentos Financeiros'!$F$69+'Instrumentos Financeiros'!$F$11+1),PMT(((1+'Instrumentos Financeiros'!$I$43)^(1/12)-1),$F$11,-$I$69),0)</f>
        <v>0</v>
      </c>
      <c r="AS244" s="1312">
        <f t="shared" si="169"/>
        <v>0</v>
      </c>
      <c r="AT244" s="1312">
        <f>AU243*((1+'Instrumentos Financeiros'!$I$43)^(1/12)-1)</f>
        <v>0</v>
      </c>
      <c r="AU244" s="1312">
        <f t="shared" si="138"/>
        <v>0</v>
      </c>
      <c r="AV244" s="1312">
        <f>IF(AND(C244&gt;$F$70,'Instrumentos Financeiros'!C244&lt;'Instrumentos Financeiros'!$F$70+'Instrumentos Financeiros'!$F$11+1),PMT(((1+'Instrumentos Financeiros'!$J$43)^(1/12)-1),$F$11,-$I$70),0)</f>
        <v>0</v>
      </c>
      <c r="AW244" s="1312">
        <f t="shared" si="170"/>
        <v>0</v>
      </c>
      <c r="AX244" s="1312">
        <f>AY243*((1+'Instrumentos Financeiros'!$J$43)^(1/12)-1)</f>
        <v>0</v>
      </c>
      <c r="AY244" s="1312">
        <f t="shared" si="139"/>
        <v>0</v>
      </c>
      <c r="AZ244" s="1312">
        <f>IF(AND(C244&gt;$F$71,'Instrumentos Financeiros'!C244&lt;'Instrumentos Financeiros'!$F$71+'Instrumentos Financeiros'!$F$11+1),PMT(((1+'Instrumentos Financeiros'!$J$43)^(1/12)-1),$F$11,-$I$71),0)</f>
        <v>0</v>
      </c>
      <c r="BA244" s="1312">
        <f t="shared" si="171"/>
        <v>0</v>
      </c>
      <c r="BB244" s="1312">
        <f>BC243*((1+'Instrumentos Financeiros'!$J$43)^(1/12)-1)</f>
        <v>0</v>
      </c>
      <c r="BC244" s="1312">
        <f t="shared" si="140"/>
        <v>0</v>
      </c>
      <c r="BD244" s="1312">
        <f>IF(AND(C244&gt;$F$72,'Instrumentos Financeiros'!C244&lt;'Instrumentos Financeiros'!$F$72+'Instrumentos Financeiros'!$F$11+1),PMT(((1+'Instrumentos Financeiros'!$J$43)^(1/12)-1),$F$11,-'Instrumentos Financeiros'!$G$7*$G$72),0)</f>
        <v>0</v>
      </c>
      <c r="BE244" s="1312">
        <f t="shared" si="172"/>
        <v>0</v>
      </c>
      <c r="BF244" s="1312">
        <f>BG243*((1+'Instrumentos Financeiros'!$J$43)^(1/12)-1)</f>
        <v>0</v>
      </c>
      <c r="BG244" s="1312">
        <f t="shared" si="141"/>
        <v>0</v>
      </c>
      <c r="BH244" s="1312">
        <f>IF(AND(C244&gt;$F$73,'Instrumentos Financeiros'!C244&lt;'Instrumentos Financeiros'!$F$73+'Instrumentos Financeiros'!$F$11+1),PMT(((1+'Instrumentos Financeiros'!$J$43)^(1/12)-1),$F$11,-$I$73),0)</f>
        <v>0</v>
      </c>
      <c r="BI244" s="1312">
        <f t="shared" si="173"/>
        <v>0</v>
      </c>
      <c r="BJ244" s="1312">
        <f>BK243*((1+'Instrumentos Financeiros'!$J$43)^(1/12)-1)</f>
        <v>0</v>
      </c>
      <c r="BK244" s="1312">
        <f t="shared" si="142"/>
        <v>0</v>
      </c>
      <c r="BL244" s="1312">
        <f>IF(AND(C244&gt;$F$77,'Instrumentos Financeiros'!C244&lt;'Instrumentos Financeiros'!$F$77+'Instrumentos Financeiros'!$F$12+1),PMT(((1+'Instrumentos Financeiros'!$K$43)^(1/12)-1),$F$12,-$I$77),0)</f>
        <v>368.57912678094596</v>
      </c>
      <c r="BM244" s="1312">
        <f t="shared" si="143"/>
        <v>214.00611411790507</v>
      </c>
      <c r="BN244" s="1312">
        <f>BO243*((1+'Instrumentos Financeiros'!$K$43)^(1/12)-1)</f>
        <v>154.57301266304088</v>
      </c>
      <c r="BO244" s="1312">
        <f t="shared" si="144"/>
        <v>35533.594854706447</v>
      </c>
      <c r="BP244" s="1312">
        <f>IF(AND(C244&gt;$F$78,'Instrumentos Financeiros'!C244&lt;'Instrumentos Financeiros'!$F$78+'Instrumentos Financeiros'!$F$12+1),PMT(((1+'Instrumentos Financeiros'!$L$43)^(1/12)-1),$F$12,-$I$78),0)</f>
        <v>368.57912678094596</v>
      </c>
      <c r="BQ244" s="1312">
        <f t="shared" si="145"/>
        <v>211.25385569411964</v>
      </c>
      <c r="BR244" s="1312">
        <f>BS243*((1+'Instrumentos Financeiros'!$L$43)^(1/12)-1)</f>
        <v>157.32527108682632</v>
      </c>
      <c r="BS244" s="1312">
        <f t="shared" si="146"/>
        <v>36172.853021901275</v>
      </c>
      <c r="BT244" s="1312">
        <f>IF(AND(C244&gt;$F$79,'Instrumentos Financeiros'!C244&lt;'Instrumentos Financeiros'!$F$79+'Instrumentos Financeiros'!$F$12+1),PMT(((1+'Instrumentos Financeiros'!$L$43)^(1/12)-1),$F$12,-$I$79),0)</f>
        <v>368.57912678094596</v>
      </c>
      <c r="BU244" s="1312">
        <f t="shared" si="147"/>
        <v>208.53699311153491</v>
      </c>
      <c r="BV244" s="1312">
        <f>BW243*((1+'Instrumentos Financeiros'!$L$43)^(1/12)-1)</f>
        <v>160.04213366941104</v>
      </c>
      <c r="BW244" s="1312">
        <f t="shared" si="148"/>
        <v>36803.889911480335</v>
      </c>
      <c r="BX244" s="1312">
        <f>IF(AND(C244&gt;$F$80,'Instrumentos Financeiros'!C244&lt;'Instrumentos Financeiros'!$F$80+'Instrumentos Financeiros'!$F$12+1),PMT(((1+'Instrumentos Financeiros'!$L$43)^(1/12)-1),$F$12,-$I$80),0)</f>
        <v>368.57912678094596</v>
      </c>
      <c r="BY244" s="1312">
        <f t="shared" si="149"/>
        <v>205.85507115651126</v>
      </c>
      <c r="BZ244" s="1312">
        <f>CA243*((1+'Instrumentos Financeiros'!$L$43)^(1/12)-1)</f>
        <v>162.7240556244347</v>
      </c>
      <c r="CA244" s="1312">
        <f t="shared" si="150"/>
        <v>37426.81125444419</v>
      </c>
      <c r="CB244" s="1312">
        <f>IF(AND(C244&gt;$F$83,'Instrumentos Financeiros'!C244&lt;'Instrumentos Financeiros'!$F$83+'Instrumentos Financeiros'!$F$13+1),PMT(((1+'Instrumentos Financeiros'!$P$43)^(1/12)-1),$F$13,-$I$83),0)</f>
        <v>0</v>
      </c>
      <c r="CC244" s="1312">
        <f t="shared" si="151"/>
        <v>0</v>
      </c>
      <c r="CD244" s="1312">
        <f>CE243*((1+'Instrumentos Financeiros'!$P$43)^(1/12)-1)</f>
        <v>0</v>
      </c>
      <c r="CE244" s="1312">
        <f t="shared" si="152"/>
        <v>0</v>
      </c>
      <c r="CF244" s="1312">
        <f>IF(AND(C244&gt;$F$84,'Instrumentos Financeiros'!C244&lt;'Instrumentos Financeiros'!$F$84+'Instrumentos Financeiros'!$F$13+1),PMT(((1+'Instrumentos Financeiros'!$Q$43)^(1/12)-1),$F$13,-$I$84),0)</f>
        <v>0</v>
      </c>
      <c r="CG244" s="1312">
        <f t="shared" si="153"/>
        <v>0</v>
      </c>
      <c r="CH244" s="1312">
        <f>CI243*((1+'Instrumentos Financeiros'!$Q$43)^(1/12)-1)</f>
        <v>0</v>
      </c>
      <c r="CI244" s="1312">
        <f t="shared" si="154"/>
        <v>0</v>
      </c>
      <c r="CJ244" s="1312">
        <f>IF(AND(C244&gt;$F$85,'Instrumentos Financeiros'!C244&lt;'Instrumentos Financeiros'!$F$85+'Instrumentos Financeiros'!$F$13+1),PMT(((1+'Instrumentos Financeiros'!$Q$43)^(1/12)-1),$F$13,-$I$85),0)</f>
        <v>0</v>
      </c>
      <c r="CK244" s="1312">
        <f t="shared" si="155"/>
        <v>0</v>
      </c>
      <c r="CL244" s="1312">
        <f>CM243*((1+'Instrumentos Financeiros'!$Q$43)^(1/12)-1)</f>
        <v>0</v>
      </c>
      <c r="CM244" s="1312">
        <f t="shared" si="156"/>
        <v>0</v>
      </c>
      <c r="CN244" s="1312">
        <f>IF(AND(C244&gt;$F$86,'Instrumentos Financeiros'!C244&lt;'Instrumentos Financeiros'!$F$86+'Instrumentos Financeiros'!$F$13+1),PMT(((1+'Instrumentos Financeiros'!$Q$43)^(1/12)-1),$F$13,-$I$86),0)</f>
        <v>0</v>
      </c>
      <c r="CO244" s="1312">
        <f t="shared" si="157"/>
        <v>0</v>
      </c>
      <c r="CP244" s="1312">
        <f>CQ243*((1+'Instrumentos Financeiros'!$Q$43)^(1/12)-1)</f>
        <v>0</v>
      </c>
      <c r="CQ244" s="1312">
        <f t="shared" si="158"/>
        <v>0</v>
      </c>
      <c r="CR244" s="1312">
        <f t="shared" si="127"/>
        <v>399789.55023115332</v>
      </c>
      <c r="CS244" s="1312">
        <f t="shared" si="127"/>
        <v>246768.39815987917</v>
      </c>
      <c r="CT244" s="1312">
        <f t="shared" si="127"/>
        <v>153021.15207127409</v>
      </c>
      <c r="CU244" s="1312">
        <f t="shared" si="127"/>
        <v>35549537.976011209</v>
      </c>
    </row>
    <row r="245" spans="3:99" x14ac:dyDescent="0.35">
      <c r="C245" s="1315">
        <f t="shared" si="128"/>
        <v>152</v>
      </c>
      <c r="D245" s="1312">
        <f>IF(AND(C245&gt;$F$59,'Instrumentos Financeiros'!C245&lt;'Instrumentos Financeiros'!$F$59+'Instrumentos Financeiros'!$F$11+1),PMT(((1+'Instrumentos Financeiros'!$G$43)^(1/12)-1),$F$11,-$I$59),0)</f>
        <v>91768.589635900134</v>
      </c>
      <c r="E245" s="1312">
        <f t="shared" si="125"/>
        <v>62320.366276316025</v>
      </c>
      <c r="F245" s="1312">
        <f>G244*((1+'Instrumentos Financeiros'!$G$43)^(1/12)-1)</f>
        <v>29448.223359584113</v>
      </c>
      <c r="G245" s="1312">
        <f t="shared" si="159"/>
        <v>7152197.5490960414</v>
      </c>
      <c r="H245" s="1312">
        <f>IF(AND(C245&gt;$F$60,'Instrumentos Financeiros'!C245&lt;'Instrumentos Financeiros'!$F$60+'Instrumentos Financeiros'!$F$11+1),PMT(((1+'Instrumentos Financeiros'!$G$43)^(1/12)-1),$F$11,-$I$60),0)</f>
        <v>0</v>
      </c>
      <c r="I245" s="1312">
        <f t="shared" si="160"/>
        <v>0</v>
      </c>
      <c r="J245" s="1312">
        <f>K244*((1+'Instrumentos Financeiros'!$G$43)^(1/12)-1)</f>
        <v>0</v>
      </c>
      <c r="K245" s="1312">
        <f t="shared" si="129"/>
        <v>0</v>
      </c>
      <c r="L245" s="1312">
        <f>IF(AND(C245&gt;$F$61,'Instrumentos Financeiros'!C245&lt;'Instrumentos Financeiros'!$F$61+'Instrumentos Financeiros'!$F$11+1),PMT(((1+'Instrumentos Financeiros'!$G$43)^(1/12)-1),$F$11,-$I$61),0)</f>
        <v>0</v>
      </c>
      <c r="M245" s="1312">
        <f t="shared" si="161"/>
        <v>0</v>
      </c>
      <c r="N245" s="1312">
        <f>O244*((1+'Instrumentos Financeiros'!$G$43)^(1/12)-1)</f>
        <v>0</v>
      </c>
      <c r="O245" s="1312">
        <f t="shared" si="130"/>
        <v>0</v>
      </c>
      <c r="P245" s="1312">
        <f>IF(AND(C245&gt;$F$62,'Instrumentos Financeiros'!C245&lt;'Instrumentos Financeiros'!$F$62+'Instrumentos Financeiros'!$F$11+1),PMT(((1+'Instrumentos Financeiros'!$H$43)^(1/12)-1),$F$11,-$I$62),0)</f>
        <v>0</v>
      </c>
      <c r="Q245" s="1312">
        <f t="shared" si="162"/>
        <v>0</v>
      </c>
      <c r="R245" s="1312">
        <f>S244*((1+'Instrumentos Financeiros'!$H$43)^(1/12)-1)</f>
        <v>0</v>
      </c>
      <c r="S245" s="1312">
        <f t="shared" si="131"/>
        <v>0</v>
      </c>
      <c r="T245" s="1312">
        <f>IF(AND(C245&gt;$F$63,'Instrumentos Financeiros'!C245&lt;'Instrumentos Financeiros'!$F$63+'Instrumentos Financeiros'!$F$11+1),PMT(((1+'Instrumentos Financeiros'!$H$43)^(1/12)-1),$F$11,-$I$63),0)</f>
        <v>0</v>
      </c>
      <c r="U245" s="1312">
        <f t="shared" si="163"/>
        <v>0</v>
      </c>
      <c r="V245" s="1312">
        <f>W244*((1+'Instrumentos Financeiros'!$H$43)^(1/12)-1)</f>
        <v>0</v>
      </c>
      <c r="W245" s="1312">
        <f t="shared" si="132"/>
        <v>0</v>
      </c>
      <c r="X245" s="1312">
        <f>IF(AND(C245&gt;$F$64,'Instrumentos Financeiros'!C245&lt;'Instrumentos Financeiros'!$F$64+'Instrumentos Financeiros'!$F$11+1),PMT(((1+'Instrumentos Financeiros'!$H$43)^(1/12)-1),$F$11,-$I$64),0)</f>
        <v>0</v>
      </c>
      <c r="Y245" s="1312">
        <f t="shared" si="164"/>
        <v>0</v>
      </c>
      <c r="Z245" s="1312">
        <f>AA244*((1+'Instrumentos Financeiros'!$H$43)^(1/12)-1)</f>
        <v>0</v>
      </c>
      <c r="AA245" s="1312">
        <f t="shared" si="133"/>
        <v>0</v>
      </c>
      <c r="AB245" s="1312">
        <f>IF(AND(C245&gt;$F$65,'Instrumentos Financeiros'!C245&lt;'Instrumentos Financeiros'!$F$65+'Instrumentos Financeiros'!$F$11+1),PMT(((1+'Instrumentos Financeiros'!$H$43)^(1/12)-1),$F$11,-$I$65),0)</f>
        <v>76636.661022032335</v>
      </c>
      <c r="AC245" s="1312">
        <f t="shared" si="165"/>
        <v>47064.344357380702</v>
      </c>
      <c r="AD245" s="1312">
        <f>AE244*((1+'Instrumentos Financeiros'!$H$43)^(1/12)-1)</f>
        <v>29572.316664651637</v>
      </c>
      <c r="AE245" s="1312">
        <f t="shared" si="134"/>
        <v>6792029.735772741</v>
      </c>
      <c r="AF245" s="1312">
        <f>IF(AND(C245&gt;$F$66,'Instrumentos Financeiros'!C245&lt;'Instrumentos Financeiros'!$F$66+'Instrumentos Financeiros'!$F$11+1),PMT(((1+'Instrumentos Financeiros'!$I$43)^(1/12)-1),$F$11,-$I$66),0)</f>
        <v>76636.661022032335</v>
      </c>
      <c r="AG245" s="1312">
        <f t="shared" si="166"/>
        <v>46459.066144879849</v>
      </c>
      <c r="AH245" s="1312">
        <f>AI244*((1+'Instrumentos Financeiros'!$I$43)^(1/12)-1)</f>
        <v>30177.594877152489</v>
      </c>
      <c r="AI245" s="1312">
        <f t="shared" si="135"/>
        <v>6932615.7495795693</v>
      </c>
      <c r="AJ245" s="1312">
        <f>IF(AND(C245&gt;$F$67,'Instrumentos Financeiros'!C245&lt;'Instrumentos Financeiros'!$F$67+'Instrumentos Financeiros'!$F$11+1),PMT(((1+'Instrumentos Financeiros'!$I$43)^(1/12)-1),$F$11,-$I$67),0)</f>
        <v>76636.661022032335</v>
      </c>
      <c r="AK245" s="1312">
        <f t="shared" si="167"/>
        <v>45861.572205580509</v>
      </c>
      <c r="AL245" s="1312">
        <f>AM244*((1+'Instrumentos Financeiros'!$I$43)^(1/12)-1)</f>
        <v>30775.088816451822</v>
      </c>
      <c r="AM245" s="1312">
        <f t="shared" si="136"/>
        <v>7071393.7354131732</v>
      </c>
      <c r="AN245" s="1312">
        <f>IF(AND(C245&gt;$F$68,'Instrumentos Financeiros'!C245&lt;'Instrumentos Financeiros'!$F$68+'Instrumentos Financeiros'!$F$11+1),PMT(((1+'Instrumentos Financeiros'!$I$43)^(1/12)-1),$F$11,-$I$68),0)</f>
        <v>76636.661022032335</v>
      </c>
      <c r="AO245" s="1312">
        <f t="shared" si="168"/>
        <v>45271.762428644368</v>
      </c>
      <c r="AP245" s="1312">
        <f>AQ244*((1+'Instrumentos Financeiros'!$I$43)^(1/12)-1)</f>
        <v>31364.898593387967</v>
      </c>
      <c r="AQ245" s="1312">
        <f t="shared" si="137"/>
        <v>7208386.9456943553</v>
      </c>
      <c r="AR245" s="1312">
        <f>IF(AND(C245&gt;$F$69,'Instrumentos Financeiros'!C245&lt;'Instrumentos Financeiros'!$F$69+'Instrumentos Financeiros'!$F$11+1),PMT(((1+'Instrumentos Financeiros'!$I$43)^(1/12)-1),$F$11,-$I$69),0)</f>
        <v>0</v>
      </c>
      <c r="AS245" s="1312">
        <f t="shared" si="169"/>
        <v>0</v>
      </c>
      <c r="AT245" s="1312">
        <f>AU244*((1+'Instrumentos Financeiros'!$I$43)^(1/12)-1)</f>
        <v>0</v>
      </c>
      <c r="AU245" s="1312">
        <f t="shared" si="138"/>
        <v>0</v>
      </c>
      <c r="AV245" s="1312">
        <f>IF(AND(C245&gt;$F$70,'Instrumentos Financeiros'!C245&lt;'Instrumentos Financeiros'!$F$70+'Instrumentos Financeiros'!$F$11+1),PMT(((1+'Instrumentos Financeiros'!$J$43)^(1/12)-1),$F$11,-$I$70),0)</f>
        <v>0</v>
      </c>
      <c r="AW245" s="1312">
        <f t="shared" si="170"/>
        <v>0</v>
      </c>
      <c r="AX245" s="1312">
        <f>AY244*((1+'Instrumentos Financeiros'!$J$43)^(1/12)-1)</f>
        <v>0</v>
      </c>
      <c r="AY245" s="1312">
        <f t="shared" si="139"/>
        <v>0</v>
      </c>
      <c r="AZ245" s="1312">
        <f>IF(AND(C245&gt;$F$71,'Instrumentos Financeiros'!C245&lt;'Instrumentos Financeiros'!$F$71+'Instrumentos Financeiros'!$F$11+1),PMT(((1+'Instrumentos Financeiros'!$J$43)^(1/12)-1),$F$11,-$I$71),0)</f>
        <v>0</v>
      </c>
      <c r="BA245" s="1312">
        <f t="shared" si="171"/>
        <v>0</v>
      </c>
      <c r="BB245" s="1312">
        <f>BC244*((1+'Instrumentos Financeiros'!$J$43)^(1/12)-1)</f>
        <v>0</v>
      </c>
      <c r="BC245" s="1312">
        <f t="shared" si="140"/>
        <v>0</v>
      </c>
      <c r="BD245" s="1312">
        <f>IF(AND(C245&gt;$F$72,'Instrumentos Financeiros'!C245&lt;'Instrumentos Financeiros'!$F$72+'Instrumentos Financeiros'!$F$11+1),PMT(((1+'Instrumentos Financeiros'!$J$43)^(1/12)-1),$F$11,-'Instrumentos Financeiros'!$G$7*$G$72),0)</f>
        <v>0</v>
      </c>
      <c r="BE245" s="1312">
        <f t="shared" si="172"/>
        <v>0</v>
      </c>
      <c r="BF245" s="1312">
        <f>BG244*((1+'Instrumentos Financeiros'!$J$43)^(1/12)-1)</f>
        <v>0</v>
      </c>
      <c r="BG245" s="1312">
        <f t="shared" si="141"/>
        <v>0</v>
      </c>
      <c r="BH245" s="1312">
        <f>IF(AND(C245&gt;$F$73,'Instrumentos Financeiros'!C245&lt;'Instrumentos Financeiros'!$F$73+'Instrumentos Financeiros'!$F$11+1),PMT(((1+'Instrumentos Financeiros'!$J$43)^(1/12)-1),$F$11,-$I$73),0)</f>
        <v>0</v>
      </c>
      <c r="BI245" s="1312">
        <f t="shared" si="173"/>
        <v>0</v>
      </c>
      <c r="BJ245" s="1312">
        <f>BK244*((1+'Instrumentos Financeiros'!$J$43)^(1/12)-1)</f>
        <v>0</v>
      </c>
      <c r="BK245" s="1312">
        <f t="shared" si="142"/>
        <v>0</v>
      </c>
      <c r="BL245" s="1312">
        <f>IF(AND(C245&gt;$F$77,'Instrumentos Financeiros'!C245&lt;'Instrumentos Financeiros'!$F$77+'Instrumentos Financeiros'!$F$12+1),PMT(((1+'Instrumentos Financeiros'!$K$43)^(1/12)-1),$F$12,-$I$77),0)</f>
        <v>368.57912678094596</v>
      </c>
      <c r="BM245" s="1312">
        <f t="shared" si="143"/>
        <v>214.93147886661544</v>
      </c>
      <c r="BN245" s="1312">
        <f>BO244*((1+'Instrumentos Financeiros'!$K$43)^(1/12)-1)</f>
        <v>153.64764791433052</v>
      </c>
      <c r="BO245" s="1312">
        <f t="shared" si="144"/>
        <v>35318.663375839831</v>
      </c>
      <c r="BP245" s="1312">
        <f>IF(AND(C245&gt;$F$78,'Instrumentos Financeiros'!C245&lt;'Instrumentos Financeiros'!$F$78+'Instrumentos Financeiros'!$F$12+1),PMT(((1+'Instrumentos Financeiros'!$L$43)^(1/12)-1),$F$12,-$I$78),0)</f>
        <v>368.57912678094596</v>
      </c>
      <c r="BQ245" s="1312">
        <f t="shared" si="145"/>
        <v>212.16731964768121</v>
      </c>
      <c r="BR245" s="1312">
        <f>BS244*((1+'Instrumentos Financeiros'!$L$43)^(1/12)-1)</f>
        <v>156.41180713326474</v>
      </c>
      <c r="BS245" s="1312">
        <f t="shared" si="146"/>
        <v>35960.685702253591</v>
      </c>
      <c r="BT245" s="1312">
        <f>IF(AND(C245&gt;$F$79,'Instrumentos Financeiros'!C245&lt;'Instrumentos Financeiros'!$F$79+'Instrumentos Financeiros'!$F$12+1),PMT(((1+'Instrumentos Financeiros'!$L$43)^(1/12)-1),$F$12,-$I$79),0)</f>
        <v>368.57912678094596</v>
      </c>
      <c r="BU245" s="1312">
        <f t="shared" si="147"/>
        <v>209.43870932194727</v>
      </c>
      <c r="BV245" s="1312">
        <f>BW244*((1+'Instrumentos Financeiros'!$L$43)^(1/12)-1)</f>
        <v>159.14041745899868</v>
      </c>
      <c r="BW245" s="1312">
        <f t="shared" si="148"/>
        <v>36594.451202158387</v>
      </c>
      <c r="BX245" s="1312">
        <f>IF(AND(C245&gt;$F$80,'Instrumentos Financeiros'!C245&lt;'Instrumentos Financeiros'!$F$80+'Instrumentos Financeiros'!$F$12+1),PMT(((1+'Instrumentos Financeiros'!$L$43)^(1/12)-1),$F$12,-$I$80),0)</f>
        <v>368.57912678094596</v>
      </c>
      <c r="BY245" s="1312">
        <f t="shared" si="149"/>
        <v>206.74519070742537</v>
      </c>
      <c r="BZ245" s="1312">
        <f>CA244*((1+'Instrumentos Financeiros'!$L$43)^(1/12)-1)</f>
        <v>161.83393607352059</v>
      </c>
      <c r="CA245" s="1312">
        <f t="shared" si="150"/>
        <v>37220.066063736762</v>
      </c>
      <c r="CB245" s="1312">
        <f>IF(AND(C245&gt;$F$83,'Instrumentos Financeiros'!C245&lt;'Instrumentos Financeiros'!$F$83+'Instrumentos Financeiros'!$F$13+1),PMT(((1+'Instrumentos Financeiros'!$P$43)^(1/12)-1),$F$13,-$I$83),0)</f>
        <v>0</v>
      </c>
      <c r="CC245" s="1312">
        <f t="shared" si="151"/>
        <v>0</v>
      </c>
      <c r="CD245" s="1312">
        <f>CE244*((1+'Instrumentos Financeiros'!$P$43)^(1/12)-1)</f>
        <v>0</v>
      </c>
      <c r="CE245" s="1312">
        <f t="shared" si="152"/>
        <v>0</v>
      </c>
      <c r="CF245" s="1312">
        <f>IF(AND(C245&gt;$F$84,'Instrumentos Financeiros'!C245&lt;'Instrumentos Financeiros'!$F$84+'Instrumentos Financeiros'!$F$13+1),PMT(((1+'Instrumentos Financeiros'!$Q$43)^(1/12)-1),$F$13,-$I$84),0)</f>
        <v>0</v>
      </c>
      <c r="CG245" s="1312">
        <f t="shared" si="153"/>
        <v>0</v>
      </c>
      <c r="CH245" s="1312">
        <f>CI244*((1+'Instrumentos Financeiros'!$Q$43)^(1/12)-1)</f>
        <v>0</v>
      </c>
      <c r="CI245" s="1312">
        <f t="shared" si="154"/>
        <v>0</v>
      </c>
      <c r="CJ245" s="1312">
        <f>IF(AND(C245&gt;$F$85,'Instrumentos Financeiros'!C245&lt;'Instrumentos Financeiros'!$F$85+'Instrumentos Financeiros'!$F$13+1),PMT(((1+'Instrumentos Financeiros'!$Q$43)^(1/12)-1),$F$13,-$I$85),0)</f>
        <v>0</v>
      </c>
      <c r="CK245" s="1312">
        <f t="shared" si="155"/>
        <v>0</v>
      </c>
      <c r="CL245" s="1312">
        <f>CM244*((1+'Instrumentos Financeiros'!$Q$43)^(1/12)-1)</f>
        <v>0</v>
      </c>
      <c r="CM245" s="1312">
        <f t="shared" si="156"/>
        <v>0</v>
      </c>
      <c r="CN245" s="1312">
        <f>IF(AND(C245&gt;$F$86,'Instrumentos Financeiros'!C245&lt;'Instrumentos Financeiros'!$F$86+'Instrumentos Financeiros'!$F$13+1),PMT(((1+'Instrumentos Financeiros'!$Q$43)^(1/12)-1),$F$13,-$I$86),0)</f>
        <v>0</v>
      </c>
      <c r="CO245" s="1312">
        <f t="shared" si="157"/>
        <v>0</v>
      </c>
      <c r="CP245" s="1312">
        <f>CQ244*((1+'Instrumentos Financeiros'!$Q$43)^(1/12)-1)</f>
        <v>0</v>
      </c>
      <c r="CQ245" s="1312">
        <f t="shared" si="158"/>
        <v>0</v>
      </c>
      <c r="CR245" s="1312">
        <f t="shared" si="127"/>
        <v>399789.55023115332</v>
      </c>
      <c r="CS245" s="1312">
        <f t="shared" si="127"/>
        <v>247820.39411134511</v>
      </c>
      <c r="CT245" s="1312">
        <f t="shared" si="127"/>
        <v>151969.15611980815</v>
      </c>
      <c r="CU245" s="1312">
        <f t="shared" si="127"/>
        <v>35301717.581899881</v>
      </c>
    </row>
    <row r="246" spans="3:99" x14ac:dyDescent="0.35">
      <c r="C246" s="1315">
        <f t="shared" si="128"/>
        <v>153</v>
      </c>
      <c r="D246" s="1312">
        <f>IF(AND(C246&gt;$F$59,'Instrumentos Financeiros'!C246&lt;'Instrumentos Financeiros'!$F$59+'Instrumentos Financeiros'!$F$11+1),PMT(((1+'Instrumentos Financeiros'!$G$43)^(1/12)-1),$F$11,-$I$59),0)</f>
        <v>91768.589635900134</v>
      </c>
      <c r="E246" s="1312">
        <f t="shared" si="125"/>
        <v>62574.745583081021</v>
      </c>
      <c r="F246" s="1312">
        <f>G245*((1+'Instrumentos Financeiros'!$G$43)^(1/12)-1)</f>
        <v>29193.844052819117</v>
      </c>
      <c r="G246" s="1312">
        <f t="shared" si="159"/>
        <v>7089622.8035129607</v>
      </c>
      <c r="H246" s="1312">
        <f>IF(AND(C246&gt;$F$60,'Instrumentos Financeiros'!C246&lt;'Instrumentos Financeiros'!$F$60+'Instrumentos Financeiros'!$F$11+1),PMT(((1+'Instrumentos Financeiros'!$G$43)^(1/12)-1),$F$11,-$I$60),0)</f>
        <v>0</v>
      </c>
      <c r="I246" s="1312">
        <f t="shared" si="160"/>
        <v>0</v>
      </c>
      <c r="J246" s="1312">
        <f>K245*((1+'Instrumentos Financeiros'!$G$43)^(1/12)-1)</f>
        <v>0</v>
      </c>
      <c r="K246" s="1312">
        <f t="shared" si="129"/>
        <v>0</v>
      </c>
      <c r="L246" s="1312">
        <f>IF(AND(C246&gt;$F$61,'Instrumentos Financeiros'!C246&lt;'Instrumentos Financeiros'!$F$61+'Instrumentos Financeiros'!$F$11+1),PMT(((1+'Instrumentos Financeiros'!$G$43)^(1/12)-1),$F$11,-$I$61),0)</f>
        <v>0</v>
      </c>
      <c r="M246" s="1312">
        <f t="shared" si="161"/>
        <v>0</v>
      </c>
      <c r="N246" s="1312">
        <f>O245*((1+'Instrumentos Financeiros'!$G$43)^(1/12)-1)</f>
        <v>0</v>
      </c>
      <c r="O246" s="1312">
        <f t="shared" si="130"/>
        <v>0</v>
      </c>
      <c r="P246" s="1312">
        <f>IF(AND(C246&gt;$F$62,'Instrumentos Financeiros'!C246&lt;'Instrumentos Financeiros'!$F$62+'Instrumentos Financeiros'!$F$11+1),PMT(((1+'Instrumentos Financeiros'!$H$43)^(1/12)-1),$F$11,-$I$62),0)</f>
        <v>0</v>
      </c>
      <c r="Q246" s="1312">
        <f t="shared" si="162"/>
        <v>0</v>
      </c>
      <c r="R246" s="1312">
        <f>S245*((1+'Instrumentos Financeiros'!$H$43)^(1/12)-1)</f>
        <v>0</v>
      </c>
      <c r="S246" s="1312">
        <f t="shared" si="131"/>
        <v>0</v>
      </c>
      <c r="T246" s="1312">
        <f>IF(AND(C246&gt;$F$63,'Instrumentos Financeiros'!C246&lt;'Instrumentos Financeiros'!$F$63+'Instrumentos Financeiros'!$F$11+1),PMT(((1+'Instrumentos Financeiros'!$H$43)^(1/12)-1),$F$11,-$I$63),0)</f>
        <v>0</v>
      </c>
      <c r="U246" s="1312">
        <f t="shared" si="163"/>
        <v>0</v>
      </c>
      <c r="V246" s="1312">
        <f>W245*((1+'Instrumentos Financeiros'!$H$43)^(1/12)-1)</f>
        <v>0</v>
      </c>
      <c r="W246" s="1312">
        <f t="shared" si="132"/>
        <v>0</v>
      </c>
      <c r="X246" s="1312">
        <f>IF(AND(C246&gt;$F$64,'Instrumentos Financeiros'!C246&lt;'Instrumentos Financeiros'!$F$64+'Instrumentos Financeiros'!$F$11+1),PMT(((1+'Instrumentos Financeiros'!$H$43)^(1/12)-1),$F$11,-$I$64),0)</f>
        <v>0</v>
      </c>
      <c r="Y246" s="1312">
        <f t="shared" si="164"/>
        <v>0</v>
      </c>
      <c r="Z246" s="1312">
        <f>AA245*((1+'Instrumentos Financeiros'!$H$43)^(1/12)-1)</f>
        <v>0</v>
      </c>
      <c r="AA246" s="1312">
        <f t="shared" si="133"/>
        <v>0</v>
      </c>
      <c r="AB246" s="1312">
        <f>IF(AND(C246&gt;$F$65,'Instrumentos Financeiros'!C246&lt;'Instrumentos Financeiros'!$F$65+'Instrumentos Financeiros'!$F$11+1),PMT(((1+'Instrumentos Financeiros'!$H$43)^(1/12)-1),$F$11,-$I$65),0)</f>
        <v>76636.661022032335</v>
      </c>
      <c r="AC246" s="1312">
        <f t="shared" si="165"/>
        <v>47267.85109067661</v>
      </c>
      <c r="AD246" s="1312">
        <f>AE245*((1+'Instrumentos Financeiros'!$H$43)^(1/12)-1)</f>
        <v>29368.809931355725</v>
      </c>
      <c r="AE246" s="1312">
        <f t="shared" si="134"/>
        <v>6744761.8846820649</v>
      </c>
      <c r="AF246" s="1312">
        <f>IF(AND(C246&gt;$F$66,'Instrumentos Financeiros'!C246&lt;'Instrumentos Financeiros'!$F$66+'Instrumentos Financeiros'!$F$11+1),PMT(((1+'Instrumentos Financeiros'!$I$43)^(1/12)-1),$F$11,-$I$66),0)</f>
        <v>76636.661022032335</v>
      </c>
      <c r="AG246" s="1312">
        <f t="shared" si="166"/>
        <v>46659.955648647898</v>
      </c>
      <c r="AH246" s="1312">
        <f>AI245*((1+'Instrumentos Financeiros'!$I$43)^(1/12)-1)</f>
        <v>29976.705373384433</v>
      </c>
      <c r="AI246" s="1312">
        <f t="shared" si="135"/>
        <v>6885955.7939309217</v>
      </c>
      <c r="AJ246" s="1312">
        <f>IF(AND(C246&gt;$F$67,'Instrumentos Financeiros'!C246&lt;'Instrumentos Financeiros'!$F$67+'Instrumentos Financeiros'!$F$11+1),PMT(((1+'Instrumentos Financeiros'!$I$43)^(1/12)-1),$F$11,-$I$67),0)</f>
        <v>76636.661022032335</v>
      </c>
      <c r="AK246" s="1312">
        <f t="shared" si="167"/>
        <v>46059.878139102104</v>
      </c>
      <c r="AL246" s="1312">
        <f>AM245*((1+'Instrumentos Financeiros'!$I$43)^(1/12)-1)</f>
        <v>30576.782882930227</v>
      </c>
      <c r="AM246" s="1312">
        <f t="shared" si="136"/>
        <v>7025333.8572740713</v>
      </c>
      <c r="AN246" s="1312">
        <f>IF(AND(C246&gt;$F$68,'Instrumentos Financeiros'!C246&lt;'Instrumentos Financeiros'!$F$68+'Instrumentos Financeiros'!$F$11+1),PMT(((1+'Instrumentos Financeiros'!$I$43)^(1/12)-1),$F$11,-$I$68),0)</f>
        <v>76636.661022032335</v>
      </c>
      <c r="AO246" s="1312">
        <f t="shared" si="168"/>
        <v>45467.518018320552</v>
      </c>
      <c r="AP246" s="1312">
        <f>AQ245*((1+'Instrumentos Financeiros'!$I$43)^(1/12)-1)</f>
        <v>31169.143003711786</v>
      </c>
      <c r="AQ246" s="1312">
        <f t="shared" si="137"/>
        <v>7162919.4276760351</v>
      </c>
      <c r="AR246" s="1312">
        <f>IF(AND(C246&gt;$F$69,'Instrumentos Financeiros'!C246&lt;'Instrumentos Financeiros'!$F$69+'Instrumentos Financeiros'!$F$11+1),PMT(((1+'Instrumentos Financeiros'!$I$43)^(1/12)-1),$F$11,-$I$69),0)</f>
        <v>0</v>
      </c>
      <c r="AS246" s="1312">
        <f t="shared" si="169"/>
        <v>0</v>
      </c>
      <c r="AT246" s="1312">
        <f>AU245*((1+'Instrumentos Financeiros'!$I$43)^(1/12)-1)</f>
        <v>0</v>
      </c>
      <c r="AU246" s="1312">
        <f t="shared" si="138"/>
        <v>0</v>
      </c>
      <c r="AV246" s="1312">
        <f>IF(AND(C246&gt;$F$70,'Instrumentos Financeiros'!C246&lt;'Instrumentos Financeiros'!$F$70+'Instrumentos Financeiros'!$F$11+1),PMT(((1+'Instrumentos Financeiros'!$J$43)^(1/12)-1),$F$11,-$I$70),0)</f>
        <v>0</v>
      </c>
      <c r="AW246" s="1312">
        <f t="shared" si="170"/>
        <v>0</v>
      </c>
      <c r="AX246" s="1312">
        <f>AY245*((1+'Instrumentos Financeiros'!$J$43)^(1/12)-1)</f>
        <v>0</v>
      </c>
      <c r="AY246" s="1312">
        <f t="shared" si="139"/>
        <v>0</v>
      </c>
      <c r="AZ246" s="1312">
        <f>IF(AND(C246&gt;$F$71,'Instrumentos Financeiros'!C246&lt;'Instrumentos Financeiros'!$F$71+'Instrumentos Financeiros'!$F$11+1),PMT(((1+'Instrumentos Financeiros'!$J$43)^(1/12)-1),$F$11,-$I$71),0)</f>
        <v>0</v>
      </c>
      <c r="BA246" s="1312">
        <f t="shared" si="171"/>
        <v>0</v>
      </c>
      <c r="BB246" s="1312">
        <f>BC245*((1+'Instrumentos Financeiros'!$J$43)^(1/12)-1)</f>
        <v>0</v>
      </c>
      <c r="BC246" s="1312">
        <f t="shared" si="140"/>
        <v>0</v>
      </c>
      <c r="BD246" s="1312">
        <f>IF(AND(C246&gt;$F$72,'Instrumentos Financeiros'!C246&lt;'Instrumentos Financeiros'!$F$72+'Instrumentos Financeiros'!$F$11+1),PMT(((1+'Instrumentos Financeiros'!$J$43)^(1/12)-1),$F$11,-'Instrumentos Financeiros'!$G$7*$G$72),0)</f>
        <v>0</v>
      </c>
      <c r="BE246" s="1312">
        <f t="shared" si="172"/>
        <v>0</v>
      </c>
      <c r="BF246" s="1312">
        <f>BG245*((1+'Instrumentos Financeiros'!$J$43)^(1/12)-1)</f>
        <v>0</v>
      </c>
      <c r="BG246" s="1312">
        <f t="shared" si="141"/>
        <v>0</v>
      </c>
      <c r="BH246" s="1312">
        <f>IF(AND(C246&gt;$F$73,'Instrumentos Financeiros'!C246&lt;'Instrumentos Financeiros'!$F$73+'Instrumentos Financeiros'!$F$11+1),PMT(((1+'Instrumentos Financeiros'!$J$43)^(1/12)-1),$F$11,-$I$73),0)</f>
        <v>0</v>
      </c>
      <c r="BI246" s="1312">
        <f t="shared" si="173"/>
        <v>0</v>
      </c>
      <c r="BJ246" s="1312">
        <f>BK245*((1+'Instrumentos Financeiros'!$J$43)^(1/12)-1)</f>
        <v>0</v>
      </c>
      <c r="BK246" s="1312">
        <f t="shared" si="142"/>
        <v>0</v>
      </c>
      <c r="BL246" s="1312">
        <f>IF(AND(C246&gt;$F$77,'Instrumentos Financeiros'!C246&lt;'Instrumentos Financeiros'!$F$77+'Instrumentos Financeiros'!$F$12+1),PMT(((1+'Instrumentos Financeiros'!$K$43)^(1/12)-1),$F$12,-$I$77),0)</f>
        <v>368.57912678094596</v>
      </c>
      <c r="BM246" s="1312">
        <f t="shared" si="143"/>
        <v>215.86084490249317</v>
      </c>
      <c r="BN246" s="1312">
        <f>BO245*((1+'Instrumentos Financeiros'!$K$43)^(1/12)-1)</f>
        <v>152.71828187845279</v>
      </c>
      <c r="BO246" s="1312">
        <f t="shared" si="144"/>
        <v>35102.802530937341</v>
      </c>
      <c r="BP246" s="1312">
        <f>IF(AND(C246&gt;$F$78,'Instrumentos Financeiros'!C246&lt;'Instrumentos Financeiros'!$F$78+'Instrumentos Financeiros'!$F$12+1),PMT(((1+'Instrumentos Financeiros'!$L$43)^(1/12)-1),$F$12,-$I$78),0)</f>
        <v>368.57912678094596</v>
      </c>
      <c r="BQ246" s="1312">
        <f t="shared" si="145"/>
        <v>213.08473342924339</v>
      </c>
      <c r="BR246" s="1312">
        <f>BS245*((1+'Instrumentos Financeiros'!$L$43)^(1/12)-1)</f>
        <v>155.49439335170257</v>
      </c>
      <c r="BS246" s="1312">
        <f t="shared" si="146"/>
        <v>35747.60096882435</v>
      </c>
      <c r="BT246" s="1312">
        <f>IF(AND(C246&gt;$F$79,'Instrumentos Financeiros'!C246&lt;'Instrumentos Financeiros'!$F$79+'Instrumentos Financeiros'!$F$12+1),PMT(((1+'Instrumentos Financeiros'!$L$43)^(1/12)-1),$F$12,-$I$79),0)</f>
        <v>368.57912678094596</v>
      </c>
      <c r="BU246" s="1312">
        <f t="shared" si="147"/>
        <v>210.344324562992</v>
      </c>
      <c r="BV246" s="1312">
        <f>BW245*((1+'Instrumentos Financeiros'!$L$43)^(1/12)-1)</f>
        <v>158.23480221795396</v>
      </c>
      <c r="BW246" s="1312">
        <f t="shared" si="148"/>
        <v>36384.106877595397</v>
      </c>
      <c r="BX246" s="1312">
        <f>IF(AND(C246&gt;$F$80,'Instrumentos Financeiros'!C246&lt;'Instrumentos Financeiros'!$F$80+'Instrumentos Financeiros'!$F$12+1),PMT(((1+'Instrumentos Financeiros'!$L$43)^(1/12)-1),$F$12,-$I$80),0)</f>
        <v>368.57912678094596</v>
      </c>
      <c r="BY246" s="1312">
        <f t="shared" si="149"/>
        <v>207.63915914489093</v>
      </c>
      <c r="BZ246" s="1312">
        <f>CA245*((1+'Instrumentos Financeiros'!$L$43)^(1/12)-1)</f>
        <v>160.93996763605503</v>
      </c>
      <c r="CA246" s="1312">
        <f t="shared" si="150"/>
        <v>37012.42690459187</v>
      </c>
      <c r="CB246" s="1312">
        <f>IF(AND(C246&gt;$F$83,'Instrumentos Financeiros'!C246&lt;'Instrumentos Financeiros'!$F$83+'Instrumentos Financeiros'!$F$13+1),PMT(((1+'Instrumentos Financeiros'!$P$43)^(1/12)-1),$F$13,-$I$83),0)</f>
        <v>0</v>
      </c>
      <c r="CC246" s="1312">
        <f t="shared" si="151"/>
        <v>0</v>
      </c>
      <c r="CD246" s="1312">
        <f>CE245*((1+'Instrumentos Financeiros'!$P$43)^(1/12)-1)</f>
        <v>0</v>
      </c>
      <c r="CE246" s="1312">
        <f t="shared" si="152"/>
        <v>0</v>
      </c>
      <c r="CF246" s="1312">
        <f>IF(AND(C246&gt;$F$84,'Instrumentos Financeiros'!C246&lt;'Instrumentos Financeiros'!$F$84+'Instrumentos Financeiros'!$F$13+1),PMT(((1+'Instrumentos Financeiros'!$Q$43)^(1/12)-1),$F$13,-$I$84),0)</f>
        <v>0</v>
      </c>
      <c r="CG246" s="1312">
        <f t="shared" si="153"/>
        <v>0</v>
      </c>
      <c r="CH246" s="1312">
        <f>CI245*((1+'Instrumentos Financeiros'!$Q$43)^(1/12)-1)</f>
        <v>0</v>
      </c>
      <c r="CI246" s="1312">
        <f t="shared" si="154"/>
        <v>0</v>
      </c>
      <c r="CJ246" s="1312">
        <f>IF(AND(C246&gt;$F$85,'Instrumentos Financeiros'!C246&lt;'Instrumentos Financeiros'!$F$85+'Instrumentos Financeiros'!$F$13+1),PMT(((1+'Instrumentos Financeiros'!$Q$43)^(1/12)-1),$F$13,-$I$85),0)</f>
        <v>0</v>
      </c>
      <c r="CK246" s="1312">
        <f t="shared" si="155"/>
        <v>0</v>
      </c>
      <c r="CL246" s="1312">
        <f>CM245*((1+'Instrumentos Financeiros'!$Q$43)^(1/12)-1)</f>
        <v>0</v>
      </c>
      <c r="CM246" s="1312">
        <f t="shared" si="156"/>
        <v>0</v>
      </c>
      <c r="CN246" s="1312">
        <f>IF(AND(C246&gt;$F$86,'Instrumentos Financeiros'!C246&lt;'Instrumentos Financeiros'!$F$86+'Instrumentos Financeiros'!$F$13+1),PMT(((1+'Instrumentos Financeiros'!$Q$43)^(1/12)-1),$F$13,-$I$86),0)</f>
        <v>0</v>
      </c>
      <c r="CO246" s="1312">
        <f t="shared" si="157"/>
        <v>0</v>
      </c>
      <c r="CP246" s="1312">
        <f>CQ245*((1+'Instrumentos Financeiros'!$Q$43)^(1/12)-1)</f>
        <v>0</v>
      </c>
      <c r="CQ246" s="1312">
        <f t="shared" si="158"/>
        <v>0</v>
      </c>
      <c r="CR246" s="1312">
        <f t="shared" si="127"/>
        <v>399789.55023115332</v>
      </c>
      <c r="CS246" s="1312">
        <f t="shared" si="127"/>
        <v>248876.87754186778</v>
      </c>
      <c r="CT246" s="1312">
        <f t="shared" si="127"/>
        <v>150912.67268928545</v>
      </c>
      <c r="CU246" s="1312">
        <f t="shared" si="127"/>
        <v>35052840.704357997</v>
      </c>
    </row>
    <row r="247" spans="3:99" x14ac:dyDescent="0.35">
      <c r="C247" s="1315">
        <f t="shared" si="128"/>
        <v>154</v>
      </c>
      <c r="D247" s="1312">
        <f>IF(AND(C247&gt;$F$59,'Instrumentos Financeiros'!C247&lt;'Instrumentos Financeiros'!$F$59+'Instrumentos Financeiros'!$F$11+1),PMT(((1+'Instrumentos Financeiros'!$G$43)^(1/12)-1),$F$11,-$I$59),0)</f>
        <v>91768.589635900134</v>
      </c>
      <c r="E247" s="1312">
        <f t="shared" si="125"/>
        <v>62830.163215446075</v>
      </c>
      <c r="F247" s="1312">
        <f>G246*((1+'Instrumentos Financeiros'!$G$43)^(1/12)-1)</f>
        <v>28938.42642045406</v>
      </c>
      <c r="G247" s="1312">
        <f t="shared" si="159"/>
        <v>7026792.6402975144</v>
      </c>
      <c r="H247" s="1312">
        <f>IF(AND(C247&gt;$F$60,'Instrumentos Financeiros'!C247&lt;'Instrumentos Financeiros'!$F$60+'Instrumentos Financeiros'!$F$11+1),PMT(((1+'Instrumentos Financeiros'!$G$43)^(1/12)-1),$F$11,-$I$60),0)</f>
        <v>0</v>
      </c>
      <c r="I247" s="1312">
        <f t="shared" si="160"/>
        <v>0</v>
      </c>
      <c r="J247" s="1312">
        <f>K246*((1+'Instrumentos Financeiros'!$G$43)^(1/12)-1)</f>
        <v>0</v>
      </c>
      <c r="K247" s="1312">
        <f t="shared" si="129"/>
        <v>0</v>
      </c>
      <c r="L247" s="1312">
        <f>IF(AND(C247&gt;$F$61,'Instrumentos Financeiros'!C247&lt;'Instrumentos Financeiros'!$F$61+'Instrumentos Financeiros'!$F$11+1),PMT(((1+'Instrumentos Financeiros'!$G$43)^(1/12)-1),$F$11,-$I$61),0)</f>
        <v>0</v>
      </c>
      <c r="M247" s="1312">
        <f t="shared" si="161"/>
        <v>0</v>
      </c>
      <c r="N247" s="1312">
        <f>O246*((1+'Instrumentos Financeiros'!$G$43)^(1/12)-1)</f>
        <v>0</v>
      </c>
      <c r="O247" s="1312">
        <f t="shared" si="130"/>
        <v>0</v>
      </c>
      <c r="P247" s="1312">
        <f>IF(AND(C247&gt;$F$62,'Instrumentos Financeiros'!C247&lt;'Instrumentos Financeiros'!$F$62+'Instrumentos Financeiros'!$F$11+1),PMT(((1+'Instrumentos Financeiros'!$H$43)^(1/12)-1),$F$11,-$I$62),0)</f>
        <v>0</v>
      </c>
      <c r="Q247" s="1312">
        <f t="shared" si="162"/>
        <v>0</v>
      </c>
      <c r="R247" s="1312">
        <f>S246*((1+'Instrumentos Financeiros'!$H$43)^(1/12)-1)</f>
        <v>0</v>
      </c>
      <c r="S247" s="1312">
        <f t="shared" si="131"/>
        <v>0</v>
      </c>
      <c r="T247" s="1312">
        <f>IF(AND(C247&gt;$F$63,'Instrumentos Financeiros'!C247&lt;'Instrumentos Financeiros'!$F$63+'Instrumentos Financeiros'!$F$11+1),PMT(((1+'Instrumentos Financeiros'!$H$43)^(1/12)-1),$F$11,-$I$63),0)</f>
        <v>0</v>
      </c>
      <c r="U247" s="1312">
        <f t="shared" si="163"/>
        <v>0</v>
      </c>
      <c r="V247" s="1312">
        <f>W246*((1+'Instrumentos Financeiros'!$H$43)^(1/12)-1)</f>
        <v>0</v>
      </c>
      <c r="W247" s="1312">
        <f t="shared" si="132"/>
        <v>0</v>
      </c>
      <c r="X247" s="1312">
        <f>IF(AND(C247&gt;$F$64,'Instrumentos Financeiros'!C247&lt;'Instrumentos Financeiros'!$F$64+'Instrumentos Financeiros'!$F$11+1),PMT(((1+'Instrumentos Financeiros'!$H$43)^(1/12)-1),$F$11,-$I$64),0)</f>
        <v>0</v>
      </c>
      <c r="Y247" s="1312">
        <f t="shared" si="164"/>
        <v>0</v>
      </c>
      <c r="Z247" s="1312">
        <f>AA246*((1+'Instrumentos Financeiros'!$H$43)^(1/12)-1)</f>
        <v>0</v>
      </c>
      <c r="AA247" s="1312">
        <f t="shared" si="133"/>
        <v>0</v>
      </c>
      <c r="AB247" s="1312">
        <f>IF(AND(C247&gt;$F$65,'Instrumentos Financeiros'!C247&lt;'Instrumentos Financeiros'!$F$65+'Instrumentos Financeiros'!$F$11+1),PMT(((1+'Instrumentos Financeiros'!$H$43)^(1/12)-1),$F$11,-$I$65),0)</f>
        <v>76636.661022032335</v>
      </c>
      <c r="AC247" s="1312">
        <f t="shared" si="165"/>
        <v>47472.237789285158</v>
      </c>
      <c r="AD247" s="1312">
        <f>AE246*((1+'Instrumentos Financeiros'!$H$43)^(1/12)-1)</f>
        <v>29164.423232747176</v>
      </c>
      <c r="AE247" s="1312">
        <f t="shared" si="134"/>
        <v>6697289.6468927795</v>
      </c>
      <c r="AF247" s="1312">
        <f>IF(AND(C247&gt;$F$66,'Instrumentos Financeiros'!C247&lt;'Instrumentos Financeiros'!$F$66+'Instrumentos Financeiros'!$F$11+1),PMT(((1+'Instrumentos Financeiros'!$I$43)^(1/12)-1),$F$11,-$I$66),0)</f>
        <v>76636.661022032335</v>
      </c>
      <c r="AG247" s="1312">
        <f t="shared" si="166"/>
        <v>46861.713800799858</v>
      </c>
      <c r="AH247" s="1312">
        <f>AI246*((1+'Instrumentos Financeiros'!$I$43)^(1/12)-1)</f>
        <v>29774.94722123248</v>
      </c>
      <c r="AI247" s="1312">
        <f t="shared" si="135"/>
        <v>6839094.0801301217</v>
      </c>
      <c r="AJ247" s="1312">
        <f>IF(AND(C247&gt;$F$67,'Instrumentos Financeiros'!C247&lt;'Instrumentos Financeiros'!$F$67+'Instrumentos Financeiros'!$F$11+1),PMT(((1+'Instrumentos Financeiros'!$I$43)^(1/12)-1),$F$11,-$I$67),0)</f>
        <v>76636.661022032335</v>
      </c>
      <c r="AK247" s="1312">
        <f t="shared" si="167"/>
        <v>46259.04154962195</v>
      </c>
      <c r="AL247" s="1312">
        <f>AM246*((1+'Instrumentos Financeiros'!$I$43)^(1/12)-1)</f>
        <v>30377.619472410384</v>
      </c>
      <c r="AM247" s="1312">
        <f t="shared" si="136"/>
        <v>6979074.8157244492</v>
      </c>
      <c r="AN247" s="1312">
        <f>IF(AND(C247&gt;$F$68,'Instrumentos Financeiros'!C247&lt;'Instrumentos Financeiros'!$F$68+'Instrumentos Financeiros'!$F$11+1),PMT(((1+'Instrumentos Financeiros'!$I$43)^(1/12)-1),$F$11,-$I$68),0)</f>
        <v>76636.661022032335</v>
      </c>
      <c r="AO247" s="1312">
        <f t="shared" si="168"/>
        <v>45664.120057280641</v>
      </c>
      <c r="AP247" s="1312">
        <f>AQ246*((1+'Instrumentos Financeiros'!$I$43)^(1/12)-1)</f>
        <v>30972.54096475169</v>
      </c>
      <c r="AQ247" s="1312">
        <f t="shared" si="137"/>
        <v>7117255.307618754</v>
      </c>
      <c r="AR247" s="1312">
        <f>IF(AND(C247&gt;$F$69,'Instrumentos Financeiros'!C247&lt;'Instrumentos Financeiros'!$F$69+'Instrumentos Financeiros'!$F$11+1),PMT(((1+'Instrumentos Financeiros'!$I$43)^(1/12)-1),$F$11,-$I$69),0)</f>
        <v>0</v>
      </c>
      <c r="AS247" s="1312">
        <f t="shared" si="169"/>
        <v>0</v>
      </c>
      <c r="AT247" s="1312">
        <f>AU246*((1+'Instrumentos Financeiros'!$I$43)^(1/12)-1)</f>
        <v>0</v>
      </c>
      <c r="AU247" s="1312">
        <f t="shared" si="138"/>
        <v>0</v>
      </c>
      <c r="AV247" s="1312">
        <f>IF(AND(C247&gt;$F$70,'Instrumentos Financeiros'!C247&lt;'Instrumentos Financeiros'!$F$70+'Instrumentos Financeiros'!$F$11+1),PMT(((1+'Instrumentos Financeiros'!$J$43)^(1/12)-1),$F$11,-$I$70),0)</f>
        <v>0</v>
      </c>
      <c r="AW247" s="1312">
        <f t="shared" si="170"/>
        <v>0</v>
      </c>
      <c r="AX247" s="1312">
        <f>AY246*((1+'Instrumentos Financeiros'!$J$43)^(1/12)-1)</f>
        <v>0</v>
      </c>
      <c r="AY247" s="1312">
        <f t="shared" si="139"/>
        <v>0</v>
      </c>
      <c r="AZ247" s="1312">
        <f>IF(AND(C247&gt;$F$71,'Instrumentos Financeiros'!C247&lt;'Instrumentos Financeiros'!$F$71+'Instrumentos Financeiros'!$F$11+1),PMT(((1+'Instrumentos Financeiros'!$J$43)^(1/12)-1),$F$11,-$I$71),0)</f>
        <v>0</v>
      </c>
      <c r="BA247" s="1312">
        <f t="shared" si="171"/>
        <v>0</v>
      </c>
      <c r="BB247" s="1312">
        <f>BC246*((1+'Instrumentos Financeiros'!$J$43)^(1/12)-1)</f>
        <v>0</v>
      </c>
      <c r="BC247" s="1312">
        <f t="shared" si="140"/>
        <v>0</v>
      </c>
      <c r="BD247" s="1312">
        <f>IF(AND(C247&gt;$F$72,'Instrumentos Financeiros'!C247&lt;'Instrumentos Financeiros'!$F$72+'Instrumentos Financeiros'!$F$11+1),PMT(((1+'Instrumentos Financeiros'!$J$43)^(1/12)-1),$F$11,-'Instrumentos Financeiros'!$G$7*$G$72),0)</f>
        <v>0</v>
      </c>
      <c r="BE247" s="1312">
        <f t="shared" si="172"/>
        <v>0</v>
      </c>
      <c r="BF247" s="1312">
        <f>BG246*((1+'Instrumentos Financeiros'!$J$43)^(1/12)-1)</f>
        <v>0</v>
      </c>
      <c r="BG247" s="1312">
        <f t="shared" si="141"/>
        <v>0</v>
      </c>
      <c r="BH247" s="1312">
        <f>IF(AND(C247&gt;$F$73,'Instrumentos Financeiros'!C247&lt;'Instrumentos Financeiros'!$F$73+'Instrumentos Financeiros'!$F$11+1),PMT(((1+'Instrumentos Financeiros'!$J$43)^(1/12)-1),$F$11,-$I$73),0)</f>
        <v>0</v>
      </c>
      <c r="BI247" s="1312">
        <f t="shared" si="173"/>
        <v>0</v>
      </c>
      <c r="BJ247" s="1312">
        <f>BK246*((1+'Instrumentos Financeiros'!$J$43)^(1/12)-1)</f>
        <v>0</v>
      </c>
      <c r="BK247" s="1312">
        <f t="shared" si="142"/>
        <v>0</v>
      </c>
      <c r="BL247" s="1312">
        <f>IF(AND(C247&gt;$F$77,'Instrumentos Financeiros'!C247&lt;'Instrumentos Financeiros'!$F$77+'Instrumentos Financeiros'!$F$12+1),PMT(((1+'Instrumentos Financeiros'!$K$43)^(1/12)-1),$F$12,-$I$77),0)</f>
        <v>368.57912678094596</v>
      </c>
      <c r="BM247" s="1312">
        <f t="shared" si="143"/>
        <v>216.79422952714719</v>
      </c>
      <c r="BN247" s="1312">
        <f>BO246*((1+'Instrumentos Financeiros'!$K$43)^(1/12)-1)</f>
        <v>151.78489725379876</v>
      </c>
      <c r="BO247" s="1312">
        <f t="shared" si="144"/>
        <v>34886.008301410191</v>
      </c>
      <c r="BP247" s="1312">
        <f>IF(AND(C247&gt;$F$78,'Instrumentos Financeiros'!C247&lt;'Instrumentos Financeiros'!$F$78+'Instrumentos Financeiros'!$F$12+1),PMT(((1+'Instrumentos Financeiros'!$L$43)^(1/12)-1),$F$12,-$I$78),0)</f>
        <v>368.57912678094596</v>
      </c>
      <c r="BQ247" s="1312">
        <f t="shared" si="145"/>
        <v>214.00611411790507</v>
      </c>
      <c r="BR247" s="1312">
        <f>BS246*((1+'Instrumentos Financeiros'!$L$43)^(1/12)-1)</f>
        <v>154.57301266304088</v>
      </c>
      <c r="BS247" s="1312">
        <f t="shared" si="146"/>
        <v>35533.594854706447</v>
      </c>
      <c r="BT247" s="1312">
        <f>IF(AND(C247&gt;$F$79,'Instrumentos Financeiros'!C247&lt;'Instrumentos Financeiros'!$F$79+'Instrumentos Financeiros'!$F$12+1),PMT(((1+'Instrumentos Financeiros'!$L$43)^(1/12)-1),$F$12,-$I$79),0)</f>
        <v>368.57912678094596</v>
      </c>
      <c r="BU247" s="1312">
        <f t="shared" si="147"/>
        <v>211.25385569411964</v>
      </c>
      <c r="BV247" s="1312">
        <f>BW246*((1+'Instrumentos Financeiros'!$L$43)^(1/12)-1)</f>
        <v>157.32527108682632</v>
      </c>
      <c r="BW247" s="1312">
        <f t="shared" si="148"/>
        <v>36172.853021901275</v>
      </c>
      <c r="BX247" s="1312">
        <f>IF(AND(C247&gt;$F$80,'Instrumentos Financeiros'!C247&lt;'Instrumentos Financeiros'!$F$80+'Instrumentos Financeiros'!$F$12+1),PMT(((1+'Instrumentos Financeiros'!$L$43)^(1/12)-1),$F$12,-$I$80),0)</f>
        <v>368.57912678094596</v>
      </c>
      <c r="BY247" s="1312">
        <f t="shared" si="149"/>
        <v>208.53699311153491</v>
      </c>
      <c r="BZ247" s="1312">
        <f>CA246*((1+'Instrumentos Financeiros'!$L$43)^(1/12)-1)</f>
        <v>160.04213366941104</v>
      </c>
      <c r="CA247" s="1312">
        <f t="shared" si="150"/>
        <v>36803.889911480335</v>
      </c>
      <c r="CB247" s="1312">
        <f>IF(AND(C247&gt;$F$83,'Instrumentos Financeiros'!C247&lt;'Instrumentos Financeiros'!$F$83+'Instrumentos Financeiros'!$F$13+1),PMT(((1+'Instrumentos Financeiros'!$P$43)^(1/12)-1),$F$13,-$I$83),0)</f>
        <v>0</v>
      </c>
      <c r="CC247" s="1312">
        <f t="shared" si="151"/>
        <v>0</v>
      </c>
      <c r="CD247" s="1312">
        <f>CE246*((1+'Instrumentos Financeiros'!$P$43)^(1/12)-1)</f>
        <v>0</v>
      </c>
      <c r="CE247" s="1312">
        <f t="shared" si="152"/>
        <v>0</v>
      </c>
      <c r="CF247" s="1312">
        <f>IF(AND(C247&gt;$F$84,'Instrumentos Financeiros'!C247&lt;'Instrumentos Financeiros'!$F$84+'Instrumentos Financeiros'!$F$13+1),PMT(((1+'Instrumentos Financeiros'!$Q$43)^(1/12)-1),$F$13,-$I$84),0)</f>
        <v>0</v>
      </c>
      <c r="CG247" s="1312">
        <f t="shared" si="153"/>
        <v>0</v>
      </c>
      <c r="CH247" s="1312">
        <f>CI246*((1+'Instrumentos Financeiros'!$Q$43)^(1/12)-1)</f>
        <v>0</v>
      </c>
      <c r="CI247" s="1312">
        <f t="shared" si="154"/>
        <v>0</v>
      </c>
      <c r="CJ247" s="1312">
        <f>IF(AND(C247&gt;$F$85,'Instrumentos Financeiros'!C247&lt;'Instrumentos Financeiros'!$F$85+'Instrumentos Financeiros'!$F$13+1),PMT(((1+'Instrumentos Financeiros'!$Q$43)^(1/12)-1),$F$13,-$I$85),0)</f>
        <v>0</v>
      </c>
      <c r="CK247" s="1312">
        <f t="shared" si="155"/>
        <v>0</v>
      </c>
      <c r="CL247" s="1312">
        <f>CM246*((1+'Instrumentos Financeiros'!$Q$43)^(1/12)-1)</f>
        <v>0</v>
      </c>
      <c r="CM247" s="1312">
        <f t="shared" si="156"/>
        <v>0</v>
      </c>
      <c r="CN247" s="1312">
        <f>IF(AND(C247&gt;$F$86,'Instrumentos Financeiros'!C247&lt;'Instrumentos Financeiros'!$F$86+'Instrumentos Financeiros'!$F$13+1),PMT(((1+'Instrumentos Financeiros'!$Q$43)^(1/12)-1),$F$13,-$I$86),0)</f>
        <v>0</v>
      </c>
      <c r="CO247" s="1312">
        <f t="shared" si="157"/>
        <v>0</v>
      </c>
      <c r="CP247" s="1312">
        <f>CQ246*((1+'Instrumentos Financeiros'!$Q$43)^(1/12)-1)</f>
        <v>0</v>
      </c>
      <c r="CQ247" s="1312">
        <f t="shared" si="158"/>
        <v>0</v>
      </c>
      <c r="CR247" s="1312">
        <f t="shared" si="127"/>
        <v>399789.55023115332</v>
      </c>
      <c r="CS247" s="1312">
        <f t="shared" si="127"/>
        <v>249937.86760488444</v>
      </c>
      <c r="CT247" s="1312">
        <f t="shared" si="127"/>
        <v>149851.68262626886</v>
      </c>
      <c r="CU247" s="1312">
        <f t="shared" si="127"/>
        <v>34802902.836753115</v>
      </c>
    </row>
    <row r="248" spans="3:99" x14ac:dyDescent="0.35">
      <c r="C248" s="1315">
        <f t="shared" si="128"/>
        <v>155</v>
      </c>
      <c r="D248" s="1312">
        <f>IF(AND(C248&gt;$F$59,'Instrumentos Financeiros'!C248&lt;'Instrumentos Financeiros'!$F$59+'Instrumentos Financeiros'!$F$11+1),PMT(((1+'Instrumentos Financeiros'!$G$43)^(1/12)-1),$F$11,-$I$59),0)</f>
        <v>91768.589635900134</v>
      </c>
      <c r="E248" s="1312">
        <f t="shared" si="125"/>
        <v>63086.623411649234</v>
      </c>
      <c r="F248" s="1312">
        <f>G247*((1+'Instrumentos Financeiros'!$G$43)^(1/12)-1)</f>
        <v>28681.9662242509</v>
      </c>
      <c r="G248" s="1312">
        <f t="shared" si="159"/>
        <v>6963706.0168858655</v>
      </c>
      <c r="H248" s="1312">
        <f>IF(AND(C248&gt;$F$60,'Instrumentos Financeiros'!C248&lt;'Instrumentos Financeiros'!$F$60+'Instrumentos Financeiros'!$F$11+1),PMT(((1+'Instrumentos Financeiros'!$G$43)^(1/12)-1),$F$11,-$I$60),0)</f>
        <v>0</v>
      </c>
      <c r="I248" s="1312">
        <f t="shared" si="160"/>
        <v>0</v>
      </c>
      <c r="J248" s="1312">
        <f>K247*((1+'Instrumentos Financeiros'!$G$43)^(1/12)-1)</f>
        <v>0</v>
      </c>
      <c r="K248" s="1312">
        <f t="shared" si="129"/>
        <v>0</v>
      </c>
      <c r="L248" s="1312">
        <f>IF(AND(C248&gt;$F$61,'Instrumentos Financeiros'!C248&lt;'Instrumentos Financeiros'!$F$61+'Instrumentos Financeiros'!$F$11+1),PMT(((1+'Instrumentos Financeiros'!$G$43)^(1/12)-1),$F$11,-$I$61),0)</f>
        <v>0</v>
      </c>
      <c r="M248" s="1312">
        <f t="shared" si="161"/>
        <v>0</v>
      </c>
      <c r="N248" s="1312">
        <f>O247*((1+'Instrumentos Financeiros'!$G$43)^(1/12)-1)</f>
        <v>0</v>
      </c>
      <c r="O248" s="1312">
        <f t="shared" si="130"/>
        <v>0</v>
      </c>
      <c r="P248" s="1312">
        <f>IF(AND(C248&gt;$F$62,'Instrumentos Financeiros'!C248&lt;'Instrumentos Financeiros'!$F$62+'Instrumentos Financeiros'!$F$11+1),PMT(((1+'Instrumentos Financeiros'!$H$43)^(1/12)-1),$F$11,-$I$62),0)</f>
        <v>0</v>
      </c>
      <c r="Q248" s="1312">
        <f t="shared" si="162"/>
        <v>0</v>
      </c>
      <c r="R248" s="1312">
        <f>S247*((1+'Instrumentos Financeiros'!$H$43)^(1/12)-1)</f>
        <v>0</v>
      </c>
      <c r="S248" s="1312">
        <f t="shared" si="131"/>
        <v>0</v>
      </c>
      <c r="T248" s="1312">
        <f>IF(AND(C248&gt;$F$63,'Instrumentos Financeiros'!C248&lt;'Instrumentos Financeiros'!$F$63+'Instrumentos Financeiros'!$F$11+1),PMT(((1+'Instrumentos Financeiros'!$H$43)^(1/12)-1),$F$11,-$I$63),0)</f>
        <v>0</v>
      </c>
      <c r="U248" s="1312">
        <f t="shared" si="163"/>
        <v>0</v>
      </c>
      <c r="V248" s="1312">
        <f>W247*((1+'Instrumentos Financeiros'!$H$43)^(1/12)-1)</f>
        <v>0</v>
      </c>
      <c r="W248" s="1312">
        <f t="shared" si="132"/>
        <v>0</v>
      </c>
      <c r="X248" s="1312">
        <f>IF(AND(C248&gt;$F$64,'Instrumentos Financeiros'!C248&lt;'Instrumentos Financeiros'!$F$64+'Instrumentos Financeiros'!$F$11+1),PMT(((1+'Instrumentos Financeiros'!$H$43)^(1/12)-1),$F$11,-$I$64),0)</f>
        <v>0</v>
      </c>
      <c r="Y248" s="1312">
        <f t="shared" si="164"/>
        <v>0</v>
      </c>
      <c r="Z248" s="1312">
        <f>AA247*((1+'Instrumentos Financeiros'!$H$43)^(1/12)-1)</f>
        <v>0</v>
      </c>
      <c r="AA248" s="1312">
        <f t="shared" si="133"/>
        <v>0</v>
      </c>
      <c r="AB248" s="1312">
        <f>IF(AND(C248&gt;$F$65,'Instrumentos Financeiros'!C248&lt;'Instrumentos Financeiros'!$F$65+'Instrumentos Financeiros'!$F$11+1),PMT(((1+'Instrumentos Financeiros'!$H$43)^(1/12)-1),$F$11,-$I$65),0)</f>
        <v>76636.661022032335</v>
      </c>
      <c r="AC248" s="1312">
        <f t="shared" si="165"/>
        <v>47677.508258185873</v>
      </c>
      <c r="AD248" s="1312">
        <f>AE247*((1+'Instrumentos Financeiros'!$H$43)^(1/12)-1)</f>
        <v>28959.152763846465</v>
      </c>
      <c r="AE248" s="1312">
        <f t="shared" si="134"/>
        <v>6649612.1386345932</v>
      </c>
      <c r="AF248" s="1312">
        <f>IF(AND(C248&gt;$F$66,'Instrumentos Financeiros'!C248&lt;'Instrumentos Financeiros'!$F$66+'Instrumentos Financeiros'!$F$11+1),PMT(((1+'Instrumentos Financeiros'!$I$43)^(1/12)-1),$F$11,-$I$66),0)</f>
        <v>76636.661022032335</v>
      </c>
      <c r="AG248" s="1312">
        <f t="shared" si="166"/>
        <v>47064.344357380702</v>
      </c>
      <c r="AH248" s="1312">
        <f>AI247*((1+'Instrumentos Financeiros'!$I$43)^(1/12)-1)</f>
        <v>29572.316664651637</v>
      </c>
      <c r="AI248" s="1312">
        <f t="shared" si="135"/>
        <v>6792029.735772741</v>
      </c>
      <c r="AJ248" s="1312">
        <f>IF(AND(C248&gt;$F$67,'Instrumentos Financeiros'!C248&lt;'Instrumentos Financeiros'!$F$67+'Instrumentos Financeiros'!$F$11+1),PMT(((1+'Instrumentos Financeiros'!$I$43)^(1/12)-1),$F$11,-$I$67),0)</f>
        <v>76636.661022032335</v>
      </c>
      <c r="AK248" s="1312">
        <f t="shared" si="167"/>
        <v>46459.066144879849</v>
      </c>
      <c r="AL248" s="1312">
        <f>AM247*((1+'Instrumentos Financeiros'!$I$43)^(1/12)-1)</f>
        <v>30177.594877152489</v>
      </c>
      <c r="AM248" s="1312">
        <f t="shared" si="136"/>
        <v>6932615.7495795693</v>
      </c>
      <c r="AN248" s="1312">
        <f>IF(AND(C248&gt;$F$68,'Instrumentos Financeiros'!C248&lt;'Instrumentos Financeiros'!$F$68+'Instrumentos Financeiros'!$F$11+1),PMT(((1+'Instrumentos Financeiros'!$I$43)^(1/12)-1),$F$11,-$I$68),0)</f>
        <v>76636.661022032335</v>
      </c>
      <c r="AO248" s="1312">
        <f t="shared" si="168"/>
        <v>45861.572205580509</v>
      </c>
      <c r="AP248" s="1312">
        <f>AQ247*((1+'Instrumentos Financeiros'!$I$43)^(1/12)-1)</f>
        <v>30775.088816451822</v>
      </c>
      <c r="AQ248" s="1312">
        <f t="shared" si="137"/>
        <v>7071393.7354131732</v>
      </c>
      <c r="AR248" s="1312">
        <f>IF(AND(C248&gt;$F$69,'Instrumentos Financeiros'!C248&lt;'Instrumentos Financeiros'!$F$69+'Instrumentos Financeiros'!$F$11+1),PMT(((1+'Instrumentos Financeiros'!$I$43)^(1/12)-1),$F$11,-$I$69),0)</f>
        <v>0</v>
      </c>
      <c r="AS248" s="1312">
        <f t="shared" si="169"/>
        <v>0</v>
      </c>
      <c r="AT248" s="1312">
        <f>AU247*((1+'Instrumentos Financeiros'!$I$43)^(1/12)-1)</f>
        <v>0</v>
      </c>
      <c r="AU248" s="1312">
        <f t="shared" si="138"/>
        <v>0</v>
      </c>
      <c r="AV248" s="1312">
        <f>IF(AND(C248&gt;$F$70,'Instrumentos Financeiros'!C248&lt;'Instrumentos Financeiros'!$F$70+'Instrumentos Financeiros'!$F$11+1),PMT(((1+'Instrumentos Financeiros'!$J$43)^(1/12)-1),$F$11,-$I$70),0)</f>
        <v>0</v>
      </c>
      <c r="AW248" s="1312">
        <f t="shared" si="170"/>
        <v>0</v>
      </c>
      <c r="AX248" s="1312">
        <f>AY247*((1+'Instrumentos Financeiros'!$J$43)^(1/12)-1)</f>
        <v>0</v>
      </c>
      <c r="AY248" s="1312">
        <f t="shared" si="139"/>
        <v>0</v>
      </c>
      <c r="AZ248" s="1312">
        <f>IF(AND(C248&gt;$F$71,'Instrumentos Financeiros'!C248&lt;'Instrumentos Financeiros'!$F$71+'Instrumentos Financeiros'!$F$11+1),PMT(((1+'Instrumentos Financeiros'!$J$43)^(1/12)-1),$F$11,-$I$71),0)</f>
        <v>0</v>
      </c>
      <c r="BA248" s="1312">
        <f t="shared" si="171"/>
        <v>0</v>
      </c>
      <c r="BB248" s="1312">
        <f>BC247*((1+'Instrumentos Financeiros'!$J$43)^(1/12)-1)</f>
        <v>0</v>
      </c>
      <c r="BC248" s="1312">
        <f t="shared" si="140"/>
        <v>0</v>
      </c>
      <c r="BD248" s="1312">
        <f>IF(AND(C248&gt;$F$72,'Instrumentos Financeiros'!C248&lt;'Instrumentos Financeiros'!$F$72+'Instrumentos Financeiros'!$F$11+1),PMT(((1+'Instrumentos Financeiros'!$J$43)^(1/12)-1),$F$11,-'Instrumentos Financeiros'!$G$7*$G$72),0)</f>
        <v>0</v>
      </c>
      <c r="BE248" s="1312">
        <f t="shared" si="172"/>
        <v>0</v>
      </c>
      <c r="BF248" s="1312">
        <f>BG247*((1+'Instrumentos Financeiros'!$J$43)^(1/12)-1)</f>
        <v>0</v>
      </c>
      <c r="BG248" s="1312">
        <f t="shared" si="141"/>
        <v>0</v>
      </c>
      <c r="BH248" s="1312">
        <f>IF(AND(C248&gt;$F$73,'Instrumentos Financeiros'!C248&lt;'Instrumentos Financeiros'!$F$73+'Instrumentos Financeiros'!$F$11+1),PMT(((1+'Instrumentos Financeiros'!$J$43)^(1/12)-1),$F$11,-$I$73),0)</f>
        <v>0</v>
      </c>
      <c r="BI248" s="1312">
        <f t="shared" si="173"/>
        <v>0</v>
      </c>
      <c r="BJ248" s="1312">
        <f>BK247*((1+'Instrumentos Financeiros'!$J$43)^(1/12)-1)</f>
        <v>0</v>
      </c>
      <c r="BK248" s="1312">
        <f t="shared" si="142"/>
        <v>0</v>
      </c>
      <c r="BL248" s="1312">
        <f>IF(AND(C248&gt;$F$77,'Instrumentos Financeiros'!C248&lt;'Instrumentos Financeiros'!$F$77+'Instrumentos Financeiros'!$F$12+1),PMT(((1+'Instrumentos Financeiros'!$K$43)^(1/12)-1),$F$12,-$I$77),0)</f>
        <v>368.57912678094596</v>
      </c>
      <c r="BM248" s="1312">
        <f t="shared" si="143"/>
        <v>217.73165011699876</v>
      </c>
      <c r="BN248" s="1312">
        <f>BO247*((1+'Instrumentos Financeiros'!$K$43)^(1/12)-1)</f>
        <v>150.84747666394719</v>
      </c>
      <c r="BO248" s="1312">
        <f t="shared" si="144"/>
        <v>34668.276651293192</v>
      </c>
      <c r="BP248" s="1312">
        <f>IF(AND(C248&gt;$F$78,'Instrumentos Financeiros'!C248&lt;'Instrumentos Financeiros'!$F$78+'Instrumentos Financeiros'!$F$12+1),PMT(((1+'Instrumentos Financeiros'!$L$43)^(1/12)-1),$F$12,-$I$78),0)</f>
        <v>368.57912678094596</v>
      </c>
      <c r="BQ248" s="1312">
        <f t="shared" si="145"/>
        <v>214.93147886661544</v>
      </c>
      <c r="BR248" s="1312">
        <f>BS247*((1+'Instrumentos Financeiros'!$L$43)^(1/12)-1)</f>
        <v>153.64764791433052</v>
      </c>
      <c r="BS248" s="1312">
        <f t="shared" si="146"/>
        <v>35318.663375839831</v>
      </c>
      <c r="BT248" s="1312">
        <f>IF(AND(C248&gt;$F$79,'Instrumentos Financeiros'!C248&lt;'Instrumentos Financeiros'!$F$79+'Instrumentos Financeiros'!$F$12+1),PMT(((1+'Instrumentos Financeiros'!$L$43)^(1/12)-1),$F$12,-$I$79),0)</f>
        <v>368.57912678094596</v>
      </c>
      <c r="BU248" s="1312">
        <f t="shared" si="147"/>
        <v>212.16731964768121</v>
      </c>
      <c r="BV248" s="1312">
        <f>BW247*((1+'Instrumentos Financeiros'!$L$43)^(1/12)-1)</f>
        <v>156.41180713326474</v>
      </c>
      <c r="BW248" s="1312">
        <f t="shared" si="148"/>
        <v>35960.685702253591</v>
      </c>
      <c r="BX248" s="1312">
        <f>IF(AND(C248&gt;$F$80,'Instrumentos Financeiros'!C248&lt;'Instrumentos Financeiros'!$F$80+'Instrumentos Financeiros'!$F$12+1),PMT(((1+'Instrumentos Financeiros'!$L$43)^(1/12)-1),$F$12,-$I$80),0)</f>
        <v>368.57912678094596</v>
      </c>
      <c r="BY248" s="1312">
        <f t="shared" si="149"/>
        <v>209.43870932194727</v>
      </c>
      <c r="BZ248" s="1312">
        <f>CA247*((1+'Instrumentos Financeiros'!$L$43)^(1/12)-1)</f>
        <v>159.14041745899868</v>
      </c>
      <c r="CA248" s="1312">
        <f t="shared" si="150"/>
        <v>36594.451202158387</v>
      </c>
      <c r="CB248" s="1312">
        <f>IF(AND(C248&gt;$F$83,'Instrumentos Financeiros'!C248&lt;'Instrumentos Financeiros'!$F$83+'Instrumentos Financeiros'!$F$13+1),PMT(((1+'Instrumentos Financeiros'!$P$43)^(1/12)-1),$F$13,-$I$83),0)</f>
        <v>0</v>
      </c>
      <c r="CC248" s="1312">
        <f t="shared" si="151"/>
        <v>0</v>
      </c>
      <c r="CD248" s="1312">
        <f>CE247*((1+'Instrumentos Financeiros'!$P$43)^(1/12)-1)</f>
        <v>0</v>
      </c>
      <c r="CE248" s="1312">
        <f t="shared" si="152"/>
        <v>0</v>
      </c>
      <c r="CF248" s="1312">
        <f>IF(AND(C248&gt;$F$84,'Instrumentos Financeiros'!C248&lt;'Instrumentos Financeiros'!$F$84+'Instrumentos Financeiros'!$F$13+1),PMT(((1+'Instrumentos Financeiros'!$Q$43)^(1/12)-1),$F$13,-$I$84),0)</f>
        <v>0</v>
      </c>
      <c r="CG248" s="1312">
        <f t="shared" si="153"/>
        <v>0</v>
      </c>
      <c r="CH248" s="1312">
        <f>CI247*((1+'Instrumentos Financeiros'!$Q$43)^(1/12)-1)</f>
        <v>0</v>
      </c>
      <c r="CI248" s="1312">
        <f t="shared" si="154"/>
        <v>0</v>
      </c>
      <c r="CJ248" s="1312">
        <f>IF(AND(C248&gt;$F$85,'Instrumentos Financeiros'!C248&lt;'Instrumentos Financeiros'!$F$85+'Instrumentos Financeiros'!$F$13+1),PMT(((1+'Instrumentos Financeiros'!$Q$43)^(1/12)-1),$F$13,-$I$85),0)</f>
        <v>0</v>
      </c>
      <c r="CK248" s="1312">
        <f t="shared" si="155"/>
        <v>0</v>
      </c>
      <c r="CL248" s="1312">
        <f>CM247*((1+'Instrumentos Financeiros'!$Q$43)^(1/12)-1)</f>
        <v>0</v>
      </c>
      <c r="CM248" s="1312">
        <f t="shared" si="156"/>
        <v>0</v>
      </c>
      <c r="CN248" s="1312">
        <f>IF(AND(C248&gt;$F$86,'Instrumentos Financeiros'!C248&lt;'Instrumentos Financeiros'!$F$86+'Instrumentos Financeiros'!$F$13+1),PMT(((1+'Instrumentos Financeiros'!$Q$43)^(1/12)-1),$F$13,-$I$86),0)</f>
        <v>0</v>
      </c>
      <c r="CO248" s="1312">
        <f t="shared" si="157"/>
        <v>0</v>
      </c>
      <c r="CP248" s="1312">
        <f>CQ247*((1+'Instrumentos Financeiros'!$Q$43)^(1/12)-1)</f>
        <v>0</v>
      </c>
      <c r="CQ248" s="1312">
        <f t="shared" si="158"/>
        <v>0</v>
      </c>
      <c r="CR248" s="1312">
        <f t="shared" si="127"/>
        <v>399789.55023115332</v>
      </c>
      <c r="CS248" s="1312">
        <f t="shared" si="127"/>
        <v>251003.3835356294</v>
      </c>
      <c r="CT248" s="1312">
        <f t="shared" si="127"/>
        <v>148786.16669552383</v>
      </c>
      <c r="CU248" s="1312">
        <f t="shared" si="127"/>
        <v>34551899.453217492</v>
      </c>
    </row>
    <row r="249" spans="3:99" x14ac:dyDescent="0.35">
      <c r="C249" s="1316">
        <f t="shared" si="128"/>
        <v>156</v>
      </c>
      <c r="D249" s="1313">
        <f>IF(AND(C249&gt;$F$59,'Instrumentos Financeiros'!C249&lt;'Instrumentos Financeiros'!$F$59+'Instrumentos Financeiros'!$F$11+1),PMT(((1+'Instrumentos Financeiros'!$G$43)^(1/12)-1),$F$11,-$I$59),0)</f>
        <v>91768.589635900134</v>
      </c>
      <c r="E249" s="1313">
        <f t="shared" si="125"/>
        <v>63344.130427228156</v>
      </c>
      <c r="F249" s="1313">
        <f>G248*((1+'Instrumentos Financeiros'!$G$43)^(1/12)-1)</f>
        <v>28424.459208671979</v>
      </c>
      <c r="G249" s="1313">
        <f t="shared" si="159"/>
        <v>6900361.8864586372</v>
      </c>
      <c r="H249" s="1313">
        <f>IF(AND(C249&gt;$F$60,'Instrumentos Financeiros'!C249&lt;'Instrumentos Financeiros'!$F$60+'Instrumentos Financeiros'!$F$11+1),PMT(((1+'Instrumentos Financeiros'!$G$43)^(1/12)-1),$F$11,-$I$60),0)</f>
        <v>0</v>
      </c>
      <c r="I249" s="1313">
        <f t="shared" si="160"/>
        <v>0</v>
      </c>
      <c r="J249" s="1313">
        <f>K248*((1+'Instrumentos Financeiros'!$G$43)^(1/12)-1)</f>
        <v>0</v>
      </c>
      <c r="K249" s="1313">
        <f t="shared" si="129"/>
        <v>0</v>
      </c>
      <c r="L249" s="1313">
        <f>IF(AND(C249&gt;$F$61,'Instrumentos Financeiros'!C249&lt;'Instrumentos Financeiros'!$F$61+'Instrumentos Financeiros'!$F$11+1),PMT(((1+'Instrumentos Financeiros'!$G$43)^(1/12)-1),$F$11,-$I$61),0)</f>
        <v>0</v>
      </c>
      <c r="M249" s="1313">
        <f t="shared" si="161"/>
        <v>0</v>
      </c>
      <c r="N249" s="1313">
        <f>O248*((1+'Instrumentos Financeiros'!$G$43)^(1/12)-1)</f>
        <v>0</v>
      </c>
      <c r="O249" s="1313">
        <f t="shared" si="130"/>
        <v>0</v>
      </c>
      <c r="P249" s="1313">
        <f>IF(AND(C249&gt;$F$62,'Instrumentos Financeiros'!C249&lt;'Instrumentos Financeiros'!$F$62+'Instrumentos Financeiros'!$F$11+1),PMT(((1+'Instrumentos Financeiros'!$H$43)^(1/12)-1),$F$11,-$I$62),0)</f>
        <v>0</v>
      </c>
      <c r="Q249" s="1313">
        <f t="shared" si="162"/>
        <v>0</v>
      </c>
      <c r="R249" s="1313">
        <f>S248*((1+'Instrumentos Financeiros'!$H$43)^(1/12)-1)</f>
        <v>0</v>
      </c>
      <c r="S249" s="1313">
        <f t="shared" si="131"/>
        <v>0</v>
      </c>
      <c r="T249" s="1313">
        <f>IF(AND(C249&gt;$F$63,'Instrumentos Financeiros'!C249&lt;'Instrumentos Financeiros'!$F$63+'Instrumentos Financeiros'!$F$11+1),PMT(((1+'Instrumentos Financeiros'!$H$43)^(1/12)-1),$F$11,-$I$63),0)</f>
        <v>0</v>
      </c>
      <c r="U249" s="1313">
        <f t="shared" si="163"/>
        <v>0</v>
      </c>
      <c r="V249" s="1313">
        <f>W248*((1+'Instrumentos Financeiros'!$H$43)^(1/12)-1)</f>
        <v>0</v>
      </c>
      <c r="W249" s="1313">
        <f t="shared" si="132"/>
        <v>0</v>
      </c>
      <c r="X249" s="1313">
        <f>IF(AND(C249&gt;$F$64,'Instrumentos Financeiros'!C249&lt;'Instrumentos Financeiros'!$F$64+'Instrumentos Financeiros'!$F$11+1),PMT(((1+'Instrumentos Financeiros'!$H$43)^(1/12)-1),$F$11,-$I$64),0)</f>
        <v>0</v>
      </c>
      <c r="Y249" s="1313">
        <f t="shared" si="164"/>
        <v>0</v>
      </c>
      <c r="Z249" s="1313">
        <f>AA248*((1+'Instrumentos Financeiros'!$H$43)^(1/12)-1)</f>
        <v>0</v>
      </c>
      <c r="AA249" s="1313">
        <f t="shared" si="133"/>
        <v>0</v>
      </c>
      <c r="AB249" s="1313">
        <f>IF(AND(C249&gt;$F$65,'Instrumentos Financeiros'!C249&lt;'Instrumentos Financeiros'!$F$65+'Instrumentos Financeiros'!$F$11+1),PMT(((1+'Instrumentos Financeiros'!$H$43)^(1/12)-1),$F$11,-$I$65),0)</f>
        <v>76636.661022032335</v>
      </c>
      <c r="AC249" s="1313">
        <f t="shared" si="165"/>
        <v>47883.666318811025</v>
      </c>
      <c r="AD249" s="1313">
        <f>AE248*((1+'Instrumentos Financeiros'!$H$43)^(1/12)-1)</f>
        <v>28752.994703221306</v>
      </c>
      <c r="AE249" s="1313">
        <f t="shared" si="134"/>
        <v>6601728.4723157817</v>
      </c>
      <c r="AF249" s="1313">
        <f>IF(AND(C249&gt;$F$66,'Instrumentos Financeiros'!C249&lt;'Instrumentos Financeiros'!$F$66+'Instrumentos Financeiros'!$F$11+1),PMT(((1+'Instrumentos Financeiros'!$I$43)^(1/12)-1),$F$11,-$I$66),0)</f>
        <v>76636.661022032335</v>
      </c>
      <c r="AG249" s="1313">
        <f t="shared" si="166"/>
        <v>47267.85109067661</v>
      </c>
      <c r="AH249" s="1313">
        <f>AI248*((1+'Instrumentos Financeiros'!$I$43)^(1/12)-1)</f>
        <v>29368.809931355725</v>
      </c>
      <c r="AI249" s="1313">
        <f t="shared" si="135"/>
        <v>6744761.8846820649</v>
      </c>
      <c r="AJ249" s="1313">
        <f>IF(AND(C249&gt;$F$67,'Instrumentos Financeiros'!C249&lt;'Instrumentos Financeiros'!$F$67+'Instrumentos Financeiros'!$F$11+1),PMT(((1+'Instrumentos Financeiros'!$I$43)^(1/12)-1),$F$11,-$I$67),0)</f>
        <v>76636.661022032335</v>
      </c>
      <c r="AK249" s="1313">
        <f t="shared" si="167"/>
        <v>46659.955648647898</v>
      </c>
      <c r="AL249" s="1313">
        <f>AM248*((1+'Instrumentos Financeiros'!$I$43)^(1/12)-1)</f>
        <v>29976.705373384433</v>
      </c>
      <c r="AM249" s="1313">
        <f t="shared" si="136"/>
        <v>6885955.7939309217</v>
      </c>
      <c r="AN249" s="1313">
        <f>IF(AND(C249&gt;$F$68,'Instrumentos Financeiros'!C249&lt;'Instrumentos Financeiros'!$F$68+'Instrumentos Financeiros'!$F$11+1),PMT(((1+'Instrumentos Financeiros'!$I$43)^(1/12)-1),$F$11,-$I$68),0)</f>
        <v>76636.661022032335</v>
      </c>
      <c r="AO249" s="1313">
        <f t="shared" si="168"/>
        <v>46059.878139102104</v>
      </c>
      <c r="AP249" s="1313">
        <f>AQ248*((1+'Instrumentos Financeiros'!$I$43)^(1/12)-1)</f>
        <v>30576.782882930227</v>
      </c>
      <c r="AQ249" s="1313">
        <f t="shared" si="137"/>
        <v>7025333.8572740713</v>
      </c>
      <c r="AR249" s="1313">
        <f>IF(AND(C249&gt;$F$69,'Instrumentos Financeiros'!C249&lt;'Instrumentos Financeiros'!$F$69+'Instrumentos Financeiros'!$F$11+1),PMT(((1+'Instrumentos Financeiros'!$I$43)^(1/12)-1),$F$11,-$I$69),0)</f>
        <v>0</v>
      </c>
      <c r="AS249" s="1313">
        <f t="shared" si="169"/>
        <v>0</v>
      </c>
      <c r="AT249" s="1313">
        <f>AU248*((1+'Instrumentos Financeiros'!$I$43)^(1/12)-1)</f>
        <v>0</v>
      </c>
      <c r="AU249" s="1313">
        <f t="shared" si="138"/>
        <v>0</v>
      </c>
      <c r="AV249" s="1313">
        <f>IF(AND(C249&gt;$F$70,'Instrumentos Financeiros'!C249&lt;'Instrumentos Financeiros'!$F$70+'Instrumentos Financeiros'!$F$11+1),PMT(((1+'Instrumentos Financeiros'!$J$43)^(1/12)-1),$F$11,-$I$70),0)</f>
        <v>0</v>
      </c>
      <c r="AW249" s="1313">
        <f t="shared" si="170"/>
        <v>0</v>
      </c>
      <c r="AX249" s="1313">
        <f>AY248*((1+'Instrumentos Financeiros'!$J$43)^(1/12)-1)</f>
        <v>0</v>
      </c>
      <c r="AY249" s="1313">
        <f t="shared" si="139"/>
        <v>0</v>
      </c>
      <c r="AZ249" s="1313">
        <f>IF(AND(C249&gt;$F$71,'Instrumentos Financeiros'!C249&lt;'Instrumentos Financeiros'!$F$71+'Instrumentos Financeiros'!$F$11+1),PMT(((1+'Instrumentos Financeiros'!$J$43)^(1/12)-1),$F$11,-$I$71),0)</f>
        <v>0</v>
      </c>
      <c r="BA249" s="1313">
        <f t="shared" si="171"/>
        <v>0</v>
      </c>
      <c r="BB249" s="1313">
        <f>BC248*((1+'Instrumentos Financeiros'!$J$43)^(1/12)-1)</f>
        <v>0</v>
      </c>
      <c r="BC249" s="1313">
        <f t="shared" si="140"/>
        <v>0</v>
      </c>
      <c r="BD249" s="1313">
        <f>IF(AND(C249&gt;$F$72,'Instrumentos Financeiros'!C249&lt;'Instrumentos Financeiros'!$F$72+'Instrumentos Financeiros'!$F$11+1),PMT(((1+'Instrumentos Financeiros'!$J$43)^(1/12)-1),$F$11,-'Instrumentos Financeiros'!$G$7*$G$72),0)</f>
        <v>0</v>
      </c>
      <c r="BE249" s="1313">
        <f t="shared" si="172"/>
        <v>0</v>
      </c>
      <c r="BF249" s="1313">
        <f>BG248*((1+'Instrumentos Financeiros'!$J$43)^(1/12)-1)</f>
        <v>0</v>
      </c>
      <c r="BG249" s="1313">
        <f t="shared" si="141"/>
        <v>0</v>
      </c>
      <c r="BH249" s="1313">
        <f>IF(AND(C249&gt;$F$73,'Instrumentos Financeiros'!C249&lt;'Instrumentos Financeiros'!$F$73+'Instrumentos Financeiros'!$F$11+1),PMT(((1+'Instrumentos Financeiros'!$J$43)^(1/12)-1),$F$11,-$I$73),0)</f>
        <v>0</v>
      </c>
      <c r="BI249" s="1313">
        <f t="shared" si="173"/>
        <v>0</v>
      </c>
      <c r="BJ249" s="1313">
        <f>BK248*((1+'Instrumentos Financeiros'!$J$43)^(1/12)-1)</f>
        <v>0</v>
      </c>
      <c r="BK249" s="1313">
        <f t="shared" si="142"/>
        <v>0</v>
      </c>
      <c r="BL249" s="1313">
        <f>IF(AND(C249&gt;$F$77,'Instrumentos Financeiros'!C249&lt;'Instrumentos Financeiros'!$F$77+'Instrumentos Financeiros'!$F$12+1),PMT(((1+'Instrumentos Financeiros'!$K$43)^(1/12)-1),$F$12,-$I$77),0)</f>
        <v>368.57912678094596</v>
      </c>
      <c r="BM249" s="1313">
        <f t="shared" si="143"/>
        <v>218.67312412360499</v>
      </c>
      <c r="BN249" s="1313">
        <f>BO248*((1+'Instrumentos Financeiros'!$K$43)^(1/12)-1)</f>
        <v>149.90600265734096</v>
      </c>
      <c r="BO249" s="1313">
        <f t="shared" si="144"/>
        <v>34449.603527169587</v>
      </c>
      <c r="BP249" s="1313">
        <f>IF(AND(C249&gt;$F$78,'Instrumentos Financeiros'!C249&lt;'Instrumentos Financeiros'!$F$78+'Instrumentos Financeiros'!$F$12+1),PMT(((1+'Instrumentos Financeiros'!$L$43)^(1/12)-1),$F$12,-$I$78),0)</f>
        <v>368.57912678094596</v>
      </c>
      <c r="BQ249" s="1313">
        <f t="shared" si="145"/>
        <v>215.86084490249317</v>
      </c>
      <c r="BR249" s="1313">
        <f>BS248*((1+'Instrumentos Financeiros'!$L$43)^(1/12)-1)</f>
        <v>152.71828187845279</v>
      </c>
      <c r="BS249" s="1313">
        <f t="shared" si="146"/>
        <v>35102.802530937341</v>
      </c>
      <c r="BT249" s="1313">
        <f>IF(AND(C249&gt;$F$79,'Instrumentos Financeiros'!C249&lt;'Instrumentos Financeiros'!$F$79+'Instrumentos Financeiros'!$F$12+1),PMT(((1+'Instrumentos Financeiros'!$L$43)^(1/12)-1),$F$12,-$I$79),0)</f>
        <v>368.57912678094596</v>
      </c>
      <c r="BU249" s="1313">
        <f t="shared" si="147"/>
        <v>213.08473342924339</v>
      </c>
      <c r="BV249" s="1313">
        <f>BW248*((1+'Instrumentos Financeiros'!$L$43)^(1/12)-1)</f>
        <v>155.49439335170257</v>
      </c>
      <c r="BW249" s="1313">
        <f t="shared" si="148"/>
        <v>35747.60096882435</v>
      </c>
      <c r="BX249" s="1313">
        <f>IF(AND(C249&gt;$F$80,'Instrumentos Financeiros'!C249&lt;'Instrumentos Financeiros'!$F$80+'Instrumentos Financeiros'!$F$12+1),PMT(((1+'Instrumentos Financeiros'!$L$43)^(1/12)-1),$F$12,-$I$80),0)</f>
        <v>368.57912678094596</v>
      </c>
      <c r="BY249" s="1313">
        <f t="shared" si="149"/>
        <v>210.344324562992</v>
      </c>
      <c r="BZ249" s="1313">
        <f>CA248*((1+'Instrumentos Financeiros'!$L$43)^(1/12)-1)</f>
        <v>158.23480221795396</v>
      </c>
      <c r="CA249" s="1313">
        <f t="shared" si="150"/>
        <v>36384.106877595397</v>
      </c>
      <c r="CB249" s="1313">
        <f>IF(AND(C249&gt;$F$83,'Instrumentos Financeiros'!C249&lt;'Instrumentos Financeiros'!$F$83+'Instrumentos Financeiros'!$F$13+1),PMT(((1+'Instrumentos Financeiros'!$P$43)^(1/12)-1),$F$13,-$I$83),0)</f>
        <v>0</v>
      </c>
      <c r="CC249" s="1313">
        <f t="shared" si="151"/>
        <v>0</v>
      </c>
      <c r="CD249" s="1313">
        <f>CE248*((1+'Instrumentos Financeiros'!$P$43)^(1/12)-1)</f>
        <v>0</v>
      </c>
      <c r="CE249" s="1313">
        <f t="shared" si="152"/>
        <v>0</v>
      </c>
      <c r="CF249" s="1313">
        <f>IF(AND(C249&gt;$F$84,'Instrumentos Financeiros'!C249&lt;'Instrumentos Financeiros'!$F$84+'Instrumentos Financeiros'!$F$13+1),PMT(((1+'Instrumentos Financeiros'!$Q$43)^(1/12)-1),$F$13,-$I$84),0)</f>
        <v>0</v>
      </c>
      <c r="CG249" s="1313">
        <f t="shared" si="153"/>
        <v>0</v>
      </c>
      <c r="CH249" s="1313">
        <f>CI248*((1+'Instrumentos Financeiros'!$Q$43)^(1/12)-1)</f>
        <v>0</v>
      </c>
      <c r="CI249" s="1313">
        <f t="shared" si="154"/>
        <v>0</v>
      </c>
      <c r="CJ249" s="1313">
        <f>IF(AND(C249&gt;$F$85,'Instrumentos Financeiros'!C249&lt;'Instrumentos Financeiros'!$F$85+'Instrumentos Financeiros'!$F$13+1),PMT(((1+'Instrumentos Financeiros'!$Q$43)^(1/12)-1),$F$13,-$I$85),0)</f>
        <v>0</v>
      </c>
      <c r="CK249" s="1313">
        <f t="shared" si="155"/>
        <v>0</v>
      </c>
      <c r="CL249" s="1313">
        <f>CM248*((1+'Instrumentos Financeiros'!$Q$43)^(1/12)-1)</f>
        <v>0</v>
      </c>
      <c r="CM249" s="1313">
        <f t="shared" si="156"/>
        <v>0</v>
      </c>
      <c r="CN249" s="1313">
        <f>IF(AND(C249&gt;$F$86,'Instrumentos Financeiros'!C249&lt;'Instrumentos Financeiros'!$F$86+'Instrumentos Financeiros'!$F$13+1),PMT(((1+'Instrumentos Financeiros'!$Q$43)^(1/12)-1),$F$13,-$I$86),0)</f>
        <v>0</v>
      </c>
      <c r="CO249" s="1313">
        <f t="shared" si="157"/>
        <v>0</v>
      </c>
      <c r="CP249" s="1313">
        <f>CQ248*((1+'Instrumentos Financeiros'!$Q$43)^(1/12)-1)</f>
        <v>0</v>
      </c>
      <c r="CQ249" s="1313">
        <f t="shared" si="158"/>
        <v>0</v>
      </c>
      <c r="CR249" s="1313">
        <f t="shared" si="127"/>
        <v>399789.55023115332</v>
      </c>
      <c r="CS249" s="1313">
        <f t="shared" si="127"/>
        <v>252073.44465148414</v>
      </c>
      <c r="CT249" s="1313">
        <f t="shared" si="127"/>
        <v>147716.10557966909</v>
      </c>
      <c r="CU249" s="1313">
        <f t="shared" si="127"/>
        <v>34299826.008566</v>
      </c>
    </row>
    <row r="250" spans="3:99" x14ac:dyDescent="0.35">
      <c r="C250" s="1315">
        <f t="shared" si="128"/>
        <v>157</v>
      </c>
      <c r="D250" s="1312">
        <f>IF(AND(C250&gt;$F$59,'Instrumentos Financeiros'!C250&lt;'Instrumentos Financeiros'!$F$59+'Instrumentos Financeiros'!$F$11+1),PMT(((1+'Instrumentos Financeiros'!$G$43)^(1/12)-1),$F$11,-$I$59),0)</f>
        <v>91768.589635900134</v>
      </c>
      <c r="E250" s="1312">
        <f t="shared" si="125"/>
        <v>63602.688535090776</v>
      </c>
      <c r="F250" s="1312">
        <f>G249*((1+'Instrumentos Financeiros'!$G$43)^(1/12)-1)</f>
        <v>28165.901100809358</v>
      </c>
      <c r="G250" s="1312">
        <f t="shared" si="159"/>
        <v>6836759.1979235467</v>
      </c>
      <c r="H250" s="1312">
        <f>IF(AND(C250&gt;$F$60,'Instrumentos Financeiros'!C250&lt;'Instrumentos Financeiros'!$F$60+'Instrumentos Financeiros'!$F$11+1),PMT(((1+'Instrumentos Financeiros'!$G$43)^(1/12)-1),$F$11,-$I$60),0)</f>
        <v>0</v>
      </c>
      <c r="I250" s="1312">
        <f t="shared" si="160"/>
        <v>0</v>
      </c>
      <c r="J250" s="1312">
        <f>K249*((1+'Instrumentos Financeiros'!$G$43)^(1/12)-1)</f>
        <v>0</v>
      </c>
      <c r="K250" s="1312">
        <f t="shared" si="129"/>
        <v>0</v>
      </c>
      <c r="L250" s="1312">
        <f>IF(AND(C250&gt;$F$61,'Instrumentos Financeiros'!C250&lt;'Instrumentos Financeiros'!$F$61+'Instrumentos Financeiros'!$F$11+1),PMT(((1+'Instrumentos Financeiros'!$G$43)^(1/12)-1),$F$11,-$I$61),0)</f>
        <v>0</v>
      </c>
      <c r="M250" s="1312">
        <f t="shared" si="161"/>
        <v>0</v>
      </c>
      <c r="N250" s="1312">
        <f>O249*((1+'Instrumentos Financeiros'!$G$43)^(1/12)-1)</f>
        <v>0</v>
      </c>
      <c r="O250" s="1312">
        <f t="shared" si="130"/>
        <v>0</v>
      </c>
      <c r="P250" s="1312">
        <f>IF(AND(C250&gt;$F$62,'Instrumentos Financeiros'!C250&lt;'Instrumentos Financeiros'!$F$62+'Instrumentos Financeiros'!$F$11+1),PMT(((1+'Instrumentos Financeiros'!$H$43)^(1/12)-1),$F$11,-$I$62),0)</f>
        <v>0</v>
      </c>
      <c r="Q250" s="1312">
        <f t="shared" si="162"/>
        <v>0</v>
      </c>
      <c r="R250" s="1312">
        <f>S249*((1+'Instrumentos Financeiros'!$H$43)^(1/12)-1)</f>
        <v>0</v>
      </c>
      <c r="S250" s="1312">
        <f t="shared" si="131"/>
        <v>0</v>
      </c>
      <c r="T250" s="1312">
        <f>IF(AND(C250&gt;$F$63,'Instrumentos Financeiros'!C250&lt;'Instrumentos Financeiros'!$F$63+'Instrumentos Financeiros'!$F$11+1),PMT(((1+'Instrumentos Financeiros'!$H$43)^(1/12)-1),$F$11,-$I$63),0)</f>
        <v>0</v>
      </c>
      <c r="U250" s="1312">
        <f t="shared" si="163"/>
        <v>0</v>
      </c>
      <c r="V250" s="1312">
        <f>W249*((1+'Instrumentos Financeiros'!$H$43)^(1/12)-1)</f>
        <v>0</v>
      </c>
      <c r="W250" s="1312">
        <f t="shared" si="132"/>
        <v>0</v>
      </c>
      <c r="X250" s="1312">
        <f>IF(AND(C250&gt;$F$64,'Instrumentos Financeiros'!C250&lt;'Instrumentos Financeiros'!$F$64+'Instrumentos Financeiros'!$F$11+1),PMT(((1+'Instrumentos Financeiros'!$H$43)^(1/12)-1),$F$11,-$I$64),0)</f>
        <v>0</v>
      </c>
      <c r="Y250" s="1312">
        <f t="shared" si="164"/>
        <v>0</v>
      </c>
      <c r="Z250" s="1312">
        <f>AA249*((1+'Instrumentos Financeiros'!$H$43)^(1/12)-1)</f>
        <v>0</v>
      </c>
      <c r="AA250" s="1312">
        <f t="shared" si="133"/>
        <v>0</v>
      </c>
      <c r="AB250" s="1312">
        <f>IF(AND(C250&gt;$F$65,'Instrumentos Financeiros'!C250&lt;'Instrumentos Financeiros'!$F$65+'Instrumentos Financeiros'!$F$11+1),PMT(((1+'Instrumentos Financeiros'!$H$43)^(1/12)-1),$F$11,-$I$65),0)</f>
        <v>76636.661022032335</v>
      </c>
      <c r="AC250" s="1312">
        <f t="shared" si="165"/>
        <v>48090.715809116838</v>
      </c>
      <c r="AD250" s="1312">
        <f>AE249*((1+'Instrumentos Financeiros'!$H$43)^(1/12)-1)</f>
        <v>28545.9452129155</v>
      </c>
      <c r="AE250" s="1312">
        <f t="shared" si="134"/>
        <v>6553637.7565066647</v>
      </c>
      <c r="AF250" s="1312">
        <f>IF(AND(C250&gt;$F$66,'Instrumentos Financeiros'!C250&lt;'Instrumentos Financeiros'!$F$66+'Instrumentos Financeiros'!$F$11+1),PMT(((1+'Instrumentos Financeiros'!$I$43)^(1/12)-1),$F$11,-$I$66),0)</f>
        <v>76636.661022032335</v>
      </c>
      <c r="AG250" s="1312">
        <f t="shared" si="166"/>
        <v>47472.237789285158</v>
      </c>
      <c r="AH250" s="1312">
        <f>AI249*((1+'Instrumentos Financeiros'!$I$43)^(1/12)-1)</f>
        <v>29164.423232747176</v>
      </c>
      <c r="AI250" s="1312">
        <f t="shared" si="135"/>
        <v>6697289.6468927795</v>
      </c>
      <c r="AJ250" s="1312">
        <f>IF(AND(C250&gt;$F$67,'Instrumentos Financeiros'!C250&lt;'Instrumentos Financeiros'!$F$67+'Instrumentos Financeiros'!$F$11+1),PMT(((1+'Instrumentos Financeiros'!$I$43)^(1/12)-1),$F$11,-$I$67),0)</f>
        <v>76636.661022032335</v>
      </c>
      <c r="AK250" s="1312">
        <f t="shared" si="167"/>
        <v>46861.713800799858</v>
      </c>
      <c r="AL250" s="1312">
        <f>AM249*((1+'Instrumentos Financeiros'!$I$43)^(1/12)-1)</f>
        <v>29774.94722123248</v>
      </c>
      <c r="AM250" s="1312">
        <f t="shared" si="136"/>
        <v>6839094.0801301217</v>
      </c>
      <c r="AN250" s="1312">
        <f>IF(AND(C250&gt;$F$68,'Instrumentos Financeiros'!C250&lt;'Instrumentos Financeiros'!$F$68+'Instrumentos Financeiros'!$F$11+1),PMT(((1+'Instrumentos Financeiros'!$I$43)^(1/12)-1),$F$11,-$I$68),0)</f>
        <v>76636.661022032335</v>
      </c>
      <c r="AO250" s="1312">
        <f t="shared" si="168"/>
        <v>46259.04154962195</v>
      </c>
      <c r="AP250" s="1312">
        <f>AQ249*((1+'Instrumentos Financeiros'!$I$43)^(1/12)-1)</f>
        <v>30377.619472410384</v>
      </c>
      <c r="AQ250" s="1312">
        <f t="shared" si="137"/>
        <v>6979074.8157244492</v>
      </c>
      <c r="AR250" s="1312">
        <f>IF(AND(C250&gt;$F$69,'Instrumentos Financeiros'!C250&lt;'Instrumentos Financeiros'!$F$69+'Instrumentos Financeiros'!$F$11+1),PMT(((1+'Instrumentos Financeiros'!$I$43)^(1/12)-1),$F$11,-$I$69),0)</f>
        <v>0</v>
      </c>
      <c r="AS250" s="1312">
        <f t="shared" si="169"/>
        <v>0</v>
      </c>
      <c r="AT250" s="1312">
        <f>AU249*((1+'Instrumentos Financeiros'!$I$43)^(1/12)-1)</f>
        <v>0</v>
      </c>
      <c r="AU250" s="1312">
        <f t="shared" si="138"/>
        <v>0</v>
      </c>
      <c r="AV250" s="1312">
        <f>IF(AND(C250&gt;$F$70,'Instrumentos Financeiros'!C250&lt;'Instrumentos Financeiros'!$F$70+'Instrumentos Financeiros'!$F$11+1),PMT(((1+'Instrumentos Financeiros'!$J$43)^(1/12)-1),$F$11,-$I$70),0)</f>
        <v>0</v>
      </c>
      <c r="AW250" s="1312">
        <f t="shared" si="170"/>
        <v>0</v>
      </c>
      <c r="AX250" s="1312">
        <f>AY249*((1+'Instrumentos Financeiros'!$J$43)^(1/12)-1)</f>
        <v>0</v>
      </c>
      <c r="AY250" s="1312">
        <f t="shared" si="139"/>
        <v>0</v>
      </c>
      <c r="AZ250" s="1312">
        <f>IF(AND(C250&gt;$F$71,'Instrumentos Financeiros'!C250&lt;'Instrumentos Financeiros'!$F$71+'Instrumentos Financeiros'!$F$11+1),PMT(((1+'Instrumentos Financeiros'!$J$43)^(1/12)-1),$F$11,-$I$71),0)</f>
        <v>0</v>
      </c>
      <c r="BA250" s="1312">
        <f t="shared" si="171"/>
        <v>0</v>
      </c>
      <c r="BB250" s="1312">
        <f>BC249*((1+'Instrumentos Financeiros'!$J$43)^(1/12)-1)</f>
        <v>0</v>
      </c>
      <c r="BC250" s="1312">
        <f t="shared" si="140"/>
        <v>0</v>
      </c>
      <c r="BD250" s="1312">
        <f>IF(AND(C250&gt;$F$72,'Instrumentos Financeiros'!C250&lt;'Instrumentos Financeiros'!$F$72+'Instrumentos Financeiros'!$F$11+1),PMT(((1+'Instrumentos Financeiros'!$J$43)^(1/12)-1),$F$11,-'Instrumentos Financeiros'!$G$7*$G$72),0)</f>
        <v>0</v>
      </c>
      <c r="BE250" s="1312">
        <f t="shared" si="172"/>
        <v>0</v>
      </c>
      <c r="BF250" s="1312">
        <f>BG249*((1+'Instrumentos Financeiros'!$J$43)^(1/12)-1)</f>
        <v>0</v>
      </c>
      <c r="BG250" s="1312">
        <f t="shared" si="141"/>
        <v>0</v>
      </c>
      <c r="BH250" s="1312">
        <f>IF(AND(C250&gt;$F$73,'Instrumentos Financeiros'!C250&lt;'Instrumentos Financeiros'!$F$73+'Instrumentos Financeiros'!$F$11+1),PMT(((1+'Instrumentos Financeiros'!$J$43)^(1/12)-1),$F$11,-$I$73),0)</f>
        <v>0</v>
      </c>
      <c r="BI250" s="1312">
        <f t="shared" si="173"/>
        <v>0</v>
      </c>
      <c r="BJ250" s="1312">
        <f>BK249*((1+'Instrumentos Financeiros'!$J$43)^(1/12)-1)</f>
        <v>0</v>
      </c>
      <c r="BK250" s="1312">
        <f t="shared" si="142"/>
        <v>0</v>
      </c>
      <c r="BL250" s="1312">
        <f>IF(AND(C250&gt;$F$77,'Instrumentos Financeiros'!C250&lt;'Instrumentos Financeiros'!$F$77+'Instrumentos Financeiros'!$F$12+1),PMT(((1+'Instrumentos Financeiros'!$K$43)^(1/12)-1),$F$12,-$I$77),0)</f>
        <v>368.57912678094596</v>
      </c>
      <c r="BM250" s="1312">
        <f t="shared" si="143"/>
        <v>219.61866907398371</v>
      </c>
      <c r="BN250" s="1312">
        <f>BO249*((1+'Instrumentos Financeiros'!$K$43)^(1/12)-1)</f>
        <v>148.96045770696225</v>
      </c>
      <c r="BO250" s="1312">
        <f t="shared" si="144"/>
        <v>34229.984858095602</v>
      </c>
      <c r="BP250" s="1312">
        <f>IF(AND(C250&gt;$F$78,'Instrumentos Financeiros'!C250&lt;'Instrumentos Financeiros'!$F$78+'Instrumentos Financeiros'!$F$12+1),PMT(((1+'Instrumentos Financeiros'!$L$43)^(1/12)-1),$F$12,-$I$78),0)</f>
        <v>368.57912678094596</v>
      </c>
      <c r="BQ250" s="1312">
        <f t="shared" si="145"/>
        <v>216.79422952714719</v>
      </c>
      <c r="BR250" s="1312">
        <f>BS249*((1+'Instrumentos Financeiros'!$L$43)^(1/12)-1)</f>
        <v>151.78489725379876</v>
      </c>
      <c r="BS250" s="1312">
        <f t="shared" si="146"/>
        <v>34886.008301410191</v>
      </c>
      <c r="BT250" s="1312">
        <f>IF(AND(C250&gt;$F$79,'Instrumentos Financeiros'!C250&lt;'Instrumentos Financeiros'!$F$79+'Instrumentos Financeiros'!$F$12+1),PMT(((1+'Instrumentos Financeiros'!$L$43)^(1/12)-1),$F$12,-$I$79),0)</f>
        <v>368.57912678094596</v>
      </c>
      <c r="BU250" s="1312">
        <f t="shared" si="147"/>
        <v>214.00611411790507</v>
      </c>
      <c r="BV250" s="1312">
        <f>BW249*((1+'Instrumentos Financeiros'!$L$43)^(1/12)-1)</f>
        <v>154.57301266304088</v>
      </c>
      <c r="BW250" s="1312">
        <f t="shared" si="148"/>
        <v>35533.594854706447</v>
      </c>
      <c r="BX250" s="1312">
        <f>IF(AND(C250&gt;$F$80,'Instrumentos Financeiros'!C250&lt;'Instrumentos Financeiros'!$F$80+'Instrumentos Financeiros'!$F$12+1),PMT(((1+'Instrumentos Financeiros'!$L$43)^(1/12)-1),$F$12,-$I$80),0)</f>
        <v>368.57912678094596</v>
      </c>
      <c r="BY250" s="1312">
        <f t="shared" si="149"/>
        <v>211.25385569411964</v>
      </c>
      <c r="BZ250" s="1312">
        <f>CA249*((1+'Instrumentos Financeiros'!$L$43)^(1/12)-1)</f>
        <v>157.32527108682632</v>
      </c>
      <c r="CA250" s="1312">
        <f t="shared" si="150"/>
        <v>36172.853021901275</v>
      </c>
      <c r="CB250" s="1312">
        <f>IF(AND(C250&gt;$F$83,'Instrumentos Financeiros'!C250&lt;'Instrumentos Financeiros'!$F$83+'Instrumentos Financeiros'!$F$13+1),PMT(((1+'Instrumentos Financeiros'!$P$43)^(1/12)-1),$F$13,-$I$83),0)</f>
        <v>0</v>
      </c>
      <c r="CC250" s="1312">
        <f t="shared" si="151"/>
        <v>0</v>
      </c>
      <c r="CD250" s="1312">
        <f>CE249*((1+'Instrumentos Financeiros'!$P$43)^(1/12)-1)</f>
        <v>0</v>
      </c>
      <c r="CE250" s="1312">
        <f t="shared" si="152"/>
        <v>0</v>
      </c>
      <c r="CF250" s="1312">
        <f>IF(AND(C250&gt;$F$84,'Instrumentos Financeiros'!C250&lt;'Instrumentos Financeiros'!$F$84+'Instrumentos Financeiros'!$F$13+1),PMT(((1+'Instrumentos Financeiros'!$Q$43)^(1/12)-1),$F$13,-$I$84),0)</f>
        <v>0</v>
      </c>
      <c r="CG250" s="1312">
        <f t="shared" si="153"/>
        <v>0</v>
      </c>
      <c r="CH250" s="1312">
        <f>CI249*((1+'Instrumentos Financeiros'!$Q$43)^(1/12)-1)</f>
        <v>0</v>
      </c>
      <c r="CI250" s="1312">
        <f t="shared" si="154"/>
        <v>0</v>
      </c>
      <c r="CJ250" s="1312">
        <f>IF(AND(C250&gt;$F$85,'Instrumentos Financeiros'!C250&lt;'Instrumentos Financeiros'!$F$85+'Instrumentos Financeiros'!$F$13+1),PMT(((1+'Instrumentos Financeiros'!$Q$43)^(1/12)-1),$F$13,-$I$85),0)</f>
        <v>0</v>
      </c>
      <c r="CK250" s="1312">
        <f t="shared" si="155"/>
        <v>0</v>
      </c>
      <c r="CL250" s="1312">
        <f>CM249*((1+'Instrumentos Financeiros'!$Q$43)^(1/12)-1)</f>
        <v>0</v>
      </c>
      <c r="CM250" s="1312">
        <f t="shared" si="156"/>
        <v>0</v>
      </c>
      <c r="CN250" s="1312">
        <f>IF(AND(C250&gt;$F$86,'Instrumentos Financeiros'!C250&lt;'Instrumentos Financeiros'!$F$86+'Instrumentos Financeiros'!$F$13+1),PMT(((1+'Instrumentos Financeiros'!$Q$43)^(1/12)-1),$F$13,-$I$86),0)</f>
        <v>0</v>
      </c>
      <c r="CO250" s="1312">
        <f t="shared" si="157"/>
        <v>0</v>
      </c>
      <c r="CP250" s="1312">
        <f>CQ249*((1+'Instrumentos Financeiros'!$Q$43)^(1/12)-1)</f>
        <v>0</v>
      </c>
      <c r="CQ250" s="1312">
        <f t="shared" si="158"/>
        <v>0</v>
      </c>
      <c r="CR250" s="1312">
        <f t="shared" si="127"/>
        <v>399789.55023115332</v>
      </c>
      <c r="CS250" s="1312">
        <f t="shared" si="127"/>
        <v>253148.07035232772</v>
      </c>
      <c r="CT250" s="1312">
        <f t="shared" si="127"/>
        <v>146641.47987882551</v>
      </c>
      <c r="CU250" s="1312">
        <f t="shared" si="127"/>
        <v>34046677.938213676</v>
      </c>
    </row>
    <row r="251" spans="3:99" x14ac:dyDescent="0.35">
      <c r="C251" s="1315">
        <f t="shared" si="128"/>
        <v>158</v>
      </c>
      <c r="D251" s="1312">
        <f>IF(AND(C251&gt;$F$59,'Instrumentos Financeiros'!C251&lt;'Instrumentos Financeiros'!$F$59+'Instrumentos Financeiros'!$F$11+1),PMT(((1+'Instrumentos Financeiros'!$G$43)^(1/12)-1),$F$11,-$I$59),0)</f>
        <v>91768.589635900134</v>
      </c>
      <c r="E251" s="1312">
        <f t="shared" si="125"/>
        <v>63862.302025586177</v>
      </c>
      <c r="F251" s="1312">
        <f>G250*((1+'Instrumentos Financeiros'!$G$43)^(1/12)-1)</f>
        <v>27906.287610313961</v>
      </c>
      <c r="G251" s="1312">
        <f t="shared" si="159"/>
        <v>6772896.8958979603</v>
      </c>
      <c r="H251" s="1312">
        <f>IF(AND(C251&gt;$F$60,'Instrumentos Financeiros'!C251&lt;'Instrumentos Financeiros'!$F$60+'Instrumentos Financeiros'!$F$11+1),PMT(((1+'Instrumentos Financeiros'!$G$43)^(1/12)-1),$F$11,-$I$60),0)</f>
        <v>0</v>
      </c>
      <c r="I251" s="1312">
        <f t="shared" si="160"/>
        <v>0</v>
      </c>
      <c r="J251" s="1312">
        <f>K250*((1+'Instrumentos Financeiros'!$G$43)^(1/12)-1)</f>
        <v>0</v>
      </c>
      <c r="K251" s="1312">
        <f t="shared" si="129"/>
        <v>0</v>
      </c>
      <c r="L251" s="1312">
        <f>IF(AND(C251&gt;$F$61,'Instrumentos Financeiros'!C251&lt;'Instrumentos Financeiros'!$F$61+'Instrumentos Financeiros'!$F$11+1),PMT(((1+'Instrumentos Financeiros'!$G$43)^(1/12)-1),$F$11,-$I$61),0)</f>
        <v>0</v>
      </c>
      <c r="M251" s="1312">
        <f t="shared" si="161"/>
        <v>0</v>
      </c>
      <c r="N251" s="1312">
        <f>O250*((1+'Instrumentos Financeiros'!$G$43)^(1/12)-1)</f>
        <v>0</v>
      </c>
      <c r="O251" s="1312">
        <f t="shared" si="130"/>
        <v>0</v>
      </c>
      <c r="P251" s="1312">
        <f>IF(AND(C251&gt;$F$62,'Instrumentos Financeiros'!C251&lt;'Instrumentos Financeiros'!$F$62+'Instrumentos Financeiros'!$F$11+1),PMT(((1+'Instrumentos Financeiros'!$H$43)^(1/12)-1),$F$11,-$I$62),0)</f>
        <v>0</v>
      </c>
      <c r="Q251" s="1312">
        <f t="shared" si="162"/>
        <v>0</v>
      </c>
      <c r="R251" s="1312">
        <f>S250*((1+'Instrumentos Financeiros'!$H$43)^(1/12)-1)</f>
        <v>0</v>
      </c>
      <c r="S251" s="1312">
        <f t="shared" si="131"/>
        <v>0</v>
      </c>
      <c r="T251" s="1312">
        <f>IF(AND(C251&gt;$F$63,'Instrumentos Financeiros'!C251&lt;'Instrumentos Financeiros'!$F$63+'Instrumentos Financeiros'!$F$11+1),PMT(((1+'Instrumentos Financeiros'!$H$43)^(1/12)-1),$F$11,-$I$63),0)</f>
        <v>0</v>
      </c>
      <c r="U251" s="1312">
        <f t="shared" si="163"/>
        <v>0</v>
      </c>
      <c r="V251" s="1312">
        <f>W250*((1+'Instrumentos Financeiros'!$H$43)^(1/12)-1)</f>
        <v>0</v>
      </c>
      <c r="W251" s="1312">
        <f t="shared" si="132"/>
        <v>0</v>
      </c>
      <c r="X251" s="1312">
        <f>IF(AND(C251&gt;$F$64,'Instrumentos Financeiros'!C251&lt;'Instrumentos Financeiros'!$F$64+'Instrumentos Financeiros'!$F$11+1),PMT(((1+'Instrumentos Financeiros'!$H$43)^(1/12)-1),$F$11,-$I$64),0)</f>
        <v>0</v>
      </c>
      <c r="Y251" s="1312">
        <f t="shared" si="164"/>
        <v>0</v>
      </c>
      <c r="Z251" s="1312">
        <f>AA250*((1+'Instrumentos Financeiros'!$H$43)^(1/12)-1)</f>
        <v>0</v>
      </c>
      <c r="AA251" s="1312">
        <f t="shared" si="133"/>
        <v>0</v>
      </c>
      <c r="AB251" s="1312">
        <f>IF(AND(C251&gt;$F$65,'Instrumentos Financeiros'!C251&lt;'Instrumentos Financeiros'!$F$65+'Instrumentos Financeiros'!$F$11+1),PMT(((1+'Instrumentos Financeiros'!$H$43)^(1/12)-1),$F$11,-$I$65),0)</f>
        <v>76636.661022032335</v>
      </c>
      <c r="AC251" s="1312">
        <f t="shared" si="165"/>
        <v>48298.660583654855</v>
      </c>
      <c r="AD251" s="1312">
        <f>AE250*((1+'Instrumentos Financeiros'!$H$43)^(1/12)-1)</f>
        <v>28338.000438377476</v>
      </c>
      <c r="AE251" s="1312">
        <f t="shared" si="134"/>
        <v>6505339.0959230103</v>
      </c>
      <c r="AF251" s="1312">
        <f>IF(AND(C251&gt;$F$66,'Instrumentos Financeiros'!C251&lt;'Instrumentos Financeiros'!$F$66+'Instrumentos Financeiros'!$F$11+1),PMT(((1+'Instrumentos Financeiros'!$I$43)^(1/12)-1),$F$11,-$I$66),0)</f>
        <v>76636.661022032335</v>
      </c>
      <c r="AG251" s="1312">
        <f t="shared" si="166"/>
        <v>47677.508258185873</v>
      </c>
      <c r="AH251" s="1312">
        <f>AI250*((1+'Instrumentos Financeiros'!$I$43)^(1/12)-1)</f>
        <v>28959.152763846465</v>
      </c>
      <c r="AI251" s="1312">
        <f t="shared" si="135"/>
        <v>6649612.1386345932</v>
      </c>
      <c r="AJ251" s="1312">
        <f>IF(AND(C251&gt;$F$67,'Instrumentos Financeiros'!C251&lt;'Instrumentos Financeiros'!$F$67+'Instrumentos Financeiros'!$F$11+1),PMT(((1+'Instrumentos Financeiros'!$I$43)^(1/12)-1),$F$11,-$I$67),0)</f>
        <v>76636.661022032335</v>
      </c>
      <c r="AK251" s="1312">
        <f t="shared" si="167"/>
        <v>47064.344357380702</v>
      </c>
      <c r="AL251" s="1312">
        <f>AM250*((1+'Instrumentos Financeiros'!$I$43)^(1/12)-1)</f>
        <v>29572.316664651637</v>
      </c>
      <c r="AM251" s="1312">
        <f t="shared" si="136"/>
        <v>6792029.735772741</v>
      </c>
      <c r="AN251" s="1312">
        <f>IF(AND(C251&gt;$F$68,'Instrumentos Financeiros'!C251&lt;'Instrumentos Financeiros'!$F$68+'Instrumentos Financeiros'!$F$11+1),PMT(((1+'Instrumentos Financeiros'!$I$43)^(1/12)-1),$F$11,-$I$68),0)</f>
        <v>76636.661022032335</v>
      </c>
      <c r="AO251" s="1312">
        <f t="shared" si="168"/>
        <v>46459.066144879849</v>
      </c>
      <c r="AP251" s="1312">
        <f>AQ250*((1+'Instrumentos Financeiros'!$I$43)^(1/12)-1)</f>
        <v>30177.594877152489</v>
      </c>
      <c r="AQ251" s="1312">
        <f t="shared" si="137"/>
        <v>6932615.7495795693</v>
      </c>
      <c r="AR251" s="1312">
        <f>IF(AND(C251&gt;$F$69,'Instrumentos Financeiros'!C251&lt;'Instrumentos Financeiros'!$F$69+'Instrumentos Financeiros'!$F$11+1),PMT(((1+'Instrumentos Financeiros'!$I$43)^(1/12)-1),$F$11,-$I$69),0)</f>
        <v>0</v>
      </c>
      <c r="AS251" s="1312">
        <f t="shared" si="169"/>
        <v>0</v>
      </c>
      <c r="AT251" s="1312">
        <f>AU250*((1+'Instrumentos Financeiros'!$I$43)^(1/12)-1)</f>
        <v>0</v>
      </c>
      <c r="AU251" s="1312">
        <f t="shared" si="138"/>
        <v>0</v>
      </c>
      <c r="AV251" s="1312">
        <f>IF(AND(C251&gt;$F$70,'Instrumentos Financeiros'!C251&lt;'Instrumentos Financeiros'!$F$70+'Instrumentos Financeiros'!$F$11+1),PMT(((1+'Instrumentos Financeiros'!$J$43)^(1/12)-1),$F$11,-$I$70),0)</f>
        <v>0</v>
      </c>
      <c r="AW251" s="1312">
        <f t="shared" si="170"/>
        <v>0</v>
      </c>
      <c r="AX251" s="1312">
        <f>AY250*((1+'Instrumentos Financeiros'!$J$43)^(1/12)-1)</f>
        <v>0</v>
      </c>
      <c r="AY251" s="1312">
        <f t="shared" si="139"/>
        <v>0</v>
      </c>
      <c r="AZ251" s="1312">
        <f>IF(AND(C251&gt;$F$71,'Instrumentos Financeiros'!C251&lt;'Instrumentos Financeiros'!$F$71+'Instrumentos Financeiros'!$F$11+1),PMT(((1+'Instrumentos Financeiros'!$J$43)^(1/12)-1),$F$11,-$I$71),0)</f>
        <v>0</v>
      </c>
      <c r="BA251" s="1312">
        <f t="shared" si="171"/>
        <v>0</v>
      </c>
      <c r="BB251" s="1312">
        <f>BC250*((1+'Instrumentos Financeiros'!$J$43)^(1/12)-1)</f>
        <v>0</v>
      </c>
      <c r="BC251" s="1312">
        <f t="shared" si="140"/>
        <v>0</v>
      </c>
      <c r="BD251" s="1312">
        <f>IF(AND(C251&gt;$F$72,'Instrumentos Financeiros'!C251&lt;'Instrumentos Financeiros'!$F$72+'Instrumentos Financeiros'!$F$11+1),PMT(((1+'Instrumentos Financeiros'!$J$43)^(1/12)-1),$F$11,-'Instrumentos Financeiros'!$G$7*$G$72),0)</f>
        <v>0</v>
      </c>
      <c r="BE251" s="1312">
        <f t="shared" si="172"/>
        <v>0</v>
      </c>
      <c r="BF251" s="1312">
        <f>BG250*((1+'Instrumentos Financeiros'!$J$43)^(1/12)-1)</f>
        <v>0</v>
      </c>
      <c r="BG251" s="1312">
        <f t="shared" si="141"/>
        <v>0</v>
      </c>
      <c r="BH251" s="1312">
        <f>IF(AND(C251&gt;$F$73,'Instrumentos Financeiros'!C251&lt;'Instrumentos Financeiros'!$F$73+'Instrumentos Financeiros'!$F$11+1),PMT(((1+'Instrumentos Financeiros'!$J$43)^(1/12)-1),$F$11,-$I$73),0)</f>
        <v>0</v>
      </c>
      <c r="BI251" s="1312">
        <f t="shared" si="173"/>
        <v>0</v>
      </c>
      <c r="BJ251" s="1312">
        <f>BK250*((1+'Instrumentos Financeiros'!$J$43)^(1/12)-1)</f>
        <v>0</v>
      </c>
      <c r="BK251" s="1312">
        <f t="shared" si="142"/>
        <v>0</v>
      </c>
      <c r="BL251" s="1312">
        <f>IF(AND(C251&gt;$F$77,'Instrumentos Financeiros'!C251&lt;'Instrumentos Financeiros'!$F$77+'Instrumentos Financeiros'!$F$12+1),PMT(((1+'Instrumentos Financeiros'!$K$43)^(1/12)-1),$F$12,-$I$77),0)</f>
        <v>368.57912678094596</v>
      </c>
      <c r="BM251" s="1312">
        <f t="shared" si="143"/>
        <v>220.56830257093972</v>
      </c>
      <c r="BN251" s="1312">
        <f>BO250*((1+'Instrumentos Financeiros'!$K$43)^(1/12)-1)</f>
        <v>148.01082421000623</v>
      </c>
      <c r="BO251" s="1312">
        <f t="shared" si="144"/>
        <v>34009.416555524665</v>
      </c>
      <c r="BP251" s="1312">
        <f>IF(AND(C251&gt;$F$78,'Instrumentos Financeiros'!C251&lt;'Instrumentos Financeiros'!$F$78+'Instrumentos Financeiros'!$F$12+1),PMT(((1+'Instrumentos Financeiros'!$L$43)^(1/12)-1),$F$12,-$I$78),0)</f>
        <v>368.57912678094596</v>
      </c>
      <c r="BQ251" s="1312">
        <f t="shared" si="145"/>
        <v>217.73165011699876</v>
      </c>
      <c r="BR251" s="1312">
        <f>BS250*((1+'Instrumentos Financeiros'!$L$43)^(1/12)-1)</f>
        <v>150.84747666394719</v>
      </c>
      <c r="BS251" s="1312">
        <f t="shared" si="146"/>
        <v>34668.276651293192</v>
      </c>
      <c r="BT251" s="1312">
        <f>IF(AND(C251&gt;$F$79,'Instrumentos Financeiros'!C251&lt;'Instrumentos Financeiros'!$F$79+'Instrumentos Financeiros'!$F$12+1),PMT(((1+'Instrumentos Financeiros'!$L$43)^(1/12)-1),$F$12,-$I$79),0)</f>
        <v>368.57912678094596</v>
      </c>
      <c r="BU251" s="1312">
        <f t="shared" si="147"/>
        <v>214.93147886661544</v>
      </c>
      <c r="BV251" s="1312">
        <f>BW250*((1+'Instrumentos Financeiros'!$L$43)^(1/12)-1)</f>
        <v>153.64764791433052</v>
      </c>
      <c r="BW251" s="1312">
        <f t="shared" si="148"/>
        <v>35318.663375839831</v>
      </c>
      <c r="BX251" s="1312">
        <f>IF(AND(C251&gt;$F$80,'Instrumentos Financeiros'!C251&lt;'Instrumentos Financeiros'!$F$80+'Instrumentos Financeiros'!$F$12+1),PMT(((1+'Instrumentos Financeiros'!$L$43)^(1/12)-1),$F$12,-$I$80),0)</f>
        <v>368.57912678094596</v>
      </c>
      <c r="BY251" s="1312">
        <f t="shared" si="149"/>
        <v>212.16731964768121</v>
      </c>
      <c r="BZ251" s="1312">
        <f>CA250*((1+'Instrumentos Financeiros'!$L$43)^(1/12)-1)</f>
        <v>156.41180713326474</v>
      </c>
      <c r="CA251" s="1312">
        <f t="shared" si="150"/>
        <v>35960.685702253591</v>
      </c>
      <c r="CB251" s="1312">
        <f>IF(AND(C251&gt;$F$83,'Instrumentos Financeiros'!C251&lt;'Instrumentos Financeiros'!$F$83+'Instrumentos Financeiros'!$F$13+1),PMT(((1+'Instrumentos Financeiros'!$P$43)^(1/12)-1),$F$13,-$I$83),0)</f>
        <v>0</v>
      </c>
      <c r="CC251" s="1312">
        <f t="shared" si="151"/>
        <v>0</v>
      </c>
      <c r="CD251" s="1312">
        <f>CE250*((1+'Instrumentos Financeiros'!$P$43)^(1/12)-1)</f>
        <v>0</v>
      </c>
      <c r="CE251" s="1312">
        <f t="shared" si="152"/>
        <v>0</v>
      </c>
      <c r="CF251" s="1312">
        <f>IF(AND(C251&gt;$F$84,'Instrumentos Financeiros'!C251&lt;'Instrumentos Financeiros'!$F$84+'Instrumentos Financeiros'!$F$13+1),PMT(((1+'Instrumentos Financeiros'!$Q$43)^(1/12)-1),$F$13,-$I$84),0)</f>
        <v>0</v>
      </c>
      <c r="CG251" s="1312">
        <f t="shared" si="153"/>
        <v>0</v>
      </c>
      <c r="CH251" s="1312">
        <f>CI250*((1+'Instrumentos Financeiros'!$Q$43)^(1/12)-1)</f>
        <v>0</v>
      </c>
      <c r="CI251" s="1312">
        <f t="shared" si="154"/>
        <v>0</v>
      </c>
      <c r="CJ251" s="1312">
        <f>IF(AND(C251&gt;$F$85,'Instrumentos Financeiros'!C251&lt;'Instrumentos Financeiros'!$F$85+'Instrumentos Financeiros'!$F$13+1),PMT(((1+'Instrumentos Financeiros'!$Q$43)^(1/12)-1),$F$13,-$I$85),0)</f>
        <v>0</v>
      </c>
      <c r="CK251" s="1312">
        <f t="shared" si="155"/>
        <v>0</v>
      </c>
      <c r="CL251" s="1312">
        <f>CM250*((1+'Instrumentos Financeiros'!$Q$43)^(1/12)-1)</f>
        <v>0</v>
      </c>
      <c r="CM251" s="1312">
        <f t="shared" si="156"/>
        <v>0</v>
      </c>
      <c r="CN251" s="1312">
        <f>IF(AND(C251&gt;$F$86,'Instrumentos Financeiros'!C251&lt;'Instrumentos Financeiros'!$F$86+'Instrumentos Financeiros'!$F$13+1),PMT(((1+'Instrumentos Financeiros'!$Q$43)^(1/12)-1),$F$13,-$I$86),0)</f>
        <v>0</v>
      </c>
      <c r="CO251" s="1312">
        <f t="shared" si="157"/>
        <v>0</v>
      </c>
      <c r="CP251" s="1312">
        <f>CQ250*((1+'Instrumentos Financeiros'!$Q$43)^(1/12)-1)</f>
        <v>0</v>
      </c>
      <c r="CQ251" s="1312">
        <f t="shared" si="158"/>
        <v>0</v>
      </c>
      <c r="CR251" s="1312">
        <f t="shared" si="127"/>
        <v>399789.55023115332</v>
      </c>
      <c r="CS251" s="1312">
        <f t="shared" si="127"/>
        <v>254227.28012088966</v>
      </c>
      <c r="CT251" s="1312">
        <f t="shared" si="127"/>
        <v>145562.27011026358</v>
      </c>
      <c r="CU251" s="1312">
        <f t="shared" si="127"/>
        <v>33792450.658092789</v>
      </c>
    </row>
    <row r="252" spans="3:99" x14ac:dyDescent="0.35">
      <c r="C252" s="1315">
        <f t="shared" si="128"/>
        <v>159</v>
      </c>
      <c r="D252" s="1312">
        <f>IF(AND(C252&gt;$F$59,'Instrumentos Financeiros'!C252&lt;'Instrumentos Financeiros'!$F$59+'Instrumentos Financeiros'!$F$11+1),PMT(((1+'Instrumentos Financeiros'!$G$43)^(1/12)-1),$F$11,-$I$59),0)</f>
        <v>91768.589635900134</v>
      </c>
      <c r="E252" s="1312">
        <f t="shared" si="125"/>
        <v>64122.975206575793</v>
      </c>
      <c r="F252" s="1312">
        <f>G251*((1+'Instrumentos Financeiros'!$G$43)^(1/12)-1)</f>
        <v>27645.614429324345</v>
      </c>
      <c r="G252" s="1312">
        <f t="shared" si="159"/>
        <v>6708773.9206913849</v>
      </c>
      <c r="H252" s="1312">
        <f>IF(AND(C252&gt;$F$60,'Instrumentos Financeiros'!C252&lt;'Instrumentos Financeiros'!$F$60+'Instrumentos Financeiros'!$F$11+1),PMT(((1+'Instrumentos Financeiros'!$G$43)^(1/12)-1),$F$11,-$I$60),0)</f>
        <v>0</v>
      </c>
      <c r="I252" s="1312">
        <f t="shared" si="160"/>
        <v>0</v>
      </c>
      <c r="J252" s="1312">
        <f>K251*((1+'Instrumentos Financeiros'!$G$43)^(1/12)-1)</f>
        <v>0</v>
      </c>
      <c r="K252" s="1312">
        <f t="shared" si="129"/>
        <v>0</v>
      </c>
      <c r="L252" s="1312">
        <f>IF(AND(C252&gt;$F$61,'Instrumentos Financeiros'!C252&lt;'Instrumentos Financeiros'!$F$61+'Instrumentos Financeiros'!$F$11+1),PMT(((1+'Instrumentos Financeiros'!$G$43)^(1/12)-1),$F$11,-$I$61),0)</f>
        <v>0</v>
      </c>
      <c r="M252" s="1312">
        <f t="shared" si="161"/>
        <v>0</v>
      </c>
      <c r="N252" s="1312">
        <f>O251*((1+'Instrumentos Financeiros'!$G$43)^(1/12)-1)</f>
        <v>0</v>
      </c>
      <c r="O252" s="1312">
        <f t="shared" si="130"/>
        <v>0</v>
      </c>
      <c r="P252" s="1312">
        <f>IF(AND(C252&gt;$F$62,'Instrumentos Financeiros'!C252&lt;'Instrumentos Financeiros'!$F$62+'Instrumentos Financeiros'!$F$11+1),PMT(((1+'Instrumentos Financeiros'!$H$43)^(1/12)-1),$F$11,-$I$62),0)</f>
        <v>0</v>
      </c>
      <c r="Q252" s="1312">
        <f t="shared" si="162"/>
        <v>0</v>
      </c>
      <c r="R252" s="1312">
        <f>S251*((1+'Instrumentos Financeiros'!$H$43)^(1/12)-1)</f>
        <v>0</v>
      </c>
      <c r="S252" s="1312">
        <f t="shared" si="131"/>
        <v>0</v>
      </c>
      <c r="T252" s="1312">
        <f>IF(AND(C252&gt;$F$63,'Instrumentos Financeiros'!C252&lt;'Instrumentos Financeiros'!$F$63+'Instrumentos Financeiros'!$F$11+1),PMT(((1+'Instrumentos Financeiros'!$H$43)^(1/12)-1),$F$11,-$I$63),0)</f>
        <v>0</v>
      </c>
      <c r="U252" s="1312">
        <f t="shared" si="163"/>
        <v>0</v>
      </c>
      <c r="V252" s="1312">
        <f>W251*((1+'Instrumentos Financeiros'!$H$43)^(1/12)-1)</f>
        <v>0</v>
      </c>
      <c r="W252" s="1312">
        <f t="shared" si="132"/>
        <v>0</v>
      </c>
      <c r="X252" s="1312">
        <f>IF(AND(C252&gt;$F$64,'Instrumentos Financeiros'!C252&lt;'Instrumentos Financeiros'!$F$64+'Instrumentos Financeiros'!$F$11+1),PMT(((1+'Instrumentos Financeiros'!$H$43)^(1/12)-1),$F$11,-$I$64),0)</f>
        <v>0</v>
      </c>
      <c r="Y252" s="1312">
        <f t="shared" si="164"/>
        <v>0</v>
      </c>
      <c r="Z252" s="1312">
        <f>AA251*((1+'Instrumentos Financeiros'!$H$43)^(1/12)-1)</f>
        <v>0</v>
      </c>
      <c r="AA252" s="1312">
        <f t="shared" si="133"/>
        <v>0</v>
      </c>
      <c r="AB252" s="1312">
        <f>IF(AND(C252&gt;$F$65,'Instrumentos Financeiros'!C252&lt;'Instrumentos Financeiros'!$F$65+'Instrumentos Financeiros'!$F$11+1),PMT(((1+'Instrumentos Financeiros'!$H$43)^(1/12)-1),$F$11,-$I$65),0)</f>
        <v>76636.661022032335</v>
      </c>
      <c r="AC252" s="1312">
        <f t="shared" si="165"/>
        <v>48507.504513643784</v>
      </c>
      <c r="AD252" s="1312">
        <f>AE251*((1+'Instrumentos Financeiros'!$H$43)^(1/12)-1)</f>
        <v>28129.156508388554</v>
      </c>
      <c r="AE252" s="1312">
        <f t="shared" si="134"/>
        <v>6456831.5914093666</v>
      </c>
      <c r="AF252" s="1312">
        <f>IF(AND(C252&gt;$F$66,'Instrumentos Financeiros'!C252&lt;'Instrumentos Financeiros'!$F$66+'Instrumentos Financeiros'!$F$11+1),PMT(((1+'Instrumentos Financeiros'!$I$43)^(1/12)-1),$F$11,-$I$66),0)</f>
        <v>76636.661022032335</v>
      </c>
      <c r="AG252" s="1312">
        <f t="shared" si="166"/>
        <v>47883.666318811025</v>
      </c>
      <c r="AH252" s="1312">
        <f>AI251*((1+'Instrumentos Financeiros'!$I$43)^(1/12)-1)</f>
        <v>28752.994703221306</v>
      </c>
      <c r="AI252" s="1312">
        <f t="shared" si="135"/>
        <v>6601728.4723157817</v>
      </c>
      <c r="AJ252" s="1312">
        <f>IF(AND(C252&gt;$F$67,'Instrumentos Financeiros'!C252&lt;'Instrumentos Financeiros'!$F$67+'Instrumentos Financeiros'!$F$11+1),PMT(((1+'Instrumentos Financeiros'!$I$43)^(1/12)-1),$F$11,-$I$67),0)</f>
        <v>76636.661022032335</v>
      </c>
      <c r="AK252" s="1312">
        <f t="shared" si="167"/>
        <v>47267.85109067661</v>
      </c>
      <c r="AL252" s="1312">
        <f>AM251*((1+'Instrumentos Financeiros'!$I$43)^(1/12)-1)</f>
        <v>29368.809931355725</v>
      </c>
      <c r="AM252" s="1312">
        <f t="shared" si="136"/>
        <v>6744761.8846820649</v>
      </c>
      <c r="AN252" s="1312">
        <f>IF(AND(C252&gt;$F$68,'Instrumentos Financeiros'!C252&lt;'Instrumentos Financeiros'!$F$68+'Instrumentos Financeiros'!$F$11+1),PMT(((1+'Instrumentos Financeiros'!$I$43)^(1/12)-1),$F$11,-$I$68),0)</f>
        <v>76636.661022032335</v>
      </c>
      <c r="AO252" s="1312">
        <f t="shared" si="168"/>
        <v>46659.955648647898</v>
      </c>
      <c r="AP252" s="1312">
        <f>AQ251*((1+'Instrumentos Financeiros'!$I$43)^(1/12)-1)</f>
        <v>29976.705373384433</v>
      </c>
      <c r="AQ252" s="1312">
        <f t="shared" si="137"/>
        <v>6885955.7939309217</v>
      </c>
      <c r="AR252" s="1312">
        <f>IF(AND(C252&gt;$F$69,'Instrumentos Financeiros'!C252&lt;'Instrumentos Financeiros'!$F$69+'Instrumentos Financeiros'!$F$11+1),PMT(((1+'Instrumentos Financeiros'!$I$43)^(1/12)-1),$F$11,-$I$69),0)</f>
        <v>0</v>
      </c>
      <c r="AS252" s="1312">
        <f t="shared" si="169"/>
        <v>0</v>
      </c>
      <c r="AT252" s="1312">
        <f>AU251*((1+'Instrumentos Financeiros'!$I$43)^(1/12)-1)</f>
        <v>0</v>
      </c>
      <c r="AU252" s="1312">
        <f t="shared" si="138"/>
        <v>0</v>
      </c>
      <c r="AV252" s="1312">
        <f>IF(AND(C252&gt;$F$70,'Instrumentos Financeiros'!C252&lt;'Instrumentos Financeiros'!$F$70+'Instrumentos Financeiros'!$F$11+1),PMT(((1+'Instrumentos Financeiros'!$J$43)^(1/12)-1),$F$11,-$I$70),0)</f>
        <v>0</v>
      </c>
      <c r="AW252" s="1312">
        <f t="shared" si="170"/>
        <v>0</v>
      </c>
      <c r="AX252" s="1312">
        <f>AY251*((1+'Instrumentos Financeiros'!$J$43)^(1/12)-1)</f>
        <v>0</v>
      </c>
      <c r="AY252" s="1312">
        <f t="shared" si="139"/>
        <v>0</v>
      </c>
      <c r="AZ252" s="1312">
        <f>IF(AND(C252&gt;$F$71,'Instrumentos Financeiros'!C252&lt;'Instrumentos Financeiros'!$F$71+'Instrumentos Financeiros'!$F$11+1),PMT(((1+'Instrumentos Financeiros'!$J$43)^(1/12)-1),$F$11,-$I$71),0)</f>
        <v>0</v>
      </c>
      <c r="BA252" s="1312">
        <f t="shared" si="171"/>
        <v>0</v>
      </c>
      <c r="BB252" s="1312">
        <f>BC251*((1+'Instrumentos Financeiros'!$J$43)^(1/12)-1)</f>
        <v>0</v>
      </c>
      <c r="BC252" s="1312">
        <f t="shared" si="140"/>
        <v>0</v>
      </c>
      <c r="BD252" s="1312">
        <f>IF(AND(C252&gt;$F$72,'Instrumentos Financeiros'!C252&lt;'Instrumentos Financeiros'!$F$72+'Instrumentos Financeiros'!$F$11+1),PMT(((1+'Instrumentos Financeiros'!$J$43)^(1/12)-1),$F$11,-'Instrumentos Financeiros'!$G$7*$G$72),0)</f>
        <v>0</v>
      </c>
      <c r="BE252" s="1312">
        <f t="shared" si="172"/>
        <v>0</v>
      </c>
      <c r="BF252" s="1312">
        <f>BG251*((1+'Instrumentos Financeiros'!$J$43)^(1/12)-1)</f>
        <v>0</v>
      </c>
      <c r="BG252" s="1312">
        <f t="shared" si="141"/>
        <v>0</v>
      </c>
      <c r="BH252" s="1312">
        <f>IF(AND(C252&gt;$F$73,'Instrumentos Financeiros'!C252&lt;'Instrumentos Financeiros'!$F$73+'Instrumentos Financeiros'!$F$11+1),PMT(((1+'Instrumentos Financeiros'!$J$43)^(1/12)-1),$F$11,-$I$73),0)</f>
        <v>0</v>
      </c>
      <c r="BI252" s="1312">
        <f t="shared" si="173"/>
        <v>0</v>
      </c>
      <c r="BJ252" s="1312">
        <f>BK251*((1+'Instrumentos Financeiros'!$J$43)^(1/12)-1)</f>
        <v>0</v>
      </c>
      <c r="BK252" s="1312">
        <f t="shared" si="142"/>
        <v>0</v>
      </c>
      <c r="BL252" s="1312">
        <f>IF(AND(C252&gt;$F$77,'Instrumentos Financeiros'!C252&lt;'Instrumentos Financeiros'!$F$77+'Instrumentos Financeiros'!$F$12+1),PMT(((1+'Instrumentos Financeiros'!$K$43)^(1/12)-1),$F$12,-$I$77),0)</f>
        <v>368.57912678094596</v>
      </c>
      <c r="BM252" s="1312">
        <f t="shared" si="143"/>
        <v>221.52204229339262</v>
      </c>
      <c r="BN252" s="1312">
        <f>BO251*((1+'Instrumentos Financeiros'!$K$43)^(1/12)-1)</f>
        <v>147.05708448755334</v>
      </c>
      <c r="BO252" s="1312">
        <f t="shared" si="144"/>
        <v>33787.894513231273</v>
      </c>
      <c r="BP252" s="1312">
        <f>IF(AND(C252&gt;$F$78,'Instrumentos Financeiros'!C252&lt;'Instrumentos Financeiros'!$F$78+'Instrumentos Financeiros'!$F$12+1),PMT(((1+'Instrumentos Financeiros'!$L$43)^(1/12)-1),$F$12,-$I$78),0)</f>
        <v>368.57912678094596</v>
      </c>
      <c r="BQ252" s="1312">
        <f t="shared" si="145"/>
        <v>218.67312412360499</v>
      </c>
      <c r="BR252" s="1312">
        <f>BS251*((1+'Instrumentos Financeiros'!$L$43)^(1/12)-1)</f>
        <v>149.90600265734096</v>
      </c>
      <c r="BS252" s="1312">
        <f t="shared" si="146"/>
        <v>34449.603527169587</v>
      </c>
      <c r="BT252" s="1312">
        <f>IF(AND(C252&gt;$F$79,'Instrumentos Financeiros'!C252&lt;'Instrumentos Financeiros'!$F$79+'Instrumentos Financeiros'!$F$12+1),PMT(((1+'Instrumentos Financeiros'!$L$43)^(1/12)-1),$F$12,-$I$79),0)</f>
        <v>368.57912678094596</v>
      </c>
      <c r="BU252" s="1312">
        <f t="shared" si="147"/>
        <v>215.86084490249317</v>
      </c>
      <c r="BV252" s="1312">
        <f>BW251*((1+'Instrumentos Financeiros'!$L$43)^(1/12)-1)</f>
        <v>152.71828187845279</v>
      </c>
      <c r="BW252" s="1312">
        <f t="shared" si="148"/>
        <v>35102.802530937341</v>
      </c>
      <c r="BX252" s="1312">
        <f>IF(AND(C252&gt;$F$80,'Instrumentos Financeiros'!C252&lt;'Instrumentos Financeiros'!$F$80+'Instrumentos Financeiros'!$F$12+1),PMT(((1+'Instrumentos Financeiros'!$L$43)^(1/12)-1),$F$12,-$I$80),0)</f>
        <v>368.57912678094596</v>
      </c>
      <c r="BY252" s="1312">
        <f t="shared" si="149"/>
        <v>213.08473342924339</v>
      </c>
      <c r="BZ252" s="1312">
        <f>CA251*((1+'Instrumentos Financeiros'!$L$43)^(1/12)-1)</f>
        <v>155.49439335170257</v>
      </c>
      <c r="CA252" s="1312">
        <f t="shared" si="150"/>
        <v>35747.60096882435</v>
      </c>
      <c r="CB252" s="1312">
        <f>IF(AND(C252&gt;$F$83,'Instrumentos Financeiros'!C252&lt;'Instrumentos Financeiros'!$F$83+'Instrumentos Financeiros'!$F$13+1),PMT(((1+'Instrumentos Financeiros'!$P$43)^(1/12)-1),$F$13,-$I$83),0)</f>
        <v>0</v>
      </c>
      <c r="CC252" s="1312">
        <f t="shared" si="151"/>
        <v>0</v>
      </c>
      <c r="CD252" s="1312">
        <f>CE251*((1+'Instrumentos Financeiros'!$P$43)^(1/12)-1)</f>
        <v>0</v>
      </c>
      <c r="CE252" s="1312">
        <f t="shared" si="152"/>
        <v>0</v>
      </c>
      <c r="CF252" s="1312">
        <f>IF(AND(C252&gt;$F$84,'Instrumentos Financeiros'!C252&lt;'Instrumentos Financeiros'!$F$84+'Instrumentos Financeiros'!$F$13+1),PMT(((1+'Instrumentos Financeiros'!$Q$43)^(1/12)-1),$F$13,-$I$84),0)</f>
        <v>0</v>
      </c>
      <c r="CG252" s="1312">
        <f t="shared" si="153"/>
        <v>0</v>
      </c>
      <c r="CH252" s="1312">
        <f>CI251*((1+'Instrumentos Financeiros'!$Q$43)^(1/12)-1)</f>
        <v>0</v>
      </c>
      <c r="CI252" s="1312">
        <f t="shared" si="154"/>
        <v>0</v>
      </c>
      <c r="CJ252" s="1312">
        <f>IF(AND(C252&gt;$F$85,'Instrumentos Financeiros'!C252&lt;'Instrumentos Financeiros'!$F$85+'Instrumentos Financeiros'!$F$13+1),PMT(((1+'Instrumentos Financeiros'!$Q$43)^(1/12)-1),$F$13,-$I$85),0)</f>
        <v>0</v>
      </c>
      <c r="CK252" s="1312">
        <f t="shared" si="155"/>
        <v>0</v>
      </c>
      <c r="CL252" s="1312">
        <f>CM251*((1+'Instrumentos Financeiros'!$Q$43)^(1/12)-1)</f>
        <v>0</v>
      </c>
      <c r="CM252" s="1312">
        <f t="shared" si="156"/>
        <v>0</v>
      </c>
      <c r="CN252" s="1312">
        <f>IF(AND(C252&gt;$F$86,'Instrumentos Financeiros'!C252&lt;'Instrumentos Financeiros'!$F$86+'Instrumentos Financeiros'!$F$13+1),PMT(((1+'Instrumentos Financeiros'!$Q$43)^(1/12)-1),$F$13,-$I$86),0)</f>
        <v>0</v>
      </c>
      <c r="CO252" s="1312">
        <f t="shared" si="157"/>
        <v>0</v>
      </c>
      <c r="CP252" s="1312">
        <f>CQ251*((1+'Instrumentos Financeiros'!$Q$43)^(1/12)-1)</f>
        <v>0</v>
      </c>
      <c r="CQ252" s="1312">
        <f t="shared" si="158"/>
        <v>0</v>
      </c>
      <c r="CR252" s="1312">
        <f t="shared" si="127"/>
        <v>399789.55023115332</v>
      </c>
      <c r="CS252" s="1312">
        <f t="shared" si="127"/>
        <v>255311.09352310383</v>
      </c>
      <c r="CT252" s="1312">
        <f t="shared" si="127"/>
        <v>144478.4567080494</v>
      </c>
      <c r="CU252" s="1312">
        <f t="shared" si="127"/>
        <v>33537139.564569678</v>
      </c>
    </row>
    <row r="253" spans="3:99" x14ac:dyDescent="0.35">
      <c r="C253" s="1315">
        <f t="shared" si="128"/>
        <v>160</v>
      </c>
      <c r="D253" s="1312">
        <f>IF(AND(C253&gt;$F$59,'Instrumentos Financeiros'!C253&lt;'Instrumentos Financeiros'!$F$59+'Instrumentos Financeiros'!$F$11+1),PMT(((1+'Instrumentos Financeiros'!$G$43)^(1/12)-1),$F$11,-$I$59),0)</f>
        <v>91768.589635900134</v>
      </c>
      <c r="E253" s="1312">
        <f t="shared" si="125"/>
        <v>64384.712403504891</v>
      </c>
      <c r="F253" s="1312">
        <f>G252*((1+'Instrumentos Financeiros'!$G$43)^(1/12)-1)</f>
        <v>27383.877232395247</v>
      </c>
      <c r="G253" s="1312">
        <f t="shared" si="159"/>
        <v>6644389.2082878798</v>
      </c>
      <c r="H253" s="1312">
        <f>IF(AND(C253&gt;$F$60,'Instrumentos Financeiros'!C253&lt;'Instrumentos Financeiros'!$F$60+'Instrumentos Financeiros'!$F$11+1),PMT(((1+'Instrumentos Financeiros'!$G$43)^(1/12)-1),$F$11,-$I$60),0)</f>
        <v>0</v>
      </c>
      <c r="I253" s="1312">
        <f t="shared" si="160"/>
        <v>0</v>
      </c>
      <c r="J253" s="1312">
        <f>K252*((1+'Instrumentos Financeiros'!$G$43)^(1/12)-1)</f>
        <v>0</v>
      </c>
      <c r="K253" s="1312">
        <f t="shared" si="129"/>
        <v>0</v>
      </c>
      <c r="L253" s="1312">
        <f>IF(AND(C253&gt;$F$61,'Instrumentos Financeiros'!C253&lt;'Instrumentos Financeiros'!$F$61+'Instrumentos Financeiros'!$F$11+1),PMT(((1+'Instrumentos Financeiros'!$G$43)^(1/12)-1),$F$11,-$I$61),0)</f>
        <v>0</v>
      </c>
      <c r="M253" s="1312">
        <f t="shared" si="161"/>
        <v>0</v>
      </c>
      <c r="N253" s="1312">
        <f>O252*((1+'Instrumentos Financeiros'!$G$43)^(1/12)-1)</f>
        <v>0</v>
      </c>
      <c r="O253" s="1312">
        <f t="shared" si="130"/>
        <v>0</v>
      </c>
      <c r="P253" s="1312">
        <f>IF(AND(C253&gt;$F$62,'Instrumentos Financeiros'!C253&lt;'Instrumentos Financeiros'!$F$62+'Instrumentos Financeiros'!$F$11+1),PMT(((1+'Instrumentos Financeiros'!$H$43)^(1/12)-1),$F$11,-$I$62),0)</f>
        <v>0</v>
      </c>
      <c r="Q253" s="1312">
        <f t="shared" si="162"/>
        <v>0</v>
      </c>
      <c r="R253" s="1312">
        <f>S252*((1+'Instrumentos Financeiros'!$H$43)^(1/12)-1)</f>
        <v>0</v>
      </c>
      <c r="S253" s="1312">
        <f t="shared" si="131"/>
        <v>0</v>
      </c>
      <c r="T253" s="1312">
        <f>IF(AND(C253&gt;$F$63,'Instrumentos Financeiros'!C253&lt;'Instrumentos Financeiros'!$F$63+'Instrumentos Financeiros'!$F$11+1),PMT(((1+'Instrumentos Financeiros'!$H$43)^(1/12)-1),$F$11,-$I$63),0)</f>
        <v>0</v>
      </c>
      <c r="U253" s="1312">
        <f t="shared" si="163"/>
        <v>0</v>
      </c>
      <c r="V253" s="1312">
        <f>W252*((1+'Instrumentos Financeiros'!$H$43)^(1/12)-1)</f>
        <v>0</v>
      </c>
      <c r="W253" s="1312">
        <f t="shared" si="132"/>
        <v>0</v>
      </c>
      <c r="X253" s="1312">
        <f>IF(AND(C253&gt;$F$64,'Instrumentos Financeiros'!C253&lt;'Instrumentos Financeiros'!$F$64+'Instrumentos Financeiros'!$F$11+1),PMT(((1+'Instrumentos Financeiros'!$H$43)^(1/12)-1),$F$11,-$I$64),0)</f>
        <v>0</v>
      </c>
      <c r="Y253" s="1312">
        <f t="shared" si="164"/>
        <v>0</v>
      </c>
      <c r="Z253" s="1312">
        <f>AA252*((1+'Instrumentos Financeiros'!$H$43)^(1/12)-1)</f>
        <v>0</v>
      </c>
      <c r="AA253" s="1312">
        <f t="shared" si="133"/>
        <v>0</v>
      </c>
      <c r="AB253" s="1312">
        <f>IF(AND(C253&gt;$F$65,'Instrumentos Financeiros'!C253&lt;'Instrumentos Financeiros'!$F$65+'Instrumentos Financeiros'!$F$11+1),PMT(((1+'Instrumentos Financeiros'!$H$43)^(1/12)-1),$F$11,-$I$65),0)</f>
        <v>76636.661022032335</v>
      </c>
      <c r="AC253" s="1312">
        <f t="shared" si="165"/>
        <v>48717.251487041489</v>
      </c>
      <c r="AD253" s="1312">
        <f>AE252*((1+'Instrumentos Financeiros'!$H$43)^(1/12)-1)</f>
        <v>27919.409534990842</v>
      </c>
      <c r="AE253" s="1312">
        <f t="shared" si="134"/>
        <v>6408114.3399223248</v>
      </c>
      <c r="AF253" s="1312">
        <f>IF(AND(C253&gt;$F$66,'Instrumentos Financeiros'!C253&lt;'Instrumentos Financeiros'!$F$66+'Instrumentos Financeiros'!$F$11+1),PMT(((1+'Instrumentos Financeiros'!$I$43)^(1/12)-1),$F$11,-$I$66),0)</f>
        <v>76636.661022032335</v>
      </c>
      <c r="AG253" s="1312">
        <f t="shared" si="166"/>
        <v>48090.715809116838</v>
      </c>
      <c r="AH253" s="1312">
        <f>AI252*((1+'Instrumentos Financeiros'!$I$43)^(1/12)-1)</f>
        <v>28545.9452129155</v>
      </c>
      <c r="AI253" s="1312">
        <f t="shared" si="135"/>
        <v>6553637.7565066647</v>
      </c>
      <c r="AJ253" s="1312">
        <f>IF(AND(C253&gt;$F$67,'Instrumentos Financeiros'!C253&lt;'Instrumentos Financeiros'!$F$67+'Instrumentos Financeiros'!$F$11+1),PMT(((1+'Instrumentos Financeiros'!$I$43)^(1/12)-1),$F$11,-$I$67),0)</f>
        <v>76636.661022032335</v>
      </c>
      <c r="AK253" s="1312">
        <f t="shared" si="167"/>
        <v>47472.237789285158</v>
      </c>
      <c r="AL253" s="1312">
        <f>AM252*((1+'Instrumentos Financeiros'!$I$43)^(1/12)-1)</f>
        <v>29164.423232747176</v>
      </c>
      <c r="AM253" s="1312">
        <f t="shared" si="136"/>
        <v>6697289.6468927795</v>
      </c>
      <c r="AN253" s="1312">
        <f>IF(AND(C253&gt;$F$68,'Instrumentos Financeiros'!C253&lt;'Instrumentos Financeiros'!$F$68+'Instrumentos Financeiros'!$F$11+1),PMT(((1+'Instrumentos Financeiros'!$I$43)^(1/12)-1),$F$11,-$I$68),0)</f>
        <v>76636.661022032335</v>
      </c>
      <c r="AO253" s="1312">
        <f t="shared" si="168"/>
        <v>46861.713800799858</v>
      </c>
      <c r="AP253" s="1312">
        <f>AQ252*((1+'Instrumentos Financeiros'!$I$43)^(1/12)-1)</f>
        <v>29774.94722123248</v>
      </c>
      <c r="AQ253" s="1312">
        <f t="shared" si="137"/>
        <v>6839094.0801301217</v>
      </c>
      <c r="AR253" s="1312">
        <f>IF(AND(C253&gt;$F$69,'Instrumentos Financeiros'!C253&lt;'Instrumentos Financeiros'!$F$69+'Instrumentos Financeiros'!$F$11+1),PMT(((1+'Instrumentos Financeiros'!$I$43)^(1/12)-1),$F$11,-$I$69),0)</f>
        <v>0</v>
      </c>
      <c r="AS253" s="1312">
        <f t="shared" si="169"/>
        <v>0</v>
      </c>
      <c r="AT253" s="1312">
        <f>AU252*((1+'Instrumentos Financeiros'!$I$43)^(1/12)-1)</f>
        <v>0</v>
      </c>
      <c r="AU253" s="1312">
        <f t="shared" si="138"/>
        <v>0</v>
      </c>
      <c r="AV253" s="1312">
        <f>IF(AND(C253&gt;$F$70,'Instrumentos Financeiros'!C253&lt;'Instrumentos Financeiros'!$F$70+'Instrumentos Financeiros'!$F$11+1),PMT(((1+'Instrumentos Financeiros'!$J$43)^(1/12)-1),$F$11,-$I$70),0)</f>
        <v>0</v>
      </c>
      <c r="AW253" s="1312">
        <f t="shared" si="170"/>
        <v>0</v>
      </c>
      <c r="AX253" s="1312">
        <f>AY252*((1+'Instrumentos Financeiros'!$J$43)^(1/12)-1)</f>
        <v>0</v>
      </c>
      <c r="AY253" s="1312">
        <f t="shared" si="139"/>
        <v>0</v>
      </c>
      <c r="AZ253" s="1312">
        <f>IF(AND(C253&gt;$F$71,'Instrumentos Financeiros'!C253&lt;'Instrumentos Financeiros'!$F$71+'Instrumentos Financeiros'!$F$11+1),PMT(((1+'Instrumentos Financeiros'!$J$43)^(1/12)-1),$F$11,-$I$71),0)</f>
        <v>0</v>
      </c>
      <c r="BA253" s="1312">
        <f t="shared" si="171"/>
        <v>0</v>
      </c>
      <c r="BB253" s="1312">
        <f>BC252*((1+'Instrumentos Financeiros'!$J$43)^(1/12)-1)</f>
        <v>0</v>
      </c>
      <c r="BC253" s="1312">
        <f t="shared" si="140"/>
        <v>0</v>
      </c>
      <c r="BD253" s="1312">
        <f>IF(AND(C253&gt;$F$72,'Instrumentos Financeiros'!C253&lt;'Instrumentos Financeiros'!$F$72+'Instrumentos Financeiros'!$F$11+1),PMT(((1+'Instrumentos Financeiros'!$J$43)^(1/12)-1),$F$11,-'Instrumentos Financeiros'!$G$7*$G$72),0)</f>
        <v>0</v>
      </c>
      <c r="BE253" s="1312">
        <f t="shared" si="172"/>
        <v>0</v>
      </c>
      <c r="BF253" s="1312">
        <f>BG252*((1+'Instrumentos Financeiros'!$J$43)^(1/12)-1)</f>
        <v>0</v>
      </c>
      <c r="BG253" s="1312">
        <f t="shared" si="141"/>
        <v>0</v>
      </c>
      <c r="BH253" s="1312">
        <f>IF(AND(C253&gt;$F$73,'Instrumentos Financeiros'!C253&lt;'Instrumentos Financeiros'!$F$73+'Instrumentos Financeiros'!$F$11+1),PMT(((1+'Instrumentos Financeiros'!$J$43)^(1/12)-1),$F$11,-$I$73),0)</f>
        <v>0</v>
      </c>
      <c r="BI253" s="1312">
        <f t="shared" si="173"/>
        <v>0</v>
      </c>
      <c r="BJ253" s="1312">
        <f>BK252*((1+'Instrumentos Financeiros'!$J$43)^(1/12)-1)</f>
        <v>0</v>
      </c>
      <c r="BK253" s="1312">
        <f t="shared" si="142"/>
        <v>0</v>
      </c>
      <c r="BL253" s="1312">
        <f>IF(AND(C253&gt;$F$77,'Instrumentos Financeiros'!C253&lt;'Instrumentos Financeiros'!$F$77+'Instrumentos Financeiros'!$F$12+1),PMT(((1+'Instrumentos Financeiros'!$K$43)^(1/12)-1),$F$12,-$I$77),0)</f>
        <v>368.57912678094596</v>
      </c>
      <c r="BM253" s="1312">
        <f t="shared" si="143"/>
        <v>222.47990599670575</v>
      </c>
      <c r="BN253" s="1312">
        <f>BO252*((1+'Instrumentos Financeiros'!$K$43)^(1/12)-1)</f>
        <v>146.0992207842402</v>
      </c>
      <c r="BO253" s="1312">
        <f t="shared" si="144"/>
        <v>33565.414607234568</v>
      </c>
      <c r="BP253" s="1312">
        <f>IF(AND(C253&gt;$F$78,'Instrumentos Financeiros'!C253&lt;'Instrumentos Financeiros'!$F$78+'Instrumentos Financeiros'!$F$12+1),PMT(((1+'Instrumentos Financeiros'!$L$43)^(1/12)-1),$F$12,-$I$78),0)</f>
        <v>368.57912678094596</v>
      </c>
      <c r="BQ253" s="1312">
        <f t="shared" si="145"/>
        <v>219.61866907398371</v>
      </c>
      <c r="BR253" s="1312">
        <f>BS252*((1+'Instrumentos Financeiros'!$L$43)^(1/12)-1)</f>
        <v>148.96045770696225</v>
      </c>
      <c r="BS253" s="1312">
        <f t="shared" si="146"/>
        <v>34229.984858095602</v>
      </c>
      <c r="BT253" s="1312">
        <f>IF(AND(C253&gt;$F$79,'Instrumentos Financeiros'!C253&lt;'Instrumentos Financeiros'!$F$79+'Instrumentos Financeiros'!$F$12+1),PMT(((1+'Instrumentos Financeiros'!$L$43)^(1/12)-1),$F$12,-$I$79),0)</f>
        <v>368.57912678094596</v>
      </c>
      <c r="BU253" s="1312">
        <f t="shared" si="147"/>
        <v>216.79422952714719</v>
      </c>
      <c r="BV253" s="1312">
        <f>BW252*((1+'Instrumentos Financeiros'!$L$43)^(1/12)-1)</f>
        <v>151.78489725379876</v>
      </c>
      <c r="BW253" s="1312">
        <f t="shared" si="148"/>
        <v>34886.008301410191</v>
      </c>
      <c r="BX253" s="1312">
        <f>IF(AND(C253&gt;$F$80,'Instrumentos Financeiros'!C253&lt;'Instrumentos Financeiros'!$F$80+'Instrumentos Financeiros'!$F$12+1),PMT(((1+'Instrumentos Financeiros'!$L$43)^(1/12)-1),$F$12,-$I$80),0)</f>
        <v>368.57912678094596</v>
      </c>
      <c r="BY253" s="1312">
        <f t="shared" si="149"/>
        <v>214.00611411790507</v>
      </c>
      <c r="BZ253" s="1312">
        <f>CA252*((1+'Instrumentos Financeiros'!$L$43)^(1/12)-1)</f>
        <v>154.57301266304088</v>
      </c>
      <c r="CA253" s="1312">
        <f t="shared" si="150"/>
        <v>35533.594854706447</v>
      </c>
      <c r="CB253" s="1312">
        <f>IF(AND(C253&gt;$F$83,'Instrumentos Financeiros'!C253&lt;'Instrumentos Financeiros'!$F$83+'Instrumentos Financeiros'!$F$13+1),PMT(((1+'Instrumentos Financeiros'!$P$43)^(1/12)-1),$F$13,-$I$83),0)</f>
        <v>0</v>
      </c>
      <c r="CC253" s="1312">
        <f t="shared" si="151"/>
        <v>0</v>
      </c>
      <c r="CD253" s="1312">
        <f>CE252*((1+'Instrumentos Financeiros'!$P$43)^(1/12)-1)</f>
        <v>0</v>
      </c>
      <c r="CE253" s="1312">
        <f t="shared" si="152"/>
        <v>0</v>
      </c>
      <c r="CF253" s="1312">
        <f>IF(AND(C253&gt;$F$84,'Instrumentos Financeiros'!C253&lt;'Instrumentos Financeiros'!$F$84+'Instrumentos Financeiros'!$F$13+1),PMT(((1+'Instrumentos Financeiros'!$Q$43)^(1/12)-1),$F$13,-$I$84),0)</f>
        <v>0</v>
      </c>
      <c r="CG253" s="1312">
        <f t="shared" si="153"/>
        <v>0</v>
      </c>
      <c r="CH253" s="1312">
        <f>CI252*((1+'Instrumentos Financeiros'!$Q$43)^(1/12)-1)</f>
        <v>0</v>
      </c>
      <c r="CI253" s="1312">
        <f t="shared" si="154"/>
        <v>0</v>
      </c>
      <c r="CJ253" s="1312">
        <f>IF(AND(C253&gt;$F$85,'Instrumentos Financeiros'!C253&lt;'Instrumentos Financeiros'!$F$85+'Instrumentos Financeiros'!$F$13+1),PMT(((1+'Instrumentos Financeiros'!$Q$43)^(1/12)-1),$F$13,-$I$85),0)</f>
        <v>0</v>
      </c>
      <c r="CK253" s="1312">
        <f t="shared" si="155"/>
        <v>0</v>
      </c>
      <c r="CL253" s="1312">
        <f>CM252*((1+'Instrumentos Financeiros'!$Q$43)^(1/12)-1)</f>
        <v>0</v>
      </c>
      <c r="CM253" s="1312">
        <f t="shared" si="156"/>
        <v>0</v>
      </c>
      <c r="CN253" s="1312">
        <f>IF(AND(C253&gt;$F$86,'Instrumentos Financeiros'!C253&lt;'Instrumentos Financeiros'!$F$86+'Instrumentos Financeiros'!$F$13+1),PMT(((1+'Instrumentos Financeiros'!$Q$43)^(1/12)-1),$F$13,-$I$86),0)</f>
        <v>0</v>
      </c>
      <c r="CO253" s="1312">
        <f t="shared" si="157"/>
        <v>0</v>
      </c>
      <c r="CP253" s="1312">
        <f>CQ252*((1+'Instrumentos Financeiros'!$Q$43)^(1/12)-1)</f>
        <v>0</v>
      </c>
      <c r="CQ253" s="1312">
        <f t="shared" si="158"/>
        <v>0</v>
      </c>
      <c r="CR253" s="1312">
        <f t="shared" si="127"/>
        <v>399789.55023115332</v>
      </c>
      <c r="CS253" s="1312">
        <f t="shared" si="127"/>
        <v>256399.53020846398</v>
      </c>
      <c r="CT253" s="1312">
        <f t="shared" si="127"/>
        <v>143390.02002268931</v>
      </c>
      <c r="CU253" s="1312">
        <f t="shared" si="127"/>
        <v>33280740.034361217</v>
      </c>
    </row>
    <row r="254" spans="3:99" x14ac:dyDescent="0.35">
      <c r="C254" s="1315">
        <f t="shared" si="128"/>
        <v>161</v>
      </c>
      <c r="D254" s="1312">
        <f>IF(AND(C254&gt;$F$59,'Instrumentos Financeiros'!C254&lt;'Instrumentos Financeiros'!$F$59+'Instrumentos Financeiros'!$F$11+1),PMT(((1+'Instrumentos Financeiros'!$G$43)^(1/12)-1),$F$11,-$I$59),0)</f>
        <v>91768.589635900134</v>
      </c>
      <c r="E254" s="1312">
        <f t="shared" si="125"/>
        <v>64647.517959474339</v>
      </c>
      <c r="F254" s="1312">
        <f>G253*((1+'Instrumentos Financeiros'!$G$43)^(1/12)-1)</f>
        <v>27121.071676425796</v>
      </c>
      <c r="G254" s="1312">
        <f t="shared" si="159"/>
        <v>6579741.6903284052</v>
      </c>
      <c r="H254" s="1312">
        <f>IF(AND(C254&gt;$F$60,'Instrumentos Financeiros'!C254&lt;'Instrumentos Financeiros'!$F$60+'Instrumentos Financeiros'!$F$11+1),PMT(((1+'Instrumentos Financeiros'!$G$43)^(1/12)-1),$F$11,-$I$60),0)</f>
        <v>0</v>
      </c>
      <c r="I254" s="1312">
        <f t="shared" si="160"/>
        <v>0</v>
      </c>
      <c r="J254" s="1312">
        <f>K253*((1+'Instrumentos Financeiros'!$G$43)^(1/12)-1)</f>
        <v>0</v>
      </c>
      <c r="K254" s="1312">
        <f t="shared" si="129"/>
        <v>0</v>
      </c>
      <c r="L254" s="1312">
        <f>IF(AND(C254&gt;$F$61,'Instrumentos Financeiros'!C254&lt;'Instrumentos Financeiros'!$F$61+'Instrumentos Financeiros'!$F$11+1),PMT(((1+'Instrumentos Financeiros'!$G$43)^(1/12)-1),$F$11,-$I$61),0)</f>
        <v>0</v>
      </c>
      <c r="M254" s="1312">
        <f t="shared" si="161"/>
        <v>0</v>
      </c>
      <c r="N254" s="1312">
        <f>O253*((1+'Instrumentos Financeiros'!$G$43)^(1/12)-1)</f>
        <v>0</v>
      </c>
      <c r="O254" s="1312">
        <f t="shared" si="130"/>
        <v>0</v>
      </c>
      <c r="P254" s="1312">
        <f>IF(AND(C254&gt;$F$62,'Instrumentos Financeiros'!C254&lt;'Instrumentos Financeiros'!$F$62+'Instrumentos Financeiros'!$F$11+1),PMT(((1+'Instrumentos Financeiros'!$H$43)^(1/12)-1),$F$11,-$I$62),0)</f>
        <v>0</v>
      </c>
      <c r="Q254" s="1312">
        <f t="shared" si="162"/>
        <v>0</v>
      </c>
      <c r="R254" s="1312">
        <f>S253*((1+'Instrumentos Financeiros'!$H$43)^(1/12)-1)</f>
        <v>0</v>
      </c>
      <c r="S254" s="1312">
        <f t="shared" si="131"/>
        <v>0</v>
      </c>
      <c r="T254" s="1312">
        <f>IF(AND(C254&gt;$F$63,'Instrumentos Financeiros'!C254&lt;'Instrumentos Financeiros'!$F$63+'Instrumentos Financeiros'!$F$11+1),PMT(((1+'Instrumentos Financeiros'!$H$43)^(1/12)-1),$F$11,-$I$63),0)</f>
        <v>0</v>
      </c>
      <c r="U254" s="1312">
        <f t="shared" si="163"/>
        <v>0</v>
      </c>
      <c r="V254" s="1312">
        <f>W253*((1+'Instrumentos Financeiros'!$H$43)^(1/12)-1)</f>
        <v>0</v>
      </c>
      <c r="W254" s="1312">
        <f t="shared" si="132"/>
        <v>0</v>
      </c>
      <c r="X254" s="1312">
        <f>IF(AND(C254&gt;$F$64,'Instrumentos Financeiros'!C254&lt;'Instrumentos Financeiros'!$F$64+'Instrumentos Financeiros'!$F$11+1),PMT(((1+'Instrumentos Financeiros'!$H$43)^(1/12)-1),$F$11,-$I$64),0)</f>
        <v>0</v>
      </c>
      <c r="Y254" s="1312">
        <f t="shared" si="164"/>
        <v>0</v>
      </c>
      <c r="Z254" s="1312">
        <f>AA253*((1+'Instrumentos Financeiros'!$H$43)^(1/12)-1)</f>
        <v>0</v>
      </c>
      <c r="AA254" s="1312">
        <f t="shared" si="133"/>
        <v>0</v>
      </c>
      <c r="AB254" s="1312">
        <f>IF(AND(C254&gt;$F$65,'Instrumentos Financeiros'!C254&lt;'Instrumentos Financeiros'!$F$65+'Instrumentos Financeiros'!$F$11+1),PMT(((1+'Instrumentos Financeiros'!$H$43)^(1/12)-1),$F$11,-$I$65),0)</f>
        <v>76636.661022032335</v>
      </c>
      <c r="AC254" s="1312">
        <f t="shared" si="165"/>
        <v>48927.905408617444</v>
      </c>
      <c r="AD254" s="1312">
        <f>AE253*((1+'Instrumentos Financeiros'!$H$43)^(1/12)-1)</f>
        <v>27708.755613414894</v>
      </c>
      <c r="AE254" s="1312">
        <f t="shared" si="134"/>
        <v>6359186.4345137076</v>
      </c>
      <c r="AF254" s="1312">
        <f>IF(AND(C254&gt;$F$66,'Instrumentos Financeiros'!C254&lt;'Instrumentos Financeiros'!$F$66+'Instrumentos Financeiros'!$F$11+1),PMT(((1+'Instrumentos Financeiros'!$I$43)^(1/12)-1),$F$11,-$I$66),0)</f>
        <v>76636.661022032335</v>
      </c>
      <c r="AG254" s="1312">
        <f t="shared" si="166"/>
        <v>48298.660583654855</v>
      </c>
      <c r="AH254" s="1312">
        <f>AI253*((1+'Instrumentos Financeiros'!$I$43)^(1/12)-1)</f>
        <v>28338.000438377476</v>
      </c>
      <c r="AI254" s="1312">
        <f t="shared" si="135"/>
        <v>6505339.0959230103</v>
      </c>
      <c r="AJ254" s="1312">
        <f>IF(AND(C254&gt;$F$67,'Instrumentos Financeiros'!C254&lt;'Instrumentos Financeiros'!$F$67+'Instrumentos Financeiros'!$F$11+1),PMT(((1+'Instrumentos Financeiros'!$I$43)^(1/12)-1),$F$11,-$I$67),0)</f>
        <v>76636.661022032335</v>
      </c>
      <c r="AK254" s="1312">
        <f t="shared" si="167"/>
        <v>47677.508258185873</v>
      </c>
      <c r="AL254" s="1312">
        <f>AM253*((1+'Instrumentos Financeiros'!$I$43)^(1/12)-1)</f>
        <v>28959.152763846465</v>
      </c>
      <c r="AM254" s="1312">
        <f t="shared" si="136"/>
        <v>6649612.1386345932</v>
      </c>
      <c r="AN254" s="1312">
        <f>IF(AND(C254&gt;$F$68,'Instrumentos Financeiros'!C254&lt;'Instrumentos Financeiros'!$F$68+'Instrumentos Financeiros'!$F$11+1),PMT(((1+'Instrumentos Financeiros'!$I$43)^(1/12)-1),$F$11,-$I$68),0)</f>
        <v>76636.661022032335</v>
      </c>
      <c r="AO254" s="1312">
        <f t="shared" si="168"/>
        <v>47064.344357380702</v>
      </c>
      <c r="AP254" s="1312">
        <f>AQ253*((1+'Instrumentos Financeiros'!$I$43)^(1/12)-1)</f>
        <v>29572.316664651637</v>
      </c>
      <c r="AQ254" s="1312">
        <f t="shared" si="137"/>
        <v>6792029.735772741</v>
      </c>
      <c r="AR254" s="1312">
        <f>IF(AND(C254&gt;$F$69,'Instrumentos Financeiros'!C254&lt;'Instrumentos Financeiros'!$F$69+'Instrumentos Financeiros'!$F$11+1),PMT(((1+'Instrumentos Financeiros'!$I$43)^(1/12)-1),$F$11,-$I$69),0)</f>
        <v>0</v>
      </c>
      <c r="AS254" s="1312">
        <f t="shared" si="169"/>
        <v>0</v>
      </c>
      <c r="AT254" s="1312">
        <f>AU253*((1+'Instrumentos Financeiros'!$I$43)^(1/12)-1)</f>
        <v>0</v>
      </c>
      <c r="AU254" s="1312">
        <f t="shared" si="138"/>
        <v>0</v>
      </c>
      <c r="AV254" s="1312">
        <f>IF(AND(C254&gt;$F$70,'Instrumentos Financeiros'!C254&lt;'Instrumentos Financeiros'!$F$70+'Instrumentos Financeiros'!$F$11+1),PMT(((1+'Instrumentos Financeiros'!$J$43)^(1/12)-1),$F$11,-$I$70),0)</f>
        <v>0</v>
      </c>
      <c r="AW254" s="1312">
        <f t="shared" si="170"/>
        <v>0</v>
      </c>
      <c r="AX254" s="1312">
        <f>AY253*((1+'Instrumentos Financeiros'!$J$43)^(1/12)-1)</f>
        <v>0</v>
      </c>
      <c r="AY254" s="1312">
        <f t="shared" si="139"/>
        <v>0</v>
      </c>
      <c r="AZ254" s="1312">
        <f>IF(AND(C254&gt;$F$71,'Instrumentos Financeiros'!C254&lt;'Instrumentos Financeiros'!$F$71+'Instrumentos Financeiros'!$F$11+1),PMT(((1+'Instrumentos Financeiros'!$J$43)^(1/12)-1),$F$11,-$I$71),0)</f>
        <v>0</v>
      </c>
      <c r="BA254" s="1312">
        <f t="shared" si="171"/>
        <v>0</v>
      </c>
      <c r="BB254" s="1312">
        <f>BC253*((1+'Instrumentos Financeiros'!$J$43)^(1/12)-1)</f>
        <v>0</v>
      </c>
      <c r="BC254" s="1312">
        <f t="shared" si="140"/>
        <v>0</v>
      </c>
      <c r="BD254" s="1312">
        <f>IF(AND(C254&gt;$F$72,'Instrumentos Financeiros'!C254&lt;'Instrumentos Financeiros'!$F$72+'Instrumentos Financeiros'!$F$11+1),PMT(((1+'Instrumentos Financeiros'!$J$43)^(1/12)-1),$F$11,-'Instrumentos Financeiros'!$G$7*$G$72),0)</f>
        <v>0</v>
      </c>
      <c r="BE254" s="1312">
        <f t="shared" si="172"/>
        <v>0</v>
      </c>
      <c r="BF254" s="1312">
        <f>BG253*((1+'Instrumentos Financeiros'!$J$43)^(1/12)-1)</f>
        <v>0</v>
      </c>
      <c r="BG254" s="1312">
        <f t="shared" si="141"/>
        <v>0</v>
      </c>
      <c r="BH254" s="1312">
        <f>IF(AND(C254&gt;$F$73,'Instrumentos Financeiros'!C254&lt;'Instrumentos Financeiros'!$F$73+'Instrumentos Financeiros'!$F$11+1),PMT(((1+'Instrumentos Financeiros'!$J$43)^(1/12)-1),$F$11,-$I$73),0)</f>
        <v>0</v>
      </c>
      <c r="BI254" s="1312">
        <f t="shared" si="173"/>
        <v>0</v>
      </c>
      <c r="BJ254" s="1312">
        <f>BK253*((1+'Instrumentos Financeiros'!$J$43)^(1/12)-1)</f>
        <v>0</v>
      </c>
      <c r="BK254" s="1312">
        <f t="shared" si="142"/>
        <v>0</v>
      </c>
      <c r="BL254" s="1312">
        <f>IF(AND(C254&gt;$F$77,'Instrumentos Financeiros'!C254&lt;'Instrumentos Financeiros'!$F$77+'Instrumentos Financeiros'!$F$12+1),PMT(((1+'Instrumentos Financeiros'!$K$43)^(1/12)-1),$F$12,-$I$77),0)</f>
        <v>368.57912678094596</v>
      </c>
      <c r="BM254" s="1312">
        <f t="shared" si="143"/>
        <v>223.44191151301698</v>
      </c>
      <c r="BN254" s="1312">
        <f>BO253*((1+'Instrumentos Financeiros'!$K$43)^(1/12)-1)</f>
        <v>145.13721526792898</v>
      </c>
      <c r="BO254" s="1312">
        <f t="shared" si="144"/>
        <v>33341.972695721553</v>
      </c>
      <c r="BP254" s="1312">
        <f>IF(AND(C254&gt;$F$78,'Instrumentos Financeiros'!C254&lt;'Instrumentos Financeiros'!$F$78+'Instrumentos Financeiros'!$F$12+1),PMT(((1+'Instrumentos Financeiros'!$L$43)^(1/12)-1),$F$12,-$I$78),0)</f>
        <v>368.57912678094596</v>
      </c>
      <c r="BQ254" s="1312">
        <f t="shared" si="145"/>
        <v>220.56830257093972</v>
      </c>
      <c r="BR254" s="1312">
        <f>BS253*((1+'Instrumentos Financeiros'!$L$43)^(1/12)-1)</f>
        <v>148.01082421000623</v>
      </c>
      <c r="BS254" s="1312">
        <f t="shared" si="146"/>
        <v>34009.416555524665</v>
      </c>
      <c r="BT254" s="1312">
        <f>IF(AND(C254&gt;$F$79,'Instrumentos Financeiros'!C254&lt;'Instrumentos Financeiros'!$F$79+'Instrumentos Financeiros'!$F$12+1),PMT(((1+'Instrumentos Financeiros'!$L$43)^(1/12)-1),$F$12,-$I$79),0)</f>
        <v>368.57912678094596</v>
      </c>
      <c r="BU254" s="1312">
        <f t="shared" si="147"/>
        <v>217.73165011699876</v>
      </c>
      <c r="BV254" s="1312">
        <f>BW253*((1+'Instrumentos Financeiros'!$L$43)^(1/12)-1)</f>
        <v>150.84747666394719</v>
      </c>
      <c r="BW254" s="1312">
        <f t="shared" si="148"/>
        <v>34668.276651293192</v>
      </c>
      <c r="BX254" s="1312">
        <f>IF(AND(C254&gt;$F$80,'Instrumentos Financeiros'!C254&lt;'Instrumentos Financeiros'!$F$80+'Instrumentos Financeiros'!$F$12+1),PMT(((1+'Instrumentos Financeiros'!$L$43)^(1/12)-1),$F$12,-$I$80),0)</f>
        <v>368.57912678094596</v>
      </c>
      <c r="BY254" s="1312">
        <f t="shared" si="149"/>
        <v>214.93147886661544</v>
      </c>
      <c r="BZ254" s="1312">
        <f>CA253*((1+'Instrumentos Financeiros'!$L$43)^(1/12)-1)</f>
        <v>153.64764791433052</v>
      </c>
      <c r="CA254" s="1312">
        <f t="shared" si="150"/>
        <v>35318.663375839831</v>
      </c>
      <c r="CB254" s="1312">
        <f>IF(AND(C254&gt;$F$83,'Instrumentos Financeiros'!C254&lt;'Instrumentos Financeiros'!$F$83+'Instrumentos Financeiros'!$F$13+1),PMT(((1+'Instrumentos Financeiros'!$P$43)^(1/12)-1),$F$13,-$I$83),0)</f>
        <v>0</v>
      </c>
      <c r="CC254" s="1312">
        <f t="shared" si="151"/>
        <v>0</v>
      </c>
      <c r="CD254" s="1312">
        <f>CE253*((1+'Instrumentos Financeiros'!$P$43)^(1/12)-1)</f>
        <v>0</v>
      </c>
      <c r="CE254" s="1312">
        <f t="shared" si="152"/>
        <v>0</v>
      </c>
      <c r="CF254" s="1312">
        <f>IF(AND(C254&gt;$F$84,'Instrumentos Financeiros'!C254&lt;'Instrumentos Financeiros'!$F$84+'Instrumentos Financeiros'!$F$13+1),PMT(((1+'Instrumentos Financeiros'!$Q$43)^(1/12)-1),$F$13,-$I$84),0)</f>
        <v>0</v>
      </c>
      <c r="CG254" s="1312">
        <f t="shared" si="153"/>
        <v>0</v>
      </c>
      <c r="CH254" s="1312">
        <f>CI253*((1+'Instrumentos Financeiros'!$Q$43)^(1/12)-1)</f>
        <v>0</v>
      </c>
      <c r="CI254" s="1312">
        <f t="shared" si="154"/>
        <v>0</v>
      </c>
      <c r="CJ254" s="1312">
        <f>IF(AND(C254&gt;$F$85,'Instrumentos Financeiros'!C254&lt;'Instrumentos Financeiros'!$F$85+'Instrumentos Financeiros'!$F$13+1),PMT(((1+'Instrumentos Financeiros'!$Q$43)^(1/12)-1),$F$13,-$I$85),0)</f>
        <v>0</v>
      </c>
      <c r="CK254" s="1312">
        <f t="shared" si="155"/>
        <v>0</v>
      </c>
      <c r="CL254" s="1312">
        <f>CM253*((1+'Instrumentos Financeiros'!$Q$43)^(1/12)-1)</f>
        <v>0</v>
      </c>
      <c r="CM254" s="1312">
        <f t="shared" si="156"/>
        <v>0</v>
      </c>
      <c r="CN254" s="1312">
        <f>IF(AND(C254&gt;$F$86,'Instrumentos Financeiros'!C254&lt;'Instrumentos Financeiros'!$F$86+'Instrumentos Financeiros'!$F$13+1),PMT(((1+'Instrumentos Financeiros'!$Q$43)^(1/12)-1),$F$13,-$I$86),0)</f>
        <v>0</v>
      </c>
      <c r="CO254" s="1312">
        <f t="shared" si="157"/>
        <v>0</v>
      </c>
      <c r="CP254" s="1312">
        <f>CQ253*((1+'Instrumentos Financeiros'!$Q$43)^(1/12)-1)</f>
        <v>0</v>
      </c>
      <c r="CQ254" s="1312">
        <f t="shared" si="158"/>
        <v>0</v>
      </c>
      <c r="CR254" s="1312">
        <f t="shared" si="127"/>
        <v>399789.55023115332</v>
      </c>
      <c r="CS254" s="1312">
        <f t="shared" si="127"/>
        <v>257492.60991038076</v>
      </c>
      <c r="CT254" s="1312">
        <f t="shared" si="127"/>
        <v>142296.94032077247</v>
      </c>
      <c r="CU254" s="1312">
        <f t="shared" si="127"/>
        <v>33023247.424450833</v>
      </c>
    </row>
    <row r="255" spans="3:99" x14ac:dyDescent="0.35">
      <c r="C255" s="1315">
        <f t="shared" si="128"/>
        <v>162</v>
      </c>
      <c r="D255" s="1312">
        <f>IF(AND(C255&gt;$F$59,'Instrumentos Financeiros'!C255&lt;'Instrumentos Financeiros'!$F$59+'Instrumentos Financeiros'!$F$11+1),PMT(((1+'Instrumentos Financeiros'!$G$43)^(1/12)-1),$F$11,-$I$59),0)</f>
        <v>91768.589635900134</v>
      </c>
      <c r="E255" s="1312">
        <f t="shared" si="125"/>
        <v>64911.396235312684</v>
      </c>
      <c r="F255" s="1312">
        <f>G254*((1+'Instrumentos Financeiros'!$G$43)^(1/12)-1)</f>
        <v>26857.193400587446</v>
      </c>
      <c r="G255" s="1312">
        <f t="shared" si="159"/>
        <v>6514830.2940930929</v>
      </c>
      <c r="H255" s="1312">
        <f>IF(AND(C255&gt;$F$60,'Instrumentos Financeiros'!C255&lt;'Instrumentos Financeiros'!$F$60+'Instrumentos Financeiros'!$F$11+1),PMT(((1+'Instrumentos Financeiros'!$G$43)^(1/12)-1),$F$11,-$I$60),0)</f>
        <v>0</v>
      </c>
      <c r="I255" s="1312">
        <f t="shared" si="160"/>
        <v>0</v>
      </c>
      <c r="J255" s="1312">
        <f>K254*((1+'Instrumentos Financeiros'!$G$43)^(1/12)-1)</f>
        <v>0</v>
      </c>
      <c r="K255" s="1312">
        <f t="shared" si="129"/>
        <v>0</v>
      </c>
      <c r="L255" s="1312">
        <f>IF(AND(C255&gt;$F$61,'Instrumentos Financeiros'!C255&lt;'Instrumentos Financeiros'!$F$61+'Instrumentos Financeiros'!$F$11+1),PMT(((1+'Instrumentos Financeiros'!$G$43)^(1/12)-1),$F$11,-$I$61),0)</f>
        <v>0</v>
      </c>
      <c r="M255" s="1312">
        <f t="shared" si="161"/>
        <v>0</v>
      </c>
      <c r="N255" s="1312">
        <f>O254*((1+'Instrumentos Financeiros'!$G$43)^(1/12)-1)</f>
        <v>0</v>
      </c>
      <c r="O255" s="1312">
        <f t="shared" si="130"/>
        <v>0</v>
      </c>
      <c r="P255" s="1312">
        <f>IF(AND(C255&gt;$F$62,'Instrumentos Financeiros'!C255&lt;'Instrumentos Financeiros'!$F$62+'Instrumentos Financeiros'!$F$11+1),PMT(((1+'Instrumentos Financeiros'!$H$43)^(1/12)-1),$F$11,-$I$62),0)</f>
        <v>0</v>
      </c>
      <c r="Q255" s="1312">
        <f t="shared" si="162"/>
        <v>0</v>
      </c>
      <c r="R255" s="1312">
        <f>S254*((1+'Instrumentos Financeiros'!$H$43)^(1/12)-1)</f>
        <v>0</v>
      </c>
      <c r="S255" s="1312">
        <f t="shared" si="131"/>
        <v>0</v>
      </c>
      <c r="T255" s="1312">
        <f>IF(AND(C255&gt;$F$63,'Instrumentos Financeiros'!C255&lt;'Instrumentos Financeiros'!$F$63+'Instrumentos Financeiros'!$F$11+1),PMT(((1+'Instrumentos Financeiros'!$H$43)^(1/12)-1),$F$11,-$I$63),0)</f>
        <v>0</v>
      </c>
      <c r="U255" s="1312">
        <f t="shared" si="163"/>
        <v>0</v>
      </c>
      <c r="V255" s="1312">
        <f>W254*((1+'Instrumentos Financeiros'!$H$43)^(1/12)-1)</f>
        <v>0</v>
      </c>
      <c r="W255" s="1312">
        <f t="shared" si="132"/>
        <v>0</v>
      </c>
      <c r="X255" s="1312">
        <f>IF(AND(C255&gt;$F$64,'Instrumentos Financeiros'!C255&lt;'Instrumentos Financeiros'!$F$64+'Instrumentos Financeiros'!$F$11+1),PMT(((1+'Instrumentos Financeiros'!$H$43)^(1/12)-1),$F$11,-$I$64),0)</f>
        <v>0</v>
      </c>
      <c r="Y255" s="1312">
        <f t="shared" si="164"/>
        <v>0</v>
      </c>
      <c r="Z255" s="1312">
        <f>AA254*((1+'Instrumentos Financeiros'!$H$43)^(1/12)-1)</f>
        <v>0</v>
      </c>
      <c r="AA255" s="1312">
        <f t="shared" si="133"/>
        <v>0</v>
      </c>
      <c r="AB255" s="1312">
        <f>IF(AND(C255&gt;$F$65,'Instrumentos Financeiros'!C255&lt;'Instrumentos Financeiros'!$F$65+'Instrumentos Financeiros'!$F$11+1),PMT(((1+'Instrumentos Financeiros'!$H$43)^(1/12)-1),$F$11,-$I$65),0)</f>
        <v>76636.661022032335</v>
      </c>
      <c r="AC255" s="1312">
        <f t="shared" si="165"/>
        <v>49139.470200025346</v>
      </c>
      <c r="AD255" s="1312">
        <f>AE254*((1+'Instrumentos Financeiros'!$H$43)^(1/12)-1)</f>
        <v>27497.190822006993</v>
      </c>
      <c r="AE255" s="1312">
        <f t="shared" si="134"/>
        <v>6310046.9643136822</v>
      </c>
      <c r="AF255" s="1312">
        <f>IF(AND(C255&gt;$F$66,'Instrumentos Financeiros'!C255&lt;'Instrumentos Financeiros'!$F$66+'Instrumentos Financeiros'!$F$11+1),PMT(((1+'Instrumentos Financeiros'!$I$43)^(1/12)-1),$F$11,-$I$66),0)</f>
        <v>76636.661022032335</v>
      </c>
      <c r="AG255" s="1312">
        <f t="shared" si="166"/>
        <v>48507.504513643784</v>
      </c>
      <c r="AH255" s="1312">
        <f>AI254*((1+'Instrumentos Financeiros'!$I$43)^(1/12)-1)</f>
        <v>28129.156508388554</v>
      </c>
      <c r="AI255" s="1312">
        <f t="shared" si="135"/>
        <v>6456831.5914093666</v>
      </c>
      <c r="AJ255" s="1312">
        <f>IF(AND(C255&gt;$F$67,'Instrumentos Financeiros'!C255&lt;'Instrumentos Financeiros'!$F$67+'Instrumentos Financeiros'!$F$11+1),PMT(((1+'Instrumentos Financeiros'!$I$43)^(1/12)-1),$F$11,-$I$67),0)</f>
        <v>76636.661022032335</v>
      </c>
      <c r="AK255" s="1312">
        <f t="shared" si="167"/>
        <v>47883.666318811025</v>
      </c>
      <c r="AL255" s="1312">
        <f>AM254*((1+'Instrumentos Financeiros'!$I$43)^(1/12)-1)</f>
        <v>28752.994703221306</v>
      </c>
      <c r="AM255" s="1312">
        <f t="shared" si="136"/>
        <v>6601728.4723157817</v>
      </c>
      <c r="AN255" s="1312">
        <f>IF(AND(C255&gt;$F$68,'Instrumentos Financeiros'!C255&lt;'Instrumentos Financeiros'!$F$68+'Instrumentos Financeiros'!$F$11+1),PMT(((1+'Instrumentos Financeiros'!$I$43)^(1/12)-1),$F$11,-$I$68),0)</f>
        <v>76636.661022032335</v>
      </c>
      <c r="AO255" s="1312">
        <f t="shared" si="168"/>
        <v>47267.85109067661</v>
      </c>
      <c r="AP255" s="1312">
        <f>AQ254*((1+'Instrumentos Financeiros'!$I$43)^(1/12)-1)</f>
        <v>29368.809931355725</v>
      </c>
      <c r="AQ255" s="1312">
        <f t="shared" si="137"/>
        <v>6744761.8846820649</v>
      </c>
      <c r="AR255" s="1312">
        <f>IF(AND(C255&gt;$F$69,'Instrumentos Financeiros'!C255&lt;'Instrumentos Financeiros'!$F$69+'Instrumentos Financeiros'!$F$11+1),PMT(((1+'Instrumentos Financeiros'!$I$43)^(1/12)-1),$F$11,-$I$69),0)</f>
        <v>0</v>
      </c>
      <c r="AS255" s="1312">
        <f t="shared" si="169"/>
        <v>0</v>
      </c>
      <c r="AT255" s="1312">
        <f>AU254*((1+'Instrumentos Financeiros'!$I$43)^(1/12)-1)</f>
        <v>0</v>
      </c>
      <c r="AU255" s="1312">
        <f t="shared" si="138"/>
        <v>0</v>
      </c>
      <c r="AV255" s="1312">
        <f>IF(AND(C255&gt;$F$70,'Instrumentos Financeiros'!C255&lt;'Instrumentos Financeiros'!$F$70+'Instrumentos Financeiros'!$F$11+1),PMT(((1+'Instrumentos Financeiros'!$J$43)^(1/12)-1),$F$11,-$I$70),0)</f>
        <v>0</v>
      </c>
      <c r="AW255" s="1312">
        <f t="shared" si="170"/>
        <v>0</v>
      </c>
      <c r="AX255" s="1312">
        <f>AY254*((1+'Instrumentos Financeiros'!$J$43)^(1/12)-1)</f>
        <v>0</v>
      </c>
      <c r="AY255" s="1312">
        <f t="shared" si="139"/>
        <v>0</v>
      </c>
      <c r="AZ255" s="1312">
        <f>IF(AND(C255&gt;$F$71,'Instrumentos Financeiros'!C255&lt;'Instrumentos Financeiros'!$F$71+'Instrumentos Financeiros'!$F$11+1),PMT(((1+'Instrumentos Financeiros'!$J$43)^(1/12)-1),$F$11,-$I$71),0)</f>
        <v>0</v>
      </c>
      <c r="BA255" s="1312">
        <f t="shared" si="171"/>
        <v>0</v>
      </c>
      <c r="BB255" s="1312">
        <f>BC254*((1+'Instrumentos Financeiros'!$J$43)^(1/12)-1)</f>
        <v>0</v>
      </c>
      <c r="BC255" s="1312">
        <f t="shared" si="140"/>
        <v>0</v>
      </c>
      <c r="BD255" s="1312">
        <f>IF(AND(C255&gt;$F$72,'Instrumentos Financeiros'!C255&lt;'Instrumentos Financeiros'!$F$72+'Instrumentos Financeiros'!$F$11+1),PMT(((1+'Instrumentos Financeiros'!$J$43)^(1/12)-1),$F$11,-'Instrumentos Financeiros'!$G$7*$G$72),0)</f>
        <v>0</v>
      </c>
      <c r="BE255" s="1312">
        <f t="shared" si="172"/>
        <v>0</v>
      </c>
      <c r="BF255" s="1312">
        <f>BG254*((1+'Instrumentos Financeiros'!$J$43)^(1/12)-1)</f>
        <v>0</v>
      </c>
      <c r="BG255" s="1312">
        <f t="shared" si="141"/>
        <v>0</v>
      </c>
      <c r="BH255" s="1312">
        <f>IF(AND(C255&gt;$F$73,'Instrumentos Financeiros'!C255&lt;'Instrumentos Financeiros'!$F$73+'Instrumentos Financeiros'!$F$11+1),PMT(((1+'Instrumentos Financeiros'!$J$43)^(1/12)-1),$F$11,-$I$73),0)</f>
        <v>0</v>
      </c>
      <c r="BI255" s="1312">
        <f t="shared" si="173"/>
        <v>0</v>
      </c>
      <c r="BJ255" s="1312">
        <f>BK254*((1+'Instrumentos Financeiros'!$J$43)^(1/12)-1)</f>
        <v>0</v>
      </c>
      <c r="BK255" s="1312">
        <f t="shared" si="142"/>
        <v>0</v>
      </c>
      <c r="BL255" s="1312">
        <f>IF(AND(C255&gt;$F$77,'Instrumentos Financeiros'!C255&lt;'Instrumentos Financeiros'!$F$77+'Instrumentos Financeiros'!$F$12+1),PMT(((1+'Instrumentos Financeiros'!$K$43)^(1/12)-1),$F$12,-$I$77),0)</f>
        <v>368.57912678094596</v>
      </c>
      <c r="BM255" s="1312">
        <f t="shared" si="143"/>
        <v>224.40807675157035</v>
      </c>
      <c r="BN255" s="1312">
        <f>BO254*((1+'Instrumentos Financeiros'!$K$43)^(1/12)-1)</f>
        <v>144.17105002937561</v>
      </c>
      <c r="BO255" s="1312">
        <f t="shared" si="144"/>
        <v>33117.564618969984</v>
      </c>
      <c r="BP255" s="1312">
        <f>IF(AND(C255&gt;$F$78,'Instrumentos Financeiros'!C255&lt;'Instrumentos Financeiros'!$F$78+'Instrumentos Financeiros'!$F$12+1),PMT(((1+'Instrumentos Financeiros'!$L$43)^(1/12)-1),$F$12,-$I$78),0)</f>
        <v>368.57912678094596</v>
      </c>
      <c r="BQ255" s="1312">
        <f t="shared" si="145"/>
        <v>221.52204229339262</v>
      </c>
      <c r="BR255" s="1312">
        <f>BS254*((1+'Instrumentos Financeiros'!$L$43)^(1/12)-1)</f>
        <v>147.05708448755334</v>
      </c>
      <c r="BS255" s="1312">
        <f t="shared" si="146"/>
        <v>33787.894513231273</v>
      </c>
      <c r="BT255" s="1312">
        <f>IF(AND(C255&gt;$F$79,'Instrumentos Financeiros'!C255&lt;'Instrumentos Financeiros'!$F$79+'Instrumentos Financeiros'!$F$12+1),PMT(((1+'Instrumentos Financeiros'!$L$43)^(1/12)-1),$F$12,-$I$79),0)</f>
        <v>368.57912678094596</v>
      </c>
      <c r="BU255" s="1312">
        <f t="shared" si="147"/>
        <v>218.67312412360499</v>
      </c>
      <c r="BV255" s="1312">
        <f>BW254*((1+'Instrumentos Financeiros'!$L$43)^(1/12)-1)</f>
        <v>149.90600265734096</v>
      </c>
      <c r="BW255" s="1312">
        <f t="shared" si="148"/>
        <v>34449.603527169587</v>
      </c>
      <c r="BX255" s="1312">
        <f>IF(AND(C255&gt;$F$80,'Instrumentos Financeiros'!C255&lt;'Instrumentos Financeiros'!$F$80+'Instrumentos Financeiros'!$F$12+1),PMT(((1+'Instrumentos Financeiros'!$L$43)^(1/12)-1),$F$12,-$I$80),0)</f>
        <v>368.57912678094596</v>
      </c>
      <c r="BY255" s="1312">
        <f t="shared" si="149"/>
        <v>215.86084490249317</v>
      </c>
      <c r="BZ255" s="1312">
        <f>CA254*((1+'Instrumentos Financeiros'!$L$43)^(1/12)-1)</f>
        <v>152.71828187845279</v>
      </c>
      <c r="CA255" s="1312">
        <f t="shared" si="150"/>
        <v>35102.802530937341</v>
      </c>
      <c r="CB255" s="1312">
        <f>IF(AND(C255&gt;$F$83,'Instrumentos Financeiros'!C255&lt;'Instrumentos Financeiros'!$F$83+'Instrumentos Financeiros'!$F$13+1),PMT(((1+'Instrumentos Financeiros'!$P$43)^(1/12)-1),$F$13,-$I$83),0)</f>
        <v>0</v>
      </c>
      <c r="CC255" s="1312">
        <f t="shared" si="151"/>
        <v>0</v>
      </c>
      <c r="CD255" s="1312">
        <f>CE254*((1+'Instrumentos Financeiros'!$P$43)^(1/12)-1)</f>
        <v>0</v>
      </c>
      <c r="CE255" s="1312">
        <f t="shared" si="152"/>
        <v>0</v>
      </c>
      <c r="CF255" s="1312">
        <f>IF(AND(C255&gt;$F$84,'Instrumentos Financeiros'!C255&lt;'Instrumentos Financeiros'!$F$84+'Instrumentos Financeiros'!$F$13+1),PMT(((1+'Instrumentos Financeiros'!$Q$43)^(1/12)-1),$F$13,-$I$84),0)</f>
        <v>0</v>
      </c>
      <c r="CG255" s="1312">
        <f t="shared" si="153"/>
        <v>0</v>
      </c>
      <c r="CH255" s="1312">
        <f>CI254*((1+'Instrumentos Financeiros'!$Q$43)^(1/12)-1)</f>
        <v>0</v>
      </c>
      <c r="CI255" s="1312">
        <f t="shared" si="154"/>
        <v>0</v>
      </c>
      <c r="CJ255" s="1312">
        <f>IF(AND(C255&gt;$F$85,'Instrumentos Financeiros'!C255&lt;'Instrumentos Financeiros'!$F$85+'Instrumentos Financeiros'!$F$13+1),PMT(((1+'Instrumentos Financeiros'!$Q$43)^(1/12)-1),$F$13,-$I$85),0)</f>
        <v>0</v>
      </c>
      <c r="CK255" s="1312">
        <f t="shared" si="155"/>
        <v>0</v>
      </c>
      <c r="CL255" s="1312">
        <f>CM254*((1+'Instrumentos Financeiros'!$Q$43)^(1/12)-1)</f>
        <v>0</v>
      </c>
      <c r="CM255" s="1312">
        <f t="shared" si="156"/>
        <v>0</v>
      </c>
      <c r="CN255" s="1312">
        <f>IF(AND(C255&gt;$F$86,'Instrumentos Financeiros'!C255&lt;'Instrumentos Financeiros'!$F$86+'Instrumentos Financeiros'!$F$13+1),PMT(((1+'Instrumentos Financeiros'!$Q$43)^(1/12)-1),$F$13,-$I$86),0)</f>
        <v>0</v>
      </c>
      <c r="CO255" s="1312">
        <f t="shared" si="157"/>
        <v>0</v>
      </c>
      <c r="CP255" s="1312">
        <f>CQ254*((1+'Instrumentos Financeiros'!$Q$43)^(1/12)-1)</f>
        <v>0</v>
      </c>
      <c r="CQ255" s="1312">
        <f t="shared" si="158"/>
        <v>0</v>
      </c>
      <c r="CR255" s="1312">
        <f t="shared" si="127"/>
        <v>399789.55023115332</v>
      </c>
      <c r="CS255" s="1312">
        <f t="shared" si="127"/>
        <v>258590.35244654052</v>
      </c>
      <c r="CT255" s="1312">
        <f t="shared" si="127"/>
        <v>141199.19778461274</v>
      </c>
      <c r="CU255" s="1312">
        <f t="shared" si="127"/>
        <v>32764657.0720043</v>
      </c>
    </row>
    <row r="256" spans="3:99" x14ac:dyDescent="0.35">
      <c r="C256" s="1315">
        <f t="shared" si="128"/>
        <v>163</v>
      </c>
      <c r="D256" s="1312">
        <f>IF(AND(C256&gt;$F$59,'Instrumentos Financeiros'!C256&lt;'Instrumentos Financeiros'!$F$59+'Instrumentos Financeiros'!$F$11+1),PMT(((1+'Instrumentos Financeiros'!$G$43)^(1/12)-1),$F$11,-$I$59),0)</f>
        <v>91768.589635900134</v>
      </c>
      <c r="E256" s="1312">
        <f t="shared" si="125"/>
        <v>65176.351609648504</v>
      </c>
      <c r="F256" s="1312">
        <f>G255*((1+'Instrumentos Financeiros'!$G$43)^(1/12)-1)</f>
        <v>26592.238026251631</v>
      </c>
      <c r="G256" s="1312">
        <f t="shared" si="159"/>
        <v>6449653.9424834447</v>
      </c>
      <c r="H256" s="1312">
        <f>IF(AND(C256&gt;$F$60,'Instrumentos Financeiros'!C256&lt;'Instrumentos Financeiros'!$F$60+'Instrumentos Financeiros'!$F$11+1),PMT(((1+'Instrumentos Financeiros'!$G$43)^(1/12)-1),$F$11,-$I$60),0)</f>
        <v>0</v>
      </c>
      <c r="I256" s="1312">
        <f t="shared" si="160"/>
        <v>0</v>
      </c>
      <c r="J256" s="1312">
        <f>K255*((1+'Instrumentos Financeiros'!$G$43)^(1/12)-1)</f>
        <v>0</v>
      </c>
      <c r="K256" s="1312">
        <f t="shared" si="129"/>
        <v>0</v>
      </c>
      <c r="L256" s="1312">
        <f>IF(AND(C256&gt;$F$61,'Instrumentos Financeiros'!C256&lt;'Instrumentos Financeiros'!$F$61+'Instrumentos Financeiros'!$F$11+1),PMT(((1+'Instrumentos Financeiros'!$G$43)^(1/12)-1),$F$11,-$I$61),0)</f>
        <v>0</v>
      </c>
      <c r="M256" s="1312">
        <f t="shared" si="161"/>
        <v>0</v>
      </c>
      <c r="N256" s="1312">
        <f>O255*((1+'Instrumentos Financeiros'!$G$43)^(1/12)-1)</f>
        <v>0</v>
      </c>
      <c r="O256" s="1312">
        <f t="shared" si="130"/>
        <v>0</v>
      </c>
      <c r="P256" s="1312">
        <f>IF(AND(C256&gt;$F$62,'Instrumentos Financeiros'!C256&lt;'Instrumentos Financeiros'!$F$62+'Instrumentos Financeiros'!$F$11+1),PMT(((1+'Instrumentos Financeiros'!$H$43)^(1/12)-1),$F$11,-$I$62),0)</f>
        <v>0</v>
      </c>
      <c r="Q256" s="1312">
        <f t="shared" si="162"/>
        <v>0</v>
      </c>
      <c r="R256" s="1312">
        <f>S255*((1+'Instrumentos Financeiros'!$H$43)^(1/12)-1)</f>
        <v>0</v>
      </c>
      <c r="S256" s="1312">
        <f t="shared" si="131"/>
        <v>0</v>
      </c>
      <c r="T256" s="1312">
        <f>IF(AND(C256&gt;$F$63,'Instrumentos Financeiros'!C256&lt;'Instrumentos Financeiros'!$F$63+'Instrumentos Financeiros'!$F$11+1),PMT(((1+'Instrumentos Financeiros'!$H$43)^(1/12)-1),$F$11,-$I$63),0)</f>
        <v>0</v>
      </c>
      <c r="U256" s="1312">
        <f t="shared" si="163"/>
        <v>0</v>
      </c>
      <c r="V256" s="1312">
        <f>W255*((1+'Instrumentos Financeiros'!$H$43)^(1/12)-1)</f>
        <v>0</v>
      </c>
      <c r="W256" s="1312">
        <f t="shared" si="132"/>
        <v>0</v>
      </c>
      <c r="X256" s="1312">
        <f>IF(AND(C256&gt;$F$64,'Instrumentos Financeiros'!C256&lt;'Instrumentos Financeiros'!$F$64+'Instrumentos Financeiros'!$F$11+1),PMT(((1+'Instrumentos Financeiros'!$H$43)^(1/12)-1),$F$11,-$I$64),0)</f>
        <v>0</v>
      </c>
      <c r="Y256" s="1312">
        <f t="shared" si="164"/>
        <v>0</v>
      </c>
      <c r="Z256" s="1312">
        <f>AA255*((1+'Instrumentos Financeiros'!$H$43)^(1/12)-1)</f>
        <v>0</v>
      </c>
      <c r="AA256" s="1312">
        <f t="shared" si="133"/>
        <v>0</v>
      </c>
      <c r="AB256" s="1312">
        <f>IF(AND(C256&gt;$F$65,'Instrumentos Financeiros'!C256&lt;'Instrumentos Financeiros'!$F$65+'Instrumentos Financeiros'!$F$11+1),PMT(((1+'Instrumentos Financeiros'!$H$43)^(1/12)-1),$F$11,-$I$65),0)</f>
        <v>76636.661022032335</v>
      </c>
      <c r="AC256" s="1312">
        <f t="shared" si="165"/>
        <v>49351.949799876194</v>
      </c>
      <c r="AD256" s="1312">
        <f>AE255*((1+'Instrumentos Financeiros'!$H$43)^(1/12)-1)</f>
        <v>27284.71122215614</v>
      </c>
      <c r="AE256" s="1312">
        <f t="shared" si="134"/>
        <v>6260695.0145138055</v>
      </c>
      <c r="AF256" s="1312">
        <f>IF(AND(C256&gt;$F$66,'Instrumentos Financeiros'!C256&lt;'Instrumentos Financeiros'!$F$66+'Instrumentos Financeiros'!$F$11+1),PMT(((1+'Instrumentos Financeiros'!$I$43)^(1/12)-1),$F$11,-$I$66),0)</f>
        <v>76636.661022032335</v>
      </c>
      <c r="AG256" s="1312">
        <f t="shared" si="166"/>
        <v>48717.251487041489</v>
      </c>
      <c r="AH256" s="1312">
        <f>AI255*((1+'Instrumentos Financeiros'!$I$43)^(1/12)-1)</f>
        <v>27919.409534990842</v>
      </c>
      <c r="AI256" s="1312">
        <f t="shared" si="135"/>
        <v>6408114.3399223248</v>
      </c>
      <c r="AJ256" s="1312">
        <f>IF(AND(C256&gt;$F$67,'Instrumentos Financeiros'!C256&lt;'Instrumentos Financeiros'!$F$67+'Instrumentos Financeiros'!$F$11+1),PMT(((1+'Instrumentos Financeiros'!$I$43)^(1/12)-1),$F$11,-$I$67),0)</f>
        <v>76636.661022032335</v>
      </c>
      <c r="AK256" s="1312">
        <f t="shared" si="167"/>
        <v>48090.715809116838</v>
      </c>
      <c r="AL256" s="1312">
        <f>AM255*((1+'Instrumentos Financeiros'!$I$43)^(1/12)-1)</f>
        <v>28545.9452129155</v>
      </c>
      <c r="AM256" s="1312">
        <f t="shared" si="136"/>
        <v>6553637.7565066647</v>
      </c>
      <c r="AN256" s="1312">
        <f>IF(AND(C256&gt;$F$68,'Instrumentos Financeiros'!C256&lt;'Instrumentos Financeiros'!$F$68+'Instrumentos Financeiros'!$F$11+1),PMT(((1+'Instrumentos Financeiros'!$I$43)^(1/12)-1),$F$11,-$I$68),0)</f>
        <v>76636.661022032335</v>
      </c>
      <c r="AO256" s="1312">
        <f t="shared" si="168"/>
        <v>47472.237789285158</v>
      </c>
      <c r="AP256" s="1312">
        <f>AQ255*((1+'Instrumentos Financeiros'!$I$43)^(1/12)-1)</f>
        <v>29164.423232747176</v>
      </c>
      <c r="AQ256" s="1312">
        <f t="shared" si="137"/>
        <v>6697289.6468927795</v>
      </c>
      <c r="AR256" s="1312">
        <f>IF(AND(C256&gt;$F$69,'Instrumentos Financeiros'!C256&lt;'Instrumentos Financeiros'!$F$69+'Instrumentos Financeiros'!$F$11+1),PMT(((1+'Instrumentos Financeiros'!$I$43)^(1/12)-1),$F$11,-$I$69),0)</f>
        <v>0</v>
      </c>
      <c r="AS256" s="1312">
        <f t="shared" si="169"/>
        <v>0</v>
      </c>
      <c r="AT256" s="1312">
        <f>AU255*((1+'Instrumentos Financeiros'!$I$43)^(1/12)-1)</f>
        <v>0</v>
      </c>
      <c r="AU256" s="1312">
        <f t="shared" si="138"/>
        <v>0</v>
      </c>
      <c r="AV256" s="1312">
        <f>IF(AND(C256&gt;$F$70,'Instrumentos Financeiros'!C256&lt;'Instrumentos Financeiros'!$F$70+'Instrumentos Financeiros'!$F$11+1),PMT(((1+'Instrumentos Financeiros'!$J$43)^(1/12)-1),$F$11,-$I$70),0)</f>
        <v>0</v>
      </c>
      <c r="AW256" s="1312">
        <f t="shared" si="170"/>
        <v>0</v>
      </c>
      <c r="AX256" s="1312">
        <f>AY255*((1+'Instrumentos Financeiros'!$J$43)^(1/12)-1)</f>
        <v>0</v>
      </c>
      <c r="AY256" s="1312">
        <f t="shared" si="139"/>
        <v>0</v>
      </c>
      <c r="AZ256" s="1312">
        <f>IF(AND(C256&gt;$F$71,'Instrumentos Financeiros'!C256&lt;'Instrumentos Financeiros'!$F$71+'Instrumentos Financeiros'!$F$11+1),PMT(((1+'Instrumentos Financeiros'!$J$43)^(1/12)-1),$F$11,-$I$71),0)</f>
        <v>0</v>
      </c>
      <c r="BA256" s="1312">
        <f t="shared" si="171"/>
        <v>0</v>
      </c>
      <c r="BB256" s="1312">
        <f>BC255*((1+'Instrumentos Financeiros'!$J$43)^(1/12)-1)</f>
        <v>0</v>
      </c>
      <c r="BC256" s="1312">
        <f t="shared" si="140"/>
        <v>0</v>
      </c>
      <c r="BD256" s="1312">
        <f>IF(AND(C256&gt;$F$72,'Instrumentos Financeiros'!C256&lt;'Instrumentos Financeiros'!$F$72+'Instrumentos Financeiros'!$F$11+1),PMT(((1+'Instrumentos Financeiros'!$J$43)^(1/12)-1),$F$11,-'Instrumentos Financeiros'!$G$7*$G$72),0)</f>
        <v>0</v>
      </c>
      <c r="BE256" s="1312">
        <f t="shared" si="172"/>
        <v>0</v>
      </c>
      <c r="BF256" s="1312">
        <f>BG255*((1+'Instrumentos Financeiros'!$J$43)^(1/12)-1)</f>
        <v>0</v>
      </c>
      <c r="BG256" s="1312">
        <f t="shared" si="141"/>
        <v>0</v>
      </c>
      <c r="BH256" s="1312">
        <f>IF(AND(C256&gt;$F$73,'Instrumentos Financeiros'!C256&lt;'Instrumentos Financeiros'!$F$73+'Instrumentos Financeiros'!$F$11+1),PMT(((1+'Instrumentos Financeiros'!$J$43)^(1/12)-1),$F$11,-$I$73),0)</f>
        <v>0</v>
      </c>
      <c r="BI256" s="1312">
        <f t="shared" si="173"/>
        <v>0</v>
      </c>
      <c r="BJ256" s="1312">
        <f>BK255*((1+'Instrumentos Financeiros'!$J$43)^(1/12)-1)</f>
        <v>0</v>
      </c>
      <c r="BK256" s="1312">
        <f t="shared" si="142"/>
        <v>0</v>
      </c>
      <c r="BL256" s="1312">
        <f>IF(AND(C256&gt;$F$77,'Instrumentos Financeiros'!C256&lt;'Instrumentos Financeiros'!$F$77+'Instrumentos Financeiros'!$F$12+1),PMT(((1+'Instrumentos Financeiros'!$K$43)^(1/12)-1),$F$12,-$I$77),0)</f>
        <v>368.57912678094596</v>
      </c>
      <c r="BM256" s="1312">
        <f t="shared" si="143"/>
        <v>225.37841969904983</v>
      </c>
      <c r="BN256" s="1312">
        <f>BO255*((1+'Instrumentos Financeiros'!$K$43)^(1/12)-1)</f>
        <v>143.20070708189613</v>
      </c>
      <c r="BO256" s="1312">
        <f t="shared" si="144"/>
        <v>32892.186199270931</v>
      </c>
      <c r="BP256" s="1312">
        <f>IF(AND(C256&gt;$F$78,'Instrumentos Financeiros'!C256&lt;'Instrumentos Financeiros'!$F$78+'Instrumentos Financeiros'!$F$12+1),PMT(((1+'Instrumentos Financeiros'!$L$43)^(1/12)-1),$F$12,-$I$78),0)</f>
        <v>368.57912678094596</v>
      </c>
      <c r="BQ256" s="1312">
        <f t="shared" si="145"/>
        <v>222.47990599670575</v>
      </c>
      <c r="BR256" s="1312">
        <f>BS255*((1+'Instrumentos Financeiros'!$L$43)^(1/12)-1)</f>
        <v>146.0992207842402</v>
      </c>
      <c r="BS256" s="1312">
        <f t="shared" si="146"/>
        <v>33565.414607234568</v>
      </c>
      <c r="BT256" s="1312">
        <f>IF(AND(C256&gt;$F$79,'Instrumentos Financeiros'!C256&lt;'Instrumentos Financeiros'!$F$79+'Instrumentos Financeiros'!$F$12+1),PMT(((1+'Instrumentos Financeiros'!$L$43)^(1/12)-1),$F$12,-$I$79),0)</f>
        <v>368.57912678094596</v>
      </c>
      <c r="BU256" s="1312">
        <f t="shared" si="147"/>
        <v>219.61866907398371</v>
      </c>
      <c r="BV256" s="1312">
        <f>BW255*((1+'Instrumentos Financeiros'!$L$43)^(1/12)-1)</f>
        <v>148.96045770696225</v>
      </c>
      <c r="BW256" s="1312">
        <f t="shared" si="148"/>
        <v>34229.984858095602</v>
      </c>
      <c r="BX256" s="1312">
        <f>IF(AND(C256&gt;$F$80,'Instrumentos Financeiros'!C256&lt;'Instrumentos Financeiros'!$F$80+'Instrumentos Financeiros'!$F$12+1),PMT(((1+'Instrumentos Financeiros'!$L$43)^(1/12)-1),$F$12,-$I$80),0)</f>
        <v>368.57912678094596</v>
      </c>
      <c r="BY256" s="1312">
        <f t="shared" si="149"/>
        <v>216.79422952714719</v>
      </c>
      <c r="BZ256" s="1312">
        <f>CA255*((1+'Instrumentos Financeiros'!$L$43)^(1/12)-1)</f>
        <v>151.78489725379876</v>
      </c>
      <c r="CA256" s="1312">
        <f t="shared" si="150"/>
        <v>34886.008301410191</v>
      </c>
      <c r="CB256" s="1312">
        <f>IF(AND(C256&gt;$F$83,'Instrumentos Financeiros'!C256&lt;'Instrumentos Financeiros'!$F$83+'Instrumentos Financeiros'!$F$13+1),PMT(((1+'Instrumentos Financeiros'!$P$43)^(1/12)-1),$F$13,-$I$83),0)</f>
        <v>0</v>
      </c>
      <c r="CC256" s="1312">
        <f t="shared" si="151"/>
        <v>0</v>
      </c>
      <c r="CD256" s="1312">
        <f>CE255*((1+'Instrumentos Financeiros'!$P$43)^(1/12)-1)</f>
        <v>0</v>
      </c>
      <c r="CE256" s="1312">
        <f t="shared" si="152"/>
        <v>0</v>
      </c>
      <c r="CF256" s="1312">
        <f>IF(AND(C256&gt;$F$84,'Instrumentos Financeiros'!C256&lt;'Instrumentos Financeiros'!$F$84+'Instrumentos Financeiros'!$F$13+1),PMT(((1+'Instrumentos Financeiros'!$Q$43)^(1/12)-1),$F$13,-$I$84),0)</f>
        <v>0</v>
      </c>
      <c r="CG256" s="1312">
        <f t="shared" si="153"/>
        <v>0</v>
      </c>
      <c r="CH256" s="1312">
        <f>CI255*((1+'Instrumentos Financeiros'!$Q$43)^(1/12)-1)</f>
        <v>0</v>
      </c>
      <c r="CI256" s="1312">
        <f t="shared" si="154"/>
        <v>0</v>
      </c>
      <c r="CJ256" s="1312">
        <f>IF(AND(C256&gt;$F$85,'Instrumentos Financeiros'!C256&lt;'Instrumentos Financeiros'!$F$85+'Instrumentos Financeiros'!$F$13+1),PMT(((1+'Instrumentos Financeiros'!$Q$43)^(1/12)-1),$F$13,-$I$85),0)</f>
        <v>0</v>
      </c>
      <c r="CK256" s="1312">
        <f t="shared" si="155"/>
        <v>0</v>
      </c>
      <c r="CL256" s="1312">
        <f>CM255*((1+'Instrumentos Financeiros'!$Q$43)^(1/12)-1)</f>
        <v>0</v>
      </c>
      <c r="CM256" s="1312">
        <f t="shared" si="156"/>
        <v>0</v>
      </c>
      <c r="CN256" s="1312">
        <f>IF(AND(C256&gt;$F$86,'Instrumentos Financeiros'!C256&lt;'Instrumentos Financeiros'!$F$86+'Instrumentos Financeiros'!$F$13+1),PMT(((1+'Instrumentos Financeiros'!$Q$43)^(1/12)-1),$F$13,-$I$86),0)</f>
        <v>0</v>
      </c>
      <c r="CO256" s="1312">
        <f t="shared" si="157"/>
        <v>0</v>
      </c>
      <c r="CP256" s="1312">
        <f>CQ255*((1+'Instrumentos Financeiros'!$Q$43)^(1/12)-1)</f>
        <v>0</v>
      </c>
      <c r="CQ256" s="1312">
        <f t="shared" si="158"/>
        <v>0</v>
      </c>
      <c r="CR256" s="1312">
        <f t="shared" si="127"/>
        <v>399789.55023115332</v>
      </c>
      <c r="CS256" s="1312">
        <f t="shared" si="127"/>
        <v>259692.77771926505</v>
      </c>
      <c r="CT256" s="1312">
        <f t="shared" si="127"/>
        <v>140096.77251188818</v>
      </c>
      <c r="CU256" s="1312">
        <f t="shared" si="127"/>
        <v>32504964.294285025</v>
      </c>
    </row>
    <row r="257" spans="3:99" x14ac:dyDescent="0.35">
      <c r="C257" s="1315">
        <f t="shared" si="128"/>
        <v>164</v>
      </c>
      <c r="D257" s="1312">
        <f>IF(AND(C257&gt;$F$59,'Instrumentos Financeiros'!C257&lt;'Instrumentos Financeiros'!$F$59+'Instrumentos Financeiros'!$F$11+1),PMT(((1+'Instrumentos Financeiros'!$G$43)^(1/12)-1),$F$11,-$I$59),0)</f>
        <v>91768.589635900134</v>
      </c>
      <c r="E257" s="1312">
        <f t="shared" si="125"/>
        <v>65442.388478983063</v>
      </c>
      <c r="F257" s="1312">
        <f>G256*((1+'Instrumentos Financeiros'!$G$43)^(1/12)-1)</f>
        <v>26326.201156917075</v>
      </c>
      <c r="G257" s="1312">
        <f t="shared" si="159"/>
        <v>6384211.5540044615</v>
      </c>
      <c r="H257" s="1312">
        <f>IF(AND(C257&gt;$F$60,'Instrumentos Financeiros'!C257&lt;'Instrumentos Financeiros'!$F$60+'Instrumentos Financeiros'!$F$11+1),PMT(((1+'Instrumentos Financeiros'!$G$43)^(1/12)-1),$F$11,-$I$60),0)</f>
        <v>0</v>
      </c>
      <c r="I257" s="1312">
        <f t="shared" si="160"/>
        <v>0</v>
      </c>
      <c r="J257" s="1312">
        <f>K256*((1+'Instrumentos Financeiros'!$G$43)^(1/12)-1)</f>
        <v>0</v>
      </c>
      <c r="K257" s="1312">
        <f t="shared" si="129"/>
        <v>0</v>
      </c>
      <c r="L257" s="1312">
        <f>IF(AND(C257&gt;$F$61,'Instrumentos Financeiros'!C257&lt;'Instrumentos Financeiros'!$F$61+'Instrumentos Financeiros'!$F$11+1),PMT(((1+'Instrumentos Financeiros'!$G$43)^(1/12)-1),$F$11,-$I$61),0)</f>
        <v>0</v>
      </c>
      <c r="M257" s="1312">
        <f t="shared" si="161"/>
        <v>0</v>
      </c>
      <c r="N257" s="1312">
        <f>O256*((1+'Instrumentos Financeiros'!$G$43)^(1/12)-1)</f>
        <v>0</v>
      </c>
      <c r="O257" s="1312">
        <f t="shared" si="130"/>
        <v>0</v>
      </c>
      <c r="P257" s="1312">
        <f>IF(AND(C257&gt;$F$62,'Instrumentos Financeiros'!C257&lt;'Instrumentos Financeiros'!$F$62+'Instrumentos Financeiros'!$F$11+1),PMT(((1+'Instrumentos Financeiros'!$H$43)^(1/12)-1),$F$11,-$I$62),0)</f>
        <v>0</v>
      </c>
      <c r="Q257" s="1312">
        <f t="shared" si="162"/>
        <v>0</v>
      </c>
      <c r="R257" s="1312">
        <f>S256*((1+'Instrumentos Financeiros'!$H$43)^(1/12)-1)</f>
        <v>0</v>
      </c>
      <c r="S257" s="1312">
        <f t="shared" si="131"/>
        <v>0</v>
      </c>
      <c r="T257" s="1312">
        <f>IF(AND(C257&gt;$F$63,'Instrumentos Financeiros'!C257&lt;'Instrumentos Financeiros'!$F$63+'Instrumentos Financeiros'!$F$11+1),PMT(((1+'Instrumentos Financeiros'!$H$43)^(1/12)-1),$F$11,-$I$63),0)</f>
        <v>0</v>
      </c>
      <c r="U257" s="1312">
        <f t="shared" si="163"/>
        <v>0</v>
      </c>
      <c r="V257" s="1312">
        <f>W256*((1+'Instrumentos Financeiros'!$H$43)^(1/12)-1)</f>
        <v>0</v>
      </c>
      <c r="W257" s="1312">
        <f t="shared" si="132"/>
        <v>0</v>
      </c>
      <c r="X257" s="1312">
        <f>IF(AND(C257&gt;$F$64,'Instrumentos Financeiros'!C257&lt;'Instrumentos Financeiros'!$F$64+'Instrumentos Financeiros'!$F$11+1),PMT(((1+'Instrumentos Financeiros'!$H$43)^(1/12)-1),$F$11,-$I$64),0)</f>
        <v>0</v>
      </c>
      <c r="Y257" s="1312">
        <f t="shared" si="164"/>
        <v>0</v>
      </c>
      <c r="Z257" s="1312">
        <f>AA256*((1+'Instrumentos Financeiros'!$H$43)^(1/12)-1)</f>
        <v>0</v>
      </c>
      <c r="AA257" s="1312">
        <f t="shared" si="133"/>
        <v>0</v>
      </c>
      <c r="AB257" s="1312">
        <f>IF(AND(C257&gt;$F$65,'Instrumentos Financeiros'!C257&lt;'Instrumentos Financeiros'!$F$65+'Instrumentos Financeiros'!$F$11+1),PMT(((1+'Instrumentos Financeiros'!$H$43)^(1/12)-1),$F$11,-$I$65),0)</f>
        <v>76636.661022032335</v>
      </c>
      <c r="AC257" s="1312">
        <f t="shared" si="165"/>
        <v>49565.348163811577</v>
      </c>
      <c r="AD257" s="1312">
        <f>AE256*((1+'Instrumentos Financeiros'!$H$43)^(1/12)-1)</f>
        <v>27071.312858220757</v>
      </c>
      <c r="AE257" s="1312">
        <f t="shared" si="134"/>
        <v>6211129.666349994</v>
      </c>
      <c r="AF257" s="1312">
        <f>IF(AND(C257&gt;$F$66,'Instrumentos Financeiros'!C257&lt;'Instrumentos Financeiros'!$F$66+'Instrumentos Financeiros'!$F$11+1),PMT(((1+'Instrumentos Financeiros'!$I$43)^(1/12)-1),$F$11,-$I$66),0)</f>
        <v>76636.661022032335</v>
      </c>
      <c r="AG257" s="1312">
        <f t="shared" si="166"/>
        <v>48927.905408617444</v>
      </c>
      <c r="AH257" s="1312">
        <f>AI256*((1+'Instrumentos Financeiros'!$I$43)^(1/12)-1)</f>
        <v>27708.755613414894</v>
      </c>
      <c r="AI257" s="1312">
        <f t="shared" si="135"/>
        <v>6359186.4345137076</v>
      </c>
      <c r="AJ257" s="1312">
        <f>IF(AND(C257&gt;$F$67,'Instrumentos Financeiros'!C257&lt;'Instrumentos Financeiros'!$F$67+'Instrumentos Financeiros'!$F$11+1),PMT(((1+'Instrumentos Financeiros'!$I$43)^(1/12)-1),$F$11,-$I$67),0)</f>
        <v>76636.661022032335</v>
      </c>
      <c r="AK257" s="1312">
        <f t="shared" si="167"/>
        <v>48298.660583654855</v>
      </c>
      <c r="AL257" s="1312">
        <f>AM256*((1+'Instrumentos Financeiros'!$I$43)^(1/12)-1)</f>
        <v>28338.000438377476</v>
      </c>
      <c r="AM257" s="1312">
        <f t="shared" si="136"/>
        <v>6505339.0959230103</v>
      </c>
      <c r="AN257" s="1312">
        <f>IF(AND(C257&gt;$F$68,'Instrumentos Financeiros'!C257&lt;'Instrumentos Financeiros'!$F$68+'Instrumentos Financeiros'!$F$11+1),PMT(((1+'Instrumentos Financeiros'!$I$43)^(1/12)-1),$F$11,-$I$68),0)</f>
        <v>76636.661022032335</v>
      </c>
      <c r="AO257" s="1312">
        <f t="shared" si="168"/>
        <v>47677.508258185873</v>
      </c>
      <c r="AP257" s="1312">
        <f>AQ256*((1+'Instrumentos Financeiros'!$I$43)^(1/12)-1)</f>
        <v>28959.152763846465</v>
      </c>
      <c r="AQ257" s="1312">
        <f t="shared" si="137"/>
        <v>6649612.1386345932</v>
      </c>
      <c r="AR257" s="1312">
        <f>IF(AND(C257&gt;$F$69,'Instrumentos Financeiros'!C257&lt;'Instrumentos Financeiros'!$F$69+'Instrumentos Financeiros'!$F$11+1),PMT(((1+'Instrumentos Financeiros'!$I$43)^(1/12)-1),$F$11,-$I$69),0)</f>
        <v>0</v>
      </c>
      <c r="AS257" s="1312">
        <f t="shared" si="169"/>
        <v>0</v>
      </c>
      <c r="AT257" s="1312">
        <f>AU256*((1+'Instrumentos Financeiros'!$I$43)^(1/12)-1)</f>
        <v>0</v>
      </c>
      <c r="AU257" s="1312">
        <f t="shared" si="138"/>
        <v>0</v>
      </c>
      <c r="AV257" s="1312">
        <f>IF(AND(C257&gt;$F$70,'Instrumentos Financeiros'!C257&lt;'Instrumentos Financeiros'!$F$70+'Instrumentos Financeiros'!$F$11+1),PMT(((1+'Instrumentos Financeiros'!$J$43)^(1/12)-1),$F$11,-$I$70),0)</f>
        <v>0</v>
      </c>
      <c r="AW257" s="1312">
        <f t="shared" si="170"/>
        <v>0</v>
      </c>
      <c r="AX257" s="1312">
        <f>AY256*((1+'Instrumentos Financeiros'!$J$43)^(1/12)-1)</f>
        <v>0</v>
      </c>
      <c r="AY257" s="1312">
        <f t="shared" si="139"/>
        <v>0</v>
      </c>
      <c r="AZ257" s="1312">
        <f>IF(AND(C257&gt;$F$71,'Instrumentos Financeiros'!C257&lt;'Instrumentos Financeiros'!$F$71+'Instrumentos Financeiros'!$F$11+1),PMT(((1+'Instrumentos Financeiros'!$J$43)^(1/12)-1),$F$11,-$I$71),0)</f>
        <v>0</v>
      </c>
      <c r="BA257" s="1312">
        <f t="shared" si="171"/>
        <v>0</v>
      </c>
      <c r="BB257" s="1312">
        <f>BC256*((1+'Instrumentos Financeiros'!$J$43)^(1/12)-1)</f>
        <v>0</v>
      </c>
      <c r="BC257" s="1312">
        <f t="shared" si="140"/>
        <v>0</v>
      </c>
      <c r="BD257" s="1312">
        <f>IF(AND(C257&gt;$F$72,'Instrumentos Financeiros'!C257&lt;'Instrumentos Financeiros'!$F$72+'Instrumentos Financeiros'!$F$11+1),PMT(((1+'Instrumentos Financeiros'!$J$43)^(1/12)-1),$F$11,-'Instrumentos Financeiros'!$G$7*$G$72),0)</f>
        <v>0</v>
      </c>
      <c r="BE257" s="1312">
        <f t="shared" si="172"/>
        <v>0</v>
      </c>
      <c r="BF257" s="1312">
        <f>BG256*((1+'Instrumentos Financeiros'!$J$43)^(1/12)-1)</f>
        <v>0</v>
      </c>
      <c r="BG257" s="1312">
        <f t="shared" si="141"/>
        <v>0</v>
      </c>
      <c r="BH257" s="1312">
        <f>IF(AND(C257&gt;$F$73,'Instrumentos Financeiros'!C257&lt;'Instrumentos Financeiros'!$F$73+'Instrumentos Financeiros'!$F$11+1),PMT(((1+'Instrumentos Financeiros'!$J$43)^(1/12)-1),$F$11,-$I$73),0)</f>
        <v>0</v>
      </c>
      <c r="BI257" s="1312">
        <f t="shared" si="173"/>
        <v>0</v>
      </c>
      <c r="BJ257" s="1312">
        <f>BK256*((1+'Instrumentos Financeiros'!$J$43)^(1/12)-1)</f>
        <v>0</v>
      </c>
      <c r="BK257" s="1312">
        <f t="shared" si="142"/>
        <v>0</v>
      </c>
      <c r="BL257" s="1312">
        <f>IF(AND(C257&gt;$F$77,'Instrumentos Financeiros'!C257&lt;'Instrumentos Financeiros'!$F$77+'Instrumentos Financeiros'!$F$12+1),PMT(((1+'Instrumentos Financeiros'!$K$43)^(1/12)-1),$F$12,-$I$77),0)</f>
        <v>368.57912678094596</v>
      </c>
      <c r="BM257" s="1312">
        <f t="shared" si="143"/>
        <v>226.3529584199139</v>
      </c>
      <c r="BN257" s="1312">
        <f>BO256*((1+'Instrumentos Financeiros'!$K$43)^(1/12)-1)</f>
        <v>142.22616836103205</v>
      </c>
      <c r="BO257" s="1312">
        <f t="shared" si="144"/>
        <v>32665.833240851018</v>
      </c>
      <c r="BP257" s="1312">
        <f>IF(AND(C257&gt;$F$78,'Instrumentos Financeiros'!C257&lt;'Instrumentos Financeiros'!$F$78+'Instrumentos Financeiros'!$F$12+1),PMT(((1+'Instrumentos Financeiros'!$L$43)^(1/12)-1),$F$12,-$I$78),0)</f>
        <v>368.57912678094596</v>
      </c>
      <c r="BQ257" s="1312">
        <f t="shared" si="145"/>
        <v>223.44191151301698</v>
      </c>
      <c r="BR257" s="1312">
        <f>BS256*((1+'Instrumentos Financeiros'!$L$43)^(1/12)-1)</f>
        <v>145.13721526792898</v>
      </c>
      <c r="BS257" s="1312">
        <f t="shared" si="146"/>
        <v>33341.972695721553</v>
      </c>
      <c r="BT257" s="1312">
        <f>IF(AND(C257&gt;$F$79,'Instrumentos Financeiros'!C257&lt;'Instrumentos Financeiros'!$F$79+'Instrumentos Financeiros'!$F$12+1),PMT(((1+'Instrumentos Financeiros'!$L$43)^(1/12)-1),$F$12,-$I$79),0)</f>
        <v>368.57912678094596</v>
      </c>
      <c r="BU257" s="1312">
        <f t="shared" si="147"/>
        <v>220.56830257093972</v>
      </c>
      <c r="BV257" s="1312">
        <f>BW256*((1+'Instrumentos Financeiros'!$L$43)^(1/12)-1)</f>
        <v>148.01082421000623</v>
      </c>
      <c r="BW257" s="1312">
        <f t="shared" si="148"/>
        <v>34009.416555524665</v>
      </c>
      <c r="BX257" s="1312">
        <f>IF(AND(C257&gt;$F$80,'Instrumentos Financeiros'!C257&lt;'Instrumentos Financeiros'!$F$80+'Instrumentos Financeiros'!$F$12+1),PMT(((1+'Instrumentos Financeiros'!$L$43)^(1/12)-1),$F$12,-$I$80),0)</f>
        <v>368.57912678094596</v>
      </c>
      <c r="BY257" s="1312">
        <f t="shared" si="149"/>
        <v>217.73165011699876</v>
      </c>
      <c r="BZ257" s="1312">
        <f>CA256*((1+'Instrumentos Financeiros'!$L$43)^(1/12)-1)</f>
        <v>150.84747666394719</v>
      </c>
      <c r="CA257" s="1312">
        <f t="shared" si="150"/>
        <v>34668.276651293192</v>
      </c>
      <c r="CB257" s="1312">
        <f>IF(AND(C257&gt;$F$83,'Instrumentos Financeiros'!C257&lt;'Instrumentos Financeiros'!$F$83+'Instrumentos Financeiros'!$F$13+1),PMT(((1+'Instrumentos Financeiros'!$P$43)^(1/12)-1),$F$13,-$I$83),0)</f>
        <v>0</v>
      </c>
      <c r="CC257" s="1312">
        <f t="shared" si="151"/>
        <v>0</v>
      </c>
      <c r="CD257" s="1312">
        <f>CE256*((1+'Instrumentos Financeiros'!$P$43)^(1/12)-1)</f>
        <v>0</v>
      </c>
      <c r="CE257" s="1312">
        <f t="shared" si="152"/>
        <v>0</v>
      </c>
      <c r="CF257" s="1312">
        <f>IF(AND(C257&gt;$F$84,'Instrumentos Financeiros'!C257&lt;'Instrumentos Financeiros'!$F$84+'Instrumentos Financeiros'!$F$13+1),PMT(((1+'Instrumentos Financeiros'!$Q$43)^(1/12)-1),$F$13,-$I$84),0)</f>
        <v>0</v>
      </c>
      <c r="CG257" s="1312">
        <f t="shared" si="153"/>
        <v>0</v>
      </c>
      <c r="CH257" s="1312">
        <f>CI256*((1+'Instrumentos Financeiros'!$Q$43)^(1/12)-1)</f>
        <v>0</v>
      </c>
      <c r="CI257" s="1312">
        <f t="shared" si="154"/>
        <v>0</v>
      </c>
      <c r="CJ257" s="1312">
        <f>IF(AND(C257&gt;$F$85,'Instrumentos Financeiros'!C257&lt;'Instrumentos Financeiros'!$F$85+'Instrumentos Financeiros'!$F$13+1),PMT(((1+'Instrumentos Financeiros'!$Q$43)^(1/12)-1),$F$13,-$I$85),0)</f>
        <v>0</v>
      </c>
      <c r="CK257" s="1312">
        <f t="shared" si="155"/>
        <v>0</v>
      </c>
      <c r="CL257" s="1312">
        <f>CM256*((1+'Instrumentos Financeiros'!$Q$43)^(1/12)-1)</f>
        <v>0</v>
      </c>
      <c r="CM257" s="1312">
        <f t="shared" si="156"/>
        <v>0</v>
      </c>
      <c r="CN257" s="1312">
        <f>IF(AND(C257&gt;$F$86,'Instrumentos Financeiros'!C257&lt;'Instrumentos Financeiros'!$F$86+'Instrumentos Financeiros'!$F$13+1),PMT(((1+'Instrumentos Financeiros'!$Q$43)^(1/12)-1),$F$13,-$I$86),0)</f>
        <v>0</v>
      </c>
      <c r="CO257" s="1312">
        <f t="shared" si="157"/>
        <v>0</v>
      </c>
      <c r="CP257" s="1312">
        <f>CQ256*((1+'Instrumentos Financeiros'!$Q$43)^(1/12)-1)</f>
        <v>0</v>
      </c>
      <c r="CQ257" s="1312">
        <f t="shared" si="158"/>
        <v>0</v>
      </c>
      <c r="CR257" s="1312">
        <f t="shared" si="127"/>
        <v>399789.55023115332</v>
      </c>
      <c r="CS257" s="1312">
        <f t="shared" si="127"/>
        <v>260799.90571587367</v>
      </c>
      <c r="CT257" s="1312">
        <f t="shared" si="127"/>
        <v>138989.64451527956</v>
      </c>
      <c r="CU257" s="1312">
        <f t="shared" si="127"/>
        <v>32244164.388569158</v>
      </c>
    </row>
    <row r="258" spans="3:99" x14ac:dyDescent="0.35">
      <c r="C258" s="1315">
        <f t="shared" si="128"/>
        <v>165</v>
      </c>
      <c r="D258" s="1312">
        <f>IF(AND(C258&gt;$F$59,'Instrumentos Financeiros'!C258&lt;'Instrumentos Financeiros'!$F$59+'Instrumentos Financeiros'!$F$11+1),PMT(((1+'Instrumentos Financeiros'!$G$43)^(1/12)-1),$F$11,-$I$59),0)</f>
        <v>91768.589635900134</v>
      </c>
      <c r="E258" s="1312">
        <f t="shared" si="125"/>
        <v>65709.511257763254</v>
      </c>
      <c r="F258" s="1312">
        <f>G257*((1+'Instrumentos Financeiros'!$G$43)^(1/12)-1)</f>
        <v>26059.078378136881</v>
      </c>
      <c r="G258" s="1312">
        <f t="shared" si="159"/>
        <v>6318502.0427466985</v>
      </c>
      <c r="H258" s="1312">
        <f>IF(AND(C258&gt;$F$60,'Instrumentos Financeiros'!C258&lt;'Instrumentos Financeiros'!$F$60+'Instrumentos Financeiros'!$F$11+1),PMT(((1+'Instrumentos Financeiros'!$G$43)^(1/12)-1),$F$11,-$I$60),0)</f>
        <v>0</v>
      </c>
      <c r="I258" s="1312">
        <f t="shared" si="160"/>
        <v>0</v>
      </c>
      <c r="J258" s="1312">
        <f>K257*((1+'Instrumentos Financeiros'!$G$43)^(1/12)-1)</f>
        <v>0</v>
      </c>
      <c r="K258" s="1312">
        <f t="shared" si="129"/>
        <v>0</v>
      </c>
      <c r="L258" s="1312">
        <f>IF(AND(C258&gt;$F$61,'Instrumentos Financeiros'!C258&lt;'Instrumentos Financeiros'!$F$61+'Instrumentos Financeiros'!$F$11+1),PMT(((1+'Instrumentos Financeiros'!$G$43)^(1/12)-1),$F$11,-$I$61),0)</f>
        <v>0</v>
      </c>
      <c r="M258" s="1312">
        <f t="shared" si="161"/>
        <v>0</v>
      </c>
      <c r="N258" s="1312">
        <f>O257*((1+'Instrumentos Financeiros'!$G$43)^(1/12)-1)</f>
        <v>0</v>
      </c>
      <c r="O258" s="1312">
        <f t="shared" si="130"/>
        <v>0</v>
      </c>
      <c r="P258" s="1312">
        <f>IF(AND(C258&gt;$F$62,'Instrumentos Financeiros'!C258&lt;'Instrumentos Financeiros'!$F$62+'Instrumentos Financeiros'!$F$11+1),PMT(((1+'Instrumentos Financeiros'!$H$43)^(1/12)-1),$F$11,-$I$62),0)</f>
        <v>0</v>
      </c>
      <c r="Q258" s="1312">
        <f t="shared" si="162"/>
        <v>0</v>
      </c>
      <c r="R258" s="1312">
        <f>S257*((1+'Instrumentos Financeiros'!$H$43)^(1/12)-1)</f>
        <v>0</v>
      </c>
      <c r="S258" s="1312">
        <f t="shared" si="131"/>
        <v>0</v>
      </c>
      <c r="T258" s="1312">
        <f>IF(AND(C258&gt;$F$63,'Instrumentos Financeiros'!C258&lt;'Instrumentos Financeiros'!$F$63+'Instrumentos Financeiros'!$F$11+1),PMT(((1+'Instrumentos Financeiros'!$H$43)^(1/12)-1),$F$11,-$I$63),0)</f>
        <v>0</v>
      </c>
      <c r="U258" s="1312">
        <f t="shared" si="163"/>
        <v>0</v>
      </c>
      <c r="V258" s="1312">
        <f>W257*((1+'Instrumentos Financeiros'!$H$43)^(1/12)-1)</f>
        <v>0</v>
      </c>
      <c r="W258" s="1312">
        <f t="shared" si="132"/>
        <v>0</v>
      </c>
      <c r="X258" s="1312">
        <f>IF(AND(C258&gt;$F$64,'Instrumentos Financeiros'!C258&lt;'Instrumentos Financeiros'!$F$64+'Instrumentos Financeiros'!$F$11+1),PMT(((1+'Instrumentos Financeiros'!$H$43)^(1/12)-1),$F$11,-$I$64),0)</f>
        <v>0</v>
      </c>
      <c r="Y258" s="1312">
        <f t="shared" si="164"/>
        <v>0</v>
      </c>
      <c r="Z258" s="1312">
        <f>AA257*((1+'Instrumentos Financeiros'!$H$43)^(1/12)-1)</f>
        <v>0</v>
      </c>
      <c r="AA258" s="1312">
        <f t="shared" si="133"/>
        <v>0</v>
      </c>
      <c r="AB258" s="1312">
        <f>IF(AND(C258&gt;$F$65,'Instrumentos Financeiros'!C258&lt;'Instrumentos Financeiros'!$F$65+'Instrumentos Financeiros'!$F$11+1),PMT(((1+'Instrumentos Financeiros'!$H$43)^(1/12)-1),$F$11,-$I$65),0)</f>
        <v>76636.661022032335</v>
      </c>
      <c r="AC258" s="1312">
        <f t="shared" si="165"/>
        <v>49779.669264577315</v>
      </c>
      <c r="AD258" s="1312">
        <f>AE257*((1+'Instrumentos Financeiros'!$H$43)^(1/12)-1)</f>
        <v>26856.991757455016</v>
      </c>
      <c r="AE258" s="1312">
        <f t="shared" si="134"/>
        <v>6161349.9970854167</v>
      </c>
      <c r="AF258" s="1312">
        <f>IF(AND(C258&gt;$F$66,'Instrumentos Financeiros'!C258&lt;'Instrumentos Financeiros'!$F$66+'Instrumentos Financeiros'!$F$11+1),PMT(((1+'Instrumentos Financeiros'!$I$43)^(1/12)-1),$F$11,-$I$66),0)</f>
        <v>76636.661022032335</v>
      </c>
      <c r="AG258" s="1312">
        <f t="shared" si="166"/>
        <v>49139.470200025346</v>
      </c>
      <c r="AH258" s="1312">
        <f>AI257*((1+'Instrumentos Financeiros'!$I$43)^(1/12)-1)</f>
        <v>27497.190822006993</v>
      </c>
      <c r="AI258" s="1312">
        <f t="shared" si="135"/>
        <v>6310046.9643136822</v>
      </c>
      <c r="AJ258" s="1312">
        <f>IF(AND(C258&gt;$F$67,'Instrumentos Financeiros'!C258&lt;'Instrumentos Financeiros'!$F$67+'Instrumentos Financeiros'!$F$11+1),PMT(((1+'Instrumentos Financeiros'!$I$43)^(1/12)-1),$F$11,-$I$67),0)</f>
        <v>76636.661022032335</v>
      </c>
      <c r="AK258" s="1312">
        <f t="shared" si="167"/>
        <v>48507.504513643784</v>
      </c>
      <c r="AL258" s="1312">
        <f>AM257*((1+'Instrumentos Financeiros'!$I$43)^(1/12)-1)</f>
        <v>28129.156508388554</v>
      </c>
      <c r="AM258" s="1312">
        <f t="shared" si="136"/>
        <v>6456831.5914093666</v>
      </c>
      <c r="AN258" s="1312">
        <f>IF(AND(C258&gt;$F$68,'Instrumentos Financeiros'!C258&lt;'Instrumentos Financeiros'!$F$68+'Instrumentos Financeiros'!$F$11+1),PMT(((1+'Instrumentos Financeiros'!$I$43)^(1/12)-1),$F$11,-$I$68),0)</f>
        <v>76636.661022032335</v>
      </c>
      <c r="AO258" s="1312">
        <f t="shared" si="168"/>
        <v>47883.666318811025</v>
      </c>
      <c r="AP258" s="1312">
        <f>AQ257*((1+'Instrumentos Financeiros'!$I$43)^(1/12)-1)</f>
        <v>28752.994703221306</v>
      </c>
      <c r="AQ258" s="1312">
        <f t="shared" si="137"/>
        <v>6601728.4723157817</v>
      </c>
      <c r="AR258" s="1312">
        <f>IF(AND(C258&gt;$F$69,'Instrumentos Financeiros'!C258&lt;'Instrumentos Financeiros'!$F$69+'Instrumentos Financeiros'!$F$11+1),PMT(((1+'Instrumentos Financeiros'!$I$43)^(1/12)-1),$F$11,-$I$69),0)</f>
        <v>0</v>
      </c>
      <c r="AS258" s="1312">
        <f t="shared" si="169"/>
        <v>0</v>
      </c>
      <c r="AT258" s="1312">
        <f>AU257*((1+'Instrumentos Financeiros'!$I$43)^(1/12)-1)</f>
        <v>0</v>
      </c>
      <c r="AU258" s="1312">
        <f t="shared" si="138"/>
        <v>0</v>
      </c>
      <c r="AV258" s="1312">
        <f>IF(AND(C258&gt;$F$70,'Instrumentos Financeiros'!C258&lt;'Instrumentos Financeiros'!$F$70+'Instrumentos Financeiros'!$F$11+1),PMT(((1+'Instrumentos Financeiros'!$J$43)^(1/12)-1),$F$11,-$I$70),0)</f>
        <v>0</v>
      </c>
      <c r="AW258" s="1312">
        <f t="shared" si="170"/>
        <v>0</v>
      </c>
      <c r="AX258" s="1312">
        <f>AY257*((1+'Instrumentos Financeiros'!$J$43)^(1/12)-1)</f>
        <v>0</v>
      </c>
      <c r="AY258" s="1312">
        <f t="shared" si="139"/>
        <v>0</v>
      </c>
      <c r="AZ258" s="1312">
        <f>IF(AND(C258&gt;$F$71,'Instrumentos Financeiros'!C258&lt;'Instrumentos Financeiros'!$F$71+'Instrumentos Financeiros'!$F$11+1),PMT(((1+'Instrumentos Financeiros'!$J$43)^(1/12)-1),$F$11,-$I$71),0)</f>
        <v>0</v>
      </c>
      <c r="BA258" s="1312">
        <f t="shared" si="171"/>
        <v>0</v>
      </c>
      <c r="BB258" s="1312">
        <f>BC257*((1+'Instrumentos Financeiros'!$J$43)^(1/12)-1)</f>
        <v>0</v>
      </c>
      <c r="BC258" s="1312">
        <f t="shared" si="140"/>
        <v>0</v>
      </c>
      <c r="BD258" s="1312">
        <f>IF(AND(C258&gt;$F$72,'Instrumentos Financeiros'!C258&lt;'Instrumentos Financeiros'!$F$72+'Instrumentos Financeiros'!$F$11+1),PMT(((1+'Instrumentos Financeiros'!$J$43)^(1/12)-1),$F$11,-'Instrumentos Financeiros'!$G$7*$G$72),0)</f>
        <v>0</v>
      </c>
      <c r="BE258" s="1312">
        <f t="shared" si="172"/>
        <v>0</v>
      </c>
      <c r="BF258" s="1312">
        <f>BG257*((1+'Instrumentos Financeiros'!$J$43)^(1/12)-1)</f>
        <v>0</v>
      </c>
      <c r="BG258" s="1312">
        <f t="shared" si="141"/>
        <v>0</v>
      </c>
      <c r="BH258" s="1312">
        <f>IF(AND(C258&gt;$F$73,'Instrumentos Financeiros'!C258&lt;'Instrumentos Financeiros'!$F$73+'Instrumentos Financeiros'!$F$11+1),PMT(((1+'Instrumentos Financeiros'!$J$43)^(1/12)-1),$F$11,-$I$73),0)</f>
        <v>0</v>
      </c>
      <c r="BI258" s="1312">
        <f t="shared" si="173"/>
        <v>0</v>
      </c>
      <c r="BJ258" s="1312">
        <f>BK257*((1+'Instrumentos Financeiros'!$J$43)^(1/12)-1)</f>
        <v>0</v>
      </c>
      <c r="BK258" s="1312">
        <f t="shared" si="142"/>
        <v>0</v>
      </c>
      <c r="BL258" s="1312">
        <f>IF(AND(C258&gt;$F$77,'Instrumentos Financeiros'!C258&lt;'Instrumentos Financeiros'!$F$77+'Instrumentos Financeiros'!$F$12+1),PMT(((1+'Instrumentos Financeiros'!$K$43)^(1/12)-1),$F$12,-$I$77),0)</f>
        <v>368.57912678094596</v>
      </c>
      <c r="BM258" s="1312">
        <f t="shared" si="143"/>
        <v>227.33171105673202</v>
      </c>
      <c r="BN258" s="1312">
        <f>BO257*((1+'Instrumentos Financeiros'!$K$43)^(1/12)-1)</f>
        <v>141.24741572421394</v>
      </c>
      <c r="BO258" s="1312">
        <f t="shared" si="144"/>
        <v>32438.501529794285</v>
      </c>
      <c r="BP258" s="1312">
        <f>IF(AND(C258&gt;$F$78,'Instrumentos Financeiros'!C258&lt;'Instrumentos Financeiros'!$F$78+'Instrumentos Financeiros'!$F$12+1),PMT(((1+'Instrumentos Financeiros'!$L$43)^(1/12)-1),$F$12,-$I$78),0)</f>
        <v>368.57912678094596</v>
      </c>
      <c r="BQ258" s="1312">
        <f t="shared" si="145"/>
        <v>224.40807675157035</v>
      </c>
      <c r="BR258" s="1312">
        <f>BS257*((1+'Instrumentos Financeiros'!$L$43)^(1/12)-1)</f>
        <v>144.17105002937561</v>
      </c>
      <c r="BS258" s="1312">
        <f t="shared" si="146"/>
        <v>33117.564618969984</v>
      </c>
      <c r="BT258" s="1312">
        <f>IF(AND(C258&gt;$F$79,'Instrumentos Financeiros'!C258&lt;'Instrumentos Financeiros'!$F$79+'Instrumentos Financeiros'!$F$12+1),PMT(((1+'Instrumentos Financeiros'!$L$43)^(1/12)-1),$F$12,-$I$79),0)</f>
        <v>368.57912678094596</v>
      </c>
      <c r="BU258" s="1312">
        <f t="shared" si="147"/>
        <v>221.52204229339262</v>
      </c>
      <c r="BV258" s="1312">
        <f>BW257*((1+'Instrumentos Financeiros'!$L$43)^(1/12)-1)</f>
        <v>147.05708448755334</v>
      </c>
      <c r="BW258" s="1312">
        <f t="shared" si="148"/>
        <v>33787.894513231273</v>
      </c>
      <c r="BX258" s="1312">
        <f>IF(AND(C258&gt;$F$80,'Instrumentos Financeiros'!C258&lt;'Instrumentos Financeiros'!$F$80+'Instrumentos Financeiros'!$F$12+1),PMT(((1+'Instrumentos Financeiros'!$L$43)^(1/12)-1),$F$12,-$I$80),0)</f>
        <v>368.57912678094596</v>
      </c>
      <c r="BY258" s="1312">
        <f t="shared" si="149"/>
        <v>218.67312412360499</v>
      </c>
      <c r="BZ258" s="1312">
        <f>CA257*((1+'Instrumentos Financeiros'!$L$43)^(1/12)-1)</f>
        <v>149.90600265734096</v>
      </c>
      <c r="CA258" s="1312">
        <f t="shared" si="150"/>
        <v>34449.603527169587</v>
      </c>
      <c r="CB258" s="1312">
        <f>IF(AND(C258&gt;$F$83,'Instrumentos Financeiros'!C258&lt;'Instrumentos Financeiros'!$F$83+'Instrumentos Financeiros'!$F$13+1),PMT(((1+'Instrumentos Financeiros'!$P$43)^(1/12)-1),$F$13,-$I$83),0)</f>
        <v>0</v>
      </c>
      <c r="CC258" s="1312">
        <f t="shared" si="151"/>
        <v>0</v>
      </c>
      <c r="CD258" s="1312">
        <f>CE257*((1+'Instrumentos Financeiros'!$P$43)^(1/12)-1)</f>
        <v>0</v>
      </c>
      <c r="CE258" s="1312">
        <f t="shared" si="152"/>
        <v>0</v>
      </c>
      <c r="CF258" s="1312">
        <f>IF(AND(C258&gt;$F$84,'Instrumentos Financeiros'!C258&lt;'Instrumentos Financeiros'!$F$84+'Instrumentos Financeiros'!$F$13+1),PMT(((1+'Instrumentos Financeiros'!$Q$43)^(1/12)-1),$F$13,-$I$84),0)</f>
        <v>0</v>
      </c>
      <c r="CG258" s="1312">
        <f t="shared" si="153"/>
        <v>0</v>
      </c>
      <c r="CH258" s="1312">
        <f>CI257*((1+'Instrumentos Financeiros'!$Q$43)^(1/12)-1)</f>
        <v>0</v>
      </c>
      <c r="CI258" s="1312">
        <f t="shared" si="154"/>
        <v>0</v>
      </c>
      <c r="CJ258" s="1312">
        <f>IF(AND(C258&gt;$F$85,'Instrumentos Financeiros'!C258&lt;'Instrumentos Financeiros'!$F$85+'Instrumentos Financeiros'!$F$13+1),PMT(((1+'Instrumentos Financeiros'!$Q$43)^(1/12)-1),$F$13,-$I$85),0)</f>
        <v>0</v>
      </c>
      <c r="CK258" s="1312">
        <f t="shared" si="155"/>
        <v>0</v>
      </c>
      <c r="CL258" s="1312">
        <f>CM257*((1+'Instrumentos Financeiros'!$Q$43)^(1/12)-1)</f>
        <v>0</v>
      </c>
      <c r="CM258" s="1312">
        <f t="shared" si="156"/>
        <v>0</v>
      </c>
      <c r="CN258" s="1312">
        <f>IF(AND(C258&gt;$F$86,'Instrumentos Financeiros'!C258&lt;'Instrumentos Financeiros'!$F$86+'Instrumentos Financeiros'!$F$13+1),PMT(((1+'Instrumentos Financeiros'!$Q$43)^(1/12)-1),$F$13,-$I$86),0)</f>
        <v>0</v>
      </c>
      <c r="CO258" s="1312">
        <f t="shared" si="157"/>
        <v>0</v>
      </c>
      <c r="CP258" s="1312">
        <f>CQ257*((1+'Instrumentos Financeiros'!$Q$43)^(1/12)-1)</f>
        <v>0</v>
      </c>
      <c r="CQ258" s="1312">
        <f t="shared" si="158"/>
        <v>0</v>
      </c>
      <c r="CR258" s="1312">
        <f t="shared" si="127"/>
        <v>399789.55023115332</v>
      </c>
      <c r="CS258" s="1312">
        <f t="shared" si="127"/>
        <v>261911.75650904598</v>
      </c>
      <c r="CT258" s="1312">
        <f t="shared" si="127"/>
        <v>137877.79372210722</v>
      </c>
      <c r="CU258" s="1312">
        <f t="shared" si="127"/>
        <v>31982252.632060111</v>
      </c>
    </row>
    <row r="259" spans="3:99" x14ac:dyDescent="0.35">
      <c r="C259" s="1315">
        <f t="shared" si="128"/>
        <v>166</v>
      </c>
      <c r="D259" s="1312">
        <f>IF(AND(C259&gt;$F$59,'Instrumentos Financeiros'!C259&lt;'Instrumentos Financeiros'!$F$59+'Instrumentos Financeiros'!$F$11+1),PMT(((1+'Instrumentos Financeiros'!$G$43)^(1/12)-1),$F$11,-$I$59),0)</f>
        <v>91768.589635900134</v>
      </c>
      <c r="E259" s="1312">
        <f t="shared" si="125"/>
        <v>65977.724378454892</v>
      </c>
      <c r="F259" s="1312">
        <f>G258*((1+'Instrumentos Financeiros'!$G$43)^(1/12)-1)</f>
        <v>25790.865257445246</v>
      </c>
      <c r="G259" s="1312">
        <f t="shared" si="159"/>
        <v>6252524.318368244</v>
      </c>
      <c r="H259" s="1312">
        <f>IF(AND(C259&gt;$F$60,'Instrumentos Financeiros'!C259&lt;'Instrumentos Financeiros'!$F$60+'Instrumentos Financeiros'!$F$11+1),PMT(((1+'Instrumentos Financeiros'!$G$43)^(1/12)-1),$F$11,-$I$60),0)</f>
        <v>0</v>
      </c>
      <c r="I259" s="1312">
        <f t="shared" si="160"/>
        <v>0</v>
      </c>
      <c r="J259" s="1312">
        <f>K258*((1+'Instrumentos Financeiros'!$G$43)^(1/12)-1)</f>
        <v>0</v>
      </c>
      <c r="K259" s="1312">
        <f t="shared" si="129"/>
        <v>0</v>
      </c>
      <c r="L259" s="1312">
        <f>IF(AND(C259&gt;$F$61,'Instrumentos Financeiros'!C259&lt;'Instrumentos Financeiros'!$F$61+'Instrumentos Financeiros'!$F$11+1),PMT(((1+'Instrumentos Financeiros'!$G$43)^(1/12)-1),$F$11,-$I$61),0)</f>
        <v>0</v>
      </c>
      <c r="M259" s="1312">
        <f t="shared" si="161"/>
        <v>0</v>
      </c>
      <c r="N259" s="1312">
        <f>O258*((1+'Instrumentos Financeiros'!$G$43)^(1/12)-1)</f>
        <v>0</v>
      </c>
      <c r="O259" s="1312">
        <f t="shared" si="130"/>
        <v>0</v>
      </c>
      <c r="P259" s="1312">
        <f>IF(AND(C259&gt;$F$62,'Instrumentos Financeiros'!C259&lt;'Instrumentos Financeiros'!$F$62+'Instrumentos Financeiros'!$F$11+1),PMT(((1+'Instrumentos Financeiros'!$H$43)^(1/12)-1),$F$11,-$I$62),0)</f>
        <v>0</v>
      </c>
      <c r="Q259" s="1312">
        <f t="shared" si="162"/>
        <v>0</v>
      </c>
      <c r="R259" s="1312">
        <f>S258*((1+'Instrumentos Financeiros'!$H$43)^(1/12)-1)</f>
        <v>0</v>
      </c>
      <c r="S259" s="1312">
        <f t="shared" si="131"/>
        <v>0</v>
      </c>
      <c r="T259" s="1312">
        <f>IF(AND(C259&gt;$F$63,'Instrumentos Financeiros'!C259&lt;'Instrumentos Financeiros'!$F$63+'Instrumentos Financeiros'!$F$11+1),PMT(((1+'Instrumentos Financeiros'!$H$43)^(1/12)-1),$F$11,-$I$63),0)</f>
        <v>0</v>
      </c>
      <c r="U259" s="1312">
        <f t="shared" si="163"/>
        <v>0</v>
      </c>
      <c r="V259" s="1312">
        <f>W258*((1+'Instrumentos Financeiros'!$H$43)^(1/12)-1)</f>
        <v>0</v>
      </c>
      <c r="W259" s="1312">
        <f t="shared" si="132"/>
        <v>0</v>
      </c>
      <c r="X259" s="1312">
        <f>IF(AND(C259&gt;$F$64,'Instrumentos Financeiros'!C259&lt;'Instrumentos Financeiros'!$F$64+'Instrumentos Financeiros'!$F$11+1),PMT(((1+'Instrumentos Financeiros'!$H$43)^(1/12)-1),$F$11,-$I$64),0)</f>
        <v>0</v>
      </c>
      <c r="Y259" s="1312">
        <f t="shared" si="164"/>
        <v>0</v>
      </c>
      <c r="Z259" s="1312">
        <f>AA258*((1+'Instrumentos Financeiros'!$H$43)^(1/12)-1)</f>
        <v>0</v>
      </c>
      <c r="AA259" s="1312">
        <f t="shared" si="133"/>
        <v>0</v>
      </c>
      <c r="AB259" s="1312">
        <f>IF(AND(C259&gt;$F$65,'Instrumentos Financeiros'!C259&lt;'Instrumentos Financeiros'!$F$65+'Instrumentos Financeiros'!$F$11+1),PMT(((1+'Instrumentos Financeiros'!$H$43)^(1/12)-1),$F$11,-$I$65),0)</f>
        <v>76636.661022032335</v>
      </c>
      <c r="AC259" s="1312">
        <f t="shared" si="165"/>
        <v>49994.917092097436</v>
      </c>
      <c r="AD259" s="1312">
        <f>AE258*((1+'Instrumentos Financeiros'!$H$43)^(1/12)-1)</f>
        <v>26641.743929934899</v>
      </c>
      <c r="AE259" s="1312">
        <f t="shared" si="134"/>
        <v>6111355.0799933197</v>
      </c>
      <c r="AF259" s="1312">
        <f>IF(AND(C259&gt;$F$66,'Instrumentos Financeiros'!C259&lt;'Instrumentos Financeiros'!$F$66+'Instrumentos Financeiros'!$F$11+1),PMT(((1+'Instrumentos Financeiros'!$I$43)^(1/12)-1),$F$11,-$I$66),0)</f>
        <v>76636.661022032335</v>
      </c>
      <c r="AG259" s="1312">
        <f t="shared" si="166"/>
        <v>49351.949799876194</v>
      </c>
      <c r="AH259" s="1312">
        <f>AI258*((1+'Instrumentos Financeiros'!$I$43)^(1/12)-1)</f>
        <v>27284.71122215614</v>
      </c>
      <c r="AI259" s="1312">
        <f t="shared" si="135"/>
        <v>6260695.0145138055</v>
      </c>
      <c r="AJ259" s="1312">
        <f>IF(AND(C259&gt;$F$67,'Instrumentos Financeiros'!C259&lt;'Instrumentos Financeiros'!$F$67+'Instrumentos Financeiros'!$F$11+1),PMT(((1+'Instrumentos Financeiros'!$I$43)^(1/12)-1),$F$11,-$I$67),0)</f>
        <v>76636.661022032335</v>
      </c>
      <c r="AK259" s="1312">
        <f t="shared" si="167"/>
        <v>48717.251487041489</v>
      </c>
      <c r="AL259" s="1312">
        <f>AM258*((1+'Instrumentos Financeiros'!$I$43)^(1/12)-1)</f>
        <v>27919.409534990842</v>
      </c>
      <c r="AM259" s="1312">
        <f t="shared" si="136"/>
        <v>6408114.3399223248</v>
      </c>
      <c r="AN259" s="1312">
        <f>IF(AND(C259&gt;$F$68,'Instrumentos Financeiros'!C259&lt;'Instrumentos Financeiros'!$F$68+'Instrumentos Financeiros'!$F$11+1),PMT(((1+'Instrumentos Financeiros'!$I$43)^(1/12)-1),$F$11,-$I$68),0)</f>
        <v>76636.661022032335</v>
      </c>
      <c r="AO259" s="1312">
        <f t="shared" si="168"/>
        <v>48090.715809116838</v>
      </c>
      <c r="AP259" s="1312">
        <f>AQ258*((1+'Instrumentos Financeiros'!$I$43)^(1/12)-1)</f>
        <v>28545.9452129155</v>
      </c>
      <c r="AQ259" s="1312">
        <f t="shared" si="137"/>
        <v>6553637.7565066647</v>
      </c>
      <c r="AR259" s="1312">
        <f>IF(AND(C259&gt;$F$69,'Instrumentos Financeiros'!C259&lt;'Instrumentos Financeiros'!$F$69+'Instrumentos Financeiros'!$F$11+1),PMT(((1+'Instrumentos Financeiros'!$I$43)^(1/12)-1),$F$11,-$I$69),0)</f>
        <v>0</v>
      </c>
      <c r="AS259" s="1312">
        <f t="shared" si="169"/>
        <v>0</v>
      </c>
      <c r="AT259" s="1312">
        <f>AU258*((1+'Instrumentos Financeiros'!$I$43)^(1/12)-1)</f>
        <v>0</v>
      </c>
      <c r="AU259" s="1312">
        <f t="shared" si="138"/>
        <v>0</v>
      </c>
      <c r="AV259" s="1312">
        <f>IF(AND(C259&gt;$F$70,'Instrumentos Financeiros'!C259&lt;'Instrumentos Financeiros'!$F$70+'Instrumentos Financeiros'!$F$11+1),PMT(((1+'Instrumentos Financeiros'!$J$43)^(1/12)-1),$F$11,-$I$70),0)</f>
        <v>0</v>
      </c>
      <c r="AW259" s="1312">
        <f t="shared" si="170"/>
        <v>0</v>
      </c>
      <c r="AX259" s="1312">
        <f>AY258*((1+'Instrumentos Financeiros'!$J$43)^(1/12)-1)</f>
        <v>0</v>
      </c>
      <c r="AY259" s="1312">
        <f t="shared" si="139"/>
        <v>0</v>
      </c>
      <c r="AZ259" s="1312">
        <f>IF(AND(C259&gt;$F$71,'Instrumentos Financeiros'!C259&lt;'Instrumentos Financeiros'!$F$71+'Instrumentos Financeiros'!$F$11+1),PMT(((1+'Instrumentos Financeiros'!$J$43)^(1/12)-1),$F$11,-$I$71),0)</f>
        <v>0</v>
      </c>
      <c r="BA259" s="1312">
        <f t="shared" si="171"/>
        <v>0</v>
      </c>
      <c r="BB259" s="1312">
        <f>BC258*((1+'Instrumentos Financeiros'!$J$43)^(1/12)-1)</f>
        <v>0</v>
      </c>
      <c r="BC259" s="1312">
        <f t="shared" si="140"/>
        <v>0</v>
      </c>
      <c r="BD259" s="1312">
        <f>IF(AND(C259&gt;$F$72,'Instrumentos Financeiros'!C259&lt;'Instrumentos Financeiros'!$F$72+'Instrumentos Financeiros'!$F$11+1),PMT(((1+'Instrumentos Financeiros'!$J$43)^(1/12)-1),$F$11,-'Instrumentos Financeiros'!$G$7*$G$72),0)</f>
        <v>0</v>
      </c>
      <c r="BE259" s="1312">
        <f t="shared" si="172"/>
        <v>0</v>
      </c>
      <c r="BF259" s="1312">
        <f>BG258*((1+'Instrumentos Financeiros'!$J$43)^(1/12)-1)</f>
        <v>0</v>
      </c>
      <c r="BG259" s="1312">
        <f t="shared" si="141"/>
        <v>0</v>
      </c>
      <c r="BH259" s="1312">
        <f>IF(AND(C259&gt;$F$73,'Instrumentos Financeiros'!C259&lt;'Instrumentos Financeiros'!$F$73+'Instrumentos Financeiros'!$F$11+1),PMT(((1+'Instrumentos Financeiros'!$J$43)^(1/12)-1),$F$11,-$I$73),0)</f>
        <v>0</v>
      </c>
      <c r="BI259" s="1312">
        <f t="shared" si="173"/>
        <v>0</v>
      </c>
      <c r="BJ259" s="1312">
        <f>BK258*((1+'Instrumentos Financeiros'!$J$43)^(1/12)-1)</f>
        <v>0</v>
      </c>
      <c r="BK259" s="1312">
        <f t="shared" si="142"/>
        <v>0</v>
      </c>
      <c r="BL259" s="1312">
        <f>IF(AND(C259&gt;$F$77,'Instrumentos Financeiros'!C259&lt;'Instrumentos Financeiros'!$F$77+'Instrumentos Financeiros'!$F$12+1),PMT(((1+'Instrumentos Financeiros'!$K$43)^(1/12)-1),$F$12,-$I$77),0)</f>
        <v>368.57912678094596</v>
      </c>
      <c r="BM259" s="1312">
        <f t="shared" si="143"/>
        <v>228.31469583052223</v>
      </c>
      <c r="BN259" s="1312">
        <f>BO258*((1+'Instrumentos Financeiros'!$K$43)^(1/12)-1)</f>
        <v>140.26443095042373</v>
      </c>
      <c r="BO259" s="1312">
        <f t="shared" si="144"/>
        <v>32210.186833963762</v>
      </c>
      <c r="BP259" s="1312">
        <f>IF(AND(C259&gt;$F$78,'Instrumentos Financeiros'!C259&lt;'Instrumentos Financeiros'!$F$78+'Instrumentos Financeiros'!$F$12+1),PMT(((1+'Instrumentos Financeiros'!$L$43)^(1/12)-1),$F$12,-$I$78),0)</f>
        <v>368.57912678094596</v>
      </c>
      <c r="BQ259" s="1312">
        <f t="shared" si="145"/>
        <v>225.37841969904983</v>
      </c>
      <c r="BR259" s="1312">
        <f>BS258*((1+'Instrumentos Financeiros'!$L$43)^(1/12)-1)</f>
        <v>143.20070708189613</v>
      </c>
      <c r="BS259" s="1312">
        <f t="shared" si="146"/>
        <v>32892.186199270931</v>
      </c>
      <c r="BT259" s="1312">
        <f>IF(AND(C259&gt;$F$79,'Instrumentos Financeiros'!C259&lt;'Instrumentos Financeiros'!$F$79+'Instrumentos Financeiros'!$F$12+1),PMT(((1+'Instrumentos Financeiros'!$L$43)^(1/12)-1),$F$12,-$I$79),0)</f>
        <v>368.57912678094596</v>
      </c>
      <c r="BU259" s="1312">
        <f t="shared" si="147"/>
        <v>222.47990599670575</v>
      </c>
      <c r="BV259" s="1312">
        <f>BW258*((1+'Instrumentos Financeiros'!$L$43)^(1/12)-1)</f>
        <v>146.0992207842402</v>
      </c>
      <c r="BW259" s="1312">
        <f t="shared" si="148"/>
        <v>33565.414607234568</v>
      </c>
      <c r="BX259" s="1312">
        <f>IF(AND(C259&gt;$F$80,'Instrumentos Financeiros'!C259&lt;'Instrumentos Financeiros'!$F$80+'Instrumentos Financeiros'!$F$12+1),PMT(((1+'Instrumentos Financeiros'!$L$43)^(1/12)-1),$F$12,-$I$80),0)</f>
        <v>368.57912678094596</v>
      </c>
      <c r="BY259" s="1312">
        <f t="shared" si="149"/>
        <v>219.61866907398371</v>
      </c>
      <c r="BZ259" s="1312">
        <f>CA258*((1+'Instrumentos Financeiros'!$L$43)^(1/12)-1)</f>
        <v>148.96045770696225</v>
      </c>
      <c r="CA259" s="1312">
        <f t="shared" si="150"/>
        <v>34229.984858095602</v>
      </c>
      <c r="CB259" s="1312">
        <f>IF(AND(C259&gt;$F$83,'Instrumentos Financeiros'!C259&lt;'Instrumentos Financeiros'!$F$83+'Instrumentos Financeiros'!$F$13+1),PMT(((1+'Instrumentos Financeiros'!$P$43)^(1/12)-1),$F$13,-$I$83),0)</f>
        <v>0</v>
      </c>
      <c r="CC259" s="1312">
        <f t="shared" si="151"/>
        <v>0</v>
      </c>
      <c r="CD259" s="1312">
        <f>CE258*((1+'Instrumentos Financeiros'!$P$43)^(1/12)-1)</f>
        <v>0</v>
      </c>
      <c r="CE259" s="1312">
        <f t="shared" si="152"/>
        <v>0</v>
      </c>
      <c r="CF259" s="1312">
        <f>IF(AND(C259&gt;$F$84,'Instrumentos Financeiros'!C259&lt;'Instrumentos Financeiros'!$F$84+'Instrumentos Financeiros'!$F$13+1),PMT(((1+'Instrumentos Financeiros'!$Q$43)^(1/12)-1),$F$13,-$I$84),0)</f>
        <v>0</v>
      </c>
      <c r="CG259" s="1312">
        <f t="shared" si="153"/>
        <v>0</v>
      </c>
      <c r="CH259" s="1312">
        <f>CI258*((1+'Instrumentos Financeiros'!$Q$43)^(1/12)-1)</f>
        <v>0</v>
      </c>
      <c r="CI259" s="1312">
        <f t="shared" si="154"/>
        <v>0</v>
      </c>
      <c r="CJ259" s="1312">
        <f>IF(AND(C259&gt;$F$85,'Instrumentos Financeiros'!C259&lt;'Instrumentos Financeiros'!$F$85+'Instrumentos Financeiros'!$F$13+1),PMT(((1+'Instrumentos Financeiros'!$Q$43)^(1/12)-1),$F$13,-$I$85),0)</f>
        <v>0</v>
      </c>
      <c r="CK259" s="1312">
        <f t="shared" si="155"/>
        <v>0</v>
      </c>
      <c r="CL259" s="1312">
        <f>CM258*((1+'Instrumentos Financeiros'!$Q$43)^(1/12)-1)</f>
        <v>0</v>
      </c>
      <c r="CM259" s="1312">
        <f t="shared" si="156"/>
        <v>0</v>
      </c>
      <c r="CN259" s="1312">
        <f>IF(AND(C259&gt;$F$86,'Instrumentos Financeiros'!C259&lt;'Instrumentos Financeiros'!$F$86+'Instrumentos Financeiros'!$F$13+1),PMT(((1+'Instrumentos Financeiros'!$Q$43)^(1/12)-1),$F$13,-$I$86),0)</f>
        <v>0</v>
      </c>
      <c r="CO259" s="1312">
        <f t="shared" si="157"/>
        <v>0</v>
      </c>
      <c r="CP259" s="1312">
        <f>CQ258*((1+'Instrumentos Financeiros'!$Q$43)^(1/12)-1)</f>
        <v>0</v>
      </c>
      <c r="CQ259" s="1312">
        <f t="shared" si="158"/>
        <v>0</v>
      </c>
      <c r="CR259" s="1312">
        <f t="shared" si="127"/>
        <v>399789.55023115332</v>
      </c>
      <c r="CS259" s="1312">
        <f t="shared" si="127"/>
        <v>263028.35025718709</v>
      </c>
      <c r="CT259" s="1312">
        <f t="shared" si="127"/>
        <v>136761.19997396617</v>
      </c>
      <c r="CU259" s="1312">
        <f t="shared" si="127"/>
        <v>31719224.281802922</v>
      </c>
    </row>
    <row r="260" spans="3:99" x14ac:dyDescent="0.35">
      <c r="C260" s="1315">
        <f t="shared" si="128"/>
        <v>167</v>
      </c>
      <c r="D260" s="1312">
        <f>IF(AND(C260&gt;$F$59,'Instrumentos Financeiros'!C260&lt;'Instrumentos Financeiros'!$F$59+'Instrumentos Financeiros'!$F$11+1),PMT(((1+'Instrumentos Financeiros'!$G$43)^(1/12)-1),$F$11,-$I$59),0)</f>
        <v>91768.589635900134</v>
      </c>
      <c r="E260" s="1312">
        <f t="shared" si="125"/>
        <v>66247.032291616197</v>
      </c>
      <c r="F260" s="1312">
        <f>G259*((1+'Instrumentos Financeiros'!$G$43)^(1/12)-1)</f>
        <v>25521.557344283938</v>
      </c>
      <c r="G260" s="1312">
        <f t="shared" si="159"/>
        <v>6186277.2860766277</v>
      </c>
      <c r="H260" s="1312">
        <f>IF(AND(C260&gt;$F$60,'Instrumentos Financeiros'!C260&lt;'Instrumentos Financeiros'!$F$60+'Instrumentos Financeiros'!$F$11+1),PMT(((1+'Instrumentos Financeiros'!$G$43)^(1/12)-1),$F$11,-$I$60),0)</f>
        <v>0</v>
      </c>
      <c r="I260" s="1312">
        <f t="shared" si="160"/>
        <v>0</v>
      </c>
      <c r="J260" s="1312">
        <f>K259*((1+'Instrumentos Financeiros'!$G$43)^(1/12)-1)</f>
        <v>0</v>
      </c>
      <c r="K260" s="1312">
        <f t="shared" si="129"/>
        <v>0</v>
      </c>
      <c r="L260" s="1312">
        <f>IF(AND(C260&gt;$F$61,'Instrumentos Financeiros'!C260&lt;'Instrumentos Financeiros'!$F$61+'Instrumentos Financeiros'!$F$11+1),PMT(((1+'Instrumentos Financeiros'!$G$43)^(1/12)-1),$F$11,-$I$61),0)</f>
        <v>0</v>
      </c>
      <c r="M260" s="1312">
        <f t="shared" si="161"/>
        <v>0</v>
      </c>
      <c r="N260" s="1312">
        <f>O259*((1+'Instrumentos Financeiros'!$G$43)^(1/12)-1)</f>
        <v>0</v>
      </c>
      <c r="O260" s="1312">
        <f t="shared" si="130"/>
        <v>0</v>
      </c>
      <c r="P260" s="1312">
        <f>IF(AND(C260&gt;$F$62,'Instrumentos Financeiros'!C260&lt;'Instrumentos Financeiros'!$F$62+'Instrumentos Financeiros'!$F$11+1),PMT(((1+'Instrumentos Financeiros'!$H$43)^(1/12)-1),$F$11,-$I$62),0)</f>
        <v>0</v>
      </c>
      <c r="Q260" s="1312">
        <f t="shared" si="162"/>
        <v>0</v>
      </c>
      <c r="R260" s="1312">
        <f>S259*((1+'Instrumentos Financeiros'!$H$43)^(1/12)-1)</f>
        <v>0</v>
      </c>
      <c r="S260" s="1312">
        <f t="shared" si="131"/>
        <v>0</v>
      </c>
      <c r="T260" s="1312">
        <f>IF(AND(C260&gt;$F$63,'Instrumentos Financeiros'!C260&lt;'Instrumentos Financeiros'!$F$63+'Instrumentos Financeiros'!$F$11+1),PMT(((1+'Instrumentos Financeiros'!$H$43)^(1/12)-1),$F$11,-$I$63),0)</f>
        <v>0</v>
      </c>
      <c r="U260" s="1312">
        <f t="shared" si="163"/>
        <v>0</v>
      </c>
      <c r="V260" s="1312">
        <f>W259*((1+'Instrumentos Financeiros'!$H$43)^(1/12)-1)</f>
        <v>0</v>
      </c>
      <c r="W260" s="1312">
        <f t="shared" si="132"/>
        <v>0</v>
      </c>
      <c r="X260" s="1312">
        <f>IF(AND(C260&gt;$F$64,'Instrumentos Financeiros'!C260&lt;'Instrumentos Financeiros'!$F$64+'Instrumentos Financeiros'!$F$11+1),PMT(((1+'Instrumentos Financeiros'!$H$43)^(1/12)-1),$F$11,-$I$64),0)</f>
        <v>0</v>
      </c>
      <c r="Y260" s="1312">
        <f t="shared" si="164"/>
        <v>0</v>
      </c>
      <c r="Z260" s="1312">
        <f>AA259*((1+'Instrumentos Financeiros'!$H$43)^(1/12)-1)</f>
        <v>0</v>
      </c>
      <c r="AA260" s="1312">
        <f t="shared" si="133"/>
        <v>0</v>
      </c>
      <c r="AB260" s="1312">
        <f>IF(AND(C260&gt;$F$65,'Instrumentos Financeiros'!C260&lt;'Instrumentos Financeiros'!$F$65+'Instrumentos Financeiros'!$F$11+1),PMT(((1+'Instrumentos Financeiros'!$H$43)^(1/12)-1),$F$11,-$I$65),0)</f>
        <v>76636.661022032335</v>
      </c>
      <c r="AC260" s="1312">
        <f t="shared" si="165"/>
        <v>50211.095653548422</v>
      </c>
      <c r="AD260" s="1312">
        <f>AE259*((1+'Instrumentos Financeiros'!$H$43)^(1/12)-1)</f>
        <v>26425.565368483913</v>
      </c>
      <c r="AE260" s="1312">
        <f t="shared" si="134"/>
        <v>6061143.9843397709</v>
      </c>
      <c r="AF260" s="1312">
        <f>IF(AND(C260&gt;$F$66,'Instrumentos Financeiros'!C260&lt;'Instrumentos Financeiros'!$F$66+'Instrumentos Financeiros'!$F$11+1),PMT(((1+'Instrumentos Financeiros'!$I$43)^(1/12)-1),$F$11,-$I$66),0)</f>
        <v>76636.661022032335</v>
      </c>
      <c r="AG260" s="1312">
        <f t="shared" si="166"/>
        <v>49565.348163811577</v>
      </c>
      <c r="AH260" s="1312">
        <f>AI259*((1+'Instrumentos Financeiros'!$I$43)^(1/12)-1)</f>
        <v>27071.312858220757</v>
      </c>
      <c r="AI260" s="1312">
        <f t="shared" si="135"/>
        <v>6211129.666349994</v>
      </c>
      <c r="AJ260" s="1312">
        <f>IF(AND(C260&gt;$F$67,'Instrumentos Financeiros'!C260&lt;'Instrumentos Financeiros'!$F$67+'Instrumentos Financeiros'!$F$11+1),PMT(((1+'Instrumentos Financeiros'!$I$43)^(1/12)-1),$F$11,-$I$67),0)</f>
        <v>76636.661022032335</v>
      </c>
      <c r="AK260" s="1312">
        <f t="shared" si="167"/>
        <v>48927.905408617444</v>
      </c>
      <c r="AL260" s="1312">
        <f>AM259*((1+'Instrumentos Financeiros'!$I$43)^(1/12)-1)</f>
        <v>27708.755613414894</v>
      </c>
      <c r="AM260" s="1312">
        <f t="shared" si="136"/>
        <v>6359186.4345137076</v>
      </c>
      <c r="AN260" s="1312">
        <f>IF(AND(C260&gt;$F$68,'Instrumentos Financeiros'!C260&lt;'Instrumentos Financeiros'!$F$68+'Instrumentos Financeiros'!$F$11+1),PMT(((1+'Instrumentos Financeiros'!$I$43)^(1/12)-1),$F$11,-$I$68),0)</f>
        <v>76636.661022032335</v>
      </c>
      <c r="AO260" s="1312">
        <f t="shared" si="168"/>
        <v>48298.660583654855</v>
      </c>
      <c r="AP260" s="1312">
        <f>AQ259*((1+'Instrumentos Financeiros'!$I$43)^(1/12)-1)</f>
        <v>28338.000438377476</v>
      </c>
      <c r="AQ260" s="1312">
        <f t="shared" si="137"/>
        <v>6505339.0959230103</v>
      </c>
      <c r="AR260" s="1312">
        <f>IF(AND(C260&gt;$F$69,'Instrumentos Financeiros'!C260&lt;'Instrumentos Financeiros'!$F$69+'Instrumentos Financeiros'!$F$11+1),PMT(((1+'Instrumentos Financeiros'!$I$43)^(1/12)-1),$F$11,-$I$69),0)</f>
        <v>0</v>
      </c>
      <c r="AS260" s="1312">
        <f t="shared" si="169"/>
        <v>0</v>
      </c>
      <c r="AT260" s="1312">
        <f>AU259*((1+'Instrumentos Financeiros'!$I$43)^(1/12)-1)</f>
        <v>0</v>
      </c>
      <c r="AU260" s="1312">
        <f t="shared" si="138"/>
        <v>0</v>
      </c>
      <c r="AV260" s="1312">
        <f>IF(AND(C260&gt;$F$70,'Instrumentos Financeiros'!C260&lt;'Instrumentos Financeiros'!$F$70+'Instrumentos Financeiros'!$F$11+1),PMT(((1+'Instrumentos Financeiros'!$J$43)^(1/12)-1),$F$11,-$I$70),0)</f>
        <v>0</v>
      </c>
      <c r="AW260" s="1312">
        <f t="shared" si="170"/>
        <v>0</v>
      </c>
      <c r="AX260" s="1312">
        <f>AY259*((1+'Instrumentos Financeiros'!$J$43)^(1/12)-1)</f>
        <v>0</v>
      </c>
      <c r="AY260" s="1312">
        <f t="shared" si="139"/>
        <v>0</v>
      </c>
      <c r="AZ260" s="1312">
        <f>IF(AND(C260&gt;$F$71,'Instrumentos Financeiros'!C260&lt;'Instrumentos Financeiros'!$F$71+'Instrumentos Financeiros'!$F$11+1),PMT(((1+'Instrumentos Financeiros'!$J$43)^(1/12)-1),$F$11,-$I$71),0)</f>
        <v>0</v>
      </c>
      <c r="BA260" s="1312">
        <f t="shared" si="171"/>
        <v>0</v>
      </c>
      <c r="BB260" s="1312">
        <f>BC259*((1+'Instrumentos Financeiros'!$J$43)^(1/12)-1)</f>
        <v>0</v>
      </c>
      <c r="BC260" s="1312">
        <f t="shared" si="140"/>
        <v>0</v>
      </c>
      <c r="BD260" s="1312">
        <f>IF(AND(C260&gt;$F$72,'Instrumentos Financeiros'!C260&lt;'Instrumentos Financeiros'!$F$72+'Instrumentos Financeiros'!$F$11+1),PMT(((1+'Instrumentos Financeiros'!$J$43)^(1/12)-1),$F$11,-'Instrumentos Financeiros'!$G$7*$G$72),0)</f>
        <v>0</v>
      </c>
      <c r="BE260" s="1312">
        <f t="shared" si="172"/>
        <v>0</v>
      </c>
      <c r="BF260" s="1312">
        <f>BG259*((1+'Instrumentos Financeiros'!$J$43)^(1/12)-1)</f>
        <v>0</v>
      </c>
      <c r="BG260" s="1312">
        <f t="shared" si="141"/>
        <v>0</v>
      </c>
      <c r="BH260" s="1312">
        <f>IF(AND(C260&gt;$F$73,'Instrumentos Financeiros'!C260&lt;'Instrumentos Financeiros'!$F$73+'Instrumentos Financeiros'!$F$11+1),PMT(((1+'Instrumentos Financeiros'!$J$43)^(1/12)-1),$F$11,-$I$73),0)</f>
        <v>0</v>
      </c>
      <c r="BI260" s="1312">
        <f t="shared" si="173"/>
        <v>0</v>
      </c>
      <c r="BJ260" s="1312">
        <f>BK259*((1+'Instrumentos Financeiros'!$J$43)^(1/12)-1)</f>
        <v>0</v>
      </c>
      <c r="BK260" s="1312">
        <f t="shared" si="142"/>
        <v>0</v>
      </c>
      <c r="BL260" s="1312">
        <f>IF(AND(C260&gt;$F$77,'Instrumentos Financeiros'!C260&lt;'Instrumentos Financeiros'!$F$77+'Instrumentos Financeiros'!$F$12+1),PMT(((1+'Instrumentos Financeiros'!$K$43)^(1/12)-1),$F$12,-$I$77),0)</f>
        <v>368.57912678094596</v>
      </c>
      <c r="BM260" s="1312">
        <f t="shared" si="143"/>
        <v>229.30193104109057</v>
      </c>
      <c r="BN260" s="1312">
        <f>BO259*((1+'Instrumentos Financeiros'!$K$43)^(1/12)-1)</f>
        <v>139.27719573985539</v>
      </c>
      <c r="BO260" s="1312">
        <f t="shared" si="144"/>
        <v>31980.884902922673</v>
      </c>
      <c r="BP260" s="1312">
        <f>IF(AND(C260&gt;$F$78,'Instrumentos Financeiros'!C260&lt;'Instrumentos Financeiros'!$F$78+'Instrumentos Financeiros'!$F$12+1),PMT(((1+'Instrumentos Financeiros'!$L$43)^(1/12)-1),$F$12,-$I$78),0)</f>
        <v>368.57912678094596</v>
      </c>
      <c r="BQ260" s="1312">
        <f t="shared" si="145"/>
        <v>226.3529584199139</v>
      </c>
      <c r="BR260" s="1312">
        <f>BS259*((1+'Instrumentos Financeiros'!$L$43)^(1/12)-1)</f>
        <v>142.22616836103205</v>
      </c>
      <c r="BS260" s="1312">
        <f t="shared" si="146"/>
        <v>32665.833240851018</v>
      </c>
      <c r="BT260" s="1312">
        <f>IF(AND(C260&gt;$F$79,'Instrumentos Financeiros'!C260&lt;'Instrumentos Financeiros'!$F$79+'Instrumentos Financeiros'!$F$12+1),PMT(((1+'Instrumentos Financeiros'!$L$43)^(1/12)-1),$F$12,-$I$79),0)</f>
        <v>368.57912678094596</v>
      </c>
      <c r="BU260" s="1312">
        <f t="shared" si="147"/>
        <v>223.44191151301698</v>
      </c>
      <c r="BV260" s="1312">
        <f>BW259*((1+'Instrumentos Financeiros'!$L$43)^(1/12)-1)</f>
        <v>145.13721526792898</v>
      </c>
      <c r="BW260" s="1312">
        <f t="shared" si="148"/>
        <v>33341.972695721553</v>
      </c>
      <c r="BX260" s="1312">
        <f>IF(AND(C260&gt;$F$80,'Instrumentos Financeiros'!C260&lt;'Instrumentos Financeiros'!$F$80+'Instrumentos Financeiros'!$F$12+1),PMT(((1+'Instrumentos Financeiros'!$L$43)^(1/12)-1),$F$12,-$I$80),0)</f>
        <v>368.57912678094596</v>
      </c>
      <c r="BY260" s="1312">
        <f t="shared" si="149"/>
        <v>220.56830257093972</v>
      </c>
      <c r="BZ260" s="1312">
        <f>CA259*((1+'Instrumentos Financeiros'!$L$43)^(1/12)-1)</f>
        <v>148.01082421000623</v>
      </c>
      <c r="CA260" s="1312">
        <f t="shared" si="150"/>
        <v>34009.416555524665</v>
      </c>
      <c r="CB260" s="1312">
        <f>IF(AND(C260&gt;$F$83,'Instrumentos Financeiros'!C260&lt;'Instrumentos Financeiros'!$F$83+'Instrumentos Financeiros'!$F$13+1),PMT(((1+'Instrumentos Financeiros'!$P$43)^(1/12)-1),$F$13,-$I$83),0)</f>
        <v>0</v>
      </c>
      <c r="CC260" s="1312">
        <f t="shared" si="151"/>
        <v>0</v>
      </c>
      <c r="CD260" s="1312">
        <f>CE259*((1+'Instrumentos Financeiros'!$P$43)^(1/12)-1)</f>
        <v>0</v>
      </c>
      <c r="CE260" s="1312">
        <f t="shared" si="152"/>
        <v>0</v>
      </c>
      <c r="CF260" s="1312">
        <f>IF(AND(C260&gt;$F$84,'Instrumentos Financeiros'!C260&lt;'Instrumentos Financeiros'!$F$84+'Instrumentos Financeiros'!$F$13+1),PMT(((1+'Instrumentos Financeiros'!$Q$43)^(1/12)-1),$F$13,-$I$84),0)</f>
        <v>0</v>
      </c>
      <c r="CG260" s="1312">
        <f t="shared" si="153"/>
        <v>0</v>
      </c>
      <c r="CH260" s="1312">
        <f>CI259*((1+'Instrumentos Financeiros'!$Q$43)^(1/12)-1)</f>
        <v>0</v>
      </c>
      <c r="CI260" s="1312">
        <f t="shared" si="154"/>
        <v>0</v>
      </c>
      <c r="CJ260" s="1312">
        <f>IF(AND(C260&gt;$F$85,'Instrumentos Financeiros'!C260&lt;'Instrumentos Financeiros'!$F$85+'Instrumentos Financeiros'!$F$13+1),PMT(((1+'Instrumentos Financeiros'!$Q$43)^(1/12)-1),$F$13,-$I$85),0)</f>
        <v>0</v>
      </c>
      <c r="CK260" s="1312">
        <f t="shared" si="155"/>
        <v>0</v>
      </c>
      <c r="CL260" s="1312">
        <f>CM259*((1+'Instrumentos Financeiros'!$Q$43)^(1/12)-1)</f>
        <v>0</v>
      </c>
      <c r="CM260" s="1312">
        <f t="shared" si="156"/>
        <v>0</v>
      </c>
      <c r="CN260" s="1312">
        <f>IF(AND(C260&gt;$F$86,'Instrumentos Financeiros'!C260&lt;'Instrumentos Financeiros'!$F$86+'Instrumentos Financeiros'!$F$13+1),PMT(((1+'Instrumentos Financeiros'!$Q$43)^(1/12)-1),$F$13,-$I$86),0)</f>
        <v>0</v>
      </c>
      <c r="CO260" s="1312">
        <f t="shared" si="157"/>
        <v>0</v>
      </c>
      <c r="CP260" s="1312">
        <f>CQ259*((1+'Instrumentos Financeiros'!$Q$43)^(1/12)-1)</f>
        <v>0</v>
      </c>
      <c r="CQ260" s="1312">
        <f t="shared" si="158"/>
        <v>0</v>
      </c>
      <c r="CR260" s="1312">
        <f t="shared" si="127"/>
        <v>399789.55023115332</v>
      </c>
      <c r="CS260" s="1312">
        <f t="shared" si="127"/>
        <v>264149.70720479358</v>
      </c>
      <c r="CT260" s="1312">
        <f t="shared" si="127"/>
        <v>135639.84302635977</v>
      </c>
      <c r="CU260" s="1312">
        <f t="shared" si="127"/>
        <v>31455074.574598134</v>
      </c>
    </row>
    <row r="261" spans="3:99" x14ac:dyDescent="0.35">
      <c r="C261" s="1316">
        <f t="shared" si="128"/>
        <v>168</v>
      </c>
      <c r="D261" s="1313">
        <f>IF(AND(C261&gt;$F$59,'Instrumentos Financeiros'!C261&lt;'Instrumentos Financeiros'!$F$59+'Instrumentos Financeiros'!$F$11+1),PMT(((1+'Instrumentos Financeiros'!$G$43)^(1/12)-1),$F$11,-$I$59),0)</f>
        <v>91768.589635900134</v>
      </c>
      <c r="E261" s="1313">
        <f t="shared" si="125"/>
        <v>66517.439465971722</v>
      </c>
      <c r="F261" s="1313">
        <f>G260*((1+'Instrumentos Financeiros'!$G$43)^(1/12)-1)</f>
        <v>25251.15016992842</v>
      </c>
      <c r="G261" s="1313">
        <f t="shared" si="159"/>
        <v>6119759.846610656</v>
      </c>
      <c r="H261" s="1313">
        <f>IF(AND(C261&gt;$F$60,'Instrumentos Financeiros'!C261&lt;'Instrumentos Financeiros'!$F$60+'Instrumentos Financeiros'!$F$11+1),PMT(((1+'Instrumentos Financeiros'!$G$43)^(1/12)-1),$F$11,-$I$60),0)</f>
        <v>0</v>
      </c>
      <c r="I261" s="1313">
        <f t="shared" si="160"/>
        <v>0</v>
      </c>
      <c r="J261" s="1313">
        <f>K260*((1+'Instrumentos Financeiros'!$G$43)^(1/12)-1)</f>
        <v>0</v>
      </c>
      <c r="K261" s="1313">
        <f t="shared" si="129"/>
        <v>0</v>
      </c>
      <c r="L261" s="1313">
        <f>IF(AND(C261&gt;$F$61,'Instrumentos Financeiros'!C261&lt;'Instrumentos Financeiros'!$F$61+'Instrumentos Financeiros'!$F$11+1),PMT(((1+'Instrumentos Financeiros'!$G$43)^(1/12)-1),$F$11,-$I$61),0)</f>
        <v>0</v>
      </c>
      <c r="M261" s="1313">
        <f t="shared" si="161"/>
        <v>0</v>
      </c>
      <c r="N261" s="1313">
        <f>O260*((1+'Instrumentos Financeiros'!$G$43)^(1/12)-1)</f>
        <v>0</v>
      </c>
      <c r="O261" s="1313">
        <f t="shared" si="130"/>
        <v>0</v>
      </c>
      <c r="P261" s="1313">
        <f>IF(AND(C261&gt;$F$62,'Instrumentos Financeiros'!C261&lt;'Instrumentos Financeiros'!$F$62+'Instrumentos Financeiros'!$F$11+1),PMT(((1+'Instrumentos Financeiros'!$H$43)^(1/12)-1),$F$11,-$I$62),0)</f>
        <v>0</v>
      </c>
      <c r="Q261" s="1313">
        <f t="shared" si="162"/>
        <v>0</v>
      </c>
      <c r="R261" s="1313">
        <f>S260*((1+'Instrumentos Financeiros'!$H$43)^(1/12)-1)</f>
        <v>0</v>
      </c>
      <c r="S261" s="1313">
        <f t="shared" si="131"/>
        <v>0</v>
      </c>
      <c r="T261" s="1313">
        <f>IF(AND(C261&gt;$F$63,'Instrumentos Financeiros'!C261&lt;'Instrumentos Financeiros'!$F$63+'Instrumentos Financeiros'!$F$11+1),PMT(((1+'Instrumentos Financeiros'!$H$43)^(1/12)-1),$F$11,-$I$63),0)</f>
        <v>0</v>
      </c>
      <c r="U261" s="1313">
        <f t="shared" si="163"/>
        <v>0</v>
      </c>
      <c r="V261" s="1313">
        <f>W260*((1+'Instrumentos Financeiros'!$H$43)^(1/12)-1)</f>
        <v>0</v>
      </c>
      <c r="W261" s="1313">
        <f t="shared" si="132"/>
        <v>0</v>
      </c>
      <c r="X261" s="1313">
        <f>IF(AND(C261&gt;$F$64,'Instrumentos Financeiros'!C261&lt;'Instrumentos Financeiros'!$F$64+'Instrumentos Financeiros'!$F$11+1),PMT(((1+'Instrumentos Financeiros'!$H$43)^(1/12)-1),$F$11,-$I$64),0)</f>
        <v>0</v>
      </c>
      <c r="Y261" s="1313">
        <f t="shared" si="164"/>
        <v>0</v>
      </c>
      <c r="Z261" s="1313">
        <f>AA260*((1+'Instrumentos Financeiros'!$H$43)^(1/12)-1)</f>
        <v>0</v>
      </c>
      <c r="AA261" s="1313">
        <f t="shared" si="133"/>
        <v>0</v>
      </c>
      <c r="AB261" s="1313">
        <f>IF(AND(C261&gt;$F$65,'Instrumentos Financeiros'!C261&lt;'Instrumentos Financeiros'!$F$65+'Instrumentos Financeiros'!$F$11+1),PMT(((1+'Instrumentos Financeiros'!$H$43)^(1/12)-1),$F$11,-$I$65),0)</f>
        <v>76636.661022032335</v>
      </c>
      <c r="AC261" s="1313">
        <f t="shared" si="165"/>
        <v>50428.208973433851</v>
      </c>
      <c r="AD261" s="1313">
        <f>AE260*((1+'Instrumentos Financeiros'!$H$43)^(1/12)-1)</f>
        <v>26208.452048598479</v>
      </c>
      <c r="AE261" s="1313">
        <f t="shared" si="134"/>
        <v>6010715.775366337</v>
      </c>
      <c r="AF261" s="1313">
        <f>IF(AND(C261&gt;$F$66,'Instrumentos Financeiros'!C261&lt;'Instrumentos Financeiros'!$F$66+'Instrumentos Financeiros'!$F$11+1),PMT(((1+'Instrumentos Financeiros'!$I$43)^(1/12)-1),$F$11,-$I$66),0)</f>
        <v>76636.661022032335</v>
      </c>
      <c r="AG261" s="1313">
        <f t="shared" si="166"/>
        <v>49779.669264577315</v>
      </c>
      <c r="AH261" s="1313">
        <f>AI260*((1+'Instrumentos Financeiros'!$I$43)^(1/12)-1)</f>
        <v>26856.991757455016</v>
      </c>
      <c r="AI261" s="1313">
        <f t="shared" si="135"/>
        <v>6161349.9970854167</v>
      </c>
      <c r="AJ261" s="1313">
        <f>IF(AND(C261&gt;$F$67,'Instrumentos Financeiros'!C261&lt;'Instrumentos Financeiros'!$F$67+'Instrumentos Financeiros'!$F$11+1),PMT(((1+'Instrumentos Financeiros'!$I$43)^(1/12)-1),$F$11,-$I$67),0)</f>
        <v>76636.661022032335</v>
      </c>
      <c r="AK261" s="1313">
        <f t="shared" si="167"/>
        <v>49139.470200025346</v>
      </c>
      <c r="AL261" s="1313">
        <f>AM260*((1+'Instrumentos Financeiros'!$I$43)^(1/12)-1)</f>
        <v>27497.190822006993</v>
      </c>
      <c r="AM261" s="1313">
        <f t="shared" si="136"/>
        <v>6310046.9643136822</v>
      </c>
      <c r="AN261" s="1313">
        <f>IF(AND(C261&gt;$F$68,'Instrumentos Financeiros'!C261&lt;'Instrumentos Financeiros'!$F$68+'Instrumentos Financeiros'!$F$11+1),PMT(((1+'Instrumentos Financeiros'!$I$43)^(1/12)-1),$F$11,-$I$68),0)</f>
        <v>76636.661022032335</v>
      </c>
      <c r="AO261" s="1313">
        <f t="shared" si="168"/>
        <v>48507.504513643784</v>
      </c>
      <c r="AP261" s="1313">
        <f>AQ260*((1+'Instrumentos Financeiros'!$I$43)^(1/12)-1)</f>
        <v>28129.156508388554</v>
      </c>
      <c r="AQ261" s="1313">
        <f t="shared" si="137"/>
        <v>6456831.5914093666</v>
      </c>
      <c r="AR261" s="1313">
        <f>IF(AND(C261&gt;$F$69,'Instrumentos Financeiros'!C261&lt;'Instrumentos Financeiros'!$F$69+'Instrumentos Financeiros'!$F$11+1),PMT(((1+'Instrumentos Financeiros'!$I$43)^(1/12)-1),$F$11,-$I$69),0)</f>
        <v>0</v>
      </c>
      <c r="AS261" s="1313">
        <f t="shared" si="169"/>
        <v>0</v>
      </c>
      <c r="AT261" s="1313">
        <f>AU260*((1+'Instrumentos Financeiros'!$I$43)^(1/12)-1)</f>
        <v>0</v>
      </c>
      <c r="AU261" s="1313">
        <f t="shared" si="138"/>
        <v>0</v>
      </c>
      <c r="AV261" s="1313">
        <f>IF(AND(C261&gt;$F$70,'Instrumentos Financeiros'!C261&lt;'Instrumentos Financeiros'!$F$70+'Instrumentos Financeiros'!$F$11+1),PMT(((1+'Instrumentos Financeiros'!$J$43)^(1/12)-1),$F$11,-$I$70),0)</f>
        <v>0</v>
      </c>
      <c r="AW261" s="1313">
        <f t="shared" si="170"/>
        <v>0</v>
      </c>
      <c r="AX261" s="1313">
        <f>AY260*((1+'Instrumentos Financeiros'!$J$43)^(1/12)-1)</f>
        <v>0</v>
      </c>
      <c r="AY261" s="1313">
        <f t="shared" si="139"/>
        <v>0</v>
      </c>
      <c r="AZ261" s="1313">
        <f>IF(AND(C261&gt;$F$71,'Instrumentos Financeiros'!C261&lt;'Instrumentos Financeiros'!$F$71+'Instrumentos Financeiros'!$F$11+1),PMT(((1+'Instrumentos Financeiros'!$J$43)^(1/12)-1),$F$11,-$I$71),0)</f>
        <v>0</v>
      </c>
      <c r="BA261" s="1313">
        <f t="shared" si="171"/>
        <v>0</v>
      </c>
      <c r="BB261" s="1313">
        <f>BC260*((1+'Instrumentos Financeiros'!$J$43)^(1/12)-1)</f>
        <v>0</v>
      </c>
      <c r="BC261" s="1313">
        <f t="shared" si="140"/>
        <v>0</v>
      </c>
      <c r="BD261" s="1313">
        <f>IF(AND(C261&gt;$F$72,'Instrumentos Financeiros'!C261&lt;'Instrumentos Financeiros'!$F$72+'Instrumentos Financeiros'!$F$11+1),PMT(((1+'Instrumentos Financeiros'!$J$43)^(1/12)-1),$F$11,-'Instrumentos Financeiros'!$G$7*$G$72),0)</f>
        <v>0</v>
      </c>
      <c r="BE261" s="1313">
        <f t="shared" si="172"/>
        <v>0</v>
      </c>
      <c r="BF261" s="1313">
        <f>BG260*((1+'Instrumentos Financeiros'!$J$43)^(1/12)-1)</f>
        <v>0</v>
      </c>
      <c r="BG261" s="1313">
        <f t="shared" si="141"/>
        <v>0</v>
      </c>
      <c r="BH261" s="1313">
        <f>IF(AND(C261&gt;$F$73,'Instrumentos Financeiros'!C261&lt;'Instrumentos Financeiros'!$F$73+'Instrumentos Financeiros'!$F$11+1),PMT(((1+'Instrumentos Financeiros'!$J$43)^(1/12)-1),$F$11,-$I$73),0)</f>
        <v>0</v>
      </c>
      <c r="BI261" s="1313">
        <f t="shared" si="173"/>
        <v>0</v>
      </c>
      <c r="BJ261" s="1313">
        <f>BK260*((1+'Instrumentos Financeiros'!$J$43)^(1/12)-1)</f>
        <v>0</v>
      </c>
      <c r="BK261" s="1313">
        <f t="shared" si="142"/>
        <v>0</v>
      </c>
      <c r="BL261" s="1313">
        <f>IF(AND(C261&gt;$F$77,'Instrumentos Financeiros'!C261&lt;'Instrumentos Financeiros'!$F$77+'Instrumentos Financeiros'!$F$12+1),PMT(((1+'Instrumentos Financeiros'!$K$43)^(1/12)-1),$F$12,-$I$77),0)</f>
        <v>368.57912678094596</v>
      </c>
      <c r="BM261" s="1313">
        <f t="shared" si="143"/>
        <v>230.29343506737149</v>
      </c>
      <c r="BN261" s="1313">
        <f>BO260*((1+'Instrumentos Financeiros'!$K$43)^(1/12)-1)</f>
        <v>138.28569171357447</v>
      </c>
      <c r="BO261" s="1313">
        <f t="shared" si="144"/>
        <v>31750.591467855302</v>
      </c>
      <c r="BP261" s="1313">
        <f>IF(AND(C261&gt;$F$78,'Instrumentos Financeiros'!C261&lt;'Instrumentos Financeiros'!$F$78+'Instrumentos Financeiros'!$F$12+1),PMT(((1+'Instrumentos Financeiros'!$L$43)^(1/12)-1),$F$12,-$I$78),0)</f>
        <v>368.57912678094596</v>
      </c>
      <c r="BQ261" s="1313">
        <f t="shared" si="145"/>
        <v>227.33171105673202</v>
      </c>
      <c r="BR261" s="1313">
        <f>BS260*((1+'Instrumentos Financeiros'!$L$43)^(1/12)-1)</f>
        <v>141.24741572421394</v>
      </c>
      <c r="BS261" s="1313">
        <f t="shared" si="146"/>
        <v>32438.501529794285</v>
      </c>
      <c r="BT261" s="1313">
        <f>IF(AND(C261&gt;$F$79,'Instrumentos Financeiros'!C261&lt;'Instrumentos Financeiros'!$F$79+'Instrumentos Financeiros'!$F$12+1),PMT(((1+'Instrumentos Financeiros'!$L$43)^(1/12)-1),$F$12,-$I$79),0)</f>
        <v>368.57912678094596</v>
      </c>
      <c r="BU261" s="1313">
        <f t="shared" si="147"/>
        <v>224.40807675157035</v>
      </c>
      <c r="BV261" s="1313">
        <f>BW260*((1+'Instrumentos Financeiros'!$L$43)^(1/12)-1)</f>
        <v>144.17105002937561</v>
      </c>
      <c r="BW261" s="1313">
        <f t="shared" si="148"/>
        <v>33117.564618969984</v>
      </c>
      <c r="BX261" s="1313">
        <f>IF(AND(C261&gt;$F$80,'Instrumentos Financeiros'!C261&lt;'Instrumentos Financeiros'!$F$80+'Instrumentos Financeiros'!$F$12+1),PMT(((1+'Instrumentos Financeiros'!$L$43)^(1/12)-1),$F$12,-$I$80),0)</f>
        <v>368.57912678094596</v>
      </c>
      <c r="BY261" s="1313">
        <f t="shared" si="149"/>
        <v>221.52204229339262</v>
      </c>
      <c r="BZ261" s="1313">
        <f>CA260*((1+'Instrumentos Financeiros'!$L$43)^(1/12)-1)</f>
        <v>147.05708448755334</v>
      </c>
      <c r="CA261" s="1313">
        <f t="shared" si="150"/>
        <v>33787.894513231273</v>
      </c>
      <c r="CB261" s="1313">
        <f>IF(AND(C261&gt;$F$83,'Instrumentos Financeiros'!C261&lt;'Instrumentos Financeiros'!$F$83+'Instrumentos Financeiros'!$F$13+1),PMT(((1+'Instrumentos Financeiros'!$P$43)^(1/12)-1),$F$13,-$I$83),0)</f>
        <v>0</v>
      </c>
      <c r="CC261" s="1313">
        <f t="shared" si="151"/>
        <v>0</v>
      </c>
      <c r="CD261" s="1313">
        <f>CE260*((1+'Instrumentos Financeiros'!$P$43)^(1/12)-1)</f>
        <v>0</v>
      </c>
      <c r="CE261" s="1313">
        <f t="shared" si="152"/>
        <v>3809761.0082965801</v>
      </c>
      <c r="CF261" s="1313">
        <f>IF(AND(C261&gt;$F$84,'Instrumentos Financeiros'!C261&lt;'Instrumentos Financeiros'!$F$84+'Instrumentos Financeiros'!$F$13+1),PMT(((1+'Instrumentos Financeiros'!$Q$43)^(1/12)-1),$F$13,-$I$84),0)</f>
        <v>0</v>
      </c>
      <c r="CG261" s="1313">
        <f t="shared" si="153"/>
        <v>0</v>
      </c>
      <c r="CH261" s="1313">
        <f>CI260*((1+'Instrumentos Financeiros'!$Q$43)^(1/12)-1)</f>
        <v>0</v>
      </c>
      <c r="CI261" s="1313">
        <f t="shared" si="154"/>
        <v>0</v>
      </c>
      <c r="CJ261" s="1313">
        <f>IF(AND(C261&gt;$F$85,'Instrumentos Financeiros'!C261&lt;'Instrumentos Financeiros'!$F$85+'Instrumentos Financeiros'!$F$13+1),PMT(((1+'Instrumentos Financeiros'!$Q$43)^(1/12)-1),$F$13,-$I$85),0)</f>
        <v>0</v>
      </c>
      <c r="CK261" s="1313">
        <f t="shared" si="155"/>
        <v>0</v>
      </c>
      <c r="CL261" s="1313">
        <f>CM260*((1+'Instrumentos Financeiros'!$Q$43)^(1/12)-1)</f>
        <v>0</v>
      </c>
      <c r="CM261" s="1313">
        <f t="shared" si="156"/>
        <v>0</v>
      </c>
      <c r="CN261" s="1313">
        <f>IF(AND(C261&gt;$F$86,'Instrumentos Financeiros'!C261&lt;'Instrumentos Financeiros'!$F$86+'Instrumentos Financeiros'!$F$13+1),PMT(((1+'Instrumentos Financeiros'!$Q$43)^(1/12)-1),$F$13,-$I$86),0)</f>
        <v>0</v>
      </c>
      <c r="CO261" s="1313">
        <f t="shared" si="157"/>
        <v>0</v>
      </c>
      <c r="CP261" s="1313">
        <f>CQ260*((1+'Instrumentos Financeiros'!$Q$43)^(1/12)-1)</f>
        <v>0</v>
      </c>
      <c r="CQ261" s="1313">
        <f t="shared" si="158"/>
        <v>0</v>
      </c>
      <c r="CR261" s="1313">
        <f t="shared" si="127"/>
        <v>399789.55023115332</v>
      </c>
      <c r="CS261" s="1313">
        <f t="shared" si="127"/>
        <v>265275.8476828211</v>
      </c>
      <c r="CT261" s="1313">
        <f t="shared" si="127"/>
        <v>134513.70254833216</v>
      </c>
      <c r="CU261" s="1313">
        <f t="shared" si="127"/>
        <v>34999559.735211886</v>
      </c>
    </row>
    <row r="262" spans="3:99" x14ac:dyDescent="0.35">
      <c r="C262" s="1315">
        <f t="shared" si="128"/>
        <v>169</v>
      </c>
      <c r="D262" s="1312">
        <f>IF(AND(C262&gt;$F$59,'Instrumentos Financeiros'!C262&lt;'Instrumentos Financeiros'!$F$59+'Instrumentos Financeiros'!$F$11+1),PMT(((1+'Instrumentos Financeiros'!$G$43)^(1/12)-1),$F$11,-$I$59),0)</f>
        <v>91768.589635900134</v>
      </c>
      <c r="E262" s="1312">
        <f t="shared" si="125"/>
        <v>66788.95038848641</v>
      </c>
      <c r="F262" s="1312">
        <f>G261*((1+'Instrumentos Financeiros'!$G$43)^(1/12)-1)</f>
        <v>24979.639247413725</v>
      </c>
      <c r="G262" s="1312">
        <f t="shared" si="159"/>
        <v>6052970.8962221695</v>
      </c>
      <c r="H262" s="1312">
        <f>IF(AND(C262&gt;$F$60,'Instrumentos Financeiros'!C262&lt;'Instrumentos Financeiros'!$F$60+'Instrumentos Financeiros'!$F$11+1),PMT(((1+'Instrumentos Financeiros'!$G$43)^(1/12)-1),$F$11,-$I$60),0)</f>
        <v>0</v>
      </c>
      <c r="I262" s="1312">
        <f t="shared" si="160"/>
        <v>0</v>
      </c>
      <c r="J262" s="1312">
        <f>K261*((1+'Instrumentos Financeiros'!$G$43)^(1/12)-1)</f>
        <v>0</v>
      </c>
      <c r="K262" s="1312">
        <f t="shared" si="129"/>
        <v>0</v>
      </c>
      <c r="L262" s="1312">
        <f>IF(AND(C262&gt;$F$61,'Instrumentos Financeiros'!C262&lt;'Instrumentos Financeiros'!$F$61+'Instrumentos Financeiros'!$F$11+1),PMT(((1+'Instrumentos Financeiros'!$G$43)^(1/12)-1),$F$11,-$I$61),0)</f>
        <v>0</v>
      </c>
      <c r="M262" s="1312">
        <f t="shared" si="161"/>
        <v>0</v>
      </c>
      <c r="N262" s="1312">
        <f>O261*((1+'Instrumentos Financeiros'!$G$43)^(1/12)-1)</f>
        <v>0</v>
      </c>
      <c r="O262" s="1312">
        <f t="shared" si="130"/>
        <v>0</v>
      </c>
      <c r="P262" s="1312">
        <f>IF(AND(C262&gt;$F$62,'Instrumentos Financeiros'!C262&lt;'Instrumentos Financeiros'!$F$62+'Instrumentos Financeiros'!$F$11+1),PMT(((1+'Instrumentos Financeiros'!$H$43)^(1/12)-1),$F$11,-$I$62),0)</f>
        <v>0</v>
      </c>
      <c r="Q262" s="1312">
        <f t="shared" si="162"/>
        <v>0</v>
      </c>
      <c r="R262" s="1312">
        <f>S261*((1+'Instrumentos Financeiros'!$H$43)^(1/12)-1)</f>
        <v>0</v>
      </c>
      <c r="S262" s="1312">
        <f t="shared" si="131"/>
        <v>0</v>
      </c>
      <c r="T262" s="1312">
        <f>IF(AND(C262&gt;$F$63,'Instrumentos Financeiros'!C262&lt;'Instrumentos Financeiros'!$F$63+'Instrumentos Financeiros'!$F$11+1),PMT(((1+'Instrumentos Financeiros'!$H$43)^(1/12)-1),$F$11,-$I$63),0)</f>
        <v>0</v>
      </c>
      <c r="U262" s="1312">
        <f t="shared" si="163"/>
        <v>0</v>
      </c>
      <c r="V262" s="1312">
        <f>W261*((1+'Instrumentos Financeiros'!$H$43)^(1/12)-1)</f>
        <v>0</v>
      </c>
      <c r="W262" s="1312">
        <f t="shared" si="132"/>
        <v>0</v>
      </c>
      <c r="X262" s="1312">
        <f>IF(AND(C262&gt;$F$64,'Instrumentos Financeiros'!C262&lt;'Instrumentos Financeiros'!$F$64+'Instrumentos Financeiros'!$F$11+1),PMT(((1+'Instrumentos Financeiros'!$H$43)^(1/12)-1),$F$11,-$I$64),0)</f>
        <v>0</v>
      </c>
      <c r="Y262" s="1312">
        <f t="shared" si="164"/>
        <v>0</v>
      </c>
      <c r="Z262" s="1312">
        <f>AA261*((1+'Instrumentos Financeiros'!$H$43)^(1/12)-1)</f>
        <v>0</v>
      </c>
      <c r="AA262" s="1312">
        <f t="shared" si="133"/>
        <v>0</v>
      </c>
      <c r="AB262" s="1312">
        <f>IF(AND(C262&gt;$F$65,'Instrumentos Financeiros'!C262&lt;'Instrumentos Financeiros'!$F$65+'Instrumentos Financeiros'!$F$11+1),PMT(((1+'Instrumentos Financeiros'!$H$43)^(1/12)-1),$F$11,-$I$65),0)</f>
        <v>76636.661022032335</v>
      </c>
      <c r="AC262" s="1312">
        <f t="shared" si="165"/>
        <v>50646.261093659297</v>
      </c>
      <c r="AD262" s="1312">
        <f>AE261*((1+'Instrumentos Financeiros'!$H$43)^(1/12)-1)</f>
        <v>25990.399928373041</v>
      </c>
      <c r="AE262" s="1312">
        <f t="shared" si="134"/>
        <v>5960069.5142726777</v>
      </c>
      <c r="AF262" s="1312">
        <f>IF(AND(C262&gt;$F$66,'Instrumentos Financeiros'!C262&lt;'Instrumentos Financeiros'!$F$66+'Instrumentos Financeiros'!$F$11+1),PMT(((1+'Instrumentos Financeiros'!$I$43)^(1/12)-1),$F$11,-$I$66),0)</f>
        <v>76636.661022032335</v>
      </c>
      <c r="AG262" s="1312">
        <f t="shared" si="166"/>
        <v>49994.917092097436</v>
      </c>
      <c r="AH262" s="1312">
        <f>AI261*((1+'Instrumentos Financeiros'!$I$43)^(1/12)-1)</f>
        <v>26641.743929934899</v>
      </c>
      <c r="AI262" s="1312">
        <f t="shared" si="135"/>
        <v>6111355.0799933197</v>
      </c>
      <c r="AJ262" s="1312">
        <f>IF(AND(C262&gt;$F$67,'Instrumentos Financeiros'!C262&lt;'Instrumentos Financeiros'!$F$67+'Instrumentos Financeiros'!$F$11+1),PMT(((1+'Instrumentos Financeiros'!$I$43)^(1/12)-1),$F$11,-$I$67),0)</f>
        <v>76636.661022032335</v>
      </c>
      <c r="AK262" s="1312">
        <f t="shared" si="167"/>
        <v>49351.949799876194</v>
      </c>
      <c r="AL262" s="1312">
        <f>AM261*((1+'Instrumentos Financeiros'!$I$43)^(1/12)-1)</f>
        <v>27284.71122215614</v>
      </c>
      <c r="AM262" s="1312">
        <f t="shared" si="136"/>
        <v>6260695.0145138055</v>
      </c>
      <c r="AN262" s="1312">
        <f>IF(AND(C262&gt;$F$68,'Instrumentos Financeiros'!C262&lt;'Instrumentos Financeiros'!$F$68+'Instrumentos Financeiros'!$F$11+1),PMT(((1+'Instrumentos Financeiros'!$I$43)^(1/12)-1),$F$11,-$I$68),0)</f>
        <v>76636.661022032335</v>
      </c>
      <c r="AO262" s="1312">
        <f t="shared" si="168"/>
        <v>48717.251487041489</v>
      </c>
      <c r="AP262" s="1312">
        <f>AQ261*((1+'Instrumentos Financeiros'!$I$43)^(1/12)-1)</f>
        <v>27919.409534990842</v>
      </c>
      <c r="AQ262" s="1312">
        <f t="shared" si="137"/>
        <v>6408114.3399223248</v>
      </c>
      <c r="AR262" s="1312">
        <f>IF(AND(C262&gt;$F$69,'Instrumentos Financeiros'!C262&lt;'Instrumentos Financeiros'!$F$69+'Instrumentos Financeiros'!$F$11+1),PMT(((1+'Instrumentos Financeiros'!$I$43)^(1/12)-1),$F$11,-$I$69),0)</f>
        <v>0</v>
      </c>
      <c r="AS262" s="1312">
        <f t="shared" si="169"/>
        <v>0</v>
      </c>
      <c r="AT262" s="1312">
        <f>AU261*((1+'Instrumentos Financeiros'!$I$43)^(1/12)-1)</f>
        <v>0</v>
      </c>
      <c r="AU262" s="1312">
        <f t="shared" si="138"/>
        <v>0</v>
      </c>
      <c r="AV262" s="1312">
        <f>IF(AND(C262&gt;$F$70,'Instrumentos Financeiros'!C262&lt;'Instrumentos Financeiros'!$F$70+'Instrumentos Financeiros'!$F$11+1),PMT(((1+'Instrumentos Financeiros'!$J$43)^(1/12)-1),$F$11,-$I$70),0)</f>
        <v>0</v>
      </c>
      <c r="AW262" s="1312">
        <f t="shared" si="170"/>
        <v>0</v>
      </c>
      <c r="AX262" s="1312">
        <f>AY261*((1+'Instrumentos Financeiros'!$J$43)^(1/12)-1)</f>
        <v>0</v>
      </c>
      <c r="AY262" s="1312">
        <f t="shared" si="139"/>
        <v>0</v>
      </c>
      <c r="AZ262" s="1312">
        <f>IF(AND(C262&gt;$F$71,'Instrumentos Financeiros'!C262&lt;'Instrumentos Financeiros'!$F$71+'Instrumentos Financeiros'!$F$11+1),PMT(((1+'Instrumentos Financeiros'!$J$43)^(1/12)-1),$F$11,-$I$71),0)</f>
        <v>0</v>
      </c>
      <c r="BA262" s="1312">
        <f t="shared" si="171"/>
        <v>0</v>
      </c>
      <c r="BB262" s="1312">
        <f>BC261*((1+'Instrumentos Financeiros'!$J$43)^(1/12)-1)</f>
        <v>0</v>
      </c>
      <c r="BC262" s="1312">
        <f t="shared" si="140"/>
        <v>0</v>
      </c>
      <c r="BD262" s="1312">
        <f>IF(AND(C262&gt;$F$72,'Instrumentos Financeiros'!C262&lt;'Instrumentos Financeiros'!$F$72+'Instrumentos Financeiros'!$F$11+1),PMT(((1+'Instrumentos Financeiros'!$J$43)^(1/12)-1),$F$11,-'Instrumentos Financeiros'!$G$7*$G$72),0)</f>
        <v>0</v>
      </c>
      <c r="BE262" s="1312">
        <f t="shared" si="172"/>
        <v>0</v>
      </c>
      <c r="BF262" s="1312">
        <f>BG261*((1+'Instrumentos Financeiros'!$J$43)^(1/12)-1)</f>
        <v>0</v>
      </c>
      <c r="BG262" s="1312">
        <f t="shared" si="141"/>
        <v>0</v>
      </c>
      <c r="BH262" s="1312">
        <f>IF(AND(C262&gt;$F$73,'Instrumentos Financeiros'!C262&lt;'Instrumentos Financeiros'!$F$73+'Instrumentos Financeiros'!$F$11+1),PMT(((1+'Instrumentos Financeiros'!$J$43)^(1/12)-1),$F$11,-$I$73),0)</f>
        <v>0</v>
      </c>
      <c r="BI262" s="1312">
        <f t="shared" si="173"/>
        <v>0</v>
      </c>
      <c r="BJ262" s="1312">
        <f>BK261*((1+'Instrumentos Financeiros'!$J$43)^(1/12)-1)</f>
        <v>0</v>
      </c>
      <c r="BK262" s="1312">
        <f t="shared" si="142"/>
        <v>0</v>
      </c>
      <c r="BL262" s="1312">
        <f>IF(AND(C262&gt;$F$77,'Instrumentos Financeiros'!C262&lt;'Instrumentos Financeiros'!$F$77+'Instrumentos Financeiros'!$F$12+1),PMT(((1+'Instrumentos Financeiros'!$K$43)^(1/12)-1),$F$12,-$I$77),0)</f>
        <v>368.57912678094596</v>
      </c>
      <c r="BM262" s="1312">
        <f t="shared" si="143"/>
        <v>231.28922636777034</v>
      </c>
      <c r="BN262" s="1312">
        <f>BO261*((1+'Instrumentos Financeiros'!$K$43)^(1/12)-1)</f>
        <v>137.28990041317562</v>
      </c>
      <c r="BO262" s="1312">
        <f t="shared" si="144"/>
        <v>31519.30224148753</v>
      </c>
      <c r="BP262" s="1312">
        <f>IF(AND(C262&gt;$F$78,'Instrumentos Financeiros'!C262&lt;'Instrumentos Financeiros'!$F$78+'Instrumentos Financeiros'!$F$12+1),PMT(((1+'Instrumentos Financeiros'!$L$43)^(1/12)-1),$F$12,-$I$78),0)</f>
        <v>368.57912678094596</v>
      </c>
      <c r="BQ262" s="1312">
        <f t="shared" si="145"/>
        <v>228.31469583052223</v>
      </c>
      <c r="BR262" s="1312">
        <f>BS261*((1+'Instrumentos Financeiros'!$L$43)^(1/12)-1)</f>
        <v>140.26443095042373</v>
      </c>
      <c r="BS262" s="1312">
        <f t="shared" si="146"/>
        <v>32210.186833963762</v>
      </c>
      <c r="BT262" s="1312">
        <f>IF(AND(C262&gt;$F$79,'Instrumentos Financeiros'!C262&lt;'Instrumentos Financeiros'!$F$79+'Instrumentos Financeiros'!$F$12+1),PMT(((1+'Instrumentos Financeiros'!$L$43)^(1/12)-1),$F$12,-$I$79),0)</f>
        <v>368.57912678094596</v>
      </c>
      <c r="BU262" s="1312">
        <f t="shared" si="147"/>
        <v>225.37841969904983</v>
      </c>
      <c r="BV262" s="1312">
        <f>BW261*((1+'Instrumentos Financeiros'!$L$43)^(1/12)-1)</f>
        <v>143.20070708189613</v>
      </c>
      <c r="BW262" s="1312">
        <f t="shared" si="148"/>
        <v>32892.186199270931</v>
      </c>
      <c r="BX262" s="1312">
        <f>IF(AND(C262&gt;$F$80,'Instrumentos Financeiros'!C262&lt;'Instrumentos Financeiros'!$F$80+'Instrumentos Financeiros'!$F$12+1),PMT(((1+'Instrumentos Financeiros'!$L$43)^(1/12)-1),$F$12,-$I$80),0)</f>
        <v>368.57912678094596</v>
      </c>
      <c r="BY262" s="1312">
        <f t="shared" si="149"/>
        <v>222.47990599670575</v>
      </c>
      <c r="BZ262" s="1312">
        <f>CA261*((1+'Instrumentos Financeiros'!$L$43)^(1/12)-1)</f>
        <v>146.0992207842402</v>
      </c>
      <c r="CA262" s="1312">
        <f t="shared" si="150"/>
        <v>33565.414607234568</v>
      </c>
      <c r="CB262" s="1312">
        <f>IF(AND(C262&gt;$F$83,'Instrumentos Financeiros'!C262&lt;'Instrumentos Financeiros'!$F$83+'Instrumentos Financeiros'!$F$13+1),PMT(((1+'Instrumentos Financeiros'!$P$43)^(1/12)-1),$F$13,-$I$83),0)</f>
        <v>30503.390100238979</v>
      </c>
      <c r="CC262" s="1312">
        <f t="shared" si="151"/>
        <v>14029.942354971903</v>
      </c>
      <c r="CD262" s="1312">
        <f>CE261*((1+'Instrumentos Financeiros'!$P$43)^(1/12)-1)</f>
        <v>16473.447745267076</v>
      </c>
      <c r="CE262" s="1312">
        <f t="shared" si="152"/>
        <v>3795731.065941608</v>
      </c>
      <c r="CF262" s="1312">
        <f>IF(AND(C262&gt;$F$84,'Instrumentos Financeiros'!C262&lt;'Instrumentos Financeiros'!$F$84+'Instrumentos Financeiros'!$F$13+1),PMT(((1+'Instrumentos Financeiros'!$Q$43)^(1/12)-1),$F$13,-$I$84),0)</f>
        <v>0</v>
      </c>
      <c r="CG262" s="1312">
        <f t="shared" si="153"/>
        <v>0</v>
      </c>
      <c r="CH262" s="1312">
        <f>CI261*((1+'Instrumentos Financeiros'!$Q$43)^(1/12)-1)</f>
        <v>0</v>
      </c>
      <c r="CI262" s="1312">
        <f t="shared" si="154"/>
        <v>0</v>
      </c>
      <c r="CJ262" s="1312">
        <f>IF(AND(C262&gt;$F$85,'Instrumentos Financeiros'!C262&lt;'Instrumentos Financeiros'!$F$85+'Instrumentos Financeiros'!$F$13+1),PMT(((1+'Instrumentos Financeiros'!$Q$43)^(1/12)-1),$F$13,-$I$85),0)</f>
        <v>0</v>
      </c>
      <c r="CK262" s="1312">
        <f t="shared" si="155"/>
        <v>0</v>
      </c>
      <c r="CL262" s="1312">
        <f>CM261*((1+'Instrumentos Financeiros'!$Q$43)^(1/12)-1)</f>
        <v>0</v>
      </c>
      <c r="CM262" s="1312">
        <f t="shared" si="156"/>
        <v>0</v>
      </c>
      <c r="CN262" s="1312">
        <f>IF(AND(C262&gt;$F$86,'Instrumentos Financeiros'!C262&lt;'Instrumentos Financeiros'!$F$86+'Instrumentos Financeiros'!$F$13+1),PMT(((1+'Instrumentos Financeiros'!$Q$43)^(1/12)-1),$F$13,-$I$86),0)</f>
        <v>0</v>
      </c>
      <c r="CO262" s="1312">
        <f t="shared" si="157"/>
        <v>0</v>
      </c>
      <c r="CP262" s="1312">
        <f>CQ261*((1+'Instrumentos Financeiros'!$Q$43)^(1/12)-1)</f>
        <v>0</v>
      </c>
      <c r="CQ262" s="1312">
        <f t="shared" si="158"/>
        <v>0</v>
      </c>
      <c r="CR262" s="1312">
        <f t="shared" si="127"/>
        <v>430292.94033139228</v>
      </c>
      <c r="CS262" s="1312">
        <f t="shared" si="127"/>
        <v>280436.73446402675</v>
      </c>
      <c r="CT262" s="1312">
        <f t="shared" si="127"/>
        <v>149856.20586736544</v>
      </c>
      <c r="CU262" s="1312">
        <f t="shared" si="127"/>
        <v>34719123.000747859</v>
      </c>
    </row>
    <row r="263" spans="3:99" x14ac:dyDescent="0.35">
      <c r="C263" s="1315">
        <f t="shared" si="128"/>
        <v>170</v>
      </c>
      <c r="D263" s="1312">
        <f>IF(AND(C263&gt;$F$59,'Instrumentos Financeiros'!C263&lt;'Instrumentos Financeiros'!$F$59+'Instrumentos Financeiros'!$F$11+1),PMT(((1+'Instrumentos Financeiros'!$G$43)^(1/12)-1),$F$11,-$I$59),0)</f>
        <v>91768.589635900134</v>
      </c>
      <c r="E263" s="1312">
        <f t="shared" si="125"/>
        <v>67061.569564440157</v>
      </c>
      <c r="F263" s="1312">
        <f>G262*((1+'Instrumentos Financeiros'!$G$43)^(1/12)-1)</f>
        <v>24707.020071459981</v>
      </c>
      <c r="G263" s="1312">
        <f t="shared" si="159"/>
        <v>5985909.3266577292</v>
      </c>
      <c r="H263" s="1312">
        <f>IF(AND(C263&gt;$F$60,'Instrumentos Financeiros'!C263&lt;'Instrumentos Financeiros'!$F$60+'Instrumentos Financeiros'!$F$11+1),PMT(((1+'Instrumentos Financeiros'!$G$43)^(1/12)-1),$F$11,-$I$60),0)</f>
        <v>0</v>
      </c>
      <c r="I263" s="1312">
        <f t="shared" si="160"/>
        <v>0</v>
      </c>
      <c r="J263" s="1312">
        <f>K262*((1+'Instrumentos Financeiros'!$G$43)^(1/12)-1)</f>
        <v>0</v>
      </c>
      <c r="K263" s="1312">
        <f t="shared" si="129"/>
        <v>0</v>
      </c>
      <c r="L263" s="1312">
        <f>IF(AND(C263&gt;$F$61,'Instrumentos Financeiros'!C263&lt;'Instrumentos Financeiros'!$F$61+'Instrumentos Financeiros'!$F$11+1),PMT(((1+'Instrumentos Financeiros'!$G$43)^(1/12)-1),$F$11,-$I$61),0)</f>
        <v>0</v>
      </c>
      <c r="M263" s="1312">
        <f t="shared" si="161"/>
        <v>0</v>
      </c>
      <c r="N263" s="1312">
        <f>O262*((1+'Instrumentos Financeiros'!$G$43)^(1/12)-1)</f>
        <v>0</v>
      </c>
      <c r="O263" s="1312">
        <f t="shared" si="130"/>
        <v>0</v>
      </c>
      <c r="P263" s="1312">
        <f>IF(AND(C263&gt;$F$62,'Instrumentos Financeiros'!C263&lt;'Instrumentos Financeiros'!$F$62+'Instrumentos Financeiros'!$F$11+1),PMT(((1+'Instrumentos Financeiros'!$H$43)^(1/12)-1),$F$11,-$I$62),0)</f>
        <v>0</v>
      </c>
      <c r="Q263" s="1312">
        <f t="shared" si="162"/>
        <v>0</v>
      </c>
      <c r="R263" s="1312">
        <f>S262*((1+'Instrumentos Financeiros'!$H$43)^(1/12)-1)</f>
        <v>0</v>
      </c>
      <c r="S263" s="1312">
        <f t="shared" si="131"/>
        <v>0</v>
      </c>
      <c r="T263" s="1312">
        <f>IF(AND(C263&gt;$F$63,'Instrumentos Financeiros'!C263&lt;'Instrumentos Financeiros'!$F$63+'Instrumentos Financeiros'!$F$11+1),PMT(((1+'Instrumentos Financeiros'!$H$43)^(1/12)-1),$F$11,-$I$63),0)</f>
        <v>0</v>
      </c>
      <c r="U263" s="1312">
        <f t="shared" si="163"/>
        <v>0</v>
      </c>
      <c r="V263" s="1312">
        <f>W262*((1+'Instrumentos Financeiros'!$H$43)^(1/12)-1)</f>
        <v>0</v>
      </c>
      <c r="W263" s="1312">
        <f t="shared" si="132"/>
        <v>0</v>
      </c>
      <c r="X263" s="1312">
        <f>IF(AND(C263&gt;$F$64,'Instrumentos Financeiros'!C263&lt;'Instrumentos Financeiros'!$F$64+'Instrumentos Financeiros'!$F$11+1),PMT(((1+'Instrumentos Financeiros'!$H$43)^(1/12)-1),$F$11,-$I$64),0)</f>
        <v>0</v>
      </c>
      <c r="Y263" s="1312">
        <f t="shared" si="164"/>
        <v>0</v>
      </c>
      <c r="Z263" s="1312">
        <f>AA262*((1+'Instrumentos Financeiros'!$H$43)^(1/12)-1)</f>
        <v>0</v>
      </c>
      <c r="AA263" s="1312">
        <f t="shared" si="133"/>
        <v>0</v>
      </c>
      <c r="AB263" s="1312">
        <f>IF(AND(C263&gt;$F$65,'Instrumentos Financeiros'!C263&lt;'Instrumentos Financeiros'!$F$65+'Instrumentos Financeiros'!$F$11+1),PMT(((1+'Instrumentos Financeiros'!$H$43)^(1/12)-1),$F$11,-$I$65),0)</f>
        <v>76636.661022032335</v>
      </c>
      <c r="AC263" s="1312">
        <f t="shared" si="165"/>
        <v>50865.256073607547</v>
      </c>
      <c r="AD263" s="1312">
        <f>AE262*((1+'Instrumentos Financeiros'!$H$43)^(1/12)-1)</f>
        <v>25771.404948424788</v>
      </c>
      <c r="AE263" s="1312">
        <f t="shared" si="134"/>
        <v>5909204.2581990706</v>
      </c>
      <c r="AF263" s="1312">
        <f>IF(AND(C263&gt;$F$66,'Instrumentos Financeiros'!C263&lt;'Instrumentos Financeiros'!$F$66+'Instrumentos Financeiros'!$F$11+1),PMT(((1+'Instrumentos Financeiros'!$I$43)^(1/12)-1),$F$11,-$I$66),0)</f>
        <v>76636.661022032335</v>
      </c>
      <c r="AG263" s="1312">
        <f t="shared" si="166"/>
        <v>50211.095653548422</v>
      </c>
      <c r="AH263" s="1312">
        <f>AI262*((1+'Instrumentos Financeiros'!$I$43)^(1/12)-1)</f>
        <v>26425.565368483913</v>
      </c>
      <c r="AI263" s="1312">
        <f t="shared" si="135"/>
        <v>6061143.9843397709</v>
      </c>
      <c r="AJ263" s="1312">
        <f>IF(AND(C263&gt;$F$67,'Instrumentos Financeiros'!C263&lt;'Instrumentos Financeiros'!$F$67+'Instrumentos Financeiros'!$F$11+1),PMT(((1+'Instrumentos Financeiros'!$I$43)^(1/12)-1),$F$11,-$I$67),0)</f>
        <v>76636.661022032335</v>
      </c>
      <c r="AK263" s="1312">
        <f t="shared" si="167"/>
        <v>49565.348163811577</v>
      </c>
      <c r="AL263" s="1312">
        <f>AM262*((1+'Instrumentos Financeiros'!$I$43)^(1/12)-1)</f>
        <v>27071.312858220757</v>
      </c>
      <c r="AM263" s="1312">
        <f t="shared" si="136"/>
        <v>6211129.666349994</v>
      </c>
      <c r="AN263" s="1312">
        <f>IF(AND(C263&gt;$F$68,'Instrumentos Financeiros'!C263&lt;'Instrumentos Financeiros'!$F$68+'Instrumentos Financeiros'!$F$11+1),PMT(((1+'Instrumentos Financeiros'!$I$43)^(1/12)-1),$F$11,-$I$68),0)</f>
        <v>76636.661022032335</v>
      </c>
      <c r="AO263" s="1312">
        <f t="shared" si="168"/>
        <v>48927.905408617444</v>
      </c>
      <c r="AP263" s="1312">
        <f>AQ262*((1+'Instrumentos Financeiros'!$I$43)^(1/12)-1)</f>
        <v>27708.755613414894</v>
      </c>
      <c r="AQ263" s="1312">
        <f t="shared" si="137"/>
        <v>6359186.4345137076</v>
      </c>
      <c r="AR263" s="1312">
        <f>IF(AND(C263&gt;$F$69,'Instrumentos Financeiros'!C263&lt;'Instrumentos Financeiros'!$F$69+'Instrumentos Financeiros'!$F$11+1),PMT(((1+'Instrumentos Financeiros'!$I$43)^(1/12)-1),$F$11,-$I$69),0)</f>
        <v>0</v>
      </c>
      <c r="AS263" s="1312">
        <f t="shared" si="169"/>
        <v>0</v>
      </c>
      <c r="AT263" s="1312">
        <f>AU262*((1+'Instrumentos Financeiros'!$I$43)^(1/12)-1)</f>
        <v>0</v>
      </c>
      <c r="AU263" s="1312">
        <f t="shared" si="138"/>
        <v>0</v>
      </c>
      <c r="AV263" s="1312">
        <f>IF(AND(C263&gt;$F$70,'Instrumentos Financeiros'!C263&lt;'Instrumentos Financeiros'!$F$70+'Instrumentos Financeiros'!$F$11+1),PMT(((1+'Instrumentos Financeiros'!$J$43)^(1/12)-1),$F$11,-$I$70),0)</f>
        <v>0</v>
      </c>
      <c r="AW263" s="1312">
        <f t="shared" si="170"/>
        <v>0</v>
      </c>
      <c r="AX263" s="1312">
        <f>AY262*((1+'Instrumentos Financeiros'!$J$43)^(1/12)-1)</f>
        <v>0</v>
      </c>
      <c r="AY263" s="1312">
        <f t="shared" si="139"/>
        <v>0</v>
      </c>
      <c r="AZ263" s="1312">
        <f>IF(AND(C263&gt;$F$71,'Instrumentos Financeiros'!C263&lt;'Instrumentos Financeiros'!$F$71+'Instrumentos Financeiros'!$F$11+1),PMT(((1+'Instrumentos Financeiros'!$J$43)^(1/12)-1),$F$11,-$I$71),0)</f>
        <v>0</v>
      </c>
      <c r="BA263" s="1312">
        <f t="shared" si="171"/>
        <v>0</v>
      </c>
      <c r="BB263" s="1312">
        <f>BC262*((1+'Instrumentos Financeiros'!$J$43)^(1/12)-1)</f>
        <v>0</v>
      </c>
      <c r="BC263" s="1312">
        <f t="shared" si="140"/>
        <v>0</v>
      </c>
      <c r="BD263" s="1312">
        <f>IF(AND(C263&gt;$F$72,'Instrumentos Financeiros'!C263&lt;'Instrumentos Financeiros'!$F$72+'Instrumentos Financeiros'!$F$11+1),PMT(((1+'Instrumentos Financeiros'!$J$43)^(1/12)-1),$F$11,-'Instrumentos Financeiros'!$G$7*$G$72),0)</f>
        <v>0</v>
      </c>
      <c r="BE263" s="1312">
        <f t="shared" si="172"/>
        <v>0</v>
      </c>
      <c r="BF263" s="1312">
        <f>BG262*((1+'Instrumentos Financeiros'!$J$43)^(1/12)-1)</f>
        <v>0</v>
      </c>
      <c r="BG263" s="1312">
        <f t="shared" si="141"/>
        <v>0</v>
      </c>
      <c r="BH263" s="1312">
        <f>IF(AND(C263&gt;$F$73,'Instrumentos Financeiros'!C263&lt;'Instrumentos Financeiros'!$F$73+'Instrumentos Financeiros'!$F$11+1),PMT(((1+'Instrumentos Financeiros'!$J$43)^(1/12)-1),$F$11,-$I$73),0)</f>
        <v>0</v>
      </c>
      <c r="BI263" s="1312">
        <f t="shared" si="173"/>
        <v>0</v>
      </c>
      <c r="BJ263" s="1312">
        <f>BK262*((1+'Instrumentos Financeiros'!$J$43)^(1/12)-1)</f>
        <v>0</v>
      </c>
      <c r="BK263" s="1312">
        <f t="shared" si="142"/>
        <v>0</v>
      </c>
      <c r="BL263" s="1312">
        <f>IF(AND(C263&gt;$F$77,'Instrumentos Financeiros'!C263&lt;'Instrumentos Financeiros'!$F$77+'Instrumentos Financeiros'!$F$12+1),PMT(((1+'Instrumentos Financeiros'!$K$43)^(1/12)-1),$F$12,-$I$77),0)</f>
        <v>368.57912678094596</v>
      </c>
      <c r="BM263" s="1312">
        <f t="shared" si="143"/>
        <v>232.28932348050662</v>
      </c>
      <c r="BN263" s="1312">
        <f>BO262*((1+'Instrumentos Financeiros'!$K$43)^(1/12)-1)</f>
        <v>136.28980330043933</v>
      </c>
      <c r="BO263" s="1312">
        <f t="shared" si="144"/>
        <v>31287.012918007025</v>
      </c>
      <c r="BP263" s="1312">
        <f>IF(AND(C263&gt;$F$78,'Instrumentos Financeiros'!C263&lt;'Instrumentos Financeiros'!$F$78+'Instrumentos Financeiros'!$F$12+1),PMT(((1+'Instrumentos Financeiros'!$L$43)^(1/12)-1),$F$12,-$I$78),0)</f>
        <v>368.57912678094596</v>
      </c>
      <c r="BQ263" s="1312">
        <f t="shared" si="145"/>
        <v>229.30193104109057</v>
      </c>
      <c r="BR263" s="1312">
        <f>BS262*((1+'Instrumentos Financeiros'!$L$43)^(1/12)-1)</f>
        <v>139.27719573985539</v>
      </c>
      <c r="BS263" s="1312">
        <f t="shared" si="146"/>
        <v>31980.884902922673</v>
      </c>
      <c r="BT263" s="1312">
        <f>IF(AND(C263&gt;$F$79,'Instrumentos Financeiros'!C263&lt;'Instrumentos Financeiros'!$F$79+'Instrumentos Financeiros'!$F$12+1),PMT(((1+'Instrumentos Financeiros'!$L$43)^(1/12)-1),$F$12,-$I$79),0)</f>
        <v>368.57912678094596</v>
      </c>
      <c r="BU263" s="1312">
        <f t="shared" si="147"/>
        <v>226.3529584199139</v>
      </c>
      <c r="BV263" s="1312">
        <f>BW262*((1+'Instrumentos Financeiros'!$L$43)^(1/12)-1)</f>
        <v>142.22616836103205</v>
      </c>
      <c r="BW263" s="1312">
        <f t="shared" si="148"/>
        <v>32665.833240851018</v>
      </c>
      <c r="BX263" s="1312">
        <f>IF(AND(C263&gt;$F$80,'Instrumentos Financeiros'!C263&lt;'Instrumentos Financeiros'!$F$80+'Instrumentos Financeiros'!$F$12+1),PMT(((1+'Instrumentos Financeiros'!$L$43)^(1/12)-1),$F$12,-$I$80),0)</f>
        <v>368.57912678094596</v>
      </c>
      <c r="BY263" s="1312">
        <f t="shared" si="149"/>
        <v>223.44191151301698</v>
      </c>
      <c r="BZ263" s="1312">
        <f>CA262*((1+'Instrumentos Financeiros'!$L$43)^(1/12)-1)</f>
        <v>145.13721526792898</v>
      </c>
      <c r="CA263" s="1312">
        <f t="shared" si="150"/>
        <v>33341.972695721553</v>
      </c>
      <c r="CB263" s="1312">
        <f>IF(AND(C263&gt;$F$83,'Instrumentos Financeiros'!C263&lt;'Instrumentos Financeiros'!$F$83+'Instrumentos Financeiros'!$F$13+1),PMT(((1+'Instrumentos Financeiros'!$P$43)^(1/12)-1),$F$13,-$I$83),0)</f>
        <v>30503.390100238979</v>
      </c>
      <c r="CC263" s="1312">
        <f t="shared" si="151"/>
        <v>14090.60797723808</v>
      </c>
      <c r="CD263" s="1312">
        <f>CE262*((1+'Instrumentos Financeiros'!$P$43)^(1/12)-1)</f>
        <v>16412.782123000899</v>
      </c>
      <c r="CE263" s="1312">
        <f t="shared" si="152"/>
        <v>3781640.45796437</v>
      </c>
      <c r="CF263" s="1312">
        <f>IF(AND(C263&gt;$F$84,'Instrumentos Financeiros'!C263&lt;'Instrumentos Financeiros'!$F$84+'Instrumentos Financeiros'!$F$13+1),PMT(((1+'Instrumentos Financeiros'!$Q$43)^(1/12)-1),$F$13,-$I$84),0)</f>
        <v>0</v>
      </c>
      <c r="CG263" s="1312">
        <f t="shared" si="153"/>
        <v>0</v>
      </c>
      <c r="CH263" s="1312">
        <f>CI262*((1+'Instrumentos Financeiros'!$Q$43)^(1/12)-1)</f>
        <v>0</v>
      </c>
      <c r="CI263" s="1312">
        <f t="shared" si="154"/>
        <v>0</v>
      </c>
      <c r="CJ263" s="1312">
        <f>IF(AND(C263&gt;$F$85,'Instrumentos Financeiros'!C263&lt;'Instrumentos Financeiros'!$F$85+'Instrumentos Financeiros'!$F$13+1),PMT(((1+'Instrumentos Financeiros'!$Q$43)^(1/12)-1),$F$13,-$I$85),0)</f>
        <v>0</v>
      </c>
      <c r="CK263" s="1312">
        <f t="shared" si="155"/>
        <v>0</v>
      </c>
      <c r="CL263" s="1312">
        <f>CM262*((1+'Instrumentos Financeiros'!$Q$43)^(1/12)-1)</f>
        <v>0</v>
      </c>
      <c r="CM263" s="1312">
        <f t="shared" si="156"/>
        <v>0</v>
      </c>
      <c r="CN263" s="1312">
        <f>IF(AND(C263&gt;$F$86,'Instrumentos Financeiros'!C263&lt;'Instrumentos Financeiros'!$F$86+'Instrumentos Financeiros'!$F$13+1),PMT(((1+'Instrumentos Financeiros'!$Q$43)^(1/12)-1),$F$13,-$I$86),0)</f>
        <v>0</v>
      </c>
      <c r="CO263" s="1312">
        <f t="shared" si="157"/>
        <v>0</v>
      </c>
      <c r="CP263" s="1312">
        <f>CQ262*((1+'Instrumentos Financeiros'!$Q$43)^(1/12)-1)</f>
        <v>0</v>
      </c>
      <c r="CQ263" s="1312">
        <f t="shared" si="158"/>
        <v>0</v>
      </c>
      <c r="CR263" s="1312">
        <f t="shared" si="127"/>
        <v>430292.94033139228</v>
      </c>
      <c r="CS263" s="1312">
        <f t="shared" si="127"/>
        <v>281633.16896571784</v>
      </c>
      <c r="CT263" s="1312">
        <f t="shared" si="127"/>
        <v>148659.7713656745</v>
      </c>
      <c r="CU263" s="1312">
        <f t="shared" si="127"/>
        <v>34437489.831782147</v>
      </c>
    </row>
    <row r="264" spans="3:99" x14ac:dyDescent="0.35">
      <c r="C264" s="1315">
        <f t="shared" si="128"/>
        <v>171</v>
      </c>
      <c r="D264" s="1312">
        <f>IF(AND(C264&gt;$F$59,'Instrumentos Financeiros'!C264&lt;'Instrumentos Financeiros'!$F$59+'Instrumentos Financeiros'!$F$11+1),PMT(((1+'Instrumentos Financeiros'!$G$43)^(1/12)-1),$F$11,-$I$59),0)</f>
        <v>91768.589635900134</v>
      </c>
      <c r="E264" s="1312">
        <f t="shared" si="125"/>
        <v>67335.301517502463</v>
      </c>
      <c r="F264" s="1312">
        <f>G263*((1+'Instrumentos Financeiros'!$G$43)^(1/12)-1)</f>
        <v>24433.288118397668</v>
      </c>
      <c r="G264" s="1312">
        <f t="shared" si="159"/>
        <v>5918574.0251402268</v>
      </c>
      <c r="H264" s="1312">
        <f>IF(AND(C264&gt;$F$60,'Instrumentos Financeiros'!C264&lt;'Instrumentos Financeiros'!$F$60+'Instrumentos Financeiros'!$F$11+1),PMT(((1+'Instrumentos Financeiros'!$G$43)^(1/12)-1),$F$11,-$I$60),0)</f>
        <v>0</v>
      </c>
      <c r="I264" s="1312">
        <f t="shared" si="160"/>
        <v>0</v>
      </c>
      <c r="J264" s="1312">
        <f>K263*((1+'Instrumentos Financeiros'!$G$43)^(1/12)-1)</f>
        <v>0</v>
      </c>
      <c r="K264" s="1312">
        <f t="shared" si="129"/>
        <v>0</v>
      </c>
      <c r="L264" s="1312">
        <f>IF(AND(C264&gt;$F$61,'Instrumentos Financeiros'!C264&lt;'Instrumentos Financeiros'!$F$61+'Instrumentos Financeiros'!$F$11+1),PMT(((1+'Instrumentos Financeiros'!$G$43)^(1/12)-1),$F$11,-$I$61),0)</f>
        <v>0</v>
      </c>
      <c r="M264" s="1312">
        <f t="shared" si="161"/>
        <v>0</v>
      </c>
      <c r="N264" s="1312">
        <f>O263*((1+'Instrumentos Financeiros'!$G$43)^(1/12)-1)</f>
        <v>0</v>
      </c>
      <c r="O264" s="1312">
        <f t="shared" si="130"/>
        <v>0</v>
      </c>
      <c r="P264" s="1312">
        <f>IF(AND(C264&gt;$F$62,'Instrumentos Financeiros'!C264&lt;'Instrumentos Financeiros'!$F$62+'Instrumentos Financeiros'!$F$11+1),PMT(((1+'Instrumentos Financeiros'!$H$43)^(1/12)-1),$F$11,-$I$62),0)</f>
        <v>0</v>
      </c>
      <c r="Q264" s="1312">
        <f t="shared" si="162"/>
        <v>0</v>
      </c>
      <c r="R264" s="1312">
        <f>S263*((1+'Instrumentos Financeiros'!$H$43)^(1/12)-1)</f>
        <v>0</v>
      </c>
      <c r="S264" s="1312">
        <f t="shared" si="131"/>
        <v>0</v>
      </c>
      <c r="T264" s="1312">
        <f>IF(AND(C264&gt;$F$63,'Instrumentos Financeiros'!C264&lt;'Instrumentos Financeiros'!$F$63+'Instrumentos Financeiros'!$F$11+1),PMT(((1+'Instrumentos Financeiros'!$H$43)^(1/12)-1),$F$11,-$I$63),0)</f>
        <v>0</v>
      </c>
      <c r="U264" s="1312">
        <f t="shared" si="163"/>
        <v>0</v>
      </c>
      <c r="V264" s="1312">
        <f>W263*((1+'Instrumentos Financeiros'!$H$43)^(1/12)-1)</f>
        <v>0</v>
      </c>
      <c r="W264" s="1312">
        <f t="shared" si="132"/>
        <v>0</v>
      </c>
      <c r="X264" s="1312">
        <f>IF(AND(C264&gt;$F$64,'Instrumentos Financeiros'!C264&lt;'Instrumentos Financeiros'!$F$64+'Instrumentos Financeiros'!$F$11+1),PMT(((1+'Instrumentos Financeiros'!$H$43)^(1/12)-1),$F$11,-$I$64),0)</f>
        <v>0</v>
      </c>
      <c r="Y264" s="1312">
        <f t="shared" si="164"/>
        <v>0</v>
      </c>
      <c r="Z264" s="1312">
        <f>AA263*((1+'Instrumentos Financeiros'!$H$43)^(1/12)-1)</f>
        <v>0</v>
      </c>
      <c r="AA264" s="1312">
        <f t="shared" si="133"/>
        <v>0</v>
      </c>
      <c r="AB264" s="1312">
        <f>IF(AND(C264&gt;$F$65,'Instrumentos Financeiros'!C264&lt;'Instrumentos Financeiros'!$F$65+'Instrumentos Financeiros'!$F$11+1),PMT(((1+'Instrumentos Financeiros'!$H$43)^(1/12)-1),$F$11,-$I$65),0)</f>
        <v>76636.661022032335</v>
      </c>
      <c r="AC264" s="1312">
        <f t="shared" si="165"/>
        <v>51085.197990214241</v>
      </c>
      <c r="AD264" s="1312">
        <f>AE263*((1+'Instrumentos Financeiros'!$H$43)^(1/12)-1)</f>
        <v>25551.463031818093</v>
      </c>
      <c r="AE264" s="1312">
        <f t="shared" si="134"/>
        <v>5858119.0602088561</v>
      </c>
      <c r="AF264" s="1312">
        <f>IF(AND(C264&gt;$F$66,'Instrumentos Financeiros'!C264&lt;'Instrumentos Financeiros'!$F$66+'Instrumentos Financeiros'!$F$11+1),PMT(((1+'Instrumentos Financeiros'!$I$43)^(1/12)-1),$F$11,-$I$66),0)</f>
        <v>76636.661022032335</v>
      </c>
      <c r="AG264" s="1312">
        <f t="shared" si="166"/>
        <v>50428.208973433851</v>
      </c>
      <c r="AH264" s="1312">
        <f>AI263*((1+'Instrumentos Financeiros'!$I$43)^(1/12)-1)</f>
        <v>26208.452048598479</v>
      </c>
      <c r="AI264" s="1312">
        <f t="shared" si="135"/>
        <v>6010715.775366337</v>
      </c>
      <c r="AJ264" s="1312">
        <f>IF(AND(C264&gt;$F$67,'Instrumentos Financeiros'!C264&lt;'Instrumentos Financeiros'!$F$67+'Instrumentos Financeiros'!$F$11+1),PMT(((1+'Instrumentos Financeiros'!$I$43)^(1/12)-1),$F$11,-$I$67),0)</f>
        <v>76636.661022032335</v>
      </c>
      <c r="AK264" s="1312">
        <f t="shared" si="167"/>
        <v>49779.669264577315</v>
      </c>
      <c r="AL264" s="1312">
        <f>AM263*((1+'Instrumentos Financeiros'!$I$43)^(1/12)-1)</f>
        <v>26856.991757455016</v>
      </c>
      <c r="AM264" s="1312">
        <f t="shared" si="136"/>
        <v>6161349.9970854167</v>
      </c>
      <c r="AN264" s="1312">
        <f>IF(AND(C264&gt;$F$68,'Instrumentos Financeiros'!C264&lt;'Instrumentos Financeiros'!$F$68+'Instrumentos Financeiros'!$F$11+1),PMT(((1+'Instrumentos Financeiros'!$I$43)^(1/12)-1),$F$11,-$I$68),0)</f>
        <v>76636.661022032335</v>
      </c>
      <c r="AO264" s="1312">
        <f t="shared" si="168"/>
        <v>49139.470200025346</v>
      </c>
      <c r="AP264" s="1312">
        <f>AQ263*((1+'Instrumentos Financeiros'!$I$43)^(1/12)-1)</f>
        <v>27497.190822006993</v>
      </c>
      <c r="AQ264" s="1312">
        <f t="shared" si="137"/>
        <v>6310046.9643136822</v>
      </c>
      <c r="AR264" s="1312">
        <f>IF(AND(C264&gt;$F$69,'Instrumentos Financeiros'!C264&lt;'Instrumentos Financeiros'!$F$69+'Instrumentos Financeiros'!$F$11+1),PMT(((1+'Instrumentos Financeiros'!$I$43)^(1/12)-1),$F$11,-$I$69),0)</f>
        <v>0</v>
      </c>
      <c r="AS264" s="1312">
        <f t="shared" si="169"/>
        <v>0</v>
      </c>
      <c r="AT264" s="1312">
        <f>AU263*((1+'Instrumentos Financeiros'!$I$43)^(1/12)-1)</f>
        <v>0</v>
      </c>
      <c r="AU264" s="1312">
        <f t="shared" si="138"/>
        <v>0</v>
      </c>
      <c r="AV264" s="1312">
        <f>IF(AND(C264&gt;$F$70,'Instrumentos Financeiros'!C264&lt;'Instrumentos Financeiros'!$F$70+'Instrumentos Financeiros'!$F$11+1),PMT(((1+'Instrumentos Financeiros'!$J$43)^(1/12)-1),$F$11,-$I$70),0)</f>
        <v>0</v>
      </c>
      <c r="AW264" s="1312">
        <f t="shared" si="170"/>
        <v>0</v>
      </c>
      <c r="AX264" s="1312">
        <f>AY263*((1+'Instrumentos Financeiros'!$J$43)^(1/12)-1)</f>
        <v>0</v>
      </c>
      <c r="AY264" s="1312">
        <f t="shared" si="139"/>
        <v>0</v>
      </c>
      <c r="AZ264" s="1312">
        <f>IF(AND(C264&gt;$F$71,'Instrumentos Financeiros'!C264&lt;'Instrumentos Financeiros'!$F$71+'Instrumentos Financeiros'!$F$11+1),PMT(((1+'Instrumentos Financeiros'!$J$43)^(1/12)-1),$F$11,-$I$71),0)</f>
        <v>0</v>
      </c>
      <c r="BA264" s="1312">
        <f t="shared" si="171"/>
        <v>0</v>
      </c>
      <c r="BB264" s="1312">
        <f>BC263*((1+'Instrumentos Financeiros'!$J$43)^(1/12)-1)</f>
        <v>0</v>
      </c>
      <c r="BC264" s="1312">
        <f t="shared" si="140"/>
        <v>0</v>
      </c>
      <c r="BD264" s="1312">
        <f>IF(AND(C264&gt;$F$72,'Instrumentos Financeiros'!C264&lt;'Instrumentos Financeiros'!$F$72+'Instrumentos Financeiros'!$F$11+1),PMT(((1+'Instrumentos Financeiros'!$J$43)^(1/12)-1),$F$11,-'Instrumentos Financeiros'!$G$7*$G$72),0)</f>
        <v>0</v>
      </c>
      <c r="BE264" s="1312">
        <f t="shared" si="172"/>
        <v>0</v>
      </c>
      <c r="BF264" s="1312">
        <f>BG263*((1+'Instrumentos Financeiros'!$J$43)^(1/12)-1)</f>
        <v>0</v>
      </c>
      <c r="BG264" s="1312">
        <f t="shared" si="141"/>
        <v>0</v>
      </c>
      <c r="BH264" s="1312">
        <f>IF(AND(C264&gt;$F$73,'Instrumentos Financeiros'!C264&lt;'Instrumentos Financeiros'!$F$73+'Instrumentos Financeiros'!$F$11+1),PMT(((1+'Instrumentos Financeiros'!$J$43)^(1/12)-1),$F$11,-$I$73),0)</f>
        <v>0</v>
      </c>
      <c r="BI264" s="1312">
        <f t="shared" si="173"/>
        <v>0</v>
      </c>
      <c r="BJ264" s="1312">
        <f>BK263*((1+'Instrumentos Financeiros'!$J$43)^(1/12)-1)</f>
        <v>0</v>
      </c>
      <c r="BK264" s="1312">
        <f t="shared" si="142"/>
        <v>0</v>
      </c>
      <c r="BL264" s="1312">
        <f>IF(AND(C264&gt;$F$77,'Instrumentos Financeiros'!C264&lt;'Instrumentos Financeiros'!$F$77+'Instrumentos Financeiros'!$F$12+1),PMT(((1+'Instrumentos Financeiros'!$K$43)^(1/12)-1),$F$12,-$I$77),0)</f>
        <v>368.57912678094596</v>
      </c>
      <c r="BM264" s="1312">
        <f t="shared" si="143"/>
        <v>233.29374502395942</v>
      </c>
      <c r="BN264" s="1312">
        <f>BO263*((1+'Instrumentos Financeiros'!$K$43)^(1/12)-1)</f>
        <v>135.28538175698654</v>
      </c>
      <c r="BO264" s="1312">
        <f t="shared" si="144"/>
        <v>31053.719172983067</v>
      </c>
      <c r="BP264" s="1312">
        <f>IF(AND(C264&gt;$F$78,'Instrumentos Financeiros'!C264&lt;'Instrumentos Financeiros'!$F$78+'Instrumentos Financeiros'!$F$12+1),PMT(((1+'Instrumentos Financeiros'!$L$43)^(1/12)-1),$F$12,-$I$78),0)</f>
        <v>368.57912678094596</v>
      </c>
      <c r="BQ264" s="1312">
        <f t="shared" si="145"/>
        <v>230.29343506737149</v>
      </c>
      <c r="BR264" s="1312">
        <f>BS263*((1+'Instrumentos Financeiros'!$L$43)^(1/12)-1)</f>
        <v>138.28569171357447</v>
      </c>
      <c r="BS264" s="1312">
        <f t="shared" si="146"/>
        <v>31750.591467855302</v>
      </c>
      <c r="BT264" s="1312">
        <f>IF(AND(C264&gt;$F$79,'Instrumentos Financeiros'!C264&lt;'Instrumentos Financeiros'!$F$79+'Instrumentos Financeiros'!$F$12+1),PMT(((1+'Instrumentos Financeiros'!$L$43)^(1/12)-1),$F$12,-$I$79),0)</f>
        <v>368.57912678094596</v>
      </c>
      <c r="BU264" s="1312">
        <f t="shared" si="147"/>
        <v>227.33171105673202</v>
      </c>
      <c r="BV264" s="1312">
        <f>BW263*((1+'Instrumentos Financeiros'!$L$43)^(1/12)-1)</f>
        <v>141.24741572421394</v>
      </c>
      <c r="BW264" s="1312">
        <f t="shared" si="148"/>
        <v>32438.501529794285</v>
      </c>
      <c r="BX264" s="1312">
        <f>IF(AND(C264&gt;$F$80,'Instrumentos Financeiros'!C264&lt;'Instrumentos Financeiros'!$F$80+'Instrumentos Financeiros'!$F$12+1),PMT(((1+'Instrumentos Financeiros'!$L$43)^(1/12)-1),$F$12,-$I$80),0)</f>
        <v>368.57912678094596</v>
      </c>
      <c r="BY264" s="1312">
        <f t="shared" si="149"/>
        <v>224.40807675157035</v>
      </c>
      <c r="BZ264" s="1312">
        <f>CA263*((1+'Instrumentos Financeiros'!$L$43)^(1/12)-1)</f>
        <v>144.17105002937561</v>
      </c>
      <c r="CA264" s="1312">
        <f t="shared" si="150"/>
        <v>33117.564618969984</v>
      </c>
      <c r="CB264" s="1312">
        <f>IF(AND(C264&gt;$F$83,'Instrumentos Financeiros'!C264&lt;'Instrumentos Financeiros'!$F$83+'Instrumentos Financeiros'!$F$13+1),PMT(((1+'Instrumentos Financeiros'!$P$43)^(1/12)-1),$F$13,-$I$83),0)</f>
        <v>30503.390100238979</v>
      </c>
      <c r="CC264" s="1312">
        <f t="shared" si="151"/>
        <v>14151.535918310128</v>
      </c>
      <c r="CD264" s="1312">
        <f>CE263*((1+'Instrumentos Financeiros'!$P$43)^(1/12)-1)</f>
        <v>16351.854181928851</v>
      </c>
      <c r="CE264" s="1312">
        <f t="shared" si="152"/>
        <v>3767488.9220460597</v>
      </c>
      <c r="CF264" s="1312">
        <f>IF(AND(C264&gt;$F$84,'Instrumentos Financeiros'!C264&lt;'Instrumentos Financeiros'!$F$84+'Instrumentos Financeiros'!$F$13+1),PMT(((1+'Instrumentos Financeiros'!$Q$43)^(1/12)-1),$F$13,-$I$84),0)</f>
        <v>0</v>
      </c>
      <c r="CG264" s="1312">
        <f t="shared" si="153"/>
        <v>0</v>
      </c>
      <c r="CH264" s="1312">
        <f>CI263*((1+'Instrumentos Financeiros'!$Q$43)^(1/12)-1)</f>
        <v>0</v>
      </c>
      <c r="CI264" s="1312">
        <f t="shared" si="154"/>
        <v>3809761.0082965801</v>
      </c>
      <c r="CJ264" s="1312">
        <f>IF(AND(C264&gt;$F$85,'Instrumentos Financeiros'!C264&lt;'Instrumentos Financeiros'!$F$85+'Instrumentos Financeiros'!$F$13+1),PMT(((1+'Instrumentos Financeiros'!$Q$43)^(1/12)-1),$F$13,-$I$85),0)</f>
        <v>0</v>
      </c>
      <c r="CK264" s="1312">
        <f t="shared" si="155"/>
        <v>0</v>
      </c>
      <c r="CL264" s="1312">
        <f>CM263*((1+'Instrumentos Financeiros'!$Q$43)^(1/12)-1)</f>
        <v>0</v>
      </c>
      <c r="CM264" s="1312">
        <f t="shared" si="156"/>
        <v>0</v>
      </c>
      <c r="CN264" s="1312">
        <f>IF(AND(C264&gt;$F$86,'Instrumentos Financeiros'!C264&lt;'Instrumentos Financeiros'!$F$86+'Instrumentos Financeiros'!$F$13+1),PMT(((1+'Instrumentos Financeiros'!$Q$43)^(1/12)-1),$F$13,-$I$86),0)</f>
        <v>0</v>
      </c>
      <c r="CO264" s="1312">
        <f t="shared" si="157"/>
        <v>0</v>
      </c>
      <c r="CP264" s="1312">
        <f>CQ263*((1+'Instrumentos Financeiros'!$Q$43)^(1/12)-1)</f>
        <v>0</v>
      </c>
      <c r="CQ264" s="1312">
        <f t="shared" si="158"/>
        <v>0</v>
      </c>
      <c r="CR264" s="1312">
        <f t="shared" si="127"/>
        <v>430292.94033139228</v>
      </c>
      <c r="CS264" s="1312">
        <f t="shared" si="127"/>
        <v>282834.71083196299</v>
      </c>
      <c r="CT264" s="1312">
        <f t="shared" si="127"/>
        <v>147458.22949942926</v>
      </c>
      <c r="CU264" s="1312">
        <f t="shared" si="127"/>
        <v>37964416.129246756</v>
      </c>
    </row>
    <row r="265" spans="3:99" x14ac:dyDescent="0.35">
      <c r="C265" s="1315">
        <f t="shared" si="128"/>
        <v>172</v>
      </c>
      <c r="D265" s="1312">
        <f>IF(AND(C265&gt;$F$59,'Instrumentos Financeiros'!C265&lt;'Instrumentos Financeiros'!$F$59+'Instrumentos Financeiros'!$F$11+1),PMT(((1+'Instrumentos Financeiros'!$G$43)^(1/12)-1),$F$11,-$I$59),0)</f>
        <v>91768.589635900134</v>
      </c>
      <c r="E265" s="1312">
        <f t="shared" si="125"/>
        <v>67610.15078980758</v>
      </c>
      <c r="F265" s="1312">
        <f>G264*((1+'Instrumentos Financeiros'!$G$43)^(1/12)-1)</f>
        <v>24158.438846092547</v>
      </c>
      <c r="G265" s="1312">
        <f t="shared" si="159"/>
        <v>5850963.8743504193</v>
      </c>
      <c r="H265" s="1312">
        <f>IF(AND(C265&gt;$F$60,'Instrumentos Financeiros'!C265&lt;'Instrumentos Financeiros'!$F$60+'Instrumentos Financeiros'!$F$11+1),PMT(((1+'Instrumentos Financeiros'!$G$43)^(1/12)-1),$F$11,-$I$60),0)</f>
        <v>0</v>
      </c>
      <c r="I265" s="1312">
        <f t="shared" si="160"/>
        <v>0</v>
      </c>
      <c r="J265" s="1312">
        <f>K264*((1+'Instrumentos Financeiros'!$G$43)^(1/12)-1)</f>
        <v>0</v>
      </c>
      <c r="K265" s="1312">
        <f t="shared" si="129"/>
        <v>0</v>
      </c>
      <c r="L265" s="1312">
        <f>IF(AND(C265&gt;$F$61,'Instrumentos Financeiros'!C265&lt;'Instrumentos Financeiros'!$F$61+'Instrumentos Financeiros'!$F$11+1),PMT(((1+'Instrumentos Financeiros'!$G$43)^(1/12)-1),$F$11,-$I$61),0)</f>
        <v>0</v>
      </c>
      <c r="M265" s="1312">
        <f t="shared" si="161"/>
        <v>0</v>
      </c>
      <c r="N265" s="1312">
        <f>O264*((1+'Instrumentos Financeiros'!$G$43)^(1/12)-1)</f>
        <v>0</v>
      </c>
      <c r="O265" s="1312">
        <f t="shared" si="130"/>
        <v>0</v>
      </c>
      <c r="P265" s="1312">
        <f>IF(AND(C265&gt;$F$62,'Instrumentos Financeiros'!C265&lt;'Instrumentos Financeiros'!$F$62+'Instrumentos Financeiros'!$F$11+1),PMT(((1+'Instrumentos Financeiros'!$H$43)^(1/12)-1),$F$11,-$I$62),0)</f>
        <v>0</v>
      </c>
      <c r="Q265" s="1312">
        <f t="shared" si="162"/>
        <v>0</v>
      </c>
      <c r="R265" s="1312">
        <f>S264*((1+'Instrumentos Financeiros'!$H$43)^(1/12)-1)</f>
        <v>0</v>
      </c>
      <c r="S265" s="1312">
        <f t="shared" si="131"/>
        <v>0</v>
      </c>
      <c r="T265" s="1312">
        <f>IF(AND(C265&gt;$F$63,'Instrumentos Financeiros'!C265&lt;'Instrumentos Financeiros'!$F$63+'Instrumentos Financeiros'!$F$11+1),PMT(((1+'Instrumentos Financeiros'!$H$43)^(1/12)-1),$F$11,-$I$63),0)</f>
        <v>0</v>
      </c>
      <c r="U265" s="1312">
        <f t="shared" si="163"/>
        <v>0</v>
      </c>
      <c r="V265" s="1312">
        <f>W264*((1+'Instrumentos Financeiros'!$H$43)^(1/12)-1)</f>
        <v>0</v>
      </c>
      <c r="W265" s="1312">
        <f t="shared" si="132"/>
        <v>0</v>
      </c>
      <c r="X265" s="1312">
        <f>IF(AND(C265&gt;$F$64,'Instrumentos Financeiros'!C265&lt;'Instrumentos Financeiros'!$F$64+'Instrumentos Financeiros'!$F$11+1),PMT(((1+'Instrumentos Financeiros'!$H$43)^(1/12)-1),$F$11,-$I$64),0)</f>
        <v>0</v>
      </c>
      <c r="Y265" s="1312">
        <f t="shared" si="164"/>
        <v>0</v>
      </c>
      <c r="Z265" s="1312">
        <f>AA264*((1+'Instrumentos Financeiros'!$H$43)^(1/12)-1)</f>
        <v>0</v>
      </c>
      <c r="AA265" s="1312">
        <f t="shared" si="133"/>
        <v>0</v>
      </c>
      <c r="AB265" s="1312">
        <f>IF(AND(C265&gt;$F$65,'Instrumentos Financeiros'!C265&lt;'Instrumentos Financeiros'!$F$65+'Instrumentos Financeiros'!$F$11+1),PMT(((1+'Instrumentos Financeiros'!$H$43)^(1/12)-1),$F$11,-$I$65),0)</f>
        <v>76636.661022032335</v>
      </c>
      <c r="AC265" s="1312">
        <f t="shared" si="165"/>
        <v>51306.090938043715</v>
      </c>
      <c r="AD265" s="1312">
        <f>AE264*((1+'Instrumentos Financeiros'!$H$43)^(1/12)-1)</f>
        <v>25330.570083988619</v>
      </c>
      <c r="AE265" s="1312">
        <f t="shared" si="134"/>
        <v>5806812.9692708123</v>
      </c>
      <c r="AF265" s="1312">
        <f>IF(AND(C265&gt;$F$66,'Instrumentos Financeiros'!C265&lt;'Instrumentos Financeiros'!$F$66+'Instrumentos Financeiros'!$F$11+1),PMT(((1+'Instrumentos Financeiros'!$I$43)^(1/12)-1),$F$11,-$I$66),0)</f>
        <v>76636.661022032335</v>
      </c>
      <c r="AG265" s="1312">
        <f t="shared" si="166"/>
        <v>50646.261093659297</v>
      </c>
      <c r="AH265" s="1312">
        <f>AI264*((1+'Instrumentos Financeiros'!$I$43)^(1/12)-1)</f>
        <v>25990.399928373041</v>
      </c>
      <c r="AI265" s="1312">
        <f t="shared" si="135"/>
        <v>5960069.5142726777</v>
      </c>
      <c r="AJ265" s="1312">
        <f>IF(AND(C265&gt;$F$67,'Instrumentos Financeiros'!C265&lt;'Instrumentos Financeiros'!$F$67+'Instrumentos Financeiros'!$F$11+1),PMT(((1+'Instrumentos Financeiros'!$I$43)^(1/12)-1),$F$11,-$I$67),0)</f>
        <v>76636.661022032335</v>
      </c>
      <c r="AK265" s="1312">
        <f t="shared" si="167"/>
        <v>49994.917092097436</v>
      </c>
      <c r="AL265" s="1312">
        <f>AM264*((1+'Instrumentos Financeiros'!$I$43)^(1/12)-1)</f>
        <v>26641.743929934899</v>
      </c>
      <c r="AM265" s="1312">
        <f t="shared" si="136"/>
        <v>6111355.0799933197</v>
      </c>
      <c r="AN265" s="1312">
        <f>IF(AND(C265&gt;$F$68,'Instrumentos Financeiros'!C265&lt;'Instrumentos Financeiros'!$F$68+'Instrumentos Financeiros'!$F$11+1),PMT(((1+'Instrumentos Financeiros'!$I$43)^(1/12)-1),$F$11,-$I$68),0)</f>
        <v>76636.661022032335</v>
      </c>
      <c r="AO265" s="1312">
        <f t="shared" si="168"/>
        <v>49351.949799876194</v>
      </c>
      <c r="AP265" s="1312">
        <f>AQ264*((1+'Instrumentos Financeiros'!$I$43)^(1/12)-1)</f>
        <v>27284.71122215614</v>
      </c>
      <c r="AQ265" s="1312">
        <f t="shared" si="137"/>
        <v>6260695.0145138055</v>
      </c>
      <c r="AR265" s="1312">
        <f>IF(AND(C265&gt;$F$69,'Instrumentos Financeiros'!C265&lt;'Instrumentos Financeiros'!$F$69+'Instrumentos Financeiros'!$F$11+1),PMT(((1+'Instrumentos Financeiros'!$I$43)^(1/12)-1),$F$11,-$I$69),0)</f>
        <v>0</v>
      </c>
      <c r="AS265" s="1312">
        <f t="shared" si="169"/>
        <v>0</v>
      </c>
      <c r="AT265" s="1312">
        <f>AU264*((1+'Instrumentos Financeiros'!$I$43)^(1/12)-1)</f>
        <v>0</v>
      </c>
      <c r="AU265" s="1312">
        <f t="shared" si="138"/>
        <v>0</v>
      </c>
      <c r="AV265" s="1312">
        <f>IF(AND(C265&gt;$F$70,'Instrumentos Financeiros'!C265&lt;'Instrumentos Financeiros'!$F$70+'Instrumentos Financeiros'!$F$11+1),PMT(((1+'Instrumentos Financeiros'!$J$43)^(1/12)-1),$F$11,-$I$70),0)</f>
        <v>0</v>
      </c>
      <c r="AW265" s="1312">
        <f t="shared" si="170"/>
        <v>0</v>
      </c>
      <c r="AX265" s="1312">
        <f>AY264*((1+'Instrumentos Financeiros'!$J$43)^(1/12)-1)</f>
        <v>0</v>
      </c>
      <c r="AY265" s="1312">
        <f t="shared" si="139"/>
        <v>0</v>
      </c>
      <c r="AZ265" s="1312">
        <f>IF(AND(C265&gt;$F$71,'Instrumentos Financeiros'!C265&lt;'Instrumentos Financeiros'!$F$71+'Instrumentos Financeiros'!$F$11+1),PMT(((1+'Instrumentos Financeiros'!$J$43)^(1/12)-1),$F$11,-$I$71),0)</f>
        <v>0</v>
      </c>
      <c r="BA265" s="1312">
        <f t="shared" si="171"/>
        <v>0</v>
      </c>
      <c r="BB265" s="1312">
        <f>BC264*((1+'Instrumentos Financeiros'!$J$43)^(1/12)-1)</f>
        <v>0</v>
      </c>
      <c r="BC265" s="1312">
        <f t="shared" si="140"/>
        <v>0</v>
      </c>
      <c r="BD265" s="1312">
        <f>IF(AND(C265&gt;$F$72,'Instrumentos Financeiros'!C265&lt;'Instrumentos Financeiros'!$F$72+'Instrumentos Financeiros'!$F$11+1),PMT(((1+'Instrumentos Financeiros'!$J$43)^(1/12)-1),$F$11,-'Instrumentos Financeiros'!$G$7*$G$72),0)</f>
        <v>0</v>
      </c>
      <c r="BE265" s="1312">
        <f t="shared" si="172"/>
        <v>0</v>
      </c>
      <c r="BF265" s="1312">
        <f>BG264*((1+'Instrumentos Financeiros'!$J$43)^(1/12)-1)</f>
        <v>0</v>
      </c>
      <c r="BG265" s="1312">
        <f t="shared" si="141"/>
        <v>0</v>
      </c>
      <c r="BH265" s="1312">
        <f>IF(AND(C265&gt;$F$73,'Instrumentos Financeiros'!C265&lt;'Instrumentos Financeiros'!$F$73+'Instrumentos Financeiros'!$F$11+1),PMT(((1+'Instrumentos Financeiros'!$J$43)^(1/12)-1),$F$11,-$I$73),0)</f>
        <v>0</v>
      </c>
      <c r="BI265" s="1312">
        <f t="shared" si="173"/>
        <v>0</v>
      </c>
      <c r="BJ265" s="1312">
        <f>BK264*((1+'Instrumentos Financeiros'!$J$43)^(1/12)-1)</f>
        <v>0</v>
      </c>
      <c r="BK265" s="1312">
        <f t="shared" si="142"/>
        <v>0</v>
      </c>
      <c r="BL265" s="1312">
        <f>IF(AND(C265&gt;$F$77,'Instrumentos Financeiros'!C265&lt;'Instrumentos Financeiros'!$F$77+'Instrumentos Financeiros'!$F$12+1),PMT(((1+'Instrumentos Financeiros'!$K$43)^(1/12)-1),$F$12,-$I$77),0)</f>
        <v>368.57912678094596</v>
      </c>
      <c r="BM265" s="1312">
        <f t="shared" si="143"/>
        <v>234.30250969701387</v>
      </c>
      <c r="BN265" s="1312">
        <f>BO264*((1+'Instrumentos Financeiros'!$K$43)^(1/12)-1)</f>
        <v>134.27661708393208</v>
      </c>
      <c r="BO265" s="1312">
        <f t="shared" si="144"/>
        <v>30819.416663286054</v>
      </c>
      <c r="BP265" s="1312">
        <f>IF(AND(C265&gt;$F$78,'Instrumentos Financeiros'!C265&lt;'Instrumentos Financeiros'!$F$78+'Instrumentos Financeiros'!$F$12+1),PMT(((1+'Instrumentos Financeiros'!$L$43)^(1/12)-1),$F$12,-$I$78),0)</f>
        <v>368.57912678094596</v>
      </c>
      <c r="BQ265" s="1312">
        <f t="shared" si="145"/>
        <v>231.28922636777034</v>
      </c>
      <c r="BR265" s="1312">
        <f>BS264*((1+'Instrumentos Financeiros'!$L$43)^(1/12)-1)</f>
        <v>137.28990041317562</v>
      </c>
      <c r="BS265" s="1312">
        <f t="shared" si="146"/>
        <v>31519.30224148753</v>
      </c>
      <c r="BT265" s="1312">
        <f>IF(AND(C265&gt;$F$79,'Instrumentos Financeiros'!C265&lt;'Instrumentos Financeiros'!$F$79+'Instrumentos Financeiros'!$F$12+1),PMT(((1+'Instrumentos Financeiros'!$L$43)^(1/12)-1),$F$12,-$I$79),0)</f>
        <v>368.57912678094596</v>
      </c>
      <c r="BU265" s="1312">
        <f t="shared" si="147"/>
        <v>228.31469583052223</v>
      </c>
      <c r="BV265" s="1312">
        <f>BW264*((1+'Instrumentos Financeiros'!$L$43)^(1/12)-1)</f>
        <v>140.26443095042373</v>
      </c>
      <c r="BW265" s="1312">
        <f t="shared" si="148"/>
        <v>32210.186833963762</v>
      </c>
      <c r="BX265" s="1312">
        <f>IF(AND(C265&gt;$F$80,'Instrumentos Financeiros'!C265&lt;'Instrumentos Financeiros'!$F$80+'Instrumentos Financeiros'!$F$12+1),PMT(((1+'Instrumentos Financeiros'!$L$43)^(1/12)-1),$F$12,-$I$80),0)</f>
        <v>368.57912678094596</v>
      </c>
      <c r="BY265" s="1312">
        <f t="shared" si="149"/>
        <v>225.37841969904983</v>
      </c>
      <c r="BZ265" s="1312">
        <f>CA264*((1+'Instrumentos Financeiros'!$L$43)^(1/12)-1)</f>
        <v>143.20070708189613</v>
      </c>
      <c r="CA265" s="1312">
        <f t="shared" si="150"/>
        <v>32892.186199270931</v>
      </c>
      <c r="CB265" s="1312">
        <f>IF(AND(C265&gt;$F$83,'Instrumentos Financeiros'!C265&lt;'Instrumentos Financeiros'!$F$83+'Instrumentos Financeiros'!$F$13+1),PMT(((1+'Instrumentos Financeiros'!$P$43)^(1/12)-1),$F$13,-$I$83),0)</f>
        <v>30503.390100238979</v>
      </c>
      <c r="CC265" s="1312">
        <f t="shared" si="151"/>
        <v>14212.727312457393</v>
      </c>
      <c r="CD265" s="1312">
        <f>CE264*((1+'Instrumentos Financeiros'!$P$43)^(1/12)-1)</f>
        <v>16290.662787781586</v>
      </c>
      <c r="CE265" s="1312">
        <f t="shared" si="152"/>
        <v>3753276.1947336025</v>
      </c>
      <c r="CF265" s="1312">
        <f>IF(AND(C265&gt;$F$84,'Instrumentos Financeiros'!C265&lt;'Instrumentos Financeiros'!$F$84+'Instrumentos Financeiros'!$F$13+1),PMT(((1+'Instrumentos Financeiros'!$Q$43)^(1/12)-1),$F$13,-$I$84),0)</f>
        <v>30503.390100238979</v>
      </c>
      <c r="CG265" s="1312">
        <f t="shared" si="153"/>
        <v>14029.942354971903</v>
      </c>
      <c r="CH265" s="1312">
        <f>CI264*((1+'Instrumentos Financeiros'!$Q$43)^(1/12)-1)</f>
        <v>16473.447745267076</v>
      </c>
      <c r="CI265" s="1312">
        <f t="shared" si="154"/>
        <v>3795731.065941608</v>
      </c>
      <c r="CJ265" s="1312">
        <f>IF(AND(C265&gt;$F$85,'Instrumentos Financeiros'!C265&lt;'Instrumentos Financeiros'!$F$85+'Instrumentos Financeiros'!$F$13+1),PMT(((1+'Instrumentos Financeiros'!$Q$43)^(1/12)-1),$F$13,-$I$85),0)</f>
        <v>0</v>
      </c>
      <c r="CK265" s="1312">
        <f t="shared" si="155"/>
        <v>0</v>
      </c>
      <c r="CL265" s="1312">
        <f>CM264*((1+'Instrumentos Financeiros'!$Q$43)^(1/12)-1)</f>
        <v>0</v>
      </c>
      <c r="CM265" s="1312">
        <f t="shared" si="156"/>
        <v>0</v>
      </c>
      <c r="CN265" s="1312">
        <f>IF(AND(C265&gt;$F$86,'Instrumentos Financeiros'!C265&lt;'Instrumentos Financeiros'!$F$86+'Instrumentos Financeiros'!$F$13+1),PMT(((1+'Instrumentos Financeiros'!$Q$43)^(1/12)-1),$F$13,-$I$86),0)</f>
        <v>0</v>
      </c>
      <c r="CO265" s="1312">
        <f t="shared" si="157"/>
        <v>0</v>
      </c>
      <c r="CP265" s="1312">
        <f>CQ264*((1+'Instrumentos Financeiros'!$Q$43)^(1/12)-1)</f>
        <v>0</v>
      </c>
      <c r="CQ265" s="1312">
        <f t="shared" si="158"/>
        <v>0</v>
      </c>
      <c r="CR265" s="1312">
        <f t="shared" si="127"/>
        <v>460796.33043163124</v>
      </c>
      <c r="CS265" s="1312">
        <f t="shared" si="127"/>
        <v>298071.32423250785</v>
      </c>
      <c r="CT265" s="1312">
        <f t="shared" si="127"/>
        <v>162725.00619912331</v>
      </c>
      <c r="CU265" s="1312">
        <f t="shared" si="127"/>
        <v>37666344.805014253</v>
      </c>
    </row>
    <row r="266" spans="3:99" x14ac:dyDescent="0.35">
      <c r="C266" s="1315">
        <f t="shared" si="128"/>
        <v>173</v>
      </c>
      <c r="D266" s="1312">
        <f>IF(AND(C266&gt;$F$59,'Instrumentos Financeiros'!C266&lt;'Instrumentos Financeiros'!$F$59+'Instrumentos Financeiros'!$F$11+1),PMT(((1+'Instrumentos Financeiros'!$G$43)^(1/12)-1),$F$11,-$I$59),0)</f>
        <v>91768.589635900134</v>
      </c>
      <c r="E266" s="1312">
        <f t="shared" si="125"/>
        <v>67886.121942029844</v>
      </c>
      <c r="F266" s="1312">
        <f>G265*((1+'Instrumentos Financeiros'!$G$43)^(1/12)-1)</f>
        <v>23882.467693870291</v>
      </c>
      <c r="G266" s="1312">
        <f t="shared" si="159"/>
        <v>5783077.752408389</v>
      </c>
      <c r="H266" s="1312">
        <f>IF(AND(C266&gt;$F$60,'Instrumentos Financeiros'!C266&lt;'Instrumentos Financeiros'!$F$60+'Instrumentos Financeiros'!$F$11+1),PMT(((1+'Instrumentos Financeiros'!$G$43)^(1/12)-1),$F$11,-$I$60),0)</f>
        <v>0</v>
      </c>
      <c r="I266" s="1312">
        <f t="shared" si="160"/>
        <v>0</v>
      </c>
      <c r="J266" s="1312">
        <f>K265*((1+'Instrumentos Financeiros'!$G$43)^(1/12)-1)</f>
        <v>0</v>
      </c>
      <c r="K266" s="1312">
        <f t="shared" si="129"/>
        <v>0</v>
      </c>
      <c r="L266" s="1312">
        <f>IF(AND(C266&gt;$F$61,'Instrumentos Financeiros'!C266&lt;'Instrumentos Financeiros'!$F$61+'Instrumentos Financeiros'!$F$11+1),PMT(((1+'Instrumentos Financeiros'!$G$43)^(1/12)-1),$F$11,-$I$61),0)</f>
        <v>0</v>
      </c>
      <c r="M266" s="1312">
        <f t="shared" si="161"/>
        <v>0</v>
      </c>
      <c r="N266" s="1312">
        <f>O265*((1+'Instrumentos Financeiros'!$G$43)^(1/12)-1)</f>
        <v>0</v>
      </c>
      <c r="O266" s="1312">
        <f t="shared" si="130"/>
        <v>0</v>
      </c>
      <c r="P266" s="1312">
        <f>IF(AND(C266&gt;$F$62,'Instrumentos Financeiros'!C266&lt;'Instrumentos Financeiros'!$F$62+'Instrumentos Financeiros'!$F$11+1),PMT(((1+'Instrumentos Financeiros'!$H$43)^(1/12)-1),$F$11,-$I$62),0)</f>
        <v>0</v>
      </c>
      <c r="Q266" s="1312">
        <f t="shared" si="162"/>
        <v>0</v>
      </c>
      <c r="R266" s="1312">
        <f>S265*((1+'Instrumentos Financeiros'!$H$43)^(1/12)-1)</f>
        <v>0</v>
      </c>
      <c r="S266" s="1312">
        <f t="shared" si="131"/>
        <v>0</v>
      </c>
      <c r="T266" s="1312">
        <f>IF(AND(C266&gt;$F$63,'Instrumentos Financeiros'!C266&lt;'Instrumentos Financeiros'!$F$63+'Instrumentos Financeiros'!$F$11+1),PMT(((1+'Instrumentos Financeiros'!$H$43)^(1/12)-1),$F$11,-$I$63),0)</f>
        <v>0</v>
      </c>
      <c r="U266" s="1312">
        <f t="shared" si="163"/>
        <v>0</v>
      </c>
      <c r="V266" s="1312">
        <f>W265*((1+'Instrumentos Financeiros'!$H$43)^(1/12)-1)</f>
        <v>0</v>
      </c>
      <c r="W266" s="1312">
        <f t="shared" si="132"/>
        <v>0</v>
      </c>
      <c r="X266" s="1312">
        <f>IF(AND(C266&gt;$F$64,'Instrumentos Financeiros'!C266&lt;'Instrumentos Financeiros'!$F$64+'Instrumentos Financeiros'!$F$11+1),PMT(((1+'Instrumentos Financeiros'!$H$43)^(1/12)-1),$F$11,-$I$64),0)</f>
        <v>0</v>
      </c>
      <c r="Y266" s="1312">
        <f t="shared" si="164"/>
        <v>0</v>
      </c>
      <c r="Z266" s="1312">
        <f>AA265*((1+'Instrumentos Financeiros'!$H$43)^(1/12)-1)</f>
        <v>0</v>
      </c>
      <c r="AA266" s="1312">
        <f t="shared" si="133"/>
        <v>0</v>
      </c>
      <c r="AB266" s="1312">
        <f>IF(AND(C266&gt;$F$65,'Instrumentos Financeiros'!C266&lt;'Instrumentos Financeiros'!$F$65+'Instrumentos Financeiros'!$F$11+1),PMT(((1+'Instrumentos Financeiros'!$H$43)^(1/12)-1),$F$11,-$I$65),0)</f>
        <v>76636.661022032335</v>
      </c>
      <c r="AC266" s="1312">
        <f t="shared" si="165"/>
        <v>51527.93902936524</v>
      </c>
      <c r="AD266" s="1312">
        <f>AE265*((1+'Instrumentos Financeiros'!$H$43)^(1/12)-1)</f>
        <v>25108.721992667091</v>
      </c>
      <c r="AE266" s="1312">
        <f t="shared" si="134"/>
        <v>5755285.0302414475</v>
      </c>
      <c r="AF266" s="1312">
        <f>IF(AND(C266&gt;$F$66,'Instrumentos Financeiros'!C266&lt;'Instrumentos Financeiros'!$F$66+'Instrumentos Financeiros'!$F$11+1),PMT(((1+'Instrumentos Financeiros'!$I$43)^(1/12)-1),$F$11,-$I$66),0)</f>
        <v>76636.661022032335</v>
      </c>
      <c r="AG266" s="1312">
        <f t="shared" si="166"/>
        <v>50865.256073607547</v>
      </c>
      <c r="AH266" s="1312">
        <f>AI265*((1+'Instrumentos Financeiros'!$I$43)^(1/12)-1)</f>
        <v>25771.404948424788</v>
      </c>
      <c r="AI266" s="1312">
        <f t="shared" si="135"/>
        <v>5909204.2581990706</v>
      </c>
      <c r="AJ266" s="1312">
        <f>IF(AND(C266&gt;$F$67,'Instrumentos Financeiros'!C266&lt;'Instrumentos Financeiros'!$F$67+'Instrumentos Financeiros'!$F$11+1),PMT(((1+'Instrumentos Financeiros'!$I$43)^(1/12)-1),$F$11,-$I$67),0)</f>
        <v>76636.661022032335</v>
      </c>
      <c r="AK266" s="1312">
        <f t="shared" si="167"/>
        <v>50211.095653548422</v>
      </c>
      <c r="AL266" s="1312">
        <f>AM265*((1+'Instrumentos Financeiros'!$I$43)^(1/12)-1)</f>
        <v>26425.565368483913</v>
      </c>
      <c r="AM266" s="1312">
        <f t="shared" si="136"/>
        <v>6061143.9843397709</v>
      </c>
      <c r="AN266" s="1312">
        <f>IF(AND(C266&gt;$F$68,'Instrumentos Financeiros'!C266&lt;'Instrumentos Financeiros'!$F$68+'Instrumentos Financeiros'!$F$11+1),PMT(((1+'Instrumentos Financeiros'!$I$43)^(1/12)-1),$F$11,-$I$68),0)</f>
        <v>76636.661022032335</v>
      </c>
      <c r="AO266" s="1312">
        <f t="shared" si="168"/>
        <v>49565.348163811577</v>
      </c>
      <c r="AP266" s="1312">
        <f>AQ265*((1+'Instrumentos Financeiros'!$I$43)^(1/12)-1)</f>
        <v>27071.312858220757</v>
      </c>
      <c r="AQ266" s="1312">
        <f t="shared" si="137"/>
        <v>6211129.666349994</v>
      </c>
      <c r="AR266" s="1312">
        <f>IF(AND(C266&gt;$F$69,'Instrumentos Financeiros'!C266&lt;'Instrumentos Financeiros'!$F$69+'Instrumentos Financeiros'!$F$11+1),PMT(((1+'Instrumentos Financeiros'!$I$43)^(1/12)-1),$F$11,-$I$69),0)</f>
        <v>0</v>
      </c>
      <c r="AS266" s="1312">
        <f t="shared" si="169"/>
        <v>0</v>
      </c>
      <c r="AT266" s="1312">
        <f>AU265*((1+'Instrumentos Financeiros'!$I$43)^(1/12)-1)</f>
        <v>0</v>
      </c>
      <c r="AU266" s="1312">
        <f t="shared" si="138"/>
        <v>0</v>
      </c>
      <c r="AV266" s="1312">
        <f>IF(AND(C266&gt;$F$70,'Instrumentos Financeiros'!C266&lt;'Instrumentos Financeiros'!$F$70+'Instrumentos Financeiros'!$F$11+1),PMT(((1+'Instrumentos Financeiros'!$J$43)^(1/12)-1),$F$11,-$I$70),0)</f>
        <v>0</v>
      </c>
      <c r="AW266" s="1312">
        <f t="shared" si="170"/>
        <v>0</v>
      </c>
      <c r="AX266" s="1312">
        <f>AY265*((1+'Instrumentos Financeiros'!$J$43)^(1/12)-1)</f>
        <v>0</v>
      </c>
      <c r="AY266" s="1312">
        <f t="shared" si="139"/>
        <v>0</v>
      </c>
      <c r="AZ266" s="1312">
        <f>IF(AND(C266&gt;$F$71,'Instrumentos Financeiros'!C266&lt;'Instrumentos Financeiros'!$F$71+'Instrumentos Financeiros'!$F$11+1),PMT(((1+'Instrumentos Financeiros'!$J$43)^(1/12)-1),$F$11,-$I$71),0)</f>
        <v>0</v>
      </c>
      <c r="BA266" s="1312">
        <f t="shared" si="171"/>
        <v>0</v>
      </c>
      <c r="BB266" s="1312">
        <f>BC265*((1+'Instrumentos Financeiros'!$J$43)^(1/12)-1)</f>
        <v>0</v>
      </c>
      <c r="BC266" s="1312">
        <f t="shared" si="140"/>
        <v>0</v>
      </c>
      <c r="BD266" s="1312">
        <f>IF(AND(C266&gt;$F$72,'Instrumentos Financeiros'!C266&lt;'Instrumentos Financeiros'!$F$72+'Instrumentos Financeiros'!$F$11+1),PMT(((1+'Instrumentos Financeiros'!$J$43)^(1/12)-1),$F$11,-'Instrumentos Financeiros'!$G$7*$G$72),0)</f>
        <v>0</v>
      </c>
      <c r="BE266" s="1312">
        <f t="shared" si="172"/>
        <v>0</v>
      </c>
      <c r="BF266" s="1312">
        <f>BG265*((1+'Instrumentos Financeiros'!$J$43)^(1/12)-1)</f>
        <v>0</v>
      </c>
      <c r="BG266" s="1312">
        <f t="shared" si="141"/>
        <v>0</v>
      </c>
      <c r="BH266" s="1312">
        <f>IF(AND(C266&gt;$F$73,'Instrumentos Financeiros'!C266&lt;'Instrumentos Financeiros'!$F$73+'Instrumentos Financeiros'!$F$11+1),PMT(((1+'Instrumentos Financeiros'!$J$43)^(1/12)-1),$F$11,-$I$73),0)</f>
        <v>0</v>
      </c>
      <c r="BI266" s="1312">
        <f t="shared" si="173"/>
        <v>0</v>
      </c>
      <c r="BJ266" s="1312">
        <f>BK265*((1+'Instrumentos Financeiros'!$J$43)^(1/12)-1)</f>
        <v>0</v>
      </c>
      <c r="BK266" s="1312">
        <f t="shared" si="142"/>
        <v>0</v>
      </c>
      <c r="BL266" s="1312">
        <f>IF(AND(C266&gt;$F$77,'Instrumentos Financeiros'!C266&lt;'Instrumentos Financeiros'!$F$77+'Instrumentos Financeiros'!$F$12+1),PMT(((1+'Instrumentos Financeiros'!$K$43)^(1/12)-1),$F$12,-$I$77),0)</f>
        <v>368.57912678094596</v>
      </c>
      <c r="BM266" s="1312">
        <f t="shared" si="143"/>
        <v>235.31563627940923</v>
      </c>
      <c r="BN266" s="1312">
        <f>BO265*((1+'Instrumentos Financeiros'!$K$43)^(1/12)-1)</f>
        <v>133.26349050153672</v>
      </c>
      <c r="BO266" s="1312">
        <f t="shared" si="144"/>
        <v>30584.101027006644</v>
      </c>
      <c r="BP266" s="1312">
        <f>IF(AND(C266&gt;$F$78,'Instrumentos Financeiros'!C266&lt;'Instrumentos Financeiros'!$F$78+'Instrumentos Financeiros'!$F$12+1),PMT(((1+'Instrumentos Financeiros'!$L$43)^(1/12)-1),$F$12,-$I$78),0)</f>
        <v>368.57912678094596</v>
      </c>
      <c r="BQ266" s="1312">
        <f t="shared" si="145"/>
        <v>232.28932348050662</v>
      </c>
      <c r="BR266" s="1312">
        <f>BS265*((1+'Instrumentos Financeiros'!$L$43)^(1/12)-1)</f>
        <v>136.28980330043933</v>
      </c>
      <c r="BS266" s="1312">
        <f t="shared" si="146"/>
        <v>31287.012918007025</v>
      </c>
      <c r="BT266" s="1312">
        <f>IF(AND(C266&gt;$F$79,'Instrumentos Financeiros'!C266&lt;'Instrumentos Financeiros'!$F$79+'Instrumentos Financeiros'!$F$12+1),PMT(((1+'Instrumentos Financeiros'!$L$43)^(1/12)-1),$F$12,-$I$79),0)</f>
        <v>368.57912678094596</v>
      </c>
      <c r="BU266" s="1312">
        <f t="shared" si="147"/>
        <v>229.30193104109057</v>
      </c>
      <c r="BV266" s="1312">
        <f>BW265*((1+'Instrumentos Financeiros'!$L$43)^(1/12)-1)</f>
        <v>139.27719573985539</v>
      </c>
      <c r="BW266" s="1312">
        <f t="shared" si="148"/>
        <v>31980.884902922673</v>
      </c>
      <c r="BX266" s="1312">
        <f>IF(AND(C266&gt;$F$80,'Instrumentos Financeiros'!C266&lt;'Instrumentos Financeiros'!$F$80+'Instrumentos Financeiros'!$F$12+1),PMT(((1+'Instrumentos Financeiros'!$L$43)^(1/12)-1),$F$12,-$I$80),0)</f>
        <v>368.57912678094596</v>
      </c>
      <c r="BY266" s="1312">
        <f t="shared" si="149"/>
        <v>226.3529584199139</v>
      </c>
      <c r="BZ266" s="1312">
        <f>CA265*((1+'Instrumentos Financeiros'!$L$43)^(1/12)-1)</f>
        <v>142.22616836103205</v>
      </c>
      <c r="CA266" s="1312">
        <f t="shared" si="150"/>
        <v>32665.833240851018</v>
      </c>
      <c r="CB266" s="1312">
        <f>IF(AND(C266&gt;$F$83,'Instrumentos Financeiros'!C266&lt;'Instrumentos Financeiros'!$F$83+'Instrumentos Financeiros'!$F$13+1),PMT(((1+'Instrumentos Financeiros'!$P$43)^(1/12)-1),$F$13,-$I$83),0)</f>
        <v>30503.390100238979</v>
      </c>
      <c r="CC266" s="1312">
        <f t="shared" si="151"/>
        <v>14274.183298853815</v>
      </c>
      <c r="CD266" s="1312">
        <f>CE265*((1+'Instrumentos Financeiros'!$P$43)^(1/12)-1)</f>
        <v>16229.206801385164</v>
      </c>
      <c r="CE266" s="1312">
        <f t="shared" si="152"/>
        <v>3739002.0114347488</v>
      </c>
      <c r="CF266" s="1312">
        <f>IF(AND(C266&gt;$F$84,'Instrumentos Financeiros'!C266&lt;'Instrumentos Financeiros'!$F$84+'Instrumentos Financeiros'!$F$13+1),PMT(((1+'Instrumentos Financeiros'!$Q$43)^(1/12)-1),$F$13,-$I$84),0)</f>
        <v>30503.390100238979</v>
      </c>
      <c r="CG266" s="1312">
        <f t="shared" si="153"/>
        <v>14090.60797723808</v>
      </c>
      <c r="CH266" s="1312">
        <f>CI265*((1+'Instrumentos Financeiros'!$Q$43)^(1/12)-1)</f>
        <v>16412.782123000899</v>
      </c>
      <c r="CI266" s="1312">
        <f t="shared" si="154"/>
        <v>3781640.45796437</v>
      </c>
      <c r="CJ266" s="1312">
        <f>IF(AND(C266&gt;$F$85,'Instrumentos Financeiros'!C266&lt;'Instrumentos Financeiros'!$F$85+'Instrumentos Financeiros'!$F$13+1),PMT(((1+'Instrumentos Financeiros'!$Q$43)^(1/12)-1),$F$13,-$I$85),0)</f>
        <v>0</v>
      </c>
      <c r="CK266" s="1312">
        <f t="shared" si="155"/>
        <v>0</v>
      </c>
      <c r="CL266" s="1312">
        <f>CM265*((1+'Instrumentos Financeiros'!$Q$43)^(1/12)-1)</f>
        <v>0</v>
      </c>
      <c r="CM266" s="1312">
        <f t="shared" si="156"/>
        <v>0</v>
      </c>
      <c r="CN266" s="1312">
        <f>IF(AND(C266&gt;$F$86,'Instrumentos Financeiros'!C266&lt;'Instrumentos Financeiros'!$F$86+'Instrumentos Financeiros'!$F$13+1),PMT(((1+'Instrumentos Financeiros'!$Q$43)^(1/12)-1),$F$13,-$I$86),0)</f>
        <v>0</v>
      </c>
      <c r="CO266" s="1312">
        <f t="shared" si="157"/>
        <v>0</v>
      </c>
      <c r="CP266" s="1312">
        <f>CQ265*((1+'Instrumentos Financeiros'!$Q$43)^(1/12)-1)</f>
        <v>0</v>
      </c>
      <c r="CQ266" s="1312">
        <f t="shared" si="158"/>
        <v>0</v>
      </c>
      <c r="CR266" s="1312">
        <f t="shared" si="127"/>
        <v>460796.33043163124</v>
      </c>
      <c r="CS266" s="1312">
        <f t="shared" si="127"/>
        <v>299343.81198767549</v>
      </c>
      <c r="CT266" s="1312">
        <f t="shared" si="127"/>
        <v>161452.51844395581</v>
      </c>
      <c r="CU266" s="1312">
        <f t="shared" si="127"/>
        <v>37367000.993026577</v>
      </c>
    </row>
    <row r="267" spans="3:99" x14ac:dyDescent="0.35">
      <c r="C267" s="1315">
        <f t="shared" si="128"/>
        <v>174</v>
      </c>
      <c r="D267" s="1312">
        <f>IF(AND(C267&gt;$F$59,'Instrumentos Financeiros'!C267&lt;'Instrumentos Financeiros'!$F$59+'Instrumentos Financeiros'!$F$11+1),PMT(((1+'Instrumentos Financeiros'!$G$43)^(1/12)-1),$F$11,-$I$59),0)</f>
        <v>91768.589635900134</v>
      </c>
      <c r="E267" s="1312">
        <f t="shared" si="125"/>
        <v>68163.219553459319</v>
      </c>
      <c r="F267" s="1312">
        <f>G266*((1+'Instrumentos Financeiros'!$G$43)^(1/12)-1)</f>
        <v>23605.370082440812</v>
      </c>
      <c r="G267" s="1312">
        <f t="shared" si="159"/>
        <v>5714914.5328549296</v>
      </c>
      <c r="H267" s="1312">
        <f>IF(AND(C267&gt;$F$60,'Instrumentos Financeiros'!C267&lt;'Instrumentos Financeiros'!$F$60+'Instrumentos Financeiros'!$F$11+1),PMT(((1+'Instrumentos Financeiros'!$G$43)^(1/12)-1),$F$11,-$I$60),0)</f>
        <v>0</v>
      </c>
      <c r="I267" s="1312">
        <f t="shared" si="160"/>
        <v>0</v>
      </c>
      <c r="J267" s="1312">
        <f>K266*((1+'Instrumentos Financeiros'!$G$43)^(1/12)-1)</f>
        <v>0</v>
      </c>
      <c r="K267" s="1312">
        <f t="shared" si="129"/>
        <v>0</v>
      </c>
      <c r="L267" s="1312">
        <f>IF(AND(C267&gt;$F$61,'Instrumentos Financeiros'!C267&lt;'Instrumentos Financeiros'!$F$61+'Instrumentos Financeiros'!$F$11+1),PMT(((1+'Instrumentos Financeiros'!$G$43)^(1/12)-1),$F$11,-$I$61),0)</f>
        <v>0</v>
      </c>
      <c r="M267" s="1312">
        <f t="shared" si="161"/>
        <v>0</v>
      </c>
      <c r="N267" s="1312">
        <f>O266*((1+'Instrumentos Financeiros'!$G$43)^(1/12)-1)</f>
        <v>0</v>
      </c>
      <c r="O267" s="1312">
        <f t="shared" si="130"/>
        <v>0</v>
      </c>
      <c r="P267" s="1312">
        <f>IF(AND(C267&gt;$F$62,'Instrumentos Financeiros'!C267&lt;'Instrumentos Financeiros'!$F$62+'Instrumentos Financeiros'!$F$11+1),PMT(((1+'Instrumentos Financeiros'!$H$43)^(1/12)-1),$F$11,-$I$62),0)</f>
        <v>0</v>
      </c>
      <c r="Q267" s="1312">
        <f t="shared" si="162"/>
        <v>0</v>
      </c>
      <c r="R267" s="1312">
        <f>S266*((1+'Instrumentos Financeiros'!$H$43)^(1/12)-1)</f>
        <v>0</v>
      </c>
      <c r="S267" s="1312">
        <f t="shared" si="131"/>
        <v>0</v>
      </c>
      <c r="T267" s="1312">
        <f>IF(AND(C267&gt;$F$63,'Instrumentos Financeiros'!C267&lt;'Instrumentos Financeiros'!$F$63+'Instrumentos Financeiros'!$F$11+1),PMT(((1+'Instrumentos Financeiros'!$H$43)^(1/12)-1),$F$11,-$I$63),0)</f>
        <v>0</v>
      </c>
      <c r="U267" s="1312">
        <f t="shared" si="163"/>
        <v>0</v>
      </c>
      <c r="V267" s="1312">
        <f>W266*((1+'Instrumentos Financeiros'!$H$43)^(1/12)-1)</f>
        <v>0</v>
      </c>
      <c r="W267" s="1312">
        <f t="shared" si="132"/>
        <v>0</v>
      </c>
      <c r="X267" s="1312">
        <f>IF(AND(C267&gt;$F$64,'Instrumentos Financeiros'!C267&lt;'Instrumentos Financeiros'!$F$64+'Instrumentos Financeiros'!$F$11+1),PMT(((1+'Instrumentos Financeiros'!$H$43)^(1/12)-1),$F$11,-$I$64),0)</f>
        <v>0</v>
      </c>
      <c r="Y267" s="1312">
        <f t="shared" si="164"/>
        <v>0</v>
      </c>
      <c r="Z267" s="1312">
        <f>AA266*((1+'Instrumentos Financeiros'!$H$43)^(1/12)-1)</f>
        <v>0</v>
      </c>
      <c r="AA267" s="1312">
        <f t="shared" si="133"/>
        <v>0</v>
      </c>
      <c r="AB267" s="1312">
        <f>IF(AND(C267&gt;$F$65,'Instrumentos Financeiros'!C267&lt;'Instrumentos Financeiros'!$F$65+'Instrumentos Financeiros'!$F$11+1),PMT(((1+'Instrumentos Financeiros'!$H$43)^(1/12)-1),$F$11,-$I$65),0)</f>
        <v>76636.661022032335</v>
      </c>
      <c r="AC267" s="1312">
        <f t="shared" si="165"/>
        <v>51750.746394229602</v>
      </c>
      <c r="AD267" s="1312">
        <f>AE266*((1+'Instrumentos Financeiros'!$H$43)^(1/12)-1)</f>
        <v>24885.914627802729</v>
      </c>
      <c r="AE267" s="1312">
        <f t="shared" si="134"/>
        <v>5703534.2838472174</v>
      </c>
      <c r="AF267" s="1312">
        <f>IF(AND(C267&gt;$F$66,'Instrumentos Financeiros'!C267&lt;'Instrumentos Financeiros'!$F$66+'Instrumentos Financeiros'!$F$11+1),PMT(((1+'Instrumentos Financeiros'!$I$43)^(1/12)-1),$F$11,-$I$66),0)</f>
        <v>76636.661022032335</v>
      </c>
      <c r="AG267" s="1312">
        <f t="shared" si="166"/>
        <v>51085.197990214241</v>
      </c>
      <c r="AH267" s="1312">
        <f>AI266*((1+'Instrumentos Financeiros'!$I$43)^(1/12)-1)</f>
        <v>25551.463031818093</v>
      </c>
      <c r="AI267" s="1312">
        <f t="shared" si="135"/>
        <v>5858119.0602088561</v>
      </c>
      <c r="AJ267" s="1312">
        <f>IF(AND(C267&gt;$F$67,'Instrumentos Financeiros'!C267&lt;'Instrumentos Financeiros'!$F$67+'Instrumentos Financeiros'!$F$11+1),PMT(((1+'Instrumentos Financeiros'!$I$43)^(1/12)-1),$F$11,-$I$67),0)</f>
        <v>76636.661022032335</v>
      </c>
      <c r="AK267" s="1312">
        <f t="shared" si="167"/>
        <v>50428.208973433851</v>
      </c>
      <c r="AL267" s="1312">
        <f>AM266*((1+'Instrumentos Financeiros'!$I$43)^(1/12)-1)</f>
        <v>26208.452048598479</v>
      </c>
      <c r="AM267" s="1312">
        <f t="shared" si="136"/>
        <v>6010715.775366337</v>
      </c>
      <c r="AN267" s="1312">
        <f>IF(AND(C267&gt;$F$68,'Instrumentos Financeiros'!C267&lt;'Instrumentos Financeiros'!$F$68+'Instrumentos Financeiros'!$F$11+1),PMT(((1+'Instrumentos Financeiros'!$I$43)^(1/12)-1),$F$11,-$I$68),0)</f>
        <v>76636.661022032335</v>
      </c>
      <c r="AO267" s="1312">
        <f t="shared" si="168"/>
        <v>49779.669264577315</v>
      </c>
      <c r="AP267" s="1312">
        <f>AQ266*((1+'Instrumentos Financeiros'!$I$43)^(1/12)-1)</f>
        <v>26856.991757455016</v>
      </c>
      <c r="AQ267" s="1312">
        <f t="shared" si="137"/>
        <v>6161349.9970854167</v>
      </c>
      <c r="AR267" s="1312">
        <f>IF(AND(C267&gt;$F$69,'Instrumentos Financeiros'!C267&lt;'Instrumentos Financeiros'!$F$69+'Instrumentos Financeiros'!$F$11+1),PMT(((1+'Instrumentos Financeiros'!$I$43)^(1/12)-1),$F$11,-$I$69),0)</f>
        <v>0</v>
      </c>
      <c r="AS267" s="1312">
        <f t="shared" si="169"/>
        <v>0</v>
      </c>
      <c r="AT267" s="1312">
        <f>AU266*((1+'Instrumentos Financeiros'!$I$43)^(1/12)-1)</f>
        <v>0</v>
      </c>
      <c r="AU267" s="1312">
        <f t="shared" si="138"/>
        <v>0</v>
      </c>
      <c r="AV267" s="1312">
        <f>IF(AND(C267&gt;$F$70,'Instrumentos Financeiros'!C267&lt;'Instrumentos Financeiros'!$F$70+'Instrumentos Financeiros'!$F$11+1),PMT(((1+'Instrumentos Financeiros'!$J$43)^(1/12)-1),$F$11,-$I$70),0)</f>
        <v>0</v>
      </c>
      <c r="AW267" s="1312">
        <f t="shared" si="170"/>
        <v>0</v>
      </c>
      <c r="AX267" s="1312">
        <f>AY266*((1+'Instrumentos Financeiros'!$J$43)^(1/12)-1)</f>
        <v>0</v>
      </c>
      <c r="AY267" s="1312">
        <f t="shared" si="139"/>
        <v>0</v>
      </c>
      <c r="AZ267" s="1312">
        <f>IF(AND(C267&gt;$F$71,'Instrumentos Financeiros'!C267&lt;'Instrumentos Financeiros'!$F$71+'Instrumentos Financeiros'!$F$11+1),PMT(((1+'Instrumentos Financeiros'!$J$43)^(1/12)-1),$F$11,-$I$71),0)</f>
        <v>0</v>
      </c>
      <c r="BA267" s="1312">
        <f t="shared" si="171"/>
        <v>0</v>
      </c>
      <c r="BB267" s="1312">
        <f>BC266*((1+'Instrumentos Financeiros'!$J$43)^(1/12)-1)</f>
        <v>0</v>
      </c>
      <c r="BC267" s="1312">
        <f t="shared" si="140"/>
        <v>0</v>
      </c>
      <c r="BD267" s="1312">
        <f>IF(AND(C267&gt;$F$72,'Instrumentos Financeiros'!C267&lt;'Instrumentos Financeiros'!$F$72+'Instrumentos Financeiros'!$F$11+1),PMT(((1+'Instrumentos Financeiros'!$J$43)^(1/12)-1),$F$11,-'Instrumentos Financeiros'!$G$7*$G$72),0)</f>
        <v>0</v>
      </c>
      <c r="BE267" s="1312">
        <f t="shared" si="172"/>
        <v>0</v>
      </c>
      <c r="BF267" s="1312">
        <f>BG266*((1+'Instrumentos Financeiros'!$J$43)^(1/12)-1)</f>
        <v>0</v>
      </c>
      <c r="BG267" s="1312">
        <f t="shared" si="141"/>
        <v>0</v>
      </c>
      <c r="BH267" s="1312">
        <f>IF(AND(C267&gt;$F$73,'Instrumentos Financeiros'!C267&lt;'Instrumentos Financeiros'!$F$73+'Instrumentos Financeiros'!$F$11+1),PMT(((1+'Instrumentos Financeiros'!$J$43)^(1/12)-1),$F$11,-$I$73),0)</f>
        <v>0</v>
      </c>
      <c r="BI267" s="1312">
        <f t="shared" si="173"/>
        <v>0</v>
      </c>
      <c r="BJ267" s="1312">
        <f>BK266*((1+'Instrumentos Financeiros'!$J$43)^(1/12)-1)</f>
        <v>0</v>
      </c>
      <c r="BK267" s="1312">
        <f t="shared" si="142"/>
        <v>0</v>
      </c>
      <c r="BL267" s="1312">
        <f>IF(AND(C267&gt;$F$77,'Instrumentos Financeiros'!C267&lt;'Instrumentos Financeiros'!$F$77+'Instrumentos Financeiros'!$F$12+1),PMT(((1+'Instrumentos Financeiros'!$K$43)^(1/12)-1),$F$12,-$I$77),0)</f>
        <v>368.57912678094596</v>
      </c>
      <c r="BM267" s="1312">
        <f t="shared" si="143"/>
        <v>236.33314363208865</v>
      </c>
      <c r="BN267" s="1312">
        <f>BO266*((1+'Instrumentos Financeiros'!$K$43)^(1/12)-1)</f>
        <v>132.24598314885731</v>
      </c>
      <c r="BO267" s="1312">
        <f t="shared" si="144"/>
        <v>30347.767883374556</v>
      </c>
      <c r="BP267" s="1312">
        <f>IF(AND(C267&gt;$F$78,'Instrumentos Financeiros'!C267&lt;'Instrumentos Financeiros'!$F$78+'Instrumentos Financeiros'!$F$12+1),PMT(((1+'Instrumentos Financeiros'!$L$43)^(1/12)-1),$F$12,-$I$78),0)</f>
        <v>368.57912678094596</v>
      </c>
      <c r="BQ267" s="1312">
        <f t="shared" si="145"/>
        <v>233.29374502395942</v>
      </c>
      <c r="BR267" s="1312">
        <f>BS266*((1+'Instrumentos Financeiros'!$L$43)^(1/12)-1)</f>
        <v>135.28538175698654</v>
      </c>
      <c r="BS267" s="1312">
        <f t="shared" si="146"/>
        <v>31053.719172983067</v>
      </c>
      <c r="BT267" s="1312">
        <f>IF(AND(C267&gt;$F$79,'Instrumentos Financeiros'!C267&lt;'Instrumentos Financeiros'!$F$79+'Instrumentos Financeiros'!$F$12+1),PMT(((1+'Instrumentos Financeiros'!$L$43)^(1/12)-1),$F$12,-$I$79),0)</f>
        <v>368.57912678094596</v>
      </c>
      <c r="BU267" s="1312">
        <f t="shared" si="147"/>
        <v>230.29343506737149</v>
      </c>
      <c r="BV267" s="1312">
        <f>BW266*((1+'Instrumentos Financeiros'!$L$43)^(1/12)-1)</f>
        <v>138.28569171357447</v>
      </c>
      <c r="BW267" s="1312">
        <f t="shared" si="148"/>
        <v>31750.591467855302</v>
      </c>
      <c r="BX267" s="1312">
        <f>IF(AND(C267&gt;$F$80,'Instrumentos Financeiros'!C267&lt;'Instrumentos Financeiros'!$F$80+'Instrumentos Financeiros'!$F$12+1),PMT(((1+'Instrumentos Financeiros'!$L$43)^(1/12)-1),$F$12,-$I$80),0)</f>
        <v>368.57912678094596</v>
      </c>
      <c r="BY267" s="1312">
        <f t="shared" si="149"/>
        <v>227.33171105673202</v>
      </c>
      <c r="BZ267" s="1312">
        <f>CA266*((1+'Instrumentos Financeiros'!$L$43)^(1/12)-1)</f>
        <v>141.24741572421394</v>
      </c>
      <c r="CA267" s="1312">
        <f t="shared" si="150"/>
        <v>32438.501529794285</v>
      </c>
      <c r="CB267" s="1312">
        <f>IF(AND(C267&gt;$F$83,'Instrumentos Financeiros'!C267&lt;'Instrumentos Financeiros'!$F$83+'Instrumentos Financeiros'!$F$13+1),PMT(((1+'Instrumentos Financeiros'!$P$43)^(1/12)-1),$F$13,-$I$83),0)</f>
        <v>30503.390100238979</v>
      </c>
      <c r="CC267" s="1312">
        <f t="shared" si="151"/>
        <v>14335.905021599139</v>
      </c>
      <c r="CD267" s="1312">
        <f>CE266*((1+'Instrumentos Financeiros'!$P$43)^(1/12)-1)</f>
        <v>16167.48507863984</v>
      </c>
      <c r="CE267" s="1312">
        <f t="shared" si="152"/>
        <v>3724666.1064131497</v>
      </c>
      <c r="CF267" s="1312">
        <f>IF(AND(C267&gt;$F$84,'Instrumentos Financeiros'!C267&lt;'Instrumentos Financeiros'!$F$84+'Instrumentos Financeiros'!$F$13+1),PMT(((1+'Instrumentos Financeiros'!$Q$43)^(1/12)-1),$F$13,-$I$84),0)</f>
        <v>30503.390100238979</v>
      </c>
      <c r="CG267" s="1312">
        <f t="shared" si="153"/>
        <v>14151.535918310128</v>
      </c>
      <c r="CH267" s="1312">
        <f>CI266*((1+'Instrumentos Financeiros'!$Q$43)^(1/12)-1)</f>
        <v>16351.854181928851</v>
      </c>
      <c r="CI267" s="1312">
        <f t="shared" si="154"/>
        <v>3767488.9220460597</v>
      </c>
      <c r="CJ267" s="1312">
        <f>IF(AND(C267&gt;$F$85,'Instrumentos Financeiros'!C267&lt;'Instrumentos Financeiros'!$F$85+'Instrumentos Financeiros'!$F$13+1),PMT(((1+'Instrumentos Financeiros'!$Q$43)^(1/12)-1),$F$13,-$I$85),0)</f>
        <v>0</v>
      </c>
      <c r="CK267" s="1312">
        <f t="shared" si="155"/>
        <v>0</v>
      </c>
      <c r="CL267" s="1312">
        <f>CM266*((1+'Instrumentos Financeiros'!$Q$43)^(1/12)-1)</f>
        <v>0</v>
      </c>
      <c r="CM267" s="1312">
        <f t="shared" si="156"/>
        <v>3809761.0082965801</v>
      </c>
      <c r="CN267" s="1312">
        <f>IF(AND(C267&gt;$F$86,'Instrumentos Financeiros'!C267&lt;'Instrumentos Financeiros'!$F$86+'Instrumentos Financeiros'!$F$13+1),PMT(((1+'Instrumentos Financeiros'!$Q$43)^(1/12)-1),$F$13,-$I$86),0)</f>
        <v>0</v>
      </c>
      <c r="CO267" s="1312">
        <f t="shared" si="157"/>
        <v>0</v>
      </c>
      <c r="CP267" s="1312">
        <f>CQ266*((1+'Instrumentos Financeiros'!$Q$43)^(1/12)-1)</f>
        <v>0</v>
      </c>
      <c r="CQ267" s="1312">
        <f t="shared" si="158"/>
        <v>0</v>
      </c>
      <c r="CR267" s="1312">
        <f t="shared" si="127"/>
        <v>460796.33043163124</v>
      </c>
      <c r="CS267" s="1312">
        <f t="shared" si="127"/>
        <v>300621.73515060375</v>
      </c>
      <c r="CT267" s="1312">
        <f t="shared" si="127"/>
        <v>160174.59528102746</v>
      </c>
      <c r="CU267" s="1312">
        <f t="shared" si="127"/>
        <v>40876140.266172551</v>
      </c>
    </row>
    <row r="268" spans="3:99" x14ac:dyDescent="0.35">
      <c r="C268" s="1315">
        <f t="shared" si="128"/>
        <v>175</v>
      </c>
      <c r="D268" s="1312">
        <f>IF(AND(C268&gt;$F$59,'Instrumentos Financeiros'!C268&lt;'Instrumentos Financeiros'!$F$59+'Instrumentos Financeiros'!$F$11+1),PMT(((1+'Instrumentos Financeiros'!$G$43)^(1/12)-1),$F$11,-$I$59),0)</f>
        <v>91768.589635900134</v>
      </c>
      <c r="E268" s="1312">
        <f t="shared" si="125"/>
        <v>68441.448222077859</v>
      </c>
      <c r="F268" s="1312">
        <f>G267*((1+'Instrumentos Financeiros'!$G$43)^(1/12)-1)</f>
        <v>23327.141413822272</v>
      </c>
      <c r="G268" s="1312">
        <f t="shared" si="159"/>
        <v>5646473.0846328521</v>
      </c>
      <c r="H268" s="1312">
        <f>IF(AND(C268&gt;$F$60,'Instrumentos Financeiros'!C268&lt;'Instrumentos Financeiros'!$F$60+'Instrumentos Financeiros'!$F$11+1),PMT(((1+'Instrumentos Financeiros'!$G$43)^(1/12)-1),$F$11,-$I$60),0)</f>
        <v>0</v>
      </c>
      <c r="I268" s="1312">
        <f t="shared" si="160"/>
        <v>0</v>
      </c>
      <c r="J268" s="1312">
        <f>K267*((1+'Instrumentos Financeiros'!$G$43)^(1/12)-1)</f>
        <v>0</v>
      </c>
      <c r="K268" s="1312">
        <f t="shared" si="129"/>
        <v>0</v>
      </c>
      <c r="L268" s="1312">
        <f>IF(AND(C268&gt;$F$61,'Instrumentos Financeiros'!C268&lt;'Instrumentos Financeiros'!$F$61+'Instrumentos Financeiros'!$F$11+1),PMT(((1+'Instrumentos Financeiros'!$G$43)^(1/12)-1),$F$11,-$I$61),0)</f>
        <v>0</v>
      </c>
      <c r="M268" s="1312">
        <f t="shared" si="161"/>
        <v>0</v>
      </c>
      <c r="N268" s="1312">
        <f>O267*((1+'Instrumentos Financeiros'!$G$43)^(1/12)-1)</f>
        <v>0</v>
      </c>
      <c r="O268" s="1312">
        <f t="shared" si="130"/>
        <v>0</v>
      </c>
      <c r="P268" s="1312">
        <f>IF(AND(C268&gt;$F$62,'Instrumentos Financeiros'!C268&lt;'Instrumentos Financeiros'!$F$62+'Instrumentos Financeiros'!$F$11+1),PMT(((1+'Instrumentos Financeiros'!$H$43)^(1/12)-1),$F$11,-$I$62),0)</f>
        <v>0</v>
      </c>
      <c r="Q268" s="1312">
        <f t="shared" si="162"/>
        <v>0</v>
      </c>
      <c r="R268" s="1312">
        <f>S267*((1+'Instrumentos Financeiros'!$H$43)^(1/12)-1)</f>
        <v>0</v>
      </c>
      <c r="S268" s="1312">
        <f t="shared" si="131"/>
        <v>0</v>
      </c>
      <c r="T268" s="1312">
        <f>IF(AND(C268&gt;$F$63,'Instrumentos Financeiros'!C268&lt;'Instrumentos Financeiros'!$F$63+'Instrumentos Financeiros'!$F$11+1),PMT(((1+'Instrumentos Financeiros'!$H$43)^(1/12)-1),$F$11,-$I$63),0)</f>
        <v>0</v>
      </c>
      <c r="U268" s="1312">
        <f t="shared" si="163"/>
        <v>0</v>
      </c>
      <c r="V268" s="1312">
        <f>W267*((1+'Instrumentos Financeiros'!$H$43)^(1/12)-1)</f>
        <v>0</v>
      </c>
      <c r="W268" s="1312">
        <f t="shared" si="132"/>
        <v>0</v>
      </c>
      <c r="X268" s="1312">
        <f>IF(AND(C268&gt;$F$64,'Instrumentos Financeiros'!C268&lt;'Instrumentos Financeiros'!$F$64+'Instrumentos Financeiros'!$F$11+1),PMT(((1+'Instrumentos Financeiros'!$H$43)^(1/12)-1),$F$11,-$I$64),0)</f>
        <v>0</v>
      </c>
      <c r="Y268" s="1312">
        <f t="shared" si="164"/>
        <v>0</v>
      </c>
      <c r="Z268" s="1312">
        <f>AA267*((1+'Instrumentos Financeiros'!$H$43)^(1/12)-1)</f>
        <v>0</v>
      </c>
      <c r="AA268" s="1312">
        <f t="shared" si="133"/>
        <v>0</v>
      </c>
      <c r="AB268" s="1312">
        <f>IF(AND(C268&gt;$F$65,'Instrumentos Financeiros'!C268&lt;'Instrumentos Financeiros'!$F$65+'Instrumentos Financeiros'!$F$11+1),PMT(((1+'Instrumentos Financeiros'!$H$43)^(1/12)-1),$F$11,-$I$65),0)</f>
        <v>76636.661022032335</v>
      </c>
      <c r="AC268" s="1312">
        <f t="shared" si="165"/>
        <v>51974.517180545961</v>
      </c>
      <c r="AD268" s="1312">
        <f>AE267*((1+'Instrumentos Financeiros'!$H$43)^(1/12)-1)</f>
        <v>24662.143841486373</v>
      </c>
      <c r="AE268" s="1312">
        <f t="shared" si="134"/>
        <v>5651559.7666666713</v>
      </c>
      <c r="AF268" s="1312">
        <f>IF(AND(C268&gt;$F$66,'Instrumentos Financeiros'!C268&lt;'Instrumentos Financeiros'!$F$66+'Instrumentos Financeiros'!$F$11+1),PMT(((1+'Instrumentos Financeiros'!$I$43)^(1/12)-1),$F$11,-$I$66),0)</f>
        <v>76636.661022032335</v>
      </c>
      <c r="AG268" s="1312">
        <f t="shared" si="166"/>
        <v>51306.090938043715</v>
      </c>
      <c r="AH268" s="1312">
        <f>AI267*((1+'Instrumentos Financeiros'!$I$43)^(1/12)-1)</f>
        <v>25330.570083988619</v>
      </c>
      <c r="AI268" s="1312">
        <f t="shared" si="135"/>
        <v>5806812.9692708123</v>
      </c>
      <c r="AJ268" s="1312">
        <f>IF(AND(C268&gt;$F$67,'Instrumentos Financeiros'!C268&lt;'Instrumentos Financeiros'!$F$67+'Instrumentos Financeiros'!$F$11+1),PMT(((1+'Instrumentos Financeiros'!$I$43)^(1/12)-1),$F$11,-$I$67),0)</f>
        <v>76636.661022032335</v>
      </c>
      <c r="AK268" s="1312">
        <f t="shared" si="167"/>
        <v>50646.261093659297</v>
      </c>
      <c r="AL268" s="1312">
        <f>AM267*((1+'Instrumentos Financeiros'!$I$43)^(1/12)-1)</f>
        <v>25990.399928373041</v>
      </c>
      <c r="AM268" s="1312">
        <f t="shared" si="136"/>
        <v>5960069.5142726777</v>
      </c>
      <c r="AN268" s="1312">
        <f>IF(AND(C268&gt;$F$68,'Instrumentos Financeiros'!C268&lt;'Instrumentos Financeiros'!$F$68+'Instrumentos Financeiros'!$F$11+1),PMT(((1+'Instrumentos Financeiros'!$I$43)^(1/12)-1),$F$11,-$I$68),0)</f>
        <v>76636.661022032335</v>
      </c>
      <c r="AO268" s="1312">
        <f t="shared" si="168"/>
        <v>49994.917092097436</v>
      </c>
      <c r="AP268" s="1312">
        <f>AQ267*((1+'Instrumentos Financeiros'!$I$43)^(1/12)-1)</f>
        <v>26641.743929934899</v>
      </c>
      <c r="AQ268" s="1312">
        <f t="shared" si="137"/>
        <v>6111355.0799933197</v>
      </c>
      <c r="AR268" s="1312">
        <f>IF(AND(C268&gt;$F$69,'Instrumentos Financeiros'!C268&lt;'Instrumentos Financeiros'!$F$69+'Instrumentos Financeiros'!$F$11+1),PMT(((1+'Instrumentos Financeiros'!$I$43)^(1/12)-1),$F$11,-$I$69),0)</f>
        <v>0</v>
      </c>
      <c r="AS268" s="1312">
        <f t="shared" si="169"/>
        <v>0</v>
      </c>
      <c r="AT268" s="1312">
        <f>AU267*((1+'Instrumentos Financeiros'!$I$43)^(1/12)-1)</f>
        <v>0</v>
      </c>
      <c r="AU268" s="1312">
        <f t="shared" si="138"/>
        <v>0</v>
      </c>
      <c r="AV268" s="1312">
        <f>IF(AND(C268&gt;$F$70,'Instrumentos Financeiros'!C268&lt;'Instrumentos Financeiros'!$F$70+'Instrumentos Financeiros'!$F$11+1),PMT(((1+'Instrumentos Financeiros'!$J$43)^(1/12)-1),$F$11,-$I$70),0)</f>
        <v>0</v>
      </c>
      <c r="AW268" s="1312">
        <f t="shared" si="170"/>
        <v>0</v>
      </c>
      <c r="AX268" s="1312">
        <f>AY267*((1+'Instrumentos Financeiros'!$J$43)^(1/12)-1)</f>
        <v>0</v>
      </c>
      <c r="AY268" s="1312">
        <f t="shared" si="139"/>
        <v>0</v>
      </c>
      <c r="AZ268" s="1312">
        <f>IF(AND(C268&gt;$F$71,'Instrumentos Financeiros'!C268&lt;'Instrumentos Financeiros'!$F$71+'Instrumentos Financeiros'!$F$11+1),PMT(((1+'Instrumentos Financeiros'!$J$43)^(1/12)-1),$F$11,-$I$71),0)</f>
        <v>0</v>
      </c>
      <c r="BA268" s="1312">
        <f t="shared" si="171"/>
        <v>0</v>
      </c>
      <c r="BB268" s="1312">
        <f>BC267*((1+'Instrumentos Financeiros'!$J$43)^(1/12)-1)</f>
        <v>0</v>
      </c>
      <c r="BC268" s="1312">
        <f t="shared" si="140"/>
        <v>0</v>
      </c>
      <c r="BD268" s="1312">
        <f>IF(AND(C268&gt;$F$72,'Instrumentos Financeiros'!C268&lt;'Instrumentos Financeiros'!$F$72+'Instrumentos Financeiros'!$F$11+1),PMT(((1+'Instrumentos Financeiros'!$J$43)^(1/12)-1),$F$11,-'Instrumentos Financeiros'!$G$7*$G$72),0)</f>
        <v>0</v>
      </c>
      <c r="BE268" s="1312">
        <f t="shared" si="172"/>
        <v>0</v>
      </c>
      <c r="BF268" s="1312">
        <f>BG267*((1+'Instrumentos Financeiros'!$J$43)^(1/12)-1)</f>
        <v>0</v>
      </c>
      <c r="BG268" s="1312">
        <f t="shared" si="141"/>
        <v>0</v>
      </c>
      <c r="BH268" s="1312">
        <f>IF(AND(C268&gt;$F$73,'Instrumentos Financeiros'!C268&lt;'Instrumentos Financeiros'!$F$73+'Instrumentos Financeiros'!$F$11+1),PMT(((1+'Instrumentos Financeiros'!$J$43)^(1/12)-1),$F$11,-$I$73),0)</f>
        <v>0</v>
      </c>
      <c r="BI268" s="1312">
        <f t="shared" si="173"/>
        <v>0</v>
      </c>
      <c r="BJ268" s="1312">
        <f>BK267*((1+'Instrumentos Financeiros'!$J$43)^(1/12)-1)</f>
        <v>0</v>
      </c>
      <c r="BK268" s="1312">
        <f t="shared" si="142"/>
        <v>0</v>
      </c>
      <c r="BL268" s="1312">
        <f>IF(AND(C268&gt;$F$77,'Instrumentos Financeiros'!C268&lt;'Instrumentos Financeiros'!$F$77+'Instrumentos Financeiros'!$F$12+1),PMT(((1+'Instrumentos Financeiros'!$K$43)^(1/12)-1),$F$12,-$I$77),0)</f>
        <v>368.57912678094596</v>
      </c>
      <c r="BM268" s="1312">
        <f t="shared" si="143"/>
        <v>237.35505069755013</v>
      </c>
      <c r="BN268" s="1312">
        <f>BO267*((1+'Instrumentos Financeiros'!$K$43)^(1/12)-1)</f>
        <v>131.22407608339583</v>
      </c>
      <c r="BO268" s="1312">
        <f t="shared" si="144"/>
        <v>30110.412832677004</v>
      </c>
      <c r="BP268" s="1312">
        <f>IF(AND(C268&gt;$F$78,'Instrumentos Financeiros'!C268&lt;'Instrumentos Financeiros'!$F$78+'Instrumentos Financeiros'!$F$12+1),PMT(((1+'Instrumentos Financeiros'!$L$43)^(1/12)-1),$F$12,-$I$78),0)</f>
        <v>368.57912678094596</v>
      </c>
      <c r="BQ268" s="1312">
        <f t="shared" si="145"/>
        <v>234.30250969701387</v>
      </c>
      <c r="BR268" s="1312">
        <f>BS267*((1+'Instrumentos Financeiros'!$L$43)^(1/12)-1)</f>
        <v>134.27661708393208</v>
      </c>
      <c r="BS268" s="1312">
        <f t="shared" si="146"/>
        <v>30819.416663286054</v>
      </c>
      <c r="BT268" s="1312">
        <f>IF(AND(C268&gt;$F$79,'Instrumentos Financeiros'!C268&lt;'Instrumentos Financeiros'!$F$79+'Instrumentos Financeiros'!$F$12+1),PMT(((1+'Instrumentos Financeiros'!$L$43)^(1/12)-1),$F$12,-$I$79),0)</f>
        <v>368.57912678094596</v>
      </c>
      <c r="BU268" s="1312">
        <f t="shared" si="147"/>
        <v>231.28922636777034</v>
      </c>
      <c r="BV268" s="1312">
        <f>BW267*((1+'Instrumentos Financeiros'!$L$43)^(1/12)-1)</f>
        <v>137.28990041317562</v>
      </c>
      <c r="BW268" s="1312">
        <f t="shared" si="148"/>
        <v>31519.30224148753</v>
      </c>
      <c r="BX268" s="1312">
        <f>IF(AND(C268&gt;$F$80,'Instrumentos Financeiros'!C268&lt;'Instrumentos Financeiros'!$F$80+'Instrumentos Financeiros'!$F$12+1),PMT(((1+'Instrumentos Financeiros'!$L$43)^(1/12)-1),$F$12,-$I$80),0)</f>
        <v>368.57912678094596</v>
      </c>
      <c r="BY268" s="1312">
        <f t="shared" si="149"/>
        <v>228.31469583052223</v>
      </c>
      <c r="BZ268" s="1312">
        <f>CA267*((1+'Instrumentos Financeiros'!$L$43)^(1/12)-1)</f>
        <v>140.26443095042373</v>
      </c>
      <c r="CA268" s="1312">
        <f t="shared" si="150"/>
        <v>32210.186833963762</v>
      </c>
      <c r="CB268" s="1312">
        <f>IF(AND(C268&gt;$F$83,'Instrumentos Financeiros'!C268&lt;'Instrumentos Financeiros'!$F$83+'Instrumentos Financeiros'!$F$13+1),PMT(((1+'Instrumentos Financeiros'!$P$43)^(1/12)-1),$F$13,-$I$83),0)</f>
        <v>30503.390100238979</v>
      </c>
      <c r="CC268" s="1312">
        <f t="shared" si="151"/>
        <v>14397.893629740209</v>
      </c>
      <c r="CD268" s="1312">
        <f>CE267*((1+'Instrumentos Financeiros'!$P$43)^(1/12)-1)</f>
        <v>16105.496470498771</v>
      </c>
      <c r="CE268" s="1312">
        <f t="shared" si="152"/>
        <v>3710268.2127834097</v>
      </c>
      <c r="CF268" s="1312">
        <f>IF(AND(C268&gt;$F$84,'Instrumentos Financeiros'!C268&lt;'Instrumentos Financeiros'!$F$84+'Instrumentos Financeiros'!$F$13+1),PMT(((1+'Instrumentos Financeiros'!$Q$43)^(1/12)-1),$F$13,-$I$84),0)</f>
        <v>30503.390100238979</v>
      </c>
      <c r="CG268" s="1312">
        <f t="shared" si="153"/>
        <v>14212.727312457393</v>
      </c>
      <c r="CH268" s="1312">
        <f>CI267*((1+'Instrumentos Financeiros'!$Q$43)^(1/12)-1)</f>
        <v>16290.662787781586</v>
      </c>
      <c r="CI268" s="1312">
        <f t="shared" si="154"/>
        <v>3753276.1947336025</v>
      </c>
      <c r="CJ268" s="1312">
        <f>IF(AND(C268&gt;$F$85,'Instrumentos Financeiros'!C268&lt;'Instrumentos Financeiros'!$F$85+'Instrumentos Financeiros'!$F$13+1),PMT(((1+'Instrumentos Financeiros'!$Q$43)^(1/12)-1),$F$13,-$I$85),0)</f>
        <v>30503.390100238979</v>
      </c>
      <c r="CK268" s="1312">
        <f t="shared" si="155"/>
        <v>14029.942354971903</v>
      </c>
      <c r="CL268" s="1312">
        <f>CM267*((1+'Instrumentos Financeiros'!$Q$43)^(1/12)-1)</f>
        <v>16473.447745267076</v>
      </c>
      <c r="CM268" s="1312">
        <f t="shared" si="156"/>
        <v>3795731.065941608</v>
      </c>
      <c r="CN268" s="1312">
        <f>IF(AND(C268&gt;$F$86,'Instrumentos Financeiros'!C268&lt;'Instrumentos Financeiros'!$F$86+'Instrumentos Financeiros'!$F$13+1),PMT(((1+'Instrumentos Financeiros'!$Q$43)^(1/12)-1),$F$13,-$I$86),0)</f>
        <v>0</v>
      </c>
      <c r="CO268" s="1312">
        <f t="shared" si="157"/>
        <v>0</v>
      </c>
      <c r="CP268" s="1312">
        <f>CQ267*((1+'Instrumentos Financeiros'!$Q$43)^(1/12)-1)</f>
        <v>0</v>
      </c>
      <c r="CQ268" s="1312">
        <f t="shared" si="158"/>
        <v>0</v>
      </c>
      <c r="CR268" s="1312">
        <f t="shared" si="127"/>
        <v>491299.7205318702</v>
      </c>
      <c r="CS268" s="1312">
        <f t="shared" si="127"/>
        <v>315935.05930618668</v>
      </c>
      <c r="CT268" s="1312">
        <f t="shared" si="127"/>
        <v>175364.66122568358</v>
      </c>
      <c r="CU268" s="1312">
        <f t="shared" si="127"/>
        <v>40560205.206866369</v>
      </c>
    </row>
    <row r="269" spans="3:99" x14ac:dyDescent="0.35">
      <c r="C269" s="1315">
        <f t="shared" si="128"/>
        <v>176</v>
      </c>
      <c r="D269" s="1312">
        <f>IF(AND(C269&gt;$F$59,'Instrumentos Financeiros'!C269&lt;'Instrumentos Financeiros'!$F$59+'Instrumentos Financeiros'!$F$11+1),PMT(((1+'Instrumentos Financeiros'!$G$43)^(1/12)-1),$F$11,-$I$59),0)</f>
        <v>91768.589635900134</v>
      </c>
      <c r="E269" s="1312">
        <f t="shared" si="125"/>
        <v>68720.812564635344</v>
      </c>
      <c r="F269" s="1312">
        <f>G268*((1+'Instrumentos Financeiros'!$G$43)^(1/12)-1)</f>
        <v>23047.777071264794</v>
      </c>
      <c r="G269" s="1312">
        <f t="shared" si="159"/>
        <v>5577752.2720682165</v>
      </c>
      <c r="H269" s="1312">
        <f>IF(AND(C269&gt;$F$60,'Instrumentos Financeiros'!C269&lt;'Instrumentos Financeiros'!$F$60+'Instrumentos Financeiros'!$F$11+1),PMT(((1+'Instrumentos Financeiros'!$G$43)^(1/12)-1),$F$11,-$I$60),0)</f>
        <v>0</v>
      </c>
      <c r="I269" s="1312">
        <f t="shared" si="160"/>
        <v>0</v>
      </c>
      <c r="J269" s="1312">
        <f>K268*((1+'Instrumentos Financeiros'!$G$43)^(1/12)-1)</f>
        <v>0</v>
      </c>
      <c r="K269" s="1312">
        <f t="shared" si="129"/>
        <v>0</v>
      </c>
      <c r="L269" s="1312">
        <f>IF(AND(C269&gt;$F$61,'Instrumentos Financeiros'!C269&lt;'Instrumentos Financeiros'!$F$61+'Instrumentos Financeiros'!$F$11+1),PMT(((1+'Instrumentos Financeiros'!$G$43)^(1/12)-1),$F$11,-$I$61),0)</f>
        <v>0</v>
      </c>
      <c r="M269" s="1312">
        <f t="shared" si="161"/>
        <v>0</v>
      </c>
      <c r="N269" s="1312">
        <f>O268*((1+'Instrumentos Financeiros'!$G$43)^(1/12)-1)</f>
        <v>0</v>
      </c>
      <c r="O269" s="1312">
        <f t="shared" si="130"/>
        <v>0</v>
      </c>
      <c r="P269" s="1312">
        <f>IF(AND(C269&gt;$F$62,'Instrumentos Financeiros'!C269&lt;'Instrumentos Financeiros'!$F$62+'Instrumentos Financeiros'!$F$11+1),PMT(((1+'Instrumentos Financeiros'!$H$43)^(1/12)-1),$F$11,-$I$62),0)</f>
        <v>0</v>
      </c>
      <c r="Q269" s="1312">
        <f t="shared" si="162"/>
        <v>0</v>
      </c>
      <c r="R269" s="1312">
        <f>S268*((1+'Instrumentos Financeiros'!$H$43)^(1/12)-1)</f>
        <v>0</v>
      </c>
      <c r="S269" s="1312">
        <f t="shared" si="131"/>
        <v>0</v>
      </c>
      <c r="T269" s="1312">
        <f>IF(AND(C269&gt;$F$63,'Instrumentos Financeiros'!C269&lt;'Instrumentos Financeiros'!$F$63+'Instrumentos Financeiros'!$F$11+1),PMT(((1+'Instrumentos Financeiros'!$H$43)^(1/12)-1),$F$11,-$I$63),0)</f>
        <v>0</v>
      </c>
      <c r="U269" s="1312">
        <f t="shared" si="163"/>
        <v>0</v>
      </c>
      <c r="V269" s="1312">
        <f>W268*((1+'Instrumentos Financeiros'!$H$43)^(1/12)-1)</f>
        <v>0</v>
      </c>
      <c r="W269" s="1312">
        <f t="shared" si="132"/>
        <v>0</v>
      </c>
      <c r="X269" s="1312">
        <f>IF(AND(C269&gt;$F$64,'Instrumentos Financeiros'!C269&lt;'Instrumentos Financeiros'!$F$64+'Instrumentos Financeiros'!$F$11+1),PMT(((1+'Instrumentos Financeiros'!$H$43)^(1/12)-1),$F$11,-$I$64),0)</f>
        <v>0</v>
      </c>
      <c r="Y269" s="1312">
        <f t="shared" si="164"/>
        <v>0</v>
      </c>
      <c r="Z269" s="1312">
        <f>AA268*((1+'Instrumentos Financeiros'!$H$43)^(1/12)-1)</f>
        <v>0</v>
      </c>
      <c r="AA269" s="1312">
        <f t="shared" si="133"/>
        <v>0</v>
      </c>
      <c r="AB269" s="1312">
        <f>IF(AND(C269&gt;$F$65,'Instrumentos Financeiros'!C269&lt;'Instrumentos Financeiros'!$F$65+'Instrumentos Financeiros'!$F$11+1),PMT(((1+'Instrumentos Financeiros'!$H$43)^(1/12)-1),$F$11,-$I$65),0)</f>
        <v>76636.661022032335</v>
      </c>
      <c r="AC269" s="1312">
        <f t="shared" si="165"/>
        <v>52199.25555415907</v>
      </c>
      <c r="AD269" s="1312">
        <f>AE268*((1+'Instrumentos Financeiros'!$H$43)^(1/12)-1)</f>
        <v>24437.405467873265</v>
      </c>
      <c r="AE269" s="1312">
        <f t="shared" si="134"/>
        <v>5599360.5111125121</v>
      </c>
      <c r="AF269" s="1312">
        <f>IF(AND(C269&gt;$F$66,'Instrumentos Financeiros'!C269&lt;'Instrumentos Financeiros'!$F$66+'Instrumentos Financeiros'!$F$11+1),PMT(((1+'Instrumentos Financeiros'!$I$43)^(1/12)-1),$F$11,-$I$66),0)</f>
        <v>76636.661022032335</v>
      </c>
      <c r="AG269" s="1312">
        <f t="shared" si="166"/>
        <v>51527.93902936524</v>
      </c>
      <c r="AH269" s="1312">
        <f>AI268*((1+'Instrumentos Financeiros'!$I$43)^(1/12)-1)</f>
        <v>25108.721992667091</v>
      </c>
      <c r="AI269" s="1312">
        <f t="shared" si="135"/>
        <v>5755285.0302414475</v>
      </c>
      <c r="AJ269" s="1312">
        <f>IF(AND(C269&gt;$F$67,'Instrumentos Financeiros'!C269&lt;'Instrumentos Financeiros'!$F$67+'Instrumentos Financeiros'!$F$11+1),PMT(((1+'Instrumentos Financeiros'!$I$43)^(1/12)-1),$F$11,-$I$67),0)</f>
        <v>76636.661022032335</v>
      </c>
      <c r="AK269" s="1312">
        <f t="shared" si="167"/>
        <v>50865.256073607547</v>
      </c>
      <c r="AL269" s="1312">
        <f>AM268*((1+'Instrumentos Financeiros'!$I$43)^(1/12)-1)</f>
        <v>25771.404948424788</v>
      </c>
      <c r="AM269" s="1312">
        <f t="shared" si="136"/>
        <v>5909204.2581990706</v>
      </c>
      <c r="AN269" s="1312">
        <f>IF(AND(C269&gt;$F$68,'Instrumentos Financeiros'!C269&lt;'Instrumentos Financeiros'!$F$68+'Instrumentos Financeiros'!$F$11+1),PMT(((1+'Instrumentos Financeiros'!$I$43)^(1/12)-1),$F$11,-$I$68),0)</f>
        <v>76636.661022032335</v>
      </c>
      <c r="AO269" s="1312">
        <f t="shared" si="168"/>
        <v>50211.095653548422</v>
      </c>
      <c r="AP269" s="1312">
        <f>AQ268*((1+'Instrumentos Financeiros'!$I$43)^(1/12)-1)</f>
        <v>26425.565368483913</v>
      </c>
      <c r="AQ269" s="1312">
        <f t="shared" si="137"/>
        <v>6061143.9843397709</v>
      </c>
      <c r="AR269" s="1312">
        <f>IF(AND(C269&gt;$F$69,'Instrumentos Financeiros'!C269&lt;'Instrumentos Financeiros'!$F$69+'Instrumentos Financeiros'!$F$11+1),PMT(((1+'Instrumentos Financeiros'!$I$43)^(1/12)-1),$F$11,-$I$69),0)</f>
        <v>0</v>
      </c>
      <c r="AS269" s="1312">
        <f t="shared" si="169"/>
        <v>0</v>
      </c>
      <c r="AT269" s="1312">
        <f>AU268*((1+'Instrumentos Financeiros'!$I$43)^(1/12)-1)</f>
        <v>0</v>
      </c>
      <c r="AU269" s="1312">
        <f t="shared" si="138"/>
        <v>0</v>
      </c>
      <c r="AV269" s="1312">
        <f>IF(AND(C269&gt;$F$70,'Instrumentos Financeiros'!C269&lt;'Instrumentos Financeiros'!$F$70+'Instrumentos Financeiros'!$F$11+1),PMT(((1+'Instrumentos Financeiros'!$J$43)^(1/12)-1),$F$11,-$I$70),0)</f>
        <v>0</v>
      </c>
      <c r="AW269" s="1312">
        <f t="shared" si="170"/>
        <v>0</v>
      </c>
      <c r="AX269" s="1312">
        <f>AY268*((1+'Instrumentos Financeiros'!$J$43)^(1/12)-1)</f>
        <v>0</v>
      </c>
      <c r="AY269" s="1312">
        <f t="shared" si="139"/>
        <v>0</v>
      </c>
      <c r="AZ269" s="1312">
        <f>IF(AND(C269&gt;$F$71,'Instrumentos Financeiros'!C269&lt;'Instrumentos Financeiros'!$F$71+'Instrumentos Financeiros'!$F$11+1),PMT(((1+'Instrumentos Financeiros'!$J$43)^(1/12)-1),$F$11,-$I$71),0)</f>
        <v>0</v>
      </c>
      <c r="BA269" s="1312">
        <f t="shared" si="171"/>
        <v>0</v>
      </c>
      <c r="BB269" s="1312">
        <f>BC268*((1+'Instrumentos Financeiros'!$J$43)^(1/12)-1)</f>
        <v>0</v>
      </c>
      <c r="BC269" s="1312">
        <f t="shared" si="140"/>
        <v>0</v>
      </c>
      <c r="BD269" s="1312">
        <f>IF(AND(C269&gt;$F$72,'Instrumentos Financeiros'!C269&lt;'Instrumentos Financeiros'!$F$72+'Instrumentos Financeiros'!$F$11+1),PMT(((1+'Instrumentos Financeiros'!$J$43)^(1/12)-1),$F$11,-'Instrumentos Financeiros'!$G$7*$G$72),0)</f>
        <v>0</v>
      </c>
      <c r="BE269" s="1312">
        <f t="shared" si="172"/>
        <v>0</v>
      </c>
      <c r="BF269" s="1312">
        <f>BG268*((1+'Instrumentos Financeiros'!$J$43)^(1/12)-1)</f>
        <v>0</v>
      </c>
      <c r="BG269" s="1312">
        <f t="shared" si="141"/>
        <v>0</v>
      </c>
      <c r="BH269" s="1312">
        <f>IF(AND(C269&gt;$F$73,'Instrumentos Financeiros'!C269&lt;'Instrumentos Financeiros'!$F$73+'Instrumentos Financeiros'!$F$11+1),PMT(((1+'Instrumentos Financeiros'!$J$43)^(1/12)-1),$F$11,-$I$73),0)</f>
        <v>0</v>
      </c>
      <c r="BI269" s="1312">
        <f t="shared" si="173"/>
        <v>0</v>
      </c>
      <c r="BJ269" s="1312">
        <f>BK268*((1+'Instrumentos Financeiros'!$J$43)^(1/12)-1)</f>
        <v>0</v>
      </c>
      <c r="BK269" s="1312">
        <f t="shared" si="142"/>
        <v>0</v>
      </c>
      <c r="BL269" s="1312">
        <f>IF(AND(C269&gt;$F$77,'Instrumentos Financeiros'!C269&lt;'Instrumentos Financeiros'!$F$77+'Instrumentos Financeiros'!$F$12+1),PMT(((1+'Instrumentos Financeiros'!$K$43)^(1/12)-1),$F$12,-$I$77),0)</f>
        <v>368.57912678094596</v>
      </c>
      <c r="BM269" s="1312">
        <f t="shared" si="143"/>
        <v>238.38137650019925</v>
      </c>
      <c r="BN269" s="1312">
        <f>BO268*((1+'Instrumentos Financeiros'!$K$43)^(1/12)-1)</f>
        <v>130.1977502807467</v>
      </c>
      <c r="BO269" s="1312">
        <f t="shared" si="144"/>
        <v>29872.031456176806</v>
      </c>
      <c r="BP269" s="1312">
        <f>IF(AND(C269&gt;$F$78,'Instrumentos Financeiros'!C269&lt;'Instrumentos Financeiros'!$F$78+'Instrumentos Financeiros'!$F$12+1),PMT(((1+'Instrumentos Financeiros'!$L$43)^(1/12)-1),$F$12,-$I$78),0)</f>
        <v>368.57912678094596</v>
      </c>
      <c r="BQ269" s="1312">
        <f t="shared" si="145"/>
        <v>235.31563627940923</v>
      </c>
      <c r="BR269" s="1312">
        <f>BS268*((1+'Instrumentos Financeiros'!$L$43)^(1/12)-1)</f>
        <v>133.26349050153672</v>
      </c>
      <c r="BS269" s="1312">
        <f t="shared" si="146"/>
        <v>30584.101027006644</v>
      </c>
      <c r="BT269" s="1312">
        <f>IF(AND(C269&gt;$F$79,'Instrumentos Financeiros'!C269&lt;'Instrumentos Financeiros'!$F$79+'Instrumentos Financeiros'!$F$12+1),PMT(((1+'Instrumentos Financeiros'!$L$43)^(1/12)-1),$F$12,-$I$79),0)</f>
        <v>368.57912678094596</v>
      </c>
      <c r="BU269" s="1312">
        <f t="shared" si="147"/>
        <v>232.28932348050662</v>
      </c>
      <c r="BV269" s="1312">
        <f>BW268*((1+'Instrumentos Financeiros'!$L$43)^(1/12)-1)</f>
        <v>136.28980330043933</v>
      </c>
      <c r="BW269" s="1312">
        <f t="shared" si="148"/>
        <v>31287.012918007025</v>
      </c>
      <c r="BX269" s="1312">
        <f>IF(AND(C269&gt;$F$80,'Instrumentos Financeiros'!C269&lt;'Instrumentos Financeiros'!$F$80+'Instrumentos Financeiros'!$F$12+1),PMT(((1+'Instrumentos Financeiros'!$L$43)^(1/12)-1),$F$12,-$I$80),0)</f>
        <v>368.57912678094596</v>
      </c>
      <c r="BY269" s="1312">
        <f t="shared" si="149"/>
        <v>229.30193104109057</v>
      </c>
      <c r="BZ269" s="1312">
        <f>CA268*((1+'Instrumentos Financeiros'!$L$43)^(1/12)-1)</f>
        <v>139.27719573985539</v>
      </c>
      <c r="CA269" s="1312">
        <f t="shared" si="150"/>
        <v>31980.884902922673</v>
      </c>
      <c r="CB269" s="1312">
        <f>IF(AND(C269&gt;$F$83,'Instrumentos Financeiros'!C269&lt;'Instrumentos Financeiros'!$F$83+'Instrumentos Financeiros'!$F$13+1),PMT(((1+'Instrumentos Financeiros'!$P$43)^(1/12)-1),$F$13,-$I$83),0)</f>
        <v>30503.390100238979</v>
      </c>
      <c r="CC269" s="1312">
        <f t="shared" si="151"/>
        <v>14460.150277292358</v>
      </c>
      <c r="CD269" s="1312">
        <f>CE268*((1+'Instrumentos Financeiros'!$P$43)^(1/12)-1)</f>
        <v>16043.239822946622</v>
      </c>
      <c r="CE269" s="1312">
        <f t="shared" si="152"/>
        <v>3695808.0625061174</v>
      </c>
      <c r="CF269" s="1312">
        <f>IF(AND(C269&gt;$F$84,'Instrumentos Financeiros'!C269&lt;'Instrumentos Financeiros'!$F$84+'Instrumentos Financeiros'!$F$13+1),PMT(((1+'Instrumentos Financeiros'!$Q$43)^(1/12)-1),$F$13,-$I$84),0)</f>
        <v>30503.390100238979</v>
      </c>
      <c r="CG269" s="1312">
        <f t="shared" si="153"/>
        <v>14274.183298853815</v>
      </c>
      <c r="CH269" s="1312">
        <f>CI268*((1+'Instrumentos Financeiros'!$Q$43)^(1/12)-1)</f>
        <v>16229.206801385164</v>
      </c>
      <c r="CI269" s="1312">
        <f t="shared" si="154"/>
        <v>3739002.0114347488</v>
      </c>
      <c r="CJ269" s="1312">
        <f>IF(AND(C269&gt;$F$85,'Instrumentos Financeiros'!C269&lt;'Instrumentos Financeiros'!$F$85+'Instrumentos Financeiros'!$F$13+1),PMT(((1+'Instrumentos Financeiros'!$Q$43)^(1/12)-1),$F$13,-$I$85),0)</f>
        <v>30503.390100238979</v>
      </c>
      <c r="CK269" s="1312">
        <f t="shared" si="155"/>
        <v>14090.60797723808</v>
      </c>
      <c r="CL269" s="1312">
        <f>CM268*((1+'Instrumentos Financeiros'!$Q$43)^(1/12)-1)</f>
        <v>16412.782123000899</v>
      </c>
      <c r="CM269" s="1312">
        <f t="shared" si="156"/>
        <v>3781640.45796437</v>
      </c>
      <c r="CN269" s="1312">
        <f>IF(AND(C269&gt;$F$86,'Instrumentos Financeiros'!C269&lt;'Instrumentos Financeiros'!$F$86+'Instrumentos Financeiros'!$F$13+1),PMT(((1+'Instrumentos Financeiros'!$Q$43)^(1/12)-1),$F$13,-$I$86),0)</f>
        <v>0</v>
      </c>
      <c r="CO269" s="1312">
        <f t="shared" si="157"/>
        <v>0</v>
      </c>
      <c r="CP269" s="1312">
        <f>CQ268*((1+'Instrumentos Financeiros'!$Q$43)^(1/12)-1)</f>
        <v>0</v>
      </c>
      <c r="CQ269" s="1312">
        <f t="shared" si="158"/>
        <v>0</v>
      </c>
      <c r="CR269" s="1312">
        <f t="shared" si="127"/>
        <v>491299.7205318702</v>
      </c>
      <c r="CS269" s="1312">
        <f t="shared" si="127"/>
        <v>317284.5886960011</v>
      </c>
      <c r="CT269" s="1312">
        <f t="shared" si="127"/>
        <v>174015.13183586911</v>
      </c>
      <c r="CU269" s="1312">
        <f t="shared" si="127"/>
        <v>40242920.618170366</v>
      </c>
    </row>
    <row r="270" spans="3:99" x14ac:dyDescent="0.35">
      <c r="C270" s="1315">
        <f t="shared" si="128"/>
        <v>177</v>
      </c>
      <c r="D270" s="1312">
        <f>IF(AND(C270&gt;$F$59,'Instrumentos Financeiros'!C270&lt;'Instrumentos Financeiros'!$F$59+'Instrumentos Financeiros'!$F$11+1),PMT(((1+'Instrumentos Financeiros'!$G$43)^(1/12)-1),$F$11,-$I$59),0)</f>
        <v>91768.589635900134</v>
      </c>
      <c r="E270" s="1312">
        <f t="shared" si="125"/>
        <v>69001.317216726296</v>
      </c>
      <c r="F270" s="1312">
        <f>G269*((1+'Instrumentos Financeiros'!$G$43)^(1/12)-1)</f>
        <v>22767.272419173838</v>
      </c>
      <c r="G270" s="1312">
        <f t="shared" si="159"/>
        <v>5508750.9548514904</v>
      </c>
      <c r="H270" s="1312">
        <f>IF(AND(C270&gt;$F$60,'Instrumentos Financeiros'!C270&lt;'Instrumentos Financeiros'!$F$60+'Instrumentos Financeiros'!$F$11+1),PMT(((1+'Instrumentos Financeiros'!$G$43)^(1/12)-1),$F$11,-$I$60),0)</f>
        <v>0</v>
      </c>
      <c r="I270" s="1312">
        <f t="shared" si="160"/>
        <v>0</v>
      </c>
      <c r="J270" s="1312">
        <f>K269*((1+'Instrumentos Financeiros'!$G$43)^(1/12)-1)</f>
        <v>0</v>
      </c>
      <c r="K270" s="1312">
        <f t="shared" si="129"/>
        <v>0</v>
      </c>
      <c r="L270" s="1312">
        <f>IF(AND(C270&gt;$F$61,'Instrumentos Financeiros'!C270&lt;'Instrumentos Financeiros'!$F$61+'Instrumentos Financeiros'!$F$11+1),PMT(((1+'Instrumentos Financeiros'!$G$43)^(1/12)-1),$F$11,-$I$61),0)</f>
        <v>0</v>
      </c>
      <c r="M270" s="1312">
        <f t="shared" si="161"/>
        <v>0</v>
      </c>
      <c r="N270" s="1312">
        <f>O269*((1+'Instrumentos Financeiros'!$G$43)^(1/12)-1)</f>
        <v>0</v>
      </c>
      <c r="O270" s="1312">
        <f t="shared" si="130"/>
        <v>0</v>
      </c>
      <c r="P270" s="1312">
        <f>IF(AND(C270&gt;$F$62,'Instrumentos Financeiros'!C270&lt;'Instrumentos Financeiros'!$F$62+'Instrumentos Financeiros'!$F$11+1),PMT(((1+'Instrumentos Financeiros'!$H$43)^(1/12)-1),$F$11,-$I$62),0)</f>
        <v>0</v>
      </c>
      <c r="Q270" s="1312">
        <f t="shared" si="162"/>
        <v>0</v>
      </c>
      <c r="R270" s="1312">
        <f>S269*((1+'Instrumentos Financeiros'!$H$43)^(1/12)-1)</f>
        <v>0</v>
      </c>
      <c r="S270" s="1312">
        <f t="shared" si="131"/>
        <v>0</v>
      </c>
      <c r="T270" s="1312">
        <f>IF(AND(C270&gt;$F$63,'Instrumentos Financeiros'!C270&lt;'Instrumentos Financeiros'!$F$63+'Instrumentos Financeiros'!$F$11+1),PMT(((1+'Instrumentos Financeiros'!$H$43)^(1/12)-1),$F$11,-$I$63),0)</f>
        <v>0</v>
      </c>
      <c r="U270" s="1312">
        <f t="shared" si="163"/>
        <v>0</v>
      </c>
      <c r="V270" s="1312">
        <f>W269*((1+'Instrumentos Financeiros'!$H$43)^(1/12)-1)</f>
        <v>0</v>
      </c>
      <c r="W270" s="1312">
        <f t="shared" si="132"/>
        <v>0</v>
      </c>
      <c r="X270" s="1312">
        <f>IF(AND(C270&gt;$F$64,'Instrumentos Financeiros'!C270&lt;'Instrumentos Financeiros'!$F$64+'Instrumentos Financeiros'!$F$11+1),PMT(((1+'Instrumentos Financeiros'!$H$43)^(1/12)-1),$F$11,-$I$64),0)</f>
        <v>0</v>
      </c>
      <c r="Y270" s="1312">
        <f t="shared" si="164"/>
        <v>0</v>
      </c>
      <c r="Z270" s="1312">
        <f>AA269*((1+'Instrumentos Financeiros'!$H$43)^(1/12)-1)</f>
        <v>0</v>
      </c>
      <c r="AA270" s="1312">
        <f t="shared" si="133"/>
        <v>0</v>
      </c>
      <c r="AB270" s="1312">
        <f>IF(AND(C270&gt;$F$65,'Instrumentos Financeiros'!C270&lt;'Instrumentos Financeiros'!$F$65+'Instrumentos Financeiros'!$F$11+1),PMT(((1+'Instrumentos Financeiros'!$H$43)^(1/12)-1),$F$11,-$I$65),0)</f>
        <v>76636.661022032335</v>
      </c>
      <c r="AC270" s="1312">
        <f t="shared" si="165"/>
        <v>52424.965698926855</v>
      </c>
      <c r="AD270" s="1312">
        <f>AE269*((1+'Instrumentos Financeiros'!$H$43)^(1/12)-1)</f>
        <v>24211.695323105479</v>
      </c>
      <c r="AE270" s="1312">
        <f t="shared" si="134"/>
        <v>5546935.5454135854</v>
      </c>
      <c r="AF270" s="1312">
        <f>IF(AND(C270&gt;$F$66,'Instrumentos Financeiros'!C270&lt;'Instrumentos Financeiros'!$F$66+'Instrumentos Financeiros'!$F$11+1),PMT(((1+'Instrumentos Financeiros'!$I$43)^(1/12)-1),$F$11,-$I$66),0)</f>
        <v>76636.661022032335</v>
      </c>
      <c r="AG270" s="1312">
        <f t="shared" si="166"/>
        <v>51750.746394229602</v>
      </c>
      <c r="AH270" s="1312">
        <f>AI269*((1+'Instrumentos Financeiros'!$I$43)^(1/12)-1)</f>
        <v>24885.914627802729</v>
      </c>
      <c r="AI270" s="1312">
        <f t="shared" si="135"/>
        <v>5703534.2838472174</v>
      </c>
      <c r="AJ270" s="1312">
        <f>IF(AND(C270&gt;$F$67,'Instrumentos Financeiros'!C270&lt;'Instrumentos Financeiros'!$F$67+'Instrumentos Financeiros'!$F$11+1),PMT(((1+'Instrumentos Financeiros'!$I$43)^(1/12)-1),$F$11,-$I$67),0)</f>
        <v>76636.661022032335</v>
      </c>
      <c r="AK270" s="1312">
        <f t="shared" si="167"/>
        <v>51085.197990214241</v>
      </c>
      <c r="AL270" s="1312">
        <f>AM269*((1+'Instrumentos Financeiros'!$I$43)^(1/12)-1)</f>
        <v>25551.463031818093</v>
      </c>
      <c r="AM270" s="1312">
        <f t="shared" si="136"/>
        <v>5858119.0602088561</v>
      </c>
      <c r="AN270" s="1312">
        <f>IF(AND(C270&gt;$F$68,'Instrumentos Financeiros'!C270&lt;'Instrumentos Financeiros'!$F$68+'Instrumentos Financeiros'!$F$11+1),PMT(((1+'Instrumentos Financeiros'!$I$43)^(1/12)-1),$F$11,-$I$68),0)</f>
        <v>76636.661022032335</v>
      </c>
      <c r="AO270" s="1312">
        <f t="shared" si="168"/>
        <v>50428.208973433851</v>
      </c>
      <c r="AP270" s="1312">
        <f>AQ269*((1+'Instrumentos Financeiros'!$I$43)^(1/12)-1)</f>
        <v>26208.452048598479</v>
      </c>
      <c r="AQ270" s="1312">
        <f t="shared" si="137"/>
        <v>6010715.775366337</v>
      </c>
      <c r="AR270" s="1312">
        <f>IF(AND(C270&gt;$F$69,'Instrumentos Financeiros'!C270&lt;'Instrumentos Financeiros'!$F$69+'Instrumentos Financeiros'!$F$11+1),PMT(((1+'Instrumentos Financeiros'!$I$43)^(1/12)-1),$F$11,-$I$69),0)</f>
        <v>0</v>
      </c>
      <c r="AS270" s="1312">
        <f t="shared" si="169"/>
        <v>0</v>
      </c>
      <c r="AT270" s="1312">
        <f>AU269*((1+'Instrumentos Financeiros'!$I$43)^(1/12)-1)</f>
        <v>0</v>
      </c>
      <c r="AU270" s="1312">
        <f t="shared" si="138"/>
        <v>0</v>
      </c>
      <c r="AV270" s="1312">
        <f>IF(AND(C270&gt;$F$70,'Instrumentos Financeiros'!C270&lt;'Instrumentos Financeiros'!$F$70+'Instrumentos Financeiros'!$F$11+1),PMT(((1+'Instrumentos Financeiros'!$J$43)^(1/12)-1),$F$11,-$I$70),0)</f>
        <v>0</v>
      </c>
      <c r="AW270" s="1312">
        <f t="shared" si="170"/>
        <v>0</v>
      </c>
      <c r="AX270" s="1312">
        <f>AY269*((1+'Instrumentos Financeiros'!$J$43)^(1/12)-1)</f>
        <v>0</v>
      </c>
      <c r="AY270" s="1312">
        <f t="shared" si="139"/>
        <v>0</v>
      </c>
      <c r="AZ270" s="1312">
        <f>IF(AND(C270&gt;$F$71,'Instrumentos Financeiros'!C270&lt;'Instrumentos Financeiros'!$F$71+'Instrumentos Financeiros'!$F$11+1),PMT(((1+'Instrumentos Financeiros'!$J$43)^(1/12)-1),$F$11,-$I$71),0)</f>
        <v>0</v>
      </c>
      <c r="BA270" s="1312">
        <f t="shared" si="171"/>
        <v>0</v>
      </c>
      <c r="BB270" s="1312">
        <f>BC269*((1+'Instrumentos Financeiros'!$J$43)^(1/12)-1)</f>
        <v>0</v>
      </c>
      <c r="BC270" s="1312">
        <f t="shared" si="140"/>
        <v>0</v>
      </c>
      <c r="BD270" s="1312">
        <f>IF(AND(C270&gt;$F$72,'Instrumentos Financeiros'!C270&lt;'Instrumentos Financeiros'!$F$72+'Instrumentos Financeiros'!$F$11+1),PMT(((1+'Instrumentos Financeiros'!$J$43)^(1/12)-1),$F$11,-'Instrumentos Financeiros'!$G$7*$G$72),0)</f>
        <v>0</v>
      </c>
      <c r="BE270" s="1312">
        <f t="shared" si="172"/>
        <v>0</v>
      </c>
      <c r="BF270" s="1312">
        <f>BG269*((1+'Instrumentos Financeiros'!$J$43)^(1/12)-1)</f>
        <v>0</v>
      </c>
      <c r="BG270" s="1312">
        <f t="shared" si="141"/>
        <v>0</v>
      </c>
      <c r="BH270" s="1312">
        <f>IF(AND(C270&gt;$F$73,'Instrumentos Financeiros'!C270&lt;'Instrumentos Financeiros'!$F$73+'Instrumentos Financeiros'!$F$11+1),PMT(((1+'Instrumentos Financeiros'!$J$43)^(1/12)-1),$F$11,-$I$73),0)</f>
        <v>0</v>
      </c>
      <c r="BI270" s="1312">
        <f t="shared" si="173"/>
        <v>0</v>
      </c>
      <c r="BJ270" s="1312">
        <f>BK269*((1+'Instrumentos Financeiros'!$J$43)^(1/12)-1)</f>
        <v>0</v>
      </c>
      <c r="BK270" s="1312">
        <f t="shared" si="142"/>
        <v>0</v>
      </c>
      <c r="BL270" s="1312">
        <f>IF(AND(C270&gt;$F$77,'Instrumentos Financeiros'!C270&lt;'Instrumentos Financeiros'!$F$77+'Instrumentos Financeiros'!$F$12+1),PMT(((1+'Instrumentos Financeiros'!$K$43)^(1/12)-1),$F$12,-$I$77),0)</f>
        <v>368.57912678094596</v>
      </c>
      <c r="BM270" s="1312">
        <f t="shared" si="143"/>
        <v>239.41214014670334</v>
      </c>
      <c r="BN270" s="1312">
        <f>BO269*((1+'Instrumentos Financeiros'!$K$43)^(1/12)-1)</f>
        <v>129.16698663424262</v>
      </c>
      <c r="BO270" s="1312">
        <f t="shared" si="144"/>
        <v>29632.619316030105</v>
      </c>
      <c r="BP270" s="1312">
        <f>IF(AND(C270&gt;$F$78,'Instrumentos Financeiros'!C270&lt;'Instrumentos Financeiros'!$F$78+'Instrumentos Financeiros'!$F$12+1),PMT(((1+'Instrumentos Financeiros'!$L$43)^(1/12)-1),$F$12,-$I$78),0)</f>
        <v>368.57912678094596</v>
      </c>
      <c r="BQ270" s="1312">
        <f t="shared" si="145"/>
        <v>236.33314363208865</v>
      </c>
      <c r="BR270" s="1312">
        <f>BS269*((1+'Instrumentos Financeiros'!$L$43)^(1/12)-1)</f>
        <v>132.24598314885731</v>
      </c>
      <c r="BS270" s="1312">
        <f t="shared" si="146"/>
        <v>30347.767883374556</v>
      </c>
      <c r="BT270" s="1312">
        <f>IF(AND(C270&gt;$F$79,'Instrumentos Financeiros'!C270&lt;'Instrumentos Financeiros'!$F$79+'Instrumentos Financeiros'!$F$12+1),PMT(((1+'Instrumentos Financeiros'!$L$43)^(1/12)-1),$F$12,-$I$79),0)</f>
        <v>368.57912678094596</v>
      </c>
      <c r="BU270" s="1312">
        <f t="shared" si="147"/>
        <v>233.29374502395942</v>
      </c>
      <c r="BV270" s="1312">
        <f>BW269*((1+'Instrumentos Financeiros'!$L$43)^(1/12)-1)</f>
        <v>135.28538175698654</v>
      </c>
      <c r="BW270" s="1312">
        <f t="shared" si="148"/>
        <v>31053.719172983067</v>
      </c>
      <c r="BX270" s="1312">
        <f>IF(AND(C270&gt;$F$80,'Instrumentos Financeiros'!C270&lt;'Instrumentos Financeiros'!$F$80+'Instrumentos Financeiros'!$F$12+1),PMT(((1+'Instrumentos Financeiros'!$L$43)^(1/12)-1),$F$12,-$I$80),0)</f>
        <v>368.57912678094596</v>
      </c>
      <c r="BY270" s="1312">
        <f t="shared" si="149"/>
        <v>230.29343506737149</v>
      </c>
      <c r="BZ270" s="1312">
        <f>CA269*((1+'Instrumentos Financeiros'!$L$43)^(1/12)-1)</f>
        <v>138.28569171357447</v>
      </c>
      <c r="CA270" s="1312">
        <f t="shared" si="150"/>
        <v>31750.591467855302</v>
      </c>
      <c r="CB270" s="1312">
        <f>IF(AND(C270&gt;$F$83,'Instrumentos Financeiros'!C270&lt;'Instrumentos Financeiros'!$F$83+'Instrumentos Financeiros'!$F$13+1),PMT(((1+'Instrumentos Financeiros'!$P$43)^(1/12)-1),$F$13,-$I$83),0)</f>
        <v>30503.390100238979</v>
      </c>
      <c r="CC270" s="1312">
        <f t="shared" si="151"/>
        <v>14522.676123260893</v>
      </c>
      <c r="CD270" s="1312">
        <f>CE269*((1+'Instrumentos Financeiros'!$P$43)^(1/12)-1)</f>
        <v>15980.713976978086</v>
      </c>
      <c r="CE270" s="1312">
        <f t="shared" si="152"/>
        <v>3681285.3863828564</v>
      </c>
      <c r="CF270" s="1312">
        <f>IF(AND(C270&gt;$F$84,'Instrumentos Financeiros'!C270&lt;'Instrumentos Financeiros'!$F$84+'Instrumentos Financeiros'!$F$13+1),PMT(((1+'Instrumentos Financeiros'!$Q$43)^(1/12)-1),$F$13,-$I$84),0)</f>
        <v>30503.390100238979</v>
      </c>
      <c r="CG270" s="1312">
        <f t="shared" si="153"/>
        <v>14335.905021599139</v>
      </c>
      <c r="CH270" s="1312">
        <f>CI269*((1+'Instrumentos Financeiros'!$Q$43)^(1/12)-1)</f>
        <v>16167.48507863984</v>
      </c>
      <c r="CI270" s="1312">
        <f t="shared" si="154"/>
        <v>3724666.1064131497</v>
      </c>
      <c r="CJ270" s="1312">
        <f>IF(AND(C270&gt;$F$85,'Instrumentos Financeiros'!C270&lt;'Instrumentos Financeiros'!$F$85+'Instrumentos Financeiros'!$F$13+1),PMT(((1+'Instrumentos Financeiros'!$Q$43)^(1/12)-1),$F$13,-$I$85),0)</f>
        <v>30503.390100238979</v>
      </c>
      <c r="CK270" s="1312">
        <f t="shared" si="155"/>
        <v>14151.535918310128</v>
      </c>
      <c r="CL270" s="1312">
        <f>CM269*((1+'Instrumentos Financeiros'!$Q$43)^(1/12)-1)</f>
        <v>16351.854181928851</v>
      </c>
      <c r="CM270" s="1312">
        <f t="shared" si="156"/>
        <v>3767488.9220460597</v>
      </c>
      <c r="CN270" s="1312">
        <f>IF(AND(C270&gt;$F$86,'Instrumentos Financeiros'!C270&lt;'Instrumentos Financeiros'!$F$86+'Instrumentos Financeiros'!$F$13+1),PMT(((1+'Instrumentos Financeiros'!$Q$43)^(1/12)-1),$F$13,-$I$86),0)</f>
        <v>0</v>
      </c>
      <c r="CO270" s="1312">
        <f t="shared" si="157"/>
        <v>0</v>
      </c>
      <c r="CP270" s="1312">
        <f>CQ269*((1+'Instrumentos Financeiros'!$Q$43)^(1/12)-1)</f>
        <v>0</v>
      </c>
      <c r="CQ270" s="1312">
        <f t="shared" si="158"/>
        <v>3809761.0082965801</v>
      </c>
      <c r="CR270" s="1312">
        <f t="shared" si="127"/>
        <v>491299.7205318702</v>
      </c>
      <c r="CS270" s="1312">
        <f t="shared" si="127"/>
        <v>318639.88580057106</v>
      </c>
      <c r="CT270" s="1312">
        <f t="shared" si="127"/>
        <v>172659.83473129908</v>
      </c>
      <c r="CU270" s="1312">
        <f t="shared" si="127"/>
        <v>43734041.740666375</v>
      </c>
    </row>
    <row r="271" spans="3:99" x14ac:dyDescent="0.35">
      <c r="C271" s="1315">
        <f t="shared" si="128"/>
        <v>178</v>
      </c>
      <c r="D271" s="1312">
        <f>IF(AND(C271&gt;$F$59,'Instrumentos Financeiros'!C271&lt;'Instrumentos Financeiros'!$F$59+'Instrumentos Financeiros'!$F$11+1),PMT(((1+'Instrumentos Financeiros'!$G$43)^(1/12)-1),$F$11,-$I$59),0)</f>
        <v>91768.589635900134</v>
      </c>
      <c r="E271" s="1312">
        <f t="shared" si="125"/>
        <v>69282.966832866834</v>
      </c>
      <c r="F271" s="1312">
        <f>G270*((1+'Instrumentos Financeiros'!$G$43)^(1/12)-1)</f>
        <v>22485.622803033297</v>
      </c>
      <c r="G271" s="1312">
        <f t="shared" si="159"/>
        <v>5439467.9880186236</v>
      </c>
      <c r="H271" s="1312">
        <f>IF(AND(C271&gt;$F$60,'Instrumentos Financeiros'!C271&lt;'Instrumentos Financeiros'!$F$60+'Instrumentos Financeiros'!$F$11+1),PMT(((1+'Instrumentos Financeiros'!$G$43)^(1/12)-1),$F$11,-$I$60),0)</f>
        <v>0</v>
      </c>
      <c r="I271" s="1312">
        <f t="shared" si="160"/>
        <v>0</v>
      </c>
      <c r="J271" s="1312">
        <f>K270*((1+'Instrumentos Financeiros'!$G$43)^(1/12)-1)</f>
        <v>0</v>
      </c>
      <c r="K271" s="1312">
        <f t="shared" si="129"/>
        <v>0</v>
      </c>
      <c r="L271" s="1312">
        <f>IF(AND(C271&gt;$F$61,'Instrumentos Financeiros'!C271&lt;'Instrumentos Financeiros'!$F$61+'Instrumentos Financeiros'!$F$11+1),PMT(((1+'Instrumentos Financeiros'!$G$43)^(1/12)-1),$F$11,-$I$61),0)</f>
        <v>0</v>
      </c>
      <c r="M271" s="1312">
        <f t="shared" si="161"/>
        <v>0</v>
      </c>
      <c r="N271" s="1312">
        <f>O270*((1+'Instrumentos Financeiros'!$G$43)^(1/12)-1)</f>
        <v>0</v>
      </c>
      <c r="O271" s="1312">
        <f t="shared" si="130"/>
        <v>0</v>
      </c>
      <c r="P271" s="1312">
        <f>IF(AND(C271&gt;$F$62,'Instrumentos Financeiros'!C271&lt;'Instrumentos Financeiros'!$F$62+'Instrumentos Financeiros'!$F$11+1),PMT(((1+'Instrumentos Financeiros'!$H$43)^(1/12)-1),$F$11,-$I$62),0)</f>
        <v>0</v>
      </c>
      <c r="Q271" s="1312">
        <f t="shared" si="162"/>
        <v>0</v>
      </c>
      <c r="R271" s="1312">
        <f>S270*((1+'Instrumentos Financeiros'!$H$43)^(1/12)-1)</f>
        <v>0</v>
      </c>
      <c r="S271" s="1312">
        <f t="shared" si="131"/>
        <v>0</v>
      </c>
      <c r="T271" s="1312">
        <f>IF(AND(C271&gt;$F$63,'Instrumentos Financeiros'!C271&lt;'Instrumentos Financeiros'!$F$63+'Instrumentos Financeiros'!$F$11+1),PMT(((1+'Instrumentos Financeiros'!$H$43)^(1/12)-1),$F$11,-$I$63),0)</f>
        <v>0</v>
      </c>
      <c r="U271" s="1312">
        <f t="shared" si="163"/>
        <v>0</v>
      </c>
      <c r="V271" s="1312">
        <f>W270*((1+'Instrumentos Financeiros'!$H$43)^(1/12)-1)</f>
        <v>0</v>
      </c>
      <c r="W271" s="1312">
        <f t="shared" si="132"/>
        <v>0</v>
      </c>
      <c r="X271" s="1312">
        <f>IF(AND(C271&gt;$F$64,'Instrumentos Financeiros'!C271&lt;'Instrumentos Financeiros'!$F$64+'Instrumentos Financeiros'!$F$11+1),PMT(((1+'Instrumentos Financeiros'!$H$43)^(1/12)-1),$F$11,-$I$64),0)</f>
        <v>0</v>
      </c>
      <c r="Y271" s="1312">
        <f t="shared" si="164"/>
        <v>0</v>
      </c>
      <c r="Z271" s="1312">
        <f>AA270*((1+'Instrumentos Financeiros'!$H$43)^(1/12)-1)</f>
        <v>0</v>
      </c>
      <c r="AA271" s="1312">
        <f t="shared" si="133"/>
        <v>0</v>
      </c>
      <c r="AB271" s="1312">
        <f>IF(AND(C271&gt;$F$65,'Instrumentos Financeiros'!C271&lt;'Instrumentos Financeiros'!$F$65+'Instrumentos Financeiros'!$F$11+1),PMT(((1+'Instrumentos Financeiros'!$H$43)^(1/12)-1),$F$11,-$I$65),0)</f>
        <v>76636.661022032335</v>
      </c>
      <c r="AC271" s="1312">
        <f t="shared" si="165"/>
        <v>52651.651816798287</v>
      </c>
      <c r="AD271" s="1312">
        <f>AE270*((1+'Instrumentos Financeiros'!$H$43)^(1/12)-1)</f>
        <v>23985.009205234051</v>
      </c>
      <c r="AE271" s="1312">
        <f t="shared" si="134"/>
        <v>5494283.893596787</v>
      </c>
      <c r="AF271" s="1312">
        <f>IF(AND(C271&gt;$F$66,'Instrumentos Financeiros'!C271&lt;'Instrumentos Financeiros'!$F$66+'Instrumentos Financeiros'!$F$11+1),PMT(((1+'Instrumentos Financeiros'!$I$43)^(1/12)-1),$F$11,-$I$66),0)</f>
        <v>76636.661022032335</v>
      </c>
      <c r="AG271" s="1312">
        <f t="shared" si="166"/>
        <v>51974.517180545961</v>
      </c>
      <c r="AH271" s="1312">
        <f>AI270*((1+'Instrumentos Financeiros'!$I$43)^(1/12)-1)</f>
        <v>24662.143841486373</v>
      </c>
      <c r="AI271" s="1312">
        <f t="shared" si="135"/>
        <v>5651559.7666666713</v>
      </c>
      <c r="AJ271" s="1312">
        <f>IF(AND(C271&gt;$F$67,'Instrumentos Financeiros'!C271&lt;'Instrumentos Financeiros'!$F$67+'Instrumentos Financeiros'!$F$11+1),PMT(((1+'Instrumentos Financeiros'!$I$43)^(1/12)-1),$F$11,-$I$67),0)</f>
        <v>76636.661022032335</v>
      </c>
      <c r="AK271" s="1312">
        <f t="shared" si="167"/>
        <v>51306.090938043715</v>
      </c>
      <c r="AL271" s="1312">
        <f>AM270*((1+'Instrumentos Financeiros'!$I$43)^(1/12)-1)</f>
        <v>25330.570083988619</v>
      </c>
      <c r="AM271" s="1312">
        <f t="shared" si="136"/>
        <v>5806812.9692708123</v>
      </c>
      <c r="AN271" s="1312">
        <f>IF(AND(C271&gt;$F$68,'Instrumentos Financeiros'!C271&lt;'Instrumentos Financeiros'!$F$68+'Instrumentos Financeiros'!$F$11+1),PMT(((1+'Instrumentos Financeiros'!$I$43)^(1/12)-1),$F$11,-$I$68),0)</f>
        <v>76636.661022032335</v>
      </c>
      <c r="AO271" s="1312">
        <f t="shared" si="168"/>
        <v>50646.261093659297</v>
      </c>
      <c r="AP271" s="1312">
        <f>AQ270*((1+'Instrumentos Financeiros'!$I$43)^(1/12)-1)</f>
        <v>25990.399928373041</v>
      </c>
      <c r="AQ271" s="1312">
        <f t="shared" si="137"/>
        <v>5960069.5142726777</v>
      </c>
      <c r="AR271" s="1312">
        <f>IF(AND(C271&gt;$F$69,'Instrumentos Financeiros'!C271&lt;'Instrumentos Financeiros'!$F$69+'Instrumentos Financeiros'!$F$11+1),PMT(((1+'Instrumentos Financeiros'!$I$43)^(1/12)-1),$F$11,-$I$69),0)</f>
        <v>0</v>
      </c>
      <c r="AS271" s="1312">
        <f t="shared" si="169"/>
        <v>0</v>
      </c>
      <c r="AT271" s="1312">
        <f>AU270*((1+'Instrumentos Financeiros'!$I$43)^(1/12)-1)</f>
        <v>0</v>
      </c>
      <c r="AU271" s="1312">
        <f t="shared" si="138"/>
        <v>0</v>
      </c>
      <c r="AV271" s="1312">
        <f>IF(AND(C271&gt;$F$70,'Instrumentos Financeiros'!C271&lt;'Instrumentos Financeiros'!$F$70+'Instrumentos Financeiros'!$F$11+1),PMT(((1+'Instrumentos Financeiros'!$J$43)^(1/12)-1),$F$11,-$I$70),0)</f>
        <v>0</v>
      </c>
      <c r="AW271" s="1312">
        <f t="shared" si="170"/>
        <v>0</v>
      </c>
      <c r="AX271" s="1312">
        <f>AY270*((1+'Instrumentos Financeiros'!$J$43)^(1/12)-1)</f>
        <v>0</v>
      </c>
      <c r="AY271" s="1312">
        <f t="shared" si="139"/>
        <v>0</v>
      </c>
      <c r="AZ271" s="1312">
        <f>IF(AND(C271&gt;$F$71,'Instrumentos Financeiros'!C271&lt;'Instrumentos Financeiros'!$F$71+'Instrumentos Financeiros'!$F$11+1),PMT(((1+'Instrumentos Financeiros'!$J$43)^(1/12)-1),$F$11,-$I$71),0)</f>
        <v>0</v>
      </c>
      <c r="BA271" s="1312">
        <f t="shared" si="171"/>
        <v>0</v>
      </c>
      <c r="BB271" s="1312">
        <f>BC270*((1+'Instrumentos Financeiros'!$J$43)^(1/12)-1)</f>
        <v>0</v>
      </c>
      <c r="BC271" s="1312">
        <f t="shared" si="140"/>
        <v>0</v>
      </c>
      <c r="BD271" s="1312">
        <f>IF(AND(C271&gt;$F$72,'Instrumentos Financeiros'!C271&lt;'Instrumentos Financeiros'!$F$72+'Instrumentos Financeiros'!$F$11+1),PMT(((1+'Instrumentos Financeiros'!$J$43)^(1/12)-1),$F$11,-'Instrumentos Financeiros'!$G$7*$G$72),0)</f>
        <v>0</v>
      </c>
      <c r="BE271" s="1312">
        <f t="shared" si="172"/>
        <v>0</v>
      </c>
      <c r="BF271" s="1312">
        <f>BG270*((1+'Instrumentos Financeiros'!$J$43)^(1/12)-1)</f>
        <v>0</v>
      </c>
      <c r="BG271" s="1312">
        <f t="shared" si="141"/>
        <v>0</v>
      </c>
      <c r="BH271" s="1312">
        <f>IF(AND(C271&gt;$F$73,'Instrumentos Financeiros'!C271&lt;'Instrumentos Financeiros'!$F$73+'Instrumentos Financeiros'!$F$11+1),PMT(((1+'Instrumentos Financeiros'!$J$43)^(1/12)-1),$F$11,-$I$73),0)</f>
        <v>0</v>
      </c>
      <c r="BI271" s="1312">
        <f t="shared" si="173"/>
        <v>0</v>
      </c>
      <c r="BJ271" s="1312">
        <f>BK270*((1+'Instrumentos Financeiros'!$J$43)^(1/12)-1)</f>
        <v>0</v>
      </c>
      <c r="BK271" s="1312">
        <f t="shared" si="142"/>
        <v>0</v>
      </c>
      <c r="BL271" s="1312">
        <f>IF(AND(C271&gt;$F$77,'Instrumentos Financeiros'!C271&lt;'Instrumentos Financeiros'!$F$77+'Instrumentos Financeiros'!$F$12+1),PMT(((1+'Instrumentos Financeiros'!$K$43)^(1/12)-1),$F$12,-$I$77),0)</f>
        <v>368.57912678094596</v>
      </c>
      <c r="BM271" s="1312">
        <f t="shared" si="143"/>
        <v>240.44736082634714</v>
      </c>
      <c r="BN271" s="1312">
        <f>BO270*((1+'Instrumentos Financeiros'!$K$43)^(1/12)-1)</f>
        <v>128.13176595459882</v>
      </c>
      <c r="BO271" s="1312">
        <f t="shared" si="144"/>
        <v>29392.171955203758</v>
      </c>
      <c r="BP271" s="1312">
        <f>IF(AND(C271&gt;$F$78,'Instrumentos Financeiros'!C271&lt;'Instrumentos Financeiros'!$F$78+'Instrumentos Financeiros'!$F$12+1),PMT(((1+'Instrumentos Financeiros'!$L$43)^(1/12)-1),$F$12,-$I$78),0)</f>
        <v>368.57912678094596</v>
      </c>
      <c r="BQ271" s="1312">
        <f t="shared" si="145"/>
        <v>237.35505069755013</v>
      </c>
      <c r="BR271" s="1312">
        <f>BS270*((1+'Instrumentos Financeiros'!$L$43)^(1/12)-1)</f>
        <v>131.22407608339583</v>
      </c>
      <c r="BS271" s="1312">
        <f t="shared" si="146"/>
        <v>30110.412832677004</v>
      </c>
      <c r="BT271" s="1312">
        <f>IF(AND(C271&gt;$F$79,'Instrumentos Financeiros'!C271&lt;'Instrumentos Financeiros'!$F$79+'Instrumentos Financeiros'!$F$12+1),PMT(((1+'Instrumentos Financeiros'!$L$43)^(1/12)-1),$F$12,-$I$79),0)</f>
        <v>368.57912678094596</v>
      </c>
      <c r="BU271" s="1312">
        <f t="shared" si="147"/>
        <v>234.30250969701387</v>
      </c>
      <c r="BV271" s="1312">
        <f>BW270*((1+'Instrumentos Financeiros'!$L$43)^(1/12)-1)</f>
        <v>134.27661708393208</v>
      </c>
      <c r="BW271" s="1312">
        <f t="shared" si="148"/>
        <v>30819.416663286054</v>
      </c>
      <c r="BX271" s="1312">
        <f>IF(AND(C271&gt;$F$80,'Instrumentos Financeiros'!C271&lt;'Instrumentos Financeiros'!$F$80+'Instrumentos Financeiros'!$F$12+1),PMT(((1+'Instrumentos Financeiros'!$L$43)^(1/12)-1),$F$12,-$I$80),0)</f>
        <v>368.57912678094596</v>
      </c>
      <c r="BY271" s="1312">
        <f t="shared" si="149"/>
        <v>231.28922636777034</v>
      </c>
      <c r="BZ271" s="1312">
        <f>CA270*((1+'Instrumentos Financeiros'!$L$43)^(1/12)-1)</f>
        <v>137.28990041317562</v>
      </c>
      <c r="CA271" s="1312">
        <f t="shared" si="150"/>
        <v>31519.30224148753</v>
      </c>
      <c r="CB271" s="1312">
        <f>IF(AND(C271&gt;$F$83,'Instrumentos Financeiros'!C271&lt;'Instrumentos Financeiros'!$F$83+'Instrumentos Financeiros'!$F$13+1),PMT(((1+'Instrumentos Financeiros'!$P$43)^(1/12)-1),$F$13,-$I$83),0)</f>
        <v>30503.390100238979</v>
      </c>
      <c r="CC271" s="1312">
        <f t="shared" si="151"/>
        <v>14585.472331662675</v>
      </c>
      <c r="CD271" s="1312">
        <f>CE270*((1+'Instrumentos Financeiros'!$P$43)^(1/12)-1)</f>
        <v>15917.917768576304</v>
      </c>
      <c r="CE271" s="1312">
        <f t="shared" si="152"/>
        <v>3666699.9140511937</v>
      </c>
      <c r="CF271" s="1312">
        <f>IF(AND(C271&gt;$F$84,'Instrumentos Financeiros'!C271&lt;'Instrumentos Financeiros'!$F$84+'Instrumentos Financeiros'!$F$13+1),PMT(((1+'Instrumentos Financeiros'!$Q$43)^(1/12)-1),$F$13,-$I$84),0)</f>
        <v>30503.390100238979</v>
      </c>
      <c r="CG271" s="1312">
        <f t="shared" si="153"/>
        <v>14397.893629740209</v>
      </c>
      <c r="CH271" s="1312">
        <f>CI270*((1+'Instrumentos Financeiros'!$Q$43)^(1/12)-1)</f>
        <v>16105.496470498771</v>
      </c>
      <c r="CI271" s="1312">
        <f t="shared" si="154"/>
        <v>3710268.2127834097</v>
      </c>
      <c r="CJ271" s="1312">
        <f>IF(AND(C271&gt;$F$85,'Instrumentos Financeiros'!C271&lt;'Instrumentos Financeiros'!$F$85+'Instrumentos Financeiros'!$F$13+1),PMT(((1+'Instrumentos Financeiros'!$Q$43)^(1/12)-1),$F$13,-$I$85),0)</f>
        <v>30503.390100238979</v>
      </c>
      <c r="CK271" s="1312">
        <f t="shared" si="155"/>
        <v>14212.727312457393</v>
      </c>
      <c r="CL271" s="1312">
        <f>CM270*((1+'Instrumentos Financeiros'!$Q$43)^(1/12)-1)</f>
        <v>16290.662787781586</v>
      </c>
      <c r="CM271" s="1312">
        <f t="shared" si="156"/>
        <v>3753276.1947336025</v>
      </c>
      <c r="CN271" s="1312">
        <f>IF(AND(C271&gt;$F$86,'Instrumentos Financeiros'!C271&lt;'Instrumentos Financeiros'!$F$86+'Instrumentos Financeiros'!$F$13+1),PMT(((1+'Instrumentos Financeiros'!$Q$43)^(1/12)-1),$F$13,-$I$86),0)</f>
        <v>30503.390100238979</v>
      </c>
      <c r="CO271" s="1312">
        <f t="shared" si="157"/>
        <v>14029.942354971903</v>
      </c>
      <c r="CP271" s="1312">
        <f>CQ270*((1+'Instrumentos Financeiros'!$Q$43)^(1/12)-1)</f>
        <v>16473.447745267076</v>
      </c>
      <c r="CQ271" s="1312">
        <f t="shared" si="158"/>
        <v>3795731.065941608</v>
      </c>
      <c r="CR271" s="1312">
        <f t="shared" si="127"/>
        <v>521803.11063210916</v>
      </c>
      <c r="CS271" s="1312">
        <f t="shared" si="127"/>
        <v>334030.91763833503</v>
      </c>
      <c r="CT271" s="1312">
        <f t="shared" si="127"/>
        <v>187772.19299377422</v>
      </c>
      <c r="CU271" s="1312">
        <f t="shared" si="127"/>
        <v>43400010.82302805</v>
      </c>
    </row>
    <row r="272" spans="3:99" x14ac:dyDescent="0.35">
      <c r="C272" s="1315">
        <f t="shared" si="128"/>
        <v>179</v>
      </c>
      <c r="D272" s="1312">
        <f>IF(AND(C272&gt;$F$59,'Instrumentos Financeiros'!C272&lt;'Instrumentos Financeiros'!$F$59+'Instrumentos Financeiros'!$F$11+1),PMT(((1+'Instrumentos Financeiros'!$G$43)^(1/12)-1),$F$11,-$I$59),0)</f>
        <v>91768.589635900134</v>
      </c>
      <c r="E272" s="1312">
        <f t="shared" si="125"/>
        <v>69565.766086571879</v>
      </c>
      <c r="F272" s="1312">
        <f>G271*((1+'Instrumentos Financeiros'!$G$43)^(1/12)-1)</f>
        <v>22202.823549328263</v>
      </c>
      <c r="G272" s="1312">
        <f t="shared" si="159"/>
        <v>5369902.2219320517</v>
      </c>
      <c r="H272" s="1312">
        <f>IF(AND(C272&gt;$F$60,'Instrumentos Financeiros'!C272&lt;'Instrumentos Financeiros'!$F$60+'Instrumentos Financeiros'!$F$11+1),PMT(((1+'Instrumentos Financeiros'!$G$43)^(1/12)-1),$F$11,-$I$60),0)</f>
        <v>0</v>
      </c>
      <c r="I272" s="1312">
        <f t="shared" si="160"/>
        <v>0</v>
      </c>
      <c r="J272" s="1312">
        <f>K271*((1+'Instrumentos Financeiros'!$G$43)^(1/12)-1)</f>
        <v>0</v>
      </c>
      <c r="K272" s="1312">
        <f t="shared" si="129"/>
        <v>0</v>
      </c>
      <c r="L272" s="1312">
        <f>IF(AND(C272&gt;$F$61,'Instrumentos Financeiros'!C272&lt;'Instrumentos Financeiros'!$F$61+'Instrumentos Financeiros'!$F$11+1),PMT(((1+'Instrumentos Financeiros'!$G$43)^(1/12)-1),$F$11,-$I$61),0)</f>
        <v>0</v>
      </c>
      <c r="M272" s="1312">
        <f t="shared" si="161"/>
        <v>0</v>
      </c>
      <c r="N272" s="1312">
        <f>O271*((1+'Instrumentos Financeiros'!$G$43)^(1/12)-1)</f>
        <v>0</v>
      </c>
      <c r="O272" s="1312">
        <f t="shared" si="130"/>
        <v>0</v>
      </c>
      <c r="P272" s="1312">
        <f>IF(AND(C272&gt;$F$62,'Instrumentos Financeiros'!C272&lt;'Instrumentos Financeiros'!$F$62+'Instrumentos Financeiros'!$F$11+1),PMT(((1+'Instrumentos Financeiros'!$H$43)^(1/12)-1),$F$11,-$I$62),0)</f>
        <v>0</v>
      </c>
      <c r="Q272" s="1312">
        <f t="shared" si="162"/>
        <v>0</v>
      </c>
      <c r="R272" s="1312">
        <f>S271*((1+'Instrumentos Financeiros'!$H$43)^(1/12)-1)</f>
        <v>0</v>
      </c>
      <c r="S272" s="1312">
        <f t="shared" si="131"/>
        <v>0</v>
      </c>
      <c r="T272" s="1312">
        <f>IF(AND(C272&gt;$F$63,'Instrumentos Financeiros'!C272&lt;'Instrumentos Financeiros'!$F$63+'Instrumentos Financeiros'!$F$11+1),PMT(((1+'Instrumentos Financeiros'!$H$43)^(1/12)-1),$F$11,-$I$63),0)</f>
        <v>0</v>
      </c>
      <c r="U272" s="1312">
        <f t="shared" si="163"/>
        <v>0</v>
      </c>
      <c r="V272" s="1312">
        <f>W271*((1+'Instrumentos Financeiros'!$H$43)^(1/12)-1)</f>
        <v>0</v>
      </c>
      <c r="W272" s="1312">
        <f t="shared" si="132"/>
        <v>0</v>
      </c>
      <c r="X272" s="1312">
        <f>IF(AND(C272&gt;$F$64,'Instrumentos Financeiros'!C272&lt;'Instrumentos Financeiros'!$F$64+'Instrumentos Financeiros'!$F$11+1),PMT(((1+'Instrumentos Financeiros'!$H$43)^(1/12)-1),$F$11,-$I$64),0)</f>
        <v>0</v>
      </c>
      <c r="Y272" s="1312">
        <f t="shared" si="164"/>
        <v>0</v>
      </c>
      <c r="Z272" s="1312">
        <f>AA271*((1+'Instrumentos Financeiros'!$H$43)^(1/12)-1)</f>
        <v>0</v>
      </c>
      <c r="AA272" s="1312">
        <f t="shared" si="133"/>
        <v>0</v>
      </c>
      <c r="AB272" s="1312">
        <f>IF(AND(C272&gt;$F$65,'Instrumentos Financeiros'!C272&lt;'Instrumentos Financeiros'!$F$65+'Instrumentos Financeiros'!$F$11+1),PMT(((1+'Instrumentos Financeiros'!$H$43)^(1/12)-1),$F$11,-$I$65),0)</f>
        <v>76636.661022032335</v>
      </c>
      <c r="AC272" s="1312">
        <f t="shared" si="165"/>
        <v>52879.318127891602</v>
      </c>
      <c r="AD272" s="1312">
        <f>AE271*((1+'Instrumentos Financeiros'!$H$43)^(1/12)-1)</f>
        <v>23757.342894140736</v>
      </c>
      <c r="AE272" s="1312">
        <f t="shared" si="134"/>
        <v>5441404.575468895</v>
      </c>
      <c r="AF272" s="1312">
        <f>IF(AND(C272&gt;$F$66,'Instrumentos Financeiros'!C272&lt;'Instrumentos Financeiros'!$F$66+'Instrumentos Financeiros'!$F$11+1),PMT(((1+'Instrumentos Financeiros'!$I$43)^(1/12)-1),$F$11,-$I$66),0)</f>
        <v>76636.661022032335</v>
      </c>
      <c r="AG272" s="1312">
        <f t="shared" si="166"/>
        <v>52199.25555415907</v>
      </c>
      <c r="AH272" s="1312">
        <f>AI271*((1+'Instrumentos Financeiros'!$I$43)^(1/12)-1)</f>
        <v>24437.405467873265</v>
      </c>
      <c r="AI272" s="1312">
        <f t="shared" si="135"/>
        <v>5599360.5111125121</v>
      </c>
      <c r="AJ272" s="1312">
        <f>IF(AND(C272&gt;$F$67,'Instrumentos Financeiros'!C272&lt;'Instrumentos Financeiros'!$F$67+'Instrumentos Financeiros'!$F$11+1),PMT(((1+'Instrumentos Financeiros'!$I$43)^(1/12)-1),$F$11,-$I$67),0)</f>
        <v>76636.661022032335</v>
      </c>
      <c r="AK272" s="1312">
        <f t="shared" si="167"/>
        <v>51527.93902936524</v>
      </c>
      <c r="AL272" s="1312">
        <f>AM271*((1+'Instrumentos Financeiros'!$I$43)^(1/12)-1)</f>
        <v>25108.721992667091</v>
      </c>
      <c r="AM272" s="1312">
        <f t="shared" si="136"/>
        <v>5755285.0302414475</v>
      </c>
      <c r="AN272" s="1312">
        <f>IF(AND(C272&gt;$F$68,'Instrumentos Financeiros'!C272&lt;'Instrumentos Financeiros'!$F$68+'Instrumentos Financeiros'!$F$11+1),PMT(((1+'Instrumentos Financeiros'!$I$43)^(1/12)-1),$F$11,-$I$68),0)</f>
        <v>76636.661022032335</v>
      </c>
      <c r="AO272" s="1312">
        <f t="shared" si="168"/>
        <v>50865.256073607547</v>
      </c>
      <c r="AP272" s="1312">
        <f>AQ271*((1+'Instrumentos Financeiros'!$I$43)^(1/12)-1)</f>
        <v>25771.404948424788</v>
      </c>
      <c r="AQ272" s="1312">
        <f t="shared" si="137"/>
        <v>5909204.2581990706</v>
      </c>
      <c r="AR272" s="1312">
        <f>IF(AND(C272&gt;$F$69,'Instrumentos Financeiros'!C272&lt;'Instrumentos Financeiros'!$F$69+'Instrumentos Financeiros'!$F$11+1),PMT(((1+'Instrumentos Financeiros'!$I$43)^(1/12)-1),$F$11,-$I$69),0)</f>
        <v>0</v>
      </c>
      <c r="AS272" s="1312">
        <f t="shared" si="169"/>
        <v>0</v>
      </c>
      <c r="AT272" s="1312">
        <f>AU271*((1+'Instrumentos Financeiros'!$I$43)^(1/12)-1)</f>
        <v>0</v>
      </c>
      <c r="AU272" s="1312">
        <f t="shared" si="138"/>
        <v>0</v>
      </c>
      <c r="AV272" s="1312">
        <f>IF(AND(C272&gt;$F$70,'Instrumentos Financeiros'!C272&lt;'Instrumentos Financeiros'!$F$70+'Instrumentos Financeiros'!$F$11+1),PMT(((1+'Instrumentos Financeiros'!$J$43)^(1/12)-1),$F$11,-$I$70),0)</f>
        <v>0</v>
      </c>
      <c r="AW272" s="1312">
        <f t="shared" si="170"/>
        <v>0</v>
      </c>
      <c r="AX272" s="1312">
        <f>AY271*((1+'Instrumentos Financeiros'!$J$43)^(1/12)-1)</f>
        <v>0</v>
      </c>
      <c r="AY272" s="1312">
        <f t="shared" si="139"/>
        <v>0</v>
      </c>
      <c r="AZ272" s="1312">
        <f>IF(AND(C272&gt;$F$71,'Instrumentos Financeiros'!C272&lt;'Instrumentos Financeiros'!$F$71+'Instrumentos Financeiros'!$F$11+1),PMT(((1+'Instrumentos Financeiros'!$J$43)^(1/12)-1),$F$11,-$I$71),0)</f>
        <v>0</v>
      </c>
      <c r="BA272" s="1312">
        <f t="shared" si="171"/>
        <v>0</v>
      </c>
      <c r="BB272" s="1312">
        <f>BC271*((1+'Instrumentos Financeiros'!$J$43)^(1/12)-1)</f>
        <v>0</v>
      </c>
      <c r="BC272" s="1312">
        <f t="shared" si="140"/>
        <v>0</v>
      </c>
      <c r="BD272" s="1312">
        <f>IF(AND(C272&gt;$F$72,'Instrumentos Financeiros'!C272&lt;'Instrumentos Financeiros'!$F$72+'Instrumentos Financeiros'!$F$11+1),PMT(((1+'Instrumentos Financeiros'!$J$43)^(1/12)-1),$F$11,-'Instrumentos Financeiros'!$G$7*$G$72),0)</f>
        <v>0</v>
      </c>
      <c r="BE272" s="1312">
        <f t="shared" si="172"/>
        <v>0</v>
      </c>
      <c r="BF272" s="1312">
        <f>BG271*((1+'Instrumentos Financeiros'!$J$43)^(1/12)-1)</f>
        <v>0</v>
      </c>
      <c r="BG272" s="1312">
        <f t="shared" si="141"/>
        <v>0</v>
      </c>
      <c r="BH272" s="1312">
        <f>IF(AND(C272&gt;$F$73,'Instrumentos Financeiros'!C272&lt;'Instrumentos Financeiros'!$F$73+'Instrumentos Financeiros'!$F$11+1),PMT(((1+'Instrumentos Financeiros'!$J$43)^(1/12)-1),$F$11,-$I$73),0)</f>
        <v>0</v>
      </c>
      <c r="BI272" s="1312">
        <f t="shared" si="173"/>
        <v>0</v>
      </c>
      <c r="BJ272" s="1312">
        <f>BK271*((1+'Instrumentos Financeiros'!$J$43)^(1/12)-1)</f>
        <v>0</v>
      </c>
      <c r="BK272" s="1312">
        <f t="shared" si="142"/>
        <v>0</v>
      </c>
      <c r="BL272" s="1312">
        <f>IF(AND(C272&gt;$F$77,'Instrumentos Financeiros'!C272&lt;'Instrumentos Financeiros'!$F$77+'Instrumentos Financeiros'!$F$12+1),PMT(((1+'Instrumentos Financeiros'!$K$43)^(1/12)-1),$F$12,-$I$77),0)</f>
        <v>368.57912678094596</v>
      </c>
      <c r="BM272" s="1312">
        <f t="shared" si="143"/>
        <v>241.48705781139012</v>
      </c>
      <c r="BN272" s="1312">
        <f>BO271*((1+'Instrumentos Financeiros'!$K$43)^(1/12)-1)</f>
        <v>127.09206896955584</v>
      </c>
      <c r="BO272" s="1312">
        <f t="shared" si="144"/>
        <v>29150.684897392366</v>
      </c>
      <c r="BP272" s="1312">
        <f>IF(AND(C272&gt;$F$78,'Instrumentos Financeiros'!C272&lt;'Instrumentos Financeiros'!$F$78+'Instrumentos Financeiros'!$F$12+1),PMT(((1+'Instrumentos Financeiros'!$L$43)^(1/12)-1),$F$12,-$I$78),0)</f>
        <v>368.57912678094596</v>
      </c>
      <c r="BQ272" s="1312">
        <f t="shared" si="145"/>
        <v>238.38137650019925</v>
      </c>
      <c r="BR272" s="1312">
        <f>BS271*((1+'Instrumentos Financeiros'!$L$43)^(1/12)-1)</f>
        <v>130.1977502807467</v>
      </c>
      <c r="BS272" s="1312">
        <f t="shared" si="146"/>
        <v>29872.031456176806</v>
      </c>
      <c r="BT272" s="1312">
        <f>IF(AND(C272&gt;$F$79,'Instrumentos Financeiros'!C272&lt;'Instrumentos Financeiros'!$F$79+'Instrumentos Financeiros'!$F$12+1),PMT(((1+'Instrumentos Financeiros'!$L$43)^(1/12)-1),$F$12,-$I$79),0)</f>
        <v>368.57912678094596</v>
      </c>
      <c r="BU272" s="1312">
        <f t="shared" si="147"/>
        <v>235.31563627940923</v>
      </c>
      <c r="BV272" s="1312">
        <f>BW271*((1+'Instrumentos Financeiros'!$L$43)^(1/12)-1)</f>
        <v>133.26349050153672</v>
      </c>
      <c r="BW272" s="1312">
        <f t="shared" si="148"/>
        <v>30584.101027006644</v>
      </c>
      <c r="BX272" s="1312">
        <f>IF(AND(C272&gt;$F$80,'Instrumentos Financeiros'!C272&lt;'Instrumentos Financeiros'!$F$80+'Instrumentos Financeiros'!$F$12+1),PMT(((1+'Instrumentos Financeiros'!$L$43)^(1/12)-1),$F$12,-$I$80),0)</f>
        <v>368.57912678094596</v>
      </c>
      <c r="BY272" s="1312">
        <f t="shared" si="149"/>
        <v>232.28932348050662</v>
      </c>
      <c r="BZ272" s="1312">
        <f>CA271*((1+'Instrumentos Financeiros'!$L$43)^(1/12)-1)</f>
        <v>136.28980330043933</v>
      </c>
      <c r="CA272" s="1312">
        <f t="shared" si="150"/>
        <v>31287.012918007025</v>
      </c>
      <c r="CB272" s="1312">
        <f>IF(AND(C272&gt;$F$83,'Instrumentos Financeiros'!C272&lt;'Instrumentos Financeiros'!$F$83+'Instrumentos Financeiros'!$F$13+1),PMT(((1+'Instrumentos Financeiros'!$P$43)^(1/12)-1),$F$13,-$I$83),0)</f>
        <v>30503.390100238979</v>
      </c>
      <c r="CC272" s="1312">
        <f t="shared" si="151"/>
        <v>14648.540071547786</v>
      </c>
      <c r="CD272" s="1312">
        <f>CE271*((1+'Instrumentos Financeiros'!$P$43)^(1/12)-1)</f>
        <v>15854.850028691193</v>
      </c>
      <c r="CE272" s="1312">
        <f t="shared" si="152"/>
        <v>3652051.3739796458</v>
      </c>
      <c r="CF272" s="1312">
        <f>IF(AND(C272&gt;$F$84,'Instrumentos Financeiros'!C272&lt;'Instrumentos Financeiros'!$F$84+'Instrumentos Financeiros'!$F$13+1),PMT(((1+'Instrumentos Financeiros'!$Q$43)^(1/12)-1),$F$13,-$I$84),0)</f>
        <v>30503.390100238979</v>
      </c>
      <c r="CG272" s="1312">
        <f t="shared" si="153"/>
        <v>14460.150277292358</v>
      </c>
      <c r="CH272" s="1312">
        <f>CI271*((1+'Instrumentos Financeiros'!$Q$43)^(1/12)-1)</f>
        <v>16043.239822946622</v>
      </c>
      <c r="CI272" s="1312">
        <f t="shared" si="154"/>
        <v>3695808.0625061174</v>
      </c>
      <c r="CJ272" s="1312">
        <f>IF(AND(C272&gt;$F$85,'Instrumentos Financeiros'!C272&lt;'Instrumentos Financeiros'!$F$85+'Instrumentos Financeiros'!$F$13+1),PMT(((1+'Instrumentos Financeiros'!$Q$43)^(1/12)-1),$F$13,-$I$85),0)</f>
        <v>30503.390100238979</v>
      </c>
      <c r="CK272" s="1312">
        <f t="shared" si="155"/>
        <v>14274.183298853815</v>
      </c>
      <c r="CL272" s="1312">
        <f>CM271*((1+'Instrumentos Financeiros'!$Q$43)^(1/12)-1)</f>
        <v>16229.206801385164</v>
      </c>
      <c r="CM272" s="1312">
        <f t="shared" si="156"/>
        <v>3739002.0114347488</v>
      </c>
      <c r="CN272" s="1312">
        <f>IF(AND(C272&gt;$F$86,'Instrumentos Financeiros'!C272&lt;'Instrumentos Financeiros'!$F$86+'Instrumentos Financeiros'!$F$13+1),PMT(((1+'Instrumentos Financeiros'!$Q$43)^(1/12)-1),$F$13,-$I$86),0)</f>
        <v>30503.390100238979</v>
      </c>
      <c r="CO272" s="1312">
        <f t="shared" si="157"/>
        <v>14090.60797723808</v>
      </c>
      <c r="CP272" s="1312">
        <f>CQ271*((1+'Instrumentos Financeiros'!$Q$43)^(1/12)-1)</f>
        <v>16412.782123000899</v>
      </c>
      <c r="CQ272" s="1312">
        <f t="shared" si="158"/>
        <v>3781640.45796437</v>
      </c>
      <c r="CR272" s="1312">
        <f t="shared" si="127"/>
        <v>521803.11063210916</v>
      </c>
      <c r="CS272" s="1312">
        <f t="shared" si="127"/>
        <v>335458.48989059887</v>
      </c>
      <c r="CT272" s="1312">
        <f t="shared" si="127"/>
        <v>186344.6207415103</v>
      </c>
      <c r="CU272" s="1312">
        <f t="shared" si="127"/>
        <v>43064552.333137445</v>
      </c>
    </row>
    <row r="273" spans="3:99" x14ac:dyDescent="0.35">
      <c r="C273" s="1316">
        <f t="shared" si="128"/>
        <v>180</v>
      </c>
      <c r="D273" s="1313">
        <f>IF(AND(C273&gt;$F$59,'Instrumentos Financeiros'!C273&lt;'Instrumentos Financeiros'!$F$59+'Instrumentos Financeiros'!$F$11+1),PMT(((1+'Instrumentos Financeiros'!$G$43)^(1/12)-1),$F$11,-$I$59),0)</f>
        <v>91768.589635900134</v>
      </c>
      <c r="E273" s="1313">
        <f t="shared" si="125"/>
        <v>69849.719670432678</v>
      </c>
      <c r="F273" s="1313">
        <f>G272*((1+'Instrumentos Financeiros'!$G$43)^(1/12)-1)</f>
        <v>21918.86996546746</v>
      </c>
      <c r="G273" s="1313">
        <f t="shared" si="159"/>
        <v>5300052.5022616191</v>
      </c>
      <c r="H273" s="1313">
        <f>IF(AND(C273&gt;$F$60,'Instrumentos Financeiros'!C273&lt;'Instrumentos Financeiros'!$F$60+'Instrumentos Financeiros'!$F$11+1),PMT(((1+'Instrumentos Financeiros'!$G$43)^(1/12)-1),$F$11,-$I$60),0)</f>
        <v>0</v>
      </c>
      <c r="I273" s="1313">
        <f t="shared" si="160"/>
        <v>0</v>
      </c>
      <c r="J273" s="1313">
        <f>K272*((1+'Instrumentos Financeiros'!$G$43)^(1/12)-1)</f>
        <v>0</v>
      </c>
      <c r="K273" s="1313">
        <f t="shared" si="129"/>
        <v>0</v>
      </c>
      <c r="L273" s="1313">
        <f>IF(AND(C273&gt;$F$61,'Instrumentos Financeiros'!C273&lt;'Instrumentos Financeiros'!$F$61+'Instrumentos Financeiros'!$F$11+1),PMT(((1+'Instrumentos Financeiros'!$G$43)^(1/12)-1),$F$11,-$I$61),0)</f>
        <v>0</v>
      </c>
      <c r="M273" s="1313">
        <f t="shared" si="161"/>
        <v>0</v>
      </c>
      <c r="N273" s="1313">
        <f>O272*((1+'Instrumentos Financeiros'!$G$43)^(1/12)-1)</f>
        <v>0</v>
      </c>
      <c r="O273" s="1313">
        <f t="shared" si="130"/>
        <v>0</v>
      </c>
      <c r="P273" s="1313">
        <f>IF(AND(C273&gt;$F$62,'Instrumentos Financeiros'!C273&lt;'Instrumentos Financeiros'!$F$62+'Instrumentos Financeiros'!$F$11+1),PMT(((1+'Instrumentos Financeiros'!$H$43)^(1/12)-1),$F$11,-$I$62),0)</f>
        <v>0</v>
      </c>
      <c r="Q273" s="1313">
        <f t="shared" si="162"/>
        <v>0</v>
      </c>
      <c r="R273" s="1313">
        <f>S272*((1+'Instrumentos Financeiros'!$H$43)^(1/12)-1)</f>
        <v>0</v>
      </c>
      <c r="S273" s="1313">
        <f t="shared" si="131"/>
        <v>0</v>
      </c>
      <c r="T273" s="1313">
        <f>IF(AND(C273&gt;$F$63,'Instrumentos Financeiros'!C273&lt;'Instrumentos Financeiros'!$F$63+'Instrumentos Financeiros'!$F$11+1),PMT(((1+'Instrumentos Financeiros'!$H$43)^(1/12)-1),$F$11,-$I$63),0)</f>
        <v>0</v>
      </c>
      <c r="U273" s="1313">
        <f t="shared" si="163"/>
        <v>0</v>
      </c>
      <c r="V273" s="1313">
        <f>W272*((1+'Instrumentos Financeiros'!$H$43)^(1/12)-1)</f>
        <v>0</v>
      </c>
      <c r="W273" s="1313">
        <f t="shared" si="132"/>
        <v>0</v>
      </c>
      <c r="X273" s="1313">
        <f>IF(AND(C273&gt;$F$64,'Instrumentos Financeiros'!C273&lt;'Instrumentos Financeiros'!$F$64+'Instrumentos Financeiros'!$F$11+1),PMT(((1+'Instrumentos Financeiros'!$H$43)^(1/12)-1),$F$11,-$I$64),0)</f>
        <v>0</v>
      </c>
      <c r="Y273" s="1313">
        <f t="shared" si="164"/>
        <v>0</v>
      </c>
      <c r="Z273" s="1313">
        <f>AA272*((1+'Instrumentos Financeiros'!$H$43)^(1/12)-1)</f>
        <v>0</v>
      </c>
      <c r="AA273" s="1313">
        <f t="shared" si="133"/>
        <v>0</v>
      </c>
      <c r="AB273" s="1313">
        <f>IF(AND(C273&gt;$F$65,'Instrumentos Financeiros'!C273&lt;'Instrumentos Financeiros'!$F$65+'Instrumentos Financeiros'!$F$11+1),PMT(((1+'Instrumentos Financeiros'!$H$43)^(1/12)-1),$F$11,-$I$65),0)</f>
        <v>76636.661022032335</v>
      </c>
      <c r="AC273" s="1313">
        <f t="shared" si="165"/>
        <v>53107.968870572877</v>
      </c>
      <c r="AD273" s="1313">
        <f>AE272*((1+'Instrumentos Financeiros'!$H$43)^(1/12)-1)</f>
        <v>23528.692151459461</v>
      </c>
      <c r="AE273" s="1313">
        <f t="shared" si="134"/>
        <v>5388296.6065983223</v>
      </c>
      <c r="AF273" s="1313">
        <f>IF(AND(C273&gt;$F$66,'Instrumentos Financeiros'!C273&lt;'Instrumentos Financeiros'!$F$66+'Instrumentos Financeiros'!$F$11+1),PMT(((1+'Instrumentos Financeiros'!$I$43)^(1/12)-1),$F$11,-$I$66),0)</f>
        <v>76636.661022032335</v>
      </c>
      <c r="AG273" s="1313">
        <f t="shared" si="166"/>
        <v>52424.965698926855</v>
      </c>
      <c r="AH273" s="1313">
        <f>AI272*((1+'Instrumentos Financeiros'!$I$43)^(1/12)-1)</f>
        <v>24211.695323105479</v>
      </c>
      <c r="AI273" s="1313">
        <f t="shared" si="135"/>
        <v>5546935.5454135854</v>
      </c>
      <c r="AJ273" s="1313">
        <f>IF(AND(C273&gt;$F$67,'Instrumentos Financeiros'!C273&lt;'Instrumentos Financeiros'!$F$67+'Instrumentos Financeiros'!$F$11+1),PMT(((1+'Instrumentos Financeiros'!$I$43)^(1/12)-1),$F$11,-$I$67),0)</f>
        <v>76636.661022032335</v>
      </c>
      <c r="AK273" s="1313">
        <f t="shared" si="167"/>
        <v>51750.746394229602</v>
      </c>
      <c r="AL273" s="1313">
        <f>AM272*((1+'Instrumentos Financeiros'!$I$43)^(1/12)-1)</f>
        <v>24885.914627802729</v>
      </c>
      <c r="AM273" s="1313">
        <f t="shared" si="136"/>
        <v>5703534.2838472174</v>
      </c>
      <c r="AN273" s="1313">
        <f>IF(AND(C273&gt;$F$68,'Instrumentos Financeiros'!C273&lt;'Instrumentos Financeiros'!$F$68+'Instrumentos Financeiros'!$F$11+1),PMT(((1+'Instrumentos Financeiros'!$I$43)^(1/12)-1),$F$11,-$I$68),0)</f>
        <v>76636.661022032335</v>
      </c>
      <c r="AO273" s="1313">
        <f t="shared" si="168"/>
        <v>51085.197990214241</v>
      </c>
      <c r="AP273" s="1313">
        <f>AQ272*((1+'Instrumentos Financeiros'!$I$43)^(1/12)-1)</f>
        <v>25551.463031818093</v>
      </c>
      <c r="AQ273" s="1313">
        <f t="shared" si="137"/>
        <v>5858119.0602088561</v>
      </c>
      <c r="AR273" s="1313">
        <f>IF(AND(C273&gt;$F$69,'Instrumentos Financeiros'!C273&lt;'Instrumentos Financeiros'!$F$69+'Instrumentos Financeiros'!$F$11+1),PMT(((1+'Instrumentos Financeiros'!$I$43)^(1/12)-1),$F$11,-$I$69),0)</f>
        <v>0</v>
      </c>
      <c r="AS273" s="1313">
        <f t="shared" si="169"/>
        <v>0</v>
      </c>
      <c r="AT273" s="1313">
        <f>AU272*((1+'Instrumentos Financeiros'!$I$43)^(1/12)-1)</f>
        <v>0</v>
      </c>
      <c r="AU273" s="1313">
        <f t="shared" si="138"/>
        <v>0</v>
      </c>
      <c r="AV273" s="1313">
        <f>IF(AND(C273&gt;$F$70,'Instrumentos Financeiros'!C273&lt;'Instrumentos Financeiros'!$F$70+'Instrumentos Financeiros'!$F$11+1),PMT(((1+'Instrumentos Financeiros'!$J$43)^(1/12)-1),$F$11,-$I$70),0)</f>
        <v>0</v>
      </c>
      <c r="AW273" s="1313">
        <f t="shared" si="170"/>
        <v>0</v>
      </c>
      <c r="AX273" s="1313">
        <f>AY272*((1+'Instrumentos Financeiros'!$J$43)^(1/12)-1)</f>
        <v>0</v>
      </c>
      <c r="AY273" s="1313">
        <f t="shared" si="139"/>
        <v>0</v>
      </c>
      <c r="AZ273" s="1313">
        <f>IF(AND(C273&gt;$F$71,'Instrumentos Financeiros'!C273&lt;'Instrumentos Financeiros'!$F$71+'Instrumentos Financeiros'!$F$11+1),PMT(((1+'Instrumentos Financeiros'!$J$43)^(1/12)-1),$F$11,-$I$71),0)</f>
        <v>0</v>
      </c>
      <c r="BA273" s="1313">
        <f t="shared" si="171"/>
        <v>0</v>
      </c>
      <c r="BB273" s="1313">
        <f>BC272*((1+'Instrumentos Financeiros'!$J$43)^(1/12)-1)</f>
        <v>0</v>
      </c>
      <c r="BC273" s="1313">
        <f t="shared" si="140"/>
        <v>0</v>
      </c>
      <c r="BD273" s="1313">
        <f>IF(AND(C273&gt;$F$72,'Instrumentos Financeiros'!C273&lt;'Instrumentos Financeiros'!$F$72+'Instrumentos Financeiros'!$F$11+1),PMT(((1+'Instrumentos Financeiros'!$J$43)^(1/12)-1),$F$11,-'Instrumentos Financeiros'!$G$7*$G$72),0)</f>
        <v>0</v>
      </c>
      <c r="BE273" s="1313">
        <f t="shared" si="172"/>
        <v>0</v>
      </c>
      <c r="BF273" s="1313">
        <f>BG272*((1+'Instrumentos Financeiros'!$J$43)^(1/12)-1)</f>
        <v>0</v>
      </c>
      <c r="BG273" s="1313">
        <f t="shared" si="141"/>
        <v>0</v>
      </c>
      <c r="BH273" s="1313">
        <f>IF(AND(C273&gt;$F$73,'Instrumentos Financeiros'!C273&lt;'Instrumentos Financeiros'!$F$73+'Instrumentos Financeiros'!$F$11+1),PMT(((1+'Instrumentos Financeiros'!$J$43)^(1/12)-1),$F$11,-$I$73),0)</f>
        <v>0</v>
      </c>
      <c r="BI273" s="1313">
        <f t="shared" si="173"/>
        <v>0</v>
      </c>
      <c r="BJ273" s="1313">
        <f>BK272*((1+'Instrumentos Financeiros'!$J$43)^(1/12)-1)</f>
        <v>0</v>
      </c>
      <c r="BK273" s="1313">
        <f t="shared" si="142"/>
        <v>0</v>
      </c>
      <c r="BL273" s="1313">
        <f>IF(AND(C273&gt;$F$77,'Instrumentos Financeiros'!C273&lt;'Instrumentos Financeiros'!$F$77+'Instrumentos Financeiros'!$F$12+1),PMT(((1+'Instrumentos Financeiros'!$K$43)^(1/12)-1),$F$12,-$I$77),0)</f>
        <v>368.57912678094596</v>
      </c>
      <c r="BM273" s="1313">
        <f t="shared" si="143"/>
        <v>242.53125045742513</v>
      </c>
      <c r="BN273" s="1313">
        <f>BO272*((1+'Instrumentos Financeiros'!$K$43)^(1/12)-1)</f>
        <v>126.04787632352082</v>
      </c>
      <c r="BO273" s="1313">
        <f t="shared" si="144"/>
        <v>28908.153646934941</v>
      </c>
      <c r="BP273" s="1313">
        <f>IF(AND(C273&gt;$F$78,'Instrumentos Financeiros'!C273&lt;'Instrumentos Financeiros'!$F$78+'Instrumentos Financeiros'!$F$12+1),PMT(((1+'Instrumentos Financeiros'!$L$43)^(1/12)-1),$F$12,-$I$78),0)</f>
        <v>368.57912678094596</v>
      </c>
      <c r="BQ273" s="1313">
        <f t="shared" si="145"/>
        <v>239.41214014670334</v>
      </c>
      <c r="BR273" s="1313">
        <f>BS272*((1+'Instrumentos Financeiros'!$L$43)^(1/12)-1)</f>
        <v>129.16698663424262</v>
      </c>
      <c r="BS273" s="1313">
        <f t="shared" si="146"/>
        <v>29632.619316030105</v>
      </c>
      <c r="BT273" s="1313">
        <f>IF(AND(C273&gt;$F$79,'Instrumentos Financeiros'!C273&lt;'Instrumentos Financeiros'!$F$79+'Instrumentos Financeiros'!$F$12+1),PMT(((1+'Instrumentos Financeiros'!$L$43)^(1/12)-1),$F$12,-$I$79),0)</f>
        <v>368.57912678094596</v>
      </c>
      <c r="BU273" s="1313">
        <f t="shared" si="147"/>
        <v>236.33314363208865</v>
      </c>
      <c r="BV273" s="1313">
        <f>BW272*((1+'Instrumentos Financeiros'!$L$43)^(1/12)-1)</f>
        <v>132.24598314885731</v>
      </c>
      <c r="BW273" s="1313">
        <f t="shared" si="148"/>
        <v>30347.767883374556</v>
      </c>
      <c r="BX273" s="1313">
        <f>IF(AND(C273&gt;$F$80,'Instrumentos Financeiros'!C273&lt;'Instrumentos Financeiros'!$F$80+'Instrumentos Financeiros'!$F$12+1),PMT(((1+'Instrumentos Financeiros'!$L$43)^(1/12)-1),$F$12,-$I$80),0)</f>
        <v>368.57912678094596</v>
      </c>
      <c r="BY273" s="1313">
        <f t="shared" si="149"/>
        <v>233.29374502395942</v>
      </c>
      <c r="BZ273" s="1313">
        <f>CA272*((1+'Instrumentos Financeiros'!$L$43)^(1/12)-1)</f>
        <v>135.28538175698654</v>
      </c>
      <c r="CA273" s="1313">
        <f t="shared" si="150"/>
        <v>31053.719172983067</v>
      </c>
      <c r="CB273" s="1313">
        <f>IF(AND(C273&gt;$F$83,'Instrumentos Financeiros'!C273&lt;'Instrumentos Financeiros'!$F$83+'Instrumentos Financeiros'!$F$13+1),PMT(((1+'Instrumentos Financeiros'!$P$43)^(1/12)-1),$F$13,-$I$83),0)</f>
        <v>30503.390100238979</v>
      </c>
      <c r="CC273" s="1313">
        <f t="shared" si="151"/>
        <v>14711.880517021291</v>
      </c>
      <c r="CD273" s="1313">
        <f>CE272*((1+'Instrumentos Financeiros'!$P$43)^(1/12)-1)</f>
        <v>15791.509583217688</v>
      </c>
      <c r="CE273" s="1313">
        <f t="shared" si="152"/>
        <v>3637339.4934626245</v>
      </c>
      <c r="CF273" s="1313">
        <f>IF(AND(C273&gt;$F$84,'Instrumentos Financeiros'!C273&lt;'Instrumentos Financeiros'!$F$84+'Instrumentos Financeiros'!$F$13+1),PMT(((1+'Instrumentos Financeiros'!$Q$43)^(1/12)-1),$F$13,-$I$84),0)</f>
        <v>30503.390100238979</v>
      </c>
      <c r="CG273" s="1313">
        <f t="shared" si="153"/>
        <v>14522.676123260893</v>
      </c>
      <c r="CH273" s="1313">
        <f>CI272*((1+'Instrumentos Financeiros'!$Q$43)^(1/12)-1)</f>
        <v>15980.713976978086</v>
      </c>
      <c r="CI273" s="1313">
        <f t="shared" si="154"/>
        <v>3681285.3863828564</v>
      </c>
      <c r="CJ273" s="1313">
        <f>IF(AND(C273&gt;$F$85,'Instrumentos Financeiros'!C273&lt;'Instrumentos Financeiros'!$F$85+'Instrumentos Financeiros'!$F$13+1),PMT(((1+'Instrumentos Financeiros'!$Q$43)^(1/12)-1),$F$13,-$I$85),0)</f>
        <v>30503.390100238979</v>
      </c>
      <c r="CK273" s="1313">
        <f t="shared" si="155"/>
        <v>14335.905021599139</v>
      </c>
      <c r="CL273" s="1313">
        <f>CM272*((1+'Instrumentos Financeiros'!$Q$43)^(1/12)-1)</f>
        <v>16167.48507863984</v>
      </c>
      <c r="CM273" s="1313">
        <f t="shared" si="156"/>
        <v>3724666.1064131497</v>
      </c>
      <c r="CN273" s="1313">
        <f>IF(AND(C273&gt;$F$86,'Instrumentos Financeiros'!C273&lt;'Instrumentos Financeiros'!$F$86+'Instrumentos Financeiros'!$F$13+1),PMT(((1+'Instrumentos Financeiros'!$Q$43)^(1/12)-1),$F$13,-$I$86),0)</f>
        <v>30503.390100238979</v>
      </c>
      <c r="CO273" s="1313">
        <f t="shared" si="157"/>
        <v>14151.535918310128</v>
      </c>
      <c r="CP273" s="1313">
        <f>CQ272*((1+'Instrumentos Financeiros'!$Q$43)^(1/12)-1)</f>
        <v>16351.854181928851</v>
      </c>
      <c r="CQ273" s="1313">
        <f t="shared" si="158"/>
        <v>3767488.9220460597</v>
      </c>
      <c r="CR273" s="1313">
        <f t="shared" si="127"/>
        <v>521803.11063210916</v>
      </c>
      <c r="CS273" s="1313">
        <f t="shared" si="127"/>
        <v>336892.16648382787</v>
      </c>
      <c r="CT273" s="1313">
        <f t="shared" si="127"/>
        <v>184910.94414828133</v>
      </c>
      <c r="CU273" s="1313">
        <f t="shared" si="127"/>
        <v>42727660.166653618</v>
      </c>
    </row>
    <row r="274" spans="3:99" x14ac:dyDescent="0.35">
      <c r="C274" s="1315">
        <f t="shared" si="128"/>
        <v>181</v>
      </c>
      <c r="D274" s="1312">
        <f>IF(AND(C274&gt;$F$59,'Instrumentos Financeiros'!C274&lt;'Instrumentos Financeiros'!$F$59+'Instrumentos Financeiros'!$F$11+1),PMT(((1+'Instrumentos Financeiros'!$G$43)^(1/12)-1),$F$11,-$I$59),0)</f>
        <v>91768.589635900134</v>
      </c>
      <c r="E274" s="1312">
        <f t="shared" si="125"/>
        <v>70134.832296194742</v>
      </c>
      <c r="F274" s="1312">
        <f>G273*((1+'Instrumentos Financeiros'!$G$43)^(1/12)-1)</f>
        <v>21633.7573397054</v>
      </c>
      <c r="G274" s="1312">
        <f t="shared" si="159"/>
        <v>5229917.6699654246</v>
      </c>
      <c r="H274" s="1312">
        <f>IF(AND(C274&gt;$F$60,'Instrumentos Financeiros'!C274&lt;'Instrumentos Financeiros'!$F$60+'Instrumentos Financeiros'!$F$11+1),PMT(((1+'Instrumentos Financeiros'!$G$43)^(1/12)-1),$F$11,-$I$60),0)</f>
        <v>0</v>
      </c>
      <c r="I274" s="1312">
        <f t="shared" si="160"/>
        <v>0</v>
      </c>
      <c r="J274" s="1312">
        <f>K273*((1+'Instrumentos Financeiros'!$G$43)^(1/12)-1)</f>
        <v>0</v>
      </c>
      <c r="K274" s="1312">
        <f t="shared" si="129"/>
        <v>0</v>
      </c>
      <c r="L274" s="1312">
        <f>IF(AND(C274&gt;$F$61,'Instrumentos Financeiros'!C274&lt;'Instrumentos Financeiros'!$F$61+'Instrumentos Financeiros'!$F$11+1),PMT(((1+'Instrumentos Financeiros'!$G$43)^(1/12)-1),$F$11,-$I$61),0)</f>
        <v>0</v>
      </c>
      <c r="M274" s="1312">
        <f t="shared" si="161"/>
        <v>0</v>
      </c>
      <c r="N274" s="1312">
        <f>O273*((1+'Instrumentos Financeiros'!$G$43)^(1/12)-1)</f>
        <v>0</v>
      </c>
      <c r="O274" s="1312">
        <f t="shared" si="130"/>
        <v>0</v>
      </c>
      <c r="P274" s="1312">
        <f>IF(AND(C274&gt;$F$62,'Instrumentos Financeiros'!C274&lt;'Instrumentos Financeiros'!$F$62+'Instrumentos Financeiros'!$F$11+1),PMT(((1+'Instrumentos Financeiros'!$H$43)^(1/12)-1),$F$11,-$I$62),0)</f>
        <v>0</v>
      </c>
      <c r="Q274" s="1312">
        <f t="shared" si="162"/>
        <v>0</v>
      </c>
      <c r="R274" s="1312">
        <f>S273*((1+'Instrumentos Financeiros'!$H$43)^(1/12)-1)</f>
        <v>0</v>
      </c>
      <c r="S274" s="1312">
        <f t="shared" si="131"/>
        <v>0</v>
      </c>
      <c r="T274" s="1312">
        <f>IF(AND(C274&gt;$F$63,'Instrumentos Financeiros'!C274&lt;'Instrumentos Financeiros'!$F$63+'Instrumentos Financeiros'!$F$11+1),PMT(((1+'Instrumentos Financeiros'!$H$43)^(1/12)-1),$F$11,-$I$63),0)</f>
        <v>0</v>
      </c>
      <c r="U274" s="1312">
        <f t="shared" si="163"/>
        <v>0</v>
      </c>
      <c r="V274" s="1312">
        <f>W273*((1+'Instrumentos Financeiros'!$H$43)^(1/12)-1)</f>
        <v>0</v>
      </c>
      <c r="W274" s="1312">
        <f t="shared" si="132"/>
        <v>0</v>
      </c>
      <c r="X274" s="1312">
        <f>IF(AND(C274&gt;$F$64,'Instrumentos Financeiros'!C274&lt;'Instrumentos Financeiros'!$F$64+'Instrumentos Financeiros'!$F$11+1),PMT(((1+'Instrumentos Financeiros'!$H$43)^(1/12)-1),$F$11,-$I$64),0)</f>
        <v>0</v>
      </c>
      <c r="Y274" s="1312">
        <f t="shared" si="164"/>
        <v>0</v>
      </c>
      <c r="Z274" s="1312">
        <f>AA273*((1+'Instrumentos Financeiros'!$H$43)^(1/12)-1)</f>
        <v>0</v>
      </c>
      <c r="AA274" s="1312">
        <f t="shared" si="133"/>
        <v>0</v>
      </c>
      <c r="AB274" s="1312">
        <f>IF(AND(C274&gt;$F$65,'Instrumentos Financeiros'!C274&lt;'Instrumentos Financeiros'!$F$65+'Instrumentos Financeiros'!$F$11+1),PMT(((1+'Instrumentos Financeiros'!$H$43)^(1/12)-1),$F$11,-$I$65),0)</f>
        <v>76636.661022032335</v>
      </c>
      <c r="AC274" s="1312">
        <f t="shared" si="165"/>
        <v>53337.608301534929</v>
      </c>
      <c r="AD274" s="1312">
        <f>AE273*((1+'Instrumentos Financeiros'!$H$43)^(1/12)-1)</f>
        <v>23299.052720497406</v>
      </c>
      <c r="AE274" s="1312">
        <f t="shared" si="134"/>
        <v>5334958.998296787</v>
      </c>
      <c r="AF274" s="1312">
        <f>IF(AND(C274&gt;$F$66,'Instrumentos Financeiros'!C274&lt;'Instrumentos Financeiros'!$F$66+'Instrumentos Financeiros'!$F$11+1),PMT(((1+'Instrumentos Financeiros'!$I$43)^(1/12)-1),$F$11,-$I$66),0)</f>
        <v>76636.661022032335</v>
      </c>
      <c r="AG274" s="1312">
        <f t="shared" si="166"/>
        <v>52651.651816798287</v>
      </c>
      <c r="AH274" s="1312">
        <f>AI273*((1+'Instrumentos Financeiros'!$I$43)^(1/12)-1)</f>
        <v>23985.009205234051</v>
      </c>
      <c r="AI274" s="1312">
        <f t="shared" si="135"/>
        <v>5494283.893596787</v>
      </c>
      <c r="AJ274" s="1312">
        <f>IF(AND(C274&gt;$F$67,'Instrumentos Financeiros'!C274&lt;'Instrumentos Financeiros'!$F$67+'Instrumentos Financeiros'!$F$11+1),PMT(((1+'Instrumentos Financeiros'!$I$43)^(1/12)-1),$F$11,-$I$67),0)</f>
        <v>76636.661022032335</v>
      </c>
      <c r="AK274" s="1312">
        <f t="shared" si="167"/>
        <v>51974.517180545961</v>
      </c>
      <c r="AL274" s="1312">
        <f>AM273*((1+'Instrumentos Financeiros'!$I$43)^(1/12)-1)</f>
        <v>24662.143841486373</v>
      </c>
      <c r="AM274" s="1312">
        <f t="shared" si="136"/>
        <v>5651559.7666666713</v>
      </c>
      <c r="AN274" s="1312">
        <f>IF(AND(C274&gt;$F$68,'Instrumentos Financeiros'!C274&lt;'Instrumentos Financeiros'!$F$68+'Instrumentos Financeiros'!$F$11+1),PMT(((1+'Instrumentos Financeiros'!$I$43)^(1/12)-1),$F$11,-$I$68),0)</f>
        <v>76636.661022032335</v>
      </c>
      <c r="AO274" s="1312">
        <f t="shared" si="168"/>
        <v>51306.090938043715</v>
      </c>
      <c r="AP274" s="1312">
        <f>AQ273*((1+'Instrumentos Financeiros'!$I$43)^(1/12)-1)</f>
        <v>25330.570083988619</v>
      </c>
      <c r="AQ274" s="1312">
        <f t="shared" si="137"/>
        <v>5806812.9692708123</v>
      </c>
      <c r="AR274" s="1312">
        <f>IF(AND(C274&gt;$F$69,'Instrumentos Financeiros'!C274&lt;'Instrumentos Financeiros'!$F$69+'Instrumentos Financeiros'!$F$11+1),PMT(((1+'Instrumentos Financeiros'!$I$43)^(1/12)-1),$F$11,-$I$69),0)</f>
        <v>0</v>
      </c>
      <c r="AS274" s="1312">
        <f t="shared" si="169"/>
        <v>0</v>
      </c>
      <c r="AT274" s="1312">
        <f>AU273*((1+'Instrumentos Financeiros'!$I$43)^(1/12)-1)</f>
        <v>0</v>
      </c>
      <c r="AU274" s="1312">
        <f t="shared" si="138"/>
        <v>0</v>
      </c>
      <c r="AV274" s="1312">
        <f>IF(AND(C274&gt;$F$70,'Instrumentos Financeiros'!C274&lt;'Instrumentos Financeiros'!$F$70+'Instrumentos Financeiros'!$F$11+1),PMT(((1+'Instrumentos Financeiros'!$J$43)^(1/12)-1),$F$11,-$I$70),0)</f>
        <v>0</v>
      </c>
      <c r="AW274" s="1312">
        <f t="shared" si="170"/>
        <v>0</v>
      </c>
      <c r="AX274" s="1312">
        <f>AY273*((1+'Instrumentos Financeiros'!$J$43)^(1/12)-1)</f>
        <v>0</v>
      </c>
      <c r="AY274" s="1312">
        <f t="shared" si="139"/>
        <v>0</v>
      </c>
      <c r="AZ274" s="1312">
        <f>IF(AND(C274&gt;$F$71,'Instrumentos Financeiros'!C274&lt;'Instrumentos Financeiros'!$F$71+'Instrumentos Financeiros'!$F$11+1),PMT(((1+'Instrumentos Financeiros'!$J$43)^(1/12)-1),$F$11,-$I$71),0)</f>
        <v>0</v>
      </c>
      <c r="BA274" s="1312">
        <f t="shared" si="171"/>
        <v>0</v>
      </c>
      <c r="BB274" s="1312">
        <f>BC273*((1+'Instrumentos Financeiros'!$J$43)^(1/12)-1)</f>
        <v>0</v>
      </c>
      <c r="BC274" s="1312">
        <f t="shared" si="140"/>
        <v>0</v>
      </c>
      <c r="BD274" s="1312">
        <f>IF(AND(C274&gt;$F$72,'Instrumentos Financeiros'!C274&lt;'Instrumentos Financeiros'!$F$72+'Instrumentos Financeiros'!$F$11+1),PMT(((1+'Instrumentos Financeiros'!$J$43)^(1/12)-1),$F$11,-'Instrumentos Financeiros'!$G$7*$G$72),0)</f>
        <v>0</v>
      </c>
      <c r="BE274" s="1312">
        <f t="shared" si="172"/>
        <v>0</v>
      </c>
      <c r="BF274" s="1312">
        <f>BG273*((1+'Instrumentos Financeiros'!$J$43)^(1/12)-1)</f>
        <v>0</v>
      </c>
      <c r="BG274" s="1312">
        <f t="shared" si="141"/>
        <v>0</v>
      </c>
      <c r="BH274" s="1312">
        <f>IF(AND(C274&gt;$F$73,'Instrumentos Financeiros'!C274&lt;'Instrumentos Financeiros'!$F$73+'Instrumentos Financeiros'!$F$11+1),PMT(((1+'Instrumentos Financeiros'!$J$43)^(1/12)-1),$F$11,-$I$73),0)</f>
        <v>0</v>
      </c>
      <c r="BI274" s="1312">
        <f t="shared" si="173"/>
        <v>0</v>
      </c>
      <c r="BJ274" s="1312">
        <f>BK273*((1+'Instrumentos Financeiros'!$J$43)^(1/12)-1)</f>
        <v>0</v>
      </c>
      <c r="BK274" s="1312">
        <f t="shared" si="142"/>
        <v>0</v>
      </c>
      <c r="BL274" s="1312">
        <f>IF(AND(C274&gt;$F$77,'Instrumentos Financeiros'!C274&lt;'Instrumentos Financeiros'!$F$77+'Instrumentos Financeiros'!$F$12+1),PMT(((1+'Instrumentos Financeiros'!$K$43)^(1/12)-1),$F$12,-$I$77),0)</f>
        <v>368.57912678094596</v>
      </c>
      <c r="BM274" s="1312">
        <f t="shared" si="143"/>
        <v>243.57995820373887</v>
      </c>
      <c r="BN274" s="1312">
        <f>BO273*((1+'Instrumentos Financeiros'!$K$43)^(1/12)-1)</f>
        <v>124.99916857720709</v>
      </c>
      <c r="BO274" s="1312">
        <f t="shared" si="144"/>
        <v>28664.573688731201</v>
      </c>
      <c r="BP274" s="1312">
        <f>IF(AND(C274&gt;$F$78,'Instrumentos Financeiros'!C274&lt;'Instrumentos Financeiros'!$F$78+'Instrumentos Financeiros'!$F$12+1),PMT(((1+'Instrumentos Financeiros'!$L$43)^(1/12)-1),$F$12,-$I$78),0)</f>
        <v>368.57912678094596</v>
      </c>
      <c r="BQ274" s="1312">
        <f t="shared" si="145"/>
        <v>240.44736082634714</v>
      </c>
      <c r="BR274" s="1312">
        <f>BS273*((1+'Instrumentos Financeiros'!$L$43)^(1/12)-1)</f>
        <v>128.13176595459882</v>
      </c>
      <c r="BS274" s="1312">
        <f t="shared" si="146"/>
        <v>29392.171955203758</v>
      </c>
      <c r="BT274" s="1312">
        <f>IF(AND(C274&gt;$F$79,'Instrumentos Financeiros'!C274&lt;'Instrumentos Financeiros'!$F$79+'Instrumentos Financeiros'!$F$12+1),PMT(((1+'Instrumentos Financeiros'!$L$43)^(1/12)-1),$F$12,-$I$79),0)</f>
        <v>368.57912678094596</v>
      </c>
      <c r="BU274" s="1312">
        <f t="shared" si="147"/>
        <v>237.35505069755013</v>
      </c>
      <c r="BV274" s="1312">
        <f>BW273*((1+'Instrumentos Financeiros'!$L$43)^(1/12)-1)</f>
        <v>131.22407608339583</v>
      </c>
      <c r="BW274" s="1312">
        <f t="shared" si="148"/>
        <v>30110.412832677004</v>
      </c>
      <c r="BX274" s="1312">
        <f>IF(AND(C274&gt;$F$80,'Instrumentos Financeiros'!C274&lt;'Instrumentos Financeiros'!$F$80+'Instrumentos Financeiros'!$F$12+1),PMT(((1+'Instrumentos Financeiros'!$L$43)^(1/12)-1),$F$12,-$I$80),0)</f>
        <v>368.57912678094596</v>
      </c>
      <c r="BY274" s="1312">
        <f t="shared" si="149"/>
        <v>234.30250969701387</v>
      </c>
      <c r="BZ274" s="1312">
        <f>CA273*((1+'Instrumentos Financeiros'!$L$43)^(1/12)-1)</f>
        <v>134.27661708393208</v>
      </c>
      <c r="CA274" s="1312">
        <f t="shared" si="150"/>
        <v>30819.416663286054</v>
      </c>
      <c r="CB274" s="1312">
        <f>IF(AND(C274&gt;$F$83,'Instrumentos Financeiros'!C274&lt;'Instrumentos Financeiros'!$F$83+'Instrumentos Financeiros'!$F$13+1),PMT(((1+'Instrumentos Financeiros'!$P$43)^(1/12)-1),$F$13,-$I$83),0)</f>
        <v>30503.390100238979</v>
      </c>
      <c r="CC274" s="1312">
        <f t="shared" si="151"/>
        <v>14775.494847265099</v>
      </c>
      <c r="CD274" s="1312">
        <f>CE273*((1+'Instrumentos Financeiros'!$P$43)^(1/12)-1)</f>
        <v>15727.89525297388</v>
      </c>
      <c r="CE274" s="1312">
        <f t="shared" si="152"/>
        <v>3622563.9986153594</v>
      </c>
      <c r="CF274" s="1312">
        <f>IF(AND(C274&gt;$F$84,'Instrumentos Financeiros'!C274&lt;'Instrumentos Financeiros'!$F$84+'Instrumentos Financeiros'!$F$13+1),PMT(((1+'Instrumentos Financeiros'!$Q$43)^(1/12)-1),$F$13,-$I$84),0)</f>
        <v>30503.390100238979</v>
      </c>
      <c r="CG274" s="1312">
        <f t="shared" si="153"/>
        <v>14585.472331662675</v>
      </c>
      <c r="CH274" s="1312">
        <f>CI273*((1+'Instrumentos Financeiros'!$Q$43)^(1/12)-1)</f>
        <v>15917.917768576304</v>
      </c>
      <c r="CI274" s="1312">
        <f t="shared" si="154"/>
        <v>3666699.9140511937</v>
      </c>
      <c r="CJ274" s="1312">
        <f>IF(AND(C274&gt;$F$85,'Instrumentos Financeiros'!C274&lt;'Instrumentos Financeiros'!$F$85+'Instrumentos Financeiros'!$F$13+1),PMT(((1+'Instrumentos Financeiros'!$Q$43)^(1/12)-1),$F$13,-$I$85),0)</f>
        <v>30503.390100238979</v>
      </c>
      <c r="CK274" s="1312">
        <f t="shared" si="155"/>
        <v>14397.893629740209</v>
      </c>
      <c r="CL274" s="1312">
        <f>CM273*((1+'Instrumentos Financeiros'!$Q$43)^(1/12)-1)</f>
        <v>16105.496470498771</v>
      </c>
      <c r="CM274" s="1312">
        <f t="shared" si="156"/>
        <v>3710268.2127834097</v>
      </c>
      <c r="CN274" s="1312">
        <f>IF(AND(C274&gt;$F$86,'Instrumentos Financeiros'!C274&lt;'Instrumentos Financeiros'!$F$86+'Instrumentos Financeiros'!$F$13+1),PMT(((1+'Instrumentos Financeiros'!$Q$43)^(1/12)-1),$F$13,-$I$86),0)</f>
        <v>30503.390100238979</v>
      </c>
      <c r="CO274" s="1312">
        <f t="shared" si="157"/>
        <v>14212.727312457393</v>
      </c>
      <c r="CP274" s="1312">
        <f>CQ273*((1+'Instrumentos Financeiros'!$Q$43)^(1/12)-1)</f>
        <v>16290.662787781586</v>
      </c>
      <c r="CQ274" s="1312">
        <f t="shared" si="158"/>
        <v>3753276.1947336025</v>
      </c>
      <c r="CR274" s="1312">
        <f t="shared" si="127"/>
        <v>521803.11063210916</v>
      </c>
      <c r="CS274" s="1312">
        <f t="shared" si="127"/>
        <v>338331.97353366768</v>
      </c>
      <c r="CT274" s="1312">
        <f t="shared" si="127"/>
        <v>183471.13709844154</v>
      </c>
      <c r="CU274" s="1312">
        <f t="shared" si="127"/>
        <v>42389328.193119943</v>
      </c>
    </row>
    <row r="275" spans="3:99" x14ac:dyDescent="0.35">
      <c r="C275" s="1315">
        <f t="shared" si="128"/>
        <v>182</v>
      </c>
      <c r="D275" s="1312">
        <f>IF(AND(C275&gt;$F$59,'Instrumentos Financeiros'!C275&lt;'Instrumentos Financeiros'!$F$59+'Instrumentos Financeiros'!$F$11+1),PMT(((1+'Instrumentos Financeiros'!$G$43)^(1/12)-1),$F$11,-$I$59),0)</f>
        <v>91768.589635900134</v>
      </c>
      <c r="E275" s="1312">
        <f t="shared" si="125"/>
        <v>70421.108694835944</v>
      </c>
      <c r="F275" s="1312">
        <f>G274*((1+'Instrumentos Financeiros'!$G$43)^(1/12)-1)</f>
        <v>21347.480941064186</v>
      </c>
      <c r="G275" s="1312">
        <f t="shared" si="159"/>
        <v>5159496.561270589</v>
      </c>
      <c r="H275" s="1312">
        <f>IF(AND(C275&gt;$F$60,'Instrumentos Financeiros'!C275&lt;'Instrumentos Financeiros'!$F$60+'Instrumentos Financeiros'!$F$11+1),PMT(((1+'Instrumentos Financeiros'!$G$43)^(1/12)-1),$F$11,-$I$60),0)</f>
        <v>0</v>
      </c>
      <c r="I275" s="1312">
        <f t="shared" si="160"/>
        <v>0</v>
      </c>
      <c r="J275" s="1312">
        <f>K274*((1+'Instrumentos Financeiros'!$G$43)^(1/12)-1)</f>
        <v>0</v>
      </c>
      <c r="K275" s="1312">
        <f t="shared" si="129"/>
        <v>0</v>
      </c>
      <c r="L275" s="1312">
        <f>IF(AND(C275&gt;$F$61,'Instrumentos Financeiros'!C275&lt;'Instrumentos Financeiros'!$F$61+'Instrumentos Financeiros'!$F$11+1),PMT(((1+'Instrumentos Financeiros'!$G$43)^(1/12)-1),$F$11,-$I$61),0)</f>
        <v>0</v>
      </c>
      <c r="M275" s="1312">
        <f t="shared" si="161"/>
        <v>0</v>
      </c>
      <c r="N275" s="1312">
        <f>O274*((1+'Instrumentos Financeiros'!$G$43)^(1/12)-1)</f>
        <v>0</v>
      </c>
      <c r="O275" s="1312">
        <f t="shared" si="130"/>
        <v>0</v>
      </c>
      <c r="P275" s="1312">
        <f>IF(AND(C275&gt;$F$62,'Instrumentos Financeiros'!C275&lt;'Instrumentos Financeiros'!$F$62+'Instrumentos Financeiros'!$F$11+1),PMT(((1+'Instrumentos Financeiros'!$H$43)^(1/12)-1),$F$11,-$I$62),0)</f>
        <v>0</v>
      </c>
      <c r="Q275" s="1312">
        <f t="shared" si="162"/>
        <v>0</v>
      </c>
      <c r="R275" s="1312">
        <f>S274*((1+'Instrumentos Financeiros'!$H$43)^(1/12)-1)</f>
        <v>0</v>
      </c>
      <c r="S275" s="1312">
        <f t="shared" si="131"/>
        <v>0</v>
      </c>
      <c r="T275" s="1312">
        <f>IF(AND(C275&gt;$F$63,'Instrumentos Financeiros'!C275&lt;'Instrumentos Financeiros'!$F$63+'Instrumentos Financeiros'!$F$11+1),PMT(((1+'Instrumentos Financeiros'!$H$43)^(1/12)-1),$F$11,-$I$63),0)</f>
        <v>0</v>
      </c>
      <c r="U275" s="1312">
        <f t="shared" si="163"/>
        <v>0</v>
      </c>
      <c r="V275" s="1312">
        <f>W274*((1+'Instrumentos Financeiros'!$H$43)^(1/12)-1)</f>
        <v>0</v>
      </c>
      <c r="W275" s="1312">
        <f t="shared" si="132"/>
        <v>0</v>
      </c>
      <c r="X275" s="1312">
        <f>IF(AND(C275&gt;$F$64,'Instrumentos Financeiros'!C275&lt;'Instrumentos Financeiros'!$F$64+'Instrumentos Financeiros'!$F$11+1),PMT(((1+'Instrumentos Financeiros'!$H$43)^(1/12)-1),$F$11,-$I$64),0)</f>
        <v>0</v>
      </c>
      <c r="Y275" s="1312">
        <f t="shared" si="164"/>
        <v>0</v>
      </c>
      <c r="Z275" s="1312">
        <f>AA274*((1+'Instrumentos Financeiros'!$H$43)^(1/12)-1)</f>
        <v>0</v>
      </c>
      <c r="AA275" s="1312">
        <f t="shared" si="133"/>
        <v>0</v>
      </c>
      <c r="AB275" s="1312">
        <f>IF(AND(C275&gt;$F$65,'Instrumentos Financeiros'!C275&lt;'Instrumentos Financeiros'!$F$65+'Instrumentos Financeiros'!$F$11+1),PMT(((1+'Instrumentos Financeiros'!$H$43)^(1/12)-1),$F$11,-$I$65),0)</f>
        <v>76636.661022032335</v>
      </c>
      <c r="AC275" s="1312">
        <f t="shared" si="165"/>
        <v>53568.240695876564</v>
      </c>
      <c r="AD275" s="1312">
        <f>AE274*((1+'Instrumentos Financeiros'!$H$43)^(1/12)-1)</f>
        <v>23068.420326155767</v>
      </c>
      <c r="AE275" s="1312">
        <f t="shared" si="134"/>
        <v>5281390.75760091</v>
      </c>
      <c r="AF275" s="1312">
        <f>IF(AND(C275&gt;$F$66,'Instrumentos Financeiros'!C275&lt;'Instrumentos Financeiros'!$F$66+'Instrumentos Financeiros'!$F$11+1),PMT(((1+'Instrumentos Financeiros'!$I$43)^(1/12)-1),$F$11,-$I$66),0)</f>
        <v>76636.661022032335</v>
      </c>
      <c r="AG275" s="1312">
        <f t="shared" si="166"/>
        <v>52879.318127891602</v>
      </c>
      <c r="AH275" s="1312">
        <f>AI274*((1+'Instrumentos Financeiros'!$I$43)^(1/12)-1)</f>
        <v>23757.342894140736</v>
      </c>
      <c r="AI275" s="1312">
        <f t="shared" si="135"/>
        <v>5441404.575468895</v>
      </c>
      <c r="AJ275" s="1312">
        <f>IF(AND(C275&gt;$F$67,'Instrumentos Financeiros'!C275&lt;'Instrumentos Financeiros'!$F$67+'Instrumentos Financeiros'!$F$11+1),PMT(((1+'Instrumentos Financeiros'!$I$43)^(1/12)-1),$F$11,-$I$67),0)</f>
        <v>76636.661022032335</v>
      </c>
      <c r="AK275" s="1312">
        <f t="shared" si="167"/>
        <v>52199.25555415907</v>
      </c>
      <c r="AL275" s="1312">
        <f>AM274*((1+'Instrumentos Financeiros'!$I$43)^(1/12)-1)</f>
        <v>24437.405467873265</v>
      </c>
      <c r="AM275" s="1312">
        <f t="shared" si="136"/>
        <v>5599360.5111125121</v>
      </c>
      <c r="AN275" s="1312">
        <f>IF(AND(C275&gt;$F$68,'Instrumentos Financeiros'!C275&lt;'Instrumentos Financeiros'!$F$68+'Instrumentos Financeiros'!$F$11+1),PMT(((1+'Instrumentos Financeiros'!$I$43)^(1/12)-1),$F$11,-$I$68),0)</f>
        <v>76636.661022032335</v>
      </c>
      <c r="AO275" s="1312">
        <f t="shared" si="168"/>
        <v>51527.93902936524</v>
      </c>
      <c r="AP275" s="1312">
        <f>AQ274*((1+'Instrumentos Financeiros'!$I$43)^(1/12)-1)</f>
        <v>25108.721992667091</v>
      </c>
      <c r="AQ275" s="1312">
        <f t="shared" si="137"/>
        <v>5755285.0302414475</v>
      </c>
      <c r="AR275" s="1312">
        <f>IF(AND(C275&gt;$F$69,'Instrumentos Financeiros'!C275&lt;'Instrumentos Financeiros'!$F$69+'Instrumentos Financeiros'!$F$11+1),PMT(((1+'Instrumentos Financeiros'!$I$43)^(1/12)-1),$F$11,-$I$69),0)</f>
        <v>0</v>
      </c>
      <c r="AS275" s="1312">
        <f t="shared" si="169"/>
        <v>0</v>
      </c>
      <c r="AT275" s="1312">
        <f>AU274*((1+'Instrumentos Financeiros'!$I$43)^(1/12)-1)</f>
        <v>0</v>
      </c>
      <c r="AU275" s="1312">
        <f t="shared" si="138"/>
        <v>0</v>
      </c>
      <c r="AV275" s="1312">
        <f>IF(AND(C275&gt;$F$70,'Instrumentos Financeiros'!C275&lt;'Instrumentos Financeiros'!$F$70+'Instrumentos Financeiros'!$F$11+1),PMT(((1+'Instrumentos Financeiros'!$J$43)^(1/12)-1),$F$11,-$I$70),0)</f>
        <v>0</v>
      </c>
      <c r="AW275" s="1312">
        <f t="shared" si="170"/>
        <v>0</v>
      </c>
      <c r="AX275" s="1312">
        <f>AY274*((1+'Instrumentos Financeiros'!$J$43)^(1/12)-1)</f>
        <v>0</v>
      </c>
      <c r="AY275" s="1312">
        <f t="shared" si="139"/>
        <v>0</v>
      </c>
      <c r="AZ275" s="1312">
        <f>IF(AND(C275&gt;$F$71,'Instrumentos Financeiros'!C275&lt;'Instrumentos Financeiros'!$F$71+'Instrumentos Financeiros'!$F$11+1),PMT(((1+'Instrumentos Financeiros'!$J$43)^(1/12)-1),$F$11,-$I$71),0)</f>
        <v>0</v>
      </c>
      <c r="BA275" s="1312">
        <f t="shared" si="171"/>
        <v>0</v>
      </c>
      <c r="BB275" s="1312">
        <f>BC274*((1+'Instrumentos Financeiros'!$J$43)^(1/12)-1)</f>
        <v>0</v>
      </c>
      <c r="BC275" s="1312">
        <f t="shared" si="140"/>
        <v>0</v>
      </c>
      <c r="BD275" s="1312">
        <f>IF(AND(C275&gt;$F$72,'Instrumentos Financeiros'!C275&lt;'Instrumentos Financeiros'!$F$72+'Instrumentos Financeiros'!$F$11+1),PMT(((1+'Instrumentos Financeiros'!$J$43)^(1/12)-1),$F$11,-'Instrumentos Financeiros'!$G$7*$G$72),0)</f>
        <v>0</v>
      </c>
      <c r="BE275" s="1312">
        <f t="shared" si="172"/>
        <v>0</v>
      </c>
      <c r="BF275" s="1312">
        <f>BG274*((1+'Instrumentos Financeiros'!$J$43)^(1/12)-1)</f>
        <v>0</v>
      </c>
      <c r="BG275" s="1312">
        <f t="shared" si="141"/>
        <v>0</v>
      </c>
      <c r="BH275" s="1312">
        <f>IF(AND(C275&gt;$F$73,'Instrumentos Financeiros'!C275&lt;'Instrumentos Financeiros'!$F$73+'Instrumentos Financeiros'!$F$11+1),PMT(((1+'Instrumentos Financeiros'!$J$43)^(1/12)-1),$F$11,-$I$73),0)</f>
        <v>0</v>
      </c>
      <c r="BI275" s="1312">
        <f t="shared" si="173"/>
        <v>0</v>
      </c>
      <c r="BJ275" s="1312">
        <f>BK274*((1+'Instrumentos Financeiros'!$J$43)^(1/12)-1)</f>
        <v>0</v>
      </c>
      <c r="BK275" s="1312">
        <f t="shared" si="142"/>
        <v>0</v>
      </c>
      <c r="BL275" s="1312">
        <f>IF(AND(C275&gt;$F$77,'Instrumentos Financeiros'!C275&lt;'Instrumentos Financeiros'!$F$77+'Instrumentos Financeiros'!$F$12+1),PMT(((1+'Instrumentos Financeiros'!$K$43)^(1/12)-1),$F$12,-$I$77),0)</f>
        <v>368.57912678094596</v>
      </c>
      <c r="BM275" s="1312">
        <f t="shared" si="143"/>
        <v>244.63320057367372</v>
      </c>
      <c r="BN275" s="1312">
        <f>BO274*((1+'Instrumentos Financeiros'!$K$43)^(1/12)-1)</f>
        <v>123.94592620727224</v>
      </c>
      <c r="BO275" s="1312">
        <f t="shared" si="144"/>
        <v>28419.940488157528</v>
      </c>
      <c r="BP275" s="1312">
        <f>IF(AND(C275&gt;$F$78,'Instrumentos Financeiros'!C275&lt;'Instrumentos Financeiros'!$F$78+'Instrumentos Financeiros'!$F$12+1),PMT(((1+'Instrumentos Financeiros'!$L$43)^(1/12)-1),$F$12,-$I$78),0)</f>
        <v>368.57912678094596</v>
      </c>
      <c r="BQ275" s="1312">
        <f t="shared" si="145"/>
        <v>241.48705781139012</v>
      </c>
      <c r="BR275" s="1312">
        <f>BS274*((1+'Instrumentos Financeiros'!$L$43)^(1/12)-1)</f>
        <v>127.09206896955584</v>
      </c>
      <c r="BS275" s="1312">
        <f t="shared" si="146"/>
        <v>29150.684897392366</v>
      </c>
      <c r="BT275" s="1312">
        <f>IF(AND(C275&gt;$F$79,'Instrumentos Financeiros'!C275&lt;'Instrumentos Financeiros'!$F$79+'Instrumentos Financeiros'!$F$12+1),PMT(((1+'Instrumentos Financeiros'!$L$43)^(1/12)-1),$F$12,-$I$79),0)</f>
        <v>368.57912678094596</v>
      </c>
      <c r="BU275" s="1312">
        <f t="shared" si="147"/>
        <v>238.38137650019925</v>
      </c>
      <c r="BV275" s="1312">
        <f>BW274*((1+'Instrumentos Financeiros'!$L$43)^(1/12)-1)</f>
        <v>130.1977502807467</v>
      </c>
      <c r="BW275" s="1312">
        <f t="shared" si="148"/>
        <v>29872.031456176806</v>
      </c>
      <c r="BX275" s="1312">
        <f>IF(AND(C275&gt;$F$80,'Instrumentos Financeiros'!C275&lt;'Instrumentos Financeiros'!$F$80+'Instrumentos Financeiros'!$F$12+1),PMT(((1+'Instrumentos Financeiros'!$L$43)^(1/12)-1),$F$12,-$I$80),0)</f>
        <v>368.57912678094596</v>
      </c>
      <c r="BY275" s="1312">
        <f t="shared" si="149"/>
        <v>235.31563627940923</v>
      </c>
      <c r="BZ275" s="1312">
        <f>CA274*((1+'Instrumentos Financeiros'!$L$43)^(1/12)-1)</f>
        <v>133.26349050153672</v>
      </c>
      <c r="CA275" s="1312">
        <f t="shared" si="150"/>
        <v>30584.101027006644</v>
      </c>
      <c r="CB275" s="1312">
        <f>IF(AND(C275&gt;$F$83,'Instrumentos Financeiros'!C275&lt;'Instrumentos Financeiros'!$F$83+'Instrumentos Financeiros'!$F$13+1),PMT(((1+'Instrumentos Financeiros'!$P$43)^(1/12)-1),$F$13,-$I$83),0)</f>
        <v>30503.390100238979</v>
      </c>
      <c r="CC275" s="1312">
        <f t="shared" si="151"/>
        <v>14839.384246559915</v>
      </c>
      <c r="CD275" s="1312">
        <f>CE274*((1+'Instrumentos Financeiros'!$P$43)^(1/12)-1)</f>
        <v>15664.005853679064</v>
      </c>
      <c r="CE275" s="1312">
        <f t="shared" si="152"/>
        <v>3607724.6143687996</v>
      </c>
      <c r="CF275" s="1312">
        <f>IF(AND(C275&gt;$F$84,'Instrumentos Financeiros'!C275&lt;'Instrumentos Financeiros'!$F$84+'Instrumentos Financeiros'!$F$13+1),PMT(((1+'Instrumentos Financeiros'!$Q$43)^(1/12)-1),$F$13,-$I$84),0)</f>
        <v>30503.390100238979</v>
      </c>
      <c r="CG275" s="1312">
        <f t="shared" si="153"/>
        <v>14648.540071547786</v>
      </c>
      <c r="CH275" s="1312">
        <f>CI274*((1+'Instrumentos Financeiros'!$Q$43)^(1/12)-1)</f>
        <v>15854.850028691193</v>
      </c>
      <c r="CI275" s="1312">
        <f t="shared" si="154"/>
        <v>3652051.3739796458</v>
      </c>
      <c r="CJ275" s="1312">
        <f>IF(AND(C275&gt;$F$85,'Instrumentos Financeiros'!C275&lt;'Instrumentos Financeiros'!$F$85+'Instrumentos Financeiros'!$F$13+1),PMT(((1+'Instrumentos Financeiros'!$Q$43)^(1/12)-1),$F$13,-$I$85),0)</f>
        <v>30503.390100238979</v>
      </c>
      <c r="CK275" s="1312">
        <f t="shared" si="155"/>
        <v>14460.150277292358</v>
      </c>
      <c r="CL275" s="1312">
        <f>CM274*((1+'Instrumentos Financeiros'!$Q$43)^(1/12)-1)</f>
        <v>16043.239822946622</v>
      </c>
      <c r="CM275" s="1312">
        <f t="shared" si="156"/>
        <v>3695808.0625061174</v>
      </c>
      <c r="CN275" s="1312">
        <f>IF(AND(C275&gt;$F$86,'Instrumentos Financeiros'!C275&lt;'Instrumentos Financeiros'!$F$86+'Instrumentos Financeiros'!$F$13+1),PMT(((1+'Instrumentos Financeiros'!$Q$43)^(1/12)-1),$F$13,-$I$86),0)</f>
        <v>30503.390100238979</v>
      </c>
      <c r="CO275" s="1312">
        <f t="shared" si="157"/>
        <v>14274.183298853815</v>
      </c>
      <c r="CP275" s="1312">
        <f>CQ274*((1+'Instrumentos Financeiros'!$Q$43)^(1/12)-1)</f>
        <v>16229.206801385164</v>
      </c>
      <c r="CQ275" s="1312">
        <f t="shared" si="158"/>
        <v>3739002.0114347488</v>
      </c>
      <c r="CR275" s="1312">
        <f t="shared" si="127"/>
        <v>521803.11063210916</v>
      </c>
      <c r="CS275" s="1312">
        <f t="shared" si="127"/>
        <v>339777.93726754701</v>
      </c>
      <c r="CT275" s="1312">
        <f t="shared" si="127"/>
        <v>182025.17336456222</v>
      </c>
      <c r="CU275" s="1312">
        <f t="shared" si="127"/>
        <v>42049550.255852394</v>
      </c>
    </row>
    <row r="276" spans="3:99" x14ac:dyDescent="0.35">
      <c r="C276" s="1315">
        <f t="shared" si="128"/>
        <v>183</v>
      </c>
      <c r="D276" s="1312">
        <f>IF(AND(C276&gt;$F$59,'Instrumentos Financeiros'!C276&lt;'Instrumentos Financeiros'!$F$59+'Instrumentos Financeiros'!$F$11+1),PMT(((1+'Instrumentos Financeiros'!$G$43)^(1/12)-1),$F$11,-$I$59),0)</f>
        <v>91768.589635900134</v>
      </c>
      <c r="E276" s="1312">
        <f t="shared" si="125"/>
        <v>70708.55361664512</v>
      </c>
      <c r="F276" s="1312">
        <f>G275*((1+'Instrumentos Financeiros'!$G$43)^(1/12)-1)</f>
        <v>21060.036019255014</v>
      </c>
      <c r="G276" s="1312">
        <f t="shared" si="159"/>
        <v>5088788.0076539442</v>
      </c>
      <c r="H276" s="1312">
        <f>IF(AND(C276&gt;$F$60,'Instrumentos Financeiros'!C276&lt;'Instrumentos Financeiros'!$F$60+'Instrumentos Financeiros'!$F$11+1),PMT(((1+'Instrumentos Financeiros'!$G$43)^(1/12)-1),$F$11,-$I$60),0)</f>
        <v>0</v>
      </c>
      <c r="I276" s="1312">
        <f t="shared" si="160"/>
        <v>0</v>
      </c>
      <c r="J276" s="1312">
        <f>K275*((1+'Instrumentos Financeiros'!$G$43)^(1/12)-1)</f>
        <v>0</v>
      </c>
      <c r="K276" s="1312">
        <f t="shared" si="129"/>
        <v>0</v>
      </c>
      <c r="L276" s="1312">
        <f>IF(AND(C276&gt;$F$61,'Instrumentos Financeiros'!C276&lt;'Instrumentos Financeiros'!$F$61+'Instrumentos Financeiros'!$F$11+1),PMT(((1+'Instrumentos Financeiros'!$G$43)^(1/12)-1),$F$11,-$I$61),0)</f>
        <v>0</v>
      </c>
      <c r="M276" s="1312">
        <f t="shared" si="161"/>
        <v>0</v>
      </c>
      <c r="N276" s="1312">
        <f>O275*((1+'Instrumentos Financeiros'!$G$43)^(1/12)-1)</f>
        <v>0</v>
      </c>
      <c r="O276" s="1312">
        <f t="shared" si="130"/>
        <v>0</v>
      </c>
      <c r="P276" s="1312">
        <f>IF(AND(C276&gt;$F$62,'Instrumentos Financeiros'!C276&lt;'Instrumentos Financeiros'!$F$62+'Instrumentos Financeiros'!$F$11+1),PMT(((1+'Instrumentos Financeiros'!$H$43)^(1/12)-1),$F$11,-$I$62),0)</f>
        <v>0</v>
      </c>
      <c r="Q276" s="1312">
        <f t="shared" si="162"/>
        <v>0</v>
      </c>
      <c r="R276" s="1312">
        <f>S275*((1+'Instrumentos Financeiros'!$H$43)^(1/12)-1)</f>
        <v>0</v>
      </c>
      <c r="S276" s="1312">
        <f t="shared" si="131"/>
        <v>0</v>
      </c>
      <c r="T276" s="1312">
        <f>IF(AND(C276&gt;$F$63,'Instrumentos Financeiros'!C276&lt;'Instrumentos Financeiros'!$F$63+'Instrumentos Financeiros'!$F$11+1),PMT(((1+'Instrumentos Financeiros'!$H$43)^(1/12)-1),$F$11,-$I$63),0)</f>
        <v>0</v>
      </c>
      <c r="U276" s="1312">
        <f t="shared" si="163"/>
        <v>0</v>
      </c>
      <c r="V276" s="1312">
        <f>W275*((1+'Instrumentos Financeiros'!$H$43)^(1/12)-1)</f>
        <v>0</v>
      </c>
      <c r="W276" s="1312">
        <f t="shared" si="132"/>
        <v>0</v>
      </c>
      <c r="X276" s="1312">
        <f>IF(AND(C276&gt;$F$64,'Instrumentos Financeiros'!C276&lt;'Instrumentos Financeiros'!$F$64+'Instrumentos Financeiros'!$F$11+1),PMT(((1+'Instrumentos Financeiros'!$H$43)^(1/12)-1),$F$11,-$I$64),0)</f>
        <v>0</v>
      </c>
      <c r="Y276" s="1312">
        <f t="shared" si="164"/>
        <v>0</v>
      </c>
      <c r="Z276" s="1312">
        <f>AA275*((1+'Instrumentos Financeiros'!$H$43)^(1/12)-1)</f>
        <v>0</v>
      </c>
      <c r="AA276" s="1312">
        <f t="shared" si="133"/>
        <v>0</v>
      </c>
      <c r="AB276" s="1312">
        <f>IF(AND(C276&gt;$F$65,'Instrumentos Financeiros'!C276&lt;'Instrumentos Financeiros'!$F$65+'Instrumentos Financeiros'!$F$11+1),PMT(((1+'Instrumentos Financeiros'!$H$43)^(1/12)-1),$F$11,-$I$65),0)</f>
        <v>76636.661022032335</v>
      </c>
      <c r="AC276" s="1312">
        <f t="shared" si="165"/>
        <v>53799.870347182172</v>
      </c>
      <c r="AD276" s="1312">
        <f>AE275*((1+'Instrumentos Financeiros'!$H$43)^(1/12)-1)</f>
        <v>22836.790674850163</v>
      </c>
      <c r="AE276" s="1312">
        <f t="shared" si="134"/>
        <v>5227590.8872537278</v>
      </c>
      <c r="AF276" s="1312">
        <f>IF(AND(C276&gt;$F$66,'Instrumentos Financeiros'!C276&lt;'Instrumentos Financeiros'!$F$66+'Instrumentos Financeiros'!$F$11+1),PMT(((1+'Instrumentos Financeiros'!$I$43)^(1/12)-1),$F$11,-$I$66),0)</f>
        <v>76636.661022032335</v>
      </c>
      <c r="AG276" s="1312">
        <f t="shared" si="166"/>
        <v>53107.968870572877</v>
      </c>
      <c r="AH276" s="1312">
        <f>AI275*((1+'Instrumentos Financeiros'!$I$43)^(1/12)-1)</f>
        <v>23528.692151459461</v>
      </c>
      <c r="AI276" s="1312">
        <f t="shared" si="135"/>
        <v>5388296.6065983223</v>
      </c>
      <c r="AJ276" s="1312">
        <f>IF(AND(C276&gt;$F$67,'Instrumentos Financeiros'!C276&lt;'Instrumentos Financeiros'!$F$67+'Instrumentos Financeiros'!$F$11+1),PMT(((1+'Instrumentos Financeiros'!$I$43)^(1/12)-1),$F$11,-$I$67),0)</f>
        <v>76636.661022032335</v>
      </c>
      <c r="AK276" s="1312">
        <f t="shared" si="167"/>
        <v>52424.965698926855</v>
      </c>
      <c r="AL276" s="1312">
        <f>AM275*((1+'Instrumentos Financeiros'!$I$43)^(1/12)-1)</f>
        <v>24211.695323105479</v>
      </c>
      <c r="AM276" s="1312">
        <f t="shared" si="136"/>
        <v>5546935.5454135854</v>
      </c>
      <c r="AN276" s="1312">
        <f>IF(AND(C276&gt;$F$68,'Instrumentos Financeiros'!C276&lt;'Instrumentos Financeiros'!$F$68+'Instrumentos Financeiros'!$F$11+1),PMT(((1+'Instrumentos Financeiros'!$I$43)^(1/12)-1),$F$11,-$I$68),0)</f>
        <v>76636.661022032335</v>
      </c>
      <c r="AO276" s="1312">
        <f t="shared" si="168"/>
        <v>51750.746394229602</v>
      </c>
      <c r="AP276" s="1312">
        <f>AQ275*((1+'Instrumentos Financeiros'!$I$43)^(1/12)-1)</f>
        <v>24885.914627802729</v>
      </c>
      <c r="AQ276" s="1312">
        <f t="shared" si="137"/>
        <v>5703534.2838472174</v>
      </c>
      <c r="AR276" s="1312">
        <f>IF(AND(C276&gt;$F$69,'Instrumentos Financeiros'!C276&lt;'Instrumentos Financeiros'!$F$69+'Instrumentos Financeiros'!$F$11+1),PMT(((1+'Instrumentos Financeiros'!$I$43)^(1/12)-1),$F$11,-$I$69),0)</f>
        <v>0</v>
      </c>
      <c r="AS276" s="1312">
        <f t="shared" si="169"/>
        <v>0</v>
      </c>
      <c r="AT276" s="1312">
        <f>AU275*((1+'Instrumentos Financeiros'!$I$43)^(1/12)-1)</f>
        <v>0</v>
      </c>
      <c r="AU276" s="1312">
        <f t="shared" si="138"/>
        <v>0</v>
      </c>
      <c r="AV276" s="1312">
        <f>IF(AND(C276&gt;$F$70,'Instrumentos Financeiros'!C276&lt;'Instrumentos Financeiros'!$F$70+'Instrumentos Financeiros'!$F$11+1),PMT(((1+'Instrumentos Financeiros'!$J$43)^(1/12)-1),$F$11,-$I$70),0)</f>
        <v>0</v>
      </c>
      <c r="AW276" s="1312">
        <f t="shared" si="170"/>
        <v>0</v>
      </c>
      <c r="AX276" s="1312">
        <f>AY275*((1+'Instrumentos Financeiros'!$J$43)^(1/12)-1)</f>
        <v>0</v>
      </c>
      <c r="AY276" s="1312">
        <f t="shared" si="139"/>
        <v>0</v>
      </c>
      <c r="AZ276" s="1312">
        <f>IF(AND(C276&gt;$F$71,'Instrumentos Financeiros'!C276&lt;'Instrumentos Financeiros'!$F$71+'Instrumentos Financeiros'!$F$11+1),PMT(((1+'Instrumentos Financeiros'!$J$43)^(1/12)-1),$F$11,-$I$71),0)</f>
        <v>0</v>
      </c>
      <c r="BA276" s="1312">
        <f t="shared" si="171"/>
        <v>0</v>
      </c>
      <c r="BB276" s="1312">
        <f>BC275*((1+'Instrumentos Financeiros'!$J$43)^(1/12)-1)</f>
        <v>0</v>
      </c>
      <c r="BC276" s="1312">
        <f t="shared" si="140"/>
        <v>0</v>
      </c>
      <c r="BD276" s="1312">
        <f>IF(AND(C276&gt;$F$72,'Instrumentos Financeiros'!C276&lt;'Instrumentos Financeiros'!$F$72+'Instrumentos Financeiros'!$F$11+1),PMT(((1+'Instrumentos Financeiros'!$J$43)^(1/12)-1),$F$11,-'Instrumentos Financeiros'!$G$7*$G$72),0)</f>
        <v>0</v>
      </c>
      <c r="BE276" s="1312">
        <f t="shared" si="172"/>
        <v>0</v>
      </c>
      <c r="BF276" s="1312">
        <f>BG275*((1+'Instrumentos Financeiros'!$J$43)^(1/12)-1)</f>
        <v>0</v>
      </c>
      <c r="BG276" s="1312">
        <f t="shared" si="141"/>
        <v>0</v>
      </c>
      <c r="BH276" s="1312">
        <f>IF(AND(C276&gt;$F$73,'Instrumentos Financeiros'!C276&lt;'Instrumentos Financeiros'!$F$73+'Instrumentos Financeiros'!$F$11+1),PMT(((1+'Instrumentos Financeiros'!$J$43)^(1/12)-1),$F$11,-$I$73),0)</f>
        <v>0</v>
      </c>
      <c r="BI276" s="1312">
        <f t="shared" si="173"/>
        <v>0</v>
      </c>
      <c r="BJ276" s="1312">
        <f>BK275*((1+'Instrumentos Financeiros'!$J$43)^(1/12)-1)</f>
        <v>0</v>
      </c>
      <c r="BK276" s="1312">
        <f t="shared" si="142"/>
        <v>0</v>
      </c>
      <c r="BL276" s="1312">
        <f>IF(AND(C276&gt;$F$77,'Instrumentos Financeiros'!C276&lt;'Instrumentos Financeiros'!$F$77+'Instrumentos Financeiros'!$F$12+1),PMT(((1+'Instrumentos Financeiros'!$K$43)^(1/12)-1),$F$12,-$I$77),0)</f>
        <v>368.57912678094596</v>
      </c>
      <c r="BM276" s="1312">
        <f t="shared" si="143"/>
        <v>245.69099717499114</v>
      </c>
      <c r="BN276" s="1312">
        <f>BO275*((1+'Instrumentos Financeiros'!$K$43)^(1/12)-1)</f>
        <v>122.8881296059548</v>
      </c>
      <c r="BO276" s="1312">
        <f t="shared" si="144"/>
        <v>28174.249490982536</v>
      </c>
      <c r="BP276" s="1312">
        <f>IF(AND(C276&gt;$F$78,'Instrumentos Financeiros'!C276&lt;'Instrumentos Financeiros'!$F$78+'Instrumentos Financeiros'!$F$12+1),PMT(((1+'Instrumentos Financeiros'!$L$43)^(1/12)-1),$F$12,-$I$78),0)</f>
        <v>368.57912678094596</v>
      </c>
      <c r="BQ276" s="1312">
        <f t="shared" si="145"/>
        <v>242.53125045742513</v>
      </c>
      <c r="BR276" s="1312">
        <f>BS275*((1+'Instrumentos Financeiros'!$L$43)^(1/12)-1)</f>
        <v>126.04787632352082</v>
      </c>
      <c r="BS276" s="1312">
        <f t="shared" si="146"/>
        <v>28908.153646934941</v>
      </c>
      <c r="BT276" s="1312">
        <f>IF(AND(C276&gt;$F$79,'Instrumentos Financeiros'!C276&lt;'Instrumentos Financeiros'!$F$79+'Instrumentos Financeiros'!$F$12+1),PMT(((1+'Instrumentos Financeiros'!$L$43)^(1/12)-1),$F$12,-$I$79),0)</f>
        <v>368.57912678094596</v>
      </c>
      <c r="BU276" s="1312">
        <f t="shared" si="147"/>
        <v>239.41214014670334</v>
      </c>
      <c r="BV276" s="1312">
        <f>BW275*((1+'Instrumentos Financeiros'!$L$43)^(1/12)-1)</f>
        <v>129.16698663424262</v>
      </c>
      <c r="BW276" s="1312">
        <f t="shared" si="148"/>
        <v>29632.619316030105</v>
      </c>
      <c r="BX276" s="1312">
        <f>IF(AND(C276&gt;$F$80,'Instrumentos Financeiros'!C276&lt;'Instrumentos Financeiros'!$F$80+'Instrumentos Financeiros'!$F$12+1),PMT(((1+'Instrumentos Financeiros'!$L$43)^(1/12)-1),$F$12,-$I$80),0)</f>
        <v>368.57912678094596</v>
      </c>
      <c r="BY276" s="1312">
        <f t="shared" si="149"/>
        <v>236.33314363208865</v>
      </c>
      <c r="BZ276" s="1312">
        <f>CA275*((1+'Instrumentos Financeiros'!$L$43)^(1/12)-1)</f>
        <v>132.24598314885731</v>
      </c>
      <c r="CA276" s="1312">
        <f t="shared" si="150"/>
        <v>30347.767883374556</v>
      </c>
      <c r="CB276" s="1312">
        <f>IF(AND(C276&gt;$F$83,'Instrumentos Financeiros'!C276&lt;'Instrumentos Financeiros'!$F$83+'Instrumentos Financeiros'!$F$13+1),PMT(((1+'Instrumentos Financeiros'!$P$43)^(1/12)-1),$F$13,-$I$83),0)</f>
        <v>30503.390100238979</v>
      </c>
      <c r="CC276" s="1312">
        <f t="shared" si="151"/>
        <v>14903.549904307289</v>
      </c>
      <c r="CD276" s="1312">
        <f>CE275*((1+'Instrumentos Financeiros'!$P$43)^(1/12)-1)</f>
        <v>15599.840195931691</v>
      </c>
      <c r="CE276" s="1312">
        <f t="shared" si="152"/>
        <v>3592821.0644644923</v>
      </c>
      <c r="CF276" s="1312">
        <f>IF(AND(C276&gt;$F$84,'Instrumentos Financeiros'!C276&lt;'Instrumentos Financeiros'!$F$84+'Instrumentos Financeiros'!$F$13+1),PMT(((1+'Instrumentos Financeiros'!$Q$43)^(1/12)-1),$F$13,-$I$84),0)</f>
        <v>30503.390100238979</v>
      </c>
      <c r="CG276" s="1312">
        <f t="shared" si="153"/>
        <v>14711.880517021291</v>
      </c>
      <c r="CH276" s="1312">
        <f>CI275*((1+'Instrumentos Financeiros'!$Q$43)^(1/12)-1)</f>
        <v>15791.509583217688</v>
      </c>
      <c r="CI276" s="1312">
        <f t="shared" si="154"/>
        <v>3637339.4934626245</v>
      </c>
      <c r="CJ276" s="1312">
        <f>IF(AND(C276&gt;$F$85,'Instrumentos Financeiros'!C276&lt;'Instrumentos Financeiros'!$F$85+'Instrumentos Financeiros'!$F$13+1),PMT(((1+'Instrumentos Financeiros'!$Q$43)^(1/12)-1),$F$13,-$I$85),0)</f>
        <v>30503.390100238979</v>
      </c>
      <c r="CK276" s="1312">
        <f t="shared" si="155"/>
        <v>14522.676123260893</v>
      </c>
      <c r="CL276" s="1312">
        <f>CM275*((1+'Instrumentos Financeiros'!$Q$43)^(1/12)-1)</f>
        <v>15980.713976978086</v>
      </c>
      <c r="CM276" s="1312">
        <f t="shared" si="156"/>
        <v>3681285.3863828564</v>
      </c>
      <c r="CN276" s="1312">
        <f>IF(AND(C276&gt;$F$86,'Instrumentos Financeiros'!C276&lt;'Instrumentos Financeiros'!$F$86+'Instrumentos Financeiros'!$F$13+1),PMT(((1+'Instrumentos Financeiros'!$Q$43)^(1/12)-1),$F$13,-$I$86),0)</f>
        <v>30503.390100238979</v>
      </c>
      <c r="CO276" s="1312">
        <f t="shared" si="157"/>
        <v>14335.905021599139</v>
      </c>
      <c r="CP276" s="1312">
        <f>CQ275*((1+'Instrumentos Financeiros'!$Q$43)^(1/12)-1)</f>
        <v>16167.48507863984</v>
      </c>
      <c r="CQ276" s="1312">
        <f t="shared" si="158"/>
        <v>3724666.1064131497</v>
      </c>
      <c r="CR276" s="1312">
        <f t="shared" si="127"/>
        <v>521803.11063210916</v>
      </c>
      <c r="CS276" s="1312">
        <f t="shared" si="127"/>
        <v>341230.08402515651</v>
      </c>
      <c r="CT276" s="1312">
        <f t="shared" si="127"/>
        <v>180573.02660695274</v>
      </c>
      <c r="CU276" s="1312">
        <f t="shared" si="127"/>
        <v>41708320.171827234</v>
      </c>
    </row>
    <row r="277" spans="3:99" x14ac:dyDescent="0.35">
      <c r="C277" s="1315">
        <f t="shared" si="128"/>
        <v>184</v>
      </c>
      <c r="D277" s="1312">
        <f>IF(AND(C277&gt;$F$59,'Instrumentos Financeiros'!C277&lt;'Instrumentos Financeiros'!$F$59+'Instrumentos Financeiros'!$F$11+1),PMT(((1+'Instrumentos Financeiros'!$G$43)^(1/12)-1),$F$11,-$I$59),0)</f>
        <v>91768.589635900134</v>
      </c>
      <c r="E277" s="1312">
        <f t="shared" si="125"/>
        <v>70997.171831300788</v>
      </c>
      <c r="F277" s="1312">
        <f>G276*((1+'Instrumentos Financeiros'!$G$43)^(1/12)-1)</f>
        <v>20771.41780459935</v>
      </c>
      <c r="G277" s="1312">
        <f t="shared" si="159"/>
        <v>5017790.8358226437</v>
      </c>
      <c r="H277" s="1312">
        <f>IF(AND(C277&gt;$F$60,'Instrumentos Financeiros'!C277&lt;'Instrumentos Financeiros'!$F$60+'Instrumentos Financeiros'!$F$11+1),PMT(((1+'Instrumentos Financeiros'!$G$43)^(1/12)-1),$F$11,-$I$60),0)</f>
        <v>0</v>
      </c>
      <c r="I277" s="1312">
        <f t="shared" si="160"/>
        <v>0</v>
      </c>
      <c r="J277" s="1312">
        <f>K276*((1+'Instrumentos Financeiros'!$G$43)^(1/12)-1)</f>
        <v>0</v>
      </c>
      <c r="K277" s="1312">
        <f t="shared" si="129"/>
        <v>0</v>
      </c>
      <c r="L277" s="1312">
        <f>IF(AND(C277&gt;$F$61,'Instrumentos Financeiros'!C277&lt;'Instrumentos Financeiros'!$F$61+'Instrumentos Financeiros'!$F$11+1),PMT(((1+'Instrumentos Financeiros'!$G$43)^(1/12)-1),$F$11,-$I$61),0)</f>
        <v>0</v>
      </c>
      <c r="M277" s="1312">
        <f t="shared" si="161"/>
        <v>0</v>
      </c>
      <c r="N277" s="1312">
        <f>O276*((1+'Instrumentos Financeiros'!$G$43)^(1/12)-1)</f>
        <v>0</v>
      </c>
      <c r="O277" s="1312">
        <f t="shared" si="130"/>
        <v>0</v>
      </c>
      <c r="P277" s="1312">
        <f>IF(AND(C277&gt;$F$62,'Instrumentos Financeiros'!C277&lt;'Instrumentos Financeiros'!$F$62+'Instrumentos Financeiros'!$F$11+1),PMT(((1+'Instrumentos Financeiros'!$H$43)^(1/12)-1),$F$11,-$I$62),0)</f>
        <v>0</v>
      </c>
      <c r="Q277" s="1312">
        <f t="shared" si="162"/>
        <v>0</v>
      </c>
      <c r="R277" s="1312">
        <f>S276*((1+'Instrumentos Financeiros'!$H$43)^(1/12)-1)</f>
        <v>0</v>
      </c>
      <c r="S277" s="1312">
        <f t="shared" si="131"/>
        <v>0</v>
      </c>
      <c r="T277" s="1312">
        <f>IF(AND(C277&gt;$F$63,'Instrumentos Financeiros'!C277&lt;'Instrumentos Financeiros'!$F$63+'Instrumentos Financeiros'!$F$11+1),PMT(((1+'Instrumentos Financeiros'!$H$43)^(1/12)-1),$F$11,-$I$63),0)</f>
        <v>0</v>
      </c>
      <c r="U277" s="1312">
        <f t="shared" si="163"/>
        <v>0</v>
      </c>
      <c r="V277" s="1312">
        <f>W276*((1+'Instrumentos Financeiros'!$H$43)^(1/12)-1)</f>
        <v>0</v>
      </c>
      <c r="W277" s="1312">
        <f t="shared" si="132"/>
        <v>0</v>
      </c>
      <c r="X277" s="1312">
        <f>IF(AND(C277&gt;$F$64,'Instrumentos Financeiros'!C277&lt;'Instrumentos Financeiros'!$F$64+'Instrumentos Financeiros'!$F$11+1),PMT(((1+'Instrumentos Financeiros'!$H$43)^(1/12)-1),$F$11,-$I$64),0)</f>
        <v>0</v>
      </c>
      <c r="Y277" s="1312">
        <f t="shared" si="164"/>
        <v>0</v>
      </c>
      <c r="Z277" s="1312">
        <f>AA276*((1+'Instrumentos Financeiros'!$H$43)^(1/12)-1)</f>
        <v>0</v>
      </c>
      <c r="AA277" s="1312">
        <f t="shared" si="133"/>
        <v>0</v>
      </c>
      <c r="AB277" s="1312">
        <f>IF(AND(C277&gt;$F$65,'Instrumentos Financeiros'!C277&lt;'Instrumentos Financeiros'!$F$65+'Instrumentos Financeiros'!$F$11+1),PMT(((1+'Instrumentos Financeiros'!$H$43)^(1/12)-1),$F$11,-$I$65),0)</f>
        <v>76636.661022032335</v>
      </c>
      <c r="AC277" s="1312">
        <f t="shared" si="165"/>
        <v>54032.501567601619</v>
      </c>
      <c r="AD277" s="1312">
        <f>AE276*((1+'Instrumentos Financeiros'!$H$43)^(1/12)-1)</f>
        <v>22604.159454430719</v>
      </c>
      <c r="AE277" s="1312">
        <f t="shared" si="134"/>
        <v>5173558.3856861265</v>
      </c>
      <c r="AF277" s="1312">
        <f>IF(AND(C277&gt;$F$66,'Instrumentos Financeiros'!C277&lt;'Instrumentos Financeiros'!$F$66+'Instrumentos Financeiros'!$F$11+1),PMT(((1+'Instrumentos Financeiros'!$I$43)^(1/12)-1),$F$11,-$I$66),0)</f>
        <v>76636.661022032335</v>
      </c>
      <c r="AG277" s="1312">
        <f t="shared" si="166"/>
        <v>53337.608301534929</v>
      </c>
      <c r="AH277" s="1312">
        <f>AI276*((1+'Instrumentos Financeiros'!$I$43)^(1/12)-1)</f>
        <v>23299.052720497406</v>
      </c>
      <c r="AI277" s="1312">
        <f t="shared" si="135"/>
        <v>5334958.998296787</v>
      </c>
      <c r="AJ277" s="1312">
        <f>IF(AND(C277&gt;$F$67,'Instrumentos Financeiros'!C277&lt;'Instrumentos Financeiros'!$F$67+'Instrumentos Financeiros'!$F$11+1),PMT(((1+'Instrumentos Financeiros'!$I$43)^(1/12)-1),$F$11,-$I$67),0)</f>
        <v>76636.661022032335</v>
      </c>
      <c r="AK277" s="1312">
        <f t="shared" si="167"/>
        <v>52651.651816798287</v>
      </c>
      <c r="AL277" s="1312">
        <f>AM276*((1+'Instrumentos Financeiros'!$I$43)^(1/12)-1)</f>
        <v>23985.009205234051</v>
      </c>
      <c r="AM277" s="1312">
        <f t="shared" si="136"/>
        <v>5494283.893596787</v>
      </c>
      <c r="AN277" s="1312">
        <f>IF(AND(C277&gt;$F$68,'Instrumentos Financeiros'!C277&lt;'Instrumentos Financeiros'!$F$68+'Instrumentos Financeiros'!$F$11+1),PMT(((1+'Instrumentos Financeiros'!$I$43)^(1/12)-1),$F$11,-$I$68),0)</f>
        <v>76636.661022032335</v>
      </c>
      <c r="AO277" s="1312">
        <f t="shared" si="168"/>
        <v>51974.517180545961</v>
      </c>
      <c r="AP277" s="1312">
        <f>AQ276*((1+'Instrumentos Financeiros'!$I$43)^(1/12)-1)</f>
        <v>24662.143841486373</v>
      </c>
      <c r="AQ277" s="1312">
        <f t="shared" si="137"/>
        <v>5651559.7666666713</v>
      </c>
      <c r="AR277" s="1312">
        <f>IF(AND(C277&gt;$F$69,'Instrumentos Financeiros'!C277&lt;'Instrumentos Financeiros'!$F$69+'Instrumentos Financeiros'!$F$11+1),PMT(((1+'Instrumentos Financeiros'!$I$43)^(1/12)-1),$F$11,-$I$69),0)</f>
        <v>0</v>
      </c>
      <c r="AS277" s="1312">
        <f t="shared" si="169"/>
        <v>0</v>
      </c>
      <c r="AT277" s="1312">
        <f>AU276*((1+'Instrumentos Financeiros'!$I$43)^(1/12)-1)</f>
        <v>0</v>
      </c>
      <c r="AU277" s="1312">
        <f t="shared" si="138"/>
        <v>0</v>
      </c>
      <c r="AV277" s="1312">
        <f>IF(AND(C277&gt;$F$70,'Instrumentos Financeiros'!C277&lt;'Instrumentos Financeiros'!$F$70+'Instrumentos Financeiros'!$F$11+1),PMT(((1+'Instrumentos Financeiros'!$J$43)^(1/12)-1),$F$11,-$I$70),0)</f>
        <v>0</v>
      </c>
      <c r="AW277" s="1312">
        <f t="shared" si="170"/>
        <v>0</v>
      </c>
      <c r="AX277" s="1312">
        <f>AY276*((1+'Instrumentos Financeiros'!$J$43)^(1/12)-1)</f>
        <v>0</v>
      </c>
      <c r="AY277" s="1312">
        <f t="shared" si="139"/>
        <v>0</v>
      </c>
      <c r="AZ277" s="1312">
        <f>IF(AND(C277&gt;$F$71,'Instrumentos Financeiros'!C277&lt;'Instrumentos Financeiros'!$F$71+'Instrumentos Financeiros'!$F$11+1),PMT(((1+'Instrumentos Financeiros'!$J$43)^(1/12)-1),$F$11,-$I$71),0)</f>
        <v>0</v>
      </c>
      <c r="BA277" s="1312">
        <f t="shared" si="171"/>
        <v>0</v>
      </c>
      <c r="BB277" s="1312">
        <f>BC276*((1+'Instrumentos Financeiros'!$J$43)^(1/12)-1)</f>
        <v>0</v>
      </c>
      <c r="BC277" s="1312">
        <f t="shared" si="140"/>
        <v>0</v>
      </c>
      <c r="BD277" s="1312">
        <f>IF(AND(C277&gt;$F$72,'Instrumentos Financeiros'!C277&lt;'Instrumentos Financeiros'!$F$72+'Instrumentos Financeiros'!$F$11+1),PMT(((1+'Instrumentos Financeiros'!$J$43)^(1/12)-1),$F$11,-'Instrumentos Financeiros'!$G$7*$G$72),0)</f>
        <v>0</v>
      </c>
      <c r="BE277" s="1312">
        <f t="shared" si="172"/>
        <v>0</v>
      </c>
      <c r="BF277" s="1312">
        <f>BG276*((1+'Instrumentos Financeiros'!$J$43)^(1/12)-1)</f>
        <v>0</v>
      </c>
      <c r="BG277" s="1312">
        <f t="shared" si="141"/>
        <v>0</v>
      </c>
      <c r="BH277" s="1312">
        <f>IF(AND(C277&gt;$F$73,'Instrumentos Financeiros'!C277&lt;'Instrumentos Financeiros'!$F$73+'Instrumentos Financeiros'!$F$11+1),PMT(((1+'Instrumentos Financeiros'!$J$43)^(1/12)-1),$F$11,-$I$73),0)</f>
        <v>0</v>
      </c>
      <c r="BI277" s="1312">
        <f t="shared" si="173"/>
        <v>0</v>
      </c>
      <c r="BJ277" s="1312">
        <f>BK276*((1+'Instrumentos Financeiros'!$J$43)^(1/12)-1)</f>
        <v>0</v>
      </c>
      <c r="BK277" s="1312">
        <f t="shared" si="142"/>
        <v>0</v>
      </c>
      <c r="BL277" s="1312">
        <f>IF(AND(C277&gt;$F$77,'Instrumentos Financeiros'!C277&lt;'Instrumentos Financeiros'!$F$77+'Instrumentos Financeiros'!$F$12+1),PMT(((1+'Instrumentos Financeiros'!$K$43)^(1/12)-1),$F$12,-$I$77),0)</f>
        <v>368.57912678094596</v>
      </c>
      <c r="BM277" s="1312">
        <f t="shared" si="143"/>
        <v>246.75336770023691</v>
      </c>
      <c r="BN277" s="1312">
        <f>BO276*((1+'Instrumentos Financeiros'!$K$43)^(1/12)-1)</f>
        <v>121.82575908070905</v>
      </c>
      <c r="BO277" s="1312">
        <f t="shared" si="144"/>
        <v>27927.496123282301</v>
      </c>
      <c r="BP277" s="1312">
        <f>IF(AND(C277&gt;$F$78,'Instrumentos Financeiros'!C277&lt;'Instrumentos Financeiros'!$F$78+'Instrumentos Financeiros'!$F$12+1),PMT(((1+'Instrumentos Financeiros'!$L$43)^(1/12)-1),$F$12,-$I$78),0)</f>
        <v>368.57912678094596</v>
      </c>
      <c r="BQ277" s="1312">
        <f t="shared" si="145"/>
        <v>243.57995820373887</v>
      </c>
      <c r="BR277" s="1312">
        <f>BS276*((1+'Instrumentos Financeiros'!$L$43)^(1/12)-1)</f>
        <v>124.99916857720709</v>
      </c>
      <c r="BS277" s="1312">
        <f t="shared" si="146"/>
        <v>28664.573688731201</v>
      </c>
      <c r="BT277" s="1312">
        <f>IF(AND(C277&gt;$F$79,'Instrumentos Financeiros'!C277&lt;'Instrumentos Financeiros'!$F$79+'Instrumentos Financeiros'!$F$12+1),PMT(((1+'Instrumentos Financeiros'!$L$43)^(1/12)-1),$F$12,-$I$79),0)</f>
        <v>368.57912678094596</v>
      </c>
      <c r="BU277" s="1312">
        <f t="shared" si="147"/>
        <v>240.44736082634714</v>
      </c>
      <c r="BV277" s="1312">
        <f>BW276*((1+'Instrumentos Financeiros'!$L$43)^(1/12)-1)</f>
        <v>128.13176595459882</v>
      </c>
      <c r="BW277" s="1312">
        <f t="shared" si="148"/>
        <v>29392.171955203758</v>
      </c>
      <c r="BX277" s="1312">
        <f>IF(AND(C277&gt;$F$80,'Instrumentos Financeiros'!C277&lt;'Instrumentos Financeiros'!$F$80+'Instrumentos Financeiros'!$F$12+1),PMT(((1+'Instrumentos Financeiros'!$L$43)^(1/12)-1),$F$12,-$I$80),0)</f>
        <v>368.57912678094596</v>
      </c>
      <c r="BY277" s="1312">
        <f t="shared" si="149"/>
        <v>237.35505069755013</v>
      </c>
      <c r="BZ277" s="1312">
        <f>CA276*((1+'Instrumentos Financeiros'!$L$43)^(1/12)-1)</f>
        <v>131.22407608339583</v>
      </c>
      <c r="CA277" s="1312">
        <f t="shared" si="150"/>
        <v>30110.412832677004</v>
      </c>
      <c r="CB277" s="1312">
        <f>IF(AND(C277&gt;$F$83,'Instrumentos Financeiros'!C277&lt;'Instrumentos Financeiros'!$F$83+'Instrumentos Financeiros'!$F$13+1),PMT(((1+'Instrumentos Financeiros'!$P$43)^(1/12)-1),$F$13,-$I$83),0)</f>
        <v>30503.390100238979</v>
      </c>
      <c r="CC277" s="1312">
        <f t="shared" si="151"/>
        <v>14967.99301505175</v>
      </c>
      <c r="CD277" s="1312">
        <f>CE276*((1+'Instrumentos Financeiros'!$P$43)^(1/12)-1)</f>
        <v>15535.397085187229</v>
      </c>
      <c r="CE277" s="1312">
        <f t="shared" si="152"/>
        <v>3577853.0714494404</v>
      </c>
      <c r="CF277" s="1312">
        <f>IF(AND(C277&gt;$F$84,'Instrumentos Financeiros'!C277&lt;'Instrumentos Financeiros'!$F$84+'Instrumentos Financeiros'!$F$13+1),PMT(((1+'Instrumentos Financeiros'!$Q$43)^(1/12)-1),$F$13,-$I$84),0)</f>
        <v>30503.390100238979</v>
      </c>
      <c r="CG277" s="1312">
        <f t="shared" si="153"/>
        <v>14775.494847265099</v>
      </c>
      <c r="CH277" s="1312">
        <f>CI276*((1+'Instrumentos Financeiros'!$Q$43)^(1/12)-1)</f>
        <v>15727.89525297388</v>
      </c>
      <c r="CI277" s="1312">
        <f t="shared" si="154"/>
        <v>3622563.9986153594</v>
      </c>
      <c r="CJ277" s="1312">
        <f>IF(AND(C277&gt;$F$85,'Instrumentos Financeiros'!C277&lt;'Instrumentos Financeiros'!$F$85+'Instrumentos Financeiros'!$F$13+1),PMT(((1+'Instrumentos Financeiros'!$Q$43)^(1/12)-1),$F$13,-$I$85),0)</f>
        <v>30503.390100238979</v>
      </c>
      <c r="CK277" s="1312">
        <f t="shared" si="155"/>
        <v>14585.472331662675</v>
      </c>
      <c r="CL277" s="1312">
        <f>CM276*((1+'Instrumentos Financeiros'!$Q$43)^(1/12)-1)</f>
        <v>15917.917768576304</v>
      </c>
      <c r="CM277" s="1312">
        <f t="shared" si="156"/>
        <v>3666699.9140511937</v>
      </c>
      <c r="CN277" s="1312">
        <f>IF(AND(C277&gt;$F$86,'Instrumentos Financeiros'!C277&lt;'Instrumentos Financeiros'!$F$86+'Instrumentos Financeiros'!$F$13+1),PMT(((1+'Instrumentos Financeiros'!$Q$43)^(1/12)-1),$F$13,-$I$86),0)</f>
        <v>30503.390100238979</v>
      </c>
      <c r="CO277" s="1312">
        <f t="shared" si="157"/>
        <v>14397.893629740209</v>
      </c>
      <c r="CP277" s="1312">
        <f>CQ276*((1+'Instrumentos Financeiros'!$Q$43)^(1/12)-1)</f>
        <v>16105.496470498771</v>
      </c>
      <c r="CQ277" s="1312">
        <f t="shared" si="158"/>
        <v>3710268.2127834097</v>
      </c>
      <c r="CR277" s="1312">
        <f t="shared" si="127"/>
        <v>521803.11063210916</v>
      </c>
      <c r="CS277" s="1312">
        <f t="shared" si="127"/>
        <v>342688.44025892921</v>
      </c>
      <c r="CT277" s="1312">
        <f t="shared" si="127"/>
        <v>179114.67037317998</v>
      </c>
      <c r="CU277" s="1312">
        <f t="shared" si="127"/>
        <v>41365631.731568322</v>
      </c>
    </row>
    <row r="278" spans="3:99" x14ac:dyDescent="0.35">
      <c r="C278" s="1315">
        <f t="shared" si="128"/>
        <v>185</v>
      </c>
      <c r="D278" s="1312">
        <f>IF(AND(C278&gt;$F$59,'Instrumentos Financeiros'!C278&lt;'Instrumentos Financeiros'!$F$59+'Instrumentos Financeiros'!$F$11+1),PMT(((1+'Instrumentos Financeiros'!$G$43)^(1/12)-1),$F$11,-$I$59),0)</f>
        <v>91768.589635900134</v>
      </c>
      <c r="E278" s="1312">
        <f t="shared" si="125"/>
        <v>71286.968127950357</v>
      </c>
      <c r="F278" s="1312">
        <f>G277*((1+'Instrumentos Financeiros'!$G$43)^(1/12)-1)</f>
        <v>20481.621507949774</v>
      </c>
      <c r="G278" s="1312">
        <f t="shared" si="159"/>
        <v>4946503.8676946936</v>
      </c>
      <c r="H278" s="1312">
        <f>IF(AND(C278&gt;$F$60,'Instrumentos Financeiros'!C278&lt;'Instrumentos Financeiros'!$F$60+'Instrumentos Financeiros'!$F$11+1),PMT(((1+'Instrumentos Financeiros'!$G$43)^(1/12)-1),$F$11,-$I$60),0)</f>
        <v>0</v>
      </c>
      <c r="I278" s="1312">
        <f t="shared" si="160"/>
        <v>0</v>
      </c>
      <c r="J278" s="1312">
        <f>K277*((1+'Instrumentos Financeiros'!$G$43)^(1/12)-1)</f>
        <v>0</v>
      </c>
      <c r="K278" s="1312">
        <f t="shared" si="129"/>
        <v>0</v>
      </c>
      <c r="L278" s="1312">
        <f>IF(AND(C278&gt;$F$61,'Instrumentos Financeiros'!C278&lt;'Instrumentos Financeiros'!$F$61+'Instrumentos Financeiros'!$F$11+1),PMT(((1+'Instrumentos Financeiros'!$G$43)^(1/12)-1),$F$11,-$I$61),0)</f>
        <v>0</v>
      </c>
      <c r="M278" s="1312">
        <f t="shared" si="161"/>
        <v>0</v>
      </c>
      <c r="N278" s="1312">
        <f>O277*((1+'Instrumentos Financeiros'!$G$43)^(1/12)-1)</f>
        <v>0</v>
      </c>
      <c r="O278" s="1312">
        <f t="shared" si="130"/>
        <v>0</v>
      </c>
      <c r="P278" s="1312">
        <f>IF(AND(C278&gt;$F$62,'Instrumentos Financeiros'!C278&lt;'Instrumentos Financeiros'!$F$62+'Instrumentos Financeiros'!$F$11+1),PMT(((1+'Instrumentos Financeiros'!$H$43)^(1/12)-1),$F$11,-$I$62),0)</f>
        <v>0</v>
      </c>
      <c r="Q278" s="1312">
        <f t="shared" si="162"/>
        <v>0</v>
      </c>
      <c r="R278" s="1312">
        <f>S277*((1+'Instrumentos Financeiros'!$H$43)^(1/12)-1)</f>
        <v>0</v>
      </c>
      <c r="S278" s="1312">
        <f t="shared" si="131"/>
        <v>0</v>
      </c>
      <c r="T278" s="1312">
        <f>IF(AND(C278&gt;$F$63,'Instrumentos Financeiros'!C278&lt;'Instrumentos Financeiros'!$F$63+'Instrumentos Financeiros'!$F$11+1),PMT(((1+'Instrumentos Financeiros'!$H$43)^(1/12)-1),$F$11,-$I$63),0)</f>
        <v>0</v>
      </c>
      <c r="U278" s="1312">
        <f t="shared" si="163"/>
        <v>0</v>
      </c>
      <c r="V278" s="1312">
        <f>W277*((1+'Instrumentos Financeiros'!$H$43)^(1/12)-1)</f>
        <v>0</v>
      </c>
      <c r="W278" s="1312">
        <f t="shared" si="132"/>
        <v>0</v>
      </c>
      <c r="X278" s="1312">
        <f>IF(AND(C278&gt;$F$64,'Instrumentos Financeiros'!C278&lt;'Instrumentos Financeiros'!$F$64+'Instrumentos Financeiros'!$F$11+1),PMT(((1+'Instrumentos Financeiros'!$H$43)^(1/12)-1),$F$11,-$I$64),0)</f>
        <v>0</v>
      </c>
      <c r="Y278" s="1312">
        <f t="shared" si="164"/>
        <v>0</v>
      </c>
      <c r="Z278" s="1312">
        <f>AA277*((1+'Instrumentos Financeiros'!$H$43)^(1/12)-1)</f>
        <v>0</v>
      </c>
      <c r="AA278" s="1312">
        <f t="shared" si="133"/>
        <v>0</v>
      </c>
      <c r="AB278" s="1312">
        <f>IF(AND(C278&gt;$F$65,'Instrumentos Financeiros'!C278&lt;'Instrumentos Financeiros'!$F$65+'Instrumentos Financeiros'!$F$11+1),PMT(((1+'Instrumentos Financeiros'!$H$43)^(1/12)-1),$F$11,-$I$65),0)</f>
        <v>76636.661022032335</v>
      </c>
      <c r="AC278" s="1312">
        <f t="shared" si="165"/>
        <v>54266.138687930565</v>
      </c>
      <c r="AD278" s="1312">
        <f>AE277*((1+'Instrumentos Financeiros'!$H$43)^(1/12)-1)</f>
        <v>22370.522334101766</v>
      </c>
      <c r="AE278" s="1312">
        <f t="shared" si="134"/>
        <v>5119292.2469981955</v>
      </c>
      <c r="AF278" s="1312">
        <f>IF(AND(C278&gt;$F$66,'Instrumentos Financeiros'!C278&lt;'Instrumentos Financeiros'!$F$66+'Instrumentos Financeiros'!$F$11+1),PMT(((1+'Instrumentos Financeiros'!$I$43)^(1/12)-1),$F$11,-$I$66),0)</f>
        <v>76636.661022032335</v>
      </c>
      <c r="AG278" s="1312">
        <f t="shared" si="166"/>
        <v>53568.240695876564</v>
      </c>
      <c r="AH278" s="1312">
        <f>AI277*((1+'Instrumentos Financeiros'!$I$43)^(1/12)-1)</f>
        <v>23068.420326155767</v>
      </c>
      <c r="AI278" s="1312">
        <f t="shared" si="135"/>
        <v>5281390.75760091</v>
      </c>
      <c r="AJ278" s="1312">
        <f>IF(AND(C278&gt;$F$67,'Instrumentos Financeiros'!C278&lt;'Instrumentos Financeiros'!$F$67+'Instrumentos Financeiros'!$F$11+1),PMT(((1+'Instrumentos Financeiros'!$I$43)^(1/12)-1),$F$11,-$I$67),0)</f>
        <v>76636.661022032335</v>
      </c>
      <c r="AK278" s="1312">
        <f t="shared" si="167"/>
        <v>52879.318127891602</v>
      </c>
      <c r="AL278" s="1312">
        <f>AM277*((1+'Instrumentos Financeiros'!$I$43)^(1/12)-1)</f>
        <v>23757.342894140736</v>
      </c>
      <c r="AM278" s="1312">
        <f t="shared" si="136"/>
        <v>5441404.575468895</v>
      </c>
      <c r="AN278" s="1312">
        <f>IF(AND(C278&gt;$F$68,'Instrumentos Financeiros'!C278&lt;'Instrumentos Financeiros'!$F$68+'Instrumentos Financeiros'!$F$11+1),PMT(((1+'Instrumentos Financeiros'!$I$43)^(1/12)-1),$F$11,-$I$68),0)</f>
        <v>76636.661022032335</v>
      </c>
      <c r="AO278" s="1312">
        <f t="shared" si="168"/>
        <v>52199.25555415907</v>
      </c>
      <c r="AP278" s="1312">
        <f>AQ277*((1+'Instrumentos Financeiros'!$I$43)^(1/12)-1)</f>
        <v>24437.405467873265</v>
      </c>
      <c r="AQ278" s="1312">
        <f t="shared" si="137"/>
        <v>5599360.5111125121</v>
      </c>
      <c r="AR278" s="1312">
        <f>IF(AND(C278&gt;$F$69,'Instrumentos Financeiros'!C278&lt;'Instrumentos Financeiros'!$F$69+'Instrumentos Financeiros'!$F$11+1),PMT(((1+'Instrumentos Financeiros'!$I$43)^(1/12)-1),$F$11,-$I$69),0)</f>
        <v>0</v>
      </c>
      <c r="AS278" s="1312">
        <f t="shared" si="169"/>
        <v>0</v>
      </c>
      <c r="AT278" s="1312">
        <f>AU277*((1+'Instrumentos Financeiros'!$I$43)^(1/12)-1)</f>
        <v>0</v>
      </c>
      <c r="AU278" s="1312">
        <f t="shared" si="138"/>
        <v>0</v>
      </c>
      <c r="AV278" s="1312">
        <f>IF(AND(C278&gt;$F$70,'Instrumentos Financeiros'!C278&lt;'Instrumentos Financeiros'!$F$70+'Instrumentos Financeiros'!$F$11+1),PMT(((1+'Instrumentos Financeiros'!$J$43)^(1/12)-1),$F$11,-$I$70),0)</f>
        <v>0</v>
      </c>
      <c r="AW278" s="1312">
        <f t="shared" si="170"/>
        <v>0</v>
      </c>
      <c r="AX278" s="1312">
        <f>AY277*((1+'Instrumentos Financeiros'!$J$43)^(1/12)-1)</f>
        <v>0</v>
      </c>
      <c r="AY278" s="1312">
        <f t="shared" si="139"/>
        <v>0</v>
      </c>
      <c r="AZ278" s="1312">
        <f>IF(AND(C278&gt;$F$71,'Instrumentos Financeiros'!C278&lt;'Instrumentos Financeiros'!$F$71+'Instrumentos Financeiros'!$F$11+1),PMT(((1+'Instrumentos Financeiros'!$J$43)^(1/12)-1),$F$11,-$I$71),0)</f>
        <v>0</v>
      </c>
      <c r="BA278" s="1312">
        <f t="shared" si="171"/>
        <v>0</v>
      </c>
      <c r="BB278" s="1312">
        <f>BC277*((1+'Instrumentos Financeiros'!$J$43)^(1/12)-1)</f>
        <v>0</v>
      </c>
      <c r="BC278" s="1312">
        <f t="shared" si="140"/>
        <v>0</v>
      </c>
      <c r="BD278" s="1312">
        <f>IF(AND(C278&gt;$F$72,'Instrumentos Financeiros'!C278&lt;'Instrumentos Financeiros'!$F$72+'Instrumentos Financeiros'!$F$11+1),PMT(((1+'Instrumentos Financeiros'!$J$43)^(1/12)-1),$F$11,-'Instrumentos Financeiros'!$G$7*$G$72),0)</f>
        <v>0</v>
      </c>
      <c r="BE278" s="1312">
        <f t="shared" si="172"/>
        <v>0</v>
      </c>
      <c r="BF278" s="1312">
        <f>BG277*((1+'Instrumentos Financeiros'!$J$43)^(1/12)-1)</f>
        <v>0</v>
      </c>
      <c r="BG278" s="1312">
        <f t="shared" si="141"/>
        <v>0</v>
      </c>
      <c r="BH278" s="1312">
        <f>IF(AND(C278&gt;$F$73,'Instrumentos Financeiros'!C278&lt;'Instrumentos Financeiros'!$F$73+'Instrumentos Financeiros'!$F$11+1),PMT(((1+'Instrumentos Financeiros'!$J$43)^(1/12)-1),$F$11,-$I$73),0)</f>
        <v>0</v>
      </c>
      <c r="BI278" s="1312">
        <f t="shared" si="173"/>
        <v>0</v>
      </c>
      <c r="BJ278" s="1312">
        <f>BK277*((1+'Instrumentos Financeiros'!$J$43)^(1/12)-1)</f>
        <v>0</v>
      </c>
      <c r="BK278" s="1312">
        <f t="shared" si="142"/>
        <v>0</v>
      </c>
      <c r="BL278" s="1312">
        <f>IF(AND(C278&gt;$F$77,'Instrumentos Financeiros'!C278&lt;'Instrumentos Financeiros'!$F$77+'Instrumentos Financeiros'!$F$12+1),PMT(((1+'Instrumentos Financeiros'!$K$43)^(1/12)-1),$F$12,-$I$77),0)</f>
        <v>368.57912678094596</v>
      </c>
      <c r="BM278" s="1312">
        <f t="shared" si="143"/>
        <v>247.82033192710739</v>
      </c>
      <c r="BN278" s="1312">
        <f>BO277*((1+'Instrumentos Financeiros'!$K$43)^(1/12)-1)</f>
        <v>120.75879485383857</v>
      </c>
      <c r="BO278" s="1312">
        <f t="shared" si="144"/>
        <v>27679.675791355192</v>
      </c>
      <c r="BP278" s="1312">
        <f>IF(AND(C278&gt;$F$78,'Instrumentos Financeiros'!C278&lt;'Instrumentos Financeiros'!$F$78+'Instrumentos Financeiros'!$F$12+1),PMT(((1+'Instrumentos Financeiros'!$L$43)^(1/12)-1),$F$12,-$I$78),0)</f>
        <v>368.57912678094596</v>
      </c>
      <c r="BQ278" s="1312">
        <f t="shared" si="145"/>
        <v>244.63320057367372</v>
      </c>
      <c r="BR278" s="1312">
        <f>BS277*((1+'Instrumentos Financeiros'!$L$43)^(1/12)-1)</f>
        <v>123.94592620727224</v>
      </c>
      <c r="BS278" s="1312">
        <f t="shared" si="146"/>
        <v>28419.940488157528</v>
      </c>
      <c r="BT278" s="1312">
        <f>IF(AND(C278&gt;$F$79,'Instrumentos Financeiros'!C278&lt;'Instrumentos Financeiros'!$F$79+'Instrumentos Financeiros'!$F$12+1),PMT(((1+'Instrumentos Financeiros'!$L$43)^(1/12)-1),$F$12,-$I$79),0)</f>
        <v>368.57912678094596</v>
      </c>
      <c r="BU278" s="1312">
        <f t="shared" si="147"/>
        <v>241.48705781139012</v>
      </c>
      <c r="BV278" s="1312">
        <f>BW277*((1+'Instrumentos Financeiros'!$L$43)^(1/12)-1)</f>
        <v>127.09206896955584</v>
      </c>
      <c r="BW278" s="1312">
        <f t="shared" si="148"/>
        <v>29150.684897392366</v>
      </c>
      <c r="BX278" s="1312">
        <f>IF(AND(C278&gt;$F$80,'Instrumentos Financeiros'!C278&lt;'Instrumentos Financeiros'!$F$80+'Instrumentos Financeiros'!$F$12+1),PMT(((1+'Instrumentos Financeiros'!$L$43)^(1/12)-1),$F$12,-$I$80),0)</f>
        <v>368.57912678094596</v>
      </c>
      <c r="BY278" s="1312">
        <f t="shared" si="149"/>
        <v>238.38137650019925</v>
      </c>
      <c r="BZ278" s="1312">
        <f>CA277*((1+'Instrumentos Financeiros'!$L$43)^(1/12)-1)</f>
        <v>130.1977502807467</v>
      </c>
      <c r="CA278" s="1312">
        <f t="shared" si="150"/>
        <v>29872.031456176806</v>
      </c>
      <c r="CB278" s="1312">
        <f>IF(AND(C278&gt;$F$83,'Instrumentos Financeiros'!C278&lt;'Instrumentos Financeiros'!$F$83+'Instrumentos Financeiros'!$F$13+1),PMT(((1+'Instrumentos Financeiros'!$P$43)^(1/12)-1),$F$13,-$I$83),0)</f>
        <v>30503.390100238979</v>
      </c>
      <c r="CC278" s="1312">
        <f t="shared" si="151"/>
        <v>15032.714778503056</v>
      </c>
      <c r="CD278" s="1312">
        <f>CE277*((1+'Instrumentos Financeiros'!$P$43)^(1/12)-1)</f>
        <v>15470.675321735924</v>
      </c>
      <c r="CE278" s="1312">
        <f t="shared" si="152"/>
        <v>3562820.3566709375</v>
      </c>
      <c r="CF278" s="1312">
        <f>IF(AND(C278&gt;$F$84,'Instrumentos Financeiros'!C278&lt;'Instrumentos Financeiros'!$F$84+'Instrumentos Financeiros'!$F$13+1),PMT(((1+'Instrumentos Financeiros'!$Q$43)^(1/12)-1),$F$13,-$I$84),0)</f>
        <v>30503.390100238979</v>
      </c>
      <c r="CG278" s="1312">
        <f t="shared" si="153"/>
        <v>14839.384246559915</v>
      </c>
      <c r="CH278" s="1312">
        <f>CI277*((1+'Instrumentos Financeiros'!$Q$43)^(1/12)-1)</f>
        <v>15664.005853679064</v>
      </c>
      <c r="CI278" s="1312">
        <f t="shared" si="154"/>
        <v>3607724.6143687996</v>
      </c>
      <c r="CJ278" s="1312">
        <f>IF(AND(C278&gt;$F$85,'Instrumentos Financeiros'!C278&lt;'Instrumentos Financeiros'!$F$85+'Instrumentos Financeiros'!$F$13+1),PMT(((1+'Instrumentos Financeiros'!$Q$43)^(1/12)-1),$F$13,-$I$85),0)</f>
        <v>30503.390100238979</v>
      </c>
      <c r="CK278" s="1312">
        <f t="shared" si="155"/>
        <v>14648.540071547786</v>
      </c>
      <c r="CL278" s="1312">
        <f>CM277*((1+'Instrumentos Financeiros'!$Q$43)^(1/12)-1)</f>
        <v>15854.850028691193</v>
      </c>
      <c r="CM278" s="1312">
        <f t="shared" si="156"/>
        <v>3652051.3739796458</v>
      </c>
      <c r="CN278" s="1312">
        <f>IF(AND(C278&gt;$F$86,'Instrumentos Financeiros'!C278&lt;'Instrumentos Financeiros'!$F$86+'Instrumentos Financeiros'!$F$13+1),PMT(((1+'Instrumentos Financeiros'!$Q$43)^(1/12)-1),$F$13,-$I$86),0)</f>
        <v>30503.390100238979</v>
      </c>
      <c r="CO278" s="1312">
        <f t="shared" si="157"/>
        <v>14460.150277292358</v>
      </c>
      <c r="CP278" s="1312">
        <f>CQ277*((1+'Instrumentos Financeiros'!$Q$43)^(1/12)-1)</f>
        <v>16043.239822946622</v>
      </c>
      <c r="CQ278" s="1312">
        <f t="shared" si="158"/>
        <v>3695808.0625061174</v>
      </c>
      <c r="CR278" s="1312">
        <f t="shared" si="127"/>
        <v>521803.11063210916</v>
      </c>
      <c r="CS278" s="1312">
        <f t="shared" si="127"/>
        <v>344153.03253452363</v>
      </c>
      <c r="CT278" s="1312">
        <f t="shared" si="127"/>
        <v>177650.07809758553</v>
      </c>
      <c r="CU278" s="1312">
        <f t="shared" si="127"/>
        <v>41021478.699033782</v>
      </c>
    </row>
    <row r="279" spans="3:99" x14ac:dyDescent="0.35">
      <c r="C279" s="1315">
        <f t="shared" si="128"/>
        <v>186</v>
      </c>
      <c r="D279" s="1312">
        <f>IF(AND(C279&gt;$F$59,'Instrumentos Financeiros'!C279&lt;'Instrumentos Financeiros'!$F$59+'Instrumentos Financeiros'!$F$11+1),PMT(((1+'Instrumentos Financeiros'!$G$43)^(1/12)-1),$F$11,-$I$59),0)</f>
        <v>91768.589635900134</v>
      </c>
      <c r="E279" s="1312">
        <f t="shared" si="125"/>
        <v>71577.947315289595</v>
      </c>
      <c r="F279" s="1312">
        <f>G278*((1+'Instrumentos Financeiros'!$G$43)^(1/12)-1)</f>
        <v>20190.642320610536</v>
      </c>
      <c r="G279" s="1312">
        <f t="shared" si="159"/>
        <v>4874925.920379404</v>
      </c>
      <c r="H279" s="1312">
        <f>IF(AND(C279&gt;$F$60,'Instrumentos Financeiros'!C279&lt;'Instrumentos Financeiros'!$F$60+'Instrumentos Financeiros'!$F$11+1),PMT(((1+'Instrumentos Financeiros'!$G$43)^(1/12)-1),$F$11,-$I$60),0)</f>
        <v>0</v>
      </c>
      <c r="I279" s="1312">
        <f t="shared" si="160"/>
        <v>0</v>
      </c>
      <c r="J279" s="1312">
        <f>K278*((1+'Instrumentos Financeiros'!$G$43)^(1/12)-1)</f>
        <v>0</v>
      </c>
      <c r="K279" s="1312">
        <f t="shared" si="129"/>
        <v>0</v>
      </c>
      <c r="L279" s="1312">
        <f>IF(AND(C279&gt;$F$61,'Instrumentos Financeiros'!C279&lt;'Instrumentos Financeiros'!$F$61+'Instrumentos Financeiros'!$F$11+1),PMT(((1+'Instrumentos Financeiros'!$G$43)^(1/12)-1),$F$11,-$I$61),0)</f>
        <v>0</v>
      </c>
      <c r="M279" s="1312">
        <f t="shared" si="161"/>
        <v>0</v>
      </c>
      <c r="N279" s="1312">
        <f>O278*((1+'Instrumentos Financeiros'!$G$43)^(1/12)-1)</f>
        <v>0</v>
      </c>
      <c r="O279" s="1312">
        <f t="shared" si="130"/>
        <v>0</v>
      </c>
      <c r="P279" s="1312">
        <f>IF(AND(C279&gt;$F$62,'Instrumentos Financeiros'!C279&lt;'Instrumentos Financeiros'!$F$62+'Instrumentos Financeiros'!$F$11+1),PMT(((1+'Instrumentos Financeiros'!$H$43)^(1/12)-1),$F$11,-$I$62),0)</f>
        <v>0</v>
      </c>
      <c r="Q279" s="1312">
        <f t="shared" si="162"/>
        <v>0</v>
      </c>
      <c r="R279" s="1312">
        <f>S278*((1+'Instrumentos Financeiros'!$H$43)^(1/12)-1)</f>
        <v>0</v>
      </c>
      <c r="S279" s="1312">
        <f t="shared" si="131"/>
        <v>0</v>
      </c>
      <c r="T279" s="1312">
        <f>IF(AND(C279&gt;$F$63,'Instrumentos Financeiros'!C279&lt;'Instrumentos Financeiros'!$F$63+'Instrumentos Financeiros'!$F$11+1),PMT(((1+'Instrumentos Financeiros'!$H$43)^(1/12)-1),$F$11,-$I$63),0)</f>
        <v>0</v>
      </c>
      <c r="U279" s="1312">
        <f t="shared" si="163"/>
        <v>0</v>
      </c>
      <c r="V279" s="1312">
        <f>W278*((1+'Instrumentos Financeiros'!$H$43)^(1/12)-1)</f>
        <v>0</v>
      </c>
      <c r="W279" s="1312">
        <f t="shared" si="132"/>
        <v>0</v>
      </c>
      <c r="X279" s="1312">
        <f>IF(AND(C279&gt;$F$64,'Instrumentos Financeiros'!C279&lt;'Instrumentos Financeiros'!$F$64+'Instrumentos Financeiros'!$F$11+1),PMT(((1+'Instrumentos Financeiros'!$H$43)^(1/12)-1),$F$11,-$I$64),0)</f>
        <v>0</v>
      </c>
      <c r="Y279" s="1312">
        <f t="shared" si="164"/>
        <v>0</v>
      </c>
      <c r="Z279" s="1312">
        <f>AA278*((1+'Instrumentos Financeiros'!$H$43)^(1/12)-1)</f>
        <v>0</v>
      </c>
      <c r="AA279" s="1312">
        <f t="shared" si="133"/>
        <v>0</v>
      </c>
      <c r="AB279" s="1312">
        <f>IF(AND(C279&gt;$F$65,'Instrumentos Financeiros'!C279&lt;'Instrumentos Financeiros'!$F$65+'Instrumentos Financeiros'!$F$11+1),PMT(((1+'Instrumentos Financeiros'!$H$43)^(1/12)-1),$F$11,-$I$65),0)</f>
        <v>76636.661022032335</v>
      </c>
      <c r="AC279" s="1312">
        <f t="shared" si="165"/>
        <v>54500.786057691104</v>
      </c>
      <c r="AD279" s="1312">
        <f>AE278*((1+'Instrumentos Financeiros'!$H$43)^(1/12)-1)</f>
        <v>22135.874964341227</v>
      </c>
      <c r="AE279" s="1312">
        <f t="shared" si="134"/>
        <v>5064791.4609405044</v>
      </c>
      <c r="AF279" s="1312">
        <f>IF(AND(C279&gt;$F$66,'Instrumentos Financeiros'!C279&lt;'Instrumentos Financeiros'!$F$66+'Instrumentos Financeiros'!$F$11+1),PMT(((1+'Instrumentos Financeiros'!$I$43)^(1/12)-1),$F$11,-$I$66),0)</f>
        <v>76636.661022032335</v>
      </c>
      <c r="AG279" s="1312">
        <f t="shared" si="166"/>
        <v>53799.870347182172</v>
      </c>
      <c r="AH279" s="1312">
        <f>AI278*((1+'Instrumentos Financeiros'!$I$43)^(1/12)-1)</f>
        <v>22836.790674850163</v>
      </c>
      <c r="AI279" s="1312">
        <f t="shared" si="135"/>
        <v>5227590.8872537278</v>
      </c>
      <c r="AJ279" s="1312">
        <f>IF(AND(C279&gt;$F$67,'Instrumentos Financeiros'!C279&lt;'Instrumentos Financeiros'!$F$67+'Instrumentos Financeiros'!$F$11+1),PMT(((1+'Instrumentos Financeiros'!$I$43)^(1/12)-1),$F$11,-$I$67),0)</f>
        <v>76636.661022032335</v>
      </c>
      <c r="AK279" s="1312">
        <f t="shared" si="167"/>
        <v>53107.968870572877</v>
      </c>
      <c r="AL279" s="1312">
        <f>AM278*((1+'Instrumentos Financeiros'!$I$43)^(1/12)-1)</f>
        <v>23528.692151459461</v>
      </c>
      <c r="AM279" s="1312">
        <f t="shared" si="136"/>
        <v>5388296.6065983223</v>
      </c>
      <c r="AN279" s="1312">
        <f>IF(AND(C279&gt;$F$68,'Instrumentos Financeiros'!C279&lt;'Instrumentos Financeiros'!$F$68+'Instrumentos Financeiros'!$F$11+1),PMT(((1+'Instrumentos Financeiros'!$I$43)^(1/12)-1),$F$11,-$I$68),0)</f>
        <v>76636.661022032335</v>
      </c>
      <c r="AO279" s="1312">
        <f t="shared" si="168"/>
        <v>52424.965698926855</v>
      </c>
      <c r="AP279" s="1312">
        <f>AQ278*((1+'Instrumentos Financeiros'!$I$43)^(1/12)-1)</f>
        <v>24211.695323105479</v>
      </c>
      <c r="AQ279" s="1312">
        <f t="shared" si="137"/>
        <v>5546935.5454135854</v>
      </c>
      <c r="AR279" s="1312">
        <f>IF(AND(C279&gt;$F$69,'Instrumentos Financeiros'!C279&lt;'Instrumentos Financeiros'!$F$69+'Instrumentos Financeiros'!$F$11+1),PMT(((1+'Instrumentos Financeiros'!$I$43)^(1/12)-1),$F$11,-$I$69),0)</f>
        <v>0</v>
      </c>
      <c r="AS279" s="1312">
        <f t="shared" si="169"/>
        <v>0</v>
      </c>
      <c r="AT279" s="1312">
        <f>AU278*((1+'Instrumentos Financeiros'!$I$43)^(1/12)-1)</f>
        <v>0</v>
      </c>
      <c r="AU279" s="1312">
        <f t="shared" si="138"/>
        <v>0</v>
      </c>
      <c r="AV279" s="1312">
        <f>IF(AND(C279&gt;$F$70,'Instrumentos Financeiros'!C279&lt;'Instrumentos Financeiros'!$F$70+'Instrumentos Financeiros'!$F$11+1),PMT(((1+'Instrumentos Financeiros'!$J$43)^(1/12)-1),$F$11,-$I$70),0)</f>
        <v>0</v>
      </c>
      <c r="AW279" s="1312">
        <f t="shared" si="170"/>
        <v>0</v>
      </c>
      <c r="AX279" s="1312">
        <f>AY278*((1+'Instrumentos Financeiros'!$J$43)^(1/12)-1)</f>
        <v>0</v>
      </c>
      <c r="AY279" s="1312">
        <f t="shared" si="139"/>
        <v>0</v>
      </c>
      <c r="AZ279" s="1312">
        <f>IF(AND(C279&gt;$F$71,'Instrumentos Financeiros'!C279&lt;'Instrumentos Financeiros'!$F$71+'Instrumentos Financeiros'!$F$11+1),PMT(((1+'Instrumentos Financeiros'!$J$43)^(1/12)-1),$F$11,-$I$71),0)</f>
        <v>0</v>
      </c>
      <c r="BA279" s="1312">
        <f t="shared" si="171"/>
        <v>0</v>
      </c>
      <c r="BB279" s="1312">
        <f>BC278*((1+'Instrumentos Financeiros'!$J$43)^(1/12)-1)</f>
        <v>0</v>
      </c>
      <c r="BC279" s="1312">
        <f t="shared" si="140"/>
        <v>0</v>
      </c>
      <c r="BD279" s="1312">
        <f>IF(AND(C279&gt;$F$72,'Instrumentos Financeiros'!C279&lt;'Instrumentos Financeiros'!$F$72+'Instrumentos Financeiros'!$F$11+1),PMT(((1+'Instrumentos Financeiros'!$J$43)^(1/12)-1),$F$11,-'Instrumentos Financeiros'!$G$7*$G$72),0)</f>
        <v>0</v>
      </c>
      <c r="BE279" s="1312">
        <f t="shared" si="172"/>
        <v>0</v>
      </c>
      <c r="BF279" s="1312">
        <f>BG278*((1+'Instrumentos Financeiros'!$J$43)^(1/12)-1)</f>
        <v>0</v>
      </c>
      <c r="BG279" s="1312">
        <f t="shared" si="141"/>
        <v>0</v>
      </c>
      <c r="BH279" s="1312">
        <f>IF(AND(C279&gt;$F$73,'Instrumentos Financeiros'!C279&lt;'Instrumentos Financeiros'!$F$73+'Instrumentos Financeiros'!$F$11+1),PMT(((1+'Instrumentos Financeiros'!$J$43)^(1/12)-1),$F$11,-$I$73),0)</f>
        <v>0</v>
      </c>
      <c r="BI279" s="1312">
        <f t="shared" si="173"/>
        <v>0</v>
      </c>
      <c r="BJ279" s="1312">
        <f>BK278*((1+'Instrumentos Financeiros'!$J$43)^(1/12)-1)</f>
        <v>0</v>
      </c>
      <c r="BK279" s="1312">
        <f t="shared" si="142"/>
        <v>0</v>
      </c>
      <c r="BL279" s="1312">
        <f>IF(AND(C279&gt;$F$77,'Instrumentos Financeiros'!C279&lt;'Instrumentos Financeiros'!$F$77+'Instrumentos Financeiros'!$F$12+1),PMT(((1+'Instrumentos Financeiros'!$K$43)^(1/12)-1),$F$12,-$I$77),0)</f>
        <v>368.57912678094596</v>
      </c>
      <c r="BM279" s="1312">
        <f t="shared" si="143"/>
        <v>248.89190971881808</v>
      </c>
      <c r="BN279" s="1312">
        <f>BO278*((1+'Instrumentos Financeiros'!$K$43)^(1/12)-1)</f>
        <v>119.68721706212787</v>
      </c>
      <c r="BO279" s="1312">
        <f t="shared" si="144"/>
        <v>27430.783881636373</v>
      </c>
      <c r="BP279" s="1312">
        <f>IF(AND(C279&gt;$F$78,'Instrumentos Financeiros'!C279&lt;'Instrumentos Financeiros'!$F$78+'Instrumentos Financeiros'!$F$12+1),PMT(((1+'Instrumentos Financeiros'!$L$43)^(1/12)-1),$F$12,-$I$78),0)</f>
        <v>368.57912678094596</v>
      </c>
      <c r="BQ279" s="1312">
        <f t="shared" si="145"/>
        <v>245.69099717499114</v>
      </c>
      <c r="BR279" s="1312">
        <f>BS278*((1+'Instrumentos Financeiros'!$L$43)^(1/12)-1)</f>
        <v>122.8881296059548</v>
      </c>
      <c r="BS279" s="1312">
        <f t="shared" si="146"/>
        <v>28174.249490982536</v>
      </c>
      <c r="BT279" s="1312">
        <f>IF(AND(C279&gt;$F$79,'Instrumentos Financeiros'!C279&lt;'Instrumentos Financeiros'!$F$79+'Instrumentos Financeiros'!$F$12+1),PMT(((1+'Instrumentos Financeiros'!$L$43)^(1/12)-1),$F$12,-$I$79),0)</f>
        <v>368.57912678094596</v>
      </c>
      <c r="BU279" s="1312">
        <f t="shared" si="147"/>
        <v>242.53125045742513</v>
      </c>
      <c r="BV279" s="1312">
        <f>BW278*((1+'Instrumentos Financeiros'!$L$43)^(1/12)-1)</f>
        <v>126.04787632352082</v>
      </c>
      <c r="BW279" s="1312">
        <f t="shared" si="148"/>
        <v>28908.153646934941</v>
      </c>
      <c r="BX279" s="1312">
        <f>IF(AND(C279&gt;$F$80,'Instrumentos Financeiros'!C279&lt;'Instrumentos Financeiros'!$F$80+'Instrumentos Financeiros'!$F$12+1),PMT(((1+'Instrumentos Financeiros'!$L$43)^(1/12)-1),$F$12,-$I$80),0)</f>
        <v>368.57912678094596</v>
      </c>
      <c r="BY279" s="1312">
        <f t="shared" si="149"/>
        <v>239.41214014670334</v>
      </c>
      <c r="BZ279" s="1312">
        <f>CA278*((1+'Instrumentos Financeiros'!$L$43)^(1/12)-1)</f>
        <v>129.16698663424262</v>
      </c>
      <c r="CA279" s="1312">
        <f t="shared" si="150"/>
        <v>29632.619316030105</v>
      </c>
      <c r="CB279" s="1312">
        <f>IF(AND(C279&gt;$F$83,'Instrumentos Financeiros'!C279&lt;'Instrumentos Financeiros'!$F$83+'Instrumentos Financeiros'!$F$13+1),PMT(((1+'Instrumentos Financeiros'!$P$43)^(1/12)-1),$F$13,-$I$83),0)</f>
        <v>30503.390100238979</v>
      </c>
      <c r="CC279" s="1312">
        <f t="shared" si="151"/>
        <v>15097.716399558518</v>
      </c>
      <c r="CD279" s="1312">
        <f>CE278*((1+'Instrumentos Financeiros'!$P$43)^(1/12)-1)</f>
        <v>15405.673700680461</v>
      </c>
      <c r="CE279" s="1312">
        <f t="shared" si="152"/>
        <v>3547722.6402713791</v>
      </c>
      <c r="CF279" s="1312">
        <f>IF(AND(C279&gt;$F$84,'Instrumentos Financeiros'!C279&lt;'Instrumentos Financeiros'!$F$84+'Instrumentos Financeiros'!$F$13+1),PMT(((1+'Instrumentos Financeiros'!$Q$43)^(1/12)-1),$F$13,-$I$84),0)</f>
        <v>30503.390100238979</v>
      </c>
      <c r="CG279" s="1312">
        <f t="shared" si="153"/>
        <v>14903.549904307289</v>
      </c>
      <c r="CH279" s="1312">
        <f>CI278*((1+'Instrumentos Financeiros'!$Q$43)^(1/12)-1)</f>
        <v>15599.840195931691</v>
      </c>
      <c r="CI279" s="1312">
        <f t="shared" si="154"/>
        <v>3592821.0644644923</v>
      </c>
      <c r="CJ279" s="1312">
        <f>IF(AND(C279&gt;$F$85,'Instrumentos Financeiros'!C279&lt;'Instrumentos Financeiros'!$F$85+'Instrumentos Financeiros'!$F$13+1),PMT(((1+'Instrumentos Financeiros'!$Q$43)^(1/12)-1),$F$13,-$I$85),0)</f>
        <v>30503.390100238979</v>
      </c>
      <c r="CK279" s="1312">
        <f t="shared" si="155"/>
        <v>14711.880517021291</v>
      </c>
      <c r="CL279" s="1312">
        <f>CM278*((1+'Instrumentos Financeiros'!$Q$43)^(1/12)-1)</f>
        <v>15791.509583217688</v>
      </c>
      <c r="CM279" s="1312">
        <f t="shared" si="156"/>
        <v>3637339.4934626245</v>
      </c>
      <c r="CN279" s="1312">
        <f>IF(AND(C279&gt;$F$86,'Instrumentos Financeiros'!C279&lt;'Instrumentos Financeiros'!$F$86+'Instrumentos Financeiros'!$F$13+1),PMT(((1+'Instrumentos Financeiros'!$Q$43)^(1/12)-1),$F$13,-$I$86),0)</f>
        <v>30503.390100238979</v>
      </c>
      <c r="CO279" s="1312">
        <f t="shared" si="157"/>
        <v>14522.676123260893</v>
      </c>
      <c r="CP279" s="1312">
        <f>CQ278*((1+'Instrumentos Financeiros'!$Q$43)^(1/12)-1)</f>
        <v>15980.713976978086</v>
      </c>
      <c r="CQ279" s="1312">
        <f t="shared" si="158"/>
        <v>3681285.3863828564</v>
      </c>
      <c r="CR279" s="1312">
        <f t="shared" si="127"/>
        <v>521803.11063210916</v>
      </c>
      <c r="CS279" s="1312">
        <f t="shared" si="127"/>
        <v>345623.88753130852</v>
      </c>
      <c r="CT279" s="1312">
        <f t="shared" si="127"/>
        <v>176179.22310080065</v>
      </c>
      <c r="CU279" s="1312">
        <f t="shared" si="127"/>
        <v>40675854.811502479</v>
      </c>
    </row>
    <row r="280" spans="3:99" x14ac:dyDescent="0.35">
      <c r="C280" s="1315">
        <f t="shared" si="128"/>
        <v>187</v>
      </c>
      <c r="D280" s="1312">
        <f>IF(AND(C280&gt;$F$59,'Instrumentos Financeiros'!C280&lt;'Instrumentos Financeiros'!$F$59+'Instrumentos Financeiros'!$F$11+1),PMT(((1+'Instrumentos Financeiros'!$G$43)^(1/12)-1),$F$11,-$I$59),0)</f>
        <v>91768.589635900134</v>
      </c>
      <c r="E280" s="1312">
        <f t="shared" si="125"/>
        <v>71870.114221642405</v>
      </c>
      <c r="F280" s="1312">
        <f>G279*((1+'Instrumentos Financeiros'!$G$43)^(1/12)-1)</f>
        <v>19898.475414257737</v>
      </c>
      <c r="G280" s="1312">
        <f t="shared" si="159"/>
        <v>4803055.8061577613</v>
      </c>
      <c r="H280" s="1312">
        <f>IF(AND(C280&gt;$F$60,'Instrumentos Financeiros'!C280&lt;'Instrumentos Financeiros'!$F$60+'Instrumentos Financeiros'!$F$11+1),PMT(((1+'Instrumentos Financeiros'!$G$43)^(1/12)-1),$F$11,-$I$60),0)</f>
        <v>0</v>
      </c>
      <c r="I280" s="1312">
        <f>H280-J280</f>
        <v>0</v>
      </c>
      <c r="J280" s="1312">
        <f>K279*((1+'Instrumentos Financeiros'!$G$43)^(1/12)-1)</f>
        <v>0</v>
      </c>
      <c r="K280" s="1312">
        <f t="shared" si="129"/>
        <v>0</v>
      </c>
      <c r="L280" s="1312">
        <f>IF(AND(C280&gt;$F$61,'Instrumentos Financeiros'!C280&lt;'Instrumentos Financeiros'!$F$61+'Instrumentos Financeiros'!$F$11+1),PMT(((1+'Instrumentos Financeiros'!$G$43)^(1/12)-1),$F$11,-$I$61),0)</f>
        <v>0</v>
      </c>
      <c r="M280" s="1312">
        <f>L280-N280</f>
        <v>0</v>
      </c>
      <c r="N280" s="1312">
        <f>O279*((1+'Instrumentos Financeiros'!$G$43)^(1/12)-1)</f>
        <v>0</v>
      </c>
      <c r="O280" s="1312">
        <f t="shared" si="130"/>
        <v>0</v>
      </c>
      <c r="P280" s="1312">
        <f>IF(AND(C280&gt;$F$62,'Instrumentos Financeiros'!C280&lt;'Instrumentos Financeiros'!$F$62+'Instrumentos Financeiros'!$F$11+1),PMT(((1+'Instrumentos Financeiros'!$H$43)^(1/12)-1),$F$11,-$I$62),0)</f>
        <v>0</v>
      </c>
      <c r="Q280" s="1312">
        <f>P280-R280</f>
        <v>0</v>
      </c>
      <c r="R280" s="1312">
        <f>S279*((1+'Instrumentos Financeiros'!$H$43)^(1/12)-1)</f>
        <v>0</v>
      </c>
      <c r="S280" s="1312">
        <f t="shared" si="131"/>
        <v>0</v>
      </c>
      <c r="T280" s="1312">
        <f>IF(AND(C280&gt;$F$63,'Instrumentos Financeiros'!C280&lt;'Instrumentos Financeiros'!$F$63+'Instrumentos Financeiros'!$F$11+1),PMT(((1+'Instrumentos Financeiros'!$H$43)^(1/12)-1),$F$11,-$I$63),0)</f>
        <v>0</v>
      </c>
      <c r="U280" s="1312">
        <f>T280-V280</f>
        <v>0</v>
      </c>
      <c r="V280" s="1312">
        <f>W279*((1+'Instrumentos Financeiros'!$H$43)^(1/12)-1)</f>
        <v>0</v>
      </c>
      <c r="W280" s="1312">
        <f t="shared" si="132"/>
        <v>0</v>
      </c>
      <c r="X280" s="1312">
        <f>IF(AND(C280&gt;$F$64,'Instrumentos Financeiros'!C280&lt;'Instrumentos Financeiros'!$F$64+'Instrumentos Financeiros'!$F$11+1),PMT(((1+'Instrumentos Financeiros'!$H$43)^(1/12)-1),$F$11,-$I$64),0)</f>
        <v>0</v>
      </c>
      <c r="Y280" s="1312">
        <f>X280-Z280</f>
        <v>0</v>
      </c>
      <c r="Z280" s="1312">
        <f>AA279*((1+'Instrumentos Financeiros'!$H$43)^(1/12)-1)</f>
        <v>0</v>
      </c>
      <c r="AA280" s="1312">
        <f t="shared" si="133"/>
        <v>0</v>
      </c>
      <c r="AB280" s="1312">
        <f>IF(AND(C280&gt;$F$65,'Instrumentos Financeiros'!C280&lt;'Instrumentos Financeiros'!$F$65+'Instrumentos Financeiros'!$F$11+1),PMT(((1+'Instrumentos Financeiros'!$H$43)^(1/12)-1),$F$11,-$I$65),0)</f>
        <v>76636.661022032335</v>
      </c>
      <c r="AC280" s="1312">
        <f>AB280-AD280</f>
        <v>54736.448045212674</v>
      </c>
      <c r="AD280" s="1312">
        <f>AE279*((1+'Instrumentos Financeiros'!$H$43)^(1/12)-1)</f>
        <v>21900.212976819657</v>
      </c>
      <c r="AE280" s="1312">
        <f t="shared" si="134"/>
        <v>5010055.0128952917</v>
      </c>
      <c r="AF280" s="1312">
        <f>IF(AND(C280&gt;$F$66,'Instrumentos Financeiros'!C280&lt;'Instrumentos Financeiros'!$F$66+'Instrumentos Financeiros'!$F$11+1),PMT(((1+'Instrumentos Financeiros'!$I$43)^(1/12)-1),$F$11,-$I$66),0)</f>
        <v>76636.661022032335</v>
      </c>
      <c r="AG280" s="1312">
        <f>AF280-AH280</f>
        <v>54032.501567601619</v>
      </c>
      <c r="AH280" s="1312">
        <f>AI279*((1+'Instrumentos Financeiros'!$I$43)^(1/12)-1)</f>
        <v>22604.159454430719</v>
      </c>
      <c r="AI280" s="1312">
        <f t="shared" si="135"/>
        <v>5173558.3856861265</v>
      </c>
      <c r="AJ280" s="1312">
        <f>IF(AND(C280&gt;$F$67,'Instrumentos Financeiros'!C280&lt;'Instrumentos Financeiros'!$F$67+'Instrumentos Financeiros'!$F$11+1),PMT(((1+'Instrumentos Financeiros'!$I$43)^(1/12)-1),$F$11,-$I$67),0)</f>
        <v>76636.661022032335</v>
      </c>
      <c r="AK280" s="1312">
        <f>AJ280-AL280</f>
        <v>53337.608301534929</v>
      </c>
      <c r="AL280" s="1312">
        <f>AM279*((1+'Instrumentos Financeiros'!$I$43)^(1/12)-1)</f>
        <v>23299.052720497406</v>
      </c>
      <c r="AM280" s="1312">
        <f t="shared" si="136"/>
        <v>5334958.998296787</v>
      </c>
      <c r="AN280" s="1312">
        <f>IF(AND(C280&gt;$F$68,'Instrumentos Financeiros'!C280&lt;'Instrumentos Financeiros'!$F$68+'Instrumentos Financeiros'!$F$11+1),PMT(((1+'Instrumentos Financeiros'!$I$43)^(1/12)-1),$F$11,-$I$68),0)</f>
        <v>76636.661022032335</v>
      </c>
      <c r="AO280" s="1312">
        <f>AN280-AP280</f>
        <v>52651.651816798287</v>
      </c>
      <c r="AP280" s="1312">
        <f>AQ279*((1+'Instrumentos Financeiros'!$I$43)^(1/12)-1)</f>
        <v>23985.009205234051</v>
      </c>
      <c r="AQ280" s="1312">
        <f t="shared" si="137"/>
        <v>5494283.893596787</v>
      </c>
      <c r="AR280" s="1312">
        <f>IF(AND(C280&gt;$F$69,'Instrumentos Financeiros'!C280&lt;'Instrumentos Financeiros'!$F$69+'Instrumentos Financeiros'!$F$11+1),PMT(((1+'Instrumentos Financeiros'!$I$43)^(1/12)-1),$F$11,-$I$69),0)</f>
        <v>0</v>
      </c>
      <c r="AS280" s="1312">
        <f>AR280-AT280</f>
        <v>0</v>
      </c>
      <c r="AT280" s="1312">
        <f>AU279*((1+'Instrumentos Financeiros'!$I$43)^(1/12)-1)</f>
        <v>0</v>
      </c>
      <c r="AU280" s="1312">
        <f t="shared" si="138"/>
        <v>0</v>
      </c>
      <c r="AV280" s="1312">
        <f>IF(AND(C280&gt;$F$70,'Instrumentos Financeiros'!C280&lt;'Instrumentos Financeiros'!$F$70+'Instrumentos Financeiros'!$F$11+1),PMT(((1+'Instrumentos Financeiros'!$J$43)^(1/12)-1),$F$11,-$I$70),0)</f>
        <v>0</v>
      </c>
      <c r="AW280" s="1312">
        <f>AV280-AX280</f>
        <v>0</v>
      </c>
      <c r="AX280" s="1312">
        <f>AY279*((1+'Instrumentos Financeiros'!$J$43)^(1/12)-1)</f>
        <v>0</v>
      </c>
      <c r="AY280" s="1312">
        <f t="shared" si="139"/>
        <v>0</v>
      </c>
      <c r="AZ280" s="1312">
        <f>IF(AND(C280&gt;$F$71,'Instrumentos Financeiros'!C280&lt;'Instrumentos Financeiros'!$F$71+'Instrumentos Financeiros'!$F$11+1),PMT(((1+'Instrumentos Financeiros'!$J$43)^(1/12)-1),$F$11,-$I$71),0)</f>
        <v>0</v>
      </c>
      <c r="BA280" s="1312">
        <f>AZ280-BB280</f>
        <v>0</v>
      </c>
      <c r="BB280" s="1312">
        <f>BC279*((1+'Instrumentos Financeiros'!$J$43)^(1/12)-1)</f>
        <v>0</v>
      </c>
      <c r="BC280" s="1312">
        <f t="shared" si="140"/>
        <v>0</v>
      </c>
      <c r="BD280" s="1312">
        <f>IF(AND(C280&gt;$F$72,'Instrumentos Financeiros'!C280&lt;'Instrumentos Financeiros'!$F$72+'Instrumentos Financeiros'!$F$11+1),PMT(((1+'Instrumentos Financeiros'!$J$43)^(1/12)-1),$F$11,-'Instrumentos Financeiros'!$G$7*$G$72),0)</f>
        <v>0</v>
      </c>
      <c r="BE280" s="1312">
        <f>BD280-BF280</f>
        <v>0</v>
      </c>
      <c r="BF280" s="1312">
        <f>BG279*((1+'Instrumentos Financeiros'!$J$43)^(1/12)-1)</f>
        <v>0</v>
      </c>
      <c r="BG280" s="1312">
        <f t="shared" si="141"/>
        <v>0</v>
      </c>
      <c r="BH280" s="1312">
        <f>IF(AND(C280&gt;$F$73,'Instrumentos Financeiros'!C280&lt;'Instrumentos Financeiros'!$F$73+'Instrumentos Financeiros'!$F$11+1),PMT(((1+'Instrumentos Financeiros'!$J$43)^(1/12)-1),$F$11,-$I$73),0)</f>
        <v>0</v>
      </c>
      <c r="BI280" s="1312">
        <f>BH280-BJ280</f>
        <v>0</v>
      </c>
      <c r="BJ280" s="1312">
        <f>BK279*((1+'Instrumentos Financeiros'!$J$43)^(1/12)-1)</f>
        <v>0</v>
      </c>
      <c r="BK280" s="1312">
        <f t="shared" si="142"/>
        <v>0</v>
      </c>
      <c r="BL280" s="1312">
        <f>IF(AND(C280&gt;$F$77,'Instrumentos Financeiros'!C280&lt;'Instrumentos Financeiros'!$F$77+'Instrumentos Financeiros'!$F$12+1),PMT(((1+'Instrumentos Financeiros'!$K$43)^(1/12)-1),$F$12,-$I$77),0)</f>
        <v>368.57912678094596</v>
      </c>
      <c r="BM280" s="1312">
        <f t="shared" si="143"/>
        <v>249.96812102447319</v>
      </c>
      <c r="BN280" s="1312">
        <f>BO279*((1+'Instrumentos Financeiros'!$K$43)^(1/12)-1)</f>
        <v>118.61100575647278</v>
      </c>
      <c r="BO280" s="1312">
        <f t="shared" si="144"/>
        <v>27180.815760611898</v>
      </c>
      <c r="BP280" s="1312">
        <f>IF(AND(C280&gt;$F$78,'Instrumentos Financeiros'!C280&lt;'Instrumentos Financeiros'!$F$78+'Instrumentos Financeiros'!$F$12+1),PMT(((1+'Instrumentos Financeiros'!$L$43)^(1/12)-1),$F$12,-$I$78),0)</f>
        <v>368.57912678094596</v>
      </c>
      <c r="BQ280" s="1312">
        <f t="shared" si="145"/>
        <v>246.75336770023691</v>
      </c>
      <c r="BR280" s="1312">
        <f>BS279*((1+'Instrumentos Financeiros'!$L$43)^(1/12)-1)</f>
        <v>121.82575908070905</v>
      </c>
      <c r="BS280" s="1312">
        <f t="shared" si="146"/>
        <v>27927.496123282301</v>
      </c>
      <c r="BT280" s="1312">
        <f>IF(AND(C280&gt;$F$79,'Instrumentos Financeiros'!C280&lt;'Instrumentos Financeiros'!$F$79+'Instrumentos Financeiros'!$F$12+1),PMT(((1+'Instrumentos Financeiros'!$L$43)^(1/12)-1),$F$12,-$I$79),0)</f>
        <v>368.57912678094596</v>
      </c>
      <c r="BU280" s="1312">
        <f t="shared" si="147"/>
        <v>243.57995820373887</v>
      </c>
      <c r="BV280" s="1312">
        <f>BW279*((1+'Instrumentos Financeiros'!$L$43)^(1/12)-1)</f>
        <v>124.99916857720709</v>
      </c>
      <c r="BW280" s="1312">
        <f t="shared" si="148"/>
        <v>28664.573688731201</v>
      </c>
      <c r="BX280" s="1312">
        <f>IF(AND(C280&gt;$F$80,'Instrumentos Financeiros'!C280&lt;'Instrumentos Financeiros'!$F$80+'Instrumentos Financeiros'!$F$12+1),PMT(((1+'Instrumentos Financeiros'!$L$43)^(1/12)-1),$F$12,-$I$80),0)</f>
        <v>368.57912678094596</v>
      </c>
      <c r="BY280" s="1312">
        <f t="shared" si="149"/>
        <v>240.44736082634714</v>
      </c>
      <c r="BZ280" s="1312">
        <f>CA279*((1+'Instrumentos Financeiros'!$L$43)^(1/12)-1)</f>
        <v>128.13176595459882</v>
      </c>
      <c r="CA280" s="1312">
        <f t="shared" si="150"/>
        <v>29392.171955203758</v>
      </c>
      <c r="CB280" s="1312">
        <f>IF(AND(C280&gt;$F$83,'Instrumentos Financeiros'!C280&lt;'Instrumentos Financeiros'!$F$83+'Instrumentos Financeiros'!$F$13+1),PMT(((1+'Instrumentos Financeiros'!$P$43)^(1/12)-1),$F$13,-$I$83),0)</f>
        <v>30503.390100238979</v>
      </c>
      <c r="CC280" s="1312">
        <f t="shared" si="151"/>
        <v>15162.999088325441</v>
      </c>
      <c r="CD280" s="1312">
        <f>CE279*((1+'Instrumentos Financeiros'!$P$43)^(1/12)-1)</f>
        <v>15340.391011913538</v>
      </c>
      <c r="CE280" s="1312">
        <f t="shared" si="152"/>
        <v>3532559.6411830536</v>
      </c>
      <c r="CF280" s="1312">
        <f>IF(AND(C280&gt;$F$84,'Instrumentos Financeiros'!C280&lt;'Instrumentos Financeiros'!$F$84+'Instrumentos Financeiros'!$F$13+1),PMT(((1+'Instrumentos Financeiros'!$Q$43)^(1/12)-1),$F$13,-$I$84),0)</f>
        <v>30503.390100238979</v>
      </c>
      <c r="CG280" s="1312">
        <f t="shared" si="153"/>
        <v>14967.99301505175</v>
      </c>
      <c r="CH280" s="1312">
        <f>CI279*((1+'Instrumentos Financeiros'!$Q$43)^(1/12)-1)</f>
        <v>15535.397085187229</v>
      </c>
      <c r="CI280" s="1312">
        <f t="shared" si="154"/>
        <v>3577853.0714494404</v>
      </c>
      <c r="CJ280" s="1312">
        <f>IF(AND(C280&gt;$F$85,'Instrumentos Financeiros'!C280&lt;'Instrumentos Financeiros'!$F$85+'Instrumentos Financeiros'!$F$13+1),PMT(((1+'Instrumentos Financeiros'!$Q$43)^(1/12)-1),$F$13,-$I$85),0)</f>
        <v>30503.390100238979</v>
      </c>
      <c r="CK280" s="1312">
        <f t="shared" si="155"/>
        <v>14775.494847265099</v>
      </c>
      <c r="CL280" s="1312">
        <f>CM279*((1+'Instrumentos Financeiros'!$Q$43)^(1/12)-1)</f>
        <v>15727.89525297388</v>
      </c>
      <c r="CM280" s="1312">
        <f t="shared" si="156"/>
        <v>3622563.9986153594</v>
      </c>
      <c r="CN280" s="1312">
        <f>IF(AND(C280&gt;$F$86,'Instrumentos Financeiros'!C280&lt;'Instrumentos Financeiros'!$F$86+'Instrumentos Financeiros'!$F$13+1),PMT(((1+'Instrumentos Financeiros'!$Q$43)^(1/12)-1),$F$13,-$I$86),0)</f>
        <v>30503.390100238979</v>
      </c>
      <c r="CO280" s="1312">
        <f t="shared" si="157"/>
        <v>14585.472331662675</v>
      </c>
      <c r="CP280" s="1312">
        <f>CQ279*((1+'Instrumentos Financeiros'!$Q$43)^(1/12)-1)</f>
        <v>15917.917768576304</v>
      </c>
      <c r="CQ280" s="1312">
        <f t="shared" si="158"/>
        <v>3666699.9140511937</v>
      </c>
      <c r="CR280" s="1312">
        <f t="shared" si="127"/>
        <v>521803.11063210916</v>
      </c>
      <c r="CS280" s="1312">
        <f t="shared" si="127"/>
        <v>347101.03204284963</v>
      </c>
      <c r="CT280" s="1312">
        <f t="shared" si="127"/>
        <v>174702.0785892595</v>
      </c>
      <c r="CU280" s="1312">
        <f t="shared" si="127"/>
        <v>40328753.779459625</v>
      </c>
    </row>
    <row r="281" spans="3:99" x14ac:dyDescent="0.35">
      <c r="C281" s="1315">
        <f t="shared" si="128"/>
        <v>188</v>
      </c>
      <c r="D281" s="1312">
        <f>IF(AND(C281&gt;$F$59,'Instrumentos Financeiros'!C281&lt;'Instrumentos Financeiros'!$F$59+'Instrumentos Financeiros'!$F$11+1),PMT(((1+'Instrumentos Financeiros'!$G$43)^(1/12)-1),$F$11,-$I$59),0)</f>
        <v>91768.589635900134</v>
      </c>
      <c r="E281" s="1312">
        <f t="shared" si="125"/>
        <v>72163.473695040913</v>
      </c>
      <c r="F281" s="1312">
        <f>G280*((1+'Instrumentos Financeiros'!$G$43)^(1/12)-1)</f>
        <v>19605.115940859225</v>
      </c>
      <c r="G281" s="1312">
        <f t="shared" si="159"/>
        <v>4730892.3324627206</v>
      </c>
      <c r="H281" s="1312">
        <f>IF(AND(C281&gt;$F$60,'Instrumentos Financeiros'!C281&lt;'Instrumentos Financeiros'!$F$60+'Instrumentos Financeiros'!$F$11+1),PMT(((1+'Instrumentos Financeiros'!$G$43)^(1/12)-1),$F$11,-$I$60),0)</f>
        <v>0</v>
      </c>
      <c r="I281" s="1312">
        <f t="shared" ref="I281:I344" si="174">H281-J281</f>
        <v>0</v>
      </c>
      <c r="J281" s="1312">
        <f>K280*((1+'Instrumentos Financeiros'!$G$43)^(1/12)-1)</f>
        <v>0</v>
      </c>
      <c r="K281" s="1312">
        <f t="shared" si="129"/>
        <v>0</v>
      </c>
      <c r="L281" s="1312">
        <f>IF(AND(C281&gt;$F$61,'Instrumentos Financeiros'!C281&lt;'Instrumentos Financeiros'!$F$61+'Instrumentos Financeiros'!$F$11+1),PMT(((1+'Instrumentos Financeiros'!$G$43)^(1/12)-1),$F$11,-$I$61),0)</f>
        <v>0</v>
      </c>
      <c r="M281" s="1312">
        <f t="shared" ref="M281:M344" si="175">L281-N281</f>
        <v>0</v>
      </c>
      <c r="N281" s="1312">
        <f>O280*((1+'Instrumentos Financeiros'!$G$43)^(1/12)-1)</f>
        <v>0</v>
      </c>
      <c r="O281" s="1312">
        <f t="shared" si="130"/>
        <v>0</v>
      </c>
      <c r="P281" s="1312">
        <f>IF(AND(C281&gt;$F$62,'Instrumentos Financeiros'!C281&lt;'Instrumentos Financeiros'!$F$62+'Instrumentos Financeiros'!$F$11+1),PMT(((1+'Instrumentos Financeiros'!$H$43)^(1/12)-1),$F$11,-$I$62),0)</f>
        <v>0</v>
      </c>
      <c r="Q281" s="1312">
        <f t="shared" ref="Q281:Q344" si="176">P281-R281</f>
        <v>0</v>
      </c>
      <c r="R281" s="1312">
        <f>S280*((1+'Instrumentos Financeiros'!$H$43)^(1/12)-1)</f>
        <v>0</v>
      </c>
      <c r="S281" s="1312">
        <f t="shared" si="131"/>
        <v>0</v>
      </c>
      <c r="T281" s="1312">
        <f>IF(AND(C281&gt;$F$63,'Instrumentos Financeiros'!C281&lt;'Instrumentos Financeiros'!$F$63+'Instrumentos Financeiros'!$F$11+1),PMT(((1+'Instrumentos Financeiros'!$H$43)^(1/12)-1),$F$11,-$I$63),0)</f>
        <v>0</v>
      </c>
      <c r="U281" s="1312">
        <f t="shared" ref="U281:U344" si="177">T281-V281</f>
        <v>0</v>
      </c>
      <c r="V281" s="1312">
        <f>W280*((1+'Instrumentos Financeiros'!$H$43)^(1/12)-1)</f>
        <v>0</v>
      </c>
      <c r="W281" s="1312">
        <f t="shared" si="132"/>
        <v>0</v>
      </c>
      <c r="X281" s="1312">
        <f>IF(AND(C281&gt;$F$64,'Instrumentos Financeiros'!C281&lt;'Instrumentos Financeiros'!$F$64+'Instrumentos Financeiros'!$F$11+1),PMT(((1+'Instrumentos Financeiros'!$H$43)^(1/12)-1),$F$11,-$I$64),0)</f>
        <v>0</v>
      </c>
      <c r="Y281" s="1312">
        <f t="shared" ref="Y281:Y344" si="178">X281-Z281</f>
        <v>0</v>
      </c>
      <c r="Z281" s="1312">
        <f>AA280*((1+'Instrumentos Financeiros'!$H$43)^(1/12)-1)</f>
        <v>0</v>
      </c>
      <c r="AA281" s="1312">
        <f t="shared" si="133"/>
        <v>0</v>
      </c>
      <c r="AB281" s="1312">
        <f>IF(AND(C281&gt;$F$65,'Instrumentos Financeiros'!C281&lt;'Instrumentos Financeiros'!$F$65+'Instrumentos Financeiros'!$F$11+1),PMT(((1+'Instrumentos Financeiros'!$H$43)^(1/12)-1),$F$11,-$I$65),0)</f>
        <v>76636.661022032335</v>
      </c>
      <c r="AC281" s="1312">
        <f t="shared" ref="AC281:AC344" si="179">AB281-AD281</f>
        <v>54973.129037713443</v>
      </c>
      <c r="AD281" s="1312">
        <f>AE280*((1+'Instrumentos Financeiros'!$H$43)^(1/12)-1)</f>
        <v>21663.531984318895</v>
      </c>
      <c r="AE281" s="1312">
        <f t="shared" si="134"/>
        <v>4955081.883857578</v>
      </c>
      <c r="AF281" s="1312">
        <f>IF(AND(C281&gt;$F$66,'Instrumentos Financeiros'!C281&lt;'Instrumentos Financeiros'!$F$66+'Instrumentos Financeiros'!$F$11+1),PMT(((1+'Instrumentos Financeiros'!$I$43)^(1/12)-1),$F$11,-$I$66),0)</f>
        <v>76636.661022032335</v>
      </c>
      <c r="AG281" s="1312">
        <f t="shared" ref="AG281:AG344" si="180">AF281-AH281</f>
        <v>54266.138687930565</v>
      </c>
      <c r="AH281" s="1312">
        <f>AI280*((1+'Instrumentos Financeiros'!$I$43)^(1/12)-1)</f>
        <v>22370.522334101766</v>
      </c>
      <c r="AI281" s="1312">
        <f t="shared" si="135"/>
        <v>5119292.2469981955</v>
      </c>
      <c r="AJ281" s="1312">
        <f>IF(AND(C281&gt;$F$67,'Instrumentos Financeiros'!C281&lt;'Instrumentos Financeiros'!$F$67+'Instrumentos Financeiros'!$F$11+1),PMT(((1+'Instrumentos Financeiros'!$I$43)^(1/12)-1),$F$11,-$I$67),0)</f>
        <v>76636.661022032335</v>
      </c>
      <c r="AK281" s="1312">
        <f t="shared" ref="AK281:AK344" si="181">AJ281-AL281</f>
        <v>53568.240695876564</v>
      </c>
      <c r="AL281" s="1312">
        <f>AM280*((1+'Instrumentos Financeiros'!$I$43)^(1/12)-1)</f>
        <v>23068.420326155767</v>
      </c>
      <c r="AM281" s="1312">
        <f t="shared" si="136"/>
        <v>5281390.75760091</v>
      </c>
      <c r="AN281" s="1312">
        <f>IF(AND(C281&gt;$F$68,'Instrumentos Financeiros'!C281&lt;'Instrumentos Financeiros'!$F$68+'Instrumentos Financeiros'!$F$11+1),PMT(((1+'Instrumentos Financeiros'!$I$43)^(1/12)-1),$F$11,-$I$68),0)</f>
        <v>76636.661022032335</v>
      </c>
      <c r="AO281" s="1312">
        <f t="shared" ref="AO281:AO344" si="182">AN281-AP281</f>
        <v>52879.318127891602</v>
      </c>
      <c r="AP281" s="1312">
        <f>AQ280*((1+'Instrumentos Financeiros'!$I$43)^(1/12)-1)</f>
        <v>23757.342894140736</v>
      </c>
      <c r="AQ281" s="1312">
        <f t="shared" si="137"/>
        <v>5441404.575468895</v>
      </c>
      <c r="AR281" s="1312">
        <f>IF(AND(C281&gt;$F$69,'Instrumentos Financeiros'!C281&lt;'Instrumentos Financeiros'!$F$69+'Instrumentos Financeiros'!$F$11+1),PMT(((1+'Instrumentos Financeiros'!$I$43)^(1/12)-1),$F$11,-$I$69),0)</f>
        <v>0</v>
      </c>
      <c r="AS281" s="1312">
        <f t="shared" ref="AS281:AS344" si="183">AR281-AT281</f>
        <v>0</v>
      </c>
      <c r="AT281" s="1312">
        <f>AU280*((1+'Instrumentos Financeiros'!$I$43)^(1/12)-1)</f>
        <v>0</v>
      </c>
      <c r="AU281" s="1312">
        <f t="shared" si="138"/>
        <v>0</v>
      </c>
      <c r="AV281" s="1312">
        <f>IF(AND(C281&gt;$F$70,'Instrumentos Financeiros'!C281&lt;'Instrumentos Financeiros'!$F$70+'Instrumentos Financeiros'!$F$11+1),PMT(((1+'Instrumentos Financeiros'!$J$43)^(1/12)-1),$F$11,-$I$70),0)</f>
        <v>0</v>
      </c>
      <c r="AW281" s="1312">
        <f t="shared" ref="AW281:AW344" si="184">AV281-AX281</f>
        <v>0</v>
      </c>
      <c r="AX281" s="1312">
        <f>AY280*((1+'Instrumentos Financeiros'!$J$43)^(1/12)-1)</f>
        <v>0</v>
      </c>
      <c r="AY281" s="1312">
        <f t="shared" si="139"/>
        <v>0</v>
      </c>
      <c r="AZ281" s="1312">
        <f>IF(AND(C281&gt;$F$71,'Instrumentos Financeiros'!C281&lt;'Instrumentos Financeiros'!$F$71+'Instrumentos Financeiros'!$F$11+1),PMT(((1+'Instrumentos Financeiros'!$J$43)^(1/12)-1),$F$11,-$I$71),0)</f>
        <v>0</v>
      </c>
      <c r="BA281" s="1312">
        <f t="shared" ref="BA281:BA344" si="185">AZ281-BB281</f>
        <v>0</v>
      </c>
      <c r="BB281" s="1312">
        <f>BC280*((1+'Instrumentos Financeiros'!$J$43)^(1/12)-1)</f>
        <v>0</v>
      </c>
      <c r="BC281" s="1312">
        <f t="shared" si="140"/>
        <v>0</v>
      </c>
      <c r="BD281" s="1312">
        <f>IF(AND(C281&gt;$F$72,'Instrumentos Financeiros'!C281&lt;'Instrumentos Financeiros'!$F$72+'Instrumentos Financeiros'!$F$11+1),PMT(((1+'Instrumentos Financeiros'!$J$43)^(1/12)-1),$F$11,-'Instrumentos Financeiros'!$G$7*$G$72),0)</f>
        <v>0</v>
      </c>
      <c r="BE281" s="1312">
        <f t="shared" ref="BE281:BE344" si="186">BD281-BF281</f>
        <v>0</v>
      </c>
      <c r="BF281" s="1312">
        <f>BG280*((1+'Instrumentos Financeiros'!$J$43)^(1/12)-1)</f>
        <v>0</v>
      </c>
      <c r="BG281" s="1312">
        <f t="shared" si="141"/>
        <v>0</v>
      </c>
      <c r="BH281" s="1312">
        <f>IF(AND(C281&gt;$F$73,'Instrumentos Financeiros'!C281&lt;'Instrumentos Financeiros'!$F$73+'Instrumentos Financeiros'!$F$11+1),PMT(((1+'Instrumentos Financeiros'!$J$43)^(1/12)-1),$F$11,-$I$73),0)</f>
        <v>0</v>
      </c>
      <c r="BI281" s="1312">
        <f t="shared" ref="BI281:BI344" si="187">BH281-BJ281</f>
        <v>0</v>
      </c>
      <c r="BJ281" s="1312">
        <f>BK280*((1+'Instrumentos Financeiros'!$J$43)^(1/12)-1)</f>
        <v>0</v>
      </c>
      <c r="BK281" s="1312">
        <f t="shared" si="142"/>
        <v>0</v>
      </c>
      <c r="BL281" s="1312">
        <f>IF(AND(C281&gt;$F$77,'Instrumentos Financeiros'!C281&lt;'Instrumentos Financeiros'!$F$77+'Instrumentos Financeiros'!$F$12+1),PMT(((1+'Instrumentos Financeiros'!$K$43)^(1/12)-1),$F$12,-$I$77),0)</f>
        <v>368.57912678094596</v>
      </c>
      <c r="BM281" s="1312">
        <f t="shared" si="143"/>
        <v>251.048985879437</v>
      </c>
      <c r="BN281" s="1312">
        <f>BO280*((1+'Instrumentos Financeiros'!$K$43)^(1/12)-1)</f>
        <v>117.53014090150897</v>
      </c>
      <c r="BO281" s="1312">
        <f t="shared" si="144"/>
        <v>26929.766774732463</v>
      </c>
      <c r="BP281" s="1312">
        <f>IF(AND(C281&gt;$F$78,'Instrumentos Financeiros'!C281&lt;'Instrumentos Financeiros'!$F$78+'Instrumentos Financeiros'!$F$12+1),PMT(((1+'Instrumentos Financeiros'!$L$43)^(1/12)-1),$F$12,-$I$78),0)</f>
        <v>368.57912678094596</v>
      </c>
      <c r="BQ281" s="1312">
        <f t="shared" si="145"/>
        <v>247.82033192710739</v>
      </c>
      <c r="BR281" s="1312">
        <f>BS280*((1+'Instrumentos Financeiros'!$L$43)^(1/12)-1)</f>
        <v>120.75879485383857</v>
      </c>
      <c r="BS281" s="1312">
        <f t="shared" si="146"/>
        <v>27679.675791355192</v>
      </c>
      <c r="BT281" s="1312">
        <f>IF(AND(C281&gt;$F$79,'Instrumentos Financeiros'!C281&lt;'Instrumentos Financeiros'!$F$79+'Instrumentos Financeiros'!$F$12+1),PMT(((1+'Instrumentos Financeiros'!$L$43)^(1/12)-1),$F$12,-$I$79),0)</f>
        <v>368.57912678094596</v>
      </c>
      <c r="BU281" s="1312">
        <f t="shared" si="147"/>
        <v>244.63320057367372</v>
      </c>
      <c r="BV281" s="1312">
        <f>BW280*((1+'Instrumentos Financeiros'!$L$43)^(1/12)-1)</f>
        <v>123.94592620727224</v>
      </c>
      <c r="BW281" s="1312">
        <f t="shared" si="148"/>
        <v>28419.940488157528</v>
      </c>
      <c r="BX281" s="1312">
        <f>IF(AND(C281&gt;$F$80,'Instrumentos Financeiros'!C281&lt;'Instrumentos Financeiros'!$F$80+'Instrumentos Financeiros'!$F$12+1),PMT(((1+'Instrumentos Financeiros'!$L$43)^(1/12)-1),$F$12,-$I$80),0)</f>
        <v>368.57912678094596</v>
      </c>
      <c r="BY281" s="1312">
        <f t="shared" si="149"/>
        <v>241.48705781139012</v>
      </c>
      <c r="BZ281" s="1312">
        <f>CA280*((1+'Instrumentos Financeiros'!$L$43)^(1/12)-1)</f>
        <v>127.09206896955584</v>
      </c>
      <c r="CA281" s="1312">
        <f t="shared" si="150"/>
        <v>29150.684897392366</v>
      </c>
      <c r="CB281" s="1312">
        <f>IF(AND(C281&gt;$F$83,'Instrumentos Financeiros'!C281&lt;'Instrumentos Financeiros'!$F$83+'Instrumentos Financeiros'!$F$13+1),PMT(((1+'Instrumentos Financeiros'!$P$43)^(1/12)-1),$F$13,-$I$83),0)</f>
        <v>30503.390100238979</v>
      </c>
      <c r="CC281" s="1312">
        <f t="shared" si="151"/>
        <v>15228.564060143646</v>
      </c>
      <c r="CD281" s="1312">
        <f>CE280*((1+'Instrumentos Financeiros'!$P$43)^(1/12)-1)</f>
        <v>15274.826040095333</v>
      </c>
      <c r="CE281" s="1312">
        <f t="shared" si="152"/>
        <v>3517331.0771229099</v>
      </c>
      <c r="CF281" s="1312">
        <f>IF(AND(C281&gt;$F$84,'Instrumentos Financeiros'!C281&lt;'Instrumentos Financeiros'!$F$84+'Instrumentos Financeiros'!$F$13+1),PMT(((1+'Instrumentos Financeiros'!$Q$43)^(1/12)-1),$F$13,-$I$84),0)</f>
        <v>30503.390100238979</v>
      </c>
      <c r="CG281" s="1312">
        <f t="shared" si="153"/>
        <v>15032.714778503056</v>
      </c>
      <c r="CH281" s="1312">
        <f>CI280*((1+'Instrumentos Financeiros'!$Q$43)^(1/12)-1)</f>
        <v>15470.675321735924</v>
      </c>
      <c r="CI281" s="1312">
        <f t="shared" si="154"/>
        <v>3562820.3566709375</v>
      </c>
      <c r="CJ281" s="1312">
        <f>IF(AND(C281&gt;$F$85,'Instrumentos Financeiros'!C281&lt;'Instrumentos Financeiros'!$F$85+'Instrumentos Financeiros'!$F$13+1),PMT(((1+'Instrumentos Financeiros'!$Q$43)^(1/12)-1),$F$13,-$I$85),0)</f>
        <v>30503.390100238979</v>
      </c>
      <c r="CK281" s="1312">
        <f t="shared" si="155"/>
        <v>14839.384246559915</v>
      </c>
      <c r="CL281" s="1312">
        <f>CM280*((1+'Instrumentos Financeiros'!$Q$43)^(1/12)-1)</f>
        <v>15664.005853679064</v>
      </c>
      <c r="CM281" s="1312">
        <f t="shared" si="156"/>
        <v>3607724.6143687996</v>
      </c>
      <c r="CN281" s="1312">
        <f>IF(AND(C281&gt;$F$86,'Instrumentos Financeiros'!C281&lt;'Instrumentos Financeiros'!$F$86+'Instrumentos Financeiros'!$F$13+1),PMT(((1+'Instrumentos Financeiros'!$Q$43)^(1/12)-1),$F$13,-$I$86),0)</f>
        <v>30503.390100238979</v>
      </c>
      <c r="CO281" s="1312">
        <f t="shared" si="157"/>
        <v>14648.540071547786</v>
      </c>
      <c r="CP281" s="1312">
        <f>CQ280*((1+'Instrumentos Financeiros'!$Q$43)^(1/12)-1)</f>
        <v>15854.850028691193</v>
      </c>
      <c r="CQ281" s="1312">
        <f t="shared" si="158"/>
        <v>3652051.3739796458</v>
      </c>
      <c r="CR281" s="1312">
        <f t="shared" si="127"/>
        <v>521803.11063210916</v>
      </c>
      <c r="CS281" s="1312">
        <f t="shared" si="127"/>
        <v>348584.49297739915</v>
      </c>
      <c r="CT281" s="1312">
        <f t="shared" si="127"/>
        <v>173218.61765471011</v>
      </c>
      <c r="CU281" s="1312">
        <f t="shared" si="127"/>
        <v>39980169.286482222</v>
      </c>
    </row>
    <row r="282" spans="3:99" x14ac:dyDescent="0.35">
      <c r="C282" s="1315">
        <f t="shared" si="128"/>
        <v>189</v>
      </c>
      <c r="D282" s="1312">
        <f>IF(AND(C282&gt;$F$59,'Instrumentos Financeiros'!C282&lt;'Instrumentos Financeiros'!$F$59+'Instrumentos Financeiros'!$F$11+1),PMT(((1+'Instrumentos Financeiros'!$G$43)^(1/12)-1),$F$11,-$I$59),0)</f>
        <v>91768.589635900134</v>
      </c>
      <c r="E282" s="1312">
        <f t="shared" si="125"/>
        <v>72458.030603305975</v>
      </c>
      <c r="F282" s="1312">
        <f>G281*((1+'Instrumentos Financeiros'!$G$43)^(1/12)-1)</f>
        <v>19310.559032594156</v>
      </c>
      <c r="G282" s="1312">
        <f t="shared" si="159"/>
        <v>4658434.3018594142</v>
      </c>
      <c r="H282" s="1312">
        <f>IF(AND(C282&gt;$F$60,'Instrumentos Financeiros'!C282&lt;'Instrumentos Financeiros'!$F$60+'Instrumentos Financeiros'!$F$11+1),PMT(((1+'Instrumentos Financeiros'!$G$43)^(1/12)-1),$F$11,-$I$60),0)</f>
        <v>0</v>
      </c>
      <c r="I282" s="1312">
        <f t="shared" si="174"/>
        <v>0</v>
      </c>
      <c r="J282" s="1312">
        <f>K281*((1+'Instrumentos Financeiros'!$G$43)^(1/12)-1)</f>
        <v>0</v>
      </c>
      <c r="K282" s="1312">
        <f t="shared" si="129"/>
        <v>0</v>
      </c>
      <c r="L282" s="1312">
        <f>IF(AND(C282&gt;$F$61,'Instrumentos Financeiros'!C282&lt;'Instrumentos Financeiros'!$F$61+'Instrumentos Financeiros'!$F$11+1),PMT(((1+'Instrumentos Financeiros'!$G$43)^(1/12)-1),$F$11,-$I$61),0)</f>
        <v>0</v>
      </c>
      <c r="M282" s="1312">
        <f t="shared" si="175"/>
        <v>0</v>
      </c>
      <c r="N282" s="1312">
        <f>O281*((1+'Instrumentos Financeiros'!$G$43)^(1/12)-1)</f>
        <v>0</v>
      </c>
      <c r="O282" s="1312">
        <f t="shared" si="130"/>
        <v>0</v>
      </c>
      <c r="P282" s="1312">
        <f>IF(AND(C282&gt;$F$62,'Instrumentos Financeiros'!C282&lt;'Instrumentos Financeiros'!$F$62+'Instrumentos Financeiros'!$F$11+1),PMT(((1+'Instrumentos Financeiros'!$H$43)^(1/12)-1),$F$11,-$I$62),0)</f>
        <v>0</v>
      </c>
      <c r="Q282" s="1312">
        <f t="shared" si="176"/>
        <v>0</v>
      </c>
      <c r="R282" s="1312">
        <f>S281*((1+'Instrumentos Financeiros'!$H$43)^(1/12)-1)</f>
        <v>0</v>
      </c>
      <c r="S282" s="1312">
        <f t="shared" si="131"/>
        <v>0</v>
      </c>
      <c r="T282" s="1312">
        <f>IF(AND(C282&gt;$F$63,'Instrumentos Financeiros'!C282&lt;'Instrumentos Financeiros'!$F$63+'Instrumentos Financeiros'!$F$11+1),PMT(((1+'Instrumentos Financeiros'!$H$43)^(1/12)-1),$F$11,-$I$63),0)</f>
        <v>0</v>
      </c>
      <c r="U282" s="1312">
        <f t="shared" si="177"/>
        <v>0</v>
      </c>
      <c r="V282" s="1312">
        <f>W281*((1+'Instrumentos Financeiros'!$H$43)^(1/12)-1)</f>
        <v>0</v>
      </c>
      <c r="W282" s="1312">
        <f t="shared" si="132"/>
        <v>0</v>
      </c>
      <c r="X282" s="1312">
        <f>IF(AND(C282&gt;$F$64,'Instrumentos Financeiros'!C282&lt;'Instrumentos Financeiros'!$F$64+'Instrumentos Financeiros'!$F$11+1),PMT(((1+'Instrumentos Financeiros'!$H$43)^(1/12)-1),$F$11,-$I$64),0)</f>
        <v>0</v>
      </c>
      <c r="Y282" s="1312">
        <f t="shared" si="178"/>
        <v>0</v>
      </c>
      <c r="Z282" s="1312">
        <f>AA281*((1+'Instrumentos Financeiros'!$H$43)^(1/12)-1)</f>
        <v>0</v>
      </c>
      <c r="AA282" s="1312">
        <f t="shared" si="133"/>
        <v>0</v>
      </c>
      <c r="AB282" s="1312">
        <f>IF(AND(C282&gt;$F$65,'Instrumentos Financeiros'!C282&lt;'Instrumentos Financeiros'!$F$65+'Instrumentos Financeiros'!$F$11+1),PMT(((1+'Instrumentos Financeiros'!$H$43)^(1/12)-1),$F$11,-$I$65),0)</f>
        <v>76636.661022032335</v>
      </c>
      <c r="AC282" s="1312">
        <f t="shared" si="179"/>
        <v>55210.833441381925</v>
      </c>
      <c r="AD282" s="1312">
        <f>AE281*((1+'Instrumentos Financeiros'!$H$43)^(1/12)-1)</f>
        <v>21425.827580650406</v>
      </c>
      <c r="AE282" s="1312">
        <f t="shared" si="134"/>
        <v>4899871.0504161958</v>
      </c>
      <c r="AF282" s="1312">
        <f>IF(AND(C282&gt;$F$66,'Instrumentos Financeiros'!C282&lt;'Instrumentos Financeiros'!$F$66+'Instrumentos Financeiros'!$F$11+1),PMT(((1+'Instrumentos Financeiros'!$I$43)^(1/12)-1),$F$11,-$I$66),0)</f>
        <v>76636.661022032335</v>
      </c>
      <c r="AG282" s="1312">
        <f t="shared" si="180"/>
        <v>54500.786057691104</v>
      </c>
      <c r="AH282" s="1312">
        <f>AI281*((1+'Instrumentos Financeiros'!$I$43)^(1/12)-1)</f>
        <v>22135.874964341227</v>
      </c>
      <c r="AI282" s="1312">
        <f t="shared" si="135"/>
        <v>5064791.4609405044</v>
      </c>
      <c r="AJ282" s="1312">
        <f>IF(AND(C282&gt;$F$67,'Instrumentos Financeiros'!C282&lt;'Instrumentos Financeiros'!$F$67+'Instrumentos Financeiros'!$F$11+1),PMT(((1+'Instrumentos Financeiros'!$I$43)^(1/12)-1),$F$11,-$I$67),0)</f>
        <v>76636.661022032335</v>
      </c>
      <c r="AK282" s="1312">
        <f t="shared" si="181"/>
        <v>53799.870347182172</v>
      </c>
      <c r="AL282" s="1312">
        <f>AM281*((1+'Instrumentos Financeiros'!$I$43)^(1/12)-1)</f>
        <v>22836.790674850163</v>
      </c>
      <c r="AM282" s="1312">
        <f t="shared" si="136"/>
        <v>5227590.8872537278</v>
      </c>
      <c r="AN282" s="1312">
        <f>IF(AND(C282&gt;$F$68,'Instrumentos Financeiros'!C282&lt;'Instrumentos Financeiros'!$F$68+'Instrumentos Financeiros'!$F$11+1),PMT(((1+'Instrumentos Financeiros'!$I$43)^(1/12)-1),$F$11,-$I$68),0)</f>
        <v>76636.661022032335</v>
      </c>
      <c r="AO282" s="1312">
        <f t="shared" si="182"/>
        <v>53107.968870572877</v>
      </c>
      <c r="AP282" s="1312">
        <f>AQ281*((1+'Instrumentos Financeiros'!$I$43)^(1/12)-1)</f>
        <v>23528.692151459461</v>
      </c>
      <c r="AQ282" s="1312">
        <f t="shared" si="137"/>
        <v>5388296.6065983223</v>
      </c>
      <c r="AR282" s="1312">
        <f>IF(AND(C282&gt;$F$69,'Instrumentos Financeiros'!C282&lt;'Instrumentos Financeiros'!$F$69+'Instrumentos Financeiros'!$F$11+1),PMT(((1+'Instrumentos Financeiros'!$I$43)^(1/12)-1),$F$11,-$I$69),0)</f>
        <v>0</v>
      </c>
      <c r="AS282" s="1312">
        <f t="shared" si="183"/>
        <v>0</v>
      </c>
      <c r="AT282" s="1312">
        <f>AU281*((1+'Instrumentos Financeiros'!$I$43)^(1/12)-1)</f>
        <v>0</v>
      </c>
      <c r="AU282" s="1312">
        <f t="shared" si="138"/>
        <v>0</v>
      </c>
      <c r="AV282" s="1312">
        <f>IF(AND(C282&gt;$F$70,'Instrumentos Financeiros'!C282&lt;'Instrumentos Financeiros'!$F$70+'Instrumentos Financeiros'!$F$11+1),PMT(((1+'Instrumentos Financeiros'!$J$43)^(1/12)-1),$F$11,-$I$70),0)</f>
        <v>0</v>
      </c>
      <c r="AW282" s="1312">
        <f t="shared" si="184"/>
        <v>0</v>
      </c>
      <c r="AX282" s="1312">
        <f>AY281*((1+'Instrumentos Financeiros'!$J$43)^(1/12)-1)</f>
        <v>0</v>
      </c>
      <c r="AY282" s="1312">
        <f t="shared" si="139"/>
        <v>0</v>
      </c>
      <c r="AZ282" s="1312">
        <f>IF(AND(C282&gt;$F$71,'Instrumentos Financeiros'!C282&lt;'Instrumentos Financeiros'!$F$71+'Instrumentos Financeiros'!$F$11+1),PMT(((1+'Instrumentos Financeiros'!$J$43)^(1/12)-1),$F$11,-$I$71),0)</f>
        <v>0</v>
      </c>
      <c r="BA282" s="1312">
        <f t="shared" si="185"/>
        <v>0</v>
      </c>
      <c r="BB282" s="1312">
        <f>BC281*((1+'Instrumentos Financeiros'!$J$43)^(1/12)-1)</f>
        <v>0</v>
      </c>
      <c r="BC282" s="1312">
        <f t="shared" si="140"/>
        <v>0</v>
      </c>
      <c r="BD282" s="1312">
        <f>IF(AND(C282&gt;$F$72,'Instrumentos Financeiros'!C282&lt;'Instrumentos Financeiros'!$F$72+'Instrumentos Financeiros'!$F$11+1),PMT(((1+'Instrumentos Financeiros'!$J$43)^(1/12)-1),$F$11,-'Instrumentos Financeiros'!$G$7*$G$72),0)</f>
        <v>0</v>
      </c>
      <c r="BE282" s="1312">
        <f t="shared" si="186"/>
        <v>0</v>
      </c>
      <c r="BF282" s="1312">
        <f>BG281*((1+'Instrumentos Financeiros'!$J$43)^(1/12)-1)</f>
        <v>0</v>
      </c>
      <c r="BG282" s="1312">
        <f t="shared" si="141"/>
        <v>0</v>
      </c>
      <c r="BH282" s="1312">
        <f>IF(AND(C282&gt;$F$73,'Instrumentos Financeiros'!C282&lt;'Instrumentos Financeiros'!$F$73+'Instrumentos Financeiros'!$F$11+1),PMT(((1+'Instrumentos Financeiros'!$J$43)^(1/12)-1),$F$11,-$I$73),0)</f>
        <v>0</v>
      </c>
      <c r="BI282" s="1312">
        <f t="shared" si="187"/>
        <v>0</v>
      </c>
      <c r="BJ282" s="1312">
        <f>BK281*((1+'Instrumentos Financeiros'!$J$43)^(1/12)-1)</f>
        <v>0</v>
      </c>
      <c r="BK282" s="1312">
        <f t="shared" si="142"/>
        <v>0</v>
      </c>
      <c r="BL282" s="1312">
        <f>IF(AND(C282&gt;$F$77,'Instrumentos Financeiros'!C282&lt;'Instrumentos Financeiros'!$F$77+'Instrumentos Financeiros'!$F$12+1),PMT(((1+'Instrumentos Financeiros'!$K$43)^(1/12)-1),$F$12,-$I$77),0)</f>
        <v>368.57912678094596</v>
      </c>
      <c r="BM282" s="1312">
        <f t="shared" si="143"/>
        <v>252.134524405707</v>
      </c>
      <c r="BN282" s="1312">
        <f>BO281*((1+'Instrumentos Financeiros'!$K$43)^(1/12)-1)</f>
        <v>116.44460237523897</v>
      </c>
      <c r="BO282" s="1312">
        <f t="shared" si="144"/>
        <v>26677.632250326755</v>
      </c>
      <c r="BP282" s="1312">
        <f>IF(AND(C282&gt;$F$78,'Instrumentos Financeiros'!C282&lt;'Instrumentos Financeiros'!$F$78+'Instrumentos Financeiros'!$F$12+1),PMT(((1+'Instrumentos Financeiros'!$L$43)^(1/12)-1),$F$12,-$I$78),0)</f>
        <v>368.57912678094596</v>
      </c>
      <c r="BQ282" s="1312">
        <f t="shared" si="145"/>
        <v>248.89190971881808</v>
      </c>
      <c r="BR282" s="1312">
        <f>BS281*((1+'Instrumentos Financeiros'!$L$43)^(1/12)-1)</f>
        <v>119.68721706212787</v>
      </c>
      <c r="BS282" s="1312">
        <f t="shared" si="146"/>
        <v>27430.783881636373</v>
      </c>
      <c r="BT282" s="1312">
        <f>IF(AND(C282&gt;$F$79,'Instrumentos Financeiros'!C282&lt;'Instrumentos Financeiros'!$F$79+'Instrumentos Financeiros'!$F$12+1),PMT(((1+'Instrumentos Financeiros'!$L$43)^(1/12)-1),$F$12,-$I$79),0)</f>
        <v>368.57912678094596</v>
      </c>
      <c r="BU282" s="1312">
        <f t="shared" si="147"/>
        <v>245.69099717499114</v>
      </c>
      <c r="BV282" s="1312">
        <f>BW281*((1+'Instrumentos Financeiros'!$L$43)^(1/12)-1)</f>
        <v>122.8881296059548</v>
      </c>
      <c r="BW282" s="1312">
        <f t="shared" si="148"/>
        <v>28174.249490982536</v>
      </c>
      <c r="BX282" s="1312">
        <f>IF(AND(C282&gt;$F$80,'Instrumentos Financeiros'!C282&lt;'Instrumentos Financeiros'!$F$80+'Instrumentos Financeiros'!$F$12+1),PMT(((1+'Instrumentos Financeiros'!$L$43)^(1/12)-1),$F$12,-$I$80),0)</f>
        <v>368.57912678094596</v>
      </c>
      <c r="BY282" s="1312">
        <f t="shared" si="149"/>
        <v>242.53125045742513</v>
      </c>
      <c r="BZ282" s="1312">
        <f>CA281*((1+'Instrumentos Financeiros'!$L$43)^(1/12)-1)</f>
        <v>126.04787632352082</v>
      </c>
      <c r="CA282" s="1312">
        <f t="shared" si="150"/>
        <v>28908.153646934941</v>
      </c>
      <c r="CB282" s="1312">
        <f>IF(AND(C282&gt;$F$83,'Instrumentos Financeiros'!C282&lt;'Instrumentos Financeiros'!$F$83+'Instrumentos Financeiros'!$F$13+1),PMT(((1+'Instrumentos Financeiros'!$P$43)^(1/12)-1),$F$13,-$I$83),0)</f>
        <v>30503.390100238979</v>
      </c>
      <c r="CC282" s="1312">
        <f t="shared" si="151"/>
        <v>15294.412535608095</v>
      </c>
      <c r="CD282" s="1312">
        <f>CE281*((1+'Instrumentos Financeiros'!$P$43)^(1/12)-1)</f>
        <v>15208.977564630884</v>
      </c>
      <c r="CE282" s="1312">
        <f t="shared" si="152"/>
        <v>3502036.6645873017</v>
      </c>
      <c r="CF282" s="1312">
        <f>IF(AND(C282&gt;$F$84,'Instrumentos Financeiros'!C282&lt;'Instrumentos Financeiros'!$F$84+'Instrumentos Financeiros'!$F$13+1),PMT(((1+'Instrumentos Financeiros'!$Q$43)^(1/12)-1),$F$13,-$I$84),0)</f>
        <v>30503.390100238979</v>
      </c>
      <c r="CG282" s="1312">
        <f t="shared" si="153"/>
        <v>15097.716399558518</v>
      </c>
      <c r="CH282" s="1312">
        <f>CI281*((1+'Instrumentos Financeiros'!$Q$43)^(1/12)-1)</f>
        <v>15405.673700680461</v>
      </c>
      <c r="CI282" s="1312">
        <f t="shared" si="154"/>
        <v>3547722.6402713791</v>
      </c>
      <c r="CJ282" s="1312">
        <f>IF(AND(C282&gt;$F$85,'Instrumentos Financeiros'!C282&lt;'Instrumentos Financeiros'!$F$85+'Instrumentos Financeiros'!$F$13+1),PMT(((1+'Instrumentos Financeiros'!$Q$43)^(1/12)-1),$F$13,-$I$85),0)</f>
        <v>30503.390100238979</v>
      </c>
      <c r="CK282" s="1312">
        <f t="shared" si="155"/>
        <v>14903.549904307289</v>
      </c>
      <c r="CL282" s="1312">
        <f>CM281*((1+'Instrumentos Financeiros'!$Q$43)^(1/12)-1)</f>
        <v>15599.840195931691</v>
      </c>
      <c r="CM282" s="1312">
        <f t="shared" si="156"/>
        <v>3592821.0644644923</v>
      </c>
      <c r="CN282" s="1312">
        <f>IF(AND(C282&gt;$F$86,'Instrumentos Financeiros'!C282&lt;'Instrumentos Financeiros'!$F$86+'Instrumentos Financeiros'!$F$13+1),PMT(((1+'Instrumentos Financeiros'!$Q$43)^(1/12)-1),$F$13,-$I$86),0)</f>
        <v>30503.390100238979</v>
      </c>
      <c r="CO282" s="1312">
        <f t="shared" si="157"/>
        <v>14711.880517021291</v>
      </c>
      <c r="CP282" s="1312">
        <f>CQ281*((1+'Instrumentos Financeiros'!$Q$43)^(1/12)-1)</f>
        <v>15791.509583217688</v>
      </c>
      <c r="CQ282" s="1312">
        <f t="shared" si="158"/>
        <v>3637339.4934626245</v>
      </c>
      <c r="CR282" s="1312">
        <f t="shared" si="127"/>
        <v>521803.11063210916</v>
      </c>
      <c r="CS282" s="1312">
        <f t="shared" si="127"/>
        <v>350074.29735838622</v>
      </c>
      <c r="CT282" s="1312">
        <f t="shared" si="127"/>
        <v>171728.81327372295</v>
      </c>
      <c r="CU282" s="1312">
        <f t="shared" si="127"/>
        <v>39630094.989123844</v>
      </c>
    </row>
    <row r="283" spans="3:99" x14ac:dyDescent="0.35">
      <c r="C283" s="1315">
        <f t="shared" si="128"/>
        <v>190</v>
      </c>
      <c r="D283" s="1312">
        <f>IF(AND(C283&gt;$F$59,'Instrumentos Financeiros'!C283&lt;'Instrumentos Financeiros'!$F$59+'Instrumentos Financeiros'!$F$11+1),PMT(((1+'Instrumentos Financeiros'!$G$43)^(1/12)-1),$F$11,-$I$59),0)</f>
        <v>91768.589635900134</v>
      </c>
      <c r="E283" s="1312">
        <f t="shared" si="125"/>
        <v>72753.789834127936</v>
      </c>
      <c r="F283" s="1312">
        <f>G282*((1+'Instrumentos Financeiros'!$G$43)^(1/12)-1)</f>
        <v>19014.799801772202</v>
      </c>
      <c r="G283" s="1312">
        <f t="shared" si="159"/>
        <v>4585680.5120252864</v>
      </c>
      <c r="H283" s="1312">
        <f>IF(AND(C283&gt;$F$60,'Instrumentos Financeiros'!C283&lt;'Instrumentos Financeiros'!$F$60+'Instrumentos Financeiros'!$F$11+1),PMT(((1+'Instrumentos Financeiros'!$G$43)^(1/12)-1),$F$11,-$I$60),0)</f>
        <v>0</v>
      </c>
      <c r="I283" s="1312">
        <f t="shared" si="174"/>
        <v>0</v>
      </c>
      <c r="J283" s="1312">
        <f>K282*((1+'Instrumentos Financeiros'!$G$43)^(1/12)-1)</f>
        <v>0</v>
      </c>
      <c r="K283" s="1312">
        <f t="shared" si="129"/>
        <v>0</v>
      </c>
      <c r="L283" s="1312">
        <f>IF(AND(C283&gt;$F$61,'Instrumentos Financeiros'!C283&lt;'Instrumentos Financeiros'!$F$61+'Instrumentos Financeiros'!$F$11+1),PMT(((1+'Instrumentos Financeiros'!$G$43)^(1/12)-1),$F$11,-$I$61),0)</f>
        <v>0</v>
      </c>
      <c r="M283" s="1312">
        <f t="shared" si="175"/>
        <v>0</v>
      </c>
      <c r="N283" s="1312">
        <f>O282*((1+'Instrumentos Financeiros'!$G$43)^(1/12)-1)</f>
        <v>0</v>
      </c>
      <c r="O283" s="1312">
        <f t="shared" si="130"/>
        <v>0</v>
      </c>
      <c r="P283" s="1312">
        <f>IF(AND(C283&gt;$F$62,'Instrumentos Financeiros'!C283&lt;'Instrumentos Financeiros'!$F$62+'Instrumentos Financeiros'!$F$11+1),PMT(((1+'Instrumentos Financeiros'!$H$43)^(1/12)-1),$F$11,-$I$62),0)</f>
        <v>0</v>
      </c>
      <c r="Q283" s="1312">
        <f t="shared" si="176"/>
        <v>0</v>
      </c>
      <c r="R283" s="1312">
        <f>S282*((1+'Instrumentos Financeiros'!$H$43)^(1/12)-1)</f>
        <v>0</v>
      </c>
      <c r="S283" s="1312">
        <f t="shared" si="131"/>
        <v>0</v>
      </c>
      <c r="T283" s="1312">
        <f>IF(AND(C283&gt;$F$63,'Instrumentos Financeiros'!C283&lt;'Instrumentos Financeiros'!$F$63+'Instrumentos Financeiros'!$F$11+1),PMT(((1+'Instrumentos Financeiros'!$H$43)^(1/12)-1),$F$11,-$I$63),0)</f>
        <v>0</v>
      </c>
      <c r="U283" s="1312">
        <f t="shared" si="177"/>
        <v>0</v>
      </c>
      <c r="V283" s="1312">
        <f>W282*((1+'Instrumentos Financeiros'!$H$43)^(1/12)-1)</f>
        <v>0</v>
      </c>
      <c r="W283" s="1312">
        <f t="shared" si="132"/>
        <v>0</v>
      </c>
      <c r="X283" s="1312">
        <f>IF(AND(C283&gt;$F$64,'Instrumentos Financeiros'!C283&lt;'Instrumentos Financeiros'!$F$64+'Instrumentos Financeiros'!$F$11+1),PMT(((1+'Instrumentos Financeiros'!$H$43)^(1/12)-1),$F$11,-$I$64),0)</f>
        <v>0</v>
      </c>
      <c r="Y283" s="1312">
        <f t="shared" si="178"/>
        <v>0</v>
      </c>
      <c r="Z283" s="1312">
        <f>AA282*((1+'Instrumentos Financeiros'!$H$43)^(1/12)-1)</f>
        <v>0</v>
      </c>
      <c r="AA283" s="1312">
        <f t="shared" si="133"/>
        <v>0</v>
      </c>
      <c r="AB283" s="1312">
        <f>IF(AND(C283&gt;$F$65,'Instrumentos Financeiros'!C283&lt;'Instrumentos Financeiros'!$F$65+'Instrumentos Financeiros'!$F$11+1),PMT(((1+'Instrumentos Financeiros'!$H$43)^(1/12)-1),$F$11,-$I$65),0)</f>
        <v>76636.661022032335</v>
      </c>
      <c r="AC283" s="1312">
        <f t="shared" si="179"/>
        <v>55449.565681459091</v>
      </c>
      <c r="AD283" s="1312">
        <f>AE282*((1+'Instrumentos Financeiros'!$H$43)^(1/12)-1)</f>
        <v>21187.095340573247</v>
      </c>
      <c r="AE283" s="1312">
        <f t="shared" si="134"/>
        <v>4844421.4847347364</v>
      </c>
      <c r="AF283" s="1312">
        <f>IF(AND(C283&gt;$F$66,'Instrumentos Financeiros'!C283&lt;'Instrumentos Financeiros'!$F$66+'Instrumentos Financeiros'!$F$11+1),PMT(((1+'Instrumentos Financeiros'!$I$43)^(1/12)-1),$F$11,-$I$66),0)</f>
        <v>76636.661022032335</v>
      </c>
      <c r="AG283" s="1312">
        <f t="shared" si="180"/>
        <v>54736.448045212674</v>
      </c>
      <c r="AH283" s="1312">
        <f>AI282*((1+'Instrumentos Financeiros'!$I$43)^(1/12)-1)</f>
        <v>21900.212976819657</v>
      </c>
      <c r="AI283" s="1312">
        <f t="shared" si="135"/>
        <v>5010055.0128952917</v>
      </c>
      <c r="AJ283" s="1312">
        <f>IF(AND(C283&gt;$F$67,'Instrumentos Financeiros'!C283&lt;'Instrumentos Financeiros'!$F$67+'Instrumentos Financeiros'!$F$11+1),PMT(((1+'Instrumentos Financeiros'!$I$43)^(1/12)-1),$F$11,-$I$67),0)</f>
        <v>76636.661022032335</v>
      </c>
      <c r="AK283" s="1312">
        <f t="shared" si="181"/>
        <v>54032.501567601619</v>
      </c>
      <c r="AL283" s="1312">
        <f>AM282*((1+'Instrumentos Financeiros'!$I$43)^(1/12)-1)</f>
        <v>22604.159454430719</v>
      </c>
      <c r="AM283" s="1312">
        <f t="shared" si="136"/>
        <v>5173558.3856861265</v>
      </c>
      <c r="AN283" s="1312">
        <f>IF(AND(C283&gt;$F$68,'Instrumentos Financeiros'!C283&lt;'Instrumentos Financeiros'!$F$68+'Instrumentos Financeiros'!$F$11+1),PMT(((1+'Instrumentos Financeiros'!$I$43)^(1/12)-1),$F$11,-$I$68),0)</f>
        <v>76636.661022032335</v>
      </c>
      <c r="AO283" s="1312">
        <f t="shared" si="182"/>
        <v>53337.608301534929</v>
      </c>
      <c r="AP283" s="1312">
        <f>AQ282*((1+'Instrumentos Financeiros'!$I$43)^(1/12)-1)</f>
        <v>23299.052720497406</v>
      </c>
      <c r="AQ283" s="1312">
        <f t="shared" si="137"/>
        <v>5334958.998296787</v>
      </c>
      <c r="AR283" s="1312">
        <f>IF(AND(C283&gt;$F$69,'Instrumentos Financeiros'!C283&lt;'Instrumentos Financeiros'!$F$69+'Instrumentos Financeiros'!$F$11+1),PMT(((1+'Instrumentos Financeiros'!$I$43)^(1/12)-1),$F$11,-$I$69),0)</f>
        <v>0</v>
      </c>
      <c r="AS283" s="1312">
        <f t="shared" si="183"/>
        <v>0</v>
      </c>
      <c r="AT283" s="1312">
        <f>AU282*((1+'Instrumentos Financeiros'!$I$43)^(1/12)-1)</f>
        <v>0</v>
      </c>
      <c r="AU283" s="1312">
        <f t="shared" si="138"/>
        <v>0</v>
      </c>
      <c r="AV283" s="1312">
        <f>IF(AND(C283&gt;$F$70,'Instrumentos Financeiros'!C283&lt;'Instrumentos Financeiros'!$F$70+'Instrumentos Financeiros'!$F$11+1),PMT(((1+'Instrumentos Financeiros'!$J$43)^(1/12)-1),$F$11,-$I$70),0)</f>
        <v>0</v>
      </c>
      <c r="AW283" s="1312">
        <f t="shared" si="184"/>
        <v>0</v>
      </c>
      <c r="AX283" s="1312">
        <f>AY282*((1+'Instrumentos Financeiros'!$J$43)^(1/12)-1)</f>
        <v>0</v>
      </c>
      <c r="AY283" s="1312">
        <f t="shared" si="139"/>
        <v>0</v>
      </c>
      <c r="AZ283" s="1312">
        <f>IF(AND(C283&gt;$F$71,'Instrumentos Financeiros'!C283&lt;'Instrumentos Financeiros'!$F$71+'Instrumentos Financeiros'!$F$11+1),PMT(((1+'Instrumentos Financeiros'!$J$43)^(1/12)-1),$F$11,-$I$71),0)</f>
        <v>0</v>
      </c>
      <c r="BA283" s="1312">
        <f t="shared" si="185"/>
        <v>0</v>
      </c>
      <c r="BB283" s="1312">
        <f>BC282*((1+'Instrumentos Financeiros'!$J$43)^(1/12)-1)</f>
        <v>0</v>
      </c>
      <c r="BC283" s="1312">
        <f t="shared" si="140"/>
        <v>0</v>
      </c>
      <c r="BD283" s="1312">
        <f>IF(AND(C283&gt;$F$72,'Instrumentos Financeiros'!C283&lt;'Instrumentos Financeiros'!$F$72+'Instrumentos Financeiros'!$F$11+1),PMT(((1+'Instrumentos Financeiros'!$J$43)^(1/12)-1),$F$11,-'Instrumentos Financeiros'!$G$7*$G$72),0)</f>
        <v>0</v>
      </c>
      <c r="BE283" s="1312">
        <f t="shared" si="186"/>
        <v>0</v>
      </c>
      <c r="BF283" s="1312">
        <f>BG282*((1+'Instrumentos Financeiros'!$J$43)^(1/12)-1)</f>
        <v>0</v>
      </c>
      <c r="BG283" s="1312">
        <f t="shared" si="141"/>
        <v>0</v>
      </c>
      <c r="BH283" s="1312">
        <f>IF(AND(C283&gt;$F$73,'Instrumentos Financeiros'!C283&lt;'Instrumentos Financeiros'!$F$73+'Instrumentos Financeiros'!$F$11+1),PMT(((1+'Instrumentos Financeiros'!$J$43)^(1/12)-1),$F$11,-$I$73),0)</f>
        <v>0</v>
      </c>
      <c r="BI283" s="1312">
        <f t="shared" si="187"/>
        <v>0</v>
      </c>
      <c r="BJ283" s="1312">
        <f>BK282*((1+'Instrumentos Financeiros'!$J$43)^(1/12)-1)</f>
        <v>0</v>
      </c>
      <c r="BK283" s="1312">
        <f t="shared" si="142"/>
        <v>0</v>
      </c>
      <c r="BL283" s="1312">
        <f>IF(AND(C283&gt;$F$77,'Instrumentos Financeiros'!C283&lt;'Instrumentos Financeiros'!$F$77+'Instrumentos Financeiros'!$F$12+1),PMT(((1+'Instrumentos Financeiros'!$K$43)^(1/12)-1),$F$12,-$I$77),0)</f>
        <v>368.57912678094596</v>
      </c>
      <c r="BM283" s="1312">
        <f t="shared" si="143"/>
        <v>253.2247568122884</v>
      </c>
      <c r="BN283" s="1312">
        <f>BO282*((1+'Instrumentos Financeiros'!$K$43)^(1/12)-1)</f>
        <v>115.35436996865755</v>
      </c>
      <c r="BO283" s="1312">
        <f t="shared" si="144"/>
        <v>26424.407493514467</v>
      </c>
      <c r="BP283" s="1312">
        <f>IF(AND(C283&gt;$F$78,'Instrumentos Financeiros'!C283&lt;'Instrumentos Financeiros'!$F$78+'Instrumentos Financeiros'!$F$12+1),PMT(((1+'Instrumentos Financeiros'!$L$43)^(1/12)-1),$F$12,-$I$78),0)</f>
        <v>368.57912678094596</v>
      </c>
      <c r="BQ283" s="1312">
        <f t="shared" si="145"/>
        <v>249.96812102447319</v>
      </c>
      <c r="BR283" s="1312">
        <f>BS282*((1+'Instrumentos Financeiros'!$L$43)^(1/12)-1)</f>
        <v>118.61100575647278</v>
      </c>
      <c r="BS283" s="1312">
        <f t="shared" si="146"/>
        <v>27180.815760611898</v>
      </c>
      <c r="BT283" s="1312">
        <f>IF(AND(C283&gt;$F$79,'Instrumentos Financeiros'!C283&lt;'Instrumentos Financeiros'!$F$79+'Instrumentos Financeiros'!$F$12+1),PMT(((1+'Instrumentos Financeiros'!$L$43)^(1/12)-1),$F$12,-$I$79),0)</f>
        <v>368.57912678094596</v>
      </c>
      <c r="BU283" s="1312">
        <f t="shared" si="147"/>
        <v>246.75336770023691</v>
      </c>
      <c r="BV283" s="1312">
        <f>BW282*((1+'Instrumentos Financeiros'!$L$43)^(1/12)-1)</f>
        <v>121.82575908070905</v>
      </c>
      <c r="BW283" s="1312">
        <f t="shared" si="148"/>
        <v>27927.496123282301</v>
      </c>
      <c r="BX283" s="1312">
        <f>IF(AND(C283&gt;$F$80,'Instrumentos Financeiros'!C283&lt;'Instrumentos Financeiros'!$F$80+'Instrumentos Financeiros'!$F$12+1),PMT(((1+'Instrumentos Financeiros'!$L$43)^(1/12)-1),$F$12,-$I$80),0)</f>
        <v>368.57912678094596</v>
      </c>
      <c r="BY283" s="1312">
        <f t="shared" si="149"/>
        <v>243.57995820373887</v>
      </c>
      <c r="BZ283" s="1312">
        <f>CA282*((1+'Instrumentos Financeiros'!$L$43)^(1/12)-1)</f>
        <v>124.99916857720709</v>
      </c>
      <c r="CA283" s="1312">
        <f t="shared" si="150"/>
        <v>28664.573688731201</v>
      </c>
      <c r="CB283" s="1312">
        <f>IF(AND(C283&gt;$F$83,'Instrumentos Financeiros'!C283&lt;'Instrumentos Financeiros'!$F$83+'Instrumentos Financeiros'!$F$13+1),PMT(((1+'Instrumentos Financeiros'!$P$43)^(1/12)-1),$F$13,-$I$83),0)</f>
        <v>30503.390100238979</v>
      </c>
      <c r="CC283" s="1312">
        <f t="shared" si="151"/>
        <v>15360.545740591615</v>
      </c>
      <c r="CD283" s="1312">
        <f>CE282*((1+'Instrumentos Financeiros'!$P$43)^(1/12)-1)</f>
        <v>15142.844359647364</v>
      </c>
      <c r="CE283" s="1312">
        <f t="shared" si="152"/>
        <v>3486676.1188467098</v>
      </c>
      <c r="CF283" s="1312">
        <f>IF(AND(C283&gt;$F$84,'Instrumentos Financeiros'!C283&lt;'Instrumentos Financeiros'!$F$84+'Instrumentos Financeiros'!$F$13+1),PMT(((1+'Instrumentos Financeiros'!$Q$43)^(1/12)-1),$F$13,-$I$84),0)</f>
        <v>30503.390100238979</v>
      </c>
      <c r="CG283" s="1312">
        <f t="shared" si="153"/>
        <v>15162.999088325441</v>
      </c>
      <c r="CH283" s="1312">
        <f>CI282*((1+'Instrumentos Financeiros'!$Q$43)^(1/12)-1)</f>
        <v>15340.391011913538</v>
      </c>
      <c r="CI283" s="1312">
        <f t="shared" si="154"/>
        <v>3532559.6411830536</v>
      </c>
      <c r="CJ283" s="1312">
        <f>IF(AND(C283&gt;$F$85,'Instrumentos Financeiros'!C283&lt;'Instrumentos Financeiros'!$F$85+'Instrumentos Financeiros'!$F$13+1),PMT(((1+'Instrumentos Financeiros'!$Q$43)^(1/12)-1),$F$13,-$I$85),0)</f>
        <v>30503.390100238979</v>
      </c>
      <c r="CK283" s="1312">
        <f t="shared" si="155"/>
        <v>14967.99301505175</v>
      </c>
      <c r="CL283" s="1312">
        <f>CM282*((1+'Instrumentos Financeiros'!$Q$43)^(1/12)-1)</f>
        <v>15535.397085187229</v>
      </c>
      <c r="CM283" s="1312">
        <f t="shared" si="156"/>
        <v>3577853.0714494404</v>
      </c>
      <c r="CN283" s="1312">
        <f>IF(AND(C283&gt;$F$86,'Instrumentos Financeiros'!C283&lt;'Instrumentos Financeiros'!$F$86+'Instrumentos Financeiros'!$F$13+1),PMT(((1+'Instrumentos Financeiros'!$Q$43)^(1/12)-1),$F$13,-$I$86),0)</f>
        <v>30503.390100238979</v>
      </c>
      <c r="CO283" s="1312">
        <f t="shared" si="157"/>
        <v>14775.494847265099</v>
      </c>
      <c r="CP283" s="1312">
        <f>CQ282*((1+'Instrumentos Financeiros'!$Q$43)^(1/12)-1)</f>
        <v>15727.89525297388</v>
      </c>
      <c r="CQ283" s="1312">
        <f t="shared" si="158"/>
        <v>3622563.9986153594</v>
      </c>
      <c r="CR283" s="1312">
        <f t="shared" si="127"/>
        <v>521803.11063210916</v>
      </c>
      <c r="CS283" s="1312">
        <f t="shared" si="127"/>
        <v>351570.47232491086</v>
      </c>
      <c r="CT283" s="1312">
        <f t="shared" si="127"/>
        <v>170232.63830719827</v>
      </c>
      <c r="CU283" s="1312">
        <f t="shared" si="127"/>
        <v>39278524.516798936</v>
      </c>
    </row>
    <row r="284" spans="3:99" x14ac:dyDescent="0.35">
      <c r="C284" s="1315">
        <f t="shared" si="128"/>
        <v>191</v>
      </c>
      <c r="D284" s="1312">
        <f>IF(AND(C284&gt;$F$59,'Instrumentos Financeiros'!C284&lt;'Instrumentos Financeiros'!$F$59+'Instrumentos Financeiros'!$F$11+1),PMT(((1+'Instrumentos Financeiros'!$G$43)^(1/12)-1),$F$11,-$I$59),0)</f>
        <v>91768.589635900134</v>
      </c>
      <c r="E284" s="1312">
        <f t="shared" si="125"/>
        <v>73050.756295147672</v>
      </c>
      <c r="F284" s="1312">
        <f>G283*((1+'Instrumentos Financeiros'!$G$43)^(1/12)-1)</f>
        <v>18717.833340752462</v>
      </c>
      <c r="G284" s="1312">
        <f t="shared" si="159"/>
        <v>4512629.7557301391</v>
      </c>
      <c r="H284" s="1312">
        <f>IF(AND(C284&gt;$F$60,'Instrumentos Financeiros'!C284&lt;'Instrumentos Financeiros'!$F$60+'Instrumentos Financeiros'!$F$11+1),PMT(((1+'Instrumentos Financeiros'!$G$43)^(1/12)-1),$F$11,-$I$60),0)</f>
        <v>0</v>
      </c>
      <c r="I284" s="1312">
        <f t="shared" si="174"/>
        <v>0</v>
      </c>
      <c r="J284" s="1312">
        <f>K283*((1+'Instrumentos Financeiros'!$G$43)^(1/12)-1)</f>
        <v>0</v>
      </c>
      <c r="K284" s="1312">
        <f t="shared" si="129"/>
        <v>0</v>
      </c>
      <c r="L284" s="1312">
        <f>IF(AND(C284&gt;$F$61,'Instrumentos Financeiros'!C284&lt;'Instrumentos Financeiros'!$F$61+'Instrumentos Financeiros'!$F$11+1),PMT(((1+'Instrumentos Financeiros'!$G$43)^(1/12)-1),$F$11,-$I$61),0)</f>
        <v>0</v>
      </c>
      <c r="M284" s="1312">
        <f t="shared" si="175"/>
        <v>0</v>
      </c>
      <c r="N284" s="1312">
        <f>O283*((1+'Instrumentos Financeiros'!$G$43)^(1/12)-1)</f>
        <v>0</v>
      </c>
      <c r="O284" s="1312">
        <f t="shared" si="130"/>
        <v>0</v>
      </c>
      <c r="P284" s="1312">
        <f>IF(AND(C284&gt;$F$62,'Instrumentos Financeiros'!C284&lt;'Instrumentos Financeiros'!$F$62+'Instrumentos Financeiros'!$F$11+1),PMT(((1+'Instrumentos Financeiros'!$H$43)^(1/12)-1),$F$11,-$I$62),0)</f>
        <v>0</v>
      </c>
      <c r="Q284" s="1312">
        <f t="shared" si="176"/>
        <v>0</v>
      </c>
      <c r="R284" s="1312">
        <f>S283*((1+'Instrumentos Financeiros'!$H$43)^(1/12)-1)</f>
        <v>0</v>
      </c>
      <c r="S284" s="1312">
        <f t="shared" si="131"/>
        <v>0</v>
      </c>
      <c r="T284" s="1312">
        <f>IF(AND(C284&gt;$F$63,'Instrumentos Financeiros'!C284&lt;'Instrumentos Financeiros'!$F$63+'Instrumentos Financeiros'!$F$11+1),PMT(((1+'Instrumentos Financeiros'!$H$43)^(1/12)-1),$F$11,-$I$63),0)</f>
        <v>0</v>
      </c>
      <c r="U284" s="1312">
        <f t="shared" si="177"/>
        <v>0</v>
      </c>
      <c r="V284" s="1312">
        <f>W283*((1+'Instrumentos Financeiros'!$H$43)^(1/12)-1)</f>
        <v>0</v>
      </c>
      <c r="W284" s="1312">
        <f t="shared" si="132"/>
        <v>0</v>
      </c>
      <c r="X284" s="1312">
        <f>IF(AND(C284&gt;$F$64,'Instrumentos Financeiros'!C284&lt;'Instrumentos Financeiros'!$F$64+'Instrumentos Financeiros'!$F$11+1),PMT(((1+'Instrumentos Financeiros'!$H$43)^(1/12)-1),$F$11,-$I$64),0)</f>
        <v>0</v>
      </c>
      <c r="Y284" s="1312">
        <f t="shared" si="178"/>
        <v>0</v>
      </c>
      <c r="Z284" s="1312">
        <f>AA283*((1+'Instrumentos Financeiros'!$H$43)^(1/12)-1)</f>
        <v>0</v>
      </c>
      <c r="AA284" s="1312">
        <f t="shared" si="133"/>
        <v>0</v>
      </c>
      <c r="AB284" s="1312">
        <f>IF(AND(C284&gt;$F$65,'Instrumentos Financeiros'!C284&lt;'Instrumentos Financeiros'!$F$65+'Instrumentos Financeiros'!$F$11+1),PMT(((1+'Instrumentos Financeiros'!$H$43)^(1/12)-1),$F$11,-$I$65),0)</f>
        <v>76636.661022032335</v>
      </c>
      <c r="AC284" s="1312">
        <f t="shared" si="179"/>
        <v>55689.330202320649</v>
      </c>
      <c r="AD284" s="1312">
        <f>AE283*((1+'Instrumentos Financeiros'!$H$43)^(1/12)-1)</f>
        <v>20947.330819711689</v>
      </c>
      <c r="AE284" s="1312">
        <f t="shared" si="134"/>
        <v>4788732.1545324158</v>
      </c>
      <c r="AF284" s="1312">
        <f>IF(AND(C284&gt;$F$66,'Instrumentos Financeiros'!C284&lt;'Instrumentos Financeiros'!$F$66+'Instrumentos Financeiros'!$F$11+1),PMT(((1+'Instrumentos Financeiros'!$I$43)^(1/12)-1),$F$11,-$I$66),0)</f>
        <v>76636.661022032335</v>
      </c>
      <c r="AG284" s="1312">
        <f t="shared" si="180"/>
        <v>54973.129037713443</v>
      </c>
      <c r="AH284" s="1312">
        <f>AI283*((1+'Instrumentos Financeiros'!$I$43)^(1/12)-1)</f>
        <v>21663.531984318895</v>
      </c>
      <c r="AI284" s="1312">
        <f t="shared" si="135"/>
        <v>4955081.883857578</v>
      </c>
      <c r="AJ284" s="1312">
        <f>IF(AND(C284&gt;$F$67,'Instrumentos Financeiros'!C284&lt;'Instrumentos Financeiros'!$F$67+'Instrumentos Financeiros'!$F$11+1),PMT(((1+'Instrumentos Financeiros'!$I$43)^(1/12)-1),$F$11,-$I$67),0)</f>
        <v>76636.661022032335</v>
      </c>
      <c r="AK284" s="1312">
        <f t="shared" si="181"/>
        <v>54266.138687930565</v>
      </c>
      <c r="AL284" s="1312">
        <f>AM283*((1+'Instrumentos Financeiros'!$I$43)^(1/12)-1)</f>
        <v>22370.522334101766</v>
      </c>
      <c r="AM284" s="1312">
        <f t="shared" si="136"/>
        <v>5119292.2469981955</v>
      </c>
      <c r="AN284" s="1312">
        <f>IF(AND(C284&gt;$F$68,'Instrumentos Financeiros'!C284&lt;'Instrumentos Financeiros'!$F$68+'Instrumentos Financeiros'!$F$11+1),PMT(((1+'Instrumentos Financeiros'!$I$43)^(1/12)-1),$F$11,-$I$68),0)</f>
        <v>76636.661022032335</v>
      </c>
      <c r="AO284" s="1312">
        <f t="shared" si="182"/>
        <v>53568.240695876564</v>
      </c>
      <c r="AP284" s="1312">
        <f>AQ283*((1+'Instrumentos Financeiros'!$I$43)^(1/12)-1)</f>
        <v>23068.420326155767</v>
      </c>
      <c r="AQ284" s="1312">
        <f t="shared" si="137"/>
        <v>5281390.75760091</v>
      </c>
      <c r="AR284" s="1312">
        <f>IF(AND(C284&gt;$F$69,'Instrumentos Financeiros'!C284&lt;'Instrumentos Financeiros'!$F$69+'Instrumentos Financeiros'!$F$11+1),PMT(((1+'Instrumentos Financeiros'!$I$43)^(1/12)-1),$F$11,-$I$69),0)</f>
        <v>0</v>
      </c>
      <c r="AS284" s="1312">
        <f t="shared" si="183"/>
        <v>0</v>
      </c>
      <c r="AT284" s="1312">
        <f>AU283*((1+'Instrumentos Financeiros'!$I$43)^(1/12)-1)</f>
        <v>0</v>
      </c>
      <c r="AU284" s="1312">
        <f t="shared" si="138"/>
        <v>0</v>
      </c>
      <c r="AV284" s="1312">
        <f>IF(AND(C284&gt;$F$70,'Instrumentos Financeiros'!C284&lt;'Instrumentos Financeiros'!$F$70+'Instrumentos Financeiros'!$F$11+1),PMT(((1+'Instrumentos Financeiros'!$J$43)^(1/12)-1),$F$11,-$I$70),0)</f>
        <v>0</v>
      </c>
      <c r="AW284" s="1312">
        <f t="shared" si="184"/>
        <v>0</v>
      </c>
      <c r="AX284" s="1312">
        <f>AY283*((1+'Instrumentos Financeiros'!$J$43)^(1/12)-1)</f>
        <v>0</v>
      </c>
      <c r="AY284" s="1312">
        <f t="shared" si="139"/>
        <v>0</v>
      </c>
      <c r="AZ284" s="1312">
        <f>IF(AND(C284&gt;$F$71,'Instrumentos Financeiros'!C284&lt;'Instrumentos Financeiros'!$F$71+'Instrumentos Financeiros'!$F$11+1),PMT(((1+'Instrumentos Financeiros'!$J$43)^(1/12)-1),$F$11,-$I$71),0)</f>
        <v>0</v>
      </c>
      <c r="BA284" s="1312">
        <f t="shared" si="185"/>
        <v>0</v>
      </c>
      <c r="BB284" s="1312">
        <f>BC283*((1+'Instrumentos Financeiros'!$J$43)^(1/12)-1)</f>
        <v>0</v>
      </c>
      <c r="BC284" s="1312">
        <f t="shared" si="140"/>
        <v>0</v>
      </c>
      <c r="BD284" s="1312">
        <f>IF(AND(C284&gt;$F$72,'Instrumentos Financeiros'!C284&lt;'Instrumentos Financeiros'!$F$72+'Instrumentos Financeiros'!$F$11+1),PMT(((1+'Instrumentos Financeiros'!$J$43)^(1/12)-1),$F$11,-'Instrumentos Financeiros'!$G$7*$G$72),0)</f>
        <v>0</v>
      </c>
      <c r="BE284" s="1312">
        <f t="shared" si="186"/>
        <v>0</v>
      </c>
      <c r="BF284" s="1312">
        <f>BG283*((1+'Instrumentos Financeiros'!$J$43)^(1/12)-1)</f>
        <v>0</v>
      </c>
      <c r="BG284" s="1312">
        <f t="shared" si="141"/>
        <v>0</v>
      </c>
      <c r="BH284" s="1312">
        <f>IF(AND(C284&gt;$F$73,'Instrumentos Financeiros'!C284&lt;'Instrumentos Financeiros'!$F$73+'Instrumentos Financeiros'!$F$11+1),PMT(((1+'Instrumentos Financeiros'!$J$43)^(1/12)-1),$F$11,-$I$73),0)</f>
        <v>0</v>
      </c>
      <c r="BI284" s="1312">
        <f t="shared" si="187"/>
        <v>0</v>
      </c>
      <c r="BJ284" s="1312">
        <f>BK283*((1+'Instrumentos Financeiros'!$J$43)^(1/12)-1)</f>
        <v>0</v>
      </c>
      <c r="BK284" s="1312">
        <f t="shared" si="142"/>
        <v>0</v>
      </c>
      <c r="BL284" s="1312">
        <f>IF(AND(C284&gt;$F$77,'Instrumentos Financeiros'!C284&lt;'Instrumentos Financeiros'!$F$77+'Instrumentos Financeiros'!$F$12+1),PMT(((1+'Instrumentos Financeiros'!$K$43)^(1/12)-1),$F$12,-$I$77),0)</f>
        <v>368.57912678094596</v>
      </c>
      <c r="BM284" s="1312">
        <f t="shared" si="143"/>
        <v>254.31970339557034</v>
      </c>
      <c r="BN284" s="1312">
        <f>BO283*((1+'Instrumentos Financeiros'!$K$43)^(1/12)-1)</f>
        <v>114.2594233853756</v>
      </c>
      <c r="BO284" s="1312">
        <f t="shared" si="144"/>
        <v>26170.087790118898</v>
      </c>
      <c r="BP284" s="1312">
        <f>IF(AND(C284&gt;$F$78,'Instrumentos Financeiros'!C284&lt;'Instrumentos Financeiros'!$F$78+'Instrumentos Financeiros'!$F$12+1),PMT(((1+'Instrumentos Financeiros'!$L$43)^(1/12)-1),$F$12,-$I$78),0)</f>
        <v>368.57912678094596</v>
      </c>
      <c r="BQ284" s="1312">
        <f t="shared" si="145"/>
        <v>251.048985879437</v>
      </c>
      <c r="BR284" s="1312">
        <f>BS283*((1+'Instrumentos Financeiros'!$L$43)^(1/12)-1)</f>
        <v>117.53014090150897</v>
      </c>
      <c r="BS284" s="1312">
        <f t="shared" si="146"/>
        <v>26929.766774732463</v>
      </c>
      <c r="BT284" s="1312">
        <f>IF(AND(C284&gt;$F$79,'Instrumentos Financeiros'!C284&lt;'Instrumentos Financeiros'!$F$79+'Instrumentos Financeiros'!$F$12+1),PMT(((1+'Instrumentos Financeiros'!$L$43)^(1/12)-1),$F$12,-$I$79),0)</f>
        <v>368.57912678094596</v>
      </c>
      <c r="BU284" s="1312">
        <f t="shared" si="147"/>
        <v>247.82033192710739</v>
      </c>
      <c r="BV284" s="1312">
        <f>BW283*((1+'Instrumentos Financeiros'!$L$43)^(1/12)-1)</f>
        <v>120.75879485383857</v>
      </c>
      <c r="BW284" s="1312">
        <f t="shared" si="148"/>
        <v>27679.675791355192</v>
      </c>
      <c r="BX284" s="1312">
        <f>IF(AND(C284&gt;$F$80,'Instrumentos Financeiros'!C284&lt;'Instrumentos Financeiros'!$F$80+'Instrumentos Financeiros'!$F$12+1),PMT(((1+'Instrumentos Financeiros'!$L$43)^(1/12)-1),$F$12,-$I$80),0)</f>
        <v>368.57912678094596</v>
      </c>
      <c r="BY284" s="1312">
        <f t="shared" si="149"/>
        <v>244.63320057367372</v>
      </c>
      <c r="BZ284" s="1312">
        <f>CA283*((1+'Instrumentos Financeiros'!$L$43)^(1/12)-1)</f>
        <v>123.94592620727224</v>
      </c>
      <c r="CA284" s="1312">
        <f t="shared" si="150"/>
        <v>28419.940488157528</v>
      </c>
      <c r="CB284" s="1312">
        <f>IF(AND(C284&gt;$F$83,'Instrumentos Financeiros'!C284&lt;'Instrumentos Financeiros'!$F$83+'Instrumentos Financeiros'!$F$13+1),PMT(((1+'Instrumentos Financeiros'!$P$43)^(1/12)-1),$F$13,-$I$83),0)</f>
        <v>30503.390100238979</v>
      </c>
      <c r="CC284" s="1312">
        <f t="shared" si="151"/>
        <v>15426.964906267724</v>
      </c>
      <c r="CD284" s="1312">
        <f>CE283*((1+'Instrumentos Financeiros'!$P$43)^(1/12)-1)</f>
        <v>15076.425193971256</v>
      </c>
      <c r="CE284" s="1312">
        <f t="shared" si="152"/>
        <v>3471249.153940442</v>
      </c>
      <c r="CF284" s="1312">
        <f>IF(AND(C284&gt;$F$84,'Instrumentos Financeiros'!C284&lt;'Instrumentos Financeiros'!$F$84+'Instrumentos Financeiros'!$F$13+1),PMT(((1+'Instrumentos Financeiros'!$Q$43)^(1/12)-1),$F$13,-$I$84),0)</f>
        <v>30503.390100238979</v>
      </c>
      <c r="CG284" s="1312">
        <f t="shared" si="153"/>
        <v>15228.564060143646</v>
      </c>
      <c r="CH284" s="1312">
        <f>CI283*((1+'Instrumentos Financeiros'!$Q$43)^(1/12)-1)</f>
        <v>15274.826040095333</v>
      </c>
      <c r="CI284" s="1312">
        <f t="shared" si="154"/>
        <v>3517331.0771229099</v>
      </c>
      <c r="CJ284" s="1312">
        <f>IF(AND(C284&gt;$F$85,'Instrumentos Financeiros'!C284&lt;'Instrumentos Financeiros'!$F$85+'Instrumentos Financeiros'!$F$13+1),PMT(((1+'Instrumentos Financeiros'!$Q$43)^(1/12)-1),$F$13,-$I$85),0)</f>
        <v>30503.390100238979</v>
      </c>
      <c r="CK284" s="1312">
        <f t="shared" si="155"/>
        <v>15032.714778503056</v>
      </c>
      <c r="CL284" s="1312">
        <f>CM283*((1+'Instrumentos Financeiros'!$Q$43)^(1/12)-1)</f>
        <v>15470.675321735924</v>
      </c>
      <c r="CM284" s="1312">
        <f t="shared" si="156"/>
        <v>3562820.3566709375</v>
      </c>
      <c r="CN284" s="1312">
        <f>IF(AND(C284&gt;$F$86,'Instrumentos Financeiros'!C284&lt;'Instrumentos Financeiros'!$F$86+'Instrumentos Financeiros'!$F$13+1),PMT(((1+'Instrumentos Financeiros'!$Q$43)^(1/12)-1),$F$13,-$I$86),0)</f>
        <v>30503.390100238979</v>
      </c>
      <c r="CO284" s="1312">
        <f t="shared" si="157"/>
        <v>14839.384246559915</v>
      </c>
      <c r="CP284" s="1312">
        <f>CQ283*((1+'Instrumentos Financeiros'!$Q$43)^(1/12)-1)</f>
        <v>15664.005853679064</v>
      </c>
      <c r="CQ284" s="1312">
        <f t="shared" si="158"/>
        <v>3607724.6143687996</v>
      </c>
      <c r="CR284" s="1312">
        <f t="shared" si="127"/>
        <v>521803.11063210916</v>
      </c>
      <c r="CS284" s="1312">
        <f t="shared" si="127"/>
        <v>353073.04513223906</v>
      </c>
      <c r="CT284" s="1312">
        <f t="shared" si="127"/>
        <v>168730.06549987016</v>
      </c>
      <c r="CU284" s="1312">
        <f t="shared" si="127"/>
        <v>38925451.471666694</v>
      </c>
    </row>
    <row r="285" spans="3:99" x14ac:dyDescent="0.35">
      <c r="C285" s="1316">
        <f t="shared" si="128"/>
        <v>192</v>
      </c>
      <c r="D285" s="1313">
        <f>IF(AND(C285&gt;$F$59,'Instrumentos Financeiros'!C285&lt;'Instrumentos Financeiros'!$F$59+'Instrumentos Financeiros'!$F$11+1),PMT(((1+'Instrumentos Financeiros'!$G$43)^(1/12)-1),$F$11,-$I$59),0)</f>
        <v>91768.589635900134</v>
      </c>
      <c r="E285" s="1313">
        <f t="shared" ref="E285:E348" si="188">D285-F285</f>
        <v>73348.934914038109</v>
      </c>
      <c r="F285" s="1313">
        <f>G284*((1+'Instrumentos Financeiros'!$G$43)^(1/12)-1)</f>
        <v>18419.654721862025</v>
      </c>
      <c r="G285" s="1313">
        <f t="shared" si="159"/>
        <v>4439280.8208161006</v>
      </c>
      <c r="H285" s="1313">
        <f>IF(AND(C285&gt;$F$60,'Instrumentos Financeiros'!C285&lt;'Instrumentos Financeiros'!$F$60+'Instrumentos Financeiros'!$F$11+1),PMT(((1+'Instrumentos Financeiros'!$G$43)^(1/12)-1),$F$11,-$I$60),0)</f>
        <v>0</v>
      </c>
      <c r="I285" s="1313">
        <f t="shared" si="174"/>
        <v>0</v>
      </c>
      <c r="J285" s="1313">
        <f>K284*((1+'Instrumentos Financeiros'!$G$43)^(1/12)-1)</f>
        <v>0</v>
      </c>
      <c r="K285" s="1313">
        <f t="shared" si="129"/>
        <v>0</v>
      </c>
      <c r="L285" s="1313">
        <f>IF(AND(C285&gt;$F$61,'Instrumentos Financeiros'!C285&lt;'Instrumentos Financeiros'!$F$61+'Instrumentos Financeiros'!$F$11+1),PMT(((1+'Instrumentos Financeiros'!$G$43)^(1/12)-1),$F$11,-$I$61),0)</f>
        <v>0</v>
      </c>
      <c r="M285" s="1313">
        <f t="shared" si="175"/>
        <v>0</v>
      </c>
      <c r="N285" s="1313">
        <f>O284*((1+'Instrumentos Financeiros'!$G$43)^(1/12)-1)</f>
        <v>0</v>
      </c>
      <c r="O285" s="1313">
        <f t="shared" si="130"/>
        <v>0</v>
      </c>
      <c r="P285" s="1313">
        <f>IF(AND(C285&gt;$F$62,'Instrumentos Financeiros'!C285&lt;'Instrumentos Financeiros'!$F$62+'Instrumentos Financeiros'!$F$11+1),PMT(((1+'Instrumentos Financeiros'!$H$43)^(1/12)-1),$F$11,-$I$62),0)</f>
        <v>0</v>
      </c>
      <c r="Q285" s="1313">
        <f t="shared" si="176"/>
        <v>0</v>
      </c>
      <c r="R285" s="1313">
        <f>S284*((1+'Instrumentos Financeiros'!$H$43)^(1/12)-1)</f>
        <v>0</v>
      </c>
      <c r="S285" s="1313">
        <f t="shared" si="131"/>
        <v>0</v>
      </c>
      <c r="T285" s="1313">
        <f>IF(AND(C285&gt;$F$63,'Instrumentos Financeiros'!C285&lt;'Instrumentos Financeiros'!$F$63+'Instrumentos Financeiros'!$F$11+1),PMT(((1+'Instrumentos Financeiros'!$H$43)^(1/12)-1),$F$11,-$I$63),0)</f>
        <v>0</v>
      </c>
      <c r="U285" s="1313">
        <f t="shared" si="177"/>
        <v>0</v>
      </c>
      <c r="V285" s="1313">
        <f>W284*((1+'Instrumentos Financeiros'!$H$43)^(1/12)-1)</f>
        <v>0</v>
      </c>
      <c r="W285" s="1313">
        <f t="shared" si="132"/>
        <v>0</v>
      </c>
      <c r="X285" s="1313">
        <f>IF(AND(C285&gt;$F$64,'Instrumentos Financeiros'!C285&lt;'Instrumentos Financeiros'!$F$64+'Instrumentos Financeiros'!$F$11+1),PMT(((1+'Instrumentos Financeiros'!$H$43)^(1/12)-1),$F$11,-$I$64),0)</f>
        <v>0</v>
      </c>
      <c r="Y285" s="1313">
        <f t="shared" si="178"/>
        <v>0</v>
      </c>
      <c r="Z285" s="1313">
        <f>AA284*((1+'Instrumentos Financeiros'!$H$43)^(1/12)-1)</f>
        <v>0</v>
      </c>
      <c r="AA285" s="1313">
        <f t="shared" si="133"/>
        <v>0</v>
      </c>
      <c r="AB285" s="1313">
        <f>IF(AND(C285&gt;$F$65,'Instrumentos Financeiros'!C285&lt;'Instrumentos Financeiros'!$F$65+'Instrumentos Financeiros'!$F$11+1),PMT(((1+'Instrumentos Financeiros'!$H$43)^(1/12)-1),$F$11,-$I$65),0)</f>
        <v>76636.661022032335</v>
      </c>
      <c r="AC285" s="1313">
        <f t="shared" si="179"/>
        <v>55930.131467559862</v>
      </c>
      <c r="AD285" s="1313">
        <f>AE284*((1+'Instrumentos Financeiros'!$H$43)^(1/12)-1)</f>
        <v>20706.529554472472</v>
      </c>
      <c r="AE285" s="1313">
        <f t="shared" si="134"/>
        <v>4732802.0230648555</v>
      </c>
      <c r="AF285" s="1313">
        <f>IF(AND(C285&gt;$F$66,'Instrumentos Financeiros'!C285&lt;'Instrumentos Financeiros'!$F$66+'Instrumentos Financeiros'!$F$11+1),PMT(((1+'Instrumentos Financeiros'!$I$43)^(1/12)-1),$F$11,-$I$66),0)</f>
        <v>76636.661022032335</v>
      </c>
      <c r="AG285" s="1313">
        <f t="shared" si="180"/>
        <v>55210.833441381925</v>
      </c>
      <c r="AH285" s="1313">
        <f>AI284*((1+'Instrumentos Financeiros'!$I$43)^(1/12)-1)</f>
        <v>21425.827580650406</v>
      </c>
      <c r="AI285" s="1313">
        <f t="shared" si="135"/>
        <v>4899871.0504161958</v>
      </c>
      <c r="AJ285" s="1313">
        <f>IF(AND(C285&gt;$F$67,'Instrumentos Financeiros'!C285&lt;'Instrumentos Financeiros'!$F$67+'Instrumentos Financeiros'!$F$11+1),PMT(((1+'Instrumentos Financeiros'!$I$43)^(1/12)-1),$F$11,-$I$67),0)</f>
        <v>76636.661022032335</v>
      </c>
      <c r="AK285" s="1313">
        <f t="shared" si="181"/>
        <v>54500.786057691104</v>
      </c>
      <c r="AL285" s="1313">
        <f>AM284*((1+'Instrumentos Financeiros'!$I$43)^(1/12)-1)</f>
        <v>22135.874964341227</v>
      </c>
      <c r="AM285" s="1313">
        <f t="shared" si="136"/>
        <v>5064791.4609405044</v>
      </c>
      <c r="AN285" s="1313">
        <f>IF(AND(C285&gt;$F$68,'Instrumentos Financeiros'!C285&lt;'Instrumentos Financeiros'!$F$68+'Instrumentos Financeiros'!$F$11+1),PMT(((1+'Instrumentos Financeiros'!$I$43)^(1/12)-1),$F$11,-$I$68),0)</f>
        <v>76636.661022032335</v>
      </c>
      <c r="AO285" s="1313">
        <f t="shared" si="182"/>
        <v>53799.870347182172</v>
      </c>
      <c r="AP285" s="1313">
        <f>AQ284*((1+'Instrumentos Financeiros'!$I$43)^(1/12)-1)</f>
        <v>22836.790674850163</v>
      </c>
      <c r="AQ285" s="1313">
        <f t="shared" si="137"/>
        <v>5227590.8872537278</v>
      </c>
      <c r="AR285" s="1313">
        <f>IF(AND(C285&gt;$F$69,'Instrumentos Financeiros'!C285&lt;'Instrumentos Financeiros'!$F$69+'Instrumentos Financeiros'!$F$11+1),PMT(((1+'Instrumentos Financeiros'!$I$43)^(1/12)-1),$F$11,-$I$69),0)</f>
        <v>0</v>
      </c>
      <c r="AS285" s="1313">
        <f t="shared" si="183"/>
        <v>0</v>
      </c>
      <c r="AT285" s="1313">
        <f>AU284*((1+'Instrumentos Financeiros'!$I$43)^(1/12)-1)</f>
        <v>0</v>
      </c>
      <c r="AU285" s="1313">
        <f t="shared" si="138"/>
        <v>0</v>
      </c>
      <c r="AV285" s="1313">
        <f>IF(AND(C285&gt;$F$70,'Instrumentos Financeiros'!C285&lt;'Instrumentos Financeiros'!$F$70+'Instrumentos Financeiros'!$F$11+1),PMT(((1+'Instrumentos Financeiros'!$J$43)^(1/12)-1),$F$11,-$I$70),0)</f>
        <v>0</v>
      </c>
      <c r="AW285" s="1313">
        <f t="shared" si="184"/>
        <v>0</v>
      </c>
      <c r="AX285" s="1313">
        <f>AY284*((1+'Instrumentos Financeiros'!$J$43)^(1/12)-1)</f>
        <v>0</v>
      </c>
      <c r="AY285" s="1313">
        <f t="shared" si="139"/>
        <v>0</v>
      </c>
      <c r="AZ285" s="1313">
        <f>IF(AND(C285&gt;$F$71,'Instrumentos Financeiros'!C285&lt;'Instrumentos Financeiros'!$F$71+'Instrumentos Financeiros'!$F$11+1),PMT(((1+'Instrumentos Financeiros'!$J$43)^(1/12)-1),$F$11,-$I$71),0)</f>
        <v>0</v>
      </c>
      <c r="BA285" s="1313">
        <f t="shared" si="185"/>
        <v>0</v>
      </c>
      <c r="BB285" s="1313">
        <f>BC284*((1+'Instrumentos Financeiros'!$J$43)^(1/12)-1)</f>
        <v>0</v>
      </c>
      <c r="BC285" s="1313">
        <f t="shared" si="140"/>
        <v>0</v>
      </c>
      <c r="BD285" s="1313">
        <f>IF(AND(C285&gt;$F$72,'Instrumentos Financeiros'!C285&lt;'Instrumentos Financeiros'!$F$72+'Instrumentos Financeiros'!$F$11+1),PMT(((1+'Instrumentos Financeiros'!$J$43)^(1/12)-1),$F$11,-'Instrumentos Financeiros'!$G$7*$G$72),0)</f>
        <v>0</v>
      </c>
      <c r="BE285" s="1313">
        <f t="shared" si="186"/>
        <v>0</v>
      </c>
      <c r="BF285" s="1313">
        <f>BG284*((1+'Instrumentos Financeiros'!$J$43)^(1/12)-1)</f>
        <v>0</v>
      </c>
      <c r="BG285" s="1313">
        <f t="shared" si="141"/>
        <v>0</v>
      </c>
      <c r="BH285" s="1313">
        <f>IF(AND(C285&gt;$F$73,'Instrumentos Financeiros'!C285&lt;'Instrumentos Financeiros'!$F$73+'Instrumentos Financeiros'!$F$11+1),PMT(((1+'Instrumentos Financeiros'!$J$43)^(1/12)-1),$F$11,-$I$73),0)</f>
        <v>0</v>
      </c>
      <c r="BI285" s="1313">
        <f t="shared" si="187"/>
        <v>0</v>
      </c>
      <c r="BJ285" s="1313">
        <f>BK284*((1+'Instrumentos Financeiros'!$J$43)^(1/12)-1)</f>
        <v>0</v>
      </c>
      <c r="BK285" s="1313">
        <f t="shared" si="142"/>
        <v>0</v>
      </c>
      <c r="BL285" s="1313">
        <f>IF(AND(C285&gt;$F$77,'Instrumentos Financeiros'!C285&lt;'Instrumentos Financeiros'!$F$77+'Instrumentos Financeiros'!$F$12+1),PMT(((1+'Instrumentos Financeiros'!$K$43)^(1/12)-1),$F$12,-$I$77),0)</f>
        <v>368.57912678094596</v>
      </c>
      <c r="BM285" s="1313">
        <f t="shared" si="143"/>
        <v>255.41938453970386</v>
      </c>
      <c r="BN285" s="1313">
        <f>BO284*((1+'Instrumentos Financeiros'!$K$43)^(1/12)-1)</f>
        <v>113.15974224124211</v>
      </c>
      <c r="BO285" s="1313">
        <f t="shared" si="144"/>
        <v>25914.668405579196</v>
      </c>
      <c r="BP285" s="1313">
        <f>IF(AND(C285&gt;$F$78,'Instrumentos Financeiros'!C285&lt;'Instrumentos Financeiros'!$F$78+'Instrumentos Financeiros'!$F$12+1),PMT(((1+'Instrumentos Financeiros'!$L$43)^(1/12)-1),$F$12,-$I$78),0)</f>
        <v>368.57912678094596</v>
      </c>
      <c r="BQ285" s="1313">
        <f t="shared" si="145"/>
        <v>252.134524405707</v>
      </c>
      <c r="BR285" s="1313">
        <f>BS284*((1+'Instrumentos Financeiros'!$L$43)^(1/12)-1)</f>
        <v>116.44460237523897</v>
      </c>
      <c r="BS285" s="1313">
        <f t="shared" si="146"/>
        <v>26677.632250326755</v>
      </c>
      <c r="BT285" s="1313">
        <f>IF(AND(C285&gt;$F$79,'Instrumentos Financeiros'!C285&lt;'Instrumentos Financeiros'!$F$79+'Instrumentos Financeiros'!$F$12+1),PMT(((1+'Instrumentos Financeiros'!$L$43)^(1/12)-1),$F$12,-$I$79),0)</f>
        <v>368.57912678094596</v>
      </c>
      <c r="BU285" s="1313">
        <f t="shared" si="147"/>
        <v>248.89190971881808</v>
      </c>
      <c r="BV285" s="1313">
        <f>BW284*((1+'Instrumentos Financeiros'!$L$43)^(1/12)-1)</f>
        <v>119.68721706212787</v>
      </c>
      <c r="BW285" s="1313">
        <f t="shared" si="148"/>
        <v>27430.783881636373</v>
      </c>
      <c r="BX285" s="1313">
        <f>IF(AND(C285&gt;$F$80,'Instrumentos Financeiros'!C285&lt;'Instrumentos Financeiros'!$F$80+'Instrumentos Financeiros'!$F$12+1),PMT(((1+'Instrumentos Financeiros'!$L$43)^(1/12)-1),$F$12,-$I$80),0)</f>
        <v>368.57912678094596</v>
      </c>
      <c r="BY285" s="1313">
        <f t="shared" si="149"/>
        <v>245.69099717499114</v>
      </c>
      <c r="BZ285" s="1313">
        <f>CA284*((1+'Instrumentos Financeiros'!$L$43)^(1/12)-1)</f>
        <v>122.8881296059548</v>
      </c>
      <c r="CA285" s="1313">
        <f t="shared" si="150"/>
        <v>28174.249490982536</v>
      </c>
      <c r="CB285" s="1313">
        <f>IF(AND(C285&gt;$F$83,'Instrumentos Financeiros'!C285&lt;'Instrumentos Financeiros'!$F$83+'Instrumentos Financeiros'!$F$13+1),PMT(((1+'Instrumentos Financeiros'!$P$43)^(1/12)-1),$F$13,-$I$83),0)</f>
        <v>30503.390100238979</v>
      </c>
      <c r="CC285" s="1313">
        <f t="shared" si="151"/>
        <v>15493.67126913354</v>
      </c>
      <c r="CD285" s="1313">
        <f>CE284*((1+'Instrumentos Financeiros'!$P$43)^(1/12)-1)</f>
        <v>15009.71883110544</v>
      </c>
      <c r="CE285" s="1313">
        <f t="shared" si="152"/>
        <v>3455755.4826713083</v>
      </c>
      <c r="CF285" s="1313">
        <f>IF(AND(C285&gt;$F$84,'Instrumentos Financeiros'!C285&lt;'Instrumentos Financeiros'!$F$84+'Instrumentos Financeiros'!$F$13+1),PMT(((1+'Instrumentos Financeiros'!$Q$43)^(1/12)-1),$F$13,-$I$84),0)</f>
        <v>30503.390100238979</v>
      </c>
      <c r="CG285" s="1313">
        <f t="shared" si="153"/>
        <v>15294.412535608095</v>
      </c>
      <c r="CH285" s="1313">
        <f>CI284*((1+'Instrumentos Financeiros'!$Q$43)^(1/12)-1)</f>
        <v>15208.977564630884</v>
      </c>
      <c r="CI285" s="1313">
        <f t="shared" si="154"/>
        <v>3502036.6645873017</v>
      </c>
      <c r="CJ285" s="1313">
        <f>IF(AND(C285&gt;$F$85,'Instrumentos Financeiros'!C285&lt;'Instrumentos Financeiros'!$F$85+'Instrumentos Financeiros'!$F$13+1),PMT(((1+'Instrumentos Financeiros'!$Q$43)^(1/12)-1),$F$13,-$I$85),0)</f>
        <v>30503.390100238979</v>
      </c>
      <c r="CK285" s="1313">
        <f t="shared" si="155"/>
        <v>15097.716399558518</v>
      </c>
      <c r="CL285" s="1313">
        <f>CM284*((1+'Instrumentos Financeiros'!$Q$43)^(1/12)-1)</f>
        <v>15405.673700680461</v>
      </c>
      <c r="CM285" s="1313">
        <f t="shared" si="156"/>
        <v>3547722.6402713791</v>
      </c>
      <c r="CN285" s="1313">
        <f>IF(AND(C285&gt;$F$86,'Instrumentos Financeiros'!C285&lt;'Instrumentos Financeiros'!$F$86+'Instrumentos Financeiros'!$F$13+1),PMT(((1+'Instrumentos Financeiros'!$Q$43)^(1/12)-1),$F$13,-$I$86),0)</f>
        <v>30503.390100238979</v>
      </c>
      <c r="CO285" s="1313">
        <f t="shared" si="157"/>
        <v>14903.549904307289</v>
      </c>
      <c r="CP285" s="1313">
        <f>CQ284*((1+'Instrumentos Financeiros'!$Q$43)^(1/12)-1)</f>
        <v>15599.840195931691</v>
      </c>
      <c r="CQ285" s="1313">
        <f t="shared" si="158"/>
        <v>3592821.0644644923</v>
      </c>
      <c r="CR285" s="1313">
        <f t="shared" si="127"/>
        <v>521803.11063210916</v>
      </c>
      <c r="CS285" s="1313">
        <f t="shared" si="127"/>
        <v>354582.04315229983</v>
      </c>
      <c r="CT285" s="1313">
        <f t="shared" si="127"/>
        <v>167221.06747980934</v>
      </c>
      <c r="CU285" s="1313">
        <f t="shared" ref="CU285" si="189">G285+K285+O285+S285+W285+AA285+AE285+AI285+AM285+AQ285+AU285+AY285+BC285+BG285+BK285+BO285+BS285+BW285+CA285+CE285+CI285+CM285+CQ285</f>
        <v>38570869.428514391</v>
      </c>
    </row>
    <row r="286" spans="3:99" x14ac:dyDescent="0.35">
      <c r="C286" s="1315">
        <f t="shared" si="128"/>
        <v>193</v>
      </c>
      <c r="D286" s="1312">
        <f>IF(AND(C286&gt;$F$59,'Instrumentos Financeiros'!C286&lt;'Instrumentos Financeiros'!$F$59+'Instrumentos Financeiros'!$F$11+1),PMT(((1+'Instrumentos Financeiros'!$G$43)^(1/12)-1),$F$11,-$I$59),0)</f>
        <v>91768.589635900134</v>
      </c>
      <c r="E286" s="1312">
        <f t="shared" si="188"/>
        <v>73648.330638585932</v>
      </c>
      <c r="F286" s="1312">
        <f>G285*((1+'Instrumentos Financeiros'!$G$43)^(1/12)-1)</f>
        <v>18120.258997314195</v>
      </c>
      <c r="G286" s="1312">
        <f t="shared" si="159"/>
        <v>4365632.490177515</v>
      </c>
      <c r="H286" s="1312">
        <f>IF(AND(C286&gt;$F$60,'Instrumentos Financeiros'!C286&lt;'Instrumentos Financeiros'!$F$60+'Instrumentos Financeiros'!$F$11+1),PMT(((1+'Instrumentos Financeiros'!$G$43)^(1/12)-1),$F$11,-$I$60),0)</f>
        <v>0</v>
      </c>
      <c r="I286" s="1312">
        <f t="shared" si="174"/>
        <v>0</v>
      </c>
      <c r="J286" s="1312">
        <f>K285*((1+'Instrumentos Financeiros'!$G$43)^(1/12)-1)</f>
        <v>0</v>
      </c>
      <c r="K286" s="1312">
        <f t="shared" si="129"/>
        <v>0</v>
      </c>
      <c r="L286" s="1312">
        <f>IF(AND(C286&gt;$F$61,'Instrumentos Financeiros'!C286&lt;'Instrumentos Financeiros'!$F$61+'Instrumentos Financeiros'!$F$11+1),PMT(((1+'Instrumentos Financeiros'!$G$43)^(1/12)-1),$F$11,-$I$61),0)</f>
        <v>0</v>
      </c>
      <c r="M286" s="1312">
        <f t="shared" si="175"/>
        <v>0</v>
      </c>
      <c r="N286" s="1312">
        <f>O285*((1+'Instrumentos Financeiros'!$G$43)^(1/12)-1)</f>
        <v>0</v>
      </c>
      <c r="O286" s="1312">
        <f t="shared" si="130"/>
        <v>0</v>
      </c>
      <c r="P286" s="1312">
        <f>IF(AND(C286&gt;$F$62,'Instrumentos Financeiros'!C286&lt;'Instrumentos Financeiros'!$F$62+'Instrumentos Financeiros'!$F$11+1),PMT(((1+'Instrumentos Financeiros'!$H$43)^(1/12)-1),$F$11,-$I$62),0)</f>
        <v>0</v>
      </c>
      <c r="Q286" s="1312">
        <f t="shared" si="176"/>
        <v>0</v>
      </c>
      <c r="R286" s="1312">
        <f>S285*((1+'Instrumentos Financeiros'!$H$43)^(1/12)-1)</f>
        <v>0</v>
      </c>
      <c r="S286" s="1312">
        <f t="shared" si="131"/>
        <v>0</v>
      </c>
      <c r="T286" s="1312">
        <f>IF(AND(C286&gt;$F$63,'Instrumentos Financeiros'!C286&lt;'Instrumentos Financeiros'!$F$63+'Instrumentos Financeiros'!$F$11+1),PMT(((1+'Instrumentos Financeiros'!$H$43)^(1/12)-1),$F$11,-$I$63),0)</f>
        <v>0</v>
      </c>
      <c r="U286" s="1312">
        <f t="shared" si="177"/>
        <v>0</v>
      </c>
      <c r="V286" s="1312">
        <f>W285*((1+'Instrumentos Financeiros'!$H$43)^(1/12)-1)</f>
        <v>0</v>
      </c>
      <c r="W286" s="1312">
        <f t="shared" si="132"/>
        <v>0</v>
      </c>
      <c r="X286" s="1312">
        <f>IF(AND(C286&gt;$F$64,'Instrumentos Financeiros'!C286&lt;'Instrumentos Financeiros'!$F$64+'Instrumentos Financeiros'!$F$11+1),PMT(((1+'Instrumentos Financeiros'!$H$43)^(1/12)-1),$F$11,-$I$64),0)</f>
        <v>0</v>
      </c>
      <c r="Y286" s="1312">
        <f t="shared" si="178"/>
        <v>0</v>
      </c>
      <c r="Z286" s="1312">
        <f>AA285*((1+'Instrumentos Financeiros'!$H$43)^(1/12)-1)</f>
        <v>0</v>
      </c>
      <c r="AA286" s="1312">
        <f t="shared" si="133"/>
        <v>0</v>
      </c>
      <c r="AB286" s="1312">
        <f>IF(AND(C286&gt;$F$65,'Instrumentos Financeiros'!C286&lt;'Instrumentos Financeiros'!$F$65+'Instrumentos Financeiros'!$F$11+1),PMT(((1+'Instrumentos Financeiros'!$H$43)^(1/12)-1),$F$11,-$I$65),0)</f>
        <v>76636.661022032335</v>
      </c>
      <c r="AC286" s="1312">
        <f t="shared" si="179"/>
        <v>56171.973960070623</v>
      </c>
      <c r="AD286" s="1312">
        <f>AE285*((1+'Instrumentos Financeiros'!$H$43)^(1/12)-1)</f>
        <v>20464.687061961708</v>
      </c>
      <c r="AE286" s="1312">
        <f t="shared" si="134"/>
        <v>4676630.0491047846</v>
      </c>
      <c r="AF286" s="1312">
        <f>IF(AND(C286&gt;$F$66,'Instrumentos Financeiros'!C286&lt;'Instrumentos Financeiros'!$F$66+'Instrumentos Financeiros'!$F$11+1),PMT(((1+'Instrumentos Financeiros'!$I$43)^(1/12)-1),$F$11,-$I$66),0)</f>
        <v>76636.661022032335</v>
      </c>
      <c r="AG286" s="1312">
        <f t="shared" si="180"/>
        <v>55449.565681459091</v>
      </c>
      <c r="AH286" s="1312">
        <f>AI285*((1+'Instrumentos Financeiros'!$I$43)^(1/12)-1)</f>
        <v>21187.095340573247</v>
      </c>
      <c r="AI286" s="1312">
        <f t="shared" si="135"/>
        <v>4844421.4847347364</v>
      </c>
      <c r="AJ286" s="1312">
        <f>IF(AND(C286&gt;$F$67,'Instrumentos Financeiros'!C286&lt;'Instrumentos Financeiros'!$F$67+'Instrumentos Financeiros'!$F$11+1),PMT(((1+'Instrumentos Financeiros'!$I$43)^(1/12)-1),$F$11,-$I$67),0)</f>
        <v>76636.661022032335</v>
      </c>
      <c r="AK286" s="1312">
        <f t="shared" si="181"/>
        <v>54736.448045212674</v>
      </c>
      <c r="AL286" s="1312">
        <f>AM285*((1+'Instrumentos Financeiros'!$I$43)^(1/12)-1)</f>
        <v>21900.212976819657</v>
      </c>
      <c r="AM286" s="1312">
        <f t="shared" si="136"/>
        <v>5010055.0128952917</v>
      </c>
      <c r="AN286" s="1312">
        <f>IF(AND(C286&gt;$F$68,'Instrumentos Financeiros'!C286&lt;'Instrumentos Financeiros'!$F$68+'Instrumentos Financeiros'!$F$11+1),PMT(((1+'Instrumentos Financeiros'!$I$43)^(1/12)-1),$F$11,-$I$68),0)</f>
        <v>76636.661022032335</v>
      </c>
      <c r="AO286" s="1312">
        <f t="shared" si="182"/>
        <v>54032.501567601619</v>
      </c>
      <c r="AP286" s="1312">
        <f>AQ285*((1+'Instrumentos Financeiros'!$I$43)^(1/12)-1)</f>
        <v>22604.159454430719</v>
      </c>
      <c r="AQ286" s="1312">
        <f t="shared" si="137"/>
        <v>5173558.3856861265</v>
      </c>
      <c r="AR286" s="1312">
        <f>IF(AND(C286&gt;$F$69,'Instrumentos Financeiros'!C286&lt;'Instrumentos Financeiros'!$F$69+'Instrumentos Financeiros'!$F$11+1),PMT(((1+'Instrumentos Financeiros'!$I$43)^(1/12)-1),$F$11,-$I$69),0)</f>
        <v>0</v>
      </c>
      <c r="AS286" s="1312">
        <f t="shared" si="183"/>
        <v>0</v>
      </c>
      <c r="AT286" s="1312">
        <f>AU285*((1+'Instrumentos Financeiros'!$I$43)^(1/12)-1)</f>
        <v>0</v>
      </c>
      <c r="AU286" s="1312">
        <f t="shared" si="138"/>
        <v>0</v>
      </c>
      <c r="AV286" s="1312">
        <f>IF(AND(C286&gt;$F$70,'Instrumentos Financeiros'!C286&lt;'Instrumentos Financeiros'!$F$70+'Instrumentos Financeiros'!$F$11+1),PMT(((1+'Instrumentos Financeiros'!$J$43)^(1/12)-1),$F$11,-$I$70),0)</f>
        <v>0</v>
      </c>
      <c r="AW286" s="1312">
        <f t="shared" si="184"/>
        <v>0</v>
      </c>
      <c r="AX286" s="1312">
        <f>AY285*((1+'Instrumentos Financeiros'!$J$43)^(1/12)-1)</f>
        <v>0</v>
      </c>
      <c r="AY286" s="1312">
        <f t="shared" si="139"/>
        <v>0</v>
      </c>
      <c r="AZ286" s="1312">
        <f>IF(AND(C286&gt;$F$71,'Instrumentos Financeiros'!C286&lt;'Instrumentos Financeiros'!$F$71+'Instrumentos Financeiros'!$F$11+1),PMT(((1+'Instrumentos Financeiros'!$J$43)^(1/12)-1),$F$11,-$I$71),0)</f>
        <v>0</v>
      </c>
      <c r="BA286" s="1312">
        <f t="shared" si="185"/>
        <v>0</v>
      </c>
      <c r="BB286" s="1312">
        <f>BC285*((1+'Instrumentos Financeiros'!$J$43)^(1/12)-1)</f>
        <v>0</v>
      </c>
      <c r="BC286" s="1312">
        <f t="shared" si="140"/>
        <v>0</v>
      </c>
      <c r="BD286" s="1312">
        <f>IF(AND(C286&gt;$F$72,'Instrumentos Financeiros'!C286&lt;'Instrumentos Financeiros'!$F$72+'Instrumentos Financeiros'!$F$11+1),PMT(((1+'Instrumentos Financeiros'!$J$43)^(1/12)-1),$F$11,-'Instrumentos Financeiros'!$G$7*$G$72),0)</f>
        <v>0</v>
      </c>
      <c r="BE286" s="1312">
        <f t="shared" si="186"/>
        <v>0</v>
      </c>
      <c r="BF286" s="1312">
        <f>BG285*((1+'Instrumentos Financeiros'!$J$43)^(1/12)-1)</f>
        <v>0</v>
      </c>
      <c r="BG286" s="1312">
        <f t="shared" si="141"/>
        <v>0</v>
      </c>
      <c r="BH286" s="1312">
        <f>IF(AND(C286&gt;$F$73,'Instrumentos Financeiros'!C286&lt;'Instrumentos Financeiros'!$F$73+'Instrumentos Financeiros'!$F$11+1),PMT(((1+'Instrumentos Financeiros'!$J$43)^(1/12)-1),$F$11,-$I$73),0)</f>
        <v>0</v>
      </c>
      <c r="BI286" s="1312">
        <f t="shared" si="187"/>
        <v>0</v>
      </c>
      <c r="BJ286" s="1312">
        <f>BK285*((1+'Instrumentos Financeiros'!$J$43)^(1/12)-1)</f>
        <v>0</v>
      </c>
      <c r="BK286" s="1312">
        <f t="shared" si="142"/>
        <v>0</v>
      </c>
      <c r="BL286" s="1312">
        <f>IF(AND(C286&gt;$F$77,'Instrumentos Financeiros'!C286&lt;'Instrumentos Financeiros'!$F$77+'Instrumentos Financeiros'!$F$12+1),PMT(((1+'Instrumentos Financeiros'!$K$43)^(1/12)-1),$F$12,-$I$77),0)</f>
        <v>368.57912678094596</v>
      </c>
      <c r="BM286" s="1312">
        <f t="shared" si="143"/>
        <v>256.52382071698111</v>
      </c>
      <c r="BN286" s="1312">
        <f>BO285*((1+'Instrumentos Financeiros'!$K$43)^(1/12)-1)</f>
        <v>112.05530606396484</v>
      </c>
      <c r="BO286" s="1312">
        <f t="shared" si="144"/>
        <v>25658.144584862213</v>
      </c>
      <c r="BP286" s="1312">
        <f>IF(AND(C286&gt;$F$78,'Instrumentos Financeiros'!C286&lt;'Instrumentos Financeiros'!$F$78+'Instrumentos Financeiros'!$F$12+1),PMT(((1+'Instrumentos Financeiros'!$L$43)^(1/12)-1),$F$12,-$I$78),0)</f>
        <v>368.57912678094596</v>
      </c>
      <c r="BQ286" s="1312">
        <f t="shared" si="145"/>
        <v>253.2247568122884</v>
      </c>
      <c r="BR286" s="1312">
        <f>BS285*((1+'Instrumentos Financeiros'!$L$43)^(1/12)-1)</f>
        <v>115.35436996865755</v>
      </c>
      <c r="BS286" s="1312">
        <f t="shared" si="146"/>
        <v>26424.407493514467</v>
      </c>
      <c r="BT286" s="1312">
        <f>IF(AND(C286&gt;$F$79,'Instrumentos Financeiros'!C286&lt;'Instrumentos Financeiros'!$F$79+'Instrumentos Financeiros'!$F$12+1),PMT(((1+'Instrumentos Financeiros'!$L$43)^(1/12)-1),$F$12,-$I$79),0)</f>
        <v>368.57912678094596</v>
      </c>
      <c r="BU286" s="1312">
        <f t="shared" si="147"/>
        <v>249.96812102447319</v>
      </c>
      <c r="BV286" s="1312">
        <f>BW285*((1+'Instrumentos Financeiros'!$L$43)^(1/12)-1)</f>
        <v>118.61100575647278</v>
      </c>
      <c r="BW286" s="1312">
        <f t="shared" si="148"/>
        <v>27180.815760611898</v>
      </c>
      <c r="BX286" s="1312">
        <f>IF(AND(C286&gt;$F$80,'Instrumentos Financeiros'!C286&lt;'Instrumentos Financeiros'!$F$80+'Instrumentos Financeiros'!$F$12+1),PMT(((1+'Instrumentos Financeiros'!$L$43)^(1/12)-1),$F$12,-$I$80),0)</f>
        <v>368.57912678094596</v>
      </c>
      <c r="BY286" s="1312">
        <f t="shared" si="149"/>
        <v>246.75336770023691</v>
      </c>
      <c r="BZ286" s="1312">
        <f>CA285*((1+'Instrumentos Financeiros'!$L$43)^(1/12)-1)</f>
        <v>121.82575908070905</v>
      </c>
      <c r="CA286" s="1312">
        <f t="shared" si="150"/>
        <v>27927.496123282301</v>
      </c>
      <c r="CB286" s="1312">
        <f>IF(AND(C286&gt;$F$83,'Instrumentos Financeiros'!C286&lt;'Instrumentos Financeiros'!$F$83+'Instrumentos Financeiros'!$F$13+1),PMT(((1+'Instrumentos Financeiros'!$P$43)^(1/12)-1),$F$13,-$I$83),0)</f>
        <v>30503.390100238979</v>
      </c>
      <c r="CC286" s="1312">
        <f t="shared" si="151"/>
        <v>15560.666071032816</v>
      </c>
      <c r="CD286" s="1312">
        <f>CE285*((1+'Instrumentos Financeiros'!$P$43)^(1/12)-1)</f>
        <v>14942.724029206163</v>
      </c>
      <c r="CE286" s="1312">
        <f t="shared" si="152"/>
        <v>3440194.8166002757</v>
      </c>
      <c r="CF286" s="1312">
        <f>IF(AND(C286&gt;$F$84,'Instrumentos Financeiros'!C286&lt;'Instrumentos Financeiros'!$F$84+'Instrumentos Financeiros'!$F$13+1),PMT(((1+'Instrumentos Financeiros'!$Q$43)^(1/12)-1),$F$13,-$I$84),0)</f>
        <v>30503.390100238979</v>
      </c>
      <c r="CG286" s="1312">
        <f t="shared" si="153"/>
        <v>15360.545740591615</v>
      </c>
      <c r="CH286" s="1312">
        <f>CI285*((1+'Instrumentos Financeiros'!$Q$43)^(1/12)-1)</f>
        <v>15142.844359647364</v>
      </c>
      <c r="CI286" s="1312">
        <f t="shared" si="154"/>
        <v>3486676.1188467098</v>
      </c>
      <c r="CJ286" s="1312">
        <f>IF(AND(C286&gt;$F$85,'Instrumentos Financeiros'!C286&lt;'Instrumentos Financeiros'!$F$85+'Instrumentos Financeiros'!$F$13+1),PMT(((1+'Instrumentos Financeiros'!$Q$43)^(1/12)-1),$F$13,-$I$85),0)</f>
        <v>30503.390100238979</v>
      </c>
      <c r="CK286" s="1312">
        <f t="shared" si="155"/>
        <v>15162.999088325441</v>
      </c>
      <c r="CL286" s="1312">
        <f>CM285*((1+'Instrumentos Financeiros'!$Q$43)^(1/12)-1)</f>
        <v>15340.391011913538</v>
      </c>
      <c r="CM286" s="1312">
        <f t="shared" si="156"/>
        <v>3532559.6411830536</v>
      </c>
      <c r="CN286" s="1312">
        <f>IF(AND(C286&gt;$F$86,'Instrumentos Financeiros'!C286&lt;'Instrumentos Financeiros'!$F$86+'Instrumentos Financeiros'!$F$13+1),PMT(((1+'Instrumentos Financeiros'!$Q$43)^(1/12)-1),$F$13,-$I$86),0)</f>
        <v>30503.390100238979</v>
      </c>
      <c r="CO286" s="1312">
        <f t="shared" si="157"/>
        <v>14967.99301505175</v>
      </c>
      <c r="CP286" s="1312">
        <f>CQ285*((1+'Instrumentos Financeiros'!$Q$43)^(1/12)-1)</f>
        <v>15535.397085187229</v>
      </c>
      <c r="CQ286" s="1312">
        <f t="shared" si="158"/>
        <v>3577853.0714494404</v>
      </c>
      <c r="CR286" s="1312">
        <f t="shared" ref="CR286:CU349" si="190">D286+H286+L286+P286+T286+X286+AB286+AF286+AJ286+AN286+AR286+AV286+AZ286+BD286+BH286+BL286+BP286+BT286+BX286+CB286+CF286+CJ286+CN286</f>
        <v>521803.11063210916</v>
      </c>
      <c r="CS286" s="1312">
        <f t="shared" si="190"/>
        <v>356097.49387418554</v>
      </c>
      <c r="CT286" s="1312">
        <f t="shared" si="190"/>
        <v>165705.61675792359</v>
      </c>
      <c r="CU286" s="1312">
        <f t="shared" si="190"/>
        <v>38214771.934640206</v>
      </c>
    </row>
    <row r="287" spans="3:99" x14ac:dyDescent="0.35">
      <c r="C287" s="1315">
        <f t="shared" ref="C287:C350" si="191">C286+1</f>
        <v>194</v>
      </c>
      <c r="D287" s="1312">
        <f>IF(AND(C287&gt;$F$59,'Instrumentos Financeiros'!C287&lt;'Instrumentos Financeiros'!$F$59+'Instrumentos Financeiros'!$F$11+1),PMT(((1+'Instrumentos Financeiros'!$G$43)^(1/12)-1),$F$11,-$I$59),0)</f>
        <v>91768.589635900134</v>
      </c>
      <c r="E287" s="1312">
        <f t="shared" si="188"/>
        <v>73948.948436773731</v>
      </c>
      <c r="F287" s="1312">
        <f>G286*((1+'Instrumentos Financeiros'!$G$43)^(1/12)-1)</f>
        <v>17819.64119912641</v>
      </c>
      <c r="G287" s="1312">
        <f t="shared" si="159"/>
        <v>4291683.5417407416</v>
      </c>
      <c r="H287" s="1312">
        <f>IF(AND(C287&gt;$F$60,'Instrumentos Financeiros'!C287&lt;'Instrumentos Financeiros'!$F$60+'Instrumentos Financeiros'!$F$11+1),PMT(((1+'Instrumentos Financeiros'!$G$43)^(1/12)-1),$F$11,-$I$60),0)</f>
        <v>0</v>
      </c>
      <c r="I287" s="1312">
        <f t="shared" si="174"/>
        <v>0</v>
      </c>
      <c r="J287" s="1312">
        <f>K286*((1+'Instrumentos Financeiros'!$G$43)^(1/12)-1)</f>
        <v>0</v>
      </c>
      <c r="K287" s="1312">
        <f t="shared" ref="K287:K350" si="192">IF(C287=$F$60,$I$60,K286-I287)</f>
        <v>0</v>
      </c>
      <c r="L287" s="1312">
        <f>IF(AND(C287&gt;$F$61,'Instrumentos Financeiros'!C287&lt;'Instrumentos Financeiros'!$F$61+'Instrumentos Financeiros'!$F$11+1),PMT(((1+'Instrumentos Financeiros'!$G$43)^(1/12)-1),$F$11,-$I$61),0)</f>
        <v>0</v>
      </c>
      <c r="M287" s="1312">
        <f t="shared" si="175"/>
        <v>0</v>
      </c>
      <c r="N287" s="1312">
        <f>O286*((1+'Instrumentos Financeiros'!$G$43)^(1/12)-1)</f>
        <v>0</v>
      </c>
      <c r="O287" s="1312">
        <f t="shared" ref="O287:O350" si="193">IF(C287=$F$61,$I$61,O286-M287)</f>
        <v>0</v>
      </c>
      <c r="P287" s="1312">
        <f>IF(AND(C287&gt;$F$62,'Instrumentos Financeiros'!C287&lt;'Instrumentos Financeiros'!$F$62+'Instrumentos Financeiros'!$F$11+1),PMT(((1+'Instrumentos Financeiros'!$H$43)^(1/12)-1),$F$11,-$I$62),0)</f>
        <v>0</v>
      </c>
      <c r="Q287" s="1312">
        <f t="shared" si="176"/>
        <v>0</v>
      </c>
      <c r="R287" s="1312">
        <f>S286*((1+'Instrumentos Financeiros'!$H$43)^(1/12)-1)</f>
        <v>0</v>
      </c>
      <c r="S287" s="1312">
        <f t="shared" ref="S287:S350" si="194">IF(C287=$F$62,$I$62,S286-Q287)</f>
        <v>0</v>
      </c>
      <c r="T287" s="1312">
        <f>IF(AND(C287&gt;$F$63,'Instrumentos Financeiros'!C287&lt;'Instrumentos Financeiros'!$F$63+'Instrumentos Financeiros'!$F$11+1),PMT(((1+'Instrumentos Financeiros'!$H$43)^(1/12)-1),$F$11,-$I$63),0)</f>
        <v>0</v>
      </c>
      <c r="U287" s="1312">
        <f t="shared" si="177"/>
        <v>0</v>
      </c>
      <c r="V287" s="1312">
        <f>W286*((1+'Instrumentos Financeiros'!$H$43)^(1/12)-1)</f>
        <v>0</v>
      </c>
      <c r="W287" s="1312">
        <f t="shared" ref="W287:W350" si="195">IF(C287=$F$63,$I$63,W286-U287)</f>
        <v>0</v>
      </c>
      <c r="X287" s="1312">
        <f>IF(AND(C287&gt;$F$64,'Instrumentos Financeiros'!C287&lt;'Instrumentos Financeiros'!$F$64+'Instrumentos Financeiros'!$F$11+1),PMT(((1+'Instrumentos Financeiros'!$H$43)^(1/12)-1),$F$11,-$I$64),0)</f>
        <v>0</v>
      </c>
      <c r="Y287" s="1312">
        <f t="shared" si="178"/>
        <v>0</v>
      </c>
      <c r="Z287" s="1312">
        <f>AA286*((1+'Instrumentos Financeiros'!$H$43)^(1/12)-1)</f>
        <v>0</v>
      </c>
      <c r="AA287" s="1312">
        <f t="shared" ref="AA287:AA350" si="196">IF(C287=$F$64,$I$64,AA286-Y287)</f>
        <v>0</v>
      </c>
      <c r="AB287" s="1312">
        <f>IF(AND(C287&gt;$F$65,'Instrumentos Financeiros'!C287&lt;'Instrumentos Financeiros'!$F$65+'Instrumentos Financeiros'!$F$11+1),PMT(((1+'Instrumentos Financeiros'!$H$43)^(1/12)-1),$F$11,-$I$65),0)</f>
        <v>76636.661022032335</v>
      </c>
      <c r="AC287" s="1312">
        <f t="shared" si="179"/>
        <v>56414.862182130906</v>
      </c>
      <c r="AD287" s="1312">
        <f>AE286*((1+'Instrumentos Financeiros'!$H$43)^(1/12)-1)</f>
        <v>20221.798839901428</v>
      </c>
      <c r="AE287" s="1312">
        <f t="shared" ref="AE287:AE350" si="197">IF(C287=$F$65,$I$65,AE286-AC287)</f>
        <v>4620215.1869226536</v>
      </c>
      <c r="AF287" s="1312">
        <f>IF(AND(C287&gt;$F$66,'Instrumentos Financeiros'!C287&lt;'Instrumentos Financeiros'!$F$66+'Instrumentos Financeiros'!$F$11+1),PMT(((1+'Instrumentos Financeiros'!$I$43)^(1/12)-1),$F$11,-$I$66),0)</f>
        <v>76636.661022032335</v>
      </c>
      <c r="AG287" s="1312">
        <f t="shared" si="180"/>
        <v>55689.330202320649</v>
      </c>
      <c r="AH287" s="1312">
        <f>AI286*((1+'Instrumentos Financeiros'!$I$43)^(1/12)-1)</f>
        <v>20947.330819711689</v>
      </c>
      <c r="AI287" s="1312">
        <f t="shared" ref="AI287:AI350" si="198">IF(C287=$F$66,$I$66,AI286-AG287)</f>
        <v>4788732.1545324158</v>
      </c>
      <c r="AJ287" s="1312">
        <f>IF(AND(C287&gt;$F$67,'Instrumentos Financeiros'!C287&lt;'Instrumentos Financeiros'!$F$67+'Instrumentos Financeiros'!$F$11+1),PMT(((1+'Instrumentos Financeiros'!$I$43)^(1/12)-1),$F$11,-$I$67),0)</f>
        <v>76636.661022032335</v>
      </c>
      <c r="AK287" s="1312">
        <f t="shared" si="181"/>
        <v>54973.129037713443</v>
      </c>
      <c r="AL287" s="1312">
        <f>AM286*((1+'Instrumentos Financeiros'!$I$43)^(1/12)-1)</f>
        <v>21663.531984318895</v>
      </c>
      <c r="AM287" s="1312">
        <f t="shared" ref="AM287:AM350" si="199">IF(C287=$F$67,$I$67,AM286-AK287)</f>
        <v>4955081.883857578</v>
      </c>
      <c r="AN287" s="1312">
        <f>IF(AND(C287&gt;$F$68,'Instrumentos Financeiros'!C287&lt;'Instrumentos Financeiros'!$F$68+'Instrumentos Financeiros'!$F$11+1),PMT(((1+'Instrumentos Financeiros'!$I$43)^(1/12)-1),$F$11,-$I$68),0)</f>
        <v>76636.661022032335</v>
      </c>
      <c r="AO287" s="1312">
        <f t="shared" si="182"/>
        <v>54266.138687930565</v>
      </c>
      <c r="AP287" s="1312">
        <f>AQ286*((1+'Instrumentos Financeiros'!$I$43)^(1/12)-1)</f>
        <v>22370.522334101766</v>
      </c>
      <c r="AQ287" s="1312">
        <f t="shared" ref="AQ287:AQ350" si="200">IF(C287=$F$68,$I$68,AQ286-AO287)</f>
        <v>5119292.2469981955</v>
      </c>
      <c r="AR287" s="1312">
        <f>IF(AND(C287&gt;$F$69,'Instrumentos Financeiros'!C287&lt;'Instrumentos Financeiros'!$F$69+'Instrumentos Financeiros'!$F$11+1),PMT(((1+'Instrumentos Financeiros'!$I$43)^(1/12)-1),$F$11,-$I$69),0)</f>
        <v>0</v>
      </c>
      <c r="AS287" s="1312">
        <f t="shared" si="183"/>
        <v>0</v>
      </c>
      <c r="AT287" s="1312">
        <f>AU286*((1+'Instrumentos Financeiros'!$I$43)^(1/12)-1)</f>
        <v>0</v>
      </c>
      <c r="AU287" s="1312">
        <f t="shared" ref="AU287:AU350" si="201">IF(C287=$F$69,$I$69,AU286-AS287)</f>
        <v>0</v>
      </c>
      <c r="AV287" s="1312">
        <f>IF(AND(C287&gt;$F$70,'Instrumentos Financeiros'!C287&lt;'Instrumentos Financeiros'!$F$70+'Instrumentos Financeiros'!$F$11+1),PMT(((1+'Instrumentos Financeiros'!$J$43)^(1/12)-1),$F$11,-$I$70),0)</f>
        <v>0</v>
      </c>
      <c r="AW287" s="1312">
        <f t="shared" si="184"/>
        <v>0</v>
      </c>
      <c r="AX287" s="1312">
        <f>AY286*((1+'Instrumentos Financeiros'!$J$43)^(1/12)-1)</f>
        <v>0</v>
      </c>
      <c r="AY287" s="1312">
        <f t="shared" ref="AY287:AY350" si="202">IF(C287=$F$70,$I$70,AY286-AW287)</f>
        <v>0</v>
      </c>
      <c r="AZ287" s="1312">
        <f>IF(AND(C287&gt;$F$71,'Instrumentos Financeiros'!C287&lt;'Instrumentos Financeiros'!$F$71+'Instrumentos Financeiros'!$F$11+1),PMT(((1+'Instrumentos Financeiros'!$J$43)^(1/12)-1),$F$11,-$I$71),0)</f>
        <v>0</v>
      </c>
      <c r="BA287" s="1312">
        <f t="shared" si="185"/>
        <v>0</v>
      </c>
      <c r="BB287" s="1312">
        <f>BC286*((1+'Instrumentos Financeiros'!$J$43)^(1/12)-1)</f>
        <v>0</v>
      </c>
      <c r="BC287" s="1312">
        <f t="shared" ref="BC287:BC350" si="203">IF(C287=$F$71,$I$71,BC286-BA287)</f>
        <v>0</v>
      </c>
      <c r="BD287" s="1312">
        <f>IF(AND(C287&gt;$F$72,'Instrumentos Financeiros'!C287&lt;'Instrumentos Financeiros'!$F$72+'Instrumentos Financeiros'!$F$11+1),PMT(((1+'Instrumentos Financeiros'!$J$43)^(1/12)-1),$F$11,-'Instrumentos Financeiros'!$G$7*$G$72),0)</f>
        <v>0</v>
      </c>
      <c r="BE287" s="1312">
        <f t="shared" si="186"/>
        <v>0</v>
      </c>
      <c r="BF287" s="1312">
        <f>BG286*((1+'Instrumentos Financeiros'!$J$43)^(1/12)-1)</f>
        <v>0</v>
      </c>
      <c r="BG287" s="1312">
        <f t="shared" ref="BG287:BG350" si="204">IF(C287=$F$72,$I$72,BG286-BE287)</f>
        <v>0</v>
      </c>
      <c r="BH287" s="1312">
        <f>IF(AND(C287&gt;$F$73,'Instrumentos Financeiros'!C287&lt;'Instrumentos Financeiros'!$F$73+'Instrumentos Financeiros'!$F$11+1),PMT(((1+'Instrumentos Financeiros'!$J$43)^(1/12)-1),$F$11,-$I$73),0)</f>
        <v>0</v>
      </c>
      <c r="BI287" s="1312">
        <f t="shared" si="187"/>
        <v>0</v>
      </c>
      <c r="BJ287" s="1312">
        <f>BK286*((1+'Instrumentos Financeiros'!$J$43)^(1/12)-1)</f>
        <v>0</v>
      </c>
      <c r="BK287" s="1312">
        <f t="shared" ref="BK287:BK350" si="205">IF(C287=$F$73,$I$73,BK286-BI287)</f>
        <v>0</v>
      </c>
      <c r="BL287" s="1312">
        <f>IF(AND(C287&gt;$F$77,'Instrumentos Financeiros'!C287&lt;'Instrumentos Financeiros'!$F$77+'Instrumentos Financeiros'!$F$12+1),PMT(((1+'Instrumentos Financeiros'!$K$43)^(1/12)-1),$F$12,-$I$77),0)</f>
        <v>368.57912678094596</v>
      </c>
      <c r="BM287" s="1312">
        <f t="shared" ref="BM287:BM350" si="206">BL287-BN287</f>
        <v>257.63303248821683</v>
      </c>
      <c r="BN287" s="1312">
        <f>BO286*((1+'Instrumentos Financeiros'!$K$43)^(1/12)-1)</f>
        <v>110.94609429272911</v>
      </c>
      <c r="BO287" s="1312">
        <f t="shared" ref="BO287:BO350" si="207">IF(C287=$F$77,$I$77,BO286-BM287)</f>
        <v>25400.511552373995</v>
      </c>
      <c r="BP287" s="1312">
        <f>IF(AND(C287&gt;$F$78,'Instrumentos Financeiros'!C287&lt;'Instrumentos Financeiros'!$F$78+'Instrumentos Financeiros'!$F$12+1),PMT(((1+'Instrumentos Financeiros'!$L$43)^(1/12)-1),$F$12,-$I$78),0)</f>
        <v>368.57912678094596</v>
      </c>
      <c r="BQ287" s="1312">
        <f t="shared" ref="BQ287:BQ350" si="208">BP287-BR287</f>
        <v>254.31970339557034</v>
      </c>
      <c r="BR287" s="1312">
        <f>BS286*((1+'Instrumentos Financeiros'!$L$43)^(1/12)-1)</f>
        <v>114.2594233853756</v>
      </c>
      <c r="BS287" s="1312">
        <f t="shared" ref="BS287:BS350" si="209">IF(C287=$F$78,$I$78,BS286-BQ287)</f>
        <v>26170.087790118898</v>
      </c>
      <c r="BT287" s="1312">
        <f>IF(AND(C287&gt;$F$79,'Instrumentos Financeiros'!C287&lt;'Instrumentos Financeiros'!$F$79+'Instrumentos Financeiros'!$F$12+1),PMT(((1+'Instrumentos Financeiros'!$L$43)^(1/12)-1),$F$12,-$I$79),0)</f>
        <v>368.57912678094596</v>
      </c>
      <c r="BU287" s="1312">
        <f t="shared" ref="BU287:BU350" si="210">BT287-BV287</f>
        <v>251.048985879437</v>
      </c>
      <c r="BV287" s="1312">
        <f>BW286*((1+'Instrumentos Financeiros'!$L$43)^(1/12)-1)</f>
        <v>117.53014090150897</v>
      </c>
      <c r="BW287" s="1312">
        <f t="shared" ref="BW287:BW350" si="211">IF(C287=$F$79,$I$79,BW286-BU287)</f>
        <v>26929.766774732463</v>
      </c>
      <c r="BX287" s="1312">
        <f>IF(AND(C287&gt;$F$80,'Instrumentos Financeiros'!C287&lt;'Instrumentos Financeiros'!$F$80+'Instrumentos Financeiros'!$F$12+1),PMT(((1+'Instrumentos Financeiros'!$L$43)^(1/12)-1),$F$12,-$I$80),0)</f>
        <v>368.57912678094596</v>
      </c>
      <c r="BY287" s="1312">
        <f t="shared" ref="BY287:BY350" si="212">BX287-BZ287</f>
        <v>247.82033192710739</v>
      </c>
      <c r="BZ287" s="1312">
        <f>CA286*((1+'Instrumentos Financeiros'!$L$43)^(1/12)-1)</f>
        <v>120.75879485383857</v>
      </c>
      <c r="CA287" s="1312">
        <f t="shared" ref="CA287:CA350" si="213">IF(C287=$F$80,$I$80,CA286-BY287)</f>
        <v>27679.675791355192</v>
      </c>
      <c r="CB287" s="1312">
        <f>IF(AND(C287&gt;$F$83,'Instrumentos Financeiros'!C287&lt;'Instrumentos Financeiros'!$F$83+'Instrumentos Financeiros'!$F$13+1),PMT(((1+'Instrumentos Financeiros'!$P$43)^(1/12)-1),$F$13,-$I$83),0)</f>
        <v>30503.390100238979</v>
      </c>
      <c r="CC287" s="1312">
        <f t="shared" ref="CC287:CC350" si="214">CB287-CD287</f>
        <v>15627.950559179048</v>
      </c>
      <c r="CD287" s="1312">
        <f>CE286*((1+'Instrumentos Financeiros'!$P$43)^(1/12)-1)</f>
        <v>14875.439541059932</v>
      </c>
      <c r="CE287" s="1312">
        <f t="shared" ref="CE287:CE350" si="215">IF(C287=$F$83,$I$83,CE286-CC287)</f>
        <v>3424566.8660410969</v>
      </c>
      <c r="CF287" s="1312">
        <f>IF(AND(C287&gt;$F$84,'Instrumentos Financeiros'!C287&lt;'Instrumentos Financeiros'!$F$84+'Instrumentos Financeiros'!$F$13+1),PMT(((1+'Instrumentos Financeiros'!$Q$43)^(1/12)-1),$F$13,-$I$84),0)</f>
        <v>30503.390100238979</v>
      </c>
      <c r="CG287" s="1312">
        <f t="shared" ref="CG287:CG350" si="216">CF287-CH287</f>
        <v>15426.964906267724</v>
      </c>
      <c r="CH287" s="1312">
        <f>CI286*((1+'Instrumentos Financeiros'!$Q$43)^(1/12)-1)</f>
        <v>15076.425193971256</v>
      </c>
      <c r="CI287" s="1312">
        <f t="shared" ref="CI287:CI350" si="217">IF(C287=$F$84,$I$84,CI286-CG287)</f>
        <v>3471249.153940442</v>
      </c>
      <c r="CJ287" s="1312">
        <f>IF(AND(C287&gt;$F$85,'Instrumentos Financeiros'!C287&lt;'Instrumentos Financeiros'!$F$85+'Instrumentos Financeiros'!$F$13+1),PMT(((1+'Instrumentos Financeiros'!$Q$43)^(1/12)-1),$F$13,-$I$85),0)</f>
        <v>30503.390100238979</v>
      </c>
      <c r="CK287" s="1312">
        <f t="shared" ref="CK287:CK350" si="218">CJ287-CL287</f>
        <v>15228.564060143646</v>
      </c>
      <c r="CL287" s="1312">
        <f>CM286*((1+'Instrumentos Financeiros'!$Q$43)^(1/12)-1)</f>
        <v>15274.826040095333</v>
      </c>
      <c r="CM287" s="1312">
        <f t="shared" ref="CM287:CM350" si="219">IF(C287=$F$85,$I$85,CM286-CK287)</f>
        <v>3517331.0771229099</v>
      </c>
      <c r="CN287" s="1312">
        <f>IF(AND(C287&gt;$F$86,'Instrumentos Financeiros'!C287&lt;'Instrumentos Financeiros'!$F$86+'Instrumentos Financeiros'!$F$13+1),PMT(((1+'Instrumentos Financeiros'!$Q$43)^(1/12)-1),$F$13,-$I$86),0)</f>
        <v>30503.390100238979</v>
      </c>
      <c r="CO287" s="1312">
        <f t="shared" ref="CO287:CO350" si="220">CN287-CP287</f>
        <v>15032.714778503056</v>
      </c>
      <c r="CP287" s="1312">
        <f>CQ286*((1+'Instrumentos Financeiros'!$Q$43)^(1/12)-1)</f>
        <v>15470.675321735924</v>
      </c>
      <c r="CQ287" s="1312">
        <f t="shared" ref="CQ287:CQ350" si="221">IF(C287=$F$86,$I$86,CQ286-CO287)</f>
        <v>3562820.3566709375</v>
      </c>
      <c r="CR287" s="1312">
        <f t="shared" si="190"/>
        <v>521803.11063210916</v>
      </c>
      <c r="CS287" s="1312">
        <f t="shared" si="190"/>
        <v>357619.42490465316</v>
      </c>
      <c r="CT287" s="1312">
        <f t="shared" si="190"/>
        <v>164183.68572745609</v>
      </c>
      <c r="CU287" s="1312">
        <f t="shared" si="190"/>
        <v>37857152.509735554</v>
      </c>
    </row>
    <row r="288" spans="3:99" x14ac:dyDescent="0.35">
      <c r="C288" s="1315">
        <f t="shared" si="191"/>
        <v>195</v>
      </c>
      <c r="D288" s="1312">
        <f>IF(AND(C288&gt;$F$59,'Instrumentos Financeiros'!C288&lt;'Instrumentos Financeiros'!$F$59+'Instrumentos Financeiros'!$F$11+1),PMT(((1+'Instrumentos Financeiros'!$G$43)^(1/12)-1),$F$11,-$I$59),0)</f>
        <v>91768.589635900134</v>
      </c>
      <c r="E288" s="1312">
        <f t="shared" si="188"/>
        <v>74250.79329686235</v>
      </c>
      <c r="F288" s="1312">
        <f>G287*((1+'Instrumentos Financeiros'!$G$43)^(1/12)-1)</f>
        <v>17517.796339037781</v>
      </c>
      <c r="G288" s="1312">
        <f t="shared" ref="G288:G351" si="222">IF(C288=$F$59,$I$59,G287-E288)</f>
        <v>4217432.7484438792</v>
      </c>
      <c r="H288" s="1312">
        <f>IF(AND(C288&gt;$F$60,'Instrumentos Financeiros'!C288&lt;'Instrumentos Financeiros'!$F$60+'Instrumentos Financeiros'!$F$11+1),PMT(((1+'Instrumentos Financeiros'!$G$43)^(1/12)-1),$F$11,-$I$60),0)</f>
        <v>0</v>
      </c>
      <c r="I288" s="1312">
        <f t="shared" si="174"/>
        <v>0</v>
      </c>
      <c r="J288" s="1312">
        <f>K287*((1+'Instrumentos Financeiros'!$G$43)^(1/12)-1)</f>
        <v>0</v>
      </c>
      <c r="K288" s="1312">
        <f t="shared" si="192"/>
        <v>0</v>
      </c>
      <c r="L288" s="1312">
        <f>IF(AND(C288&gt;$F$61,'Instrumentos Financeiros'!C288&lt;'Instrumentos Financeiros'!$F$61+'Instrumentos Financeiros'!$F$11+1),PMT(((1+'Instrumentos Financeiros'!$G$43)^(1/12)-1),$F$11,-$I$61),0)</f>
        <v>0</v>
      </c>
      <c r="M288" s="1312">
        <f t="shared" si="175"/>
        <v>0</v>
      </c>
      <c r="N288" s="1312">
        <f>O287*((1+'Instrumentos Financeiros'!$G$43)^(1/12)-1)</f>
        <v>0</v>
      </c>
      <c r="O288" s="1312">
        <f t="shared" si="193"/>
        <v>0</v>
      </c>
      <c r="P288" s="1312">
        <f>IF(AND(C288&gt;$F$62,'Instrumentos Financeiros'!C288&lt;'Instrumentos Financeiros'!$F$62+'Instrumentos Financeiros'!$F$11+1),PMT(((1+'Instrumentos Financeiros'!$H$43)^(1/12)-1),$F$11,-$I$62),0)</f>
        <v>0</v>
      </c>
      <c r="Q288" s="1312">
        <f t="shared" si="176"/>
        <v>0</v>
      </c>
      <c r="R288" s="1312">
        <f>S287*((1+'Instrumentos Financeiros'!$H$43)^(1/12)-1)</f>
        <v>0</v>
      </c>
      <c r="S288" s="1312">
        <f t="shared" si="194"/>
        <v>0</v>
      </c>
      <c r="T288" s="1312">
        <f>IF(AND(C288&gt;$F$63,'Instrumentos Financeiros'!C288&lt;'Instrumentos Financeiros'!$F$63+'Instrumentos Financeiros'!$F$11+1),PMT(((1+'Instrumentos Financeiros'!$H$43)^(1/12)-1),$F$11,-$I$63),0)</f>
        <v>0</v>
      </c>
      <c r="U288" s="1312">
        <f t="shared" si="177"/>
        <v>0</v>
      </c>
      <c r="V288" s="1312">
        <f>W287*((1+'Instrumentos Financeiros'!$H$43)^(1/12)-1)</f>
        <v>0</v>
      </c>
      <c r="W288" s="1312">
        <f t="shared" si="195"/>
        <v>0</v>
      </c>
      <c r="X288" s="1312">
        <f>IF(AND(C288&gt;$F$64,'Instrumentos Financeiros'!C288&lt;'Instrumentos Financeiros'!$F$64+'Instrumentos Financeiros'!$F$11+1),PMT(((1+'Instrumentos Financeiros'!$H$43)^(1/12)-1),$F$11,-$I$64),0)</f>
        <v>0</v>
      </c>
      <c r="Y288" s="1312">
        <f t="shared" si="178"/>
        <v>0</v>
      </c>
      <c r="Z288" s="1312">
        <f>AA287*((1+'Instrumentos Financeiros'!$H$43)^(1/12)-1)</f>
        <v>0</v>
      </c>
      <c r="AA288" s="1312">
        <f t="shared" si="196"/>
        <v>0</v>
      </c>
      <c r="AB288" s="1312">
        <f>IF(AND(C288&gt;$F$65,'Instrumentos Financeiros'!C288&lt;'Instrumentos Financeiros'!$F$65+'Instrumentos Financeiros'!$F$11+1),PMT(((1+'Instrumentos Financeiros'!$H$43)^(1/12)-1),$F$11,-$I$65),0)</f>
        <v>76636.661022032335</v>
      </c>
      <c r="AC288" s="1312">
        <f t="shared" si="179"/>
        <v>56658.800655486564</v>
      </c>
      <c r="AD288" s="1312">
        <f>AE287*((1+'Instrumentos Financeiros'!$H$43)^(1/12)-1)</f>
        <v>19977.86036654577</v>
      </c>
      <c r="AE288" s="1312">
        <f t="shared" si="197"/>
        <v>4563556.3862671666</v>
      </c>
      <c r="AF288" s="1312">
        <f>IF(AND(C288&gt;$F$66,'Instrumentos Financeiros'!C288&lt;'Instrumentos Financeiros'!$F$66+'Instrumentos Financeiros'!$F$11+1),PMT(((1+'Instrumentos Financeiros'!$I$43)^(1/12)-1),$F$11,-$I$66),0)</f>
        <v>76636.661022032335</v>
      </c>
      <c r="AG288" s="1312">
        <f t="shared" si="180"/>
        <v>55930.131467559862</v>
      </c>
      <c r="AH288" s="1312">
        <f>AI287*((1+'Instrumentos Financeiros'!$I$43)^(1/12)-1)</f>
        <v>20706.529554472472</v>
      </c>
      <c r="AI288" s="1312">
        <f t="shared" si="198"/>
        <v>4732802.0230648555</v>
      </c>
      <c r="AJ288" s="1312">
        <f>IF(AND(C288&gt;$F$67,'Instrumentos Financeiros'!C288&lt;'Instrumentos Financeiros'!$F$67+'Instrumentos Financeiros'!$F$11+1),PMT(((1+'Instrumentos Financeiros'!$I$43)^(1/12)-1),$F$11,-$I$67),0)</f>
        <v>76636.661022032335</v>
      </c>
      <c r="AK288" s="1312">
        <f t="shared" si="181"/>
        <v>55210.833441381925</v>
      </c>
      <c r="AL288" s="1312">
        <f>AM287*((1+'Instrumentos Financeiros'!$I$43)^(1/12)-1)</f>
        <v>21425.827580650406</v>
      </c>
      <c r="AM288" s="1312">
        <f t="shared" si="199"/>
        <v>4899871.0504161958</v>
      </c>
      <c r="AN288" s="1312">
        <f>IF(AND(C288&gt;$F$68,'Instrumentos Financeiros'!C288&lt;'Instrumentos Financeiros'!$F$68+'Instrumentos Financeiros'!$F$11+1),PMT(((1+'Instrumentos Financeiros'!$I$43)^(1/12)-1),$F$11,-$I$68),0)</f>
        <v>76636.661022032335</v>
      </c>
      <c r="AO288" s="1312">
        <f t="shared" si="182"/>
        <v>54500.786057691104</v>
      </c>
      <c r="AP288" s="1312">
        <f>AQ287*((1+'Instrumentos Financeiros'!$I$43)^(1/12)-1)</f>
        <v>22135.874964341227</v>
      </c>
      <c r="AQ288" s="1312">
        <f t="shared" si="200"/>
        <v>5064791.4609405044</v>
      </c>
      <c r="AR288" s="1312">
        <f>IF(AND(C288&gt;$F$69,'Instrumentos Financeiros'!C288&lt;'Instrumentos Financeiros'!$F$69+'Instrumentos Financeiros'!$F$11+1),PMT(((1+'Instrumentos Financeiros'!$I$43)^(1/12)-1),$F$11,-$I$69),0)</f>
        <v>0</v>
      </c>
      <c r="AS288" s="1312">
        <f t="shared" si="183"/>
        <v>0</v>
      </c>
      <c r="AT288" s="1312">
        <f>AU287*((1+'Instrumentos Financeiros'!$I$43)^(1/12)-1)</f>
        <v>0</v>
      </c>
      <c r="AU288" s="1312">
        <f t="shared" si="201"/>
        <v>0</v>
      </c>
      <c r="AV288" s="1312">
        <f>IF(AND(C288&gt;$F$70,'Instrumentos Financeiros'!C288&lt;'Instrumentos Financeiros'!$F$70+'Instrumentos Financeiros'!$F$11+1),PMT(((1+'Instrumentos Financeiros'!$J$43)^(1/12)-1),$F$11,-$I$70),0)</f>
        <v>0</v>
      </c>
      <c r="AW288" s="1312">
        <f t="shared" si="184"/>
        <v>0</v>
      </c>
      <c r="AX288" s="1312">
        <f>AY287*((1+'Instrumentos Financeiros'!$J$43)^(1/12)-1)</f>
        <v>0</v>
      </c>
      <c r="AY288" s="1312">
        <f t="shared" si="202"/>
        <v>0</v>
      </c>
      <c r="AZ288" s="1312">
        <f>IF(AND(C288&gt;$F$71,'Instrumentos Financeiros'!C288&lt;'Instrumentos Financeiros'!$F$71+'Instrumentos Financeiros'!$F$11+1),PMT(((1+'Instrumentos Financeiros'!$J$43)^(1/12)-1),$F$11,-$I$71),0)</f>
        <v>0</v>
      </c>
      <c r="BA288" s="1312">
        <f t="shared" si="185"/>
        <v>0</v>
      </c>
      <c r="BB288" s="1312">
        <f>BC287*((1+'Instrumentos Financeiros'!$J$43)^(1/12)-1)</f>
        <v>0</v>
      </c>
      <c r="BC288" s="1312">
        <f t="shared" si="203"/>
        <v>0</v>
      </c>
      <c r="BD288" s="1312">
        <f>IF(AND(C288&gt;$F$72,'Instrumentos Financeiros'!C288&lt;'Instrumentos Financeiros'!$F$72+'Instrumentos Financeiros'!$F$11+1),PMT(((1+'Instrumentos Financeiros'!$J$43)^(1/12)-1),$F$11,-'Instrumentos Financeiros'!$G$7*$G$72),0)</f>
        <v>0</v>
      </c>
      <c r="BE288" s="1312">
        <f t="shared" si="186"/>
        <v>0</v>
      </c>
      <c r="BF288" s="1312">
        <f>BG287*((1+'Instrumentos Financeiros'!$J$43)^(1/12)-1)</f>
        <v>0</v>
      </c>
      <c r="BG288" s="1312">
        <f t="shared" si="204"/>
        <v>0</v>
      </c>
      <c r="BH288" s="1312">
        <f>IF(AND(C288&gt;$F$73,'Instrumentos Financeiros'!C288&lt;'Instrumentos Financeiros'!$F$73+'Instrumentos Financeiros'!$F$11+1),PMT(((1+'Instrumentos Financeiros'!$J$43)^(1/12)-1),$F$11,-$I$73),0)</f>
        <v>0</v>
      </c>
      <c r="BI288" s="1312">
        <f t="shared" si="187"/>
        <v>0</v>
      </c>
      <c r="BJ288" s="1312">
        <f>BK287*((1+'Instrumentos Financeiros'!$J$43)^(1/12)-1)</f>
        <v>0</v>
      </c>
      <c r="BK288" s="1312">
        <f t="shared" si="205"/>
        <v>0</v>
      </c>
      <c r="BL288" s="1312">
        <f>IF(AND(C288&gt;$F$77,'Instrumentos Financeiros'!C288&lt;'Instrumentos Financeiros'!$F$77+'Instrumentos Financeiros'!$F$12+1),PMT(((1+'Instrumentos Financeiros'!$K$43)^(1/12)-1),$F$12,-$I$77),0)</f>
        <v>368.57912678094596</v>
      </c>
      <c r="BM288" s="1312">
        <f t="shared" si="206"/>
        <v>258.74704050313085</v>
      </c>
      <c r="BN288" s="1312">
        <f>BO287*((1+'Instrumentos Financeiros'!$K$43)^(1/12)-1)</f>
        <v>109.83208627781508</v>
      </c>
      <c r="BO288" s="1312">
        <f t="shared" si="207"/>
        <v>25141.764511870864</v>
      </c>
      <c r="BP288" s="1312">
        <f>IF(AND(C288&gt;$F$78,'Instrumentos Financeiros'!C288&lt;'Instrumentos Financeiros'!$F$78+'Instrumentos Financeiros'!$F$12+1),PMT(((1+'Instrumentos Financeiros'!$L$43)^(1/12)-1),$F$12,-$I$78),0)</f>
        <v>368.57912678094596</v>
      </c>
      <c r="BQ288" s="1312">
        <f t="shared" si="208"/>
        <v>255.41938453970386</v>
      </c>
      <c r="BR288" s="1312">
        <f>BS287*((1+'Instrumentos Financeiros'!$L$43)^(1/12)-1)</f>
        <v>113.15974224124211</v>
      </c>
      <c r="BS288" s="1312">
        <f t="shared" si="209"/>
        <v>25914.668405579196</v>
      </c>
      <c r="BT288" s="1312">
        <f>IF(AND(C288&gt;$F$79,'Instrumentos Financeiros'!C288&lt;'Instrumentos Financeiros'!$F$79+'Instrumentos Financeiros'!$F$12+1),PMT(((1+'Instrumentos Financeiros'!$L$43)^(1/12)-1),$F$12,-$I$79),0)</f>
        <v>368.57912678094596</v>
      </c>
      <c r="BU288" s="1312">
        <f t="shared" si="210"/>
        <v>252.134524405707</v>
      </c>
      <c r="BV288" s="1312">
        <f>BW287*((1+'Instrumentos Financeiros'!$L$43)^(1/12)-1)</f>
        <v>116.44460237523897</v>
      </c>
      <c r="BW288" s="1312">
        <f t="shared" si="211"/>
        <v>26677.632250326755</v>
      </c>
      <c r="BX288" s="1312">
        <f>IF(AND(C288&gt;$F$80,'Instrumentos Financeiros'!C288&lt;'Instrumentos Financeiros'!$F$80+'Instrumentos Financeiros'!$F$12+1),PMT(((1+'Instrumentos Financeiros'!$L$43)^(1/12)-1),$F$12,-$I$80),0)</f>
        <v>368.57912678094596</v>
      </c>
      <c r="BY288" s="1312">
        <f t="shared" si="212"/>
        <v>248.89190971881808</v>
      </c>
      <c r="BZ288" s="1312">
        <f>CA287*((1+'Instrumentos Financeiros'!$L$43)^(1/12)-1)</f>
        <v>119.68721706212787</v>
      </c>
      <c r="CA288" s="1312">
        <f t="shared" si="213"/>
        <v>27430.783881636373</v>
      </c>
      <c r="CB288" s="1312">
        <f>IF(AND(C288&gt;$F$83,'Instrumentos Financeiros'!C288&lt;'Instrumentos Financeiros'!$F$83+'Instrumentos Financeiros'!$F$13+1),PMT(((1+'Instrumentos Financeiros'!$P$43)^(1/12)-1),$F$13,-$I$83),0)</f>
        <v>30503.390100238979</v>
      </c>
      <c r="CC288" s="1312">
        <f t="shared" si="214"/>
        <v>15695.525986178696</v>
      </c>
      <c r="CD288" s="1312">
        <f>CE287*((1+'Instrumentos Financeiros'!$P$43)^(1/12)-1)</f>
        <v>14807.864114060283</v>
      </c>
      <c r="CE288" s="1312">
        <f t="shared" si="215"/>
        <v>3408871.3400549181</v>
      </c>
      <c r="CF288" s="1312">
        <f>IF(AND(C288&gt;$F$84,'Instrumentos Financeiros'!C288&lt;'Instrumentos Financeiros'!$F$84+'Instrumentos Financeiros'!$F$13+1),PMT(((1+'Instrumentos Financeiros'!$Q$43)^(1/12)-1),$F$13,-$I$84),0)</f>
        <v>30503.390100238979</v>
      </c>
      <c r="CG288" s="1312">
        <f t="shared" si="216"/>
        <v>15493.67126913354</v>
      </c>
      <c r="CH288" s="1312">
        <f>CI287*((1+'Instrumentos Financeiros'!$Q$43)^(1/12)-1)</f>
        <v>15009.71883110544</v>
      </c>
      <c r="CI288" s="1312">
        <f t="shared" si="217"/>
        <v>3455755.4826713083</v>
      </c>
      <c r="CJ288" s="1312">
        <f>IF(AND(C288&gt;$F$85,'Instrumentos Financeiros'!C288&lt;'Instrumentos Financeiros'!$F$85+'Instrumentos Financeiros'!$F$13+1),PMT(((1+'Instrumentos Financeiros'!$Q$43)^(1/12)-1),$F$13,-$I$85),0)</f>
        <v>30503.390100238979</v>
      </c>
      <c r="CK288" s="1312">
        <f t="shared" si="218"/>
        <v>15294.412535608095</v>
      </c>
      <c r="CL288" s="1312">
        <f>CM287*((1+'Instrumentos Financeiros'!$Q$43)^(1/12)-1)</f>
        <v>15208.977564630884</v>
      </c>
      <c r="CM288" s="1312">
        <f t="shared" si="219"/>
        <v>3502036.6645873017</v>
      </c>
      <c r="CN288" s="1312">
        <f>IF(AND(C288&gt;$F$86,'Instrumentos Financeiros'!C288&lt;'Instrumentos Financeiros'!$F$86+'Instrumentos Financeiros'!$F$13+1),PMT(((1+'Instrumentos Financeiros'!$Q$43)^(1/12)-1),$F$13,-$I$86),0)</f>
        <v>30503.390100238979</v>
      </c>
      <c r="CO288" s="1312">
        <f t="shared" si="220"/>
        <v>15097.716399558518</v>
      </c>
      <c r="CP288" s="1312">
        <f>CQ287*((1+'Instrumentos Financeiros'!$Q$43)^(1/12)-1)</f>
        <v>15405.673700680461</v>
      </c>
      <c r="CQ288" s="1312">
        <f t="shared" si="221"/>
        <v>3547722.6402713791</v>
      </c>
      <c r="CR288" s="1312">
        <f t="shared" si="190"/>
        <v>521803.11063210916</v>
      </c>
      <c r="CS288" s="1312">
        <f t="shared" si="190"/>
        <v>359147.86396862805</v>
      </c>
      <c r="CT288" s="1312">
        <f t="shared" si="190"/>
        <v>162655.24666348114</v>
      </c>
      <c r="CU288" s="1312">
        <f t="shared" si="190"/>
        <v>37498004.645766921</v>
      </c>
    </row>
    <row r="289" spans="3:99" x14ac:dyDescent="0.35">
      <c r="C289" s="1315">
        <f t="shared" si="191"/>
        <v>196</v>
      </c>
      <c r="D289" s="1312">
        <f>IF(AND(C289&gt;$F$59,'Instrumentos Financeiros'!C289&lt;'Instrumentos Financeiros'!$F$59+'Instrumentos Financeiros'!$F$11+1),PMT(((1+'Instrumentos Financeiros'!$G$43)^(1/12)-1),$F$11,-$I$59),0)</f>
        <v>91768.589635900134</v>
      </c>
      <c r="E289" s="1312">
        <f t="shared" si="188"/>
        <v>74553.870227473788</v>
      </c>
      <c r="F289" s="1312">
        <f>G288*((1+'Instrumentos Financeiros'!$G$43)^(1/12)-1)</f>
        <v>17214.719408426339</v>
      </c>
      <c r="G289" s="1312">
        <f t="shared" si="222"/>
        <v>4142878.8782164054</v>
      </c>
      <c r="H289" s="1312">
        <f>IF(AND(C289&gt;$F$60,'Instrumentos Financeiros'!C289&lt;'Instrumentos Financeiros'!$F$60+'Instrumentos Financeiros'!$F$11+1),PMT(((1+'Instrumentos Financeiros'!$G$43)^(1/12)-1),$F$11,-$I$60),0)</f>
        <v>0</v>
      </c>
      <c r="I289" s="1312">
        <f t="shared" si="174"/>
        <v>0</v>
      </c>
      <c r="J289" s="1312">
        <f>K288*((1+'Instrumentos Financeiros'!$G$43)^(1/12)-1)</f>
        <v>0</v>
      </c>
      <c r="K289" s="1312">
        <f t="shared" si="192"/>
        <v>0</v>
      </c>
      <c r="L289" s="1312">
        <f>IF(AND(C289&gt;$F$61,'Instrumentos Financeiros'!C289&lt;'Instrumentos Financeiros'!$F$61+'Instrumentos Financeiros'!$F$11+1),PMT(((1+'Instrumentos Financeiros'!$G$43)^(1/12)-1),$F$11,-$I$61),0)</f>
        <v>0</v>
      </c>
      <c r="M289" s="1312">
        <f t="shared" si="175"/>
        <v>0</v>
      </c>
      <c r="N289" s="1312">
        <f>O288*((1+'Instrumentos Financeiros'!$G$43)^(1/12)-1)</f>
        <v>0</v>
      </c>
      <c r="O289" s="1312">
        <f t="shared" si="193"/>
        <v>0</v>
      </c>
      <c r="P289" s="1312">
        <f>IF(AND(C289&gt;$F$62,'Instrumentos Financeiros'!C289&lt;'Instrumentos Financeiros'!$F$62+'Instrumentos Financeiros'!$F$11+1),PMT(((1+'Instrumentos Financeiros'!$H$43)^(1/12)-1),$F$11,-$I$62),0)</f>
        <v>0</v>
      </c>
      <c r="Q289" s="1312">
        <f t="shared" si="176"/>
        <v>0</v>
      </c>
      <c r="R289" s="1312">
        <f>S288*((1+'Instrumentos Financeiros'!$H$43)^(1/12)-1)</f>
        <v>0</v>
      </c>
      <c r="S289" s="1312">
        <f t="shared" si="194"/>
        <v>0</v>
      </c>
      <c r="T289" s="1312">
        <f>IF(AND(C289&gt;$F$63,'Instrumentos Financeiros'!C289&lt;'Instrumentos Financeiros'!$F$63+'Instrumentos Financeiros'!$F$11+1),PMT(((1+'Instrumentos Financeiros'!$H$43)^(1/12)-1),$F$11,-$I$63),0)</f>
        <v>0</v>
      </c>
      <c r="U289" s="1312">
        <f t="shared" si="177"/>
        <v>0</v>
      </c>
      <c r="V289" s="1312">
        <f>W288*((1+'Instrumentos Financeiros'!$H$43)^(1/12)-1)</f>
        <v>0</v>
      </c>
      <c r="W289" s="1312">
        <f t="shared" si="195"/>
        <v>0</v>
      </c>
      <c r="X289" s="1312">
        <f>IF(AND(C289&gt;$F$64,'Instrumentos Financeiros'!C289&lt;'Instrumentos Financeiros'!$F$64+'Instrumentos Financeiros'!$F$11+1),PMT(((1+'Instrumentos Financeiros'!$H$43)^(1/12)-1),$F$11,-$I$64),0)</f>
        <v>0</v>
      </c>
      <c r="Y289" s="1312">
        <f t="shared" si="178"/>
        <v>0</v>
      </c>
      <c r="Z289" s="1312">
        <f>AA288*((1+'Instrumentos Financeiros'!$H$43)^(1/12)-1)</f>
        <v>0</v>
      </c>
      <c r="AA289" s="1312">
        <f t="shared" si="196"/>
        <v>0</v>
      </c>
      <c r="AB289" s="1312">
        <f>IF(AND(C289&gt;$F$65,'Instrumentos Financeiros'!C289&lt;'Instrumentos Financeiros'!$F$65+'Instrumentos Financeiros'!$F$11+1),PMT(((1+'Instrumentos Financeiros'!$H$43)^(1/12)-1),$F$11,-$I$65),0)</f>
        <v>76636.661022032335</v>
      </c>
      <c r="AC289" s="1312">
        <f t="shared" si="179"/>
        <v>56903.793921435543</v>
      </c>
      <c r="AD289" s="1312">
        <f>AE288*((1+'Instrumentos Financeiros'!$H$43)^(1/12)-1)</f>
        <v>19732.867100596788</v>
      </c>
      <c r="AE289" s="1312">
        <f t="shared" si="197"/>
        <v>4506652.5923457313</v>
      </c>
      <c r="AF289" s="1312">
        <f>IF(AND(C289&gt;$F$66,'Instrumentos Financeiros'!C289&lt;'Instrumentos Financeiros'!$F$66+'Instrumentos Financeiros'!$F$11+1),PMT(((1+'Instrumentos Financeiros'!$I$43)^(1/12)-1),$F$11,-$I$66),0)</f>
        <v>76636.661022032335</v>
      </c>
      <c r="AG289" s="1312">
        <f t="shared" si="180"/>
        <v>56171.973960070623</v>
      </c>
      <c r="AH289" s="1312">
        <f>AI288*((1+'Instrumentos Financeiros'!$I$43)^(1/12)-1)</f>
        <v>20464.687061961708</v>
      </c>
      <c r="AI289" s="1312">
        <f t="shared" si="198"/>
        <v>4676630.0491047846</v>
      </c>
      <c r="AJ289" s="1312">
        <f>IF(AND(C289&gt;$F$67,'Instrumentos Financeiros'!C289&lt;'Instrumentos Financeiros'!$F$67+'Instrumentos Financeiros'!$F$11+1),PMT(((1+'Instrumentos Financeiros'!$I$43)^(1/12)-1),$F$11,-$I$67),0)</f>
        <v>76636.661022032335</v>
      </c>
      <c r="AK289" s="1312">
        <f t="shared" si="181"/>
        <v>55449.565681459091</v>
      </c>
      <c r="AL289" s="1312">
        <f>AM288*((1+'Instrumentos Financeiros'!$I$43)^(1/12)-1)</f>
        <v>21187.095340573247</v>
      </c>
      <c r="AM289" s="1312">
        <f t="shared" si="199"/>
        <v>4844421.4847347364</v>
      </c>
      <c r="AN289" s="1312">
        <f>IF(AND(C289&gt;$F$68,'Instrumentos Financeiros'!C289&lt;'Instrumentos Financeiros'!$F$68+'Instrumentos Financeiros'!$F$11+1),PMT(((1+'Instrumentos Financeiros'!$I$43)^(1/12)-1),$F$11,-$I$68),0)</f>
        <v>76636.661022032335</v>
      </c>
      <c r="AO289" s="1312">
        <f t="shared" si="182"/>
        <v>54736.448045212674</v>
      </c>
      <c r="AP289" s="1312">
        <f>AQ288*((1+'Instrumentos Financeiros'!$I$43)^(1/12)-1)</f>
        <v>21900.212976819657</v>
      </c>
      <c r="AQ289" s="1312">
        <f t="shared" si="200"/>
        <v>5010055.0128952917</v>
      </c>
      <c r="AR289" s="1312">
        <f>IF(AND(C289&gt;$F$69,'Instrumentos Financeiros'!C289&lt;'Instrumentos Financeiros'!$F$69+'Instrumentos Financeiros'!$F$11+1),PMT(((1+'Instrumentos Financeiros'!$I$43)^(1/12)-1),$F$11,-$I$69),0)</f>
        <v>0</v>
      </c>
      <c r="AS289" s="1312">
        <f t="shared" si="183"/>
        <v>0</v>
      </c>
      <c r="AT289" s="1312">
        <f>AU288*((1+'Instrumentos Financeiros'!$I$43)^(1/12)-1)</f>
        <v>0</v>
      </c>
      <c r="AU289" s="1312">
        <f t="shared" si="201"/>
        <v>0</v>
      </c>
      <c r="AV289" s="1312">
        <f>IF(AND(C289&gt;$F$70,'Instrumentos Financeiros'!C289&lt;'Instrumentos Financeiros'!$F$70+'Instrumentos Financeiros'!$F$11+1),PMT(((1+'Instrumentos Financeiros'!$J$43)^(1/12)-1),$F$11,-$I$70),0)</f>
        <v>0</v>
      </c>
      <c r="AW289" s="1312">
        <f t="shared" si="184"/>
        <v>0</v>
      </c>
      <c r="AX289" s="1312">
        <f>AY288*((1+'Instrumentos Financeiros'!$J$43)^(1/12)-1)</f>
        <v>0</v>
      </c>
      <c r="AY289" s="1312">
        <f t="shared" si="202"/>
        <v>0</v>
      </c>
      <c r="AZ289" s="1312">
        <f>IF(AND(C289&gt;$F$71,'Instrumentos Financeiros'!C289&lt;'Instrumentos Financeiros'!$F$71+'Instrumentos Financeiros'!$F$11+1),PMT(((1+'Instrumentos Financeiros'!$J$43)^(1/12)-1),$F$11,-$I$71),0)</f>
        <v>0</v>
      </c>
      <c r="BA289" s="1312">
        <f t="shared" si="185"/>
        <v>0</v>
      </c>
      <c r="BB289" s="1312">
        <f>BC288*((1+'Instrumentos Financeiros'!$J$43)^(1/12)-1)</f>
        <v>0</v>
      </c>
      <c r="BC289" s="1312">
        <f t="shared" si="203"/>
        <v>0</v>
      </c>
      <c r="BD289" s="1312">
        <f>IF(AND(C289&gt;$F$72,'Instrumentos Financeiros'!C289&lt;'Instrumentos Financeiros'!$F$72+'Instrumentos Financeiros'!$F$11+1),PMT(((1+'Instrumentos Financeiros'!$J$43)^(1/12)-1),$F$11,-'Instrumentos Financeiros'!$G$7*$G$72),0)</f>
        <v>0</v>
      </c>
      <c r="BE289" s="1312">
        <f t="shared" si="186"/>
        <v>0</v>
      </c>
      <c r="BF289" s="1312">
        <f>BG288*((1+'Instrumentos Financeiros'!$J$43)^(1/12)-1)</f>
        <v>0</v>
      </c>
      <c r="BG289" s="1312">
        <f t="shared" si="204"/>
        <v>0</v>
      </c>
      <c r="BH289" s="1312">
        <f>IF(AND(C289&gt;$F$73,'Instrumentos Financeiros'!C289&lt;'Instrumentos Financeiros'!$F$73+'Instrumentos Financeiros'!$F$11+1),PMT(((1+'Instrumentos Financeiros'!$J$43)^(1/12)-1),$F$11,-$I$73),0)</f>
        <v>0</v>
      </c>
      <c r="BI289" s="1312">
        <f t="shared" si="187"/>
        <v>0</v>
      </c>
      <c r="BJ289" s="1312">
        <f>BK288*((1+'Instrumentos Financeiros'!$J$43)^(1/12)-1)</f>
        <v>0</v>
      </c>
      <c r="BK289" s="1312">
        <f t="shared" si="205"/>
        <v>0</v>
      </c>
      <c r="BL289" s="1312">
        <f>IF(AND(C289&gt;$F$77,'Instrumentos Financeiros'!C289&lt;'Instrumentos Financeiros'!$F$77+'Instrumentos Financeiros'!$F$12+1),PMT(((1+'Instrumentos Financeiros'!$K$43)^(1/12)-1),$F$12,-$I$77),0)</f>
        <v>368.57912678094596</v>
      </c>
      <c r="BM289" s="1312">
        <f t="shared" si="206"/>
        <v>259.86586550073264</v>
      </c>
      <c r="BN289" s="1312">
        <f>BO288*((1+'Instrumentos Financeiros'!$K$43)^(1/12)-1)</f>
        <v>108.71326128021329</v>
      </c>
      <c r="BO289" s="1312">
        <f t="shared" si="207"/>
        <v>24881.898646370133</v>
      </c>
      <c r="BP289" s="1312">
        <f>IF(AND(C289&gt;$F$78,'Instrumentos Financeiros'!C289&lt;'Instrumentos Financeiros'!$F$78+'Instrumentos Financeiros'!$F$12+1),PMT(((1+'Instrumentos Financeiros'!$L$43)^(1/12)-1),$F$12,-$I$78),0)</f>
        <v>368.57912678094596</v>
      </c>
      <c r="BQ289" s="1312">
        <f t="shared" si="208"/>
        <v>256.52382071698111</v>
      </c>
      <c r="BR289" s="1312">
        <f>BS288*((1+'Instrumentos Financeiros'!$L$43)^(1/12)-1)</f>
        <v>112.05530606396484</v>
      </c>
      <c r="BS289" s="1312">
        <f t="shared" si="209"/>
        <v>25658.144584862213</v>
      </c>
      <c r="BT289" s="1312">
        <f>IF(AND(C289&gt;$F$79,'Instrumentos Financeiros'!C289&lt;'Instrumentos Financeiros'!$F$79+'Instrumentos Financeiros'!$F$12+1),PMT(((1+'Instrumentos Financeiros'!$L$43)^(1/12)-1),$F$12,-$I$79),0)</f>
        <v>368.57912678094596</v>
      </c>
      <c r="BU289" s="1312">
        <f t="shared" si="210"/>
        <v>253.2247568122884</v>
      </c>
      <c r="BV289" s="1312">
        <f>BW288*((1+'Instrumentos Financeiros'!$L$43)^(1/12)-1)</f>
        <v>115.35436996865755</v>
      </c>
      <c r="BW289" s="1312">
        <f t="shared" si="211"/>
        <v>26424.407493514467</v>
      </c>
      <c r="BX289" s="1312">
        <f>IF(AND(C289&gt;$F$80,'Instrumentos Financeiros'!C289&lt;'Instrumentos Financeiros'!$F$80+'Instrumentos Financeiros'!$F$12+1),PMT(((1+'Instrumentos Financeiros'!$L$43)^(1/12)-1),$F$12,-$I$80),0)</f>
        <v>368.57912678094596</v>
      </c>
      <c r="BY289" s="1312">
        <f t="shared" si="212"/>
        <v>249.96812102447319</v>
      </c>
      <c r="BZ289" s="1312">
        <f>CA288*((1+'Instrumentos Financeiros'!$L$43)^(1/12)-1)</f>
        <v>118.61100575647278</v>
      </c>
      <c r="CA289" s="1312">
        <f t="shared" si="213"/>
        <v>27180.815760611898</v>
      </c>
      <c r="CB289" s="1312">
        <f>IF(AND(C289&gt;$F$83,'Instrumentos Financeiros'!C289&lt;'Instrumentos Financeiros'!$F$83+'Instrumentos Financeiros'!$F$13+1),PMT(((1+'Instrumentos Financeiros'!$P$43)^(1/12)-1),$F$13,-$I$83),0)</f>
        <v>30503.390100238979</v>
      </c>
      <c r="CC289" s="1312">
        <f t="shared" si="214"/>
        <v>15763.393610054505</v>
      </c>
      <c r="CD289" s="1312">
        <f>CE288*((1+'Instrumentos Financeiros'!$P$43)^(1/12)-1)</f>
        <v>14739.996490184474</v>
      </c>
      <c r="CE289" s="1312">
        <f t="shared" si="215"/>
        <v>3393107.9464448635</v>
      </c>
      <c r="CF289" s="1312">
        <f>IF(AND(C289&gt;$F$84,'Instrumentos Financeiros'!C289&lt;'Instrumentos Financeiros'!$F$84+'Instrumentos Financeiros'!$F$13+1),PMT(((1+'Instrumentos Financeiros'!$Q$43)^(1/12)-1),$F$13,-$I$84),0)</f>
        <v>30503.390100238979</v>
      </c>
      <c r="CG289" s="1312">
        <f t="shared" si="216"/>
        <v>15560.666071032816</v>
      </c>
      <c r="CH289" s="1312">
        <f>CI288*((1+'Instrumentos Financeiros'!$Q$43)^(1/12)-1)</f>
        <v>14942.724029206163</v>
      </c>
      <c r="CI289" s="1312">
        <f t="shared" si="217"/>
        <v>3440194.8166002757</v>
      </c>
      <c r="CJ289" s="1312">
        <f>IF(AND(C289&gt;$F$85,'Instrumentos Financeiros'!C289&lt;'Instrumentos Financeiros'!$F$85+'Instrumentos Financeiros'!$F$13+1),PMT(((1+'Instrumentos Financeiros'!$Q$43)^(1/12)-1),$F$13,-$I$85),0)</f>
        <v>30503.390100238979</v>
      </c>
      <c r="CK289" s="1312">
        <f t="shared" si="218"/>
        <v>15360.545740591615</v>
      </c>
      <c r="CL289" s="1312">
        <f>CM288*((1+'Instrumentos Financeiros'!$Q$43)^(1/12)-1)</f>
        <v>15142.844359647364</v>
      </c>
      <c r="CM289" s="1312">
        <f t="shared" si="219"/>
        <v>3486676.1188467098</v>
      </c>
      <c r="CN289" s="1312">
        <f>IF(AND(C289&gt;$F$86,'Instrumentos Financeiros'!C289&lt;'Instrumentos Financeiros'!$F$86+'Instrumentos Financeiros'!$F$13+1),PMT(((1+'Instrumentos Financeiros'!$Q$43)^(1/12)-1),$F$13,-$I$86),0)</f>
        <v>30503.390100238979</v>
      </c>
      <c r="CO289" s="1312">
        <f t="shared" si="220"/>
        <v>15162.999088325441</v>
      </c>
      <c r="CP289" s="1312">
        <f>CQ288*((1+'Instrumentos Financeiros'!$Q$43)^(1/12)-1)</f>
        <v>15340.391011913538</v>
      </c>
      <c r="CQ289" s="1312">
        <f t="shared" si="221"/>
        <v>3532559.6411830536</v>
      </c>
      <c r="CR289" s="1312">
        <f t="shared" si="190"/>
        <v>521803.11063210916</v>
      </c>
      <c r="CS289" s="1312">
        <f t="shared" si="190"/>
        <v>360682.83890971058</v>
      </c>
      <c r="CT289" s="1312">
        <f t="shared" si="190"/>
        <v>161120.27172239858</v>
      </c>
      <c r="CU289" s="1312">
        <f t="shared" si="190"/>
        <v>37137321.806857206</v>
      </c>
    </row>
    <row r="290" spans="3:99" x14ac:dyDescent="0.35">
      <c r="C290" s="1315">
        <f t="shared" si="191"/>
        <v>197</v>
      </c>
      <c r="D290" s="1312">
        <f>IF(AND(C290&gt;$F$59,'Instrumentos Financeiros'!C290&lt;'Instrumentos Financeiros'!$F$59+'Instrumentos Financeiros'!$F$11+1),PMT(((1+'Instrumentos Financeiros'!$G$43)^(1/12)-1),$F$11,-$I$59),0)</f>
        <v>91768.589635900134</v>
      </c>
      <c r="E290" s="1312">
        <f t="shared" si="188"/>
        <v>74858.184257674206</v>
      </c>
      <c r="F290" s="1312">
        <f>G289*((1+'Instrumentos Financeiros'!$G$43)^(1/12)-1)</f>
        <v>16910.405378225922</v>
      </c>
      <c r="G290" s="1312">
        <f t="shared" si="222"/>
        <v>4068020.6939587314</v>
      </c>
      <c r="H290" s="1312">
        <f>IF(AND(C290&gt;$F$60,'Instrumentos Financeiros'!C290&lt;'Instrumentos Financeiros'!$F$60+'Instrumentos Financeiros'!$F$11+1),PMT(((1+'Instrumentos Financeiros'!$G$43)^(1/12)-1),$F$11,-$I$60),0)</f>
        <v>0</v>
      </c>
      <c r="I290" s="1312">
        <f t="shared" si="174"/>
        <v>0</v>
      </c>
      <c r="J290" s="1312">
        <f>K289*((1+'Instrumentos Financeiros'!$G$43)^(1/12)-1)</f>
        <v>0</v>
      </c>
      <c r="K290" s="1312">
        <f t="shared" si="192"/>
        <v>0</v>
      </c>
      <c r="L290" s="1312">
        <f>IF(AND(C290&gt;$F$61,'Instrumentos Financeiros'!C290&lt;'Instrumentos Financeiros'!$F$61+'Instrumentos Financeiros'!$F$11+1),PMT(((1+'Instrumentos Financeiros'!$G$43)^(1/12)-1),$F$11,-$I$61),0)</f>
        <v>0</v>
      </c>
      <c r="M290" s="1312">
        <f t="shared" si="175"/>
        <v>0</v>
      </c>
      <c r="N290" s="1312">
        <f>O289*((1+'Instrumentos Financeiros'!$G$43)^(1/12)-1)</f>
        <v>0</v>
      </c>
      <c r="O290" s="1312">
        <f t="shared" si="193"/>
        <v>0</v>
      </c>
      <c r="P290" s="1312">
        <f>IF(AND(C290&gt;$F$62,'Instrumentos Financeiros'!C290&lt;'Instrumentos Financeiros'!$F$62+'Instrumentos Financeiros'!$F$11+1),PMT(((1+'Instrumentos Financeiros'!$H$43)^(1/12)-1),$F$11,-$I$62),0)</f>
        <v>0</v>
      </c>
      <c r="Q290" s="1312">
        <f t="shared" si="176"/>
        <v>0</v>
      </c>
      <c r="R290" s="1312">
        <f>S289*((1+'Instrumentos Financeiros'!$H$43)^(1/12)-1)</f>
        <v>0</v>
      </c>
      <c r="S290" s="1312">
        <f t="shared" si="194"/>
        <v>0</v>
      </c>
      <c r="T290" s="1312">
        <f>IF(AND(C290&gt;$F$63,'Instrumentos Financeiros'!C290&lt;'Instrumentos Financeiros'!$F$63+'Instrumentos Financeiros'!$F$11+1),PMT(((1+'Instrumentos Financeiros'!$H$43)^(1/12)-1),$F$11,-$I$63),0)</f>
        <v>0</v>
      </c>
      <c r="U290" s="1312">
        <f t="shared" si="177"/>
        <v>0</v>
      </c>
      <c r="V290" s="1312">
        <f>W289*((1+'Instrumentos Financeiros'!$H$43)^(1/12)-1)</f>
        <v>0</v>
      </c>
      <c r="W290" s="1312">
        <f t="shared" si="195"/>
        <v>0</v>
      </c>
      <c r="X290" s="1312">
        <f>IF(AND(C290&gt;$F$64,'Instrumentos Financeiros'!C290&lt;'Instrumentos Financeiros'!$F$64+'Instrumentos Financeiros'!$F$11+1),PMT(((1+'Instrumentos Financeiros'!$H$43)^(1/12)-1),$F$11,-$I$64),0)</f>
        <v>0</v>
      </c>
      <c r="Y290" s="1312">
        <f t="shared" si="178"/>
        <v>0</v>
      </c>
      <c r="Z290" s="1312">
        <f>AA289*((1+'Instrumentos Financeiros'!$H$43)^(1/12)-1)</f>
        <v>0</v>
      </c>
      <c r="AA290" s="1312">
        <f t="shared" si="196"/>
        <v>0</v>
      </c>
      <c r="AB290" s="1312">
        <f>IF(AND(C290&gt;$F$65,'Instrumentos Financeiros'!C290&lt;'Instrumentos Financeiros'!$F$65+'Instrumentos Financeiros'!$F$11+1),PMT(((1+'Instrumentos Financeiros'!$H$43)^(1/12)-1),$F$11,-$I$65),0)</f>
        <v>76636.661022032335</v>
      </c>
      <c r="AC290" s="1312">
        <f t="shared" si="179"/>
        <v>57149.846540912418</v>
      </c>
      <c r="AD290" s="1312">
        <f>AE289*((1+'Instrumentos Financeiros'!$H$43)^(1/12)-1)</f>
        <v>19486.81448111992</v>
      </c>
      <c r="AE290" s="1312">
        <f t="shared" si="197"/>
        <v>4449502.7458048193</v>
      </c>
      <c r="AF290" s="1312">
        <f>IF(AND(C290&gt;$F$66,'Instrumentos Financeiros'!C290&lt;'Instrumentos Financeiros'!$F$66+'Instrumentos Financeiros'!$F$11+1),PMT(((1+'Instrumentos Financeiros'!$I$43)^(1/12)-1),$F$11,-$I$66),0)</f>
        <v>76636.661022032335</v>
      </c>
      <c r="AG290" s="1312">
        <f t="shared" si="180"/>
        <v>56414.862182130906</v>
      </c>
      <c r="AH290" s="1312">
        <f>AI289*((1+'Instrumentos Financeiros'!$I$43)^(1/12)-1)</f>
        <v>20221.798839901428</v>
      </c>
      <c r="AI290" s="1312">
        <f t="shared" si="198"/>
        <v>4620215.1869226536</v>
      </c>
      <c r="AJ290" s="1312">
        <f>IF(AND(C290&gt;$F$67,'Instrumentos Financeiros'!C290&lt;'Instrumentos Financeiros'!$F$67+'Instrumentos Financeiros'!$F$11+1),PMT(((1+'Instrumentos Financeiros'!$I$43)^(1/12)-1),$F$11,-$I$67),0)</f>
        <v>76636.661022032335</v>
      </c>
      <c r="AK290" s="1312">
        <f t="shared" si="181"/>
        <v>55689.330202320649</v>
      </c>
      <c r="AL290" s="1312">
        <f>AM289*((1+'Instrumentos Financeiros'!$I$43)^(1/12)-1)</f>
        <v>20947.330819711689</v>
      </c>
      <c r="AM290" s="1312">
        <f t="shared" si="199"/>
        <v>4788732.1545324158</v>
      </c>
      <c r="AN290" s="1312">
        <f>IF(AND(C290&gt;$F$68,'Instrumentos Financeiros'!C290&lt;'Instrumentos Financeiros'!$F$68+'Instrumentos Financeiros'!$F$11+1),PMT(((1+'Instrumentos Financeiros'!$I$43)^(1/12)-1),$F$11,-$I$68),0)</f>
        <v>76636.661022032335</v>
      </c>
      <c r="AO290" s="1312">
        <f t="shared" si="182"/>
        <v>54973.129037713443</v>
      </c>
      <c r="AP290" s="1312">
        <f>AQ289*((1+'Instrumentos Financeiros'!$I$43)^(1/12)-1)</f>
        <v>21663.531984318895</v>
      </c>
      <c r="AQ290" s="1312">
        <f t="shared" si="200"/>
        <v>4955081.883857578</v>
      </c>
      <c r="AR290" s="1312">
        <f>IF(AND(C290&gt;$F$69,'Instrumentos Financeiros'!C290&lt;'Instrumentos Financeiros'!$F$69+'Instrumentos Financeiros'!$F$11+1),PMT(((1+'Instrumentos Financeiros'!$I$43)^(1/12)-1),$F$11,-$I$69),0)</f>
        <v>0</v>
      </c>
      <c r="AS290" s="1312">
        <f t="shared" si="183"/>
        <v>0</v>
      </c>
      <c r="AT290" s="1312">
        <f>AU289*((1+'Instrumentos Financeiros'!$I$43)^(1/12)-1)</f>
        <v>0</v>
      </c>
      <c r="AU290" s="1312">
        <f t="shared" si="201"/>
        <v>0</v>
      </c>
      <c r="AV290" s="1312">
        <f>IF(AND(C290&gt;$F$70,'Instrumentos Financeiros'!C290&lt;'Instrumentos Financeiros'!$F$70+'Instrumentos Financeiros'!$F$11+1),PMT(((1+'Instrumentos Financeiros'!$J$43)^(1/12)-1),$F$11,-$I$70),0)</f>
        <v>0</v>
      </c>
      <c r="AW290" s="1312">
        <f t="shared" si="184"/>
        <v>0</v>
      </c>
      <c r="AX290" s="1312">
        <f>AY289*((1+'Instrumentos Financeiros'!$J$43)^(1/12)-1)</f>
        <v>0</v>
      </c>
      <c r="AY290" s="1312">
        <f t="shared" si="202"/>
        <v>0</v>
      </c>
      <c r="AZ290" s="1312">
        <f>IF(AND(C290&gt;$F$71,'Instrumentos Financeiros'!C290&lt;'Instrumentos Financeiros'!$F$71+'Instrumentos Financeiros'!$F$11+1),PMT(((1+'Instrumentos Financeiros'!$J$43)^(1/12)-1),$F$11,-$I$71),0)</f>
        <v>0</v>
      </c>
      <c r="BA290" s="1312">
        <f t="shared" si="185"/>
        <v>0</v>
      </c>
      <c r="BB290" s="1312">
        <f>BC289*((1+'Instrumentos Financeiros'!$J$43)^(1/12)-1)</f>
        <v>0</v>
      </c>
      <c r="BC290" s="1312">
        <f t="shared" si="203"/>
        <v>0</v>
      </c>
      <c r="BD290" s="1312">
        <f>IF(AND(C290&gt;$F$72,'Instrumentos Financeiros'!C290&lt;'Instrumentos Financeiros'!$F$72+'Instrumentos Financeiros'!$F$11+1),PMT(((1+'Instrumentos Financeiros'!$J$43)^(1/12)-1),$F$11,-'Instrumentos Financeiros'!$G$7*$G$72),0)</f>
        <v>0</v>
      </c>
      <c r="BE290" s="1312">
        <f t="shared" si="186"/>
        <v>0</v>
      </c>
      <c r="BF290" s="1312">
        <f>BG289*((1+'Instrumentos Financeiros'!$J$43)^(1/12)-1)</f>
        <v>0</v>
      </c>
      <c r="BG290" s="1312">
        <f t="shared" si="204"/>
        <v>0</v>
      </c>
      <c r="BH290" s="1312">
        <f>IF(AND(C290&gt;$F$73,'Instrumentos Financeiros'!C290&lt;'Instrumentos Financeiros'!$F$73+'Instrumentos Financeiros'!$F$11+1),PMT(((1+'Instrumentos Financeiros'!$J$43)^(1/12)-1),$F$11,-$I$73),0)</f>
        <v>0</v>
      </c>
      <c r="BI290" s="1312">
        <f t="shared" si="187"/>
        <v>0</v>
      </c>
      <c r="BJ290" s="1312">
        <f>BK289*((1+'Instrumentos Financeiros'!$J$43)^(1/12)-1)</f>
        <v>0</v>
      </c>
      <c r="BK290" s="1312">
        <f t="shared" si="205"/>
        <v>0</v>
      </c>
      <c r="BL290" s="1312">
        <f>IF(AND(C290&gt;$F$77,'Instrumentos Financeiros'!C290&lt;'Instrumentos Financeiros'!$F$77+'Instrumentos Financeiros'!$F$12+1),PMT(((1+'Instrumentos Financeiros'!$K$43)^(1/12)-1),$F$12,-$I$77),0)</f>
        <v>368.57912678094596</v>
      </c>
      <c r="BM290" s="1312">
        <f t="shared" si="206"/>
        <v>260.9895283097074</v>
      </c>
      <c r="BN290" s="1312">
        <f>BO289*((1+'Instrumentos Financeiros'!$K$43)^(1/12)-1)</f>
        <v>107.58959847123856</v>
      </c>
      <c r="BO290" s="1312">
        <f t="shared" si="207"/>
        <v>24620.909118060426</v>
      </c>
      <c r="BP290" s="1312">
        <f>IF(AND(C290&gt;$F$78,'Instrumentos Financeiros'!C290&lt;'Instrumentos Financeiros'!$F$78+'Instrumentos Financeiros'!$F$12+1),PMT(((1+'Instrumentos Financeiros'!$L$43)^(1/12)-1),$F$12,-$I$78),0)</f>
        <v>368.57912678094596</v>
      </c>
      <c r="BQ290" s="1312">
        <f t="shared" si="208"/>
        <v>257.63303248821683</v>
      </c>
      <c r="BR290" s="1312">
        <f>BS289*((1+'Instrumentos Financeiros'!$L$43)^(1/12)-1)</f>
        <v>110.94609429272911</v>
      </c>
      <c r="BS290" s="1312">
        <f t="shared" si="209"/>
        <v>25400.511552373995</v>
      </c>
      <c r="BT290" s="1312">
        <f>IF(AND(C290&gt;$F$79,'Instrumentos Financeiros'!C290&lt;'Instrumentos Financeiros'!$F$79+'Instrumentos Financeiros'!$F$12+1),PMT(((1+'Instrumentos Financeiros'!$L$43)^(1/12)-1),$F$12,-$I$79),0)</f>
        <v>368.57912678094596</v>
      </c>
      <c r="BU290" s="1312">
        <f t="shared" si="210"/>
        <v>254.31970339557034</v>
      </c>
      <c r="BV290" s="1312">
        <f>BW289*((1+'Instrumentos Financeiros'!$L$43)^(1/12)-1)</f>
        <v>114.2594233853756</v>
      </c>
      <c r="BW290" s="1312">
        <f t="shared" si="211"/>
        <v>26170.087790118898</v>
      </c>
      <c r="BX290" s="1312">
        <f>IF(AND(C290&gt;$F$80,'Instrumentos Financeiros'!C290&lt;'Instrumentos Financeiros'!$F$80+'Instrumentos Financeiros'!$F$12+1),PMT(((1+'Instrumentos Financeiros'!$L$43)^(1/12)-1),$F$12,-$I$80),0)</f>
        <v>368.57912678094596</v>
      </c>
      <c r="BY290" s="1312">
        <f t="shared" si="212"/>
        <v>251.048985879437</v>
      </c>
      <c r="BZ290" s="1312">
        <f>CA289*((1+'Instrumentos Financeiros'!$L$43)^(1/12)-1)</f>
        <v>117.53014090150897</v>
      </c>
      <c r="CA290" s="1312">
        <f t="shared" si="213"/>
        <v>26929.766774732463</v>
      </c>
      <c r="CB290" s="1312">
        <f>IF(AND(C290&gt;$F$83,'Instrumentos Financeiros'!C290&lt;'Instrumentos Financeiros'!$F$83+'Instrumentos Financeiros'!$F$13+1),PMT(((1+'Instrumentos Financeiros'!$P$43)^(1/12)-1),$F$13,-$I$83),0)</f>
        <v>30503.390100238979</v>
      </c>
      <c r="CC290" s="1312">
        <f t="shared" si="214"/>
        <v>15831.554694268925</v>
      </c>
      <c r="CD290" s="1312">
        <f>CE289*((1+'Instrumentos Financeiros'!$P$43)^(1/12)-1)</f>
        <v>14671.835405970054</v>
      </c>
      <c r="CE290" s="1312">
        <f t="shared" si="215"/>
        <v>3377276.3917505946</v>
      </c>
      <c r="CF290" s="1312">
        <f>IF(AND(C290&gt;$F$84,'Instrumentos Financeiros'!C290&lt;'Instrumentos Financeiros'!$F$84+'Instrumentos Financeiros'!$F$13+1),PMT(((1+'Instrumentos Financeiros'!$Q$43)^(1/12)-1),$F$13,-$I$84),0)</f>
        <v>30503.390100238979</v>
      </c>
      <c r="CG290" s="1312">
        <f t="shared" si="216"/>
        <v>15627.950559179048</v>
      </c>
      <c r="CH290" s="1312">
        <f>CI289*((1+'Instrumentos Financeiros'!$Q$43)^(1/12)-1)</f>
        <v>14875.439541059932</v>
      </c>
      <c r="CI290" s="1312">
        <f t="shared" si="217"/>
        <v>3424566.8660410969</v>
      </c>
      <c r="CJ290" s="1312">
        <f>IF(AND(C290&gt;$F$85,'Instrumentos Financeiros'!C290&lt;'Instrumentos Financeiros'!$F$85+'Instrumentos Financeiros'!$F$13+1),PMT(((1+'Instrumentos Financeiros'!$Q$43)^(1/12)-1),$F$13,-$I$85),0)</f>
        <v>30503.390100238979</v>
      </c>
      <c r="CK290" s="1312">
        <f t="shared" si="218"/>
        <v>15426.964906267724</v>
      </c>
      <c r="CL290" s="1312">
        <f>CM289*((1+'Instrumentos Financeiros'!$Q$43)^(1/12)-1)</f>
        <v>15076.425193971256</v>
      </c>
      <c r="CM290" s="1312">
        <f t="shared" si="219"/>
        <v>3471249.153940442</v>
      </c>
      <c r="CN290" s="1312">
        <f>IF(AND(C290&gt;$F$86,'Instrumentos Financeiros'!C290&lt;'Instrumentos Financeiros'!$F$86+'Instrumentos Financeiros'!$F$13+1),PMT(((1+'Instrumentos Financeiros'!$Q$43)^(1/12)-1),$F$13,-$I$86),0)</f>
        <v>30503.390100238979</v>
      </c>
      <c r="CO290" s="1312">
        <f t="shared" si="220"/>
        <v>15228.564060143646</v>
      </c>
      <c r="CP290" s="1312">
        <f>CQ289*((1+'Instrumentos Financeiros'!$Q$43)^(1/12)-1)</f>
        <v>15274.826040095333</v>
      </c>
      <c r="CQ290" s="1312">
        <f t="shared" si="221"/>
        <v>3517331.0771229099</v>
      </c>
      <c r="CR290" s="1312">
        <f t="shared" si="190"/>
        <v>521803.11063210916</v>
      </c>
      <c r="CS290" s="1312">
        <f t="shared" si="190"/>
        <v>362224.37769068399</v>
      </c>
      <c r="CT290" s="1312">
        <f t="shared" si="190"/>
        <v>159578.73294142526</v>
      </c>
      <c r="CU290" s="1312">
        <f t="shared" si="190"/>
        <v>36775097.429166533</v>
      </c>
    </row>
    <row r="291" spans="3:99" x14ac:dyDescent="0.35">
      <c r="C291" s="1315">
        <f t="shared" si="191"/>
        <v>198</v>
      </c>
      <c r="D291" s="1312">
        <f>IF(AND(C291&gt;$F$59,'Instrumentos Financeiros'!C291&lt;'Instrumentos Financeiros'!$F$59+'Instrumentos Financeiros'!$F$11+1),PMT(((1+'Instrumentos Financeiros'!$G$43)^(1/12)-1),$F$11,-$I$59),0)</f>
        <v>91768.589635900134</v>
      </c>
      <c r="E291" s="1312">
        <f t="shared" si="188"/>
        <v>75163.740437057422</v>
      </c>
      <c r="F291" s="1312">
        <f>G290*((1+'Instrumentos Financeiros'!$G$43)^(1/12)-1)</f>
        <v>16604.849198842712</v>
      </c>
      <c r="G291" s="1312">
        <f t="shared" si="222"/>
        <v>3992856.953521674</v>
      </c>
      <c r="H291" s="1312">
        <f>IF(AND(C291&gt;$F$60,'Instrumentos Financeiros'!C291&lt;'Instrumentos Financeiros'!$F$60+'Instrumentos Financeiros'!$F$11+1),PMT(((1+'Instrumentos Financeiros'!$G$43)^(1/12)-1),$F$11,-$I$60),0)</f>
        <v>0</v>
      </c>
      <c r="I291" s="1312">
        <f t="shared" si="174"/>
        <v>0</v>
      </c>
      <c r="J291" s="1312">
        <f>K290*((1+'Instrumentos Financeiros'!$G$43)^(1/12)-1)</f>
        <v>0</v>
      </c>
      <c r="K291" s="1312">
        <f t="shared" si="192"/>
        <v>0</v>
      </c>
      <c r="L291" s="1312">
        <f>IF(AND(C291&gt;$F$61,'Instrumentos Financeiros'!C291&lt;'Instrumentos Financeiros'!$F$61+'Instrumentos Financeiros'!$F$11+1),PMT(((1+'Instrumentos Financeiros'!$G$43)^(1/12)-1),$F$11,-$I$61),0)</f>
        <v>0</v>
      </c>
      <c r="M291" s="1312">
        <f t="shared" si="175"/>
        <v>0</v>
      </c>
      <c r="N291" s="1312">
        <f>O290*((1+'Instrumentos Financeiros'!$G$43)^(1/12)-1)</f>
        <v>0</v>
      </c>
      <c r="O291" s="1312">
        <f t="shared" si="193"/>
        <v>0</v>
      </c>
      <c r="P291" s="1312">
        <f>IF(AND(C291&gt;$F$62,'Instrumentos Financeiros'!C291&lt;'Instrumentos Financeiros'!$F$62+'Instrumentos Financeiros'!$F$11+1),PMT(((1+'Instrumentos Financeiros'!$H$43)^(1/12)-1),$F$11,-$I$62),0)</f>
        <v>0</v>
      </c>
      <c r="Q291" s="1312">
        <f t="shared" si="176"/>
        <v>0</v>
      </c>
      <c r="R291" s="1312">
        <f>S290*((1+'Instrumentos Financeiros'!$H$43)^(1/12)-1)</f>
        <v>0</v>
      </c>
      <c r="S291" s="1312">
        <f t="shared" si="194"/>
        <v>0</v>
      </c>
      <c r="T291" s="1312">
        <f>IF(AND(C291&gt;$F$63,'Instrumentos Financeiros'!C291&lt;'Instrumentos Financeiros'!$F$63+'Instrumentos Financeiros'!$F$11+1),PMT(((1+'Instrumentos Financeiros'!$H$43)^(1/12)-1),$F$11,-$I$63),0)</f>
        <v>0</v>
      </c>
      <c r="U291" s="1312">
        <f t="shared" si="177"/>
        <v>0</v>
      </c>
      <c r="V291" s="1312">
        <f>W290*((1+'Instrumentos Financeiros'!$H$43)^(1/12)-1)</f>
        <v>0</v>
      </c>
      <c r="W291" s="1312">
        <f t="shared" si="195"/>
        <v>0</v>
      </c>
      <c r="X291" s="1312">
        <f>IF(AND(C291&gt;$F$64,'Instrumentos Financeiros'!C291&lt;'Instrumentos Financeiros'!$F$64+'Instrumentos Financeiros'!$F$11+1),PMT(((1+'Instrumentos Financeiros'!$H$43)^(1/12)-1),$F$11,-$I$64),0)</f>
        <v>0</v>
      </c>
      <c r="Y291" s="1312">
        <f t="shared" si="178"/>
        <v>0</v>
      </c>
      <c r="Z291" s="1312">
        <f>AA290*((1+'Instrumentos Financeiros'!$H$43)^(1/12)-1)</f>
        <v>0</v>
      </c>
      <c r="AA291" s="1312">
        <f t="shared" si="196"/>
        <v>0</v>
      </c>
      <c r="AB291" s="1312">
        <f>IF(AND(C291&gt;$F$65,'Instrumentos Financeiros'!C291&lt;'Instrumentos Financeiros'!$F$65+'Instrumentos Financeiros'!$F$11+1),PMT(((1+'Instrumentos Financeiros'!$H$43)^(1/12)-1),$F$11,-$I$65),0)</f>
        <v>76636.661022032335</v>
      </c>
      <c r="AC291" s="1312">
        <f t="shared" si="179"/>
        <v>57396.963094573264</v>
      </c>
      <c r="AD291" s="1312">
        <f>AE290*((1+'Instrumentos Financeiros'!$H$43)^(1/12)-1)</f>
        <v>19239.697927459067</v>
      </c>
      <c r="AE291" s="1312">
        <f t="shared" si="197"/>
        <v>4392105.7827102458</v>
      </c>
      <c r="AF291" s="1312">
        <f>IF(AND(C291&gt;$F$66,'Instrumentos Financeiros'!C291&lt;'Instrumentos Financeiros'!$F$66+'Instrumentos Financeiros'!$F$11+1),PMT(((1+'Instrumentos Financeiros'!$I$43)^(1/12)-1),$F$11,-$I$66),0)</f>
        <v>76636.661022032335</v>
      </c>
      <c r="AG291" s="1312">
        <f t="shared" si="180"/>
        <v>56658.800655486564</v>
      </c>
      <c r="AH291" s="1312">
        <f>AI290*((1+'Instrumentos Financeiros'!$I$43)^(1/12)-1)</f>
        <v>19977.86036654577</v>
      </c>
      <c r="AI291" s="1312">
        <f t="shared" si="198"/>
        <v>4563556.3862671666</v>
      </c>
      <c r="AJ291" s="1312">
        <f>IF(AND(C291&gt;$F$67,'Instrumentos Financeiros'!C291&lt;'Instrumentos Financeiros'!$F$67+'Instrumentos Financeiros'!$F$11+1),PMT(((1+'Instrumentos Financeiros'!$I$43)^(1/12)-1),$F$11,-$I$67),0)</f>
        <v>76636.661022032335</v>
      </c>
      <c r="AK291" s="1312">
        <f t="shared" si="181"/>
        <v>55930.131467559862</v>
      </c>
      <c r="AL291" s="1312">
        <f>AM290*((1+'Instrumentos Financeiros'!$I$43)^(1/12)-1)</f>
        <v>20706.529554472472</v>
      </c>
      <c r="AM291" s="1312">
        <f t="shared" si="199"/>
        <v>4732802.0230648555</v>
      </c>
      <c r="AN291" s="1312">
        <f>IF(AND(C291&gt;$F$68,'Instrumentos Financeiros'!C291&lt;'Instrumentos Financeiros'!$F$68+'Instrumentos Financeiros'!$F$11+1),PMT(((1+'Instrumentos Financeiros'!$I$43)^(1/12)-1),$F$11,-$I$68),0)</f>
        <v>76636.661022032335</v>
      </c>
      <c r="AO291" s="1312">
        <f t="shared" si="182"/>
        <v>55210.833441381925</v>
      </c>
      <c r="AP291" s="1312">
        <f>AQ290*((1+'Instrumentos Financeiros'!$I$43)^(1/12)-1)</f>
        <v>21425.827580650406</v>
      </c>
      <c r="AQ291" s="1312">
        <f t="shared" si="200"/>
        <v>4899871.0504161958</v>
      </c>
      <c r="AR291" s="1312">
        <f>IF(AND(C291&gt;$F$69,'Instrumentos Financeiros'!C291&lt;'Instrumentos Financeiros'!$F$69+'Instrumentos Financeiros'!$F$11+1),PMT(((1+'Instrumentos Financeiros'!$I$43)^(1/12)-1),$F$11,-$I$69),0)</f>
        <v>0</v>
      </c>
      <c r="AS291" s="1312">
        <f t="shared" si="183"/>
        <v>0</v>
      </c>
      <c r="AT291" s="1312">
        <f>AU290*((1+'Instrumentos Financeiros'!$I$43)^(1/12)-1)</f>
        <v>0</v>
      </c>
      <c r="AU291" s="1312">
        <f t="shared" si="201"/>
        <v>0</v>
      </c>
      <c r="AV291" s="1312">
        <f>IF(AND(C291&gt;$F$70,'Instrumentos Financeiros'!C291&lt;'Instrumentos Financeiros'!$F$70+'Instrumentos Financeiros'!$F$11+1),PMT(((1+'Instrumentos Financeiros'!$J$43)^(1/12)-1),$F$11,-$I$70),0)</f>
        <v>0</v>
      </c>
      <c r="AW291" s="1312">
        <f t="shared" si="184"/>
        <v>0</v>
      </c>
      <c r="AX291" s="1312">
        <f>AY290*((1+'Instrumentos Financeiros'!$J$43)^(1/12)-1)</f>
        <v>0</v>
      </c>
      <c r="AY291" s="1312">
        <f t="shared" si="202"/>
        <v>0</v>
      </c>
      <c r="AZ291" s="1312">
        <f>IF(AND(C291&gt;$F$71,'Instrumentos Financeiros'!C291&lt;'Instrumentos Financeiros'!$F$71+'Instrumentos Financeiros'!$F$11+1),PMT(((1+'Instrumentos Financeiros'!$J$43)^(1/12)-1),$F$11,-$I$71),0)</f>
        <v>0</v>
      </c>
      <c r="BA291" s="1312">
        <f t="shared" si="185"/>
        <v>0</v>
      </c>
      <c r="BB291" s="1312">
        <f>BC290*((1+'Instrumentos Financeiros'!$J$43)^(1/12)-1)</f>
        <v>0</v>
      </c>
      <c r="BC291" s="1312">
        <f t="shared" si="203"/>
        <v>0</v>
      </c>
      <c r="BD291" s="1312">
        <f>IF(AND(C291&gt;$F$72,'Instrumentos Financeiros'!C291&lt;'Instrumentos Financeiros'!$F$72+'Instrumentos Financeiros'!$F$11+1),PMT(((1+'Instrumentos Financeiros'!$J$43)^(1/12)-1),$F$11,-'Instrumentos Financeiros'!$G$7*$G$72),0)</f>
        <v>0</v>
      </c>
      <c r="BE291" s="1312">
        <f t="shared" si="186"/>
        <v>0</v>
      </c>
      <c r="BF291" s="1312">
        <f>BG290*((1+'Instrumentos Financeiros'!$J$43)^(1/12)-1)</f>
        <v>0</v>
      </c>
      <c r="BG291" s="1312">
        <f t="shared" si="204"/>
        <v>0</v>
      </c>
      <c r="BH291" s="1312">
        <f>IF(AND(C291&gt;$F$73,'Instrumentos Financeiros'!C291&lt;'Instrumentos Financeiros'!$F$73+'Instrumentos Financeiros'!$F$11+1),PMT(((1+'Instrumentos Financeiros'!$J$43)^(1/12)-1),$F$11,-$I$73),0)</f>
        <v>0</v>
      </c>
      <c r="BI291" s="1312">
        <f t="shared" si="187"/>
        <v>0</v>
      </c>
      <c r="BJ291" s="1312">
        <f>BK290*((1+'Instrumentos Financeiros'!$J$43)^(1/12)-1)</f>
        <v>0</v>
      </c>
      <c r="BK291" s="1312">
        <f t="shared" si="205"/>
        <v>0</v>
      </c>
      <c r="BL291" s="1312">
        <f>IF(AND(C291&gt;$F$77,'Instrumentos Financeiros'!C291&lt;'Instrumentos Financeiros'!$F$77+'Instrumentos Financeiros'!$F$12+1),PMT(((1+'Instrumentos Financeiros'!$K$43)^(1/12)-1),$F$12,-$I$77),0)</f>
        <v>368.57912678094596</v>
      </c>
      <c r="BM291" s="1312">
        <f t="shared" si="206"/>
        <v>262.11804984880371</v>
      </c>
      <c r="BN291" s="1312">
        <f>BO290*((1+'Instrumentos Financeiros'!$K$43)^(1/12)-1)</f>
        <v>106.46107693214228</v>
      </c>
      <c r="BO291" s="1312">
        <f t="shared" si="207"/>
        <v>24358.791068211623</v>
      </c>
      <c r="BP291" s="1312">
        <f>IF(AND(C291&gt;$F$78,'Instrumentos Financeiros'!C291&lt;'Instrumentos Financeiros'!$F$78+'Instrumentos Financeiros'!$F$12+1),PMT(((1+'Instrumentos Financeiros'!$L$43)^(1/12)-1),$F$12,-$I$78),0)</f>
        <v>368.57912678094596</v>
      </c>
      <c r="BQ291" s="1312">
        <f t="shared" si="208"/>
        <v>258.74704050313085</v>
      </c>
      <c r="BR291" s="1312">
        <f>BS290*((1+'Instrumentos Financeiros'!$L$43)^(1/12)-1)</f>
        <v>109.83208627781508</v>
      </c>
      <c r="BS291" s="1312">
        <f t="shared" si="209"/>
        <v>25141.764511870864</v>
      </c>
      <c r="BT291" s="1312">
        <f>IF(AND(C291&gt;$F$79,'Instrumentos Financeiros'!C291&lt;'Instrumentos Financeiros'!$F$79+'Instrumentos Financeiros'!$F$12+1),PMT(((1+'Instrumentos Financeiros'!$L$43)^(1/12)-1),$F$12,-$I$79),0)</f>
        <v>368.57912678094596</v>
      </c>
      <c r="BU291" s="1312">
        <f t="shared" si="210"/>
        <v>255.41938453970386</v>
      </c>
      <c r="BV291" s="1312">
        <f>BW290*((1+'Instrumentos Financeiros'!$L$43)^(1/12)-1)</f>
        <v>113.15974224124211</v>
      </c>
      <c r="BW291" s="1312">
        <f t="shared" si="211"/>
        <v>25914.668405579196</v>
      </c>
      <c r="BX291" s="1312">
        <f>IF(AND(C291&gt;$F$80,'Instrumentos Financeiros'!C291&lt;'Instrumentos Financeiros'!$F$80+'Instrumentos Financeiros'!$F$12+1),PMT(((1+'Instrumentos Financeiros'!$L$43)^(1/12)-1),$F$12,-$I$80),0)</f>
        <v>368.57912678094596</v>
      </c>
      <c r="BY291" s="1312">
        <f t="shared" si="212"/>
        <v>252.134524405707</v>
      </c>
      <c r="BZ291" s="1312">
        <f>CA290*((1+'Instrumentos Financeiros'!$L$43)^(1/12)-1)</f>
        <v>116.44460237523897</v>
      </c>
      <c r="CA291" s="1312">
        <f t="shared" si="213"/>
        <v>26677.632250326755</v>
      </c>
      <c r="CB291" s="1312">
        <f>IF(AND(C291&gt;$F$83,'Instrumentos Financeiros'!C291&lt;'Instrumentos Financeiros'!$F$83+'Instrumentos Financeiros'!$F$13+1),PMT(((1+'Instrumentos Financeiros'!$P$43)^(1/12)-1),$F$13,-$I$83),0)</f>
        <v>30503.390100238979</v>
      </c>
      <c r="CC291" s="1312">
        <f t="shared" si="214"/>
        <v>15900.010507747626</v>
      </c>
      <c r="CD291" s="1312">
        <f>CE290*((1+'Instrumentos Financeiros'!$P$43)^(1/12)-1)</f>
        <v>14603.379592491354</v>
      </c>
      <c r="CE291" s="1312">
        <f t="shared" si="215"/>
        <v>3361376.3812428471</v>
      </c>
      <c r="CF291" s="1312">
        <f>IF(AND(C291&gt;$F$84,'Instrumentos Financeiros'!C291&lt;'Instrumentos Financeiros'!$F$84+'Instrumentos Financeiros'!$F$13+1),PMT(((1+'Instrumentos Financeiros'!$Q$43)^(1/12)-1),$F$13,-$I$84),0)</f>
        <v>30503.390100238979</v>
      </c>
      <c r="CG291" s="1312">
        <f t="shared" si="216"/>
        <v>15695.525986178696</v>
      </c>
      <c r="CH291" s="1312">
        <f>CI290*((1+'Instrumentos Financeiros'!$Q$43)^(1/12)-1)</f>
        <v>14807.864114060283</v>
      </c>
      <c r="CI291" s="1312">
        <f t="shared" si="217"/>
        <v>3408871.3400549181</v>
      </c>
      <c r="CJ291" s="1312">
        <f>IF(AND(C291&gt;$F$85,'Instrumentos Financeiros'!C291&lt;'Instrumentos Financeiros'!$F$85+'Instrumentos Financeiros'!$F$13+1),PMT(((1+'Instrumentos Financeiros'!$Q$43)^(1/12)-1),$F$13,-$I$85),0)</f>
        <v>30503.390100238979</v>
      </c>
      <c r="CK291" s="1312">
        <f t="shared" si="218"/>
        <v>15493.67126913354</v>
      </c>
      <c r="CL291" s="1312">
        <f>CM290*((1+'Instrumentos Financeiros'!$Q$43)^(1/12)-1)</f>
        <v>15009.71883110544</v>
      </c>
      <c r="CM291" s="1312">
        <f t="shared" si="219"/>
        <v>3455755.4826713083</v>
      </c>
      <c r="CN291" s="1312">
        <f>IF(AND(C291&gt;$F$86,'Instrumentos Financeiros'!C291&lt;'Instrumentos Financeiros'!$F$86+'Instrumentos Financeiros'!$F$13+1),PMT(((1+'Instrumentos Financeiros'!$Q$43)^(1/12)-1),$F$13,-$I$86),0)</f>
        <v>30503.390100238979</v>
      </c>
      <c r="CO291" s="1312">
        <f t="shared" si="220"/>
        <v>15294.412535608095</v>
      </c>
      <c r="CP291" s="1312">
        <f>CQ290*((1+'Instrumentos Financeiros'!$Q$43)^(1/12)-1)</f>
        <v>15208.977564630884</v>
      </c>
      <c r="CQ291" s="1312">
        <f t="shared" si="221"/>
        <v>3502036.6645873017</v>
      </c>
      <c r="CR291" s="1312">
        <f t="shared" si="190"/>
        <v>521803.11063210916</v>
      </c>
      <c r="CS291" s="1312">
        <f t="shared" si="190"/>
        <v>363772.50839402439</v>
      </c>
      <c r="CT291" s="1312">
        <f t="shared" si="190"/>
        <v>158030.60223808486</v>
      </c>
      <c r="CU291" s="1312">
        <f t="shared" si="190"/>
        <v>36411324.920772508</v>
      </c>
    </row>
    <row r="292" spans="3:99" x14ac:dyDescent="0.35">
      <c r="C292" s="1315">
        <f t="shared" si="191"/>
        <v>199</v>
      </c>
      <c r="D292" s="1312">
        <f>IF(AND(C292&gt;$F$59,'Instrumentos Financeiros'!C292&lt;'Instrumentos Financeiros'!$F$59+'Instrumentos Financeiros'!$F$11+1),PMT(((1+'Instrumentos Financeiros'!$G$43)^(1/12)-1),$F$11,-$I$59),0)</f>
        <v>91768.589635900134</v>
      </c>
      <c r="E292" s="1312">
        <f t="shared" si="188"/>
        <v>75470.543835828663</v>
      </c>
      <c r="F292" s="1312">
        <f>G291*((1+'Instrumentos Financeiros'!$G$43)^(1/12)-1)</f>
        <v>16298.045800071468</v>
      </c>
      <c r="G292" s="1312">
        <f t="shared" si="222"/>
        <v>3917386.4096858455</v>
      </c>
      <c r="H292" s="1312">
        <f>IF(AND(C292&gt;$F$60,'Instrumentos Financeiros'!C292&lt;'Instrumentos Financeiros'!$F$60+'Instrumentos Financeiros'!$F$11+1),PMT(((1+'Instrumentos Financeiros'!$G$43)^(1/12)-1),$F$11,-$I$60),0)</f>
        <v>0</v>
      </c>
      <c r="I292" s="1312">
        <f t="shared" si="174"/>
        <v>0</v>
      </c>
      <c r="J292" s="1312">
        <f>K291*((1+'Instrumentos Financeiros'!$G$43)^(1/12)-1)</f>
        <v>0</v>
      </c>
      <c r="K292" s="1312">
        <f t="shared" si="192"/>
        <v>0</v>
      </c>
      <c r="L292" s="1312">
        <f>IF(AND(C292&gt;$F$61,'Instrumentos Financeiros'!C292&lt;'Instrumentos Financeiros'!$F$61+'Instrumentos Financeiros'!$F$11+1),PMT(((1+'Instrumentos Financeiros'!$G$43)^(1/12)-1),$F$11,-$I$61),0)</f>
        <v>0</v>
      </c>
      <c r="M292" s="1312">
        <f t="shared" si="175"/>
        <v>0</v>
      </c>
      <c r="N292" s="1312">
        <f>O291*((1+'Instrumentos Financeiros'!$G$43)^(1/12)-1)</f>
        <v>0</v>
      </c>
      <c r="O292" s="1312">
        <f t="shared" si="193"/>
        <v>0</v>
      </c>
      <c r="P292" s="1312">
        <f>IF(AND(C292&gt;$F$62,'Instrumentos Financeiros'!C292&lt;'Instrumentos Financeiros'!$F$62+'Instrumentos Financeiros'!$F$11+1),PMT(((1+'Instrumentos Financeiros'!$H$43)^(1/12)-1),$F$11,-$I$62),0)</f>
        <v>0</v>
      </c>
      <c r="Q292" s="1312">
        <f t="shared" si="176"/>
        <v>0</v>
      </c>
      <c r="R292" s="1312">
        <f>S291*((1+'Instrumentos Financeiros'!$H$43)^(1/12)-1)</f>
        <v>0</v>
      </c>
      <c r="S292" s="1312">
        <f t="shared" si="194"/>
        <v>0</v>
      </c>
      <c r="T292" s="1312">
        <f>IF(AND(C292&gt;$F$63,'Instrumentos Financeiros'!C292&lt;'Instrumentos Financeiros'!$F$63+'Instrumentos Financeiros'!$F$11+1),PMT(((1+'Instrumentos Financeiros'!$H$43)^(1/12)-1),$F$11,-$I$63),0)</f>
        <v>0</v>
      </c>
      <c r="U292" s="1312">
        <f t="shared" si="177"/>
        <v>0</v>
      </c>
      <c r="V292" s="1312">
        <f>W291*((1+'Instrumentos Financeiros'!$H$43)^(1/12)-1)</f>
        <v>0</v>
      </c>
      <c r="W292" s="1312">
        <f t="shared" si="195"/>
        <v>0</v>
      </c>
      <c r="X292" s="1312">
        <f>IF(AND(C292&gt;$F$64,'Instrumentos Financeiros'!C292&lt;'Instrumentos Financeiros'!$F$64+'Instrumentos Financeiros'!$F$11+1),PMT(((1+'Instrumentos Financeiros'!$H$43)^(1/12)-1),$F$11,-$I$64),0)</f>
        <v>0</v>
      </c>
      <c r="Y292" s="1312">
        <f t="shared" si="178"/>
        <v>0</v>
      </c>
      <c r="Z292" s="1312">
        <f>AA291*((1+'Instrumentos Financeiros'!$H$43)^(1/12)-1)</f>
        <v>0</v>
      </c>
      <c r="AA292" s="1312">
        <f t="shared" si="196"/>
        <v>0</v>
      </c>
      <c r="AB292" s="1312">
        <f>IF(AND(C292&gt;$F$65,'Instrumentos Financeiros'!C292&lt;'Instrumentos Financeiros'!$F$65+'Instrumentos Financeiros'!$F$11+1),PMT(((1+'Instrumentos Financeiros'!$H$43)^(1/12)-1),$F$11,-$I$65),0)</f>
        <v>76636.661022032335</v>
      </c>
      <c r="AC292" s="1312">
        <f t="shared" si="179"/>
        <v>57645.148182881007</v>
      </c>
      <c r="AD292" s="1312">
        <f>AE291*((1+'Instrumentos Financeiros'!$H$43)^(1/12)-1)</f>
        <v>18991.512839151324</v>
      </c>
      <c r="AE292" s="1312">
        <f t="shared" si="197"/>
        <v>4334460.6345273647</v>
      </c>
      <c r="AF292" s="1312">
        <f>IF(AND(C292&gt;$F$66,'Instrumentos Financeiros'!C292&lt;'Instrumentos Financeiros'!$F$66+'Instrumentos Financeiros'!$F$11+1),PMT(((1+'Instrumentos Financeiros'!$I$43)^(1/12)-1),$F$11,-$I$66),0)</f>
        <v>76636.661022032335</v>
      </c>
      <c r="AG292" s="1312">
        <f t="shared" si="180"/>
        <v>56903.793921435543</v>
      </c>
      <c r="AH292" s="1312">
        <f>AI291*((1+'Instrumentos Financeiros'!$I$43)^(1/12)-1)</f>
        <v>19732.867100596788</v>
      </c>
      <c r="AI292" s="1312">
        <f t="shared" si="198"/>
        <v>4506652.5923457313</v>
      </c>
      <c r="AJ292" s="1312">
        <f>IF(AND(C292&gt;$F$67,'Instrumentos Financeiros'!C292&lt;'Instrumentos Financeiros'!$F$67+'Instrumentos Financeiros'!$F$11+1),PMT(((1+'Instrumentos Financeiros'!$I$43)^(1/12)-1),$F$11,-$I$67),0)</f>
        <v>76636.661022032335</v>
      </c>
      <c r="AK292" s="1312">
        <f t="shared" si="181"/>
        <v>56171.973960070623</v>
      </c>
      <c r="AL292" s="1312">
        <f>AM291*((1+'Instrumentos Financeiros'!$I$43)^(1/12)-1)</f>
        <v>20464.687061961708</v>
      </c>
      <c r="AM292" s="1312">
        <f t="shared" si="199"/>
        <v>4676630.0491047846</v>
      </c>
      <c r="AN292" s="1312">
        <f>IF(AND(C292&gt;$F$68,'Instrumentos Financeiros'!C292&lt;'Instrumentos Financeiros'!$F$68+'Instrumentos Financeiros'!$F$11+1),PMT(((1+'Instrumentos Financeiros'!$I$43)^(1/12)-1),$F$11,-$I$68),0)</f>
        <v>76636.661022032335</v>
      </c>
      <c r="AO292" s="1312">
        <f t="shared" si="182"/>
        <v>55449.565681459091</v>
      </c>
      <c r="AP292" s="1312">
        <f>AQ291*((1+'Instrumentos Financeiros'!$I$43)^(1/12)-1)</f>
        <v>21187.095340573247</v>
      </c>
      <c r="AQ292" s="1312">
        <f t="shared" si="200"/>
        <v>4844421.4847347364</v>
      </c>
      <c r="AR292" s="1312">
        <f>IF(AND(C292&gt;$F$69,'Instrumentos Financeiros'!C292&lt;'Instrumentos Financeiros'!$F$69+'Instrumentos Financeiros'!$F$11+1),PMT(((1+'Instrumentos Financeiros'!$I$43)^(1/12)-1),$F$11,-$I$69),0)</f>
        <v>0</v>
      </c>
      <c r="AS292" s="1312">
        <f t="shared" si="183"/>
        <v>0</v>
      </c>
      <c r="AT292" s="1312">
        <f>AU291*((1+'Instrumentos Financeiros'!$I$43)^(1/12)-1)</f>
        <v>0</v>
      </c>
      <c r="AU292" s="1312">
        <f t="shared" si="201"/>
        <v>0</v>
      </c>
      <c r="AV292" s="1312">
        <f>IF(AND(C292&gt;$F$70,'Instrumentos Financeiros'!C292&lt;'Instrumentos Financeiros'!$F$70+'Instrumentos Financeiros'!$F$11+1),PMT(((1+'Instrumentos Financeiros'!$J$43)^(1/12)-1),$F$11,-$I$70),0)</f>
        <v>0</v>
      </c>
      <c r="AW292" s="1312">
        <f t="shared" si="184"/>
        <v>0</v>
      </c>
      <c r="AX292" s="1312">
        <f>AY291*((1+'Instrumentos Financeiros'!$J$43)^(1/12)-1)</f>
        <v>0</v>
      </c>
      <c r="AY292" s="1312">
        <f t="shared" si="202"/>
        <v>0</v>
      </c>
      <c r="AZ292" s="1312">
        <f>IF(AND(C292&gt;$F$71,'Instrumentos Financeiros'!C292&lt;'Instrumentos Financeiros'!$F$71+'Instrumentos Financeiros'!$F$11+1),PMT(((1+'Instrumentos Financeiros'!$J$43)^(1/12)-1),$F$11,-$I$71),0)</f>
        <v>0</v>
      </c>
      <c r="BA292" s="1312">
        <f t="shared" si="185"/>
        <v>0</v>
      </c>
      <c r="BB292" s="1312">
        <f>BC291*((1+'Instrumentos Financeiros'!$J$43)^(1/12)-1)</f>
        <v>0</v>
      </c>
      <c r="BC292" s="1312">
        <f t="shared" si="203"/>
        <v>0</v>
      </c>
      <c r="BD292" s="1312">
        <f>IF(AND(C292&gt;$F$72,'Instrumentos Financeiros'!C292&lt;'Instrumentos Financeiros'!$F$72+'Instrumentos Financeiros'!$F$11+1),PMT(((1+'Instrumentos Financeiros'!$J$43)^(1/12)-1),$F$11,-'Instrumentos Financeiros'!$G$7*$G$72),0)</f>
        <v>0</v>
      </c>
      <c r="BE292" s="1312">
        <f t="shared" si="186"/>
        <v>0</v>
      </c>
      <c r="BF292" s="1312">
        <f>BG291*((1+'Instrumentos Financeiros'!$J$43)^(1/12)-1)</f>
        <v>0</v>
      </c>
      <c r="BG292" s="1312">
        <f t="shared" si="204"/>
        <v>0</v>
      </c>
      <c r="BH292" s="1312">
        <f>IF(AND(C292&gt;$F$73,'Instrumentos Financeiros'!C292&lt;'Instrumentos Financeiros'!$F$73+'Instrumentos Financeiros'!$F$11+1),PMT(((1+'Instrumentos Financeiros'!$J$43)^(1/12)-1),$F$11,-$I$73),0)</f>
        <v>0</v>
      </c>
      <c r="BI292" s="1312">
        <f t="shared" si="187"/>
        <v>0</v>
      </c>
      <c r="BJ292" s="1312">
        <f>BK291*((1+'Instrumentos Financeiros'!$J$43)^(1/12)-1)</f>
        <v>0</v>
      </c>
      <c r="BK292" s="1312">
        <f t="shared" si="205"/>
        <v>0</v>
      </c>
      <c r="BL292" s="1312">
        <f>IF(AND(C292&gt;$F$77,'Instrumentos Financeiros'!C292&lt;'Instrumentos Financeiros'!$F$77+'Instrumentos Financeiros'!$F$12+1),PMT(((1+'Instrumentos Financeiros'!$K$43)^(1/12)-1),$F$12,-$I$77),0)</f>
        <v>368.57912678094596</v>
      </c>
      <c r="BM292" s="1312">
        <f t="shared" si="206"/>
        <v>263.25145112722305</v>
      </c>
      <c r="BN292" s="1312">
        <f>BO291*((1+'Instrumentos Financeiros'!$K$43)^(1/12)-1)</f>
        <v>105.32767565372292</v>
      </c>
      <c r="BO292" s="1312">
        <f t="shared" si="207"/>
        <v>24095.5396170844</v>
      </c>
      <c r="BP292" s="1312">
        <f>IF(AND(C292&gt;$F$78,'Instrumentos Financeiros'!C292&lt;'Instrumentos Financeiros'!$F$78+'Instrumentos Financeiros'!$F$12+1),PMT(((1+'Instrumentos Financeiros'!$L$43)^(1/12)-1),$F$12,-$I$78),0)</f>
        <v>368.57912678094596</v>
      </c>
      <c r="BQ292" s="1312">
        <f t="shared" si="208"/>
        <v>259.86586550073264</v>
      </c>
      <c r="BR292" s="1312">
        <f>BS291*((1+'Instrumentos Financeiros'!$L$43)^(1/12)-1)</f>
        <v>108.71326128021329</v>
      </c>
      <c r="BS292" s="1312">
        <f t="shared" si="209"/>
        <v>24881.898646370133</v>
      </c>
      <c r="BT292" s="1312">
        <f>IF(AND(C292&gt;$F$79,'Instrumentos Financeiros'!C292&lt;'Instrumentos Financeiros'!$F$79+'Instrumentos Financeiros'!$F$12+1),PMT(((1+'Instrumentos Financeiros'!$L$43)^(1/12)-1),$F$12,-$I$79),0)</f>
        <v>368.57912678094596</v>
      </c>
      <c r="BU292" s="1312">
        <f t="shared" si="210"/>
        <v>256.52382071698111</v>
      </c>
      <c r="BV292" s="1312">
        <f>BW291*((1+'Instrumentos Financeiros'!$L$43)^(1/12)-1)</f>
        <v>112.05530606396484</v>
      </c>
      <c r="BW292" s="1312">
        <f t="shared" si="211"/>
        <v>25658.144584862213</v>
      </c>
      <c r="BX292" s="1312">
        <f>IF(AND(C292&gt;$F$80,'Instrumentos Financeiros'!C292&lt;'Instrumentos Financeiros'!$F$80+'Instrumentos Financeiros'!$F$12+1),PMT(((1+'Instrumentos Financeiros'!$L$43)^(1/12)-1),$F$12,-$I$80),0)</f>
        <v>368.57912678094596</v>
      </c>
      <c r="BY292" s="1312">
        <f t="shared" si="212"/>
        <v>253.2247568122884</v>
      </c>
      <c r="BZ292" s="1312">
        <f>CA291*((1+'Instrumentos Financeiros'!$L$43)^(1/12)-1)</f>
        <v>115.35436996865755</v>
      </c>
      <c r="CA292" s="1312">
        <f t="shared" si="213"/>
        <v>26424.407493514467</v>
      </c>
      <c r="CB292" s="1312">
        <f>IF(AND(C292&gt;$F$83,'Instrumentos Financeiros'!C292&lt;'Instrumentos Financeiros'!$F$83+'Instrumentos Financeiros'!$F$13+1),PMT(((1+'Instrumentos Financeiros'!$P$43)^(1/12)-1),$F$13,-$I$83),0)</f>
        <v>30503.390100238979</v>
      </c>
      <c r="CC292" s="1312">
        <f t="shared" si="214"/>
        <v>15968.762324903129</v>
      </c>
      <c r="CD292" s="1312">
        <f>CE291*((1+'Instrumentos Financeiros'!$P$43)^(1/12)-1)</f>
        <v>14534.62777533585</v>
      </c>
      <c r="CE292" s="1312">
        <f t="shared" si="215"/>
        <v>3345407.6189179439</v>
      </c>
      <c r="CF292" s="1312">
        <f>IF(AND(C292&gt;$F$84,'Instrumentos Financeiros'!C292&lt;'Instrumentos Financeiros'!$F$84+'Instrumentos Financeiros'!$F$13+1),PMT(((1+'Instrumentos Financeiros'!$Q$43)^(1/12)-1),$F$13,-$I$84),0)</f>
        <v>30503.390100238979</v>
      </c>
      <c r="CG292" s="1312">
        <f t="shared" si="216"/>
        <v>15763.393610054505</v>
      </c>
      <c r="CH292" s="1312">
        <f>CI291*((1+'Instrumentos Financeiros'!$Q$43)^(1/12)-1)</f>
        <v>14739.996490184474</v>
      </c>
      <c r="CI292" s="1312">
        <f t="shared" si="217"/>
        <v>3393107.9464448635</v>
      </c>
      <c r="CJ292" s="1312">
        <f>IF(AND(C292&gt;$F$85,'Instrumentos Financeiros'!C292&lt;'Instrumentos Financeiros'!$F$85+'Instrumentos Financeiros'!$F$13+1),PMT(((1+'Instrumentos Financeiros'!$Q$43)^(1/12)-1),$F$13,-$I$85),0)</f>
        <v>30503.390100238979</v>
      </c>
      <c r="CK292" s="1312">
        <f t="shared" si="218"/>
        <v>15560.666071032816</v>
      </c>
      <c r="CL292" s="1312">
        <f>CM291*((1+'Instrumentos Financeiros'!$Q$43)^(1/12)-1)</f>
        <v>14942.724029206163</v>
      </c>
      <c r="CM292" s="1312">
        <f t="shared" si="219"/>
        <v>3440194.8166002757</v>
      </c>
      <c r="CN292" s="1312">
        <f>IF(AND(C292&gt;$F$86,'Instrumentos Financeiros'!C292&lt;'Instrumentos Financeiros'!$F$86+'Instrumentos Financeiros'!$F$13+1),PMT(((1+'Instrumentos Financeiros'!$Q$43)^(1/12)-1),$F$13,-$I$86),0)</f>
        <v>30503.390100238979</v>
      </c>
      <c r="CO292" s="1312">
        <f t="shared" si="220"/>
        <v>15360.545740591615</v>
      </c>
      <c r="CP292" s="1312">
        <f>CQ291*((1+'Instrumentos Financeiros'!$Q$43)^(1/12)-1)</f>
        <v>15142.844359647364</v>
      </c>
      <c r="CQ292" s="1312">
        <f t="shared" si="221"/>
        <v>3486676.1188467098</v>
      </c>
      <c r="CR292" s="1312">
        <f t="shared" si="190"/>
        <v>521803.11063210916</v>
      </c>
      <c r="CS292" s="1312">
        <f t="shared" si="190"/>
        <v>365327.25922241423</v>
      </c>
      <c r="CT292" s="1312">
        <f t="shared" si="190"/>
        <v>156475.85140969494</v>
      </c>
      <c r="CU292" s="1312">
        <f t="shared" si="190"/>
        <v>36045997.661550082</v>
      </c>
    </row>
    <row r="293" spans="3:99" x14ac:dyDescent="0.35">
      <c r="C293" s="1315">
        <f t="shared" si="191"/>
        <v>200</v>
      </c>
      <c r="D293" s="1312">
        <f>IF(AND(C293&gt;$F$59,'Instrumentos Financeiros'!C293&lt;'Instrumentos Financeiros'!$F$59+'Instrumentos Financeiros'!$F$11+1),PMT(((1+'Instrumentos Financeiros'!$G$43)^(1/12)-1),$F$11,-$I$59),0)</f>
        <v>91768.589635900134</v>
      </c>
      <c r="E293" s="1312">
        <f t="shared" si="188"/>
        <v>75778.599544888755</v>
      </c>
      <c r="F293" s="1312">
        <f>G292*((1+'Instrumentos Financeiros'!$G$43)^(1/12)-1)</f>
        <v>15989.990091011376</v>
      </c>
      <c r="G293" s="1312">
        <f t="shared" si="222"/>
        <v>3841607.8101409567</v>
      </c>
      <c r="H293" s="1312">
        <f>IF(AND(C293&gt;$F$60,'Instrumentos Financeiros'!C293&lt;'Instrumentos Financeiros'!$F$60+'Instrumentos Financeiros'!$F$11+1),PMT(((1+'Instrumentos Financeiros'!$G$43)^(1/12)-1),$F$11,-$I$60),0)</f>
        <v>0</v>
      </c>
      <c r="I293" s="1312">
        <f t="shared" si="174"/>
        <v>0</v>
      </c>
      <c r="J293" s="1312">
        <f>K292*((1+'Instrumentos Financeiros'!$G$43)^(1/12)-1)</f>
        <v>0</v>
      </c>
      <c r="K293" s="1312">
        <f t="shared" si="192"/>
        <v>0</v>
      </c>
      <c r="L293" s="1312">
        <f>IF(AND(C293&gt;$F$61,'Instrumentos Financeiros'!C293&lt;'Instrumentos Financeiros'!$F$61+'Instrumentos Financeiros'!$F$11+1),PMT(((1+'Instrumentos Financeiros'!$G$43)^(1/12)-1),$F$11,-$I$61),0)</f>
        <v>0</v>
      </c>
      <c r="M293" s="1312">
        <f t="shared" si="175"/>
        <v>0</v>
      </c>
      <c r="N293" s="1312">
        <f>O292*((1+'Instrumentos Financeiros'!$G$43)^(1/12)-1)</f>
        <v>0</v>
      </c>
      <c r="O293" s="1312">
        <f t="shared" si="193"/>
        <v>0</v>
      </c>
      <c r="P293" s="1312">
        <f>IF(AND(C293&gt;$F$62,'Instrumentos Financeiros'!C293&lt;'Instrumentos Financeiros'!$F$62+'Instrumentos Financeiros'!$F$11+1),PMT(((1+'Instrumentos Financeiros'!$H$43)^(1/12)-1),$F$11,-$I$62),0)</f>
        <v>0</v>
      </c>
      <c r="Q293" s="1312">
        <f t="shared" si="176"/>
        <v>0</v>
      </c>
      <c r="R293" s="1312">
        <f>S292*((1+'Instrumentos Financeiros'!$H$43)^(1/12)-1)</f>
        <v>0</v>
      </c>
      <c r="S293" s="1312">
        <f t="shared" si="194"/>
        <v>0</v>
      </c>
      <c r="T293" s="1312">
        <f>IF(AND(C293&gt;$F$63,'Instrumentos Financeiros'!C293&lt;'Instrumentos Financeiros'!$F$63+'Instrumentos Financeiros'!$F$11+1),PMT(((1+'Instrumentos Financeiros'!$H$43)^(1/12)-1),$F$11,-$I$63),0)</f>
        <v>0</v>
      </c>
      <c r="U293" s="1312">
        <f t="shared" si="177"/>
        <v>0</v>
      </c>
      <c r="V293" s="1312">
        <f>W292*((1+'Instrumentos Financeiros'!$H$43)^(1/12)-1)</f>
        <v>0</v>
      </c>
      <c r="W293" s="1312">
        <f t="shared" si="195"/>
        <v>0</v>
      </c>
      <c r="X293" s="1312">
        <f>IF(AND(C293&gt;$F$64,'Instrumentos Financeiros'!C293&lt;'Instrumentos Financeiros'!$F$64+'Instrumentos Financeiros'!$F$11+1),PMT(((1+'Instrumentos Financeiros'!$H$43)^(1/12)-1),$F$11,-$I$64),0)</f>
        <v>0</v>
      </c>
      <c r="Y293" s="1312">
        <f t="shared" si="178"/>
        <v>0</v>
      </c>
      <c r="Z293" s="1312">
        <f>AA292*((1+'Instrumentos Financeiros'!$H$43)^(1/12)-1)</f>
        <v>0</v>
      </c>
      <c r="AA293" s="1312">
        <f t="shared" si="196"/>
        <v>0</v>
      </c>
      <c r="AB293" s="1312">
        <f>IF(AND(C293&gt;$F$65,'Instrumentos Financeiros'!C293&lt;'Instrumentos Financeiros'!$F$65+'Instrumentos Financeiros'!$F$11+1),PMT(((1+'Instrumentos Financeiros'!$H$43)^(1/12)-1),$F$11,-$I$65),0)</f>
        <v>76636.661022032335</v>
      </c>
      <c r="AC293" s="1312">
        <f t="shared" si="179"/>
        <v>57894.406426190995</v>
      </c>
      <c r="AD293" s="1312">
        <f>AE292*((1+'Instrumentos Financeiros'!$H$43)^(1/12)-1)</f>
        <v>18742.254595841343</v>
      </c>
      <c r="AE293" s="1312">
        <f t="shared" si="197"/>
        <v>4276566.2281011734</v>
      </c>
      <c r="AF293" s="1312">
        <f>IF(AND(C293&gt;$F$66,'Instrumentos Financeiros'!C293&lt;'Instrumentos Financeiros'!$F$66+'Instrumentos Financeiros'!$F$11+1),PMT(((1+'Instrumentos Financeiros'!$I$43)^(1/12)-1),$F$11,-$I$66),0)</f>
        <v>76636.661022032335</v>
      </c>
      <c r="AG293" s="1312">
        <f t="shared" si="180"/>
        <v>57149.846540912418</v>
      </c>
      <c r="AH293" s="1312">
        <f>AI292*((1+'Instrumentos Financeiros'!$I$43)^(1/12)-1)</f>
        <v>19486.81448111992</v>
      </c>
      <c r="AI293" s="1312">
        <f t="shared" si="198"/>
        <v>4449502.7458048193</v>
      </c>
      <c r="AJ293" s="1312">
        <f>IF(AND(C293&gt;$F$67,'Instrumentos Financeiros'!C293&lt;'Instrumentos Financeiros'!$F$67+'Instrumentos Financeiros'!$F$11+1),PMT(((1+'Instrumentos Financeiros'!$I$43)^(1/12)-1),$F$11,-$I$67),0)</f>
        <v>76636.661022032335</v>
      </c>
      <c r="AK293" s="1312">
        <f t="shared" si="181"/>
        <v>56414.862182130906</v>
      </c>
      <c r="AL293" s="1312">
        <f>AM292*((1+'Instrumentos Financeiros'!$I$43)^(1/12)-1)</f>
        <v>20221.798839901428</v>
      </c>
      <c r="AM293" s="1312">
        <f t="shared" si="199"/>
        <v>4620215.1869226536</v>
      </c>
      <c r="AN293" s="1312">
        <f>IF(AND(C293&gt;$F$68,'Instrumentos Financeiros'!C293&lt;'Instrumentos Financeiros'!$F$68+'Instrumentos Financeiros'!$F$11+1),PMT(((1+'Instrumentos Financeiros'!$I$43)^(1/12)-1),$F$11,-$I$68),0)</f>
        <v>76636.661022032335</v>
      </c>
      <c r="AO293" s="1312">
        <f t="shared" si="182"/>
        <v>55689.330202320649</v>
      </c>
      <c r="AP293" s="1312">
        <f>AQ292*((1+'Instrumentos Financeiros'!$I$43)^(1/12)-1)</f>
        <v>20947.330819711689</v>
      </c>
      <c r="AQ293" s="1312">
        <f t="shared" si="200"/>
        <v>4788732.1545324158</v>
      </c>
      <c r="AR293" s="1312">
        <f>IF(AND(C293&gt;$F$69,'Instrumentos Financeiros'!C293&lt;'Instrumentos Financeiros'!$F$69+'Instrumentos Financeiros'!$F$11+1),PMT(((1+'Instrumentos Financeiros'!$I$43)^(1/12)-1),$F$11,-$I$69),0)</f>
        <v>0</v>
      </c>
      <c r="AS293" s="1312">
        <f t="shared" si="183"/>
        <v>0</v>
      </c>
      <c r="AT293" s="1312">
        <f>AU292*((1+'Instrumentos Financeiros'!$I$43)^(1/12)-1)</f>
        <v>0</v>
      </c>
      <c r="AU293" s="1312">
        <f t="shared" si="201"/>
        <v>0</v>
      </c>
      <c r="AV293" s="1312">
        <f>IF(AND(C293&gt;$F$70,'Instrumentos Financeiros'!C293&lt;'Instrumentos Financeiros'!$F$70+'Instrumentos Financeiros'!$F$11+1),PMT(((1+'Instrumentos Financeiros'!$J$43)^(1/12)-1),$F$11,-$I$70),0)</f>
        <v>0</v>
      </c>
      <c r="AW293" s="1312">
        <f t="shared" si="184"/>
        <v>0</v>
      </c>
      <c r="AX293" s="1312">
        <f>AY292*((1+'Instrumentos Financeiros'!$J$43)^(1/12)-1)</f>
        <v>0</v>
      </c>
      <c r="AY293" s="1312">
        <f t="shared" si="202"/>
        <v>0</v>
      </c>
      <c r="AZ293" s="1312">
        <f>IF(AND(C293&gt;$F$71,'Instrumentos Financeiros'!C293&lt;'Instrumentos Financeiros'!$F$71+'Instrumentos Financeiros'!$F$11+1),PMT(((1+'Instrumentos Financeiros'!$J$43)^(1/12)-1),$F$11,-$I$71),0)</f>
        <v>0</v>
      </c>
      <c r="BA293" s="1312">
        <f t="shared" si="185"/>
        <v>0</v>
      </c>
      <c r="BB293" s="1312">
        <f>BC292*((1+'Instrumentos Financeiros'!$J$43)^(1/12)-1)</f>
        <v>0</v>
      </c>
      <c r="BC293" s="1312">
        <f t="shared" si="203"/>
        <v>0</v>
      </c>
      <c r="BD293" s="1312">
        <f>IF(AND(C293&gt;$F$72,'Instrumentos Financeiros'!C293&lt;'Instrumentos Financeiros'!$F$72+'Instrumentos Financeiros'!$F$11+1),PMT(((1+'Instrumentos Financeiros'!$J$43)^(1/12)-1),$F$11,-'Instrumentos Financeiros'!$G$7*$G$72),0)</f>
        <v>0</v>
      </c>
      <c r="BE293" s="1312">
        <f t="shared" si="186"/>
        <v>0</v>
      </c>
      <c r="BF293" s="1312">
        <f>BG292*((1+'Instrumentos Financeiros'!$J$43)^(1/12)-1)</f>
        <v>0</v>
      </c>
      <c r="BG293" s="1312">
        <f t="shared" si="204"/>
        <v>0</v>
      </c>
      <c r="BH293" s="1312">
        <f>IF(AND(C293&gt;$F$73,'Instrumentos Financeiros'!C293&lt;'Instrumentos Financeiros'!$F$73+'Instrumentos Financeiros'!$F$11+1),PMT(((1+'Instrumentos Financeiros'!$J$43)^(1/12)-1),$F$11,-$I$73),0)</f>
        <v>0</v>
      </c>
      <c r="BI293" s="1312">
        <f t="shared" si="187"/>
        <v>0</v>
      </c>
      <c r="BJ293" s="1312">
        <f>BK292*((1+'Instrumentos Financeiros'!$J$43)^(1/12)-1)</f>
        <v>0</v>
      </c>
      <c r="BK293" s="1312">
        <f t="shared" si="205"/>
        <v>0</v>
      </c>
      <c r="BL293" s="1312">
        <f>IF(AND(C293&gt;$F$77,'Instrumentos Financeiros'!C293&lt;'Instrumentos Financeiros'!$F$77+'Instrumentos Financeiros'!$F$12+1),PMT(((1+'Instrumentos Financeiros'!$K$43)^(1/12)-1),$F$12,-$I$77),0)</f>
        <v>368.57912678094596</v>
      </c>
      <c r="BM293" s="1312">
        <f t="shared" si="206"/>
        <v>264.38975324501098</v>
      </c>
      <c r="BN293" s="1312">
        <f>BO292*((1+'Instrumentos Financeiros'!$K$43)^(1/12)-1)</f>
        <v>104.18937353593495</v>
      </c>
      <c r="BO293" s="1312">
        <f t="shared" si="207"/>
        <v>23831.14986383939</v>
      </c>
      <c r="BP293" s="1312">
        <f>IF(AND(C293&gt;$F$78,'Instrumentos Financeiros'!C293&lt;'Instrumentos Financeiros'!$F$78+'Instrumentos Financeiros'!$F$12+1),PMT(((1+'Instrumentos Financeiros'!$L$43)^(1/12)-1),$F$12,-$I$78),0)</f>
        <v>368.57912678094596</v>
      </c>
      <c r="BQ293" s="1312">
        <f t="shared" si="208"/>
        <v>260.9895283097074</v>
      </c>
      <c r="BR293" s="1312">
        <f>BS292*((1+'Instrumentos Financeiros'!$L$43)^(1/12)-1)</f>
        <v>107.58959847123856</v>
      </c>
      <c r="BS293" s="1312">
        <f t="shared" si="209"/>
        <v>24620.909118060426</v>
      </c>
      <c r="BT293" s="1312">
        <f>IF(AND(C293&gt;$F$79,'Instrumentos Financeiros'!C293&lt;'Instrumentos Financeiros'!$F$79+'Instrumentos Financeiros'!$F$12+1),PMT(((1+'Instrumentos Financeiros'!$L$43)^(1/12)-1),$F$12,-$I$79),0)</f>
        <v>368.57912678094596</v>
      </c>
      <c r="BU293" s="1312">
        <f t="shared" si="210"/>
        <v>257.63303248821683</v>
      </c>
      <c r="BV293" s="1312">
        <f>BW292*((1+'Instrumentos Financeiros'!$L$43)^(1/12)-1)</f>
        <v>110.94609429272911</v>
      </c>
      <c r="BW293" s="1312">
        <f t="shared" si="211"/>
        <v>25400.511552373995</v>
      </c>
      <c r="BX293" s="1312">
        <f>IF(AND(C293&gt;$F$80,'Instrumentos Financeiros'!C293&lt;'Instrumentos Financeiros'!$F$80+'Instrumentos Financeiros'!$F$12+1),PMT(((1+'Instrumentos Financeiros'!$L$43)^(1/12)-1),$F$12,-$I$80),0)</f>
        <v>368.57912678094596</v>
      </c>
      <c r="BY293" s="1312">
        <f t="shared" si="212"/>
        <v>254.31970339557034</v>
      </c>
      <c r="BZ293" s="1312">
        <f>CA292*((1+'Instrumentos Financeiros'!$L$43)^(1/12)-1)</f>
        <v>114.2594233853756</v>
      </c>
      <c r="CA293" s="1312">
        <f t="shared" si="213"/>
        <v>26170.087790118898</v>
      </c>
      <c r="CB293" s="1312">
        <f>IF(AND(C293&gt;$F$83,'Instrumentos Financeiros'!C293&lt;'Instrumentos Financeiros'!$F$83+'Instrumentos Financeiros'!$F$13+1),PMT(((1+'Instrumentos Financeiros'!$P$43)^(1/12)-1),$F$13,-$I$83),0)</f>
        <v>30503.390100238979</v>
      </c>
      <c r="CC293" s="1312">
        <f t="shared" si="214"/>
        <v>16037.811425658534</v>
      </c>
      <c r="CD293" s="1312">
        <f>CE292*((1+'Instrumentos Financeiros'!$P$43)^(1/12)-1)</f>
        <v>14465.578674580445</v>
      </c>
      <c r="CE293" s="1312">
        <f t="shared" si="215"/>
        <v>3329369.8074922855</v>
      </c>
      <c r="CF293" s="1312">
        <f>IF(AND(C293&gt;$F$84,'Instrumentos Financeiros'!C293&lt;'Instrumentos Financeiros'!$F$84+'Instrumentos Financeiros'!$F$13+1),PMT(((1+'Instrumentos Financeiros'!$Q$43)^(1/12)-1),$F$13,-$I$84),0)</f>
        <v>30503.390100238979</v>
      </c>
      <c r="CG293" s="1312">
        <f t="shared" si="216"/>
        <v>15831.554694268925</v>
      </c>
      <c r="CH293" s="1312">
        <f>CI292*((1+'Instrumentos Financeiros'!$Q$43)^(1/12)-1)</f>
        <v>14671.835405970054</v>
      </c>
      <c r="CI293" s="1312">
        <f t="shared" si="217"/>
        <v>3377276.3917505946</v>
      </c>
      <c r="CJ293" s="1312">
        <f>IF(AND(C293&gt;$F$85,'Instrumentos Financeiros'!C293&lt;'Instrumentos Financeiros'!$F$85+'Instrumentos Financeiros'!$F$13+1),PMT(((1+'Instrumentos Financeiros'!$Q$43)^(1/12)-1),$F$13,-$I$85),0)</f>
        <v>30503.390100238979</v>
      </c>
      <c r="CK293" s="1312">
        <f t="shared" si="218"/>
        <v>15627.950559179048</v>
      </c>
      <c r="CL293" s="1312">
        <f>CM292*((1+'Instrumentos Financeiros'!$Q$43)^(1/12)-1)</f>
        <v>14875.439541059932</v>
      </c>
      <c r="CM293" s="1312">
        <f t="shared" si="219"/>
        <v>3424566.8660410969</v>
      </c>
      <c r="CN293" s="1312">
        <f>IF(AND(C293&gt;$F$86,'Instrumentos Financeiros'!C293&lt;'Instrumentos Financeiros'!$F$86+'Instrumentos Financeiros'!$F$13+1),PMT(((1+'Instrumentos Financeiros'!$Q$43)^(1/12)-1),$F$13,-$I$86),0)</f>
        <v>30503.390100238979</v>
      </c>
      <c r="CO293" s="1312">
        <f t="shared" si="220"/>
        <v>15426.964906267724</v>
      </c>
      <c r="CP293" s="1312">
        <f>CQ292*((1+'Instrumentos Financeiros'!$Q$43)^(1/12)-1)</f>
        <v>15076.425193971256</v>
      </c>
      <c r="CQ293" s="1312">
        <f t="shared" si="221"/>
        <v>3471249.153940442</v>
      </c>
      <c r="CR293" s="1312">
        <f t="shared" si="190"/>
        <v>521803.11063210916</v>
      </c>
      <c r="CS293" s="1312">
        <f t="shared" si="190"/>
        <v>366888.65849925647</v>
      </c>
      <c r="CT293" s="1312">
        <f t="shared" si="190"/>
        <v>154914.45213285272</v>
      </c>
      <c r="CU293" s="1312">
        <f t="shared" si="190"/>
        <v>35679109.003050834</v>
      </c>
    </row>
    <row r="294" spans="3:99" x14ac:dyDescent="0.35">
      <c r="C294" s="1315">
        <f t="shared" si="191"/>
        <v>201</v>
      </c>
      <c r="D294" s="1312">
        <f>IF(AND(C294&gt;$F$59,'Instrumentos Financeiros'!C294&lt;'Instrumentos Financeiros'!$F$59+'Instrumentos Financeiros'!$F$11+1),PMT(((1+'Instrumentos Financeiros'!$G$43)^(1/12)-1),$F$11,-$I$59),0)</f>
        <v>91768.589635900134</v>
      </c>
      <c r="E294" s="1312">
        <f t="shared" si="188"/>
        <v>76087.912675918546</v>
      </c>
      <c r="F294" s="1312">
        <f>G293*((1+'Instrumentos Financeiros'!$G$43)^(1/12)-1)</f>
        <v>15680.676959981582</v>
      </c>
      <c r="G294" s="1312">
        <f t="shared" si="222"/>
        <v>3765519.8974650381</v>
      </c>
      <c r="H294" s="1312">
        <f>IF(AND(C294&gt;$F$60,'Instrumentos Financeiros'!C294&lt;'Instrumentos Financeiros'!$F$60+'Instrumentos Financeiros'!$F$11+1),PMT(((1+'Instrumentos Financeiros'!$G$43)^(1/12)-1),$F$11,-$I$60),0)</f>
        <v>0</v>
      </c>
      <c r="I294" s="1312">
        <f t="shared" si="174"/>
        <v>0</v>
      </c>
      <c r="J294" s="1312">
        <f>K293*((1+'Instrumentos Financeiros'!$G$43)^(1/12)-1)</f>
        <v>0</v>
      </c>
      <c r="K294" s="1312">
        <f t="shared" si="192"/>
        <v>0</v>
      </c>
      <c r="L294" s="1312">
        <f>IF(AND(C294&gt;$F$61,'Instrumentos Financeiros'!C294&lt;'Instrumentos Financeiros'!$F$61+'Instrumentos Financeiros'!$F$11+1),PMT(((1+'Instrumentos Financeiros'!$G$43)^(1/12)-1),$F$11,-$I$61),0)</f>
        <v>0</v>
      </c>
      <c r="M294" s="1312">
        <f t="shared" si="175"/>
        <v>0</v>
      </c>
      <c r="N294" s="1312">
        <f>O293*((1+'Instrumentos Financeiros'!$G$43)^(1/12)-1)</f>
        <v>0</v>
      </c>
      <c r="O294" s="1312">
        <f t="shared" si="193"/>
        <v>0</v>
      </c>
      <c r="P294" s="1312">
        <f>IF(AND(C294&gt;$F$62,'Instrumentos Financeiros'!C294&lt;'Instrumentos Financeiros'!$F$62+'Instrumentos Financeiros'!$F$11+1),PMT(((1+'Instrumentos Financeiros'!$H$43)^(1/12)-1),$F$11,-$I$62),0)</f>
        <v>0</v>
      </c>
      <c r="Q294" s="1312">
        <f t="shared" si="176"/>
        <v>0</v>
      </c>
      <c r="R294" s="1312">
        <f>S293*((1+'Instrumentos Financeiros'!$H$43)^(1/12)-1)</f>
        <v>0</v>
      </c>
      <c r="S294" s="1312">
        <f t="shared" si="194"/>
        <v>0</v>
      </c>
      <c r="T294" s="1312">
        <f>IF(AND(C294&gt;$F$63,'Instrumentos Financeiros'!C294&lt;'Instrumentos Financeiros'!$F$63+'Instrumentos Financeiros'!$F$11+1),PMT(((1+'Instrumentos Financeiros'!$H$43)^(1/12)-1),$F$11,-$I$63),0)</f>
        <v>0</v>
      </c>
      <c r="U294" s="1312">
        <f t="shared" si="177"/>
        <v>0</v>
      </c>
      <c r="V294" s="1312">
        <f>W293*((1+'Instrumentos Financeiros'!$H$43)^(1/12)-1)</f>
        <v>0</v>
      </c>
      <c r="W294" s="1312">
        <f t="shared" si="195"/>
        <v>0</v>
      </c>
      <c r="X294" s="1312">
        <f>IF(AND(C294&gt;$F$64,'Instrumentos Financeiros'!C294&lt;'Instrumentos Financeiros'!$F$64+'Instrumentos Financeiros'!$F$11+1),PMT(((1+'Instrumentos Financeiros'!$H$43)^(1/12)-1),$F$11,-$I$64),0)</f>
        <v>0</v>
      </c>
      <c r="Y294" s="1312">
        <f t="shared" si="178"/>
        <v>0</v>
      </c>
      <c r="Z294" s="1312">
        <f>AA293*((1+'Instrumentos Financeiros'!$H$43)^(1/12)-1)</f>
        <v>0</v>
      </c>
      <c r="AA294" s="1312">
        <f t="shared" si="196"/>
        <v>0</v>
      </c>
      <c r="AB294" s="1312">
        <f>IF(AND(C294&gt;$F$65,'Instrumentos Financeiros'!C294&lt;'Instrumentos Financeiros'!$F$65+'Instrumentos Financeiros'!$F$11+1),PMT(((1+'Instrumentos Financeiros'!$H$43)^(1/12)-1),$F$11,-$I$65),0)</f>
        <v>76636.661022032335</v>
      </c>
      <c r="AC294" s="1312">
        <f t="shared" si="179"/>
        <v>58144.742464837036</v>
      </c>
      <c r="AD294" s="1312">
        <f>AE293*((1+'Instrumentos Financeiros'!$H$43)^(1/12)-1)</f>
        <v>18491.918557195298</v>
      </c>
      <c r="AE294" s="1312">
        <f t="shared" si="197"/>
        <v>4218421.4856363367</v>
      </c>
      <c r="AF294" s="1312">
        <f>IF(AND(C294&gt;$F$66,'Instrumentos Financeiros'!C294&lt;'Instrumentos Financeiros'!$F$66+'Instrumentos Financeiros'!$F$11+1),PMT(((1+'Instrumentos Financeiros'!$I$43)^(1/12)-1),$F$11,-$I$66),0)</f>
        <v>76636.661022032335</v>
      </c>
      <c r="AG294" s="1312">
        <f t="shared" si="180"/>
        <v>57396.963094573264</v>
      </c>
      <c r="AH294" s="1312">
        <f>AI293*((1+'Instrumentos Financeiros'!$I$43)^(1/12)-1)</f>
        <v>19239.697927459067</v>
      </c>
      <c r="AI294" s="1312">
        <f t="shared" si="198"/>
        <v>4392105.7827102458</v>
      </c>
      <c r="AJ294" s="1312">
        <f>IF(AND(C294&gt;$F$67,'Instrumentos Financeiros'!C294&lt;'Instrumentos Financeiros'!$F$67+'Instrumentos Financeiros'!$F$11+1),PMT(((1+'Instrumentos Financeiros'!$I$43)^(1/12)-1),$F$11,-$I$67),0)</f>
        <v>76636.661022032335</v>
      </c>
      <c r="AK294" s="1312">
        <f t="shared" si="181"/>
        <v>56658.800655486564</v>
      </c>
      <c r="AL294" s="1312">
        <f>AM293*((1+'Instrumentos Financeiros'!$I$43)^(1/12)-1)</f>
        <v>19977.86036654577</v>
      </c>
      <c r="AM294" s="1312">
        <f t="shared" si="199"/>
        <v>4563556.3862671666</v>
      </c>
      <c r="AN294" s="1312">
        <f>IF(AND(C294&gt;$F$68,'Instrumentos Financeiros'!C294&lt;'Instrumentos Financeiros'!$F$68+'Instrumentos Financeiros'!$F$11+1),PMT(((1+'Instrumentos Financeiros'!$I$43)^(1/12)-1),$F$11,-$I$68),0)</f>
        <v>76636.661022032335</v>
      </c>
      <c r="AO294" s="1312">
        <f t="shared" si="182"/>
        <v>55930.131467559862</v>
      </c>
      <c r="AP294" s="1312">
        <f>AQ293*((1+'Instrumentos Financeiros'!$I$43)^(1/12)-1)</f>
        <v>20706.529554472472</v>
      </c>
      <c r="AQ294" s="1312">
        <f t="shared" si="200"/>
        <v>4732802.0230648555</v>
      </c>
      <c r="AR294" s="1312">
        <f>IF(AND(C294&gt;$F$69,'Instrumentos Financeiros'!C294&lt;'Instrumentos Financeiros'!$F$69+'Instrumentos Financeiros'!$F$11+1),PMT(((1+'Instrumentos Financeiros'!$I$43)^(1/12)-1),$F$11,-$I$69),0)</f>
        <v>0</v>
      </c>
      <c r="AS294" s="1312">
        <f t="shared" si="183"/>
        <v>0</v>
      </c>
      <c r="AT294" s="1312">
        <f>AU293*((1+'Instrumentos Financeiros'!$I$43)^(1/12)-1)</f>
        <v>0</v>
      </c>
      <c r="AU294" s="1312">
        <f t="shared" si="201"/>
        <v>0</v>
      </c>
      <c r="AV294" s="1312">
        <f>IF(AND(C294&gt;$F$70,'Instrumentos Financeiros'!C294&lt;'Instrumentos Financeiros'!$F$70+'Instrumentos Financeiros'!$F$11+1),PMT(((1+'Instrumentos Financeiros'!$J$43)^(1/12)-1),$F$11,-$I$70),0)</f>
        <v>0</v>
      </c>
      <c r="AW294" s="1312">
        <f t="shared" si="184"/>
        <v>0</v>
      </c>
      <c r="AX294" s="1312">
        <f>AY293*((1+'Instrumentos Financeiros'!$J$43)^(1/12)-1)</f>
        <v>0</v>
      </c>
      <c r="AY294" s="1312">
        <f t="shared" si="202"/>
        <v>0</v>
      </c>
      <c r="AZ294" s="1312">
        <f>IF(AND(C294&gt;$F$71,'Instrumentos Financeiros'!C294&lt;'Instrumentos Financeiros'!$F$71+'Instrumentos Financeiros'!$F$11+1),PMT(((1+'Instrumentos Financeiros'!$J$43)^(1/12)-1),$F$11,-$I$71),0)</f>
        <v>0</v>
      </c>
      <c r="BA294" s="1312">
        <f t="shared" si="185"/>
        <v>0</v>
      </c>
      <c r="BB294" s="1312">
        <f>BC293*((1+'Instrumentos Financeiros'!$J$43)^(1/12)-1)</f>
        <v>0</v>
      </c>
      <c r="BC294" s="1312">
        <f t="shared" si="203"/>
        <v>0</v>
      </c>
      <c r="BD294" s="1312">
        <f>IF(AND(C294&gt;$F$72,'Instrumentos Financeiros'!C294&lt;'Instrumentos Financeiros'!$F$72+'Instrumentos Financeiros'!$F$11+1),PMT(((1+'Instrumentos Financeiros'!$J$43)^(1/12)-1),$F$11,-'Instrumentos Financeiros'!$G$7*$G$72),0)</f>
        <v>0</v>
      </c>
      <c r="BE294" s="1312">
        <f t="shared" si="186"/>
        <v>0</v>
      </c>
      <c r="BF294" s="1312">
        <f>BG293*((1+'Instrumentos Financeiros'!$J$43)^(1/12)-1)</f>
        <v>0</v>
      </c>
      <c r="BG294" s="1312">
        <f t="shared" si="204"/>
        <v>0</v>
      </c>
      <c r="BH294" s="1312">
        <f>IF(AND(C294&gt;$F$73,'Instrumentos Financeiros'!C294&lt;'Instrumentos Financeiros'!$F$73+'Instrumentos Financeiros'!$F$11+1),PMT(((1+'Instrumentos Financeiros'!$J$43)^(1/12)-1),$F$11,-$I$73),0)</f>
        <v>0</v>
      </c>
      <c r="BI294" s="1312">
        <f t="shared" si="187"/>
        <v>0</v>
      </c>
      <c r="BJ294" s="1312">
        <f>BK293*((1+'Instrumentos Financeiros'!$J$43)^(1/12)-1)</f>
        <v>0</v>
      </c>
      <c r="BK294" s="1312">
        <f t="shared" si="205"/>
        <v>0</v>
      </c>
      <c r="BL294" s="1312">
        <f>IF(AND(C294&gt;$F$77,'Instrumentos Financeiros'!C294&lt;'Instrumentos Financeiros'!$F$77+'Instrumentos Financeiros'!$F$12+1),PMT(((1+'Instrumentos Financeiros'!$K$43)^(1/12)-1),$F$12,-$I$77),0)</f>
        <v>368.57912678094596</v>
      </c>
      <c r="BM294" s="1312">
        <f t="shared" si="206"/>
        <v>265.53297739344993</v>
      </c>
      <c r="BN294" s="1312">
        <f>BO293*((1+'Instrumentos Financeiros'!$K$43)^(1/12)-1)</f>
        <v>103.04614938749602</v>
      </c>
      <c r="BO294" s="1312">
        <f t="shared" si="207"/>
        <v>23565.61688644594</v>
      </c>
      <c r="BP294" s="1312">
        <f>IF(AND(C294&gt;$F$78,'Instrumentos Financeiros'!C294&lt;'Instrumentos Financeiros'!$F$78+'Instrumentos Financeiros'!$F$12+1),PMT(((1+'Instrumentos Financeiros'!$L$43)^(1/12)-1),$F$12,-$I$78),0)</f>
        <v>368.57912678094596</v>
      </c>
      <c r="BQ294" s="1312">
        <f t="shared" si="208"/>
        <v>262.11804984880371</v>
      </c>
      <c r="BR294" s="1312">
        <f>BS293*((1+'Instrumentos Financeiros'!$L$43)^(1/12)-1)</f>
        <v>106.46107693214228</v>
      </c>
      <c r="BS294" s="1312">
        <f t="shared" si="209"/>
        <v>24358.791068211623</v>
      </c>
      <c r="BT294" s="1312">
        <f>IF(AND(C294&gt;$F$79,'Instrumentos Financeiros'!C294&lt;'Instrumentos Financeiros'!$F$79+'Instrumentos Financeiros'!$F$12+1),PMT(((1+'Instrumentos Financeiros'!$L$43)^(1/12)-1),$F$12,-$I$79),0)</f>
        <v>368.57912678094596</v>
      </c>
      <c r="BU294" s="1312">
        <f t="shared" si="210"/>
        <v>258.74704050313085</v>
      </c>
      <c r="BV294" s="1312">
        <f>BW293*((1+'Instrumentos Financeiros'!$L$43)^(1/12)-1)</f>
        <v>109.83208627781508</v>
      </c>
      <c r="BW294" s="1312">
        <f t="shared" si="211"/>
        <v>25141.764511870864</v>
      </c>
      <c r="BX294" s="1312">
        <f>IF(AND(C294&gt;$F$80,'Instrumentos Financeiros'!C294&lt;'Instrumentos Financeiros'!$F$80+'Instrumentos Financeiros'!$F$12+1),PMT(((1+'Instrumentos Financeiros'!$L$43)^(1/12)-1),$F$12,-$I$80),0)</f>
        <v>368.57912678094596</v>
      </c>
      <c r="BY294" s="1312">
        <f t="shared" si="212"/>
        <v>255.41938453970386</v>
      </c>
      <c r="BZ294" s="1312">
        <f>CA293*((1+'Instrumentos Financeiros'!$L$43)^(1/12)-1)</f>
        <v>113.15974224124211</v>
      </c>
      <c r="CA294" s="1312">
        <f t="shared" si="213"/>
        <v>25914.668405579196</v>
      </c>
      <c r="CB294" s="1312">
        <f>IF(AND(C294&gt;$F$83,'Instrumentos Financeiros'!C294&lt;'Instrumentos Financeiros'!$F$83+'Instrumentos Financeiros'!$F$13+1),PMT(((1+'Instrumentos Financeiros'!$P$43)^(1/12)-1),$F$13,-$I$83),0)</f>
        <v>30503.390100238979</v>
      </c>
      <c r="CC294" s="1312">
        <f t="shared" si="214"/>
        <v>16107.159095471334</v>
      </c>
      <c r="CD294" s="1312">
        <f>CE293*((1+'Instrumentos Financeiros'!$P$43)^(1/12)-1)</f>
        <v>14396.231004767646</v>
      </c>
      <c r="CE294" s="1312">
        <f t="shared" si="215"/>
        <v>3313262.6483968142</v>
      </c>
      <c r="CF294" s="1312">
        <f>IF(AND(C294&gt;$F$84,'Instrumentos Financeiros'!C294&lt;'Instrumentos Financeiros'!$F$84+'Instrumentos Financeiros'!$F$13+1),PMT(((1+'Instrumentos Financeiros'!$Q$43)^(1/12)-1),$F$13,-$I$84),0)</f>
        <v>30503.390100238979</v>
      </c>
      <c r="CG294" s="1312">
        <f t="shared" si="216"/>
        <v>15900.010507747626</v>
      </c>
      <c r="CH294" s="1312">
        <f>CI293*((1+'Instrumentos Financeiros'!$Q$43)^(1/12)-1)</f>
        <v>14603.379592491354</v>
      </c>
      <c r="CI294" s="1312">
        <f t="shared" si="217"/>
        <v>3361376.3812428471</v>
      </c>
      <c r="CJ294" s="1312">
        <f>IF(AND(C294&gt;$F$85,'Instrumentos Financeiros'!C294&lt;'Instrumentos Financeiros'!$F$85+'Instrumentos Financeiros'!$F$13+1),PMT(((1+'Instrumentos Financeiros'!$Q$43)^(1/12)-1),$F$13,-$I$85),0)</f>
        <v>30503.390100238979</v>
      </c>
      <c r="CK294" s="1312">
        <f t="shared" si="218"/>
        <v>15695.525986178696</v>
      </c>
      <c r="CL294" s="1312">
        <f>CM293*((1+'Instrumentos Financeiros'!$Q$43)^(1/12)-1)</f>
        <v>14807.864114060283</v>
      </c>
      <c r="CM294" s="1312">
        <f t="shared" si="219"/>
        <v>3408871.3400549181</v>
      </c>
      <c r="CN294" s="1312">
        <f>IF(AND(C294&gt;$F$86,'Instrumentos Financeiros'!C294&lt;'Instrumentos Financeiros'!$F$86+'Instrumentos Financeiros'!$F$13+1),PMT(((1+'Instrumentos Financeiros'!$Q$43)^(1/12)-1),$F$13,-$I$86),0)</f>
        <v>30503.390100238979</v>
      </c>
      <c r="CO294" s="1312">
        <f t="shared" si="220"/>
        <v>15493.67126913354</v>
      </c>
      <c r="CP294" s="1312">
        <f>CQ293*((1+'Instrumentos Financeiros'!$Q$43)^(1/12)-1)</f>
        <v>15009.71883110544</v>
      </c>
      <c r="CQ294" s="1312">
        <f t="shared" si="221"/>
        <v>3455755.4826713083</v>
      </c>
      <c r="CR294" s="1312">
        <f t="shared" si="190"/>
        <v>521803.11063210916</v>
      </c>
      <c r="CS294" s="1312">
        <f t="shared" si="190"/>
        <v>368456.73466919153</v>
      </c>
      <c r="CT294" s="1312">
        <f t="shared" si="190"/>
        <v>153346.37596291763</v>
      </c>
      <c r="CU294" s="1312">
        <f t="shared" si="190"/>
        <v>35310652.26838164</v>
      </c>
    </row>
    <row r="295" spans="3:99" x14ac:dyDescent="0.35">
      <c r="C295" s="1315">
        <f t="shared" si="191"/>
        <v>202</v>
      </c>
      <c r="D295" s="1312">
        <f>IF(AND(C295&gt;$F$59,'Instrumentos Financeiros'!C295&lt;'Instrumentos Financeiros'!$F$59+'Instrumentos Financeiros'!$F$11+1),PMT(((1+'Instrumentos Financeiros'!$G$43)^(1/12)-1),$F$11,-$I$59),0)</f>
        <v>91768.589635900134</v>
      </c>
      <c r="E295" s="1312">
        <f t="shared" si="188"/>
        <v>76398.488361463766</v>
      </c>
      <c r="F295" s="1312">
        <f>G294*((1+'Instrumentos Financeiros'!$G$43)^(1/12)-1)</f>
        <v>15370.101274436371</v>
      </c>
      <c r="G295" s="1312">
        <f t="shared" si="222"/>
        <v>3689121.4091035742</v>
      </c>
      <c r="H295" s="1312">
        <f>IF(AND(C295&gt;$F$60,'Instrumentos Financeiros'!C295&lt;'Instrumentos Financeiros'!$F$60+'Instrumentos Financeiros'!$F$11+1),PMT(((1+'Instrumentos Financeiros'!$G$43)^(1/12)-1),$F$11,-$I$60),0)</f>
        <v>0</v>
      </c>
      <c r="I295" s="1312">
        <f t="shared" si="174"/>
        <v>0</v>
      </c>
      <c r="J295" s="1312">
        <f>K294*((1+'Instrumentos Financeiros'!$G$43)^(1/12)-1)</f>
        <v>0</v>
      </c>
      <c r="K295" s="1312">
        <f t="shared" si="192"/>
        <v>0</v>
      </c>
      <c r="L295" s="1312">
        <f>IF(AND(C295&gt;$F$61,'Instrumentos Financeiros'!C295&lt;'Instrumentos Financeiros'!$F$61+'Instrumentos Financeiros'!$F$11+1),PMT(((1+'Instrumentos Financeiros'!$G$43)^(1/12)-1),$F$11,-$I$61),0)</f>
        <v>0</v>
      </c>
      <c r="M295" s="1312">
        <f t="shared" si="175"/>
        <v>0</v>
      </c>
      <c r="N295" s="1312">
        <f>O294*((1+'Instrumentos Financeiros'!$G$43)^(1/12)-1)</f>
        <v>0</v>
      </c>
      <c r="O295" s="1312">
        <f t="shared" si="193"/>
        <v>0</v>
      </c>
      <c r="P295" s="1312">
        <f>IF(AND(C295&gt;$F$62,'Instrumentos Financeiros'!C295&lt;'Instrumentos Financeiros'!$F$62+'Instrumentos Financeiros'!$F$11+1),PMT(((1+'Instrumentos Financeiros'!$H$43)^(1/12)-1),$F$11,-$I$62),0)</f>
        <v>0</v>
      </c>
      <c r="Q295" s="1312">
        <f t="shared" si="176"/>
        <v>0</v>
      </c>
      <c r="R295" s="1312">
        <f>S294*((1+'Instrumentos Financeiros'!$H$43)^(1/12)-1)</f>
        <v>0</v>
      </c>
      <c r="S295" s="1312">
        <f t="shared" si="194"/>
        <v>0</v>
      </c>
      <c r="T295" s="1312">
        <f>IF(AND(C295&gt;$F$63,'Instrumentos Financeiros'!C295&lt;'Instrumentos Financeiros'!$F$63+'Instrumentos Financeiros'!$F$11+1),PMT(((1+'Instrumentos Financeiros'!$H$43)^(1/12)-1),$F$11,-$I$63),0)</f>
        <v>0</v>
      </c>
      <c r="U295" s="1312">
        <f t="shared" si="177"/>
        <v>0</v>
      </c>
      <c r="V295" s="1312">
        <f>W294*((1+'Instrumentos Financeiros'!$H$43)^(1/12)-1)</f>
        <v>0</v>
      </c>
      <c r="W295" s="1312">
        <f t="shared" si="195"/>
        <v>0</v>
      </c>
      <c r="X295" s="1312">
        <f>IF(AND(C295&gt;$F$64,'Instrumentos Financeiros'!C295&lt;'Instrumentos Financeiros'!$F$64+'Instrumentos Financeiros'!$F$11+1),PMT(((1+'Instrumentos Financeiros'!$H$43)^(1/12)-1),$F$11,-$I$64),0)</f>
        <v>0</v>
      </c>
      <c r="Y295" s="1312">
        <f t="shared" si="178"/>
        <v>0</v>
      </c>
      <c r="Z295" s="1312">
        <f>AA294*((1+'Instrumentos Financeiros'!$H$43)^(1/12)-1)</f>
        <v>0</v>
      </c>
      <c r="AA295" s="1312">
        <f t="shared" si="196"/>
        <v>0</v>
      </c>
      <c r="AB295" s="1312">
        <f>IF(AND(C295&gt;$F$65,'Instrumentos Financeiros'!C295&lt;'Instrumentos Financeiros'!$F$65+'Instrumentos Financeiros'!$F$11+1),PMT(((1+'Instrumentos Financeiros'!$H$43)^(1/12)-1),$F$11,-$I$65),0)</f>
        <v>76636.661022032335</v>
      </c>
      <c r="AC295" s="1312">
        <f t="shared" si="179"/>
        <v>58396.160959217807</v>
      </c>
      <c r="AD295" s="1312">
        <f>AE294*((1+'Instrumentos Financeiros'!$H$43)^(1/12)-1)</f>
        <v>18240.500062814528</v>
      </c>
      <c r="AE295" s="1312">
        <f t="shared" si="197"/>
        <v>4160025.324677119</v>
      </c>
      <c r="AF295" s="1312">
        <f>IF(AND(C295&gt;$F$66,'Instrumentos Financeiros'!C295&lt;'Instrumentos Financeiros'!$F$66+'Instrumentos Financeiros'!$F$11+1),PMT(((1+'Instrumentos Financeiros'!$I$43)^(1/12)-1),$F$11,-$I$66),0)</f>
        <v>76636.661022032335</v>
      </c>
      <c r="AG295" s="1312">
        <f t="shared" si="180"/>
        <v>57645.148182881007</v>
      </c>
      <c r="AH295" s="1312">
        <f>AI294*((1+'Instrumentos Financeiros'!$I$43)^(1/12)-1)</f>
        <v>18991.512839151324</v>
      </c>
      <c r="AI295" s="1312">
        <f t="shared" si="198"/>
        <v>4334460.6345273647</v>
      </c>
      <c r="AJ295" s="1312">
        <f>IF(AND(C295&gt;$F$67,'Instrumentos Financeiros'!C295&lt;'Instrumentos Financeiros'!$F$67+'Instrumentos Financeiros'!$F$11+1),PMT(((1+'Instrumentos Financeiros'!$I$43)^(1/12)-1),$F$11,-$I$67),0)</f>
        <v>76636.661022032335</v>
      </c>
      <c r="AK295" s="1312">
        <f t="shared" si="181"/>
        <v>56903.793921435543</v>
      </c>
      <c r="AL295" s="1312">
        <f>AM294*((1+'Instrumentos Financeiros'!$I$43)^(1/12)-1)</f>
        <v>19732.867100596788</v>
      </c>
      <c r="AM295" s="1312">
        <f t="shared" si="199"/>
        <v>4506652.5923457313</v>
      </c>
      <c r="AN295" s="1312">
        <f>IF(AND(C295&gt;$F$68,'Instrumentos Financeiros'!C295&lt;'Instrumentos Financeiros'!$F$68+'Instrumentos Financeiros'!$F$11+1),PMT(((1+'Instrumentos Financeiros'!$I$43)^(1/12)-1),$F$11,-$I$68),0)</f>
        <v>76636.661022032335</v>
      </c>
      <c r="AO295" s="1312">
        <f t="shared" si="182"/>
        <v>56171.973960070623</v>
      </c>
      <c r="AP295" s="1312">
        <f>AQ294*((1+'Instrumentos Financeiros'!$I$43)^(1/12)-1)</f>
        <v>20464.687061961708</v>
      </c>
      <c r="AQ295" s="1312">
        <f t="shared" si="200"/>
        <v>4676630.0491047846</v>
      </c>
      <c r="AR295" s="1312">
        <f>IF(AND(C295&gt;$F$69,'Instrumentos Financeiros'!C295&lt;'Instrumentos Financeiros'!$F$69+'Instrumentos Financeiros'!$F$11+1),PMT(((1+'Instrumentos Financeiros'!$I$43)^(1/12)-1),$F$11,-$I$69),0)</f>
        <v>0</v>
      </c>
      <c r="AS295" s="1312">
        <f t="shared" si="183"/>
        <v>0</v>
      </c>
      <c r="AT295" s="1312">
        <f>AU294*((1+'Instrumentos Financeiros'!$I$43)^(1/12)-1)</f>
        <v>0</v>
      </c>
      <c r="AU295" s="1312">
        <f t="shared" si="201"/>
        <v>0</v>
      </c>
      <c r="AV295" s="1312">
        <f>IF(AND(C295&gt;$F$70,'Instrumentos Financeiros'!C295&lt;'Instrumentos Financeiros'!$F$70+'Instrumentos Financeiros'!$F$11+1),PMT(((1+'Instrumentos Financeiros'!$J$43)^(1/12)-1),$F$11,-$I$70),0)</f>
        <v>0</v>
      </c>
      <c r="AW295" s="1312">
        <f t="shared" si="184"/>
        <v>0</v>
      </c>
      <c r="AX295" s="1312">
        <f>AY294*((1+'Instrumentos Financeiros'!$J$43)^(1/12)-1)</f>
        <v>0</v>
      </c>
      <c r="AY295" s="1312">
        <f t="shared" si="202"/>
        <v>0</v>
      </c>
      <c r="AZ295" s="1312">
        <f>IF(AND(C295&gt;$F$71,'Instrumentos Financeiros'!C295&lt;'Instrumentos Financeiros'!$F$71+'Instrumentos Financeiros'!$F$11+1),PMT(((1+'Instrumentos Financeiros'!$J$43)^(1/12)-1),$F$11,-$I$71),0)</f>
        <v>0</v>
      </c>
      <c r="BA295" s="1312">
        <f t="shared" si="185"/>
        <v>0</v>
      </c>
      <c r="BB295" s="1312">
        <f>BC294*((1+'Instrumentos Financeiros'!$J$43)^(1/12)-1)</f>
        <v>0</v>
      </c>
      <c r="BC295" s="1312">
        <f t="shared" si="203"/>
        <v>0</v>
      </c>
      <c r="BD295" s="1312">
        <f>IF(AND(C295&gt;$F$72,'Instrumentos Financeiros'!C295&lt;'Instrumentos Financeiros'!$F$72+'Instrumentos Financeiros'!$F$11+1),PMT(((1+'Instrumentos Financeiros'!$J$43)^(1/12)-1),$F$11,-'Instrumentos Financeiros'!$G$7*$G$72),0)</f>
        <v>0</v>
      </c>
      <c r="BE295" s="1312">
        <f t="shared" si="186"/>
        <v>0</v>
      </c>
      <c r="BF295" s="1312">
        <f>BG294*((1+'Instrumentos Financeiros'!$J$43)^(1/12)-1)</f>
        <v>0</v>
      </c>
      <c r="BG295" s="1312">
        <f t="shared" si="204"/>
        <v>0</v>
      </c>
      <c r="BH295" s="1312">
        <f>IF(AND(C295&gt;$F$73,'Instrumentos Financeiros'!C295&lt;'Instrumentos Financeiros'!$F$73+'Instrumentos Financeiros'!$F$11+1),PMT(((1+'Instrumentos Financeiros'!$J$43)^(1/12)-1),$F$11,-$I$73),0)</f>
        <v>0</v>
      </c>
      <c r="BI295" s="1312">
        <f t="shared" si="187"/>
        <v>0</v>
      </c>
      <c r="BJ295" s="1312">
        <f>BK294*((1+'Instrumentos Financeiros'!$J$43)^(1/12)-1)</f>
        <v>0</v>
      </c>
      <c r="BK295" s="1312">
        <f t="shared" si="205"/>
        <v>0</v>
      </c>
      <c r="BL295" s="1312">
        <f>IF(AND(C295&gt;$F$77,'Instrumentos Financeiros'!C295&lt;'Instrumentos Financeiros'!$F$77+'Instrumentos Financeiros'!$F$12+1),PMT(((1+'Instrumentos Financeiros'!$K$43)^(1/12)-1),$F$12,-$I$77),0)</f>
        <v>368.57912678094596</v>
      </c>
      <c r="BM295" s="1312">
        <f t="shared" si="206"/>
        <v>266.68114485545357</v>
      </c>
      <c r="BN295" s="1312">
        <f>BO294*((1+'Instrumentos Financeiros'!$K$43)^(1/12)-1)</f>
        <v>101.8979819254924</v>
      </c>
      <c r="BO295" s="1312">
        <f t="shared" si="207"/>
        <v>23298.935741590485</v>
      </c>
      <c r="BP295" s="1312">
        <f>IF(AND(C295&gt;$F$78,'Instrumentos Financeiros'!C295&lt;'Instrumentos Financeiros'!$F$78+'Instrumentos Financeiros'!$F$12+1),PMT(((1+'Instrumentos Financeiros'!$L$43)^(1/12)-1),$F$12,-$I$78),0)</f>
        <v>368.57912678094596</v>
      </c>
      <c r="BQ295" s="1312">
        <f t="shared" si="208"/>
        <v>263.25145112722305</v>
      </c>
      <c r="BR295" s="1312">
        <f>BS294*((1+'Instrumentos Financeiros'!$L$43)^(1/12)-1)</f>
        <v>105.32767565372292</v>
      </c>
      <c r="BS295" s="1312">
        <f t="shared" si="209"/>
        <v>24095.5396170844</v>
      </c>
      <c r="BT295" s="1312">
        <f>IF(AND(C295&gt;$F$79,'Instrumentos Financeiros'!C295&lt;'Instrumentos Financeiros'!$F$79+'Instrumentos Financeiros'!$F$12+1),PMT(((1+'Instrumentos Financeiros'!$L$43)^(1/12)-1),$F$12,-$I$79),0)</f>
        <v>368.57912678094596</v>
      </c>
      <c r="BU295" s="1312">
        <f t="shared" si="210"/>
        <v>259.86586550073264</v>
      </c>
      <c r="BV295" s="1312">
        <f>BW294*((1+'Instrumentos Financeiros'!$L$43)^(1/12)-1)</f>
        <v>108.71326128021329</v>
      </c>
      <c r="BW295" s="1312">
        <f t="shared" si="211"/>
        <v>24881.898646370133</v>
      </c>
      <c r="BX295" s="1312">
        <f>IF(AND(C295&gt;$F$80,'Instrumentos Financeiros'!C295&lt;'Instrumentos Financeiros'!$F$80+'Instrumentos Financeiros'!$F$12+1),PMT(((1+'Instrumentos Financeiros'!$L$43)^(1/12)-1),$F$12,-$I$80),0)</f>
        <v>368.57912678094596</v>
      </c>
      <c r="BY295" s="1312">
        <f t="shared" si="212"/>
        <v>256.52382071698111</v>
      </c>
      <c r="BZ295" s="1312">
        <f>CA294*((1+'Instrumentos Financeiros'!$L$43)^(1/12)-1)</f>
        <v>112.05530606396484</v>
      </c>
      <c r="CA295" s="1312">
        <f t="shared" si="213"/>
        <v>25658.144584862213</v>
      </c>
      <c r="CB295" s="1312">
        <f>IF(AND(C295&gt;$F$83,'Instrumentos Financeiros'!C295&lt;'Instrumentos Financeiros'!$F$83+'Instrumentos Financeiros'!$F$13+1),PMT(((1+'Instrumentos Financeiros'!$P$43)^(1/12)-1),$F$13,-$I$83),0)</f>
        <v>30503.390100238979</v>
      </c>
      <c r="CC295" s="1312">
        <f t="shared" si="214"/>
        <v>16176.806625357358</v>
      </c>
      <c r="CD295" s="1312">
        <f>CE294*((1+'Instrumentos Financeiros'!$P$43)^(1/12)-1)</f>
        <v>14326.583474881621</v>
      </c>
      <c r="CE295" s="1312">
        <f t="shared" si="215"/>
        <v>3297085.8417714569</v>
      </c>
      <c r="CF295" s="1312">
        <f>IF(AND(C295&gt;$F$84,'Instrumentos Financeiros'!C295&lt;'Instrumentos Financeiros'!$F$84+'Instrumentos Financeiros'!$F$13+1),PMT(((1+'Instrumentos Financeiros'!$Q$43)^(1/12)-1),$F$13,-$I$84),0)</f>
        <v>30503.390100238979</v>
      </c>
      <c r="CG295" s="1312">
        <f t="shared" si="216"/>
        <v>15968.762324903129</v>
      </c>
      <c r="CH295" s="1312">
        <f>CI294*((1+'Instrumentos Financeiros'!$Q$43)^(1/12)-1)</f>
        <v>14534.62777533585</v>
      </c>
      <c r="CI295" s="1312">
        <f t="shared" si="217"/>
        <v>3345407.6189179439</v>
      </c>
      <c r="CJ295" s="1312">
        <f>IF(AND(C295&gt;$F$85,'Instrumentos Financeiros'!C295&lt;'Instrumentos Financeiros'!$F$85+'Instrumentos Financeiros'!$F$13+1),PMT(((1+'Instrumentos Financeiros'!$Q$43)^(1/12)-1),$F$13,-$I$85),0)</f>
        <v>30503.390100238979</v>
      </c>
      <c r="CK295" s="1312">
        <f t="shared" si="218"/>
        <v>15763.393610054505</v>
      </c>
      <c r="CL295" s="1312">
        <f>CM294*((1+'Instrumentos Financeiros'!$Q$43)^(1/12)-1)</f>
        <v>14739.996490184474</v>
      </c>
      <c r="CM295" s="1312">
        <f t="shared" si="219"/>
        <v>3393107.9464448635</v>
      </c>
      <c r="CN295" s="1312">
        <f>IF(AND(C295&gt;$F$86,'Instrumentos Financeiros'!C295&lt;'Instrumentos Financeiros'!$F$86+'Instrumentos Financeiros'!$F$13+1),PMT(((1+'Instrumentos Financeiros'!$Q$43)^(1/12)-1),$F$13,-$I$86),0)</f>
        <v>30503.390100238979</v>
      </c>
      <c r="CO295" s="1312">
        <f t="shared" si="220"/>
        <v>15560.666071032816</v>
      </c>
      <c r="CP295" s="1312">
        <f>CQ294*((1+'Instrumentos Financeiros'!$Q$43)^(1/12)-1)</f>
        <v>14942.724029206163</v>
      </c>
      <c r="CQ295" s="1312">
        <f t="shared" si="221"/>
        <v>3440194.8166002757</v>
      </c>
      <c r="CR295" s="1312">
        <f t="shared" si="190"/>
        <v>521803.11063210916</v>
      </c>
      <c r="CS295" s="1312">
        <f t="shared" si="190"/>
        <v>370031.516298617</v>
      </c>
      <c r="CT295" s="1312">
        <f t="shared" si="190"/>
        <v>151771.59433349222</v>
      </c>
      <c r="CU295" s="1312">
        <f t="shared" si="190"/>
        <v>34940620.752083018</v>
      </c>
    </row>
    <row r="296" spans="3:99" x14ac:dyDescent="0.35">
      <c r="C296" s="1315">
        <f t="shared" si="191"/>
        <v>203</v>
      </c>
      <c r="D296" s="1312">
        <f>IF(AND(C296&gt;$F$59,'Instrumentos Financeiros'!C296&lt;'Instrumentos Financeiros'!$F$59+'Instrumentos Financeiros'!$F$11+1),PMT(((1+'Instrumentos Financeiros'!$G$43)^(1/12)-1),$F$11,-$I$59),0)</f>
        <v>91768.589635900134</v>
      </c>
      <c r="E296" s="1312">
        <f t="shared" si="188"/>
        <v>76710.331755020132</v>
      </c>
      <c r="F296" s="1312">
        <f>G295*((1+'Instrumentos Financeiros'!$G$43)^(1/12)-1)</f>
        <v>15058.257880879997</v>
      </c>
      <c r="G296" s="1312">
        <f t="shared" si="222"/>
        <v>3612411.077348554</v>
      </c>
      <c r="H296" s="1312">
        <f>IF(AND(C296&gt;$F$60,'Instrumentos Financeiros'!C296&lt;'Instrumentos Financeiros'!$F$60+'Instrumentos Financeiros'!$F$11+1),PMT(((1+'Instrumentos Financeiros'!$G$43)^(1/12)-1),$F$11,-$I$60),0)</f>
        <v>0</v>
      </c>
      <c r="I296" s="1312">
        <f t="shared" si="174"/>
        <v>0</v>
      </c>
      <c r="J296" s="1312">
        <f>K295*((1+'Instrumentos Financeiros'!$G$43)^(1/12)-1)</f>
        <v>0</v>
      </c>
      <c r="K296" s="1312">
        <f t="shared" si="192"/>
        <v>0</v>
      </c>
      <c r="L296" s="1312">
        <f>IF(AND(C296&gt;$F$61,'Instrumentos Financeiros'!C296&lt;'Instrumentos Financeiros'!$F$61+'Instrumentos Financeiros'!$F$11+1),PMT(((1+'Instrumentos Financeiros'!$G$43)^(1/12)-1),$F$11,-$I$61),0)</f>
        <v>0</v>
      </c>
      <c r="M296" s="1312">
        <f t="shared" si="175"/>
        <v>0</v>
      </c>
      <c r="N296" s="1312">
        <f>O295*((1+'Instrumentos Financeiros'!$G$43)^(1/12)-1)</f>
        <v>0</v>
      </c>
      <c r="O296" s="1312">
        <f t="shared" si="193"/>
        <v>0</v>
      </c>
      <c r="P296" s="1312">
        <f>IF(AND(C296&gt;$F$62,'Instrumentos Financeiros'!C296&lt;'Instrumentos Financeiros'!$F$62+'Instrumentos Financeiros'!$F$11+1),PMT(((1+'Instrumentos Financeiros'!$H$43)^(1/12)-1),$F$11,-$I$62),0)</f>
        <v>0</v>
      </c>
      <c r="Q296" s="1312">
        <f t="shared" si="176"/>
        <v>0</v>
      </c>
      <c r="R296" s="1312">
        <f>S295*((1+'Instrumentos Financeiros'!$H$43)^(1/12)-1)</f>
        <v>0</v>
      </c>
      <c r="S296" s="1312">
        <f t="shared" si="194"/>
        <v>0</v>
      </c>
      <c r="T296" s="1312">
        <f>IF(AND(C296&gt;$F$63,'Instrumentos Financeiros'!C296&lt;'Instrumentos Financeiros'!$F$63+'Instrumentos Financeiros'!$F$11+1),PMT(((1+'Instrumentos Financeiros'!$H$43)^(1/12)-1),$F$11,-$I$63),0)</f>
        <v>0</v>
      </c>
      <c r="U296" s="1312">
        <f t="shared" si="177"/>
        <v>0</v>
      </c>
      <c r="V296" s="1312">
        <f>W295*((1+'Instrumentos Financeiros'!$H$43)^(1/12)-1)</f>
        <v>0</v>
      </c>
      <c r="W296" s="1312">
        <f t="shared" si="195"/>
        <v>0</v>
      </c>
      <c r="X296" s="1312">
        <f>IF(AND(C296&gt;$F$64,'Instrumentos Financeiros'!C296&lt;'Instrumentos Financeiros'!$F$64+'Instrumentos Financeiros'!$F$11+1),PMT(((1+'Instrumentos Financeiros'!$H$43)^(1/12)-1),$F$11,-$I$64),0)</f>
        <v>0</v>
      </c>
      <c r="Y296" s="1312">
        <f t="shared" si="178"/>
        <v>0</v>
      </c>
      <c r="Z296" s="1312">
        <f>AA295*((1+'Instrumentos Financeiros'!$H$43)^(1/12)-1)</f>
        <v>0</v>
      </c>
      <c r="AA296" s="1312">
        <f t="shared" si="196"/>
        <v>0</v>
      </c>
      <c r="AB296" s="1312">
        <f>IF(AND(C296&gt;$F$65,'Instrumentos Financeiros'!C296&lt;'Instrumentos Financeiros'!$F$65+'Instrumentos Financeiros'!$F$11+1),PMT(((1+'Instrumentos Financeiros'!$H$43)^(1/12)-1),$F$11,-$I$65),0)</f>
        <v>76636.661022032335</v>
      </c>
      <c r="AC296" s="1312">
        <f t="shared" si="179"/>
        <v>58648.6665898836</v>
      </c>
      <c r="AD296" s="1312">
        <f>AE295*((1+'Instrumentos Financeiros'!$H$43)^(1/12)-1)</f>
        <v>17987.994432148735</v>
      </c>
      <c r="AE296" s="1312">
        <f t="shared" si="197"/>
        <v>4101376.6580872354</v>
      </c>
      <c r="AF296" s="1312">
        <f>IF(AND(C296&gt;$F$66,'Instrumentos Financeiros'!C296&lt;'Instrumentos Financeiros'!$F$66+'Instrumentos Financeiros'!$F$11+1),PMT(((1+'Instrumentos Financeiros'!$I$43)^(1/12)-1),$F$11,-$I$66),0)</f>
        <v>76636.661022032335</v>
      </c>
      <c r="AG296" s="1312">
        <f t="shared" si="180"/>
        <v>57894.406426190995</v>
      </c>
      <c r="AH296" s="1312">
        <f>AI295*((1+'Instrumentos Financeiros'!$I$43)^(1/12)-1)</f>
        <v>18742.254595841343</v>
      </c>
      <c r="AI296" s="1312">
        <f t="shared" si="198"/>
        <v>4276566.2281011734</v>
      </c>
      <c r="AJ296" s="1312">
        <f>IF(AND(C296&gt;$F$67,'Instrumentos Financeiros'!C296&lt;'Instrumentos Financeiros'!$F$67+'Instrumentos Financeiros'!$F$11+1),PMT(((1+'Instrumentos Financeiros'!$I$43)^(1/12)-1),$F$11,-$I$67),0)</f>
        <v>76636.661022032335</v>
      </c>
      <c r="AK296" s="1312">
        <f t="shared" si="181"/>
        <v>57149.846540912418</v>
      </c>
      <c r="AL296" s="1312">
        <f>AM295*((1+'Instrumentos Financeiros'!$I$43)^(1/12)-1)</f>
        <v>19486.81448111992</v>
      </c>
      <c r="AM296" s="1312">
        <f t="shared" si="199"/>
        <v>4449502.7458048193</v>
      </c>
      <c r="AN296" s="1312">
        <f>IF(AND(C296&gt;$F$68,'Instrumentos Financeiros'!C296&lt;'Instrumentos Financeiros'!$F$68+'Instrumentos Financeiros'!$F$11+1),PMT(((1+'Instrumentos Financeiros'!$I$43)^(1/12)-1),$F$11,-$I$68),0)</f>
        <v>76636.661022032335</v>
      </c>
      <c r="AO296" s="1312">
        <f t="shared" si="182"/>
        <v>56414.862182130906</v>
      </c>
      <c r="AP296" s="1312">
        <f>AQ295*((1+'Instrumentos Financeiros'!$I$43)^(1/12)-1)</f>
        <v>20221.798839901428</v>
      </c>
      <c r="AQ296" s="1312">
        <f t="shared" si="200"/>
        <v>4620215.1869226536</v>
      </c>
      <c r="AR296" s="1312">
        <f>IF(AND(C296&gt;$F$69,'Instrumentos Financeiros'!C296&lt;'Instrumentos Financeiros'!$F$69+'Instrumentos Financeiros'!$F$11+1),PMT(((1+'Instrumentos Financeiros'!$I$43)^(1/12)-1),$F$11,-$I$69),0)</f>
        <v>0</v>
      </c>
      <c r="AS296" s="1312">
        <f t="shared" si="183"/>
        <v>0</v>
      </c>
      <c r="AT296" s="1312">
        <f>AU295*((1+'Instrumentos Financeiros'!$I$43)^(1/12)-1)</f>
        <v>0</v>
      </c>
      <c r="AU296" s="1312">
        <f t="shared" si="201"/>
        <v>0</v>
      </c>
      <c r="AV296" s="1312">
        <f>IF(AND(C296&gt;$F$70,'Instrumentos Financeiros'!C296&lt;'Instrumentos Financeiros'!$F$70+'Instrumentos Financeiros'!$F$11+1),PMT(((1+'Instrumentos Financeiros'!$J$43)^(1/12)-1),$F$11,-$I$70),0)</f>
        <v>0</v>
      </c>
      <c r="AW296" s="1312">
        <f t="shared" si="184"/>
        <v>0</v>
      </c>
      <c r="AX296" s="1312">
        <f>AY295*((1+'Instrumentos Financeiros'!$J$43)^(1/12)-1)</f>
        <v>0</v>
      </c>
      <c r="AY296" s="1312">
        <f t="shared" si="202"/>
        <v>0</v>
      </c>
      <c r="AZ296" s="1312">
        <f>IF(AND(C296&gt;$F$71,'Instrumentos Financeiros'!C296&lt;'Instrumentos Financeiros'!$F$71+'Instrumentos Financeiros'!$F$11+1),PMT(((1+'Instrumentos Financeiros'!$J$43)^(1/12)-1),$F$11,-$I$71),0)</f>
        <v>0</v>
      </c>
      <c r="BA296" s="1312">
        <f t="shared" si="185"/>
        <v>0</v>
      </c>
      <c r="BB296" s="1312">
        <f>BC295*((1+'Instrumentos Financeiros'!$J$43)^(1/12)-1)</f>
        <v>0</v>
      </c>
      <c r="BC296" s="1312">
        <f t="shared" si="203"/>
        <v>0</v>
      </c>
      <c r="BD296" s="1312">
        <f>IF(AND(C296&gt;$F$72,'Instrumentos Financeiros'!C296&lt;'Instrumentos Financeiros'!$F$72+'Instrumentos Financeiros'!$F$11+1),PMT(((1+'Instrumentos Financeiros'!$J$43)^(1/12)-1),$F$11,-'Instrumentos Financeiros'!$G$7*$G$72),0)</f>
        <v>0</v>
      </c>
      <c r="BE296" s="1312">
        <f t="shared" si="186"/>
        <v>0</v>
      </c>
      <c r="BF296" s="1312">
        <f>BG295*((1+'Instrumentos Financeiros'!$J$43)^(1/12)-1)</f>
        <v>0</v>
      </c>
      <c r="BG296" s="1312">
        <f t="shared" si="204"/>
        <v>0</v>
      </c>
      <c r="BH296" s="1312">
        <f>IF(AND(C296&gt;$F$73,'Instrumentos Financeiros'!C296&lt;'Instrumentos Financeiros'!$F$73+'Instrumentos Financeiros'!$F$11+1),PMT(((1+'Instrumentos Financeiros'!$J$43)^(1/12)-1),$F$11,-$I$73),0)</f>
        <v>0</v>
      </c>
      <c r="BI296" s="1312">
        <f t="shared" si="187"/>
        <v>0</v>
      </c>
      <c r="BJ296" s="1312">
        <f>BK295*((1+'Instrumentos Financeiros'!$J$43)^(1/12)-1)</f>
        <v>0</v>
      </c>
      <c r="BK296" s="1312">
        <f t="shared" si="205"/>
        <v>0</v>
      </c>
      <c r="BL296" s="1312">
        <f>IF(AND(C296&gt;$F$77,'Instrumentos Financeiros'!C296&lt;'Instrumentos Financeiros'!$F$77+'Instrumentos Financeiros'!$F$12+1),PMT(((1+'Instrumentos Financeiros'!$K$43)^(1/12)-1),$F$12,-$I$77),0)</f>
        <v>368.57912678094596</v>
      </c>
      <c r="BM296" s="1312">
        <f t="shared" si="206"/>
        <v>267.83427700596303</v>
      </c>
      <c r="BN296" s="1312">
        <f>BO295*((1+'Instrumentos Financeiros'!$K$43)^(1/12)-1)</f>
        <v>100.7448497749829</v>
      </c>
      <c r="BO296" s="1312">
        <f t="shared" si="207"/>
        <v>23031.101464584521</v>
      </c>
      <c r="BP296" s="1312">
        <f>IF(AND(C296&gt;$F$78,'Instrumentos Financeiros'!C296&lt;'Instrumentos Financeiros'!$F$78+'Instrumentos Financeiros'!$F$12+1),PMT(((1+'Instrumentos Financeiros'!$L$43)^(1/12)-1),$F$12,-$I$78),0)</f>
        <v>368.57912678094596</v>
      </c>
      <c r="BQ296" s="1312">
        <f t="shared" si="208"/>
        <v>264.38975324501098</v>
      </c>
      <c r="BR296" s="1312">
        <f>BS295*((1+'Instrumentos Financeiros'!$L$43)^(1/12)-1)</f>
        <v>104.18937353593495</v>
      </c>
      <c r="BS296" s="1312">
        <f t="shared" si="209"/>
        <v>23831.14986383939</v>
      </c>
      <c r="BT296" s="1312">
        <f>IF(AND(C296&gt;$F$79,'Instrumentos Financeiros'!C296&lt;'Instrumentos Financeiros'!$F$79+'Instrumentos Financeiros'!$F$12+1),PMT(((1+'Instrumentos Financeiros'!$L$43)^(1/12)-1),$F$12,-$I$79),0)</f>
        <v>368.57912678094596</v>
      </c>
      <c r="BU296" s="1312">
        <f t="shared" si="210"/>
        <v>260.9895283097074</v>
      </c>
      <c r="BV296" s="1312">
        <f>BW295*((1+'Instrumentos Financeiros'!$L$43)^(1/12)-1)</f>
        <v>107.58959847123856</v>
      </c>
      <c r="BW296" s="1312">
        <f t="shared" si="211"/>
        <v>24620.909118060426</v>
      </c>
      <c r="BX296" s="1312">
        <f>IF(AND(C296&gt;$F$80,'Instrumentos Financeiros'!C296&lt;'Instrumentos Financeiros'!$F$80+'Instrumentos Financeiros'!$F$12+1),PMT(((1+'Instrumentos Financeiros'!$L$43)^(1/12)-1),$F$12,-$I$80),0)</f>
        <v>368.57912678094596</v>
      </c>
      <c r="BY296" s="1312">
        <f t="shared" si="212"/>
        <v>257.63303248821683</v>
      </c>
      <c r="BZ296" s="1312">
        <f>CA295*((1+'Instrumentos Financeiros'!$L$43)^(1/12)-1)</f>
        <v>110.94609429272911</v>
      </c>
      <c r="CA296" s="1312">
        <f t="shared" si="213"/>
        <v>25400.511552373995</v>
      </c>
      <c r="CB296" s="1312">
        <f>IF(AND(C296&gt;$F$83,'Instrumentos Financeiros'!C296&lt;'Instrumentos Financeiros'!$F$83+'Instrumentos Financeiros'!$F$13+1),PMT(((1+'Instrumentos Financeiros'!$P$43)^(1/12)-1),$F$13,-$I$83),0)</f>
        <v>30503.390100238979</v>
      </c>
      <c r="CC296" s="1312">
        <f t="shared" si="214"/>
        <v>16246.755311914803</v>
      </c>
      <c r="CD296" s="1312">
        <f>CE295*((1+'Instrumentos Financeiros'!$P$43)^(1/12)-1)</f>
        <v>14256.634788324176</v>
      </c>
      <c r="CE296" s="1312">
        <f t="shared" si="215"/>
        <v>3280839.0864595422</v>
      </c>
      <c r="CF296" s="1312">
        <f>IF(AND(C296&gt;$F$84,'Instrumentos Financeiros'!C296&lt;'Instrumentos Financeiros'!$F$84+'Instrumentos Financeiros'!$F$13+1),PMT(((1+'Instrumentos Financeiros'!$Q$43)^(1/12)-1),$F$13,-$I$84),0)</f>
        <v>30503.390100238979</v>
      </c>
      <c r="CG296" s="1312">
        <f t="shared" si="216"/>
        <v>16037.811425658534</v>
      </c>
      <c r="CH296" s="1312">
        <f>CI295*((1+'Instrumentos Financeiros'!$Q$43)^(1/12)-1)</f>
        <v>14465.578674580445</v>
      </c>
      <c r="CI296" s="1312">
        <f t="shared" si="217"/>
        <v>3329369.8074922855</v>
      </c>
      <c r="CJ296" s="1312">
        <f>IF(AND(C296&gt;$F$85,'Instrumentos Financeiros'!C296&lt;'Instrumentos Financeiros'!$F$85+'Instrumentos Financeiros'!$F$13+1),PMT(((1+'Instrumentos Financeiros'!$Q$43)^(1/12)-1),$F$13,-$I$85),0)</f>
        <v>30503.390100238979</v>
      </c>
      <c r="CK296" s="1312">
        <f t="shared" si="218"/>
        <v>15831.554694268925</v>
      </c>
      <c r="CL296" s="1312">
        <f>CM295*((1+'Instrumentos Financeiros'!$Q$43)^(1/12)-1)</f>
        <v>14671.835405970054</v>
      </c>
      <c r="CM296" s="1312">
        <f t="shared" si="219"/>
        <v>3377276.3917505946</v>
      </c>
      <c r="CN296" s="1312">
        <f>IF(AND(C296&gt;$F$86,'Instrumentos Financeiros'!C296&lt;'Instrumentos Financeiros'!$F$86+'Instrumentos Financeiros'!$F$13+1),PMT(((1+'Instrumentos Financeiros'!$Q$43)^(1/12)-1),$F$13,-$I$86),0)</f>
        <v>30503.390100238979</v>
      </c>
      <c r="CO296" s="1312">
        <f t="shared" si="220"/>
        <v>15627.950559179048</v>
      </c>
      <c r="CP296" s="1312">
        <f>CQ295*((1+'Instrumentos Financeiros'!$Q$43)^(1/12)-1)</f>
        <v>14875.439541059932</v>
      </c>
      <c r="CQ296" s="1312">
        <f t="shared" si="221"/>
        <v>3424566.8660410969</v>
      </c>
      <c r="CR296" s="1312">
        <f t="shared" si="190"/>
        <v>521803.11063210916</v>
      </c>
      <c r="CS296" s="1312">
        <f t="shared" si="190"/>
        <v>371613.03207620827</v>
      </c>
      <c r="CT296" s="1312">
        <f t="shared" si="190"/>
        <v>150190.07855590092</v>
      </c>
      <c r="CU296" s="1312">
        <f t="shared" si="190"/>
        <v>34569007.720006816</v>
      </c>
    </row>
    <row r="297" spans="3:99" x14ac:dyDescent="0.35">
      <c r="C297" s="1316">
        <f t="shared" si="191"/>
        <v>204</v>
      </c>
      <c r="D297" s="1313">
        <f>IF(AND(C297&gt;$F$59,'Instrumentos Financeiros'!C297&lt;'Instrumentos Financeiros'!$F$59+'Instrumentos Financeiros'!$F$11+1),PMT(((1+'Instrumentos Financeiros'!$G$43)^(1/12)-1),$F$11,-$I$59),0)</f>
        <v>91768.589635900134</v>
      </c>
      <c r="E297" s="1313">
        <f t="shared" si="188"/>
        <v>77023.448031118955</v>
      </c>
      <c r="F297" s="1313">
        <f>G296*((1+'Instrumentos Financeiros'!$G$43)^(1/12)-1)</f>
        <v>14745.141604781174</v>
      </c>
      <c r="G297" s="1313">
        <f t="shared" si="222"/>
        <v>3535387.629317435</v>
      </c>
      <c r="H297" s="1313">
        <f>IF(AND(C297&gt;$F$60,'Instrumentos Financeiros'!C297&lt;'Instrumentos Financeiros'!$F$60+'Instrumentos Financeiros'!$F$11+1),PMT(((1+'Instrumentos Financeiros'!$G$43)^(1/12)-1),$F$11,-$I$60),0)</f>
        <v>0</v>
      </c>
      <c r="I297" s="1313">
        <f t="shared" si="174"/>
        <v>0</v>
      </c>
      <c r="J297" s="1313">
        <f>K296*((1+'Instrumentos Financeiros'!$G$43)^(1/12)-1)</f>
        <v>0</v>
      </c>
      <c r="K297" s="1313">
        <f t="shared" si="192"/>
        <v>0</v>
      </c>
      <c r="L297" s="1313">
        <f>IF(AND(C297&gt;$F$61,'Instrumentos Financeiros'!C297&lt;'Instrumentos Financeiros'!$F$61+'Instrumentos Financeiros'!$F$11+1),PMT(((1+'Instrumentos Financeiros'!$G$43)^(1/12)-1),$F$11,-$I$61),0)</f>
        <v>0</v>
      </c>
      <c r="M297" s="1313">
        <f t="shared" si="175"/>
        <v>0</v>
      </c>
      <c r="N297" s="1313">
        <f>O296*((1+'Instrumentos Financeiros'!$G$43)^(1/12)-1)</f>
        <v>0</v>
      </c>
      <c r="O297" s="1313">
        <f t="shared" si="193"/>
        <v>0</v>
      </c>
      <c r="P297" s="1313">
        <f>IF(AND(C297&gt;$F$62,'Instrumentos Financeiros'!C297&lt;'Instrumentos Financeiros'!$F$62+'Instrumentos Financeiros'!$F$11+1),PMT(((1+'Instrumentos Financeiros'!$H$43)^(1/12)-1),$F$11,-$I$62),0)</f>
        <v>0</v>
      </c>
      <c r="Q297" s="1313">
        <f t="shared" si="176"/>
        <v>0</v>
      </c>
      <c r="R297" s="1313">
        <f>S296*((1+'Instrumentos Financeiros'!$H$43)^(1/12)-1)</f>
        <v>0</v>
      </c>
      <c r="S297" s="1313">
        <f t="shared" si="194"/>
        <v>0</v>
      </c>
      <c r="T297" s="1313">
        <f>IF(AND(C297&gt;$F$63,'Instrumentos Financeiros'!C297&lt;'Instrumentos Financeiros'!$F$63+'Instrumentos Financeiros'!$F$11+1),PMT(((1+'Instrumentos Financeiros'!$H$43)^(1/12)-1),$F$11,-$I$63),0)</f>
        <v>0</v>
      </c>
      <c r="U297" s="1313">
        <f t="shared" si="177"/>
        <v>0</v>
      </c>
      <c r="V297" s="1313">
        <f>W296*((1+'Instrumentos Financeiros'!$H$43)^(1/12)-1)</f>
        <v>0</v>
      </c>
      <c r="W297" s="1313">
        <f t="shared" si="195"/>
        <v>0</v>
      </c>
      <c r="X297" s="1313">
        <f>IF(AND(C297&gt;$F$64,'Instrumentos Financeiros'!C297&lt;'Instrumentos Financeiros'!$F$64+'Instrumentos Financeiros'!$F$11+1),PMT(((1+'Instrumentos Financeiros'!$H$43)^(1/12)-1),$F$11,-$I$64),0)</f>
        <v>0</v>
      </c>
      <c r="Y297" s="1313">
        <f t="shared" si="178"/>
        <v>0</v>
      </c>
      <c r="Z297" s="1313">
        <f>AA296*((1+'Instrumentos Financeiros'!$H$43)^(1/12)-1)</f>
        <v>0</v>
      </c>
      <c r="AA297" s="1313">
        <f t="shared" si="196"/>
        <v>0</v>
      </c>
      <c r="AB297" s="1313">
        <f>IF(AND(C297&gt;$F$65,'Instrumentos Financeiros'!C297&lt;'Instrumentos Financeiros'!$F$65+'Instrumentos Financeiros'!$F$11+1),PMT(((1+'Instrumentos Financeiros'!$H$43)^(1/12)-1),$F$11,-$I$65),0)</f>
        <v>76636.661022032335</v>
      </c>
      <c r="AC297" s="1313">
        <f t="shared" si="179"/>
        <v>58902.264057623455</v>
      </c>
      <c r="AD297" s="1313">
        <f>AE296*((1+'Instrumentos Financeiros'!$H$43)^(1/12)-1)</f>
        <v>17734.396964408883</v>
      </c>
      <c r="AE297" s="1313">
        <f t="shared" si="197"/>
        <v>4042474.3940296117</v>
      </c>
      <c r="AF297" s="1313">
        <f>IF(AND(C297&gt;$F$66,'Instrumentos Financeiros'!C297&lt;'Instrumentos Financeiros'!$F$66+'Instrumentos Financeiros'!$F$11+1),PMT(((1+'Instrumentos Financeiros'!$I$43)^(1/12)-1),$F$11,-$I$66),0)</f>
        <v>76636.661022032335</v>
      </c>
      <c r="AG297" s="1313">
        <f t="shared" si="180"/>
        <v>58144.742464837036</v>
      </c>
      <c r="AH297" s="1313">
        <f>AI296*((1+'Instrumentos Financeiros'!$I$43)^(1/12)-1)</f>
        <v>18491.918557195298</v>
      </c>
      <c r="AI297" s="1313">
        <f t="shared" si="198"/>
        <v>4218421.4856363367</v>
      </c>
      <c r="AJ297" s="1313">
        <f>IF(AND(C297&gt;$F$67,'Instrumentos Financeiros'!C297&lt;'Instrumentos Financeiros'!$F$67+'Instrumentos Financeiros'!$F$11+1),PMT(((1+'Instrumentos Financeiros'!$I$43)^(1/12)-1),$F$11,-$I$67),0)</f>
        <v>76636.661022032335</v>
      </c>
      <c r="AK297" s="1313">
        <f t="shared" si="181"/>
        <v>57396.963094573264</v>
      </c>
      <c r="AL297" s="1313">
        <f>AM296*((1+'Instrumentos Financeiros'!$I$43)^(1/12)-1)</f>
        <v>19239.697927459067</v>
      </c>
      <c r="AM297" s="1313">
        <f t="shared" si="199"/>
        <v>4392105.7827102458</v>
      </c>
      <c r="AN297" s="1313">
        <f>IF(AND(C297&gt;$F$68,'Instrumentos Financeiros'!C297&lt;'Instrumentos Financeiros'!$F$68+'Instrumentos Financeiros'!$F$11+1),PMT(((1+'Instrumentos Financeiros'!$I$43)^(1/12)-1),$F$11,-$I$68),0)</f>
        <v>76636.661022032335</v>
      </c>
      <c r="AO297" s="1313">
        <f t="shared" si="182"/>
        <v>56658.800655486564</v>
      </c>
      <c r="AP297" s="1313">
        <f>AQ296*((1+'Instrumentos Financeiros'!$I$43)^(1/12)-1)</f>
        <v>19977.86036654577</v>
      </c>
      <c r="AQ297" s="1313">
        <f t="shared" si="200"/>
        <v>4563556.3862671666</v>
      </c>
      <c r="AR297" s="1313">
        <f>IF(AND(C297&gt;$F$69,'Instrumentos Financeiros'!C297&lt;'Instrumentos Financeiros'!$F$69+'Instrumentos Financeiros'!$F$11+1),PMT(((1+'Instrumentos Financeiros'!$I$43)^(1/12)-1),$F$11,-$I$69),0)</f>
        <v>0</v>
      </c>
      <c r="AS297" s="1313">
        <f t="shared" si="183"/>
        <v>0</v>
      </c>
      <c r="AT297" s="1313">
        <f>AU296*((1+'Instrumentos Financeiros'!$I$43)^(1/12)-1)</f>
        <v>0</v>
      </c>
      <c r="AU297" s="1313">
        <f t="shared" si="201"/>
        <v>0</v>
      </c>
      <c r="AV297" s="1313">
        <f>IF(AND(C297&gt;$F$70,'Instrumentos Financeiros'!C297&lt;'Instrumentos Financeiros'!$F$70+'Instrumentos Financeiros'!$F$11+1),PMT(((1+'Instrumentos Financeiros'!$J$43)^(1/12)-1),$F$11,-$I$70),0)</f>
        <v>0</v>
      </c>
      <c r="AW297" s="1313">
        <f t="shared" si="184"/>
        <v>0</v>
      </c>
      <c r="AX297" s="1313">
        <f>AY296*((1+'Instrumentos Financeiros'!$J$43)^(1/12)-1)</f>
        <v>0</v>
      </c>
      <c r="AY297" s="1313">
        <f t="shared" si="202"/>
        <v>0</v>
      </c>
      <c r="AZ297" s="1313">
        <f>IF(AND(C297&gt;$F$71,'Instrumentos Financeiros'!C297&lt;'Instrumentos Financeiros'!$F$71+'Instrumentos Financeiros'!$F$11+1),PMT(((1+'Instrumentos Financeiros'!$J$43)^(1/12)-1),$F$11,-$I$71),0)</f>
        <v>0</v>
      </c>
      <c r="BA297" s="1313">
        <f t="shared" si="185"/>
        <v>0</v>
      </c>
      <c r="BB297" s="1313">
        <f>BC296*((1+'Instrumentos Financeiros'!$J$43)^(1/12)-1)</f>
        <v>0</v>
      </c>
      <c r="BC297" s="1313">
        <f t="shared" si="203"/>
        <v>0</v>
      </c>
      <c r="BD297" s="1313">
        <f>IF(AND(C297&gt;$F$72,'Instrumentos Financeiros'!C297&lt;'Instrumentos Financeiros'!$F$72+'Instrumentos Financeiros'!$F$11+1),PMT(((1+'Instrumentos Financeiros'!$J$43)^(1/12)-1),$F$11,-'Instrumentos Financeiros'!$G$7*$G$72),0)</f>
        <v>0</v>
      </c>
      <c r="BE297" s="1313">
        <f t="shared" si="186"/>
        <v>0</v>
      </c>
      <c r="BF297" s="1313">
        <f>BG296*((1+'Instrumentos Financeiros'!$J$43)^(1/12)-1)</f>
        <v>0</v>
      </c>
      <c r="BG297" s="1313">
        <f t="shared" si="204"/>
        <v>0</v>
      </c>
      <c r="BH297" s="1313">
        <f>IF(AND(C297&gt;$F$73,'Instrumentos Financeiros'!C297&lt;'Instrumentos Financeiros'!$F$73+'Instrumentos Financeiros'!$F$11+1),PMT(((1+'Instrumentos Financeiros'!$J$43)^(1/12)-1),$F$11,-$I$73),0)</f>
        <v>0</v>
      </c>
      <c r="BI297" s="1313">
        <f t="shared" si="187"/>
        <v>0</v>
      </c>
      <c r="BJ297" s="1313">
        <f>BK296*((1+'Instrumentos Financeiros'!$J$43)^(1/12)-1)</f>
        <v>0</v>
      </c>
      <c r="BK297" s="1313">
        <f t="shared" si="205"/>
        <v>0</v>
      </c>
      <c r="BL297" s="1313">
        <f>IF(AND(C297&gt;$F$77,'Instrumentos Financeiros'!C297&lt;'Instrumentos Financeiros'!$F$77+'Instrumentos Financeiros'!$F$12+1),PMT(((1+'Instrumentos Financeiros'!$K$43)^(1/12)-1),$F$12,-$I$77),0)</f>
        <v>368.57912678094596</v>
      </c>
      <c r="BM297" s="1313">
        <f t="shared" si="206"/>
        <v>268.9923953123452</v>
      </c>
      <c r="BN297" s="1313">
        <f>BO296*((1+'Instrumentos Financeiros'!$K$43)^(1/12)-1)</f>
        <v>99.586731468600746</v>
      </c>
      <c r="BO297" s="1313">
        <f t="shared" si="207"/>
        <v>22762.109069272177</v>
      </c>
      <c r="BP297" s="1313">
        <f>IF(AND(C297&gt;$F$78,'Instrumentos Financeiros'!C297&lt;'Instrumentos Financeiros'!$F$78+'Instrumentos Financeiros'!$F$12+1),PMT(((1+'Instrumentos Financeiros'!$L$43)^(1/12)-1),$F$12,-$I$78),0)</f>
        <v>368.57912678094596</v>
      </c>
      <c r="BQ297" s="1313">
        <f t="shared" si="208"/>
        <v>265.53297739344993</v>
      </c>
      <c r="BR297" s="1313">
        <f>BS296*((1+'Instrumentos Financeiros'!$L$43)^(1/12)-1)</f>
        <v>103.04614938749602</v>
      </c>
      <c r="BS297" s="1313">
        <f t="shared" si="209"/>
        <v>23565.61688644594</v>
      </c>
      <c r="BT297" s="1313">
        <f>IF(AND(C297&gt;$F$79,'Instrumentos Financeiros'!C297&lt;'Instrumentos Financeiros'!$F$79+'Instrumentos Financeiros'!$F$12+1),PMT(((1+'Instrumentos Financeiros'!$L$43)^(1/12)-1),$F$12,-$I$79),0)</f>
        <v>368.57912678094596</v>
      </c>
      <c r="BU297" s="1313">
        <f t="shared" si="210"/>
        <v>262.11804984880371</v>
      </c>
      <c r="BV297" s="1313">
        <f>BW296*((1+'Instrumentos Financeiros'!$L$43)^(1/12)-1)</f>
        <v>106.46107693214228</v>
      </c>
      <c r="BW297" s="1313">
        <f t="shared" si="211"/>
        <v>24358.791068211623</v>
      </c>
      <c r="BX297" s="1313">
        <f>IF(AND(C297&gt;$F$80,'Instrumentos Financeiros'!C297&lt;'Instrumentos Financeiros'!$F$80+'Instrumentos Financeiros'!$F$12+1),PMT(((1+'Instrumentos Financeiros'!$L$43)^(1/12)-1),$F$12,-$I$80),0)</f>
        <v>368.57912678094596</v>
      </c>
      <c r="BY297" s="1313">
        <f t="shared" si="212"/>
        <v>258.74704050313085</v>
      </c>
      <c r="BZ297" s="1313">
        <f>CA296*((1+'Instrumentos Financeiros'!$L$43)^(1/12)-1)</f>
        <v>109.83208627781508</v>
      </c>
      <c r="CA297" s="1313">
        <f t="shared" si="213"/>
        <v>25141.764511870864</v>
      </c>
      <c r="CB297" s="1313">
        <f>IF(AND(C297&gt;$F$83,'Instrumentos Financeiros'!C297&lt;'Instrumentos Financeiros'!$F$83+'Instrumentos Financeiros'!$F$13+1),PMT(((1+'Instrumentos Financeiros'!$P$43)^(1/12)-1),$F$13,-$I$83),0)</f>
        <v>30503.390100238979</v>
      </c>
      <c r="CC297" s="1313">
        <f t="shared" si="214"/>
        <v>16317.006457348369</v>
      </c>
      <c r="CD297" s="1313">
        <f>CE296*((1+'Instrumentos Financeiros'!$P$43)^(1/12)-1)</f>
        <v>14186.383642890611</v>
      </c>
      <c r="CE297" s="1313">
        <f t="shared" si="215"/>
        <v>3264522.0800021938</v>
      </c>
      <c r="CF297" s="1313">
        <f>IF(AND(C297&gt;$F$84,'Instrumentos Financeiros'!C297&lt;'Instrumentos Financeiros'!$F$84+'Instrumentos Financeiros'!$F$13+1),PMT(((1+'Instrumentos Financeiros'!$Q$43)^(1/12)-1),$F$13,-$I$84),0)</f>
        <v>30503.390100238979</v>
      </c>
      <c r="CG297" s="1313">
        <f t="shared" si="216"/>
        <v>16107.159095471334</v>
      </c>
      <c r="CH297" s="1313">
        <f>CI296*((1+'Instrumentos Financeiros'!$Q$43)^(1/12)-1)</f>
        <v>14396.231004767646</v>
      </c>
      <c r="CI297" s="1313">
        <f t="shared" si="217"/>
        <v>3313262.6483968142</v>
      </c>
      <c r="CJ297" s="1313">
        <f>IF(AND(C297&gt;$F$85,'Instrumentos Financeiros'!C297&lt;'Instrumentos Financeiros'!$F$85+'Instrumentos Financeiros'!$F$13+1),PMT(((1+'Instrumentos Financeiros'!$Q$43)^(1/12)-1),$F$13,-$I$85),0)</f>
        <v>30503.390100238979</v>
      </c>
      <c r="CK297" s="1313">
        <f t="shared" si="218"/>
        <v>15900.010507747626</v>
      </c>
      <c r="CL297" s="1313">
        <f>CM296*((1+'Instrumentos Financeiros'!$Q$43)^(1/12)-1)</f>
        <v>14603.379592491354</v>
      </c>
      <c r="CM297" s="1313">
        <f t="shared" si="219"/>
        <v>3361376.3812428471</v>
      </c>
      <c r="CN297" s="1313">
        <f>IF(AND(C297&gt;$F$86,'Instrumentos Financeiros'!C297&lt;'Instrumentos Financeiros'!$F$86+'Instrumentos Financeiros'!$F$13+1),PMT(((1+'Instrumentos Financeiros'!$Q$43)^(1/12)-1),$F$13,-$I$86),0)</f>
        <v>30503.390100238979</v>
      </c>
      <c r="CO297" s="1313">
        <f t="shared" si="220"/>
        <v>15695.525986178696</v>
      </c>
      <c r="CP297" s="1313">
        <f>CQ296*((1+'Instrumentos Financeiros'!$Q$43)^(1/12)-1)</f>
        <v>14807.864114060283</v>
      </c>
      <c r="CQ297" s="1313">
        <f t="shared" si="221"/>
        <v>3408871.3400549181</v>
      </c>
      <c r="CR297" s="1313">
        <f t="shared" si="190"/>
        <v>521803.11063210916</v>
      </c>
      <c r="CS297" s="1313">
        <f t="shared" si="190"/>
        <v>373201.31081344304</v>
      </c>
      <c r="CT297" s="1313">
        <f t="shared" si="190"/>
        <v>148601.79981866613</v>
      </c>
      <c r="CU297" s="1313">
        <f t="shared" si="190"/>
        <v>34195806.409193367</v>
      </c>
    </row>
    <row r="298" spans="3:99" x14ac:dyDescent="0.35">
      <c r="C298" s="1315">
        <f t="shared" si="191"/>
        <v>205</v>
      </c>
      <c r="D298" s="1312">
        <f>IF(AND(C298&gt;$F$59,'Instrumentos Financeiros'!C298&lt;'Instrumentos Financeiros'!$F$59+'Instrumentos Financeiros'!$F$11+1),PMT(((1+'Instrumentos Financeiros'!$G$43)^(1/12)-1),$F$11,-$I$59),0)</f>
        <v>91768.589635900134</v>
      </c>
      <c r="E298" s="1312">
        <f t="shared" si="188"/>
        <v>77337.842385412921</v>
      </c>
      <c r="F298" s="1312">
        <f>G297*((1+'Instrumentos Financeiros'!$G$43)^(1/12)-1)</f>
        <v>14430.747250487211</v>
      </c>
      <c r="G298" s="1312">
        <f t="shared" si="222"/>
        <v>3458049.7869320218</v>
      </c>
      <c r="H298" s="1312">
        <f>IF(AND(C298&gt;$F$60,'Instrumentos Financeiros'!C298&lt;'Instrumentos Financeiros'!$F$60+'Instrumentos Financeiros'!$F$11+1),PMT(((1+'Instrumentos Financeiros'!$G$43)^(1/12)-1),$F$11,-$I$60),0)</f>
        <v>0</v>
      </c>
      <c r="I298" s="1312">
        <f t="shared" si="174"/>
        <v>0</v>
      </c>
      <c r="J298" s="1312">
        <f>K297*((1+'Instrumentos Financeiros'!$G$43)^(1/12)-1)</f>
        <v>0</v>
      </c>
      <c r="K298" s="1312">
        <f t="shared" si="192"/>
        <v>0</v>
      </c>
      <c r="L298" s="1312">
        <f>IF(AND(C298&gt;$F$61,'Instrumentos Financeiros'!C298&lt;'Instrumentos Financeiros'!$F$61+'Instrumentos Financeiros'!$F$11+1),PMT(((1+'Instrumentos Financeiros'!$G$43)^(1/12)-1),$F$11,-$I$61),0)</f>
        <v>0</v>
      </c>
      <c r="M298" s="1312">
        <f t="shared" si="175"/>
        <v>0</v>
      </c>
      <c r="N298" s="1312">
        <f>O297*((1+'Instrumentos Financeiros'!$G$43)^(1/12)-1)</f>
        <v>0</v>
      </c>
      <c r="O298" s="1312">
        <f t="shared" si="193"/>
        <v>0</v>
      </c>
      <c r="P298" s="1312">
        <f>IF(AND(C298&gt;$F$62,'Instrumentos Financeiros'!C298&lt;'Instrumentos Financeiros'!$F$62+'Instrumentos Financeiros'!$F$11+1),PMT(((1+'Instrumentos Financeiros'!$H$43)^(1/12)-1),$F$11,-$I$62),0)</f>
        <v>0</v>
      </c>
      <c r="Q298" s="1312">
        <f t="shared" si="176"/>
        <v>0</v>
      </c>
      <c r="R298" s="1312">
        <f>S297*((1+'Instrumentos Financeiros'!$H$43)^(1/12)-1)</f>
        <v>0</v>
      </c>
      <c r="S298" s="1312">
        <f t="shared" si="194"/>
        <v>0</v>
      </c>
      <c r="T298" s="1312">
        <f>IF(AND(C298&gt;$F$63,'Instrumentos Financeiros'!C298&lt;'Instrumentos Financeiros'!$F$63+'Instrumentos Financeiros'!$F$11+1),PMT(((1+'Instrumentos Financeiros'!$H$43)^(1/12)-1),$F$11,-$I$63),0)</f>
        <v>0</v>
      </c>
      <c r="U298" s="1312">
        <f t="shared" si="177"/>
        <v>0</v>
      </c>
      <c r="V298" s="1312">
        <f>W297*((1+'Instrumentos Financeiros'!$H$43)^(1/12)-1)</f>
        <v>0</v>
      </c>
      <c r="W298" s="1312">
        <f t="shared" si="195"/>
        <v>0</v>
      </c>
      <c r="X298" s="1312">
        <f>IF(AND(C298&gt;$F$64,'Instrumentos Financeiros'!C298&lt;'Instrumentos Financeiros'!$F$64+'Instrumentos Financeiros'!$F$11+1),PMT(((1+'Instrumentos Financeiros'!$H$43)^(1/12)-1),$F$11,-$I$64),0)</f>
        <v>0</v>
      </c>
      <c r="Y298" s="1312">
        <f t="shared" si="178"/>
        <v>0</v>
      </c>
      <c r="Z298" s="1312">
        <f>AA297*((1+'Instrumentos Financeiros'!$H$43)^(1/12)-1)</f>
        <v>0</v>
      </c>
      <c r="AA298" s="1312">
        <f t="shared" si="196"/>
        <v>0</v>
      </c>
      <c r="AB298" s="1312">
        <f>IF(AND(C298&gt;$F$65,'Instrumentos Financeiros'!C298&lt;'Instrumentos Financeiros'!$F$65+'Instrumentos Financeiros'!$F$11+1),PMT(((1+'Instrumentos Financeiros'!$H$43)^(1/12)-1),$F$11,-$I$65),0)</f>
        <v>76636.661022032335</v>
      </c>
      <c r="AC298" s="1312">
        <f t="shared" si="179"/>
        <v>59156.958083552665</v>
      </c>
      <c r="AD298" s="1312">
        <f>AE297*((1+'Instrumentos Financeiros'!$H$43)^(1/12)-1)</f>
        <v>17479.70293847967</v>
      </c>
      <c r="AE298" s="1312">
        <f t="shared" si="197"/>
        <v>3983317.4359460589</v>
      </c>
      <c r="AF298" s="1312">
        <f>IF(AND(C298&gt;$F$66,'Instrumentos Financeiros'!C298&lt;'Instrumentos Financeiros'!$F$66+'Instrumentos Financeiros'!$F$11+1),PMT(((1+'Instrumentos Financeiros'!$I$43)^(1/12)-1),$F$11,-$I$66),0)</f>
        <v>76636.661022032335</v>
      </c>
      <c r="AG298" s="1312">
        <f t="shared" si="180"/>
        <v>58396.160959217807</v>
      </c>
      <c r="AH298" s="1312">
        <f>AI297*((1+'Instrumentos Financeiros'!$I$43)^(1/12)-1)</f>
        <v>18240.500062814528</v>
      </c>
      <c r="AI298" s="1312">
        <f t="shared" si="198"/>
        <v>4160025.324677119</v>
      </c>
      <c r="AJ298" s="1312">
        <f>IF(AND(C298&gt;$F$67,'Instrumentos Financeiros'!C298&lt;'Instrumentos Financeiros'!$F$67+'Instrumentos Financeiros'!$F$11+1),PMT(((1+'Instrumentos Financeiros'!$I$43)^(1/12)-1),$F$11,-$I$67),0)</f>
        <v>76636.661022032335</v>
      </c>
      <c r="AK298" s="1312">
        <f t="shared" si="181"/>
        <v>57645.148182881007</v>
      </c>
      <c r="AL298" s="1312">
        <f>AM297*((1+'Instrumentos Financeiros'!$I$43)^(1/12)-1)</f>
        <v>18991.512839151324</v>
      </c>
      <c r="AM298" s="1312">
        <f t="shared" si="199"/>
        <v>4334460.6345273647</v>
      </c>
      <c r="AN298" s="1312">
        <f>IF(AND(C298&gt;$F$68,'Instrumentos Financeiros'!C298&lt;'Instrumentos Financeiros'!$F$68+'Instrumentos Financeiros'!$F$11+1),PMT(((1+'Instrumentos Financeiros'!$I$43)^(1/12)-1),$F$11,-$I$68),0)</f>
        <v>76636.661022032335</v>
      </c>
      <c r="AO298" s="1312">
        <f t="shared" si="182"/>
        <v>56903.793921435543</v>
      </c>
      <c r="AP298" s="1312">
        <f>AQ297*((1+'Instrumentos Financeiros'!$I$43)^(1/12)-1)</f>
        <v>19732.867100596788</v>
      </c>
      <c r="AQ298" s="1312">
        <f t="shared" si="200"/>
        <v>4506652.5923457313</v>
      </c>
      <c r="AR298" s="1312">
        <f>IF(AND(C298&gt;$F$69,'Instrumentos Financeiros'!C298&lt;'Instrumentos Financeiros'!$F$69+'Instrumentos Financeiros'!$F$11+1),PMT(((1+'Instrumentos Financeiros'!$I$43)^(1/12)-1),$F$11,-$I$69),0)</f>
        <v>0</v>
      </c>
      <c r="AS298" s="1312">
        <f t="shared" si="183"/>
        <v>0</v>
      </c>
      <c r="AT298" s="1312">
        <f>AU297*((1+'Instrumentos Financeiros'!$I$43)^(1/12)-1)</f>
        <v>0</v>
      </c>
      <c r="AU298" s="1312">
        <f t="shared" si="201"/>
        <v>0</v>
      </c>
      <c r="AV298" s="1312">
        <f>IF(AND(C298&gt;$F$70,'Instrumentos Financeiros'!C298&lt;'Instrumentos Financeiros'!$F$70+'Instrumentos Financeiros'!$F$11+1),PMT(((1+'Instrumentos Financeiros'!$J$43)^(1/12)-1),$F$11,-$I$70),0)</f>
        <v>0</v>
      </c>
      <c r="AW298" s="1312">
        <f t="shared" si="184"/>
        <v>0</v>
      </c>
      <c r="AX298" s="1312">
        <f>AY297*((1+'Instrumentos Financeiros'!$J$43)^(1/12)-1)</f>
        <v>0</v>
      </c>
      <c r="AY298" s="1312">
        <f t="shared" si="202"/>
        <v>0</v>
      </c>
      <c r="AZ298" s="1312">
        <f>IF(AND(C298&gt;$F$71,'Instrumentos Financeiros'!C298&lt;'Instrumentos Financeiros'!$F$71+'Instrumentos Financeiros'!$F$11+1),PMT(((1+'Instrumentos Financeiros'!$J$43)^(1/12)-1),$F$11,-$I$71),0)</f>
        <v>0</v>
      </c>
      <c r="BA298" s="1312">
        <f t="shared" si="185"/>
        <v>0</v>
      </c>
      <c r="BB298" s="1312">
        <f>BC297*((1+'Instrumentos Financeiros'!$J$43)^(1/12)-1)</f>
        <v>0</v>
      </c>
      <c r="BC298" s="1312">
        <f t="shared" si="203"/>
        <v>0</v>
      </c>
      <c r="BD298" s="1312">
        <f>IF(AND(C298&gt;$F$72,'Instrumentos Financeiros'!C298&lt;'Instrumentos Financeiros'!$F$72+'Instrumentos Financeiros'!$F$11+1),PMT(((1+'Instrumentos Financeiros'!$J$43)^(1/12)-1),$F$11,-'Instrumentos Financeiros'!$G$7*$G$72),0)</f>
        <v>0</v>
      </c>
      <c r="BE298" s="1312">
        <f t="shared" si="186"/>
        <v>0</v>
      </c>
      <c r="BF298" s="1312">
        <f>BG297*((1+'Instrumentos Financeiros'!$J$43)^(1/12)-1)</f>
        <v>0</v>
      </c>
      <c r="BG298" s="1312">
        <f t="shared" si="204"/>
        <v>0</v>
      </c>
      <c r="BH298" s="1312">
        <f>IF(AND(C298&gt;$F$73,'Instrumentos Financeiros'!C298&lt;'Instrumentos Financeiros'!$F$73+'Instrumentos Financeiros'!$F$11+1),PMT(((1+'Instrumentos Financeiros'!$J$43)^(1/12)-1),$F$11,-$I$73),0)</f>
        <v>0</v>
      </c>
      <c r="BI298" s="1312">
        <f t="shared" si="187"/>
        <v>0</v>
      </c>
      <c r="BJ298" s="1312">
        <f>BK297*((1+'Instrumentos Financeiros'!$J$43)^(1/12)-1)</f>
        <v>0</v>
      </c>
      <c r="BK298" s="1312">
        <f t="shared" si="205"/>
        <v>0</v>
      </c>
      <c r="BL298" s="1312">
        <f>IF(AND(C298&gt;$F$77,'Instrumentos Financeiros'!C298&lt;'Instrumentos Financeiros'!$F$77+'Instrumentos Financeiros'!$F$12+1),PMT(((1+'Instrumentos Financeiros'!$K$43)^(1/12)-1),$F$12,-$I$77),0)</f>
        <v>368.57912678094596</v>
      </c>
      <c r="BM298" s="1312">
        <f t="shared" si="206"/>
        <v>270.15552133479179</v>
      </c>
      <c r="BN298" s="1312">
        <f>BO297*((1+'Instrumentos Financeiros'!$K$43)^(1/12)-1)</f>
        <v>98.423605446154156</v>
      </c>
      <c r="BO298" s="1312">
        <f t="shared" si="207"/>
        <v>22491.953547937384</v>
      </c>
      <c r="BP298" s="1312">
        <f>IF(AND(C298&gt;$F$78,'Instrumentos Financeiros'!C298&lt;'Instrumentos Financeiros'!$F$78+'Instrumentos Financeiros'!$F$12+1),PMT(((1+'Instrumentos Financeiros'!$L$43)^(1/12)-1),$F$12,-$I$78),0)</f>
        <v>368.57912678094596</v>
      </c>
      <c r="BQ298" s="1312">
        <f t="shared" si="208"/>
        <v>266.68114485545357</v>
      </c>
      <c r="BR298" s="1312">
        <f>BS297*((1+'Instrumentos Financeiros'!$L$43)^(1/12)-1)</f>
        <v>101.8979819254924</v>
      </c>
      <c r="BS298" s="1312">
        <f t="shared" si="209"/>
        <v>23298.935741590485</v>
      </c>
      <c r="BT298" s="1312">
        <f>IF(AND(C298&gt;$F$79,'Instrumentos Financeiros'!C298&lt;'Instrumentos Financeiros'!$F$79+'Instrumentos Financeiros'!$F$12+1),PMT(((1+'Instrumentos Financeiros'!$L$43)^(1/12)-1),$F$12,-$I$79),0)</f>
        <v>368.57912678094596</v>
      </c>
      <c r="BU298" s="1312">
        <f t="shared" si="210"/>
        <v>263.25145112722305</v>
      </c>
      <c r="BV298" s="1312">
        <f>BW297*((1+'Instrumentos Financeiros'!$L$43)^(1/12)-1)</f>
        <v>105.32767565372292</v>
      </c>
      <c r="BW298" s="1312">
        <f t="shared" si="211"/>
        <v>24095.5396170844</v>
      </c>
      <c r="BX298" s="1312">
        <f>IF(AND(C298&gt;$F$80,'Instrumentos Financeiros'!C298&lt;'Instrumentos Financeiros'!$F$80+'Instrumentos Financeiros'!$F$12+1),PMT(((1+'Instrumentos Financeiros'!$L$43)^(1/12)-1),$F$12,-$I$80),0)</f>
        <v>368.57912678094596</v>
      </c>
      <c r="BY298" s="1312">
        <f t="shared" si="212"/>
        <v>259.86586550073264</v>
      </c>
      <c r="BZ298" s="1312">
        <f>CA297*((1+'Instrumentos Financeiros'!$L$43)^(1/12)-1)</f>
        <v>108.71326128021329</v>
      </c>
      <c r="CA298" s="1312">
        <f t="shared" si="213"/>
        <v>24881.898646370133</v>
      </c>
      <c r="CB298" s="1312">
        <f>IF(AND(C298&gt;$F$83,'Instrumentos Financeiros'!C298&lt;'Instrumentos Financeiros'!$F$83+'Instrumentos Financeiros'!$F$13+1),PMT(((1+'Instrumentos Financeiros'!$P$43)^(1/12)-1),$F$13,-$I$83),0)</f>
        <v>30503.390100238979</v>
      </c>
      <c r="CC298" s="1312">
        <f t="shared" si="214"/>
        <v>16387.561369493502</v>
      </c>
      <c r="CD298" s="1312">
        <f>CE297*((1+'Instrumentos Financeiros'!$P$43)^(1/12)-1)</f>
        <v>14115.828730745479</v>
      </c>
      <c r="CE298" s="1312">
        <f t="shared" si="215"/>
        <v>3248134.5186327002</v>
      </c>
      <c r="CF298" s="1312">
        <f>IF(AND(C298&gt;$F$84,'Instrumentos Financeiros'!C298&lt;'Instrumentos Financeiros'!$F$84+'Instrumentos Financeiros'!$F$13+1),PMT(((1+'Instrumentos Financeiros'!$Q$43)^(1/12)-1),$F$13,-$I$84),0)</f>
        <v>30503.390100238979</v>
      </c>
      <c r="CG298" s="1312">
        <f t="shared" si="216"/>
        <v>16176.806625357358</v>
      </c>
      <c r="CH298" s="1312">
        <f>CI297*((1+'Instrumentos Financeiros'!$Q$43)^(1/12)-1)</f>
        <v>14326.583474881621</v>
      </c>
      <c r="CI298" s="1312">
        <f t="shared" si="217"/>
        <v>3297085.8417714569</v>
      </c>
      <c r="CJ298" s="1312">
        <f>IF(AND(C298&gt;$F$85,'Instrumentos Financeiros'!C298&lt;'Instrumentos Financeiros'!$F$85+'Instrumentos Financeiros'!$F$13+1),PMT(((1+'Instrumentos Financeiros'!$Q$43)^(1/12)-1),$F$13,-$I$85),0)</f>
        <v>30503.390100238979</v>
      </c>
      <c r="CK298" s="1312">
        <f t="shared" si="218"/>
        <v>15968.762324903129</v>
      </c>
      <c r="CL298" s="1312">
        <f>CM297*((1+'Instrumentos Financeiros'!$Q$43)^(1/12)-1)</f>
        <v>14534.62777533585</v>
      </c>
      <c r="CM298" s="1312">
        <f t="shared" si="219"/>
        <v>3345407.6189179439</v>
      </c>
      <c r="CN298" s="1312">
        <f>IF(AND(C298&gt;$F$86,'Instrumentos Financeiros'!C298&lt;'Instrumentos Financeiros'!$F$86+'Instrumentos Financeiros'!$F$13+1),PMT(((1+'Instrumentos Financeiros'!$Q$43)^(1/12)-1),$F$13,-$I$86),0)</f>
        <v>30503.390100238979</v>
      </c>
      <c r="CO298" s="1312">
        <f t="shared" si="220"/>
        <v>15763.393610054505</v>
      </c>
      <c r="CP298" s="1312">
        <f>CQ297*((1+'Instrumentos Financeiros'!$Q$43)^(1/12)-1)</f>
        <v>14739.996490184474</v>
      </c>
      <c r="CQ298" s="1312">
        <f t="shared" si="221"/>
        <v>3393107.9464448635</v>
      </c>
      <c r="CR298" s="1312">
        <f t="shared" si="190"/>
        <v>521803.11063210916</v>
      </c>
      <c r="CS298" s="1312">
        <f t="shared" si="190"/>
        <v>374796.38144512661</v>
      </c>
      <c r="CT298" s="1312">
        <f t="shared" si="190"/>
        <v>147006.72918698253</v>
      </c>
      <c r="CU298" s="1312">
        <f t="shared" si="190"/>
        <v>33821010.027748242</v>
      </c>
    </row>
    <row r="299" spans="3:99" x14ac:dyDescent="0.35">
      <c r="C299" s="1315">
        <f t="shared" si="191"/>
        <v>206</v>
      </c>
      <c r="D299" s="1312">
        <f>IF(AND(C299&gt;$F$59,'Instrumentos Financeiros'!C299&lt;'Instrumentos Financeiros'!$F$59+'Instrumentos Financeiros'!$F$11+1),PMT(((1+'Instrumentos Financeiros'!$G$43)^(1/12)-1),$F$11,-$I$59),0)</f>
        <v>91768.589635900134</v>
      </c>
      <c r="E299" s="1312">
        <f t="shared" si="188"/>
        <v>77653.520034762332</v>
      </c>
      <c r="F299" s="1312">
        <f>G298*((1+'Instrumentos Financeiros'!$G$43)^(1/12)-1)</f>
        <v>14115.0696011378</v>
      </c>
      <c r="G299" s="1312">
        <f t="shared" si="222"/>
        <v>3380396.2668972593</v>
      </c>
      <c r="H299" s="1312">
        <f>IF(AND(C299&gt;$F$60,'Instrumentos Financeiros'!C299&lt;'Instrumentos Financeiros'!$F$60+'Instrumentos Financeiros'!$F$11+1),PMT(((1+'Instrumentos Financeiros'!$G$43)^(1/12)-1),$F$11,-$I$60),0)</f>
        <v>0</v>
      </c>
      <c r="I299" s="1312">
        <f t="shared" si="174"/>
        <v>0</v>
      </c>
      <c r="J299" s="1312">
        <f>K298*((1+'Instrumentos Financeiros'!$G$43)^(1/12)-1)</f>
        <v>0</v>
      </c>
      <c r="K299" s="1312">
        <f t="shared" si="192"/>
        <v>0</v>
      </c>
      <c r="L299" s="1312">
        <f>IF(AND(C299&gt;$F$61,'Instrumentos Financeiros'!C299&lt;'Instrumentos Financeiros'!$F$61+'Instrumentos Financeiros'!$F$11+1),PMT(((1+'Instrumentos Financeiros'!$G$43)^(1/12)-1),$F$11,-$I$61),0)</f>
        <v>0</v>
      </c>
      <c r="M299" s="1312">
        <f t="shared" si="175"/>
        <v>0</v>
      </c>
      <c r="N299" s="1312">
        <f>O298*((1+'Instrumentos Financeiros'!$G$43)^(1/12)-1)</f>
        <v>0</v>
      </c>
      <c r="O299" s="1312">
        <f t="shared" si="193"/>
        <v>0</v>
      </c>
      <c r="P299" s="1312">
        <f>IF(AND(C299&gt;$F$62,'Instrumentos Financeiros'!C299&lt;'Instrumentos Financeiros'!$F$62+'Instrumentos Financeiros'!$F$11+1),PMT(((1+'Instrumentos Financeiros'!$H$43)^(1/12)-1),$F$11,-$I$62),0)</f>
        <v>0</v>
      </c>
      <c r="Q299" s="1312">
        <f t="shared" si="176"/>
        <v>0</v>
      </c>
      <c r="R299" s="1312">
        <f>S298*((1+'Instrumentos Financeiros'!$H$43)^(1/12)-1)</f>
        <v>0</v>
      </c>
      <c r="S299" s="1312">
        <f t="shared" si="194"/>
        <v>0</v>
      </c>
      <c r="T299" s="1312">
        <f>IF(AND(C299&gt;$F$63,'Instrumentos Financeiros'!C299&lt;'Instrumentos Financeiros'!$F$63+'Instrumentos Financeiros'!$F$11+1),PMT(((1+'Instrumentos Financeiros'!$H$43)^(1/12)-1),$F$11,-$I$63),0)</f>
        <v>0</v>
      </c>
      <c r="U299" s="1312">
        <f t="shared" si="177"/>
        <v>0</v>
      </c>
      <c r="V299" s="1312">
        <f>W298*((1+'Instrumentos Financeiros'!$H$43)^(1/12)-1)</f>
        <v>0</v>
      </c>
      <c r="W299" s="1312">
        <f t="shared" si="195"/>
        <v>0</v>
      </c>
      <c r="X299" s="1312">
        <f>IF(AND(C299&gt;$F$64,'Instrumentos Financeiros'!C299&lt;'Instrumentos Financeiros'!$F$64+'Instrumentos Financeiros'!$F$11+1),PMT(((1+'Instrumentos Financeiros'!$H$43)^(1/12)-1),$F$11,-$I$64),0)</f>
        <v>0</v>
      </c>
      <c r="Y299" s="1312">
        <f t="shared" si="178"/>
        <v>0</v>
      </c>
      <c r="Z299" s="1312">
        <f>AA298*((1+'Instrumentos Financeiros'!$H$43)^(1/12)-1)</f>
        <v>0</v>
      </c>
      <c r="AA299" s="1312">
        <f t="shared" si="196"/>
        <v>0</v>
      </c>
      <c r="AB299" s="1312">
        <f>IF(AND(C299&gt;$F$65,'Instrumentos Financeiros'!C299&lt;'Instrumentos Financeiros'!$F$65+'Instrumentos Financeiros'!$F$11+1),PMT(((1+'Instrumentos Financeiros'!$H$43)^(1/12)-1),$F$11,-$I$65),0)</f>
        <v>76636.661022032335</v>
      </c>
      <c r="AC299" s="1312">
        <f t="shared" si="179"/>
        <v>59412.753409200683</v>
      </c>
      <c r="AD299" s="1312">
        <f>AE298*((1+'Instrumentos Financeiros'!$H$43)^(1/12)-1)</f>
        <v>17223.907612831648</v>
      </c>
      <c r="AE299" s="1312">
        <f t="shared" si="197"/>
        <v>3923904.6825368581</v>
      </c>
      <c r="AF299" s="1312">
        <f>IF(AND(C299&gt;$F$66,'Instrumentos Financeiros'!C299&lt;'Instrumentos Financeiros'!$F$66+'Instrumentos Financeiros'!$F$11+1),PMT(((1+'Instrumentos Financeiros'!$I$43)^(1/12)-1),$F$11,-$I$66),0)</f>
        <v>76636.661022032335</v>
      </c>
      <c r="AG299" s="1312">
        <f t="shared" si="180"/>
        <v>58648.6665898836</v>
      </c>
      <c r="AH299" s="1312">
        <f>AI298*((1+'Instrumentos Financeiros'!$I$43)^(1/12)-1)</f>
        <v>17987.994432148735</v>
      </c>
      <c r="AI299" s="1312">
        <f t="shared" si="198"/>
        <v>4101376.6580872354</v>
      </c>
      <c r="AJ299" s="1312">
        <f>IF(AND(C299&gt;$F$67,'Instrumentos Financeiros'!C299&lt;'Instrumentos Financeiros'!$F$67+'Instrumentos Financeiros'!$F$11+1),PMT(((1+'Instrumentos Financeiros'!$I$43)^(1/12)-1),$F$11,-$I$67),0)</f>
        <v>76636.661022032335</v>
      </c>
      <c r="AK299" s="1312">
        <f t="shared" si="181"/>
        <v>57894.406426190995</v>
      </c>
      <c r="AL299" s="1312">
        <f>AM298*((1+'Instrumentos Financeiros'!$I$43)^(1/12)-1)</f>
        <v>18742.254595841343</v>
      </c>
      <c r="AM299" s="1312">
        <f t="shared" si="199"/>
        <v>4276566.2281011734</v>
      </c>
      <c r="AN299" s="1312">
        <f>IF(AND(C299&gt;$F$68,'Instrumentos Financeiros'!C299&lt;'Instrumentos Financeiros'!$F$68+'Instrumentos Financeiros'!$F$11+1),PMT(((1+'Instrumentos Financeiros'!$I$43)^(1/12)-1),$F$11,-$I$68),0)</f>
        <v>76636.661022032335</v>
      </c>
      <c r="AO299" s="1312">
        <f t="shared" si="182"/>
        <v>57149.846540912418</v>
      </c>
      <c r="AP299" s="1312">
        <f>AQ298*((1+'Instrumentos Financeiros'!$I$43)^(1/12)-1)</f>
        <v>19486.81448111992</v>
      </c>
      <c r="AQ299" s="1312">
        <f t="shared" si="200"/>
        <v>4449502.7458048193</v>
      </c>
      <c r="AR299" s="1312">
        <f>IF(AND(C299&gt;$F$69,'Instrumentos Financeiros'!C299&lt;'Instrumentos Financeiros'!$F$69+'Instrumentos Financeiros'!$F$11+1),PMT(((1+'Instrumentos Financeiros'!$I$43)^(1/12)-1),$F$11,-$I$69),0)</f>
        <v>0</v>
      </c>
      <c r="AS299" s="1312">
        <f t="shared" si="183"/>
        <v>0</v>
      </c>
      <c r="AT299" s="1312">
        <f>AU298*((1+'Instrumentos Financeiros'!$I$43)^(1/12)-1)</f>
        <v>0</v>
      </c>
      <c r="AU299" s="1312">
        <f t="shared" si="201"/>
        <v>0</v>
      </c>
      <c r="AV299" s="1312">
        <f>IF(AND(C299&gt;$F$70,'Instrumentos Financeiros'!C299&lt;'Instrumentos Financeiros'!$F$70+'Instrumentos Financeiros'!$F$11+1),PMT(((1+'Instrumentos Financeiros'!$J$43)^(1/12)-1),$F$11,-$I$70),0)</f>
        <v>0</v>
      </c>
      <c r="AW299" s="1312">
        <f t="shared" si="184"/>
        <v>0</v>
      </c>
      <c r="AX299" s="1312">
        <f>AY298*((1+'Instrumentos Financeiros'!$J$43)^(1/12)-1)</f>
        <v>0</v>
      </c>
      <c r="AY299" s="1312">
        <f t="shared" si="202"/>
        <v>0</v>
      </c>
      <c r="AZ299" s="1312">
        <f>IF(AND(C299&gt;$F$71,'Instrumentos Financeiros'!C299&lt;'Instrumentos Financeiros'!$F$71+'Instrumentos Financeiros'!$F$11+1),PMT(((1+'Instrumentos Financeiros'!$J$43)^(1/12)-1),$F$11,-$I$71),0)</f>
        <v>0</v>
      </c>
      <c r="BA299" s="1312">
        <f t="shared" si="185"/>
        <v>0</v>
      </c>
      <c r="BB299" s="1312">
        <f>BC298*((1+'Instrumentos Financeiros'!$J$43)^(1/12)-1)</f>
        <v>0</v>
      </c>
      <c r="BC299" s="1312">
        <f t="shared" si="203"/>
        <v>0</v>
      </c>
      <c r="BD299" s="1312">
        <f>IF(AND(C299&gt;$F$72,'Instrumentos Financeiros'!C299&lt;'Instrumentos Financeiros'!$F$72+'Instrumentos Financeiros'!$F$11+1),PMT(((1+'Instrumentos Financeiros'!$J$43)^(1/12)-1),$F$11,-'Instrumentos Financeiros'!$G$7*$G$72),0)</f>
        <v>0</v>
      </c>
      <c r="BE299" s="1312">
        <f t="shared" si="186"/>
        <v>0</v>
      </c>
      <c r="BF299" s="1312">
        <f>BG298*((1+'Instrumentos Financeiros'!$J$43)^(1/12)-1)</f>
        <v>0</v>
      </c>
      <c r="BG299" s="1312">
        <f t="shared" si="204"/>
        <v>0</v>
      </c>
      <c r="BH299" s="1312">
        <f>IF(AND(C299&gt;$F$73,'Instrumentos Financeiros'!C299&lt;'Instrumentos Financeiros'!$F$73+'Instrumentos Financeiros'!$F$11+1),PMT(((1+'Instrumentos Financeiros'!$J$43)^(1/12)-1),$F$11,-$I$73),0)</f>
        <v>0</v>
      </c>
      <c r="BI299" s="1312">
        <f t="shared" si="187"/>
        <v>0</v>
      </c>
      <c r="BJ299" s="1312">
        <f>BK298*((1+'Instrumentos Financeiros'!$J$43)^(1/12)-1)</f>
        <v>0</v>
      </c>
      <c r="BK299" s="1312">
        <f t="shared" si="205"/>
        <v>0</v>
      </c>
      <c r="BL299" s="1312">
        <f>IF(AND(C299&gt;$F$77,'Instrumentos Financeiros'!C299&lt;'Instrumentos Financeiros'!$F$77+'Instrumentos Financeiros'!$F$12+1),PMT(((1+'Instrumentos Financeiros'!$K$43)^(1/12)-1),$F$12,-$I$77),0)</f>
        <v>368.57912678094596</v>
      </c>
      <c r="BM299" s="1312">
        <f t="shared" si="206"/>
        <v>271.3236767267212</v>
      </c>
      <c r="BN299" s="1312">
        <f>BO298*((1+'Instrumentos Financeiros'!$K$43)^(1/12)-1)</f>
        <v>97.255450054224752</v>
      </c>
      <c r="BO299" s="1312">
        <f t="shared" si="207"/>
        <v>22220.629871210662</v>
      </c>
      <c r="BP299" s="1312">
        <f>IF(AND(C299&gt;$F$78,'Instrumentos Financeiros'!C299&lt;'Instrumentos Financeiros'!$F$78+'Instrumentos Financeiros'!$F$12+1),PMT(((1+'Instrumentos Financeiros'!$L$43)^(1/12)-1),$F$12,-$I$78),0)</f>
        <v>368.57912678094596</v>
      </c>
      <c r="BQ299" s="1312">
        <f t="shared" si="208"/>
        <v>267.83427700596303</v>
      </c>
      <c r="BR299" s="1312">
        <f>BS298*((1+'Instrumentos Financeiros'!$L$43)^(1/12)-1)</f>
        <v>100.7448497749829</v>
      </c>
      <c r="BS299" s="1312">
        <f t="shared" si="209"/>
        <v>23031.101464584521</v>
      </c>
      <c r="BT299" s="1312">
        <f>IF(AND(C299&gt;$F$79,'Instrumentos Financeiros'!C299&lt;'Instrumentos Financeiros'!$F$79+'Instrumentos Financeiros'!$F$12+1),PMT(((1+'Instrumentos Financeiros'!$L$43)^(1/12)-1),$F$12,-$I$79),0)</f>
        <v>368.57912678094596</v>
      </c>
      <c r="BU299" s="1312">
        <f t="shared" si="210"/>
        <v>264.38975324501098</v>
      </c>
      <c r="BV299" s="1312">
        <f>BW298*((1+'Instrumentos Financeiros'!$L$43)^(1/12)-1)</f>
        <v>104.18937353593495</v>
      </c>
      <c r="BW299" s="1312">
        <f t="shared" si="211"/>
        <v>23831.14986383939</v>
      </c>
      <c r="BX299" s="1312">
        <f>IF(AND(C299&gt;$F$80,'Instrumentos Financeiros'!C299&lt;'Instrumentos Financeiros'!$F$80+'Instrumentos Financeiros'!$F$12+1),PMT(((1+'Instrumentos Financeiros'!$L$43)^(1/12)-1),$F$12,-$I$80),0)</f>
        <v>368.57912678094596</v>
      </c>
      <c r="BY299" s="1312">
        <f t="shared" si="212"/>
        <v>260.9895283097074</v>
      </c>
      <c r="BZ299" s="1312">
        <f>CA298*((1+'Instrumentos Financeiros'!$L$43)^(1/12)-1)</f>
        <v>107.58959847123856</v>
      </c>
      <c r="CA299" s="1312">
        <f t="shared" si="213"/>
        <v>24620.909118060426</v>
      </c>
      <c r="CB299" s="1312">
        <f>IF(AND(C299&gt;$F$83,'Instrumentos Financeiros'!C299&lt;'Instrumentos Financeiros'!$F$83+'Instrumentos Financeiros'!$F$13+1),PMT(((1+'Instrumentos Financeiros'!$P$43)^(1/12)-1),$F$13,-$I$83),0)</f>
        <v>30503.390100238979</v>
      </c>
      <c r="CC299" s="1312">
        <f t="shared" si="214"/>
        <v>16458.421361840741</v>
      </c>
      <c r="CD299" s="1312">
        <f>CE298*((1+'Instrumentos Financeiros'!$P$43)^(1/12)-1)</f>
        <v>14044.968738398238</v>
      </c>
      <c r="CE299" s="1312">
        <f t="shared" si="215"/>
        <v>3231676.0972708594</v>
      </c>
      <c r="CF299" s="1312">
        <f>IF(AND(C299&gt;$F$84,'Instrumentos Financeiros'!C299&lt;'Instrumentos Financeiros'!$F$84+'Instrumentos Financeiros'!$F$13+1),PMT(((1+'Instrumentos Financeiros'!$Q$43)^(1/12)-1),$F$13,-$I$84),0)</f>
        <v>30503.390100238979</v>
      </c>
      <c r="CG299" s="1312">
        <f t="shared" si="216"/>
        <v>16246.755311914803</v>
      </c>
      <c r="CH299" s="1312">
        <f>CI298*((1+'Instrumentos Financeiros'!$Q$43)^(1/12)-1)</f>
        <v>14256.634788324176</v>
      </c>
      <c r="CI299" s="1312">
        <f t="shared" si="217"/>
        <v>3280839.0864595422</v>
      </c>
      <c r="CJ299" s="1312">
        <f>IF(AND(C299&gt;$F$85,'Instrumentos Financeiros'!C299&lt;'Instrumentos Financeiros'!$F$85+'Instrumentos Financeiros'!$F$13+1),PMT(((1+'Instrumentos Financeiros'!$Q$43)^(1/12)-1),$F$13,-$I$85),0)</f>
        <v>30503.390100238979</v>
      </c>
      <c r="CK299" s="1312">
        <f t="shared" si="218"/>
        <v>16037.811425658534</v>
      </c>
      <c r="CL299" s="1312">
        <f>CM298*((1+'Instrumentos Financeiros'!$Q$43)^(1/12)-1)</f>
        <v>14465.578674580445</v>
      </c>
      <c r="CM299" s="1312">
        <f t="shared" si="219"/>
        <v>3329369.8074922855</v>
      </c>
      <c r="CN299" s="1312">
        <f>IF(AND(C299&gt;$F$86,'Instrumentos Financeiros'!C299&lt;'Instrumentos Financeiros'!$F$86+'Instrumentos Financeiros'!$F$13+1),PMT(((1+'Instrumentos Financeiros'!$Q$43)^(1/12)-1),$F$13,-$I$86),0)</f>
        <v>30503.390100238979</v>
      </c>
      <c r="CO299" s="1312">
        <f t="shared" si="220"/>
        <v>15831.554694268925</v>
      </c>
      <c r="CP299" s="1312">
        <f>CQ298*((1+'Instrumentos Financeiros'!$Q$43)^(1/12)-1)</f>
        <v>14671.835405970054</v>
      </c>
      <c r="CQ299" s="1312">
        <f t="shared" si="221"/>
        <v>3377276.3917505946</v>
      </c>
      <c r="CR299" s="1312">
        <f t="shared" si="190"/>
        <v>521803.11063210916</v>
      </c>
      <c r="CS299" s="1312">
        <f t="shared" si="190"/>
        <v>376398.27302992041</v>
      </c>
      <c r="CT299" s="1312">
        <f t="shared" si="190"/>
        <v>145404.83760218875</v>
      </c>
      <c r="CU299" s="1312">
        <f t="shared" si="190"/>
        <v>33444611.754718326</v>
      </c>
    </row>
    <row r="300" spans="3:99" x14ac:dyDescent="0.35">
      <c r="C300" s="1315">
        <f t="shared" si="191"/>
        <v>207</v>
      </c>
      <c r="D300" s="1312">
        <f>IF(AND(C300&gt;$F$59,'Instrumentos Financeiros'!C300&lt;'Instrumentos Financeiros'!$F$59+'Instrumentos Financeiros'!$F$11+1),PMT(((1+'Instrumentos Financeiros'!$G$43)^(1/12)-1),$F$11,-$I$59),0)</f>
        <v>91768.589635900134</v>
      </c>
      <c r="E300" s="1312">
        <f t="shared" si="188"/>
        <v>77970.486217321682</v>
      </c>
      <c r="F300" s="1312">
        <f>G299*((1+'Instrumentos Financeiros'!$G$43)^(1/12)-1)</f>
        <v>13798.10341857845</v>
      </c>
      <c r="G300" s="1312">
        <f t="shared" si="222"/>
        <v>3302425.7806799375</v>
      </c>
      <c r="H300" s="1312">
        <f>IF(AND(C300&gt;$F$60,'Instrumentos Financeiros'!C300&lt;'Instrumentos Financeiros'!$F$60+'Instrumentos Financeiros'!$F$11+1),PMT(((1+'Instrumentos Financeiros'!$G$43)^(1/12)-1),$F$11,-$I$60),0)</f>
        <v>0</v>
      </c>
      <c r="I300" s="1312">
        <f t="shared" si="174"/>
        <v>0</v>
      </c>
      <c r="J300" s="1312">
        <f>K299*((1+'Instrumentos Financeiros'!$G$43)^(1/12)-1)</f>
        <v>0</v>
      </c>
      <c r="K300" s="1312">
        <f t="shared" si="192"/>
        <v>0</v>
      </c>
      <c r="L300" s="1312">
        <f>IF(AND(C300&gt;$F$61,'Instrumentos Financeiros'!C300&lt;'Instrumentos Financeiros'!$F$61+'Instrumentos Financeiros'!$F$11+1),PMT(((1+'Instrumentos Financeiros'!$G$43)^(1/12)-1),$F$11,-$I$61),0)</f>
        <v>0</v>
      </c>
      <c r="M300" s="1312">
        <f t="shared" si="175"/>
        <v>0</v>
      </c>
      <c r="N300" s="1312">
        <f>O299*((1+'Instrumentos Financeiros'!$G$43)^(1/12)-1)</f>
        <v>0</v>
      </c>
      <c r="O300" s="1312">
        <f t="shared" si="193"/>
        <v>0</v>
      </c>
      <c r="P300" s="1312">
        <f>IF(AND(C300&gt;$F$62,'Instrumentos Financeiros'!C300&lt;'Instrumentos Financeiros'!$F$62+'Instrumentos Financeiros'!$F$11+1),PMT(((1+'Instrumentos Financeiros'!$H$43)^(1/12)-1),$F$11,-$I$62),0)</f>
        <v>0</v>
      </c>
      <c r="Q300" s="1312">
        <f t="shared" si="176"/>
        <v>0</v>
      </c>
      <c r="R300" s="1312">
        <f>S299*((1+'Instrumentos Financeiros'!$H$43)^(1/12)-1)</f>
        <v>0</v>
      </c>
      <c r="S300" s="1312">
        <f t="shared" si="194"/>
        <v>0</v>
      </c>
      <c r="T300" s="1312">
        <f>IF(AND(C300&gt;$F$63,'Instrumentos Financeiros'!C300&lt;'Instrumentos Financeiros'!$F$63+'Instrumentos Financeiros'!$F$11+1),PMT(((1+'Instrumentos Financeiros'!$H$43)^(1/12)-1),$F$11,-$I$63),0)</f>
        <v>0</v>
      </c>
      <c r="U300" s="1312">
        <f t="shared" si="177"/>
        <v>0</v>
      </c>
      <c r="V300" s="1312">
        <f>W299*((1+'Instrumentos Financeiros'!$H$43)^(1/12)-1)</f>
        <v>0</v>
      </c>
      <c r="W300" s="1312">
        <f t="shared" si="195"/>
        <v>0</v>
      </c>
      <c r="X300" s="1312">
        <f>IF(AND(C300&gt;$F$64,'Instrumentos Financeiros'!C300&lt;'Instrumentos Financeiros'!$F$64+'Instrumentos Financeiros'!$F$11+1),PMT(((1+'Instrumentos Financeiros'!$H$43)^(1/12)-1),$F$11,-$I$64),0)</f>
        <v>0</v>
      </c>
      <c r="Y300" s="1312">
        <f t="shared" si="178"/>
        <v>0</v>
      </c>
      <c r="Z300" s="1312">
        <f>AA299*((1+'Instrumentos Financeiros'!$H$43)^(1/12)-1)</f>
        <v>0</v>
      </c>
      <c r="AA300" s="1312">
        <f t="shared" si="196"/>
        <v>0</v>
      </c>
      <c r="AB300" s="1312">
        <f>IF(AND(C300&gt;$F$65,'Instrumentos Financeiros'!C300&lt;'Instrumentos Financeiros'!$F$65+'Instrumentos Financeiros'!$F$11+1),PMT(((1+'Instrumentos Financeiros'!$H$43)^(1/12)-1),$F$11,-$I$65),0)</f>
        <v>76636.661022032335</v>
      </c>
      <c r="AC300" s="1312">
        <f t="shared" si="179"/>
        <v>59669.654796599396</v>
      </c>
      <c r="AD300" s="1312">
        <f>AE299*((1+'Instrumentos Financeiros'!$H$43)^(1/12)-1)</f>
        <v>16967.006225432935</v>
      </c>
      <c r="AE300" s="1312">
        <f t="shared" si="197"/>
        <v>3864235.0277402587</v>
      </c>
      <c r="AF300" s="1312">
        <f>IF(AND(C300&gt;$F$66,'Instrumentos Financeiros'!C300&lt;'Instrumentos Financeiros'!$F$66+'Instrumentos Financeiros'!$F$11+1),PMT(((1+'Instrumentos Financeiros'!$I$43)^(1/12)-1),$F$11,-$I$66),0)</f>
        <v>76636.661022032335</v>
      </c>
      <c r="AG300" s="1312">
        <f t="shared" si="180"/>
        <v>58902.264057623455</v>
      </c>
      <c r="AH300" s="1312">
        <f>AI299*((1+'Instrumentos Financeiros'!$I$43)^(1/12)-1)</f>
        <v>17734.396964408883</v>
      </c>
      <c r="AI300" s="1312">
        <f t="shared" si="198"/>
        <v>4042474.3940296117</v>
      </c>
      <c r="AJ300" s="1312">
        <f>IF(AND(C300&gt;$F$67,'Instrumentos Financeiros'!C300&lt;'Instrumentos Financeiros'!$F$67+'Instrumentos Financeiros'!$F$11+1),PMT(((1+'Instrumentos Financeiros'!$I$43)^(1/12)-1),$F$11,-$I$67),0)</f>
        <v>76636.661022032335</v>
      </c>
      <c r="AK300" s="1312">
        <f t="shared" si="181"/>
        <v>58144.742464837036</v>
      </c>
      <c r="AL300" s="1312">
        <f>AM299*((1+'Instrumentos Financeiros'!$I$43)^(1/12)-1)</f>
        <v>18491.918557195298</v>
      </c>
      <c r="AM300" s="1312">
        <f t="shared" si="199"/>
        <v>4218421.4856363367</v>
      </c>
      <c r="AN300" s="1312">
        <f>IF(AND(C300&gt;$F$68,'Instrumentos Financeiros'!C300&lt;'Instrumentos Financeiros'!$F$68+'Instrumentos Financeiros'!$F$11+1),PMT(((1+'Instrumentos Financeiros'!$I$43)^(1/12)-1),$F$11,-$I$68),0)</f>
        <v>76636.661022032335</v>
      </c>
      <c r="AO300" s="1312">
        <f t="shared" si="182"/>
        <v>57396.963094573264</v>
      </c>
      <c r="AP300" s="1312">
        <f>AQ299*((1+'Instrumentos Financeiros'!$I$43)^(1/12)-1)</f>
        <v>19239.697927459067</v>
      </c>
      <c r="AQ300" s="1312">
        <f t="shared" si="200"/>
        <v>4392105.7827102458</v>
      </c>
      <c r="AR300" s="1312">
        <f>IF(AND(C300&gt;$F$69,'Instrumentos Financeiros'!C300&lt;'Instrumentos Financeiros'!$F$69+'Instrumentos Financeiros'!$F$11+1),PMT(((1+'Instrumentos Financeiros'!$I$43)^(1/12)-1),$F$11,-$I$69),0)</f>
        <v>0</v>
      </c>
      <c r="AS300" s="1312">
        <f t="shared" si="183"/>
        <v>0</v>
      </c>
      <c r="AT300" s="1312">
        <f>AU299*((1+'Instrumentos Financeiros'!$I$43)^(1/12)-1)</f>
        <v>0</v>
      </c>
      <c r="AU300" s="1312">
        <f t="shared" si="201"/>
        <v>0</v>
      </c>
      <c r="AV300" s="1312">
        <f>IF(AND(C300&gt;$F$70,'Instrumentos Financeiros'!C300&lt;'Instrumentos Financeiros'!$F$70+'Instrumentos Financeiros'!$F$11+1),PMT(((1+'Instrumentos Financeiros'!$J$43)^(1/12)-1),$F$11,-$I$70),0)</f>
        <v>0</v>
      </c>
      <c r="AW300" s="1312">
        <f t="shared" si="184"/>
        <v>0</v>
      </c>
      <c r="AX300" s="1312">
        <f>AY299*((1+'Instrumentos Financeiros'!$J$43)^(1/12)-1)</f>
        <v>0</v>
      </c>
      <c r="AY300" s="1312">
        <f t="shared" si="202"/>
        <v>0</v>
      </c>
      <c r="AZ300" s="1312">
        <f>IF(AND(C300&gt;$F$71,'Instrumentos Financeiros'!C300&lt;'Instrumentos Financeiros'!$F$71+'Instrumentos Financeiros'!$F$11+1),PMT(((1+'Instrumentos Financeiros'!$J$43)^(1/12)-1),$F$11,-$I$71),0)</f>
        <v>0</v>
      </c>
      <c r="BA300" s="1312">
        <f t="shared" si="185"/>
        <v>0</v>
      </c>
      <c r="BB300" s="1312">
        <f>BC299*((1+'Instrumentos Financeiros'!$J$43)^(1/12)-1)</f>
        <v>0</v>
      </c>
      <c r="BC300" s="1312">
        <f t="shared" si="203"/>
        <v>0</v>
      </c>
      <c r="BD300" s="1312">
        <f>IF(AND(C300&gt;$F$72,'Instrumentos Financeiros'!C300&lt;'Instrumentos Financeiros'!$F$72+'Instrumentos Financeiros'!$F$11+1),PMT(((1+'Instrumentos Financeiros'!$J$43)^(1/12)-1),$F$11,-'Instrumentos Financeiros'!$G$7*$G$72),0)</f>
        <v>0</v>
      </c>
      <c r="BE300" s="1312">
        <f t="shared" si="186"/>
        <v>0</v>
      </c>
      <c r="BF300" s="1312">
        <f>BG299*((1+'Instrumentos Financeiros'!$J$43)^(1/12)-1)</f>
        <v>0</v>
      </c>
      <c r="BG300" s="1312">
        <f t="shared" si="204"/>
        <v>0</v>
      </c>
      <c r="BH300" s="1312">
        <f>IF(AND(C300&gt;$F$73,'Instrumentos Financeiros'!C300&lt;'Instrumentos Financeiros'!$F$73+'Instrumentos Financeiros'!$F$11+1),PMT(((1+'Instrumentos Financeiros'!$J$43)^(1/12)-1),$F$11,-$I$73),0)</f>
        <v>0</v>
      </c>
      <c r="BI300" s="1312">
        <f t="shared" si="187"/>
        <v>0</v>
      </c>
      <c r="BJ300" s="1312">
        <f>BK299*((1+'Instrumentos Financeiros'!$J$43)^(1/12)-1)</f>
        <v>0</v>
      </c>
      <c r="BK300" s="1312">
        <f t="shared" si="205"/>
        <v>0</v>
      </c>
      <c r="BL300" s="1312">
        <f>IF(AND(C300&gt;$F$77,'Instrumentos Financeiros'!C300&lt;'Instrumentos Financeiros'!$F$77+'Instrumentos Financeiros'!$F$12+1),PMT(((1+'Instrumentos Financeiros'!$K$43)^(1/12)-1),$F$12,-$I$77),0)</f>
        <v>368.57912678094596</v>
      </c>
      <c r="BM300" s="1312">
        <f t="shared" si="206"/>
        <v>272.49688323518137</v>
      </c>
      <c r="BN300" s="1312">
        <f>BO299*((1+'Instrumentos Financeiros'!$K$43)^(1/12)-1)</f>
        <v>96.082243545764555</v>
      </c>
      <c r="BO300" s="1312">
        <f t="shared" si="207"/>
        <v>21948.132987975481</v>
      </c>
      <c r="BP300" s="1312">
        <f>IF(AND(C300&gt;$F$78,'Instrumentos Financeiros'!C300&lt;'Instrumentos Financeiros'!$F$78+'Instrumentos Financeiros'!$F$12+1),PMT(((1+'Instrumentos Financeiros'!$L$43)^(1/12)-1),$F$12,-$I$78),0)</f>
        <v>368.57912678094596</v>
      </c>
      <c r="BQ300" s="1312">
        <f t="shared" si="208"/>
        <v>268.9923953123452</v>
      </c>
      <c r="BR300" s="1312">
        <f>BS299*((1+'Instrumentos Financeiros'!$L$43)^(1/12)-1)</f>
        <v>99.586731468600746</v>
      </c>
      <c r="BS300" s="1312">
        <f t="shared" si="209"/>
        <v>22762.109069272177</v>
      </c>
      <c r="BT300" s="1312">
        <f>IF(AND(C300&gt;$F$79,'Instrumentos Financeiros'!C300&lt;'Instrumentos Financeiros'!$F$79+'Instrumentos Financeiros'!$F$12+1),PMT(((1+'Instrumentos Financeiros'!$L$43)^(1/12)-1),$F$12,-$I$79),0)</f>
        <v>368.57912678094596</v>
      </c>
      <c r="BU300" s="1312">
        <f t="shared" si="210"/>
        <v>265.53297739344993</v>
      </c>
      <c r="BV300" s="1312">
        <f>BW299*((1+'Instrumentos Financeiros'!$L$43)^(1/12)-1)</f>
        <v>103.04614938749602</v>
      </c>
      <c r="BW300" s="1312">
        <f t="shared" si="211"/>
        <v>23565.61688644594</v>
      </c>
      <c r="BX300" s="1312">
        <f>IF(AND(C300&gt;$F$80,'Instrumentos Financeiros'!C300&lt;'Instrumentos Financeiros'!$F$80+'Instrumentos Financeiros'!$F$12+1),PMT(((1+'Instrumentos Financeiros'!$L$43)^(1/12)-1),$F$12,-$I$80),0)</f>
        <v>368.57912678094596</v>
      </c>
      <c r="BY300" s="1312">
        <f t="shared" si="212"/>
        <v>262.11804984880371</v>
      </c>
      <c r="BZ300" s="1312">
        <f>CA299*((1+'Instrumentos Financeiros'!$L$43)^(1/12)-1)</f>
        <v>106.46107693214228</v>
      </c>
      <c r="CA300" s="1312">
        <f t="shared" si="213"/>
        <v>24358.791068211623</v>
      </c>
      <c r="CB300" s="1312">
        <f>IF(AND(C300&gt;$F$83,'Instrumentos Financeiros'!C300&lt;'Instrumentos Financeiros'!$F$83+'Instrumentos Financeiros'!$F$13+1),PMT(((1+'Instrumentos Financeiros'!$P$43)^(1/12)-1),$F$13,-$I$83),0)</f>
        <v>30503.390100238979</v>
      </c>
      <c r="CC300" s="1312">
        <f t="shared" si="214"/>
        <v>16529.587753560176</v>
      </c>
      <c r="CD300" s="1312">
        <f>CE299*((1+'Instrumentos Financeiros'!$P$43)^(1/12)-1)</f>
        <v>13973.802346678802</v>
      </c>
      <c r="CE300" s="1312">
        <f t="shared" si="215"/>
        <v>3215146.509517299</v>
      </c>
      <c r="CF300" s="1312">
        <f>IF(AND(C300&gt;$F$84,'Instrumentos Financeiros'!C300&lt;'Instrumentos Financeiros'!$F$84+'Instrumentos Financeiros'!$F$13+1),PMT(((1+'Instrumentos Financeiros'!$Q$43)^(1/12)-1),$F$13,-$I$84),0)</f>
        <v>30503.390100238979</v>
      </c>
      <c r="CG300" s="1312">
        <f t="shared" si="216"/>
        <v>16317.006457348369</v>
      </c>
      <c r="CH300" s="1312">
        <f>CI299*((1+'Instrumentos Financeiros'!$Q$43)^(1/12)-1)</f>
        <v>14186.383642890611</v>
      </c>
      <c r="CI300" s="1312">
        <f t="shared" si="217"/>
        <v>3264522.0800021938</v>
      </c>
      <c r="CJ300" s="1312">
        <f>IF(AND(C300&gt;$F$85,'Instrumentos Financeiros'!C300&lt;'Instrumentos Financeiros'!$F$85+'Instrumentos Financeiros'!$F$13+1),PMT(((1+'Instrumentos Financeiros'!$Q$43)^(1/12)-1),$F$13,-$I$85),0)</f>
        <v>30503.390100238979</v>
      </c>
      <c r="CK300" s="1312">
        <f t="shared" si="218"/>
        <v>16107.159095471334</v>
      </c>
      <c r="CL300" s="1312">
        <f>CM299*((1+'Instrumentos Financeiros'!$Q$43)^(1/12)-1)</f>
        <v>14396.231004767646</v>
      </c>
      <c r="CM300" s="1312">
        <f t="shared" si="219"/>
        <v>3313262.6483968142</v>
      </c>
      <c r="CN300" s="1312">
        <f>IF(AND(C300&gt;$F$86,'Instrumentos Financeiros'!C300&lt;'Instrumentos Financeiros'!$F$86+'Instrumentos Financeiros'!$F$13+1),PMT(((1+'Instrumentos Financeiros'!$Q$43)^(1/12)-1),$F$13,-$I$86),0)</f>
        <v>30503.390100238979</v>
      </c>
      <c r="CO300" s="1312">
        <f t="shared" si="220"/>
        <v>15900.010507747626</v>
      </c>
      <c r="CP300" s="1312">
        <f>CQ299*((1+'Instrumentos Financeiros'!$Q$43)^(1/12)-1)</f>
        <v>14603.379592491354</v>
      </c>
      <c r="CQ300" s="1312">
        <f t="shared" si="221"/>
        <v>3361376.3812428471</v>
      </c>
      <c r="CR300" s="1312">
        <f t="shared" si="190"/>
        <v>521803.11063210916</v>
      </c>
      <c r="CS300" s="1312">
        <f t="shared" si="190"/>
        <v>378007.0147508721</v>
      </c>
      <c r="CT300" s="1312">
        <f t="shared" si="190"/>
        <v>143796.09588123704</v>
      </c>
      <c r="CU300" s="1312">
        <f t="shared" si="190"/>
        <v>33066604.73996745</v>
      </c>
    </row>
    <row r="301" spans="3:99" x14ac:dyDescent="0.35">
      <c r="C301" s="1315">
        <f t="shared" si="191"/>
        <v>208</v>
      </c>
      <c r="D301" s="1312">
        <f>IF(AND(C301&gt;$F$59,'Instrumentos Financeiros'!C301&lt;'Instrumentos Financeiros'!$F$59+'Instrumentos Financeiros'!$F$11+1),PMT(((1+'Instrumentos Financeiros'!$G$43)^(1/12)-1),$F$11,-$I$59),0)</f>
        <v>91768.589635900134</v>
      </c>
      <c r="E301" s="1312">
        <f t="shared" si="188"/>
        <v>78288.746192626568</v>
      </c>
      <c r="F301" s="1312">
        <f>G300*((1+'Instrumentos Financeiros'!$G$43)^(1/12)-1)</f>
        <v>13479.843443273563</v>
      </c>
      <c r="G301" s="1312">
        <f t="shared" si="222"/>
        <v>3224137.0344873108</v>
      </c>
      <c r="H301" s="1312">
        <f>IF(AND(C301&gt;$F$60,'Instrumentos Financeiros'!C301&lt;'Instrumentos Financeiros'!$F$60+'Instrumentos Financeiros'!$F$11+1),PMT(((1+'Instrumentos Financeiros'!$G$43)^(1/12)-1),$F$11,-$I$60),0)</f>
        <v>0</v>
      </c>
      <c r="I301" s="1312">
        <f t="shared" si="174"/>
        <v>0</v>
      </c>
      <c r="J301" s="1312">
        <f>K300*((1+'Instrumentos Financeiros'!$G$43)^(1/12)-1)</f>
        <v>0</v>
      </c>
      <c r="K301" s="1312">
        <f t="shared" si="192"/>
        <v>0</v>
      </c>
      <c r="L301" s="1312">
        <f>IF(AND(C301&gt;$F$61,'Instrumentos Financeiros'!C301&lt;'Instrumentos Financeiros'!$F$61+'Instrumentos Financeiros'!$F$11+1),PMT(((1+'Instrumentos Financeiros'!$G$43)^(1/12)-1),$F$11,-$I$61),0)</f>
        <v>0</v>
      </c>
      <c r="M301" s="1312">
        <f t="shared" si="175"/>
        <v>0</v>
      </c>
      <c r="N301" s="1312">
        <f>O300*((1+'Instrumentos Financeiros'!$G$43)^(1/12)-1)</f>
        <v>0</v>
      </c>
      <c r="O301" s="1312">
        <f t="shared" si="193"/>
        <v>0</v>
      </c>
      <c r="P301" s="1312">
        <f>IF(AND(C301&gt;$F$62,'Instrumentos Financeiros'!C301&lt;'Instrumentos Financeiros'!$F$62+'Instrumentos Financeiros'!$F$11+1),PMT(((1+'Instrumentos Financeiros'!$H$43)^(1/12)-1),$F$11,-$I$62),0)</f>
        <v>0</v>
      </c>
      <c r="Q301" s="1312">
        <f t="shared" si="176"/>
        <v>0</v>
      </c>
      <c r="R301" s="1312">
        <f>S300*((1+'Instrumentos Financeiros'!$H$43)^(1/12)-1)</f>
        <v>0</v>
      </c>
      <c r="S301" s="1312">
        <f t="shared" si="194"/>
        <v>0</v>
      </c>
      <c r="T301" s="1312">
        <f>IF(AND(C301&gt;$F$63,'Instrumentos Financeiros'!C301&lt;'Instrumentos Financeiros'!$F$63+'Instrumentos Financeiros'!$F$11+1),PMT(((1+'Instrumentos Financeiros'!$H$43)^(1/12)-1),$F$11,-$I$63),0)</f>
        <v>0</v>
      </c>
      <c r="U301" s="1312">
        <f t="shared" si="177"/>
        <v>0</v>
      </c>
      <c r="V301" s="1312">
        <f>W300*((1+'Instrumentos Financeiros'!$H$43)^(1/12)-1)</f>
        <v>0</v>
      </c>
      <c r="W301" s="1312">
        <f t="shared" si="195"/>
        <v>0</v>
      </c>
      <c r="X301" s="1312">
        <f>IF(AND(C301&gt;$F$64,'Instrumentos Financeiros'!C301&lt;'Instrumentos Financeiros'!$F$64+'Instrumentos Financeiros'!$F$11+1),PMT(((1+'Instrumentos Financeiros'!$H$43)^(1/12)-1),$F$11,-$I$64),0)</f>
        <v>0</v>
      </c>
      <c r="Y301" s="1312">
        <f t="shared" si="178"/>
        <v>0</v>
      </c>
      <c r="Z301" s="1312">
        <f>AA300*((1+'Instrumentos Financeiros'!$H$43)^(1/12)-1)</f>
        <v>0</v>
      </c>
      <c r="AA301" s="1312">
        <f t="shared" si="196"/>
        <v>0</v>
      </c>
      <c r="AB301" s="1312">
        <f>IF(AND(C301&gt;$F$65,'Instrumentos Financeiros'!C301&lt;'Instrumentos Financeiros'!$F$65+'Instrumentos Financeiros'!$F$11+1),PMT(((1+'Instrumentos Financeiros'!$H$43)^(1/12)-1),$F$11,-$I$65),0)</f>
        <v>76636.661022032335</v>
      </c>
      <c r="AC301" s="1312">
        <f t="shared" si="179"/>
        <v>59927.667028371754</v>
      </c>
      <c r="AD301" s="1312">
        <f>AE300*((1+'Instrumentos Financeiros'!$H$43)^(1/12)-1)</f>
        <v>16708.993993660581</v>
      </c>
      <c r="AE301" s="1312">
        <f t="shared" si="197"/>
        <v>3804307.360711887</v>
      </c>
      <c r="AF301" s="1312">
        <f>IF(AND(C301&gt;$F$66,'Instrumentos Financeiros'!C301&lt;'Instrumentos Financeiros'!$F$66+'Instrumentos Financeiros'!$F$11+1),PMT(((1+'Instrumentos Financeiros'!$I$43)^(1/12)-1),$F$11,-$I$66),0)</f>
        <v>76636.661022032335</v>
      </c>
      <c r="AG301" s="1312">
        <f t="shared" si="180"/>
        <v>59156.958083552665</v>
      </c>
      <c r="AH301" s="1312">
        <f>AI300*((1+'Instrumentos Financeiros'!$I$43)^(1/12)-1)</f>
        <v>17479.70293847967</v>
      </c>
      <c r="AI301" s="1312">
        <f t="shared" si="198"/>
        <v>3983317.4359460589</v>
      </c>
      <c r="AJ301" s="1312">
        <f>IF(AND(C301&gt;$F$67,'Instrumentos Financeiros'!C301&lt;'Instrumentos Financeiros'!$F$67+'Instrumentos Financeiros'!$F$11+1),PMT(((1+'Instrumentos Financeiros'!$I$43)^(1/12)-1),$F$11,-$I$67),0)</f>
        <v>76636.661022032335</v>
      </c>
      <c r="AK301" s="1312">
        <f t="shared" si="181"/>
        <v>58396.160959217807</v>
      </c>
      <c r="AL301" s="1312">
        <f>AM300*((1+'Instrumentos Financeiros'!$I$43)^(1/12)-1)</f>
        <v>18240.500062814528</v>
      </c>
      <c r="AM301" s="1312">
        <f t="shared" si="199"/>
        <v>4160025.324677119</v>
      </c>
      <c r="AN301" s="1312">
        <f>IF(AND(C301&gt;$F$68,'Instrumentos Financeiros'!C301&lt;'Instrumentos Financeiros'!$F$68+'Instrumentos Financeiros'!$F$11+1),PMT(((1+'Instrumentos Financeiros'!$I$43)^(1/12)-1),$F$11,-$I$68),0)</f>
        <v>76636.661022032335</v>
      </c>
      <c r="AO301" s="1312">
        <f t="shared" si="182"/>
        <v>57645.148182881007</v>
      </c>
      <c r="AP301" s="1312">
        <f>AQ300*((1+'Instrumentos Financeiros'!$I$43)^(1/12)-1)</f>
        <v>18991.512839151324</v>
      </c>
      <c r="AQ301" s="1312">
        <f t="shared" si="200"/>
        <v>4334460.6345273647</v>
      </c>
      <c r="AR301" s="1312">
        <f>IF(AND(C301&gt;$F$69,'Instrumentos Financeiros'!C301&lt;'Instrumentos Financeiros'!$F$69+'Instrumentos Financeiros'!$F$11+1),PMT(((1+'Instrumentos Financeiros'!$I$43)^(1/12)-1),$F$11,-$I$69),0)</f>
        <v>0</v>
      </c>
      <c r="AS301" s="1312">
        <f t="shared" si="183"/>
        <v>0</v>
      </c>
      <c r="AT301" s="1312">
        <f>AU300*((1+'Instrumentos Financeiros'!$I$43)^(1/12)-1)</f>
        <v>0</v>
      </c>
      <c r="AU301" s="1312">
        <f t="shared" si="201"/>
        <v>0</v>
      </c>
      <c r="AV301" s="1312">
        <f>IF(AND(C301&gt;$F$70,'Instrumentos Financeiros'!C301&lt;'Instrumentos Financeiros'!$F$70+'Instrumentos Financeiros'!$F$11+1),PMT(((1+'Instrumentos Financeiros'!$J$43)^(1/12)-1),$F$11,-$I$70),0)</f>
        <v>0</v>
      </c>
      <c r="AW301" s="1312">
        <f t="shared" si="184"/>
        <v>0</v>
      </c>
      <c r="AX301" s="1312">
        <f>AY300*((1+'Instrumentos Financeiros'!$J$43)^(1/12)-1)</f>
        <v>0</v>
      </c>
      <c r="AY301" s="1312">
        <f t="shared" si="202"/>
        <v>0</v>
      </c>
      <c r="AZ301" s="1312">
        <f>IF(AND(C301&gt;$F$71,'Instrumentos Financeiros'!C301&lt;'Instrumentos Financeiros'!$F$71+'Instrumentos Financeiros'!$F$11+1),PMT(((1+'Instrumentos Financeiros'!$J$43)^(1/12)-1),$F$11,-$I$71),0)</f>
        <v>0</v>
      </c>
      <c r="BA301" s="1312">
        <f t="shared" si="185"/>
        <v>0</v>
      </c>
      <c r="BB301" s="1312">
        <f>BC300*((1+'Instrumentos Financeiros'!$J$43)^(1/12)-1)</f>
        <v>0</v>
      </c>
      <c r="BC301" s="1312">
        <f t="shared" si="203"/>
        <v>0</v>
      </c>
      <c r="BD301" s="1312">
        <f>IF(AND(C301&gt;$F$72,'Instrumentos Financeiros'!C301&lt;'Instrumentos Financeiros'!$F$72+'Instrumentos Financeiros'!$F$11+1),PMT(((1+'Instrumentos Financeiros'!$J$43)^(1/12)-1),$F$11,-'Instrumentos Financeiros'!$G$7*$G$72),0)</f>
        <v>0</v>
      </c>
      <c r="BE301" s="1312">
        <f t="shared" si="186"/>
        <v>0</v>
      </c>
      <c r="BF301" s="1312">
        <f>BG300*((1+'Instrumentos Financeiros'!$J$43)^(1/12)-1)</f>
        <v>0</v>
      </c>
      <c r="BG301" s="1312">
        <f t="shared" si="204"/>
        <v>0</v>
      </c>
      <c r="BH301" s="1312">
        <f>IF(AND(C301&gt;$F$73,'Instrumentos Financeiros'!C301&lt;'Instrumentos Financeiros'!$F$73+'Instrumentos Financeiros'!$F$11+1),PMT(((1+'Instrumentos Financeiros'!$J$43)^(1/12)-1),$F$11,-$I$73),0)</f>
        <v>0</v>
      </c>
      <c r="BI301" s="1312">
        <f t="shared" si="187"/>
        <v>0</v>
      </c>
      <c r="BJ301" s="1312">
        <f>BK300*((1+'Instrumentos Financeiros'!$J$43)^(1/12)-1)</f>
        <v>0</v>
      </c>
      <c r="BK301" s="1312">
        <f t="shared" si="205"/>
        <v>0</v>
      </c>
      <c r="BL301" s="1312">
        <f>IF(AND(C301&gt;$F$77,'Instrumentos Financeiros'!C301&lt;'Instrumentos Financeiros'!$F$77+'Instrumentos Financeiros'!$F$12+1),PMT(((1+'Instrumentos Financeiros'!$K$43)^(1/12)-1),$F$12,-$I$77),0)</f>
        <v>368.57912678094596</v>
      </c>
      <c r="BM301" s="1312">
        <f t="shared" si="206"/>
        <v>273.67516270125475</v>
      </c>
      <c r="BN301" s="1312">
        <f>BO300*((1+'Instrumentos Financeiros'!$K$43)^(1/12)-1)</f>
        <v>94.903964079691178</v>
      </c>
      <c r="BO301" s="1312">
        <f t="shared" si="207"/>
        <v>21674.457825274225</v>
      </c>
      <c r="BP301" s="1312">
        <f>IF(AND(C301&gt;$F$78,'Instrumentos Financeiros'!C301&lt;'Instrumentos Financeiros'!$F$78+'Instrumentos Financeiros'!$F$12+1),PMT(((1+'Instrumentos Financeiros'!$L$43)^(1/12)-1),$F$12,-$I$78),0)</f>
        <v>368.57912678094596</v>
      </c>
      <c r="BQ301" s="1312">
        <f t="shared" si="208"/>
        <v>270.15552133479179</v>
      </c>
      <c r="BR301" s="1312">
        <f>BS300*((1+'Instrumentos Financeiros'!$L$43)^(1/12)-1)</f>
        <v>98.423605446154156</v>
      </c>
      <c r="BS301" s="1312">
        <f t="shared" si="209"/>
        <v>22491.953547937384</v>
      </c>
      <c r="BT301" s="1312">
        <f>IF(AND(C301&gt;$F$79,'Instrumentos Financeiros'!C301&lt;'Instrumentos Financeiros'!$F$79+'Instrumentos Financeiros'!$F$12+1),PMT(((1+'Instrumentos Financeiros'!$L$43)^(1/12)-1),$F$12,-$I$79),0)</f>
        <v>368.57912678094596</v>
      </c>
      <c r="BU301" s="1312">
        <f t="shared" si="210"/>
        <v>266.68114485545357</v>
      </c>
      <c r="BV301" s="1312">
        <f>BW300*((1+'Instrumentos Financeiros'!$L$43)^(1/12)-1)</f>
        <v>101.8979819254924</v>
      </c>
      <c r="BW301" s="1312">
        <f t="shared" si="211"/>
        <v>23298.935741590485</v>
      </c>
      <c r="BX301" s="1312">
        <f>IF(AND(C301&gt;$F$80,'Instrumentos Financeiros'!C301&lt;'Instrumentos Financeiros'!$F$80+'Instrumentos Financeiros'!$F$12+1),PMT(((1+'Instrumentos Financeiros'!$L$43)^(1/12)-1),$F$12,-$I$80),0)</f>
        <v>368.57912678094596</v>
      </c>
      <c r="BY301" s="1312">
        <f t="shared" si="212"/>
        <v>263.25145112722305</v>
      </c>
      <c r="BZ301" s="1312">
        <f>CA300*((1+'Instrumentos Financeiros'!$L$43)^(1/12)-1)</f>
        <v>105.32767565372292</v>
      </c>
      <c r="CA301" s="1312">
        <f t="shared" si="213"/>
        <v>24095.5396170844</v>
      </c>
      <c r="CB301" s="1312">
        <f>IF(AND(C301&gt;$F$83,'Instrumentos Financeiros'!C301&lt;'Instrumentos Financeiros'!$F$83+'Instrumentos Financeiros'!$F$13+1),PMT(((1+'Instrumentos Financeiros'!$P$43)^(1/12)-1),$F$13,-$I$83),0)</f>
        <v>30503.390100238979</v>
      </c>
      <c r="CC301" s="1312">
        <f t="shared" si="214"/>
        <v>16601.061869526005</v>
      </c>
      <c r="CD301" s="1312">
        <f>CE300*((1+'Instrumentos Financeiros'!$P$43)^(1/12)-1)</f>
        <v>13902.328230712972</v>
      </c>
      <c r="CE301" s="1312">
        <f t="shared" si="215"/>
        <v>3198545.4476477732</v>
      </c>
      <c r="CF301" s="1312">
        <f>IF(AND(C301&gt;$F$84,'Instrumentos Financeiros'!C301&lt;'Instrumentos Financeiros'!$F$84+'Instrumentos Financeiros'!$F$13+1),PMT(((1+'Instrumentos Financeiros'!$Q$43)^(1/12)-1),$F$13,-$I$84),0)</f>
        <v>30503.390100238979</v>
      </c>
      <c r="CG301" s="1312">
        <f t="shared" si="216"/>
        <v>16387.561369493502</v>
      </c>
      <c r="CH301" s="1312">
        <f>CI300*((1+'Instrumentos Financeiros'!$Q$43)^(1/12)-1)</f>
        <v>14115.828730745479</v>
      </c>
      <c r="CI301" s="1312">
        <f t="shared" si="217"/>
        <v>3248134.5186327002</v>
      </c>
      <c r="CJ301" s="1312">
        <f>IF(AND(C301&gt;$F$85,'Instrumentos Financeiros'!C301&lt;'Instrumentos Financeiros'!$F$85+'Instrumentos Financeiros'!$F$13+1),PMT(((1+'Instrumentos Financeiros'!$Q$43)^(1/12)-1),$F$13,-$I$85),0)</f>
        <v>30503.390100238979</v>
      </c>
      <c r="CK301" s="1312">
        <f t="shared" si="218"/>
        <v>16176.806625357358</v>
      </c>
      <c r="CL301" s="1312">
        <f>CM300*((1+'Instrumentos Financeiros'!$Q$43)^(1/12)-1)</f>
        <v>14326.583474881621</v>
      </c>
      <c r="CM301" s="1312">
        <f t="shared" si="219"/>
        <v>3297085.8417714569</v>
      </c>
      <c r="CN301" s="1312">
        <f>IF(AND(C301&gt;$F$86,'Instrumentos Financeiros'!C301&lt;'Instrumentos Financeiros'!$F$86+'Instrumentos Financeiros'!$F$13+1),PMT(((1+'Instrumentos Financeiros'!$Q$43)^(1/12)-1),$F$13,-$I$86),0)</f>
        <v>30503.390100238979</v>
      </c>
      <c r="CO301" s="1312">
        <f t="shared" si="220"/>
        <v>15968.762324903129</v>
      </c>
      <c r="CP301" s="1312">
        <f>CQ300*((1+'Instrumentos Financeiros'!$Q$43)^(1/12)-1)</f>
        <v>14534.62777533585</v>
      </c>
      <c r="CQ301" s="1312">
        <f t="shared" si="221"/>
        <v>3345407.6189179439</v>
      </c>
      <c r="CR301" s="1312">
        <f t="shared" si="190"/>
        <v>521803.11063210916</v>
      </c>
      <c r="CS301" s="1312">
        <f t="shared" si="190"/>
        <v>379622.63591594843</v>
      </c>
      <c r="CT301" s="1312">
        <f t="shared" si="190"/>
        <v>142180.47471616065</v>
      </c>
      <c r="CU301" s="1312">
        <f t="shared" si="190"/>
        <v>32686982.104051501</v>
      </c>
    </row>
    <row r="302" spans="3:99" x14ac:dyDescent="0.35">
      <c r="C302" s="1315">
        <f t="shared" si="191"/>
        <v>209</v>
      </c>
      <c r="D302" s="1312">
        <f>IF(AND(C302&gt;$F$59,'Instrumentos Financeiros'!C302&lt;'Instrumentos Financeiros'!$F$59+'Instrumentos Financeiros'!$F$11+1),PMT(((1+'Instrumentos Financeiros'!$G$43)^(1/12)-1),$F$11,-$I$59),0)</f>
        <v>91768.589635900134</v>
      </c>
      <c r="E302" s="1312">
        <f t="shared" si="188"/>
        <v>78608.305241680966</v>
      </c>
      <c r="F302" s="1312">
        <f>G301*((1+'Instrumentos Financeiros'!$G$43)^(1/12)-1)</f>
        <v>13160.284394219172</v>
      </c>
      <c r="G302" s="1312">
        <f t="shared" si="222"/>
        <v>3145528.7292456296</v>
      </c>
      <c r="H302" s="1312">
        <f>IF(AND(C302&gt;$F$60,'Instrumentos Financeiros'!C302&lt;'Instrumentos Financeiros'!$F$60+'Instrumentos Financeiros'!$F$11+1),PMT(((1+'Instrumentos Financeiros'!$G$43)^(1/12)-1),$F$11,-$I$60),0)</f>
        <v>0</v>
      </c>
      <c r="I302" s="1312">
        <f t="shared" si="174"/>
        <v>0</v>
      </c>
      <c r="J302" s="1312">
        <f>K301*((1+'Instrumentos Financeiros'!$G$43)^(1/12)-1)</f>
        <v>0</v>
      </c>
      <c r="K302" s="1312">
        <f t="shared" si="192"/>
        <v>0</v>
      </c>
      <c r="L302" s="1312">
        <f>IF(AND(C302&gt;$F$61,'Instrumentos Financeiros'!C302&lt;'Instrumentos Financeiros'!$F$61+'Instrumentos Financeiros'!$F$11+1),PMT(((1+'Instrumentos Financeiros'!$G$43)^(1/12)-1),$F$11,-$I$61),0)</f>
        <v>0</v>
      </c>
      <c r="M302" s="1312">
        <f t="shared" si="175"/>
        <v>0</v>
      </c>
      <c r="N302" s="1312">
        <f>O301*((1+'Instrumentos Financeiros'!$G$43)^(1/12)-1)</f>
        <v>0</v>
      </c>
      <c r="O302" s="1312">
        <f t="shared" si="193"/>
        <v>0</v>
      </c>
      <c r="P302" s="1312">
        <f>IF(AND(C302&gt;$F$62,'Instrumentos Financeiros'!C302&lt;'Instrumentos Financeiros'!$F$62+'Instrumentos Financeiros'!$F$11+1),PMT(((1+'Instrumentos Financeiros'!$H$43)^(1/12)-1),$F$11,-$I$62),0)</f>
        <v>0</v>
      </c>
      <c r="Q302" s="1312">
        <f t="shared" si="176"/>
        <v>0</v>
      </c>
      <c r="R302" s="1312">
        <f>S301*((1+'Instrumentos Financeiros'!$H$43)^(1/12)-1)</f>
        <v>0</v>
      </c>
      <c r="S302" s="1312">
        <f t="shared" si="194"/>
        <v>0</v>
      </c>
      <c r="T302" s="1312">
        <f>IF(AND(C302&gt;$F$63,'Instrumentos Financeiros'!C302&lt;'Instrumentos Financeiros'!$F$63+'Instrumentos Financeiros'!$F$11+1),PMT(((1+'Instrumentos Financeiros'!$H$43)^(1/12)-1),$F$11,-$I$63),0)</f>
        <v>0</v>
      </c>
      <c r="U302" s="1312">
        <f t="shared" si="177"/>
        <v>0</v>
      </c>
      <c r="V302" s="1312">
        <f>W301*((1+'Instrumentos Financeiros'!$H$43)^(1/12)-1)</f>
        <v>0</v>
      </c>
      <c r="W302" s="1312">
        <f t="shared" si="195"/>
        <v>0</v>
      </c>
      <c r="X302" s="1312">
        <f>IF(AND(C302&gt;$F$64,'Instrumentos Financeiros'!C302&lt;'Instrumentos Financeiros'!$F$64+'Instrumentos Financeiros'!$F$11+1),PMT(((1+'Instrumentos Financeiros'!$H$43)^(1/12)-1),$F$11,-$I$64),0)</f>
        <v>0</v>
      </c>
      <c r="Y302" s="1312">
        <f t="shared" si="178"/>
        <v>0</v>
      </c>
      <c r="Z302" s="1312">
        <f>AA301*((1+'Instrumentos Financeiros'!$H$43)^(1/12)-1)</f>
        <v>0</v>
      </c>
      <c r="AA302" s="1312">
        <f t="shared" si="196"/>
        <v>0</v>
      </c>
      <c r="AB302" s="1312">
        <f>IF(AND(C302&gt;$F$65,'Instrumentos Financeiros'!C302&lt;'Instrumentos Financeiros'!$F$65+'Instrumentos Financeiros'!$F$11+1),PMT(((1+'Instrumentos Financeiros'!$H$43)^(1/12)-1),$F$11,-$I$65),0)</f>
        <v>76636.661022032335</v>
      </c>
      <c r="AC302" s="1312">
        <f t="shared" si="179"/>
        <v>60186.794907820826</v>
      </c>
      <c r="AD302" s="1312">
        <f>AE301*((1+'Instrumentos Financeiros'!$H$43)^(1/12)-1)</f>
        <v>16449.866114211509</v>
      </c>
      <c r="AE302" s="1312">
        <f t="shared" si="197"/>
        <v>3744120.5658040661</v>
      </c>
      <c r="AF302" s="1312">
        <f>IF(AND(C302&gt;$F$66,'Instrumentos Financeiros'!C302&lt;'Instrumentos Financeiros'!$F$66+'Instrumentos Financeiros'!$F$11+1),PMT(((1+'Instrumentos Financeiros'!$I$43)^(1/12)-1),$F$11,-$I$66),0)</f>
        <v>76636.661022032335</v>
      </c>
      <c r="AG302" s="1312">
        <f t="shared" si="180"/>
        <v>59412.753409200683</v>
      </c>
      <c r="AH302" s="1312">
        <f>AI301*((1+'Instrumentos Financeiros'!$I$43)^(1/12)-1)</f>
        <v>17223.907612831648</v>
      </c>
      <c r="AI302" s="1312">
        <f t="shared" si="198"/>
        <v>3923904.6825368581</v>
      </c>
      <c r="AJ302" s="1312">
        <f>IF(AND(C302&gt;$F$67,'Instrumentos Financeiros'!C302&lt;'Instrumentos Financeiros'!$F$67+'Instrumentos Financeiros'!$F$11+1),PMT(((1+'Instrumentos Financeiros'!$I$43)^(1/12)-1),$F$11,-$I$67),0)</f>
        <v>76636.661022032335</v>
      </c>
      <c r="AK302" s="1312">
        <f t="shared" si="181"/>
        <v>58648.6665898836</v>
      </c>
      <c r="AL302" s="1312">
        <f>AM301*((1+'Instrumentos Financeiros'!$I$43)^(1/12)-1)</f>
        <v>17987.994432148735</v>
      </c>
      <c r="AM302" s="1312">
        <f t="shared" si="199"/>
        <v>4101376.6580872354</v>
      </c>
      <c r="AN302" s="1312">
        <f>IF(AND(C302&gt;$F$68,'Instrumentos Financeiros'!C302&lt;'Instrumentos Financeiros'!$F$68+'Instrumentos Financeiros'!$F$11+1),PMT(((1+'Instrumentos Financeiros'!$I$43)^(1/12)-1),$F$11,-$I$68),0)</f>
        <v>76636.661022032335</v>
      </c>
      <c r="AO302" s="1312">
        <f t="shared" si="182"/>
        <v>57894.406426190995</v>
      </c>
      <c r="AP302" s="1312">
        <f>AQ301*((1+'Instrumentos Financeiros'!$I$43)^(1/12)-1)</f>
        <v>18742.254595841343</v>
      </c>
      <c r="AQ302" s="1312">
        <f t="shared" si="200"/>
        <v>4276566.2281011734</v>
      </c>
      <c r="AR302" s="1312">
        <f>IF(AND(C302&gt;$F$69,'Instrumentos Financeiros'!C302&lt;'Instrumentos Financeiros'!$F$69+'Instrumentos Financeiros'!$F$11+1),PMT(((1+'Instrumentos Financeiros'!$I$43)^(1/12)-1),$F$11,-$I$69),0)</f>
        <v>0</v>
      </c>
      <c r="AS302" s="1312">
        <f t="shared" si="183"/>
        <v>0</v>
      </c>
      <c r="AT302" s="1312">
        <f>AU301*((1+'Instrumentos Financeiros'!$I$43)^(1/12)-1)</f>
        <v>0</v>
      </c>
      <c r="AU302" s="1312">
        <f t="shared" si="201"/>
        <v>0</v>
      </c>
      <c r="AV302" s="1312">
        <f>IF(AND(C302&gt;$F$70,'Instrumentos Financeiros'!C302&lt;'Instrumentos Financeiros'!$F$70+'Instrumentos Financeiros'!$F$11+1),PMT(((1+'Instrumentos Financeiros'!$J$43)^(1/12)-1),$F$11,-$I$70),0)</f>
        <v>0</v>
      </c>
      <c r="AW302" s="1312">
        <f t="shared" si="184"/>
        <v>0</v>
      </c>
      <c r="AX302" s="1312">
        <f>AY301*((1+'Instrumentos Financeiros'!$J$43)^(1/12)-1)</f>
        <v>0</v>
      </c>
      <c r="AY302" s="1312">
        <f t="shared" si="202"/>
        <v>0</v>
      </c>
      <c r="AZ302" s="1312">
        <f>IF(AND(C302&gt;$F$71,'Instrumentos Financeiros'!C302&lt;'Instrumentos Financeiros'!$F$71+'Instrumentos Financeiros'!$F$11+1),PMT(((1+'Instrumentos Financeiros'!$J$43)^(1/12)-1),$F$11,-$I$71),0)</f>
        <v>0</v>
      </c>
      <c r="BA302" s="1312">
        <f t="shared" si="185"/>
        <v>0</v>
      </c>
      <c r="BB302" s="1312">
        <f>BC301*((1+'Instrumentos Financeiros'!$J$43)^(1/12)-1)</f>
        <v>0</v>
      </c>
      <c r="BC302" s="1312">
        <f t="shared" si="203"/>
        <v>0</v>
      </c>
      <c r="BD302" s="1312">
        <f>IF(AND(C302&gt;$F$72,'Instrumentos Financeiros'!C302&lt;'Instrumentos Financeiros'!$F$72+'Instrumentos Financeiros'!$F$11+1),PMT(((1+'Instrumentos Financeiros'!$J$43)^(1/12)-1),$F$11,-'Instrumentos Financeiros'!$G$7*$G$72),0)</f>
        <v>0</v>
      </c>
      <c r="BE302" s="1312">
        <f t="shared" si="186"/>
        <v>0</v>
      </c>
      <c r="BF302" s="1312">
        <f>BG301*((1+'Instrumentos Financeiros'!$J$43)^(1/12)-1)</f>
        <v>0</v>
      </c>
      <c r="BG302" s="1312">
        <f t="shared" si="204"/>
        <v>0</v>
      </c>
      <c r="BH302" s="1312">
        <f>IF(AND(C302&gt;$F$73,'Instrumentos Financeiros'!C302&lt;'Instrumentos Financeiros'!$F$73+'Instrumentos Financeiros'!$F$11+1),PMT(((1+'Instrumentos Financeiros'!$J$43)^(1/12)-1),$F$11,-$I$73),0)</f>
        <v>0</v>
      </c>
      <c r="BI302" s="1312">
        <f t="shared" si="187"/>
        <v>0</v>
      </c>
      <c r="BJ302" s="1312">
        <f>BK301*((1+'Instrumentos Financeiros'!$J$43)^(1/12)-1)</f>
        <v>0</v>
      </c>
      <c r="BK302" s="1312">
        <f t="shared" si="205"/>
        <v>0</v>
      </c>
      <c r="BL302" s="1312">
        <f>IF(AND(C302&gt;$F$77,'Instrumentos Financeiros'!C302&lt;'Instrumentos Financeiros'!$F$77+'Instrumentos Financeiros'!$F$12+1),PMT(((1+'Instrumentos Financeiros'!$K$43)^(1/12)-1),$F$12,-$I$77),0)</f>
        <v>368.57912678094596</v>
      </c>
      <c r="BM302" s="1312">
        <f t="shared" si="206"/>
        <v>274.85853706046487</v>
      </c>
      <c r="BN302" s="1312">
        <f>BO301*((1+'Instrumentos Financeiros'!$K$43)^(1/12)-1)</f>
        <v>93.720589720481073</v>
      </c>
      <c r="BO302" s="1312">
        <f t="shared" si="207"/>
        <v>21399.599288213762</v>
      </c>
      <c r="BP302" s="1312">
        <f>IF(AND(C302&gt;$F$78,'Instrumentos Financeiros'!C302&lt;'Instrumentos Financeiros'!$F$78+'Instrumentos Financeiros'!$F$12+1),PMT(((1+'Instrumentos Financeiros'!$L$43)^(1/12)-1),$F$12,-$I$78),0)</f>
        <v>368.57912678094596</v>
      </c>
      <c r="BQ302" s="1312">
        <f t="shared" si="208"/>
        <v>271.3236767267212</v>
      </c>
      <c r="BR302" s="1312">
        <f>BS301*((1+'Instrumentos Financeiros'!$L$43)^(1/12)-1)</f>
        <v>97.255450054224752</v>
      </c>
      <c r="BS302" s="1312">
        <f t="shared" si="209"/>
        <v>22220.629871210662</v>
      </c>
      <c r="BT302" s="1312">
        <f>IF(AND(C302&gt;$F$79,'Instrumentos Financeiros'!C302&lt;'Instrumentos Financeiros'!$F$79+'Instrumentos Financeiros'!$F$12+1),PMT(((1+'Instrumentos Financeiros'!$L$43)^(1/12)-1),$F$12,-$I$79),0)</f>
        <v>368.57912678094596</v>
      </c>
      <c r="BU302" s="1312">
        <f t="shared" si="210"/>
        <v>267.83427700596303</v>
      </c>
      <c r="BV302" s="1312">
        <f>BW301*((1+'Instrumentos Financeiros'!$L$43)^(1/12)-1)</f>
        <v>100.7448497749829</v>
      </c>
      <c r="BW302" s="1312">
        <f t="shared" si="211"/>
        <v>23031.101464584521</v>
      </c>
      <c r="BX302" s="1312">
        <f>IF(AND(C302&gt;$F$80,'Instrumentos Financeiros'!C302&lt;'Instrumentos Financeiros'!$F$80+'Instrumentos Financeiros'!$F$12+1),PMT(((1+'Instrumentos Financeiros'!$L$43)^(1/12)-1),$F$12,-$I$80),0)</f>
        <v>368.57912678094596</v>
      </c>
      <c r="BY302" s="1312">
        <f t="shared" si="212"/>
        <v>264.38975324501098</v>
      </c>
      <c r="BZ302" s="1312">
        <f>CA301*((1+'Instrumentos Financeiros'!$L$43)^(1/12)-1)</f>
        <v>104.18937353593495</v>
      </c>
      <c r="CA302" s="1312">
        <f t="shared" si="213"/>
        <v>23831.14986383939</v>
      </c>
      <c r="CB302" s="1312">
        <f>IF(AND(C302&gt;$F$83,'Instrumentos Financeiros'!C302&lt;'Instrumentos Financeiros'!$F$83+'Instrumentos Financeiros'!$F$13+1),PMT(((1+'Instrumentos Financeiros'!$P$43)^(1/12)-1),$F$13,-$I$83),0)</f>
        <v>30503.390100238979</v>
      </c>
      <c r="CC302" s="1312">
        <f t="shared" si="214"/>
        <v>16672.845040341192</v>
      </c>
      <c r="CD302" s="1312">
        <f>CE301*((1+'Instrumentos Financeiros'!$P$43)^(1/12)-1)</f>
        <v>13830.54505989779</v>
      </c>
      <c r="CE302" s="1312">
        <f t="shared" si="215"/>
        <v>3181872.6026074318</v>
      </c>
      <c r="CF302" s="1312">
        <f>IF(AND(C302&gt;$F$84,'Instrumentos Financeiros'!C302&lt;'Instrumentos Financeiros'!$F$84+'Instrumentos Financeiros'!$F$13+1),PMT(((1+'Instrumentos Financeiros'!$Q$43)^(1/12)-1),$F$13,-$I$84),0)</f>
        <v>30503.390100238979</v>
      </c>
      <c r="CG302" s="1312">
        <f t="shared" si="216"/>
        <v>16458.421361840741</v>
      </c>
      <c r="CH302" s="1312">
        <f>CI301*((1+'Instrumentos Financeiros'!$Q$43)^(1/12)-1)</f>
        <v>14044.968738398238</v>
      </c>
      <c r="CI302" s="1312">
        <f t="shared" si="217"/>
        <v>3231676.0972708594</v>
      </c>
      <c r="CJ302" s="1312">
        <f>IF(AND(C302&gt;$F$85,'Instrumentos Financeiros'!C302&lt;'Instrumentos Financeiros'!$F$85+'Instrumentos Financeiros'!$F$13+1),PMT(((1+'Instrumentos Financeiros'!$Q$43)^(1/12)-1),$F$13,-$I$85),0)</f>
        <v>30503.390100238979</v>
      </c>
      <c r="CK302" s="1312">
        <f t="shared" si="218"/>
        <v>16246.755311914803</v>
      </c>
      <c r="CL302" s="1312">
        <f>CM301*((1+'Instrumentos Financeiros'!$Q$43)^(1/12)-1)</f>
        <v>14256.634788324176</v>
      </c>
      <c r="CM302" s="1312">
        <f t="shared" si="219"/>
        <v>3280839.0864595422</v>
      </c>
      <c r="CN302" s="1312">
        <f>IF(AND(C302&gt;$F$86,'Instrumentos Financeiros'!C302&lt;'Instrumentos Financeiros'!$F$86+'Instrumentos Financeiros'!$F$13+1),PMT(((1+'Instrumentos Financeiros'!$Q$43)^(1/12)-1),$F$13,-$I$86),0)</f>
        <v>30503.390100238979</v>
      </c>
      <c r="CO302" s="1312">
        <f t="shared" si="220"/>
        <v>16037.811425658534</v>
      </c>
      <c r="CP302" s="1312">
        <f>CQ301*((1+'Instrumentos Financeiros'!$Q$43)^(1/12)-1)</f>
        <v>14465.578674580445</v>
      </c>
      <c r="CQ302" s="1312">
        <f t="shared" si="221"/>
        <v>3329369.8074922855</v>
      </c>
      <c r="CR302" s="1312">
        <f t="shared" si="190"/>
        <v>521803.11063210916</v>
      </c>
      <c r="CS302" s="1312">
        <f t="shared" si="190"/>
        <v>381245.16595857043</v>
      </c>
      <c r="CT302" s="1312">
        <f t="shared" si="190"/>
        <v>140557.94467353867</v>
      </c>
      <c r="CU302" s="1312">
        <f t="shared" si="190"/>
        <v>32305736.938092936</v>
      </c>
    </row>
    <row r="303" spans="3:99" x14ac:dyDescent="0.35">
      <c r="C303" s="1315">
        <f t="shared" si="191"/>
        <v>210</v>
      </c>
      <c r="D303" s="1312">
        <f>IF(AND(C303&gt;$F$59,'Instrumentos Financeiros'!C303&lt;'Instrumentos Financeiros'!$F$59+'Instrumentos Financeiros'!$F$11+1),PMT(((1+'Instrumentos Financeiros'!$G$43)^(1/12)-1),$F$11,-$I$59),0)</f>
        <v>91768.589635900134</v>
      </c>
      <c r="E303" s="1312">
        <f t="shared" si="188"/>
        <v>78929.16866704484</v>
      </c>
      <c r="F303" s="1312">
        <f>G302*((1+'Instrumentos Financeiros'!$G$43)^(1/12)-1)</f>
        <v>12839.4209688553</v>
      </c>
      <c r="G303" s="1312">
        <f t="shared" si="222"/>
        <v>3066599.5605785847</v>
      </c>
      <c r="H303" s="1312">
        <f>IF(AND(C303&gt;$F$60,'Instrumentos Financeiros'!C303&lt;'Instrumentos Financeiros'!$F$60+'Instrumentos Financeiros'!$F$11+1),PMT(((1+'Instrumentos Financeiros'!$G$43)^(1/12)-1),$F$11,-$I$60),0)</f>
        <v>0</v>
      </c>
      <c r="I303" s="1312">
        <f t="shared" si="174"/>
        <v>0</v>
      </c>
      <c r="J303" s="1312">
        <f>K302*((1+'Instrumentos Financeiros'!$G$43)^(1/12)-1)</f>
        <v>0</v>
      </c>
      <c r="K303" s="1312">
        <f t="shared" si="192"/>
        <v>0</v>
      </c>
      <c r="L303" s="1312">
        <f>IF(AND(C303&gt;$F$61,'Instrumentos Financeiros'!C303&lt;'Instrumentos Financeiros'!$F$61+'Instrumentos Financeiros'!$F$11+1),PMT(((1+'Instrumentos Financeiros'!$G$43)^(1/12)-1),$F$11,-$I$61),0)</f>
        <v>0</v>
      </c>
      <c r="M303" s="1312">
        <f t="shared" si="175"/>
        <v>0</v>
      </c>
      <c r="N303" s="1312">
        <f>O302*((1+'Instrumentos Financeiros'!$G$43)^(1/12)-1)</f>
        <v>0</v>
      </c>
      <c r="O303" s="1312">
        <f t="shared" si="193"/>
        <v>0</v>
      </c>
      <c r="P303" s="1312">
        <f>IF(AND(C303&gt;$F$62,'Instrumentos Financeiros'!C303&lt;'Instrumentos Financeiros'!$F$62+'Instrumentos Financeiros'!$F$11+1),PMT(((1+'Instrumentos Financeiros'!$H$43)^(1/12)-1),$F$11,-$I$62),0)</f>
        <v>0</v>
      </c>
      <c r="Q303" s="1312">
        <f t="shared" si="176"/>
        <v>0</v>
      </c>
      <c r="R303" s="1312">
        <f>S302*((1+'Instrumentos Financeiros'!$H$43)^(1/12)-1)</f>
        <v>0</v>
      </c>
      <c r="S303" s="1312">
        <f t="shared" si="194"/>
        <v>0</v>
      </c>
      <c r="T303" s="1312">
        <f>IF(AND(C303&gt;$F$63,'Instrumentos Financeiros'!C303&lt;'Instrumentos Financeiros'!$F$63+'Instrumentos Financeiros'!$F$11+1),PMT(((1+'Instrumentos Financeiros'!$H$43)^(1/12)-1),$F$11,-$I$63),0)</f>
        <v>0</v>
      </c>
      <c r="U303" s="1312">
        <f t="shared" si="177"/>
        <v>0</v>
      </c>
      <c r="V303" s="1312">
        <f>W302*((1+'Instrumentos Financeiros'!$H$43)^(1/12)-1)</f>
        <v>0</v>
      </c>
      <c r="W303" s="1312">
        <f t="shared" si="195"/>
        <v>0</v>
      </c>
      <c r="X303" s="1312">
        <f>IF(AND(C303&gt;$F$64,'Instrumentos Financeiros'!C303&lt;'Instrumentos Financeiros'!$F$64+'Instrumentos Financeiros'!$F$11+1),PMT(((1+'Instrumentos Financeiros'!$H$43)^(1/12)-1),$F$11,-$I$64),0)</f>
        <v>0</v>
      </c>
      <c r="Y303" s="1312">
        <f t="shared" si="178"/>
        <v>0</v>
      </c>
      <c r="Z303" s="1312">
        <f>AA302*((1+'Instrumentos Financeiros'!$H$43)^(1/12)-1)</f>
        <v>0</v>
      </c>
      <c r="AA303" s="1312">
        <f t="shared" si="196"/>
        <v>0</v>
      </c>
      <c r="AB303" s="1312">
        <f>IF(AND(C303&gt;$F$65,'Instrumentos Financeiros'!C303&lt;'Instrumentos Financeiros'!$F$65+'Instrumentos Financeiros'!$F$11+1),PMT(((1+'Instrumentos Financeiros'!$H$43)^(1/12)-1),$F$11,-$I$65),0)</f>
        <v>76636.661022032335</v>
      </c>
      <c r="AC303" s="1312">
        <f t="shared" si="179"/>
        <v>60447.043259019214</v>
      </c>
      <c r="AD303" s="1312">
        <f>AE302*((1+'Instrumentos Financeiros'!$H$43)^(1/12)-1)</f>
        <v>16189.617763013121</v>
      </c>
      <c r="AE303" s="1312">
        <f t="shared" si="197"/>
        <v>3683673.5225450471</v>
      </c>
      <c r="AF303" s="1312">
        <f>IF(AND(C303&gt;$F$66,'Instrumentos Financeiros'!C303&lt;'Instrumentos Financeiros'!$F$66+'Instrumentos Financeiros'!$F$11+1),PMT(((1+'Instrumentos Financeiros'!$I$43)^(1/12)-1),$F$11,-$I$66),0)</f>
        <v>76636.661022032335</v>
      </c>
      <c r="AG303" s="1312">
        <f t="shared" si="180"/>
        <v>59669.654796599396</v>
      </c>
      <c r="AH303" s="1312">
        <f>AI302*((1+'Instrumentos Financeiros'!$I$43)^(1/12)-1)</f>
        <v>16967.006225432935</v>
      </c>
      <c r="AI303" s="1312">
        <f t="shared" si="198"/>
        <v>3864235.0277402587</v>
      </c>
      <c r="AJ303" s="1312">
        <f>IF(AND(C303&gt;$F$67,'Instrumentos Financeiros'!C303&lt;'Instrumentos Financeiros'!$F$67+'Instrumentos Financeiros'!$F$11+1),PMT(((1+'Instrumentos Financeiros'!$I$43)^(1/12)-1),$F$11,-$I$67),0)</f>
        <v>76636.661022032335</v>
      </c>
      <c r="AK303" s="1312">
        <f t="shared" si="181"/>
        <v>58902.264057623455</v>
      </c>
      <c r="AL303" s="1312">
        <f>AM302*((1+'Instrumentos Financeiros'!$I$43)^(1/12)-1)</f>
        <v>17734.396964408883</v>
      </c>
      <c r="AM303" s="1312">
        <f t="shared" si="199"/>
        <v>4042474.3940296117</v>
      </c>
      <c r="AN303" s="1312">
        <f>IF(AND(C303&gt;$F$68,'Instrumentos Financeiros'!C303&lt;'Instrumentos Financeiros'!$F$68+'Instrumentos Financeiros'!$F$11+1),PMT(((1+'Instrumentos Financeiros'!$I$43)^(1/12)-1),$F$11,-$I$68),0)</f>
        <v>76636.661022032335</v>
      </c>
      <c r="AO303" s="1312">
        <f t="shared" si="182"/>
        <v>58144.742464837036</v>
      </c>
      <c r="AP303" s="1312">
        <f>AQ302*((1+'Instrumentos Financeiros'!$I$43)^(1/12)-1)</f>
        <v>18491.918557195298</v>
      </c>
      <c r="AQ303" s="1312">
        <f t="shared" si="200"/>
        <v>4218421.4856363367</v>
      </c>
      <c r="AR303" s="1312">
        <f>IF(AND(C303&gt;$F$69,'Instrumentos Financeiros'!C303&lt;'Instrumentos Financeiros'!$F$69+'Instrumentos Financeiros'!$F$11+1),PMT(((1+'Instrumentos Financeiros'!$I$43)^(1/12)-1),$F$11,-$I$69),0)</f>
        <v>0</v>
      </c>
      <c r="AS303" s="1312">
        <f t="shared" si="183"/>
        <v>0</v>
      </c>
      <c r="AT303" s="1312">
        <f>AU302*((1+'Instrumentos Financeiros'!$I$43)^(1/12)-1)</f>
        <v>0</v>
      </c>
      <c r="AU303" s="1312">
        <f t="shared" si="201"/>
        <v>0</v>
      </c>
      <c r="AV303" s="1312">
        <f>IF(AND(C303&gt;$F$70,'Instrumentos Financeiros'!C303&lt;'Instrumentos Financeiros'!$F$70+'Instrumentos Financeiros'!$F$11+1),PMT(((1+'Instrumentos Financeiros'!$J$43)^(1/12)-1),$F$11,-$I$70),0)</f>
        <v>0</v>
      </c>
      <c r="AW303" s="1312">
        <f t="shared" si="184"/>
        <v>0</v>
      </c>
      <c r="AX303" s="1312">
        <f>AY302*((1+'Instrumentos Financeiros'!$J$43)^(1/12)-1)</f>
        <v>0</v>
      </c>
      <c r="AY303" s="1312">
        <f t="shared" si="202"/>
        <v>0</v>
      </c>
      <c r="AZ303" s="1312">
        <f>IF(AND(C303&gt;$F$71,'Instrumentos Financeiros'!C303&lt;'Instrumentos Financeiros'!$F$71+'Instrumentos Financeiros'!$F$11+1),PMT(((1+'Instrumentos Financeiros'!$J$43)^(1/12)-1),$F$11,-$I$71),0)</f>
        <v>0</v>
      </c>
      <c r="BA303" s="1312">
        <f t="shared" si="185"/>
        <v>0</v>
      </c>
      <c r="BB303" s="1312">
        <f>BC302*((1+'Instrumentos Financeiros'!$J$43)^(1/12)-1)</f>
        <v>0</v>
      </c>
      <c r="BC303" s="1312">
        <f t="shared" si="203"/>
        <v>0</v>
      </c>
      <c r="BD303" s="1312">
        <f>IF(AND(C303&gt;$F$72,'Instrumentos Financeiros'!C303&lt;'Instrumentos Financeiros'!$F$72+'Instrumentos Financeiros'!$F$11+1),PMT(((1+'Instrumentos Financeiros'!$J$43)^(1/12)-1),$F$11,-'Instrumentos Financeiros'!$G$7*$G$72),0)</f>
        <v>0</v>
      </c>
      <c r="BE303" s="1312">
        <f t="shared" si="186"/>
        <v>0</v>
      </c>
      <c r="BF303" s="1312">
        <f>BG302*((1+'Instrumentos Financeiros'!$J$43)^(1/12)-1)</f>
        <v>0</v>
      </c>
      <c r="BG303" s="1312">
        <f t="shared" si="204"/>
        <v>0</v>
      </c>
      <c r="BH303" s="1312">
        <f>IF(AND(C303&gt;$F$73,'Instrumentos Financeiros'!C303&lt;'Instrumentos Financeiros'!$F$73+'Instrumentos Financeiros'!$F$11+1),PMT(((1+'Instrumentos Financeiros'!$J$43)^(1/12)-1),$F$11,-$I$73),0)</f>
        <v>0</v>
      </c>
      <c r="BI303" s="1312">
        <f t="shared" si="187"/>
        <v>0</v>
      </c>
      <c r="BJ303" s="1312">
        <f>BK302*((1+'Instrumentos Financeiros'!$J$43)^(1/12)-1)</f>
        <v>0</v>
      </c>
      <c r="BK303" s="1312">
        <f t="shared" si="205"/>
        <v>0</v>
      </c>
      <c r="BL303" s="1312">
        <f>IF(AND(C303&gt;$F$77,'Instrumentos Financeiros'!C303&lt;'Instrumentos Financeiros'!$F$77+'Instrumentos Financeiros'!$F$12+1),PMT(((1+'Instrumentos Financeiros'!$K$43)^(1/12)-1),$F$12,-$I$77),0)</f>
        <v>368.57912678094596</v>
      </c>
      <c r="BM303" s="1312">
        <f t="shared" si="206"/>
        <v>276.04702834318465</v>
      </c>
      <c r="BN303" s="1312">
        <f>BO302*((1+'Instrumentos Financeiros'!$K$43)^(1/12)-1)</f>
        <v>92.53209843776132</v>
      </c>
      <c r="BO303" s="1312">
        <f t="shared" si="207"/>
        <v>21123.552259870576</v>
      </c>
      <c r="BP303" s="1312">
        <f>IF(AND(C303&gt;$F$78,'Instrumentos Financeiros'!C303&lt;'Instrumentos Financeiros'!$F$78+'Instrumentos Financeiros'!$F$12+1),PMT(((1+'Instrumentos Financeiros'!$L$43)^(1/12)-1),$F$12,-$I$78),0)</f>
        <v>368.57912678094596</v>
      </c>
      <c r="BQ303" s="1312">
        <f t="shared" si="208"/>
        <v>272.49688323518137</v>
      </c>
      <c r="BR303" s="1312">
        <f>BS302*((1+'Instrumentos Financeiros'!$L$43)^(1/12)-1)</f>
        <v>96.082243545764555</v>
      </c>
      <c r="BS303" s="1312">
        <f t="shared" si="209"/>
        <v>21948.132987975481</v>
      </c>
      <c r="BT303" s="1312">
        <f>IF(AND(C303&gt;$F$79,'Instrumentos Financeiros'!C303&lt;'Instrumentos Financeiros'!$F$79+'Instrumentos Financeiros'!$F$12+1),PMT(((1+'Instrumentos Financeiros'!$L$43)^(1/12)-1),$F$12,-$I$79),0)</f>
        <v>368.57912678094596</v>
      </c>
      <c r="BU303" s="1312">
        <f t="shared" si="210"/>
        <v>268.9923953123452</v>
      </c>
      <c r="BV303" s="1312">
        <f>BW302*((1+'Instrumentos Financeiros'!$L$43)^(1/12)-1)</f>
        <v>99.586731468600746</v>
      </c>
      <c r="BW303" s="1312">
        <f t="shared" si="211"/>
        <v>22762.109069272177</v>
      </c>
      <c r="BX303" s="1312">
        <f>IF(AND(C303&gt;$F$80,'Instrumentos Financeiros'!C303&lt;'Instrumentos Financeiros'!$F$80+'Instrumentos Financeiros'!$F$12+1),PMT(((1+'Instrumentos Financeiros'!$L$43)^(1/12)-1),$F$12,-$I$80),0)</f>
        <v>368.57912678094596</v>
      </c>
      <c r="BY303" s="1312">
        <f t="shared" si="212"/>
        <v>265.53297739344993</v>
      </c>
      <c r="BZ303" s="1312">
        <f>CA302*((1+'Instrumentos Financeiros'!$L$43)^(1/12)-1)</f>
        <v>103.04614938749602</v>
      </c>
      <c r="CA303" s="1312">
        <f t="shared" si="213"/>
        <v>23565.61688644594</v>
      </c>
      <c r="CB303" s="1312">
        <f>IF(AND(C303&gt;$F$83,'Instrumentos Financeiros'!C303&lt;'Instrumentos Financeiros'!$F$83+'Instrumentos Financeiros'!$F$13+1),PMT(((1+'Instrumentos Financeiros'!$P$43)^(1/12)-1),$F$13,-$I$83),0)</f>
        <v>30503.390100238979</v>
      </c>
      <c r="CC303" s="1312">
        <f t="shared" si="214"/>
        <v>16744.938602362236</v>
      </c>
      <c r="CD303" s="1312">
        <f>CE302*((1+'Instrumentos Financeiros'!$P$43)^(1/12)-1)</f>
        <v>13758.451497876742</v>
      </c>
      <c r="CE303" s="1312">
        <f t="shared" si="215"/>
        <v>3165127.6640050695</v>
      </c>
      <c r="CF303" s="1312">
        <f>IF(AND(C303&gt;$F$84,'Instrumentos Financeiros'!C303&lt;'Instrumentos Financeiros'!$F$84+'Instrumentos Financeiros'!$F$13+1),PMT(((1+'Instrumentos Financeiros'!$Q$43)^(1/12)-1),$F$13,-$I$84),0)</f>
        <v>30503.390100238979</v>
      </c>
      <c r="CG303" s="1312">
        <f t="shared" si="216"/>
        <v>16529.587753560176</v>
      </c>
      <c r="CH303" s="1312">
        <f>CI302*((1+'Instrumentos Financeiros'!$Q$43)^(1/12)-1)</f>
        <v>13973.802346678802</v>
      </c>
      <c r="CI303" s="1312">
        <f t="shared" si="217"/>
        <v>3215146.509517299</v>
      </c>
      <c r="CJ303" s="1312">
        <f>IF(AND(C303&gt;$F$85,'Instrumentos Financeiros'!C303&lt;'Instrumentos Financeiros'!$F$85+'Instrumentos Financeiros'!$F$13+1),PMT(((1+'Instrumentos Financeiros'!$Q$43)^(1/12)-1),$F$13,-$I$85),0)</f>
        <v>30503.390100238979</v>
      </c>
      <c r="CK303" s="1312">
        <f t="shared" si="218"/>
        <v>16317.006457348369</v>
      </c>
      <c r="CL303" s="1312">
        <f>CM302*((1+'Instrumentos Financeiros'!$Q$43)^(1/12)-1)</f>
        <v>14186.383642890611</v>
      </c>
      <c r="CM303" s="1312">
        <f t="shared" si="219"/>
        <v>3264522.0800021938</v>
      </c>
      <c r="CN303" s="1312">
        <f>IF(AND(C303&gt;$F$86,'Instrumentos Financeiros'!C303&lt;'Instrumentos Financeiros'!$F$86+'Instrumentos Financeiros'!$F$13+1),PMT(((1+'Instrumentos Financeiros'!$Q$43)^(1/12)-1),$F$13,-$I$86),0)</f>
        <v>30503.390100238979</v>
      </c>
      <c r="CO303" s="1312">
        <f t="shared" si="220"/>
        <v>16107.159095471334</v>
      </c>
      <c r="CP303" s="1312">
        <f>CQ302*((1+'Instrumentos Financeiros'!$Q$43)^(1/12)-1)</f>
        <v>14396.231004767646</v>
      </c>
      <c r="CQ303" s="1312">
        <f t="shared" si="221"/>
        <v>3313262.6483968142</v>
      </c>
      <c r="CR303" s="1312">
        <f t="shared" si="190"/>
        <v>521803.11063210916</v>
      </c>
      <c r="CS303" s="1312">
        <f t="shared" si="190"/>
        <v>382874.63443815015</v>
      </c>
      <c r="CT303" s="1312">
        <f t="shared" si="190"/>
        <v>138928.47619395895</v>
      </c>
      <c r="CU303" s="1312">
        <f t="shared" si="190"/>
        <v>31922862.303654782</v>
      </c>
    </row>
    <row r="304" spans="3:99" x14ac:dyDescent="0.35">
      <c r="C304" s="1315">
        <f t="shared" si="191"/>
        <v>211</v>
      </c>
      <c r="D304" s="1312">
        <f>IF(AND(C304&gt;$F$59,'Instrumentos Financeiros'!C304&lt;'Instrumentos Financeiros'!$F$59+'Instrumentos Financeiros'!$F$11+1),PMT(((1+'Instrumentos Financeiros'!$G$43)^(1/12)-1),$F$11,-$I$59),0)</f>
        <v>91768.589635900134</v>
      </c>
      <c r="E304" s="1312">
        <f t="shared" si="188"/>
        <v>79251.341792922147</v>
      </c>
      <c r="F304" s="1312">
        <f>G303*((1+'Instrumentos Financeiros'!$G$43)^(1/12)-1)</f>
        <v>12517.247842977982</v>
      </c>
      <c r="G304" s="1312">
        <f t="shared" si="222"/>
        <v>2987348.2187856627</v>
      </c>
      <c r="H304" s="1312">
        <f>IF(AND(C304&gt;$F$60,'Instrumentos Financeiros'!C304&lt;'Instrumentos Financeiros'!$F$60+'Instrumentos Financeiros'!$F$11+1),PMT(((1+'Instrumentos Financeiros'!$G$43)^(1/12)-1),$F$11,-$I$60),0)</f>
        <v>0</v>
      </c>
      <c r="I304" s="1312">
        <f t="shared" si="174"/>
        <v>0</v>
      </c>
      <c r="J304" s="1312">
        <f>K303*((1+'Instrumentos Financeiros'!$G$43)^(1/12)-1)</f>
        <v>0</v>
      </c>
      <c r="K304" s="1312">
        <f t="shared" si="192"/>
        <v>0</v>
      </c>
      <c r="L304" s="1312">
        <f>IF(AND(C304&gt;$F$61,'Instrumentos Financeiros'!C304&lt;'Instrumentos Financeiros'!$F$61+'Instrumentos Financeiros'!$F$11+1),PMT(((1+'Instrumentos Financeiros'!$G$43)^(1/12)-1),$F$11,-$I$61),0)</f>
        <v>0</v>
      </c>
      <c r="M304" s="1312">
        <f t="shared" si="175"/>
        <v>0</v>
      </c>
      <c r="N304" s="1312">
        <f>O303*((1+'Instrumentos Financeiros'!$G$43)^(1/12)-1)</f>
        <v>0</v>
      </c>
      <c r="O304" s="1312">
        <f t="shared" si="193"/>
        <v>0</v>
      </c>
      <c r="P304" s="1312">
        <f>IF(AND(C304&gt;$F$62,'Instrumentos Financeiros'!C304&lt;'Instrumentos Financeiros'!$F$62+'Instrumentos Financeiros'!$F$11+1),PMT(((1+'Instrumentos Financeiros'!$H$43)^(1/12)-1),$F$11,-$I$62),0)</f>
        <v>0</v>
      </c>
      <c r="Q304" s="1312">
        <f t="shared" si="176"/>
        <v>0</v>
      </c>
      <c r="R304" s="1312">
        <f>S303*((1+'Instrumentos Financeiros'!$H$43)^(1/12)-1)</f>
        <v>0</v>
      </c>
      <c r="S304" s="1312">
        <f t="shared" si="194"/>
        <v>0</v>
      </c>
      <c r="T304" s="1312">
        <f>IF(AND(C304&gt;$F$63,'Instrumentos Financeiros'!C304&lt;'Instrumentos Financeiros'!$F$63+'Instrumentos Financeiros'!$F$11+1),PMT(((1+'Instrumentos Financeiros'!$H$43)^(1/12)-1),$F$11,-$I$63),0)</f>
        <v>0</v>
      </c>
      <c r="U304" s="1312">
        <f t="shared" si="177"/>
        <v>0</v>
      </c>
      <c r="V304" s="1312">
        <f>W303*((1+'Instrumentos Financeiros'!$H$43)^(1/12)-1)</f>
        <v>0</v>
      </c>
      <c r="W304" s="1312">
        <f t="shared" si="195"/>
        <v>0</v>
      </c>
      <c r="X304" s="1312">
        <f>IF(AND(C304&gt;$F$64,'Instrumentos Financeiros'!C304&lt;'Instrumentos Financeiros'!$F$64+'Instrumentos Financeiros'!$F$11+1),PMT(((1+'Instrumentos Financeiros'!$H$43)^(1/12)-1),$F$11,-$I$64),0)</f>
        <v>0</v>
      </c>
      <c r="Y304" s="1312">
        <f t="shared" si="178"/>
        <v>0</v>
      </c>
      <c r="Z304" s="1312">
        <f>AA303*((1+'Instrumentos Financeiros'!$H$43)^(1/12)-1)</f>
        <v>0</v>
      </c>
      <c r="AA304" s="1312">
        <f t="shared" si="196"/>
        <v>0</v>
      </c>
      <c r="AB304" s="1312">
        <f>IF(AND(C304&gt;$F$65,'Instrumentos Financeiros'!C304&lt;'Instrumentos Financeiros'!$F$65+'Instrumentos Financeiros'!$F$11+1),PMT(((1+'Instrumentos Financeiros'!$H$43)^(1/12)-1),$F$11,-$I$65),0)</f>
        <v>76636.661022032335</v>
      </c>
      <c r="AC304" s="1312">
        <f t="shared" si="179"/>
        <v>60708.416926898863</v>
      </c>
      <c r="AD304" s="1312">
        <f>AE303*((1+'Instrumentos Financeiros'!$H$43)^(1/12)-1)</f>
        <v>15928.24409513347</v>
      </c>
      <c r="AE304" s="1312">
        <f t="shared" si="197"/>
        <v>3622965.1056181481</v>
      </c>
      <c r="AF304" s="1312">
        <f>IF(AND(C304&gt;$F$66,'Instrumentos Financeiros'!C304&lt;'Instrumentos Financeiros'!$F$66+'Instrumentos Financeiros'!$F$11+1),PMT(((1+'Instrumentos Financeiros'!$I$43)^(1/12)-1),$F$11,-$I$66),0)</f>
        <v>76636.661022032335</v>
      </c>
      <c r="AG304" s="1312">
        <f t="shared" si="180"/>
        <v>59927.667028371754</v>
      </c>
      <c r="AH304" s="1312">
        <f>AI303*((1+'Instrumentos Financeiros'!$I$43)^(1/12)-1)</f>
        <v>16708.993993660581</v>
      </c>
      <c r="AI304" s="1312">
        <f t="shared" si="198"/>
        <v>3804307.360711887</v>
      </c>
      <c r="AJ304" s="1312">
        <f>IF(AND(C304&gt;$F$67,'Instrumentos Financeiros'!C304&lt;'Instrumentos Financeiros'!$F$67+'Instrumentos Financeiros'!$F$11+1),PMT(((1+'Instrumentos Financeiros'!$I$43)^(1/12)-1),$F$11,-$I$67),0)</f>
        <v>76636.661022032335</v>
      </c>
      <c r="AK304" s="1312">
        <f t="shared" si="181"/>
        <v>59156.958083552665</v>
      </c>
      <c r="AL304" s="1312">
        <f>AM303*((1+'Instrumentos Financeiros'!$I$43)^(1/12)-1)</f>
        <v>17479.70293847967</v>
      </c>
      <c r="AM304" s="1312">
        <f t="shared" si="199"/>
        <v>3983317.4359460589</v>
      </c>
      <c r="AN304" s="1312">
        <f>IF(AND(C304&gt;$F$68,'Instrumentos Financeiros'!C304&lt;'Instrumentos Financeiros'!$F$68+'Instrumentos Financeiros'!$F$11+1),PMT(((1+'Instrumentos Financeiros'!$I$43)^(1/12)-1),$F$11,-$I$68),0)</f>
        <v>76636.661022032335</v>
      </c>
      <c r="AO304" s="1312">
        <f t="shared" si="182"/>
        <v>58396.160959217807</v>
      </c>
      <c r="AP304" s="1312">
        <f>AQ303*((1+'Instrumentos Financeiros'!$I$43)^(1/12)-1)</f>
        <v>18240.500062814528</v>
      </c>
      <c r="AQ304" s="1312">
        <f t="shared" si="200"/>
        <v>4160025.324677119</v>
      </c>
      <c r="AR304" s="1312">
        <f>IF(AND(C304&gt;$F$69,'Instrumentos Financeiros'!C304&lt;'Instrumentos Financeiros'!$F$69+'Instrumentos Financeiros'!$F$11+1),PMT(((1+'Instrumentos Financeiros'!$I$43)^(1/12)-1),$F$11,-$I$69),0)</f>
        <v>0</v>
      </c>
      <c r="AS304" s="1312">
        <f t="shared" si="183"/>
        <v>0</v>
      </c>
      <c r="AT304" s="1312">
        <f>AU303*((1+'Instrumentos Financeiros'!$I$43)^(1/12)-1)</f>
        <v>0</v>
      </c>
      <c r="AU304" s="1312">
        <f t="shared" si="201"/>
        <v>0</v>
      </c>
      <c r="AV304" s="1312">
        <f>IF(AND(C304&gt;$F$70,'Instrumentos Financeiros'!C304&lt;'Instrumentos Financeiros'!$F$70+'Instrumentos Financeiros'!$F$11+1),PMT(((1+'Instrumentos Financeiros'!$J$43)^(1/12)-1),$F$11,-$I$70),0)</f>
        <v>0</v>
      </c>
      <c r="AW304" s="1312">
        <f t="shared" si="184"/>
        <v>0</v>
      </c>
      <c r="AX304" s="1312">
        <f>AY303*((1+'Instrumentos Financeiros'!$J$43)^(1/12)-1)</f>
        <v>0</v>
      </c>
      <c r="AY304" s="1312">
        <f t="shared" si="202"/>
        <v>0</v>
      </c>
      <c r="AZ304" s="1312">
        <f>IF(AND(C304&gt;$F$71,'Instrumentos Financeiros'!C304&lt;'Instrumentos Financeiros'!$F$71+'Instrumentos Financeiros'!$F$11+1),PMT(((1+'Instrumentos Financeiros'!$J$43)^(1/12)-1),$F$11,-$I$71),0)</f>
        <v>0</v>
      </c>
      <c r="BA304" s="1312">
        <f t="shared" si="185"/>
        <v>0</v>
      </c>
      <c r="BB304" s="1312">
        <f>BC303*((1+'Instrumentos Financeiros'!$J$43)^(1/12)-1)</f>
        <v>0</v>
      </c>
      <c r="BC304" s="1312">
        <f t="shared" si="203"/>
        <v>0</v>
      </c>
      <c r="BD304" s="1312">
        <f>IF(AND(C304&gt;$F$72,'Instrumentos Financeiros'!C304&lt;'Instrumentos Financeiros'!$F$72+'Instrumentos Financeiros'!$F$11+1),PMT(((1+'Instrumentos Financeiros'!$J$43)^(1/12)-1),$F$11,-'Instrumentos Financeiros'!$G$7*$G$72),0)</f>
        <v>0</v>
      </c>
      <c r="BE304" s="1312">
        <f t="shared" si="186"/>
        <v>0</v>
      </c>
      <c r="BF304" s="1312">
        <f>BG303*((1+'Instrumentos Financeiros'!$J$43)^(1/12)-1)</f>
        <v>0</v>
      </c>
      <c r="BG304" s="1312">
        <f t="shared" si="204"/>
        <v>0</v>
      </c>
      <c r="BH304" s="1312">
        <f>IF(AND(C304&gt;$F$73,'Instrumentos Financeiros'!C304&lt;'Instrumentos Financeiros'!$F$73+'Instrumentos Financeiros'!$F$11+1),PMT(((1+'Instrumentos Financeiros'!$J$43)^(1/12)-1),$F$11,-$I$73),0)</f>
        <v>0</v>
      </c>
      <c r="BI304" s="1312">
        <f t="shared" si="187"/>
        <v>0</v>
      </c>
      <c r="BJ304" s="1312">
        <f>BK303*((1+'Instrumentos Financeiros'!$J$43)^(1/12)-1)</f>
        <v>0</v>
      </c>
      <c r="BK304" s="1312">
        <f t="shared" si="205"/>
        <v>0</v>
      </c>
      <c r="BL304" s="1312">
        <f>IF(AND(C304&gt;$F$77,'Instrumentos Financeiros'!C304&lt;'Instrumentos Financeiros'!$F$77+'Instrumentos Financeiros'!$F$12+1),PMT(((1+'Instrumentos Financeiros'!$K$43)^(1/12)-1),$F$12,-$I$77),0)</f>
        <v>368.57912678094596</v>
      </c>
      <c r="BM304" s="1312">
        <f t="shared" si="206"/>
        <v>277.24065867504657</v>
      </c>
      <c r="BN304" s="1312">
        <f>BO303*((1+'Instrumentos Financeiros'!$K$43)^(1/12)-1)</f>
        <v>91.338468105899366</v>
      </c>
      <c r="BO304" s="1312">
        <f t="shared" si="207"/>
        <v>20846.311601195528</v>
      </c>
      <c r="BP304" s="1312">
        <f>IF(AND(C304&gt;$F$78,'Instrumentos Financeiros'!C304&lt;'Instrumentos Financeiros'!$F$78+'Instrumentos Financeiros'!$F$12+1),PMT(((1+'Instrumentos Financeiros'!$L$43)^(1/12)-1),$F$12,-$I$78),0)</f>
        <v>368.57912678094596</v>
      </c>
      <c r="BQ304" s="1312">
        <f t="shared" si="208"/>
        <v>273.67516270125475</v>
      </c>
      <c r="BR304" s="1312">
        <f>BS303*((1+'Instrumentos Financeiros'!$L$43)^(1/12)-1)</f>
        <v>94.903964079691178</v>
      </c>
      <c r="BS304" s="1312">
        <f t="shared" si="209"/>
        <v>21674.457825274225</v>
      </c>
      <c r="BT304" s="1312">
        <f>IF(AND(C304&gt;$F$79,'Instrumentos Financeiros'!C304&lt;'Instrumentos Financeiros'!$F$79+'Instrumentos Financeiros'!$F$12+1),PMT(((1+'Instrumentos Financeiros'!$L$43)^(1/12)-1),$F$12,-$I$79),0)</f>
        <v>368.57912678094596</v>
      </c>
      <c r="BU304" s="1312">
        <f t="shared" si="210"/>
        <v>270.15552133479179</v>
      </c>
      <c r="BV304" s="1312">
        <f>BW303*((1+'Instrumentos Financeiros'!$L$43)^(1/12)-1)</f>
        <v>98.423605446154156</v>
      </c>
      <c r="BW304" s="1312">
        <f t="shared" si="211"/>
        <v>22491.953547937384</v>
      </c>
      <c r="BX304" s="1312">
        <f>IF(AND(C304&gt;$F$80,'Instrumentos Financeiros'!C304&lt;'Instrumentos Financeiros'!$F$80+'Instrumentos Financeiros'!$F$12+1),PMT(((1+'Instrumentos Financeiros'!$L$43)^(1/12)-1),$F$12,-$I$80),0)</f>
        <v>368.57912678094596</v>
      </c>
      <c r="BY304" s="1312">
        <f t="shared" si="212"/>
        <v>266.68114485545357</v>
      </c>
      <c r="BZ304" s="1312">
        <f>CA303*((1+'Instrumentos Financeiros'!$L$43)^(1/12)-1)</f>
        <v>101.8979819254924</v>
      </c>
      <c r="CA304" s="1312">
        <f t="shared" si="213"/>
        <v>23298.935741590485</v>
      </c>
      <c r="CB304" s="1312">
        <f>IF(AND(C304&gt;$F$83,'Instrumentos Financeiros'!C304&lt;'Instrumentos Financeiros'!$F$83+'Instrumentos Financeiros'!$F$13+1),PMT(((1+'Instrumentos Financeiros'!$P$43)^(1/12)-1),$F$13,-$I$83),0)</f>
        <v>30503.390100238979</v>
      </c>
      <c r="CC304" s="1312">
        <f t="shared" si="214"/>
        <v>16817.343897724073</v>
      </c>
      <c r="CD304" s="1312">
        <f>CE303*((1+'Instrumentos Financeiros'!$P$43)^(1/12)-1)</f>
        <v>13686.046202514905</v>
      </c>
      <c r="CE304" s="1312">
        <f t="shared" si="215"/>
        <v>3148310.3201073455</v>
      </c>
      <c r="CF304" s="1312">
        <f>IF(AND(C304&gt;$F$84,'Instrumentos Financeiros'!C304&lt;'Instrumentos Financeiros'!$F$84+'Instrumentos Financeiros'!$F$13+1),PMT(((1+'Instrumentos Financeiros'!$Q$43)^(1/12)-1),$F$13,-$I$84),0)</f>
        <v>30503.390100238979</v>
      </c>
      <c r="CG304" s="1312">
        <f t="shared" si="216"/>
        <v>16601.061869526005</v>
      </c>
      <c r="CH304" s="1312">
        <f>CI303*((1+'Instrumentos Financeiros'!$Q$43)^(1/12)-1)</f>
        <v>13902.328230712972</v>
      </c>
      <c r="CI304" s="1312">
        <f t="shared" si="217"/>
        <v>3198545.4476477732</v>
      </c>
      <c r="CJ304" s="1312">
        <f>IF(AND(C304&gt;$F$85,'Instrumentos Financeiros'!C304&lt;'Instrumentos Financeiros'!$F$85+'Instrumentos Financeiros'!$F$13+1),PMT(((1+'Instrumentos Financeiros'!$Q$43)^(1/12)-1),$F$13,-$I$85),0)</f>
        <v>30503.390100238979</v>
      </c>
      <c r="CK304" s="1312">
        <f t="shared" si="218"/>
        <v>16387.561369493502</v>
      </c>
      <c r="CL304" s="1312">
        <f>CM303*((1+'Instrumentos Financeiros'!$Q$43)^(1/12)-1)</f>
        <v>14115.828730745479</v>
      </c>
      <c r="CM304" s="1312">
        <f t="shared" si="219"/>
        <v>3248134.5186327002</v>
      </c>
      <c r="CN304" s="1312">
        <f>IF(AND(C304&gt;$F$86,'Instrumentos Financeiros'!C304&lt;'Instrumentos Financeiros'!$F$86+'Instrumentos Financeiros'!$F$13+1),PMT(((1+'Instrumentos Financeiros'!$Q$43)^(1/12)-1),$F$13,-$I$86),0)</f>
        <v>30503.390100238979</v>
      </c>
      <c r="CO304" s="1312">
        <f t="shared" si="220"/>
        <v>16176.806625357358</v>
      </c>
      <c r="CP304" s="1312">
        <f>CQ303*((1+'Instrumentos Financeiros'!$Q$43)^(1/12)-1)</f>
        <v>14326.583474881621</v>
      </c>
      <c r="CQ304" s="1312">
        <f t="shared" si="221"/>
        <v>3297085.8417714569</v>
      </c>
      <c r="CR304" s="1312">
        <f t="shared" si="190"/>
        <v>521803.11063210916</v>
      </c>
      <c r="CS304" s="1312">
        <f t="shared" si="190"/>
        <v>384511.07104063063</v>
      </c>
      <c r="CT304" s="1312">
        <f t="shared" si="190"/>
        <v>137292.03959147845</v>
      </c>
      <c r="CU304" s="1312">
        <f t="shared" si="190"/>
        <v>31538351.232614145</v>
      </c>
    </row>
    <row r="305" spans="3:99" x14ac:dyDescent="0.35">
      <c r="C305" s="1315">
        <f t="shared" si="191"/>
        <v>212</v>
      </c>
      <c r="D305" s="1312">
        <f>IF(AND(C305&gt;$F$59,'Instrumentos Financeiros'!C305&lt;'Instrumentos Financeiros'!$F$59+'Instrumentos Financeiros'!$F$11+1),PMT(((1+'Instrumentos Financeiros'!$G$43)^(1/12)-1),$F$11,-$I$59),0)</f>
        <v>91768.589635900134</v>
      </c>
      <c r="E305" s="1312">
        <f t="shared" si="188"/>
        <v>79574.829965249228</v>
      </c>
      <c r="F305" s="1312">
        <f>G304*((1+'Instrumentos Financeiros'!$G$43)^(1/12)-1)</f>
        <v>12193.759670650912</v>
      </c>
      <c r="G305" s="1312">
        <f t="shared" si="222"/>
        <v>2907773.3888204135</v>
      </c>
      <c r="H305" s="1312">
        <f>IF(AND(C305&gt;$F$60,'Instrumentos Financeiros'!C305&lt;'Instrumentos Financeiros'!$F$60+'Instrumentos Financeiros'!$F$11+1),PMT(((1+'Instrumentos Financeiros'!$G$43)^(1/12)-1),$F$11,-$I$60),0)</f>
        <v>0</v>
      </c>
      <c r="I305" s="1312">
        <f t="shared" si="174"/>
        <v>0</v>
      </c>
      <c r="J305" s="1312">
        <f>K304*((1+'Instrumentos Financeiros'!$G$43)^(1/12)-1)</f>
        <v>0</v>
      </c>
      <c r="K305" s="1312">
        <f t="shared" si="192"/>
        <v>0</v>
      </c>
      <c r="L305" s="1312">
        <f>IF(AND(C305&gt;$F$61,'Instrumentos Financeiros'!C305&lt;'Instrumentos Financeiros'!$F$61+'Instrumentos Financeiros'!$F$11+1),PMT(((1+'Instrumentos Financeiros'!$G$43)^(1/12)-1),$F$11,-$I$61),0)</f>
        <v>0</v>
      </c>
      <c r="M305" s="1312">
        <f t="shared" si="175"/>
        <v>0</v>
      </c>
      <c r="N305" s="1312">
        <f>O304*((1+'Instrumentos Financeiros'!$G$43)^(1/12)-1)</f>
        <v>0</v>
      </c>
      <c r="O305" s="1312">
        <f t="shared" si="193"/>
        <v>0</v>
      </c>
      <c r="P305" s="1312">
        <f>IF(AND(C305&gt;$F$62,'Instrumentos Financeiros'!C305&lt;'Instrumentos Financeiros'!$F$62+'Instrumentos Financeiros'!$F$11+1),PMT(((1+'Instrumentos Financeiros'!$H$43)^(1/12)-1),$F$11,-$I$62),0)</f>
        <v>0</v>
      </c>
      <c r="Q305" s="1312">
        <f t="shared" si="176"/>
        <v>0</v>
      </c>
      <c r="R305" s="1312">
        <f>S304*((1+'Instrumentos Financeiros'!$H$43)^(1/12)-1)</f>
        <v>0</v>
      </c>
      <c r="S305" s="1312">
        <f t="shared" si="194"/>
        <v>0</v>
      </c>
      <c r="T305" s="1312">
        <f>IF(AND(C305&gt;$F$63,'Instrumentos Financeiros'!C305&lt;'Instrumentos Financeiros'!$F$63+'Instrumentos Financeiros'!$F$11+1),PMT(((1+'Instrumentos Financeiros'!$H$43)^(1/12)-1),$F$11,-$I$63),0)</f>
        <v>0</v>
      </c>
      <c r="U305" s="1312">
        <f t="shared" si="177"/>
        <v>0</v>
      </c>
      <c r="V305" s="1312">
        <f>W304*((1+'Instrumentos Financeiros'!$H$43)^(1/12)-1)</f>
        <v>0</v>
      </c>
      <c r="W305" s="1312">
        <f t="shared" si="195"/>
        <v>0</v>
      </c>
      <c r="X305" s="1312">
        <f>IF(AND(C305&gt;$F$64,'Instrumentos Financeiros'!C305&lt;'Instrumentos Financeiros'!$F$64+'Instrumentos Financeiros'!$F$11+1),PMT(((1+'Instrumentos Financeiros'!$H$43)^(1/12)-1),$F$11,-$I$64),0)</f>
        <v>0</v>
      </c>
      <c r="Y305" s="1312">
        <f t="shared" si="178"/>
        <v>0</v>
      </c>
      <c r="Z305" s="1312">
        <f>AA304*((1+'Instrumentos Financeiros'!$H$43)^(1/12)-1)</f>
        <v>0</v>
      </c>
      <c r="AA305" s="1312">
        <f t="shared" si="196"/>
        <v>0</v>
      </c>
      <c r="AB305" s="1312">
        <f>IF(AND(C305&gt;$F$65,'Instrumentos Financeiros'!C305&lt;'Instrumentos Financeiros'!$F$65+'Instrumentos Financeiros'!$F$11+1),PMT(((1+'Instrumentos Financeiros'!$H$43)^(1/12)-1),$F$11,-$I$65),0)</f>
        <v>76636.661022032335</v>
      </c>
      <c r="AC305" s="1312">
        <f t="shared" si="179"/>
        <v>60970.920777341264</v>
      </c>
      <c r="AD305" s="1312">
        <f>AE304*((1+'Instrumentos Financeiros'!$H$43)^(1/12)-1)</f>
        <v>15665.740244691075</v>
      </c>
      <c r="AE305" s="1312">
        <f t="shared" si="197"/>
        <v>3561994.1848408068</v>
      </c>
      <c r="AF305" s="1312">
        <f>IF(AND(C305&gt;$F$66,'Instrumentos Financeiros'!C305&lt;'Instrumentos Financeiros'!$F$66+'Instrumentos Financeiros'!$F$11+1),PMT(((1+'Instrumentos Financeiros'!$I$43)^(1/12)-1),$F$11,-$I$66),0)</f>
        <v>76636.661022032335</v>
      </c>
      <c r="AG305" s="1312">
        <f t="shared" si="180"/>
        <v>60186.794907820826</v>
      </c>
      <c r="AH305" s="1312">
        <f>AI304*((1+'Instrumentos Financeiros'!$I$43)^(1/12)-1)</f>
        <v>16449.866114211509</v>
      </c>
      <c r="AI305" s="1312">
        <f t="shared" si="198"/>
        <v>3744120.5658040661</v>
      </c>
      <c r="AJ305" s="1312">
        <f>IF(AND(C305&gt;$F$67,'Instrumentos Financeiros'!C305&lt;'Instrumentos Financeiros'!$F$67+'Instrumentos Financeiros'!$F$11+1),PMT(((1+'Instrumentos Financeiros'!$I$43)^(1/12)-1),$F$11,-$I$67),0)</f>
        <v>76636.661022032335</v>
      </c>
      <c r="AK305" s="1312">
        <f t="shared" si="181"/>
        <v>59412.753409200683</v>
      </c>
      <c r="AL305" s="1312">
        <f>AM304*((1+'Instrumentos Financeiros'!$I$43)^(1/12)-1)</f>
        <v>17223.907612831648</v>
      </c>
      <c r="AM305" s="1312">
        <f t="shared" si="199"/>
        <v>3923904.6825368581</v>
      </c>
      <c r="AN305" s="1312">
        <f>IF(AND(C305&gt;$F$68,'Instrumentos Financeiros'!C305&lt;'Instrumentos Financeiros'!$F$68+'Instrumentos Financeiros'!$F$11+1),PMT(((1+'Instrumentos Financeiros'!$I$43)^(1/12)-1),$F$11,-$I$68),0)</f>
        <v>76636.661022032335</v>
      </c>
      <c r="AO305" s="1312">
        <f t="shared" si="182"/>
        <v>58648.6665898836</v>
      </c>
      <c r="AP305" s="1312">
        <f>AQ304*((1+'Instrumentos Financeiros'!$I$43)^(1/12)-1)</f>
        <v>17987.994432148735</v>
      </c>
      <c r="AQ305" s="1312">
        <f t="shared" si="200"/>
        <v>4101376.6580872354</v>
      </c>
      <c r="AR305" s="1312">
        <f>IF(AND(C305&gt;$F$69,'Instrumentos Financeiros'!C305&lt;'Instrumentos Financeiros'!$F$69+'Instrumentos Financeiros'!$F$11+1),PMT(((1+'Instrumentos Financeiros'!$I$43)^(1/12)-1),$F$11,-$I$69),0)</f>
        <v>0</v>
      </c>
      <c r="AS305" s="1312">
        <f t="shared" si="183"/>
        <v>0</v>
      </c>
      <c r="AT305" s="1312">
        <f>AU304*((1+'Instrumentos Financeiros'!$I$43)^(1/12)-1)</f>
        <v>0</v>
      </c>
      <c r="AU305" s="1312">
        <f t="shared" si="201"/>
        <v>0</v>
      </c>
      <c r="AV305" s="1312">
        <f>IF(AND(C305&gt;$F$70,'Instrumentos Financeiros'!C305&lt;'Instrumentos Financeiros'!$F$70+'Instrumentos Financeiros'!$F$11+1),PMT(((1+'Instrumentos Financeiros'!$J$43)^(1/12)-1),$F$11,-$I$70),0)</f>
        <v>0</v>
      </c>
      <c r="AW305" s="1312">
        <f t="shared" si="184"/>
        <v>0</v>
      </c>
      <c r="AX305" s="1312">
        <f>AY304*((1+'Instrumentos Financeiros'!$J$43)^(1/12)-1)</f>
        <v>0</v>
      </c>
      <c r="AY305" s="1312">
        <f t="shared" si="202"/>
        <v>0</v>
      </c>
      <c r="AZ305" s="1312">
        <f>IF(AND(C305&gt;$F$71,'Instrumentos Financeiros'!C305&lt;'Instrumentos Financeiros'!$F$71+'Instrumentos Financeiros'!$F$11+1),PMT(((1+'Instrumentos Financeiros'!$J$43)^(1/12)-1),$F$11,-$I$71),0)</f>
        <v>0</v>
      </c>
      <c r="BA305" s="1312">
        <f t="shared" si="185"/>
        <v>0</v>
      </c>
      <c r="BB305" s="1312">
        <f>BC304*((1+'Instrumentos Financeiros'!$J$43)^(1/12)-1)</f>
        <v>0</v>
      </c>
      <c r="BC305" s="1312">
        <f t="shared" si="203"/>
        <v>0</v>
      </c>
      <c r="BD305" s="1312">
        <f>IF(AND(C305&gt;$F$72,'Instrumentos Financeiros'!C305&lt;'Instrumentos Financeiros'!$F$72+'Instrumentos Financeiros'!$F$11+1),PMT(((1+'Instrumentos Financeiros'!$J$43)^(1/12)-1),$F$11,-'Instrumentos Financeiros'!$G$7*$G$72),0)</f>
        <v>0</v>
      </c>
      <c r="BE305" s="1312">
        <f t="shared" si="186"/>
        <v>0</v>
      </c>
      <c r="BF305" s="1312">
        <f>BG304*((1+'Instrumentos Financeiros'!$J$43)^(1/12)-1)</f>
        <v>0</v>
      </c>
      <c r="BG305" s="1312">
        <f t="shared" si="204"/>
        <v>0</v>
      </c>
      <c r="BH305" s="1312">
        <f>IF(AND(C305&gt;$F$73,'Instrumentos Financeiros'!C305&lt;'Instrumentos Financeiros'!$F$73+'Instrumentos Financeiros'!$F$11+1),PMT(((1+'Instrumentos Financeiros'!$J$43)^(1/12)-1),$F$11,-$I$73),0)</f>
        <v>0</v>
      </c>
      <c r="BI305" s="1312">
        <f t="shared" si="187"/>
        <v>0</v>
      </c>
      <c r="BJ305" s="1312">
        <f>BK304*((1+'Instrumentos Financeiros'!$J$43)^(1/12)-1)</f>
        <v>0</v>
      </c>
      <c r="BK305" s="1312">
        <f t="shared" si="205"/>
        <v>0</v>
      </c>
      <c r="BL305" s="1312">
        <f>IF(AND(C305&gt;$F$77,'Instrumentos Financeiros'!C305&lt;'Instrumentos Financeiros'!$F$77+'Instrumentos Financeiros'!$F$12+1),PMT(((1+'Instrumentos Financeiros'!$K$43)^(1/12)-1),$F$12,-$I$77),0)</f>
        <v>368.57912678094596</v>
      </c>
      <c r="BM305" s="1312">
        <f t="shared" si="206"/>
        <v>278.43945027735469</v>
      </c>
      <c r="BN305" s="1312">
        <f>BO304*((1+'Instrumentos Financeiros'!$K$43)^(1/12)-1)</f>
        <v>90.139676503591261</v>
      </c>
      <c r="BO305" s="1312">
        <f t="shared" si="207"/>
        <v>20567.872150918174</v>
      </c>
      <c r="BP305" s="1312">
        <f>IF(AND(C305&gt;$F$78,'Instrumentos Financeiros'!C305&lt;'Instrumentos Financeiros'!$F$78+'Instrumentos Financeiros'!$F$12+1),PMT(((1+'Instrumentos Financeiros'!$L$43)^(1/12)-1),$F$12,-$I$78),0)</f>
        <v>368.57912678094596</v>
      </c>
      <c r="BQ305" s="1312">
        <f t="shared" si="208"/>
        <v>274.85853706046487</v>
      </c>
      <c r="BR305" s="1312">
        <f>BS304*((1+'Instrumentos Financeiros'!$L$43)^(1/12)-1)</f>
        <v>93.720589720481073</v>
      </c>
      <c r="BS305" s="1312">
        <f t="shared" si="209"/>
        <v>21399.599288213762</v>
      </c>
      <c r="BT305" s="1312">
        <f>IF(AND(C305&gt;$F$79,'Instrumentos Financeiros'!C305&lt;'Instrumentos Financeiros'!$F$79+'Instrumentos Financeiros'!$F$12+1),PMT(((1+'Instrumentos Financeiros'!$L$43)^(1/12)-1),$F$12,-$I$79),0)</f>
        <v>368.57912678094596</v>
      </c>
      <c r="BU305" s="1312">
        <f t="shared" si="210"/>
        <v>271.3236767267212</v>
      </c>
      <c r="BV305" s="1312">
        <f>BW304*((1+'Instrumentos Financeiros'!$L$43)^(1/12)-1)</f>
        <v>97.255450054224752</v>
      </c>
      <c r="BW305" s="1312">
        <f t="shared" si="211"/>
        <v>22220.629871210662</v>
      </c>
      <c r="BX305" s="1312">
        <f>IF(AND(C305&gt;$F$80,'Instrumentos Financeiros'!C305&lt;'Instrumentos Financeiros'!$F$80+'Instrumentos Financeiros'!$F$12+1),PMT(((1+'Instrumentos Financeiros'!$L$43)^(1/12)-1),$F$12,-$I$80),0)</f>
        <v>368.57912678094596</v>
      </c>
      <c r="BY305" s="1312">
        <f t="shared" si="212"/>
        <v>267.83427700596303</v>
      </c>
      <c r="BZ305" s="1312">
        <f>CA304*((1+'Instrumentos Financeiros'!$L$43)^(1/12)-1)</f>
        <v>100.7448497749829</v>
      </c>
      <c r="CA305" s="1312">
        <f t="shared" si="213"/>
        <v>23031.101464584521</v>
      </c>
      <c r="CB305" s="1312">
        <f>IF(AND(C305&gt;$F$83,'Instrumentos Financeiros'!C305&lt;'Instrumentos Financeiros'!$F$83+'Instrumentos Financeiros'!$F$13+1),PMT(((1+'Instrumentos Financeiros'!$P$43)^(1/12)-1),$F$13,-$I$83),0)</f>
        <v>30503.390100238979</v>
      </c>
      <c r="CC305" s="1312">
        <f t="shared" si="214"/>
        <v>16890.062274365031</v>
      </c>
      <c r="CD305" s="1312">
        <f>CE304*((1+'Instrumentos Financeiros'!$P$43)^(1/12)-1)</f>
        <v>13613.327825873948</v>
      </c>
      <c r="CE305" s="1312">
        <f t="shared" si="215"/>
        <v>3131420.2578329802</v>
      </c>
      <c r="CF305" s="1312">
        <f>IF(AND(C305&gt;$F$84,'Instrumentos Financeiros'!C305&lt;'Instrumentos Financeiros'!$F$84+'Instrumentos Financeiros'!$F$13+1),PMT(((1+'Instrumentos Financeiros'!$Q$43)^(1/12)-1),$F$13,-$I$84),0)</f>
        <v>30503.390100238979</v>
      </c>
      <c r="CG305" s="1312">
        <f t="shared" si="216"/>
        <v>16672.845040341192</v>
      </c>
      <c r="CH305" s="1312">
        <f>CI304*((1+'Instrumentos Financeiros'!$Q$43)^(1/12)-1)</f>
        <v>13830.54505989779</v>
      </c>
      <c r="CI305" s="1312">
        <f t="shared" si="217"/>
        <v>3181872.6026074318</v>
      </c>
      <c r="CJ305" s="1312">
        <f>IF(AND(C305&gt;$F$85,'Instrumentos Financeiros'!C305&lt;'Instrumentos Financeiros'!$F$85+'Instrumentos Financeiros'!$F$13+1),PMT(((1+'Instrumentos Financeiros'!$Q$43)^(1/12)-1),$F$13,-$I$85),0)</f>
        <v>30503.390100238979</v>
      </c>
      <c r="CK305" s="1312">
        <f t="shared" si="218"/>
        <v>16458.421361840741</v>
      </c>
      <c r="CL305" s="1312">
        <f>CM304*((1+'Instrumentos Financeiros'!$Q$43)^(1/12)-1)</f>
        <v>14044.968738398238</v>
      </c>
      <c r="CM305" s="1312">
        <f t="shared" si="219"/>
        <v>3231676.0972708594</v>
      </c>
      <c r="CN305" s="1312">
        <f>IF(AND(C305&gt;$F$86,'Instrumentos Financeiros'!C305&lt;'Instrumentos Financeiros'!$F$86+'Instrumentos Financeiros'!$F$13+1),PMT(((1+'Instrumentos Financeiros'!$Q$43)^(1/12)-1),$F$13,-$I$86),0)</f>
        <v>30503.390100238979</v>
      </c>
      <c r="CO305" s="1312">
        <f t="shared" si="220"/>
        <v>16246.755311914803</v>
      </c>
      <c r="CP305" s="1312">
        <f>CQ304*((1+'Instrumentos Financeiros'!$Q$43)^(1/12)-1)</f>
        <v>14256.634788324176</v>
      </c>
      <c r="CQ305" s="1312">
        <f t="shared" si="221"/>
        <v>3280839.0864595422</v>
      </c>
      <c r="CR305" s="1312">
        <f t="shared" si="190"/>
        <v>521803.11063210916</v>
      </c>
      <c r="CS305" s="1312">
        <f t="shared" si="190"/>
        <v>386154.50557902787</v>
      </c>
      <c r="CT305" s="1312">
        <f t="shared" si="190"/>
        <v>135648.60505308132</v>
      </c>
      <c r="CU305" s="1312">
        <f t="shared" si="190"/>
        <v>31152196.727035124</v>
      </c>
    </row>
    <row r="306" spans="3:99" x14ac:dyDescent="0.35">
      <c r="C306" s="1315">
        <f t="shared" si="191"/>
        <v>213</v>
      </c>
      <c r="D306" s="1312">
        <f>IF(AND(C306&gt;$F$59,'Instrumentos Financeiros'!C306&lt;'Instrumentos Financeiros'!$F$59+'Instrumentos Financeiros'!$F$11+1),PMT(((1+'Instrumentos Financeiros'!$G$43)^(1/12)-1),$F$11,-$I$59),0)</f>
        <v>91768.589635900134</v>
      </c>
      <c r="E306" s="1312">
        <f t="shared" si="188"/>
        <v>79899.638551783399</v>
      </c>
      <c r="F306" s="1312">
        <f>G305*((1+'Instrumentos Financeiros'!$G$43)^(1/12)-1)</f>
        <v>11868.951084116736</v>
      </c>
      <c r="G306" s="1312">
        <f t="shared" si="222"/>
        <v>2827873.7502686302</v>
      </c>
      <c r="H306" s="1312">
        <f>IF(AND(C306&gt;$F$60,'Instrumentos Financeiros'!C306&lt;'Instrumentos Financeiros'!$F$60+'Instrumentos Financeiros'!$F$11+1),PMT(((1+'Instrumentos Financeiros'!$G$43)^(1/12)-1),$F$11,-$I$60),0)</f>
        <v>0</v>
      </c>
      <c r="I306" s="1312">
        <f t="shared" si="174"/>
        <v>0</v>
      </c>
      <c r="J306" s="1312">
        <f>K305*((1+'Instrumentos Financeiros'!$G$43)^(1/12)-1)</f>
        <v>0</v>
      </c>
      <c r="K306" s="1312">
        <f t="shared" si="192"/>
        <v>0</v>
      </c>
      <c r="L306" s="1312">
        <f>IF(AND(C306&gt;$F$61,'Instrumentos Financeiros'!C306&lt;'Instrumentos Financeiros'!$F$61+'Instrumentos Financeiros'!$F$11+1),PMT(((1+'Instrumentos Financeiros'!$G$43)^(1/12)-1),$F$11,-$I$61),0)</f>
        <v>0</v>
      </c>
      <c r="M306" s="1312">
        <f t="shared" si="175"/>
        <v>0</v>
      </c>
      <c r="N306" s="1312">
        <f>O305*((1+'Instrumentos Financeiros'!$G$43)^(1/12)-1)</f>
        <v>0</v>
      </c>
      <c r="O306" s="1312">
        <f t="shared" si="193"/>
        <v>0</v>
      </c>
      <c r="P306" s="1312">
        <f>IF(AND(C306&gt;$F$62,'Instrumentos Financeiros'!C306&lt;'Instrumentos Financeiros'!$F$62+'Instrumentos Financeiros'!$F$11+1),PMT(((1+'Instrumentos Financeiros'!$H$43)^(1/12)-1),$F$11,-$I$62),0)</f>
        <v>0</v>
      </c>
      <c r="Q306" s="1312">
        <f t="shared" si="176"/>
        <v>0</v>
      </c>
      <c r="R306" s="1312">
        <f>S305*((1+'Instrumentos Financeiros'!$H$43)^(1/12)-1)</f>
        <v>0</v>
      </c>
      <c r="S306" s="1312">
        <f t="shared" si="194"/>
        <v>0</v>
      </c>
      <c r="T306" s="1312">
        <f>IF(AND(C306&gt;$F$63,'Instrumentos Financeiros'!C306&lt;'Instrumentos Financeiros'!$F$63+'Instrumentos Financeiros'!$F$11+1),PMT(((1+'Instrumentos Financeiros'!$H$43)^(1/12)-1),$F$11,-$I$63),0)</f>
        <v>0</v>
      </c>
      <c r="U306" s="1312">
        <f t="shared" si="177"/>
        <v>0</v>
      </c>
      <c r="V306" s="1312">
        <f>W305*((1+'Instrumentos Financeiros'!$H$43)^(1/12)-1)</f>
        <v>0</v>
      </c>
      <c r="W306" s="1312">
        <f t="shared" si="195"/>
        <v>0</v>
      </c>
      <c r="X306" s="1312">
        <f>IF(AND(C306&gt;$F$64,'Instrumentos Financeiros'!C306&lt;'Instrumentos Financeiros'!$F$64+'Instrumentos Financeiros'!$F$11+1),PMT(((1+'Instrumentos Financeiros'!$H$43)^(1/12)-1),$F$11,-$I$64),0)</f>
        <v>0</v>
      </c>
      <c r="Y306" s="1312">
        <f t="shared" si="178"/>
        <v>0</v>
      </c>
      <c r="Z306" s="1312">
        <f>AA305*((1+'Instrumentos Financeiros'!$H$43)^(1/12)-1)</f>
        <v>0</v>
      </c>
      <c r="AA306" s="1312">
        <f t="shared" si="196"/>
        <v>0</v>
      </c>
      <c r="AB306" s="1312">
        <f>IF(AND(C306&gt;$F$65,'Instrumentos Financeiros'!C306&lt;'Instrumentos Financeiros'!$F$65+'Instrumentos Financeiros'!$F$11+1),PMT(((1+'Instrumentos Financeiros'!$H$43)^(1/12)-1),$F$11,-$I$65),0)</f>
        <v>76636.661022032335</v>
      </c>
      <c r="AC306" s="1312">
        <f t="shared" si="179"/>
        <v>61234.559697268007</v>
      </c>
      <c r="AD306" s="1312">
        <f>AE305*((1+'Instrumentos Financeiros'!$H$43)^(1/12)-1)</f>
        <v>15402.101324764326</v>
      </c>
      <c r="AE306" s="1312">
        <f t="shared" si="197"/>
        <v>3500759.6251435387</v>
      </c>
      <c r="AF306" s="1312">
        <f>IF(AND(C306&gt;$F$66,'Instrumentos Financeiros'!C306&lt;'Instrumentos Financeiros'!$F$66+'Instrumentos Financeiros'!$F$11+1),PMT(((1+'Instrumentos Financeiros'!$I$43)^(1/12)-1),$F$11,-$I$66),0)</f>
        <v>76636.661022032335</v>
      </c>
      <c r="AG306" s="1312">
        <f t="shared" si="180"/>
        <v>60447.043259019214</v>
      </c>
      <c r="AH306" s="1312">
        <f>AI305*((1+'Instrumentos Financeiros'!$I$43)^(1/12)-1)</f>
        <v>16189.617763013121</v>
      </c>
      <c r="AI306" s="1312">
        <f t="shared" si="198"/>
        <v>3683673.5225450471</v>
      </c>
      <c r="AJ306" s="1312">
        <f>IF(AND(C306&gt;$F$67,'Instrumentos Financeiros'!C306&lt;'Instrumentos Financeiros'!$F$67+'Instrumentos Financeiros'!$F$11+1),PMT(((1+'Instrumentos Financeiros'!$I$43)^(1/12)-1),$F$11,-$I$67),0)</f>
        <v>76636.661022032335</v>
      </c>
      <c r="AK306" s="1312">
        <f t="shared" si="181"/>
        <v>59669.654796599396</v>
      </c>
      <c r="AL306" s="1312">
        <f>AM305*((1+'Instrumentos Financeiros'!$I$43)^(1/12)-1)</f>
        <v>16967.006225432935</v>
      </c>
      <c r="AM306" s="1312">
        <f t="shared" si="199"/>
        <v>3864235.0277402587</v>
      </c>
      <c r="AN306" s="1312">
        <f>IF(AND(C306&gt;$F$68,'Instrumentos Financeiros'!C306&lt;'Instrumentos Financeiros'!$F$68+'Instrumentos Financeiros'!$F$11+1),PMT(((1+'Instrumentos Financeiros'!$I$43)^(1/12)-1),$F$11,-$I$68),0)</f>
        <v>76636.661022032335</v>
      </c>
      <c r="AO306" s="1312">
        <f t="shared" si="182"/>
        <v>58902.264057623455</v>
      </c>
      <c r="AP306" s="1312">
        <f>AQ305*((1+'Instrumentos Financeiros'!$I$43)^(1/12)-1)</f>
        <v>17734.396964408883</v>
      </c>
      <c r="AQ306" s="1312">
        <f t="shared" si="200"/>
        <v>4042474.3940296117</v>
      </c>
      <c r="AR306" s="1312">
        <f>IF(AND(C306&gt;$F$69,'Instrumentos Financeiros'!C306&lt;'Instrumentos Financeiros'!$F$69+'Instrumentos Financeiros'!$F$11+1),PMT(((1+'Instrumentos Financeiros'!$I$43)^(1/12)-1),$F$11,-$I$69),0)</f>
        <v>0</v>
      </c>
      <c r="AS306" s="1312">
        <f t="shared" si="183"/>
        <v>0</v>
      </c>
      <c r="AT306" s="1312">
        <f>AU305*((1+'Instrumentos Financeiros'!$I$43)^(1/12)-1)</f>
        <v>0</v>
      </c>
      <c r="AU306" s="1312">
        <f t="shared" si="201"/>
        <v>0</v>
      </c>
      <c r="AV306" s="1312">
        <f>IF(AND(C306&gt;$F$70,'Instrumentos Financeiros'!C306&lt;'Instrumentos Financeiros'!$F$70+'Instrumentos Financeiros'!$F$11+1),PMT(((1+'Instrumentos Financeiros'!$J$43)^(1/12)-1),$F$11,-$I$70),0)</f>
        <v>0</v>
      </c>
      <c r="AW306" s="1312">
        <f t="shared" si="184"/>
        <v>0</v>
      </c>
      <c r="AX306" s="1312">
        <f>AY305*((1+'Instrumentos Financeiros'!$J$43)^(1/12)-1)</f>
        <v>0</v>
      </c>
      <c r="AY306" s="1312">
        <f t="shared" si="202"/>
        <v>0</v>
      </c>
      <c r="AZ306" s="1312">
        <f>IF(AND(C306&gt;$F$71,'Instrumentos Financeiros'!C306&lt;'Instrumentos Financeiros'!$F$71+'Instrumentos Financeiros'!$F$11+1),PMT(((1+'Instrumentos Financeiros'!$J$43)^(1/12)-1),$F$11,-$I$71),0)</f>
        <v>0</v>
      </c>
      <c r="BA306" s="1312">
        <f t="shared" si="185"/>
        <v>0</v>
      </c>
      <c r="BB306" s="1312">
        <f>BC305*((1+'Instrumentos Financeiros'!$J$43)^(1/12)-1)</f>
        <v>0</v>
      </c>
      <c r="BC306" s="1312">
        <f t="shared" si="203"/>
        <v>0</v>
      </c>
      <c r="BD306" s="1312">
        <f>IF(AND(C306&gt;$F$72,'Instrumentos Financeiros'!C306&lt;'Instrumentos Financeiros'!$F$72+'Instrumentos Financeiros'!$F$11+1),PMT(((1+'Instrumentos Financeiros'!$J$43)^(1/12)-1),$F$11,-'Instrumentos Financeiros'!$G$7*$G$72),0)</f>
        <v>0</v>
      </c>
      <c r="BE306" s="1312">
        <f t="shared" si="186"/>
        <v>0</v>
      </c>
      <c r="BF306" s="1312">
        <f>BG305*((1+'Instrumentos Financeiros'!$J$43)^(1/12)-1)</f>
        <v>0</v>
      </c>
      <c r="BG306" s="1312">
        <f t="shared" si="204"/>
        <v>0</v>
      </c>
      <c r="BH306" s="1312">
        <f>IF(AND(C306&gt;$F$73,'Instrumentos Financeiros'!C306&lt;'Instrumentos Financeiros'!$F$73+'Instrumentos Financeiros'!$F$11+1),PMT(((1+'Instrumentos Financeiros'!$J$43)^(1/12)-1),$F$11,-$I$73),0)</f>
        <v>0</v>
      </c>
      <c r="BI306" s="1312">
        <f t="shared" si="187"/>
        <v>0</v>
      </c>
      <c r="BJ306" s="1312">
        <f>BK305*((1+'Instrumentos Financeiros'!$J$43)^(1/12)-1)</f>
        <v>0</v>
      </c>
      <c r="BK306" s="1312">
        <f t="shared" si="205"/>
        <v>0</v>
      </c>
      <c r="BL306" s="1312">
        <f>IF(AND(C306&gt;$F$77,'Instrumentos Financeiros'!C306&lt;'Instrumentos Financeiros'!$F$77+'Instrumentos Financeiros'!$F$12+1),PMT(((1+'Instrumentos Financeiros'!$K$43)^(1/12)-1),$F$12,-$I$77),0)</f>
        <v>368.57912678094596</v>
      </c>
      <c r="BM306" s="1312">
        <f t="shared" si="206"/>
        <v>279.6434254674981</v>
      </c>
      <c r="BN306" s="1312">
        <f>BO305*((1+'Instrumentos Financeiros'!$K$43)^(1/12)-1)</f>
        <v>88.935701313447836</v>
      </c>
      <c r="BO306" s="1312">
        <f t="shared" si="207"/>
        <v>20288.228725450677</v>
      </c>
      <c r="BP306" s="1312">
        <f>IF(AND(C306&gt;$F$78,'Instrumentos Financeiros'!C306&lt;'Instrumentos Financeiros'!$F$78+'Instrumentos Financeiros'!$F$12+1),PMT(((1+'Instrumentos Financeiros'!$L$43)^(1/12)-1),$F$12,-$I$78),0)</f>
        <v>368.57912678094596</v>
      </c>
      <c r="BQ306" s="1312">
        <f t="shared" si="208"/>
        <v>276.04702834318465</v>
      </c>
      <c r="BR306" s="1312">
        <f>BS305*((1+'Instrumentos Financeiros'!$L$43)^(1/12)-1)</f>
        <v>92.53209843776132</v>
      </c>
      <c r="BS306" s="1312">
        <f t="shared" si="209"/>
        <v>21123.552259870576</v>
      </c>
      <c r="BT306" s="1312">
        <f>IF(AND(C306&gt;$F$79,'Instrumentos Financeiros'!C306&lt;'Instrumentos Financeiros'!$F$79+'Instrumentos Financeiros'!$F$12+1),PMT(((1+'Instrumentos Financeiros'!$L$43)^(1/12)-1),$F$12,-$I$79),0)</f>
        <v>368.57912678094596</v>
      </c>
      <c r="BU306" s="1312">
        <f t="shared" si="210"/>
        <v>272.49688323518137</v>
      </c>
      <c r="BV306" s="1312">
        <f>BW305*((1+'Instrumentos Financeiros'!$L$43)^(1/12)-1)</f>
        <v>96.082243545764555</v>
      </c>
      <c r="BW306" s="1312">
        <f t="shared" si="211"/>
        <v>21948.132987975481</v>
      </c>
      <c r="BX306" s="1312">
        <f>IF(AND(C306&gt;$F$80,'Instrumentos Financeiros'!C306&lt;'Instrumentos Financeiros'!$F$80+'Instrumentos Financeiros'!$F$12+1),PMT(((1+'Instrumentos Financeiros'!$L$43)^(1/12)-1),$F$12,-$I$80),0)</f>
        <v>368.57912678094596</v>
      </c>
      <c r="BY306" s="1312">
        <f t="shared" si="212"/>
        <v>268.9923953123452</v>
      </c>
      <c r="BZ306" s="1312">
        <f>CA305*((1+'Instrumentos Financeiros'!$L$43)^(1/12)-1)</f>
        <v>99.586731468600746</v>
      </c>
      <c r="CA306" s="1312">
        <f t="shared" si="213"/>
        <v>22762.109069272177</v>
      </c>
      <c r="CB306" s="1312">
        <f>IF(AND(C306&gt;$F$83,'Instrumentos Financeiros'!C306&lt;'Instrumentos Financeiros'!$F$83+'Instrumentos Financeiros'!$F$13+1),PMT(((1+'Instrumentos Financeiros'!$P$43)^(1/12)-1),$F$13,-$I$83),0)</f>
        <v>30503.390100238979</v>
      </c>
      <c r="CC306" s="1312">
        <f t="shared" si="214"/>
        <v>16963.095086051944</v>
      </c>
      <c r="CD306" s="1312">
        <f>CE305*((1+'Instrumentos Financeiros'!$P$43)^(1/12)-1)</f>
        <v>13540.295014187037</v>
      </c>
      <c r="CE306" s="1312">
        <f t="shared" si="215"/>
        <v>3114457.1627469282</v>
      </c>
      <c r="CF306" s="1312">
        <f>IF(AND(C306&gt;$F$84,'Instrumentos Financeiros'!C306&lt;'Instrumentos Financeiros'!$F$84+'Instrumentos Financeiros'!$F$13+1),PMT(((1+'Instrumentos Financeiros'!$Q$43)^(1/12)-1),$F$13,-$I$84),0)</f>
        <v>30503.390100238979</v>
      </c>
      <c r="CG306" s="1312">
        <f t="shared" si="216"/>
        <v>16744.938602362236</v>
      </c>
      <c r="CH306" s="1312">
        <f>CI305*((1+'Instrumentos Financeiros'!$Q$43)^(1/12)-1)</f>
        <v>13758.451497876742</v>
      </c>
      <c r="CI306" s="1312">
        <f t="shared" si="217"/>
        <v>3165127.6640050695</v>
      </c>
      <c r="CJ306" s="1312">
        <f>IF(AND(C306&gt;$F$85,'Instrumentos Financeiros'!C306&lt;'Instrumentos Financeiros'!$F$85+'Instrumentos Financeiros'!$F$13+1),PMT(((1+'Instrumentos Financeiros'!$Q$43)^(1/12)-1),$F$13,-$I$85),0)</f>
        <v>30503.390100238979</v>
      </c>
      <c r="CK306" s="1312">
        <f t="shared" si="218"/>
        <v>16529.587753560176</v>
      </c>
      <c r="CL306" s="1312">
        <f>CM305*((1+'Instrumentos Financeiros'!$Q$43)^(1/12)-1)</f>
        <v>13973.802346678802</v>
      </c>
      <c r="CM306" s="1312">
        <f t="shared" si="219"/>
        <v>3215146.509517299</v>
      </c>
      <c r="CN306" s="1312">
        <f>IF(AND(C306&gt;$F$86,'Instrumentos Financeiros'!C306&lt;'Instrumentos Financeiros'!$F$86+'Instrumentos Financeiros'!$F$13+1),PMT(((1+'Instrumentos Financeiros'!$Q$43)^(1/12)-1),$F$13,-$I$86),0)</f>
        <v>30503.390100238979</v>
      </c>
      <c r="CO306" s="1312">
        <f t="shared" si="220"/>
        <v>16317.006457348369</v>
      </c>
      <c r="CP306" s="1312">
        <f>CQ305*((1+'Instrumentos Financeiros'!$Q$43)^(1/12)-1)</f>
        <v>14186.383642890611</v>
      </c>
      <c r="CQ306" s="1312">
        <f t="shared" si="221"/>
        <v>3264522.0800021938</v>
      </c>
      <c r="CR306" s="1312">
        <f t="shared" si="190"/>
        <v>521803.11063210916</v>
      </c>
      <c r="CS306" s="1312">
        <f t="shared" si="190"/>
        <v>387804.96799397439</v>
      </c>
      <c r="CT306" s="1312">
        <f t="shared" si="190"/>
        <v>133998.14263813477</v>
      </c>
      <c r="CU306" s="1312">
        <f t="shared" si="190"/>
        <v>30764391.759041149</v>
      </c>
    </row>
    <row r="307" spans="3:99" x14ac:dyDescent="0.35">
      <c r="C307" s="1315">
        <f t="shared" si="191"/>
        <v>214</v>
      </c>
      <c r="D307" s="1312">
        <f>IF(AND(C307&gt;$F$59,'Instrumentos Financeiros'!C307&lt;'Instrumentos Financeiros'!$F$59+'Instrumentos Financeiros'!$F$11+1),PMT(((1+'Instrumentos Financeiros'!$G$43)^(1/12)-1),$F$11,-$I$59),0)</f>
        <v>91768.589635900134</v>
      </c>
      <c r="E307" s="1312">
        <f t="shared" si="188"/>
        <v>80225.772942192154</v>
      </c>
      <c r="F307" s="1312">
        <f>G306*((1+'Instrumentos Financeiros'!$G$43)^(1/12)-1)</f>
        <v>11542.816693707988</v>
      </c>
      <c r="G307" s="1312">
        <f t="shared" si="222"/>
        <v>2747647.9773264378</v>
      </c>
      <c r="H307" s="1312">
        <f>IF(AND(C307&gt;$F$60,'Instrumentos Financeiros'!C307&lt;'Instrumentos Financeiros'!$F$60+'Instrumentos Financeiros'!$F$11+1),PMT(((1+'Instrumentos Financeiros'!$G$43)^(1/12)-1),$F$11,-$I$60),0)</f>
        <v>0</v>
      </c>
      <c r="I307" s="1312">
        <f t="shared" si="174"/>
        <v>0</v>
      </c>
      <c r="J307" s="1312">
        <f>K306*((1+'Instrumentos Financeiros'!$G$43)^(1/12)-1)</f>
        <v>0</v>
      </c>
      <c r="K307" s="1312">
        <f t="shared" si="192"/>
        <v>0</v>
      </c>
      <c r="L307" s="1312">
        <f>IF(AND(C307&gt;$F$61,'Instrumentos Financeiros'!C307&lt;'Instrumentos Financeiros'!$F$61+'Instrumentos Financeiros'!$F$11+1),PMT(((1+'Instrumentos Financeiros'!$G$43)^(1/12)-1),$F$11,-$I$61),0)</f>
        <v>0</v>
      </c>
      <c r="M307" s="1312">
        <f t="shared" si="175"/>
        <v>0</v>
      </c>
      <c r="N307" s="1312">
        <f>O306*((1+'Instrumentos Financeiros'!$G$43)^(1/12)-1)</f>
        <v>0</v>
      </c>
      <c r="O307" s="1312">
        <f t="shared" si="193"/>
        <v>0</v>
      </c>
      <c r="P307" s="1312">
        <f>IF(AND(C307&gt;$F$62,'Instrumentos Financeiros'!C307&lt;'Instrumentos Financeiros'!$F$62+'Instrumentos Financeiros'!$F$11+1),PMT(((1+'Instrumentos Financeiros'!$H$43)^(1/12)-1),$F$11,-$I$62),0)</f>
        <v>0</v>
      </c>
      <c r="Q307" s="1312">
        <f t="shared" si="176"/>
        <v>0</v>
      </c>
      <c r="R307" s="1312">
        <f>S306*((1+'Instrumentos Financeiros'!$H$43)^(1/12)-1)</f>
        <v>0</v>
      </c>
      <c r="S307" s="1312">
        <f t="shared" si="194"/>
        <v>0</v>
      </c>
      <c r="T307" s="1312">
        <f>IF(AND(C307&gt;$F$63,'Instrumentos Financeiros'!C307&lt;'Instrumentos Financeiros'!$F$63+'Instrumentos Financeiros'!$F$11+1),PMT(((1+'Instrumentos Financeiros'!$H$43)^(1/12)-1),$F$11,-$I$63),0)</f>
        <v>0</v>
      </c>
      <c r="U307" s="1312">
        <f t="shared" si="177"/>
        <v>0</v>
      </c>
      <c r="V307" s="1312">
        <f>W306*((1+'Instrumentos Financeiros'!$H$43)^(1/12)-1)</f>
        <v>0</v>
      </c>
      <c r="W307" s="1312">
        <f t="shared" si="195"/>
        <v>0</v>
      </c>
      <c r="X307" s="1312">
        <f>IF(AND(C307&gt;$F$64,'Instrumentos Financeiros'!C307&lt;'Instrumentos Financeiros'!$F$64+'Instrumentos Financeiros'!$F$11+1),PMT(((1+'Instrumentos Financeiros'!$H$43)^(1/12)-1),$F$11,-$I$64),0)</f>
        <v>0</v>
      </c>
      <c r="Y307" s="1312">
        <f t="shared" si="178"/>
        <v>0</v>
      </c>
      <c r="Z307" s="1312">
        <f>AA306*((1+'Instrumentos Financeiros'!$H$43)^(1/12)-1)</f>
        <v>0</v>
      </c>
      <c r="AA307" s="1312">
        <f t="shared" si="196"/>
        <v>0</v>
      </c>
      <c r="AB307" s="1312">
        <f>IF(AND(C307&gt;$F$65,'Instrumentos Financeiros'!C307&lt;'Instrumentos Financeiros'!$F$65+'Instrumentos Financeiros'!$F$11+1),PMT(((1+'Instrumentos Financeiros'!$H$43)^(1/12)-1),$F$11,-$I$65),0)</f>
        <v>76636.661022032335</v>
      </c>
      <c r="AC307" s="1312">
        <f t="shared" si="179"/>
        <v>61499.338594731817</v>
      </c>
      <c r="AD307" s="1312">
        <f>AE306*((1+'Instrumentos Financeiros'!$H$43)^(1/12)-1)</f>
        <v>15137.322427300516</v>
      </c>
      <c r="AE307" s="1312">
        <f t="shared" si="197"/>
        <v>3439260.2865488068</v>
      </c>
      <c r="AF307" s="1312">
        <f>IF(AND(C307&gt;$F$66,'Instrumentos Financeiros'!C307&lt;'Instrumentos Financeiros'!$F$66+'Instrumentos Financeiros'!$F$11+1),PMT(((1+'Instrumentos Financeiros'!$I$43)^(1/12)-1),$F$11,-$I$66),0)</f>
        <v>76636.661022032335</v>
      </c>
      <c r="AG307" s="1312">
        <f t="shared" si="180"/>
        <v>60708.416926898863</v>
      </c>
      <c r="AH307" s="1312">
        <f>AI306*((1+'Instrumentos Financeiros'!$I$43)^(1/12)-1)</f>
        <v>15928.24409513347</v>
      </c>
      <c r="AI307" s="1312">
        <f t="shared" si="198"/>
        <v>3622965.1056181481</v>
      </c>
      <c r="AJ307" s="1312">
        <f>IF(AND(C307&gt;$F$67,'Instrumentos Financeiros'!C307&lt;'Instrumentos Financeiros'!$F$67+'Instrumentos Financeiros'!$F$11+1),PMT(((1+'Instrumentos Financeiros'!$I$43)^(1/12)-1),$F$11,-$I$67),0)</f>
        <v>76636.661022032335</v>
      </c>
      <c r="AK307" s="1312">
        <f t="shared" si="181"/>
        <v>59927.667028371754</v>
      </c>
      <c r="AL307" s="1312">
        <f>AM306*((1+'Instrumentos Financeiros'!$I$43)^(1/12)-1)</f>
        <v>16708.993993660581</v>
      </c>
      <c r="AM307" s="1312">
        <f t="shared" si="199"/>
        <v>3804307.360711887</v>
      </c>
      <c r="AN307" s="1312">
        <f>IF(AND(C307&gt;$F$68,'Instrumentos Financeiros'!C307&lt;'Instrumentos Financeiros'!$F$68+'Instrumentos Financeiros'!$F$11+1),PMT(((1+'Instrumentos Financeiros'!$I$43)^(1/12)-1),$F$11,-$I$68),0)</f>
        <v>76636.661022032335</v>
      </c>
      <c r="AO307" s="1312">
        <f t="shared" si="182"/>
        <v>59156.958083552665</v>
      </c>
      <c r="AP307" s="1312">
        <f>AQ306*((1+'Instrumentos Financeiros'!$I$43)^(1/12)-1)</f>
        <v>17479.70293847967</v>
      </c>
      <c r="AQ307" s="1312">
        <f t="shared" si="200"/>
        <v>3983317.4359460589</v>
      </c>
      <c r="AR307" s="1312">
        <f>IF(AND(C307&gt;$F$69,'Instrumentos Financeiros'!C307&lt;'Instrumentos Financeiros'!$F$69+'Instrumentos Financeiros'!$F$11+1),PMT(((1+'Instrumentos Financeiros'!$I$43)^(1/12)-1),$F$11,-$I$69),0)</f>
        <v>0</v>
      </c>
      <c r="AS307" s="1312">
        <f t="shared" si="183"/>
        <v>0</v>
      </c>
      <c r="AT307" s="1312">
        <f>AU306*((1+'Instrumentos Financeiros'!$I$43)^(1/12)-1)</f>
        <v>0</v>
      </c>
      <c r="AU307" s="1312">
        <f t="shared" si="201"/>
        <v>0</v>
      </c>
      <c r="AV307" s="1312">
        <f>IF(AND(C307&gt;$F$70,'Instrumentos Financeiros'!C307&lt;'Instrumentos Financeiros'!$F$70+'Instrumentos Financeiros'!$F$11+1),PMT(((1+'Instrumentos Financeiros'!$J$43)^(1/12)-1),$F$11,-$I$70),0)</f>
        <v>0</v>
      </c>
      <c r="AW307" s="1312">
        <f t="shared" si="184"/>
        <v>0</v>
      </c>
      <c r="AX307" s="1312">
        <f>AY306*((1+'Instrumentos Financeiros'!$J$43)^(1/12)-1)</f>
        <v>0</v>
      </c>
      <c r="AY307" s="1312">
        <f t="shared" si="202"/>
        <v>0</v>
      </c>
      <c r="AZ307" s="1312">
        <f>IF(AND(C307&gt;$F$71,'Instrumentos Financeiros'!C307&lt;'Instrumentos Financeiros'!$F$71+'Instrumentos Financeiros'!$F$11+1),PMT(((1+'Instrumentos Financeiros'!$J$43)^(1/12)-1),$F$11,-$I$71),0)</f>
        <v>0</v>
      </c>
      <c r="BA307" s="1312">
        <f t="shared" si="185"/>
        <v>0</v>
      </c>
      <c r="BB307" s="1312">
        <f>BC306*((1+'Instrumentos Financeiros'!$J$43)^(1/12)-1)</f>
        <v>0</v>
      </c>
      <c r="BC307" s="1312">
        <f t="shared" si="203"/>
        <v>0</v>
      </c>
      <c r="BD307" s="1312">
        <f>IF(AND(C307&gt;$F$72,'Instrumentos Financeiros'!C307&lt;'Instrumentos Financeiros'!$F$72+'Instrumentos Financeiros'!$F$11+1),PMT(((1+'Instrumentos Financeiros'!$J$43)^(1/12)-1),$F$11,-'Instrumentos Financeiros'!$G$7*$G$72),0)</f>
        <v>0</v>
      </c>
      <c r="BE307" s="1312">
        <f t="shared" si="186"/>
        <v>0</v>
      </c>
      <c r="BF307" s="1312">
        <f>BG306*((1+'Instrumentos Financeiros'!$J$43)^(1/12)-1)</f>
        <v>0</v>
      </c>
      <c r="BG307" s="1312">
        <f t="shared" si="204"/>
        <v>0</v>
      </c>
      <c r="BH307" s="1312">
        <f>IF(AND(C307&gt;$F$73,'Instrumentos Financeiros'!C307&lt;'Instrumentos Financeiros'!$F$73+'Instrumentos Financeiros'!$F$11+1),PMT(((1+'Instrumentos Financeiros'!$J$43)^(1/12)-1),$F$11,-$I$73),0)</f>
        <v>0</v>
      </c>
      <c r="BI307" s="1312">
        <f t="shared" si="187"/>
        <v>0</v>
      </c>
      <c r="BJ307" s="1312">
        <f>BK306*((1+'Instrumentos Financeiros'!$J$43)^(1/12)-1)</f>
        <v>0</v>
      </c>
      <c r="BK307" s="1312">
        <f t="shared" si="205"/>
        <v>0</v>
      </c>
      <c r="BL307" s="1312">
        <f>IF(AND(C307&gt;$F$77,'Instrumentos Financeiros'!C307&lt;'Instrumentos Financeiros'!$F$77+'Instrumentos Financeiros'!$F$12+1),PMT(((1+'Instrumentos Financeiros'!$K$43)^(1/12)-1),$F$12,-$I$77),0)</f>
        <v>368.57912678094596</v>
      </c>
      <c r="BM307" s="1312">
        <f t="shared" si="206"/>
        <v>280.85260665936664</v>
      </c>
      <c r="BN307" s="1312">
        <f>BO306*((1+'Instrumentos Financeiros'!$K$43)^(1/12)-1)</f>
        <v>87.726520121579313</v>
      </c>
      <c r="BO307" s="1312">
        <f t="shared" si="207"/>
        <v>20007.376118791311</v>
      </c>
      <c r="BP307" s="1312">
        <f>IF(AND(C307&gt;$F$78,'Instrumentos Financeiros'!C307&lt;'Instrumentos Financeiros'!$F$78+'Instrumentos Financeiros'!$F$12+1),PMT(((1+'Instrumentos Financeiros'!$L$43)^(1/12)-1),$F$12,-$I$78),0)</f>
        <v>368.57912678094596</v>
      </c>
      <c r="BQ307" s="1312">
        <f t="shared" si="208"/>
        <v>277.24065867504657</v>
      </c>
      <c r="BR307" s="1312">
        <f>BS306*((1+'Instrumentos Financeiros'!$L$43)^(1/12)-1)</f>
        <v>91.338468105899366</v>
      </c>
      <c r="BS307" s="1312">
        <f t="shared" si="209"/>
        <v>20846.311601195528</v>
      </c>
      <c r="BT307" s="1312">
        <f>IF(AND(C307&gt;$F$79,'Instrumentos Financeiros'!C307&lt;'Instrumentos Financeiros'!$F$79+'Instrumentos Financeiros'!$F$12+1),PMT(((1+'Instrumentos Financeiros'!$L$43)^(1/12)-1),$F$12,-$I$79),0)</f>
        <v>368.57912678094596</v>
      </c>
      <c r="BU307" s="1312">
        <f t="shared" si="210"/>
        <v>273.67516270125475</v>
      </c>
      <c r="BV307" s="1312">
        <f>BW306*((1+'Instrumentos Financeiros'!$L$43)^(1/12)-1)</f>
        <v>94.903964079691178</v>
      </c>
      <c r="BW307" s="1312">
        <f t="shared" si="211"/>
        <v>21674.457825274225</v>
      </c>
      <c r="BX307" s="1312">
        <f>IF(AND(C307&gt;$F$80,'Instrumentos Financeiros'!C307&lt;'Instrumentos Financeiros'!$F$80+'Instrumentos Financeiros'!$F$12+1),PMT(((1+'Instrumentos Financeiros'!$L$43)^(1/12)-1),$F$12,-$I$80),0)</f>
        <v>368.57912678094596</v>
      </c>
      <c r="BY307" s="1312">
        <f t="shared" si="212"/>
        <v>270.15552133479179</v>
      </c>
      <c r="BZ307" s="1312">
        <f>CA306*((1+'Instrumentos Financeiros'!$L$43)^(1/12)-1)</f>
        <v>98.423605446154156</v>
      </c>
      <c r="CA307" s="1312">
        <f t="shared" si="213"/>
        <v>22491.953547937384</v>
      </c>
      <c r="CB307" s="1312">
        <f>IF(AND(C307&gt;$F$83,'Instrumentos Financeiros'!C307&lt;'Instrumentos Financeiros'!$F$83+'Instrumentos Financeiros'!$F$13+1),PMT(((1+'Instrumentos Financeiros'!$P$43)^(1/12)-1),$F$13,-$I$83),0)</f>
        <v>30503.390100238979</v>
      </c>
      <c r="CC307" s="1312">
        <f t="shared" si="214"/>
        <v>17036.443692405344</v>
      </c>
      <c r="CD307" s="1312">
        <f>CE306*((1+'Instrumentos Financeiros'!$P$43)^(1/12)-1)</f>
        <v>13466.946407833637</v>
      </c>
      <c r="CE307" s="1312">
        <f t="shared" si="215"/>
        <v>3097420.7190545229</v>
      </c>
      <c r="CF307" s="1312">
        <f>IF(AND(C307&gt;$F$84,'Instrumentos Financeiros'!C307&lt;'Instrumentos Financeiros'!$F$84+'Instrumentos Financeiros'!$F$13+1),PMT(((1+'Instrumentos Financeiros'!$Q$43)^(1/12)-1),$F$13,-$I$84),0)</f>
        <v>30503.390100238979</v>
      </c>
      <c r="CG307" s="1312">
        <f t="shared" si="216"/>
        <v>16817.343897724073</v>
      </c>
      <c r="CH307" s="1312">
        <f>CI306*((1+'Instrumentos Financeiros'!$Q$43)^(1/12)-1)</f>
        <v>13686.046202514905</v>
      </c>
      <c r="CI307" s="1312">
        <f t="shared" si="217"/>
        <v>3148310.3201073455</v>
      </c>
      <c r="CJ307" s="1312">
        <f>IF(AND(C307&gt;$F$85,'Instrumentos Financeiros'!C307&lt;'Instrumentos Financeiros'!$F$85+'Instrumentos Financeiros'!$F$13+1),PMT(((1+'Instrumentos Financeiros'!$Q$43)^(1/12)-1),$F$13,-$I$85),0)</f>
        <v>30503.390100238979</v>
      </c>
      <c r="CK307" s="1312">
        <f t="shared" si="218"/>
        <v>16601.061869526005</v>
      </c>
      <c r="CL307" s="1312">
        <f>CM306*((1+'Instrumentos Financeiros'!$Q$43)^(1/12)-1)</f>
        <v>13902.328230712972</v>
      </c>
      <c r="CM307" s="1312">
        <f t="shared" si="219"/>
        <v>3198545.4476477732</v>
      </c>
      <c r="CN307" s="1312">
        <f>IF(AND(C307&gt;$F$86,'Instrumentos Financeiros'!C307&lt;'Instrumentos Financeiros'!$F$86+'Instrumentos Financeiros'!$F$13+1),PMT(((1+'Instrumentos Financeiros'!$Q$43)^(1/12)-1),$F$13,-$I$86),0)</f>
        <v>30503.390100238979</v>
      </c>
      <c r="CO307" s="1312">
        <f t="shared" si="220"/>
        <v>16387.561369493502</v>
      </c>
      <c r="CP307" s="1312">
        <f>CQ306*((1+'Instrumentos Financeiros'!$Q$43)^(1/12)-1)</f>
        <v>14115.828730745479</v>
      </c>
      <c r="CQ307" s="1312">
        <f t="shared" si="221"/>
        <v>3248134.5186327002</v>
      </c>
      <c r="CR307" s="1312">
        <f t="shared" si="190"/>
        <v>521803.11063210916</v>
      </c>
      <c r="CS307" s="1312">
        <f t="shared" si="190"/>
        <v>389462.48835426656</v>
      </c>
      <c r="CT307" s="1312">
        <f t="shared" si="190"/>
        <v>132340.62227784254</v>
      </c>
      <c r="CU307" s="1312">
        <f t="shared" si="190"/>
        <v>30374929.270686872</v>
      </c>
    </row>
    <row r="308" spans="3:99" x14ac:dyDescent="0.35">
      <c r="C308" s="1315">
        <f t="shared" si="191"/>
        <v>215</v>
      </c>
      <c r="D308" s="1312">
        <f>IF(AND(C308&gt;$F$59,'Instrumentos Financeiros'!C308&lt;'Instrumentos Financeiros'!$F$59+'Instrumentos Financeiros'!$F$11+1),PMT(((1+'Instrumentos Financeiros'!$G$43)^(1/12)-1),$F$11,-$I$59),0)</f>
        <v>91768.589635900134</v>
      </c>
      <c r="E308" s="1312">
        <f t="shared" si="188"/>
        <v>80553.238548142486</v>
      </c>
      <c r="F308" s="1312">
        <f>G307*((1+'Instrumentos Financeiros'!$G$43)^(1/12)-1)</f>
        <v>11215.351087757652</v>
      </c>
      <c r="G308" s="1312">
        <f t="shared" si="222"/>
        <v>2667094.7387782955</v>
      </c>
      <c r="H308" s="1312">
        <f>IF(AND(C308&gt;$F$60,'Instrumentos Financeiros'!C308&lt;'Instrumentos Financeiros'!$F$60+'Instrumentos Financeiros'!$F$11+1),PMT(((1+'Instrumentos Financeiros'!$G$43)^(1/12)-1),$F$11,-$I$60),0)</f>
        <v>0</v>
      </c>
      <c r="I308" s="1312">
        <f t="shared" si="174"/>
        <v>0</v>
      </c>
      <c r="J308" s="1312">
        <f>K307*((1+'Instrumentos Financeiros'!$G$43)^(1/12)-1)</f>
        <v>0</v>
      </c>
      <c r="K308" s="1312">
        <f t="shared" si="192"/>
        <v>0</v>
      </c>
      <c r="L308" s="1312">
        <f>IF(AND(C308&gt;$F$61,'Instrumentos Financeiros'!C308&lt;'Instrumentos Financeiros'!$F$61+'Instrumentos Financeiros'!$F$11+1),PMT(((1+'Instrumentos Financeiros'!$G$43)^(1/12)-1),$F$11,-$I$61),0)</f>
        <v>0</v>
      </c>
      <c r="M308" s="1312">
        <f t="shared" si="175"/>
        <v>0</v>
      </c>
      <c r="N308" s="1312">
        <f>O307*((1+'Instrumentos Financeiros'!$G$43)^(1/12)-1)</f>
        <v>0</v>
      </c>
      <c r="O308" s="1312">
        <f t="shared" si="193"/>
        <v>0</v>
      </c>
      <c r="P308" s="1312">
        <f>IF(AND(C308&gt;$F$62,'Instrumentos Financeiros'!C308&lt;'Instrumentos Financeiros'!$F$62+'Instrumentos Financeiros'!$F$11+1),PMT(((1+'Instrumentos Financeiros'!$H$43)^(1/12)-1),$F$11,-$I$62),0)</f>
        <v>0</v>
      </c>
      <c r="Q308" s="1312">
        <f t="shared" si="176"/>
        <v>0</v>
      </c>
      <c r="R308" s="1312">
        <f>S307*((1+'Instrumentos Financeiros'!$H$43)^(1/12)-1)</f>
        <v>0</v>
      </c>
      <c r="S308" s="1312">
        <f t="shared" si="194"/>
        <v>0</v>
      </c>
      <c r="T308" s="1312">
        <f>IF(AND(C308&gt;$F$63,'Instrumentos Financeiros'!C308&lt;'Instrumentos Financeiros'!$F$63+'Instrumentos Financeiros'!$F$11+1),PMT(((1+'Instrumentos Financeiros'!$H$43)^(1/12)-1),$F$11,-$I$63),0)</f>
        <v>0</v>
      </c>
      <c r="U308" s="1312">
        <f t="shared" si="177"/>
        <v>0</v>
      </c>
      <c r="V308" s="1312">
        <f>W307*((1+'Instrumentos Financeiros'!$H$43)^(1/12)-1)</f>
        <v>0</v>
      </c>
      <c r="W308" s="1312">
        <f t="shared" si="195"/>
        <v>0</v>
      </c>
      <c r="X308" s="1312">
        <f>IF(AND(C308&gt;$F$64,'Instrumentos Financeiros'!C308&lt;'Instrumentos Financeiros'!$F$64+'Instrumentos Financeiros'!$F$11+1),PMT(((1+'Instrumentos Financeiros'!$H$43)^(1/12)-1),$F$11,-$I$64),0)</f>
        <v>0</v>
      </c>
      <c r="Y308" s="1312">
        <f t="shared" si="178"/>
        <v>0</v>
      </c>
      <c r="Z308" s="1312">
        <f>AA307*((1+'Instrumentos Financeiros'!$H$43)^(1/12)-1)</f>
        <v>0</v>
      </c>
      <c r="AA308" s="1312">
        <f t="shared" si="196"/>
        <v>0</v>
      </c>
      <c r="AB308" s="1312">
        <f>IF(AND(C308&gt;$F$65,'Instrumentos Financeiros'!C308&lt;'Instrumentos Financeiros'!$F$65+'Instrumentos Financeiros'!$F$11+1),PMT(((1+'Instrumentos Financeiros'!$H$43)^(1/12)-1),$F$11,-$I$65),0)</f>
        <v>76636.661022032335</v>
      </c>
      <c r="AC308" s="1312">
        <f t="shared" si="179"/>
        <v>61765.262399007872</v>
      </c>
      <c r="AD308" s="1312">
        <f>AE307*((1+'Instrumentos Financeiros'!$H$43)^(1/12)-1)</f>
        <v>14871.398623024461</v>
      </c>
      <c r="AE308" s="1312">
        <f t="shared" si="197"/>
        <v>3377495.0241497988</v>
      </c>
      <c r="AF308" s="1312">
        <f>IF(AND(C308&gt;$F$66,'Instrumentos Financeiros'!C308&lt;'Instrumentos Financeiros'!$F$66+'Instrumentos Financeiros'!$F$11+1),PMT(((1+'Instrumentos Financeiros'!$I$43)^(1/12)-1),$F$11,-$I$66),0)</f>
        <v>76636.661022032335</v>
      </c>
      <c r="AG308" s="1312">
        <f t="shared" si="180"/>
        <v>60970.920777341264</v>
      </c>
      <c r="AH308" s="1312">
        <f>AI307*((1+'Instrumentos Financeiros'!$I$43)^(1/12)-1)</f>
        <v>15665.740244691075</v>
      </c>
      <c r="AI308" s="1312">
        <f t="shared" si="198"/>
        <v>3561994.1848408068</v>
      </c>
      <c r="AJ308" s="1312">
        <f>IF(AND(C308&gt;$F$67,'Instrumentos Financeiros'!C308&lt;'Instrumentos Financeiros'!$F$67+'Instrumentos Financeiros'!$F$11+1),PMT(((1+'Instrumentos Financeiros'!$I$43)^(1/12)-1),$F$11,-$I$67),0)</f>
        <v>76636.661022032335</v>
      </c>
      <c r="AK308" s="1312">
        <f t="shared" si="181"/>
        <v>60186.794907820826</v>
      </c>
      <c r="AL308" s="1312">
        <f>AM307*((1+'Instrumentos Financeiros'!$I$43)^(1/12)-1)</f>
        <v>16449.866114211509</v>
      </c>
      <c r="AM308" s="1312">
        <f t="shared" si="199"/>
        <v>3744120.5658040661</v>
      </c>
      <c r="AN308" s="1312">
        <f>IF(AND(C308&gt;$F$68,'Instrumentos Financeiros'!C308&lt;'Instrumentos Financeiros'!$F$68+'Instrumentos Financeiros'!$F$11+1),PMT(((1+'Instrumentos Financeiros'!$I$43)^(1/12)-1),$F$11,-$I$68),0)</f>
        <v>76636.661022032335</v>
      </c>
      <c r="AO308" s="1312">
        <f t="shared" si="182"/>
        <v>59412.753409200683</v>
      </c>
      <c r="AP308" s="1312">
        <f>AQ307*((1+'Instrumentos Financeiros'!$I$43)^(1/12)-1)</f>
        <v>17223.907612831648</v>
      </c>
      <c r="AQ308" s="1312">
        <f t="shared" si="200"/>
        <v>3923904.6825368581</v>
      </c>
      <c r="AR308" s="1312">
        <f>IF(AND(C308&gt;$F$69,'Instrumentos Financeiros'!C308&lt;'Instrumentos Financeiros'!$F$69+'Instrumentos Financeiros'!$F$11+1),PMT(((1+'Instrumentos Financeiros'!$I$43)^(1/12)-1),$F$11,-$I$69),0)</f>
        <v>0</v>
      </c>
      <c r="AS308" s="1312">
        <f t="shared" si="183"/>
        <v>0</v>
      </c>
      <c r="AT308" s="1312">
        <f>AU307*((1+'Instrumentos Financeiros'!$I$43)^(1/12)-1)</f>
        <v>0</v>
      </c>
      <c r="AU308" s="1312">
        <f t="shared" si="201"/>
        <v>0</v>
      </c>
      <c r="AV308" s="1312">
        <f>IF(AND(C308&gt;$F$70,'Instrumentos Financeiros'!C308&lt;'Instrumentos Financeiros'!$F$70+'Instrumentos Financeiros'!$F$11+1),PMT(((1+'Instrumentos Financeiros'!$J$43)^(1/12)-1),$F$11,-$I$70),0)</f>
        <v>0</v>
      </c>
      <c r="AW308" s="1312">
        <f t="shared" si="184"/>
        <v>0</v>
      </c>
      <c r="AX308" s="1312">
        <f>AY307*((1+'Instrumentos Financeiros'!$J$43)^(1/12)-1)</f>
        <v>0</v>
      </c>
      <c r="AY308" s="1312">
        <f t="shared" si="202"/>
        <v>0</v>
      </c>
      <c r="AZ308" s="1312">
        <f>IF(AND(C308&gt;$F$71,'Instrumentos Financeiros'!C308&lt;'Instrumentos Financeiros'!$F$71+'Instrumentos Financeiros'!$F$11+1),PMT(((1+'Instrumentos Financeiros'!$J$43)^(1/12)-1),$F$11,-$I$71),0)</f>
        <v>0</v>
      </c>
      <c r="BA308" s="1312">
        <f t="shared" si="185"/>
        <v>0</v>
      </c>
      <c r="BB308" s="1312">
        <f>BC307*((1+'Instrumentos Financeiros'!$J$43)^(1/12)-1)</f>
        <v>0</v>
      </c>
      <c r="BC308" s="1312">
        <f t="shared" si="203"/>
        <v>0</v>
      </c>
      <c r="BD308" s="1312">
        <f>IF(AND(C308&gt;$F$72,'Instrumentos Financeiros'!C308&lt;'Instrumentos Financeiros'!$F$72+'Instrumentos Financeiros'!$F$11+1),PMT(((1+'Instrumentos Financeiros'!$J$43)^(1/12)-1),$F$11,-'Instrumentos Financeiros'!$G$7*$G$72),0)</f>
        <v>0</v>
      </c>
      <c r="BE308" s="1312">
        <f t="shared" si="186"/>
        <v>0</v>
      </c>
      <c r="BF308" s="1312">
        <f>BG307*((1+'Instrumentos Financeiros'!$J$43)^(1/12)-1)</f>
        <v>0</v>
      </c>
      <c r="BG308" s="1312">
        <f t="shared" si="204"/>
        <v>0</v>
      </c>
      <c r="BH308" s="1312">
        <f>IF(AND(C308&gt;$F$73,'Instrumentos Financeiros'!C308&lt;'Instrumentos Financeiros'!$F$73+'Instrumentos Financeiros'!$F$11+1),PMT(((1+'Instrumentos Financeiros'!$J$43)^(1/12)-1),$F$11,-$I$73),0)</f>
        <v>0</v>
      </c>
      <c r="BI308" s="1312">
        <f t="shared" si="187"/>
        <v>0</v>
      </c>
      <c r="BJ308" s="1312">
        <f>BK307*((1+'Instrumentos Financeiros'!$J$43)^(1/12)-1)</f>
        <v>0</v>
      </c>
      <c r="BK308" s="1312">
        <f t="shared" si="205"/>
        <v>0</v>
      </c>
      <c r="BL308" s="1312">
        <f>IF(AND(C308&gt;$F$77,'Instrumentos Financeiros'!C308&lt;'Instrumentos Financeiros'!$F$77+'Instrumentos Financeiros'!$F$12+1),PMT(((1+'Instrumentos Financeiros'!$K$43)^(1/12)-1),$F$12,-$I$77),0)</f>
        <v>368.57912678094596</v>
      </c>
      <c r="BM308" s="1312">
        <f t="shared" si="206"/>
        <v>282.06701636376795</v>
      </c>
      <c r="BN308" s="1312">
        <f>BO307*((1+'Instrumentos Financeiros'!$K$43)^(1/12)-1)</f>
        <v>86.512110417177993</v>
      </c>
      <c r="BO308" s="1312">
        <f t="shared" si="207"/>
        <v>19725.309102427542</v>
      </c>
      <c r="BP308" s="1312">
        <f>IF(AND(C308&gt;$F$78,'Instrumentos Financeiros'!C308&lt;'Instrumentos Financeiros'!$F$78+'Instrumentos Financeiros'!$F$12+1),PMT(((1+'Instrumentos Financeiros'!$L$43)^(1/12)-1),$F$12,-$I$78),0)</f>
        <v>368.57912678094596</v>
      </c>
      <c r="BQ308" s="1312">
        <f t="shared" si="208"/>
        <v>278.43945027735469</v>
      </c>
      <c r="BR308" s="1312">
        <f>BS307*((1+'Instrumentos Financeiros'!$L$43)^(1/12)-1)</f>
        <v>90.139676503591261</v>
      </c>
      <c r="BS308" s="1312">
        <f t="shared" si="209"/>
        <v>20567.872150918174</v>
      </c>
      <c r="BT308" s="1312">
        <f>IF(AND(C308&gt;$F$79,'Instrumentos Financeiros'!C308&lt;'Instrumentos Financeiros'!$F$79+'Instrumentos Financeiros'!$F$12+1),PMT(((1+'Instrumentos Financeiros'!$L$43)^(1/12)-1),$F$12,-$I$79),0)</f>
        <v>368.57912678094596</v>
      </c>
      <c r="BU308" s="1312">
        <f t="shared" si="210"/>
        <v>274.85853706046487</v>
      </c>
      <c r="BV308" s="1312">
        <f>BW307*((1+'Instrumentos Financeiros'!$L$43)^(1/12)-1)</f>
        <v>93.720589720481073</v>
      </c>
      <c r="BW308" s="1312">
        <f t="shared" si="211"/>
        <v>21399.599288213762</v>
      </c>
      <c r="BX308" s="1312">
        <f>IF(AND(C308&gt;$F$80,'Instrumentos Financeiros'!C308&lt;'Instrumentos Financeiros'!$F$80+'Instrumentos Financeiros'!$F$12+1),PMT(((1+'Instrumentos Financeiros'!$L$43)^(1/12)-1),$F$12,-$I$80),0)</f>
        <v>368.57912678094596</v>
      </c>
      <c r="BY308" s="1312">
        <f t="shared" si="212"/>
        <v>271.3236767267212</v>
      </c>
      <c r="BZ308" s="1312">
        <f>CA307*((1+'Instrumentos Financeiros'!$L$43)^(1/12)-1)</f>
        <v>97.255450054224752</v>
      </c>
      <c r="CA308" s="1312">
        <f t="shared" si="213"/>
        <v>22220.629871210662</v>
      </c>
      <c r="CB308" s="1312">
        <f>IF(AND(C308&gt;$F$83,'Instrumentos Financeiros'!C308&lt;'Instrumentos Financeiros'!$F$83+'Instrumentos Financeiros'!$F$13+1),PMT(((1+'Instrumentos Financeiros'!$P$43)^(1/12)-1),$F$13,-$I$83),0)</f>
        <v>30503.390100238979</v>
      </c>
      <c r="CC308" s="1312">
        <f t="shared" si="214"/>
        <v>17110.109458924777</v>
      </c>
      <c r="CD308" s="1312">
        <f>CE307*((1+'Instrumentos Financeiros'!$P$43)^(1/12)-1)</f>
        <v>13393.280641314203</v>
      </c>
      <c r="CE308" s="1312">
        <f t="shared" si="215"/>
        <v>3080310.6095955982</v>
      </c>
      <c r="CF308" s="1312">
        <f>IF(AND(C308&gt;$F$84,'Instrumentos Financeiros'!C308&lt;'Instrumentos Financeiros'!$F$84+'Instrumentos Financeiros'!$F$13+1),PMT(((1+'Instrumentos Financeiros'!$Q$43)^(1/12)-1),$F$13,-$I$84),0)</f>
        <v>30503.390100238979</v>
      </c>
      <c r="CG308" s="1312">
        <f t="shared" si="216"/>
        <v>16890.062274365031</v>
      </c>
      <c r="CH308" s="1312">
        <f>CI307*((1+'Instrumentos Financeiros'!$Q$43)^(1/12)-1)</f>
        <v>13613.327825873948</v>
      </c>
      <c r="CI308" s="1312">
        <f t="shared" si="217"/>
        <v>3131420.2578329802</v>
      </c>
      <c r="CJ308" s="1312">
        <f>IF(AND(C308&gt;$F$85,'Instrumentos Financeiros'!C308&lt;'Instrumentos Financeiros'!$F$85+'Instrumentos Financeiros'!$F$13+1),PMT(((1+'Instrumentos Financeiros'!$Q$43)^(1/12)-1),$F$13,-$I$85),0)</f>
        <v>30503.390100238979</v>
      </c>
      <c r="CK308" s="1312">
        <f t="shared" si="218"/>
        <v>16672.845040341192</v>
      </c>
      <c r="CL308" s="1312">
        <f>CM307*((1+'Instrumentos Financeiros'!$Q$43)^(1/12)-1)</f>
        <v>13830.54505989779</v>
      </c>
      <c r="CM308" s="1312">
        <f t="shared" si="219"/>
        <v>3181872.6026074318</v>
      </c>
      <c r="CN308" s="1312">
        <f>IF(AND(C308&gt;$F$86,'Instrumentos Financeiros'!C308&lt;'Instrumentos Financeiros'!$F$86+'Instrumentos Financeiros'!$F$13+1),PMT(((1+'Instrumentos Financeiros'!$Q$43)^(1/12)-1),$F$13,-$I$86),0)</f>
        <v>30503.390100238979</v>
      </c>
      <c r="CO308" s="1312">
        <f t="shared" si="220"/>
        <v>16458.421361840741</v>
      </c>
      <c r="CP308" s="1312">
        <f>CQ307*((1+'Instrumentos Financeiros'!$Q$43)^(1/12)-1)</f>
        <v>14044.968738398238</v>
      </c>
      <c r="CQ308" s="1312">
        <f t="shared" si="221"/>
        <v>3231676.0972708594</v>
      </c>
      <c r="CR308" s="1312">
        <f t="shared" si="190"/>
        <v>521803.11063210916</v>
      </c>
      <c r="CS308" s="1312">
        <f t="shared" si="190"/>
        <v>391127.09685741324</v>
      </c>
      <c r="CT308" s="1312">
        <f t="shared" si="190"/>
        <v>130676.013774696</v>
      </c>
      <c r="CU308" s="1312">
        <f t="shared" si="190"/>
        <v>29983802.173829466</v>
      </c>
    </row>
    <row r="309" spans="3:99" x14ac:dyDescent="0.35">
      <c r="C309" s="1316">
        <f t="shared" si="191"/>
        <v>216</v>
      </c>
      <c r="D309" s="1313">
        <f>IF(AND(C309&gt;$F$59,'Instrumentos Financeiros'!C309&lt;'Instrumentos Financeiros'!$F$59+'Instrumentos Financeiros'!$F$11+1),PMT(((1+'Instrumentos Financeiros'!$G$43)^(1/12)-1),$F$11,-$I$59),0)</f>
        <v>91768.589635900134</v>
      </c>
      <c r="E309" s="1313">
        <f t="shared" si="188"/>
        <v>80882.040803390759</v>
      </c>
      <c r="F309" s="1313">
        <f>G308*((1+'Instrumentos Financeiros'!$G$43)^(1/12)-1)</f>
        <v>10886.548832509372</v>
      </c>
      <c r="G309" s="1313">
        <f t="shared" si="222"/>
        <v>2586212.6979749049</v>
      </c>
      <c r="H309" s="1313">
        <f>IF(AND(C309&gt;$F$60,'Instrumentos Financeiros'!C309&lt;'Instrumentos Financeiros'!$F$60+'Instrumentos Financeiros'!$F$11+1),PMT(((1+'Instrumentos Financeiros'!$G$43)^(1/12)-1),$F$11,-$I$60),0)</f>
        <v>0</v>
      </c>
      <c r="I309" s="1313">
        <f t="shared" si="174"/>
        <v>0</v>
      </c>
      <c r="J309" s="1313">
        <f>K308*((1+'Instrumentos Financeiros'!$G$43)^(1/12)-1)</f>
        <v>0</v>
      </c>
      <c r="K309" s="1313">
        <f t="shared" si="192"/>
        <v>0</v>
      </c>
      <c r="L309" s="1313">
        <f>IF(AND(C309&gt;$F$61,'Instrumentos Financeiros'!C309&lt;'Instrumentos Financeiros'!$F$61+'Instrumentos Financeiros'!$F$11+1),PMT(((1+'Instrumentos Financeiros'!$G$43)^(1/12)-1),$F$11,-$I$61),0)</f>
        <v>0</v>
      </c>
      <c r="M309" s="1313">
        <f t="shared" si="175"/>
        <v>0</v>
      </c>
      <c r="N309" s="1313">
        <f>O308*((1+'Instrumentos Financeiros'!$G$43)^(1/12)-1)</f>
        <v>0</v>
      </c>
      <c r="O309" s="1313">
        <f t="shared" si="193"/>
        <v>0</v>
      </c>
      <c r="P309" s="1313">
        <f>IF(AND(C309&gt;$F$62,'Instrumentos Financeiros'!C309&lt;'Instrumentos Financeiros'!$F$62+'Instrumentos Financeiros'!$F$11+1),PMT(((1+'Instrumentos Financeiros'!$H$43)^(1/12)-1),$F$11,-$I$62),0)</f>
        <v>0</v>
      </c>
      <c r="Q309" s="1313">
        <f t="shared" si="176"/>
        <v>0</v>
      </c>
      <c r="R309" s="1313">
        <f>S308*((1+'Instrumentos Financeiros'!$H$43)^(1/12)-1)</f>
        <v>0</v>
      </c>
      <c r="S309" s="1313">
        <f t="shared" si="194"/>
        <v>0</v>
      </c>
      <c r="T309" s="1313">
        <f>IF(AND(C309&gt;$F$63,'Instrumentos Financeiros'!C309&lt;'Instrumentos Financeiros'!$F$63+'Instrumentos Financeiros'!$F$11+1),PMT(((1+'Instrumentos Financeiros'!$H$43)^(1/12)-1),$F$11,-$I$63),0)</f>
        <v>0</v>
      </c>
      <c r="U309" s="1313">
        <f t="shared" si="177"/>
        <v>0</v>
      </c>
      <c r="V309" s="1313">
        <f>W308*((1+'Instrumentos Financeiros'!$H$43)^(1/12)-1)</f>
        <v>0</v>
      </c>
      <c r="W309" s="1313">
        <f t="shared" si="195"/>
        <v>0</v>
      </c>
      <c r="X309" s="1313">
        <f>IF(AND(C309&gt;$F$64,'Instrumentos Financeiros'!C309&lt;'Instrumentos Financeiros'!$F$64+'Instrumentos Financeiros'!$F$11+1),PMT(((1+'Instrumentos Financeiros'!$H$43)^(1/12)-1),$F$11,-$I$64),0)</f>
        <v>0</v>
      </c>
      <c r="Y309" s="1313">
        <f t="shared" si="178"/>
        <v>0</v>
      </c>
      <c r="Z309" s="1313">
        <f>AA308*((1+'Instrumentos Financeiros'!$H$43)^(1/12)-1)</f>
        <v>0</v>
      </c>
      <c r="AA309" s="1313">
        <f t="shared" si="196"/>
        <v>0</v>
      </c>
      <c r="AB309" s="1313">
        <f>IF(AND(C309&gt;$F$65,'Instrumentos Financeiros'!C309&lt;'Instrumentos Financeiros'!$F$65+'Instrumentos Financeiros'!$F$11+1),PMT(((1+'Instrumentos Financeiros'!$H$43)^(1/12)-1),$F$11,-$I$65),0)</f>
        <v>76636.661022032335</v>
      </c>
      <c r="AC309" s="1313">
        <f t="shared" si="179"/>
        <v>62032.336060685593</v>
      </c>
      <c r="AD309" s="1313">
        <f>AE308*((1+'Instrumentos Financeiros'!$H$43)^(1/12)-1)</f>
        <v>14604.324961346741</v>
      </c>
      <c r="AE309" s="1313">
        <f t="shared" si="197"/>
        <v>3315462.6880891132</v>
      </c>
      <c r="AF309" s="1313">
        <f>IF(AND(C309&gt;$F$66,'Instrumentos Financeiros'!C309&lt;'Instrumentos Financeiros'!$F$66+'Instrumentos Financeiros'!$F$11+1),PMT(((1+'Instrumentos Financeiros'!$I$43)^(1/12)-1),$F$11,-$I$66),0)</f>
        <v>76636.661022032335</v>
      </c>
      <c r="AG309" s="1313">
        <f t="shared" si="180"/>
        <v>61234.559697268007</v>
      </c>
      <c r="AH309" s="1313">
        <f>AI308*((1+'Instrumentos Financeiros'!$I$43)^(1/12)-1)</f>
        <v>15402.101324764326</v>
      </c>
      <c r="AI309" s="1313">
        <f t="shared" si="198"/>
        <v>3500759.6251435387</v>
      </c>
      <c r="AJ309" s="1313">
        <f>IF(AND(C309&gt;$F$67,'Instrumentos Financeiros'!C309&lt;'Instrumentos Financeiros'!$F$67+'Instrumentos Financeiros'!$F$11+1),PMT(((1+'Instrumentos Financeiros'!$I$43)^(1/12)-1),$F$11,-$I$67),0)</f>
        <v>76636.661022032335</v>
      </c>
      <c r="AK309" s="1313">
        <f t="shared" si="181"/>
        <v>60447.043259019214</v>
      </c>
      <c r="AL309" s="1313">
        <f>AM308*((1+'Instrumentos Financeiros'!$I$43)^(1/12)-1)</f>
        <v>16189.617763013121</v>
      </c>
      <c r="AM309" s="1313">
        <f t="shared" si="199"/>
        <v>3683673.5225450471</v>
      </c>
      <c r="AN309" s="1313">
        <f>IF(AND(C309&gt;$F$68,'Instrumentos Financeiros'!C309&lt;'Instrumentos Financeiros'!$F$68+'Instrumentos Financeiros'!$F$11+1),PMT(((1+'Instrumentos Financeiros'!$I$43)^(1/12)-1),$F$11,-$I$68),0)</f>
        <v>76636.661022032335</v>
      </c>
      <c r="AO309" s="1313">
        <f t="shared" si="182"/>
        <v>59669.654796599396</v>
      </c>
      <c r="AP309" s="1313">
        <f>AQ308*((1+'Instrumentos Financeiros'!$I$43)^(1/12)-1)</f>
        <v>16967.006225432935</v>
      </c>
      <c r="AQ309" s="1313">
        <f t="shared" si="200"/>
        <v>3864235.0277402587</v>
      </c>
      <c r="AR309" s="1313">
        <f>IF(AND(C309&gt;$F$69,'Instrumentos Financeiros'!C309&lt;'Instrumentos Financeiros'!$F$69+'Instrumentos Financeiros'!$F$11+1),PMT(((1+'Instrumentos Financeiros'!$I$43)^(1/12)-1),$F$11,-$I$69),0)</f>
        <v>0</v>
      </c>
      <c r="AS309" s="1313">
        <f t="shared" si="183"/>
        <v>0</v>
      </c>
      <c r="AT309" s="1313">
        <f>AU308*((1+'Instrumentos Financeiros'!$I$43)^(1/12)-1)</f>
        <v>0</v>
      </c>
      <c r="AU309" s="1313">
        <f t="shared" si="201"/>
        <v>0</v>
      </c>
      <c r="AV309" s="1313">
        <f>IF(AND(C309&gt;$F$70,'Instrumentos Financeiros'!C309&lt;'Instrumentos Financeiros'!$F$70+'Instrumentos Financeiros'!$F$11+1),PMT(((1+'Instrumentos Financeiros'!$J$43)^(1/12)-1),$F$11,-$I$70),0)</f>
        <v>0</v>
      </c>
      <c r="AW309" s="1313">
        <f t="shared" si="184"/>
        <v>0</v>
      </c>
      <c r="AX309" s="1313">
        <f>AY308*((1+'Instrumentos Financeiros'!$J$43)^(1/12)-1)</f>
        <v>0</v>
      </c>
      <c r="AY309" s="1313">
        <f t="shared" si="202"/>
        <v>0</v>
      </c>
      <c r="AZ309" s="1313">
        <f>IF(AND(C309&gt;$F$71,'Instrumentos Financeiros'!C309&lt;'Instrumentos Financeiros'!$F$71+'Instrumentos Financeiros'!$F$11+1),PMT(((1+'Instrumentos Financeiros'!$J$43)^(1/12)-1),$F$11,-$I$71),0)</f>
        <v>0</v>
      </c>
      <c r="BA309" s="1313">
        <f t="shared" si="185"/>
        <v>0</v>
      </c>
      <c r="BB309" s="1313">
        <f>BC308*((1+'Instrumentos Financeiros'!$J$43)^(1/12)-1)</f>
        <v>0</v>
      </c>
      <c r="BC309" s="1313">
        <f t="shared" si="203"/>
        <v>0</v>
      </c>
      <c r="BD309" s="1313">
        <f>IF(AND(C309&gt;$F$72,'Instrumentos Financeiros'!C309&lt;'Instrumentos Financeiros'!$F$72+'Instrumentos Financeiros'!$F$11+1),PMT(((1+'Instrumentos Financeiros'!$J$43)^(1/12)-1),$F$11,-'Instrumentos Financeiros'!$G$7*$G$72),0)</f>
        <v>0</v>
      </c>
      <c r="BE309" s="1313">
        <f t="shared" si="186"/>
        <v>0</v>
      </c>
      <c r="BF309" s="1313">
        <f>BG308*((1+'Instrumentos Financeiros'!$J$43)^(1/12)-1)</f>
        <v>0</v>
      </c>
      <c r="BG309" s="1313">
        <f t="shared" si="204"/>
        <v>0</v>
      </c>
      <c r="BH309" s="1313">
        <f>IF(AND(C309&gt;$F$73,'Instrumentos Financeiros'!C309&lt;'Instrumentos Financeiros'!$F$73+'Instrumentos Financeiros'!$F$11+1),PMT(((1+'Instrumentos Financeiros'!$J$43)^(1/12)-1),$F$11,-$I$73),0)</f>
        <v>0</v>
      </c>
      <c r="BI309" s="1313">
        <f t="shared" si="187"/>
        <v>0</v>
      </c>
      <c r="BJ309" s="1313">
        <f>BK308*((1+'Instrumentos Financeiros'!$J$43)^(1/12)-1)</f>
        <v>0</v>
      </c>
      <c r="BK309" s="1313">
        <f t="shared" si="205"/>
        <v>0</v>
      </c>
      <c r="BL309" s="1313">
        <f>IF(AND(C309&gt;$F$77,'Instrumentos Financeiros'!C309&lt;'Instrumentos Financeiros'!$F$77+'Instrumentos Financeiros'!$F$12+1),PMT(((1+'Instrumentos Financeiros'!$K$43)^(1/12)-1),$F$12,-$I$77),0)</f>
        <v>368.57912678094596</v>
      </c>
      <c r="BM309" s="1313">
        <f t="shared" si="206"/>
        <v>283.28667718884674</v>
      </c>
      <c r="BN309" s="1313">
        <f>BO308*((1+'Instrumentos Financeiros'!$K$43)^(1/12)-1)</f>
        <v>85.292449592099217</v>
      </c>
      <c r="BO309" s="1313">
        <f t="shared" si="207"/>
        <v>19442.022425238694</v>
      </c>
      <c r="BP309" s="1313">
        <f>IF(AND(C309&gt;$F$78,'Instrumentos Financeiros'!C309&lt;'Instrumentos Financeiros'!$F$78+'Instrumentos Financeiros'!$F$12+1),PMT(((1+'Instrumentos Financeiros'!$L$43)^(1/12)-1),$F$12,-$I$78),0)</f>
        <v>368.57912678094596</v>
      </c>
      <c r="BQ309" s="1313">
        <f t="shared" si="208"/>
        <v>279.6434254674981</v>
      </c>
      <c r="BR309" s="1313">
        <f>BS308*((1+'Instrumentos Financeiros'!$L$43)^(1/12)-1)</f>
        <v>88.935701313447836</v>
      </c>
      <c r="BS309" s="1313">
        <f t="shared" si="209"/>
        <v>20288.228725450677</v>
      </c>
      <c r="BT309" s="1313">
        <f>IF(AND(C309&gt;$F$79,'Instrumentos Financeiros'!C309&lt;'Instrumentos Financeiros'!$F$79+'Instrumentos Financeiros'!$F$12+1),PMT(((1+'Instrumentos Financeiros'!$L$43)^(1/12)-1),$F$12,-$I$79),0)</f>
        <v>368.57912678094596</v>
      </c>
      <c r="BU309" s="1313">
        <f t="shared" si="210"/>
        <v>276.04702834318465</v>
      </c>
      <c r="BV309" s="1313">
        <f>BW308*((1+'Instrumentos Financeiros'!$L$43)^(1/12)-1)</f>
        <v>92.53209843776132</v>
      </c>
      <c r="BW309" s="1313">
        <f t="shared" si="211"/>
        <v>21123.552259870576</v>
      </c>
      <c r="BX309" s="1313">
        <f>IF(AND(C309&gt;$F$80,'Instrumentos Financeiros'!C309&lt;'Instrumentos Financeiros'!$F$80+'Instrumentos Financeiros'!$F$12+1),PMT(((1+'Instrumentos Financeiros'!$L$43)^(1/12)-1),$F$12,-$I$80),0)</f>
        <v>368.57912678094596</v>
      </c>
      <c r="BY309" s="1313">
        <f t="shared" si="212"/>
        <v>272.49688323518137</v>
      </c>
      <c r="BZ309" s="1313">
        <f>CA308*((1+'Instrumentos Financeiros'!$L$43)^(1/12)-1)</f>
        <v>96.082243545764555</v>
      </c>
      <c r="CA309" s="1313">
        <f t="shared" si="213"/>
        <v>21948.132987975481</v>
      </c>
      <c r="CB309" s="1313">
        <f>IF(AND(C309&gt;$F$83,'Instrumentos Financeiros'!C309&lt;'Instrumentos Financeiros'!$F$83+'Instrumentos Financeiros'!$F$13+1),PMT(((1+'Instrumentos Financeiros'!$P$43)^(1/12)-1),$F$13,-$I$83),0)</f>
        <v>30503.390100238979</v>
      </c>
      <c r="CC309" s="1313">
        <f t="shared" si="214"/>
        <v>17184.093757014234</v>
      </c>
      <c r="CD309" s="1313">
        <f>CE308*((1+'Instrumentos Financeiros'!$P$43)^(1/12)-1)</f>
        <v>13319.296343224747</v>
      </c>
      <c r="CE309" s="1313">
        <f t="shared" si="215"/>
        <v>3063126.5158385839</v>
      </c>
      <c r="CF309" s="1313">
        <f>IF(AND(C309&gt;$F$84,'Instrumentos Financeiros'!C309&lt;'Instrumentos Financeiros'!$F$84+'Instrumentos Financeiros'!$F$13+1),PMT(((1+'Instrumentos Financeiros'!$Q$43)^(1/12)-1),$F$13,-$I$84),0)</f>
        <v>30503.390100238979</v>
      </c>
      <c r="CG309" s="1313">
        <f t="shared" si="216"/>
        <v>16963.095086051944</v>
      </c>
      <c r="CH309" s="1313">
        <f>CI308*((1+'Instrumentos Financeiros'!$Q$43)^(1/12)-1)</f>
        <v>13540.295014187037</v>
      </c>
      <c r="CI309" s="1313">
        <f t="shared" si="217"/>
        <v>3114457.1627469282</v>
      </c>
      <c r="CJ309" s="1313">
        <f>IF(AND(C309&gt;$F$85,'Instrumentos Financeiros'!C309&lt;'Instrumentos Financeiros'!$F$85+'Instrumentos Financeiros'!$F$13+1),PMT(((1+'Instrumentos Financeiros'!$Q$43)^(1/12)-1),$F$13,-$I$85),0)</f>
        <v>30503.390100238979</v>
      </c>
      <c r="CK309" s="1313">
        <f t="shared" si="218"/>
        <v>16744.938602362236</v>
      </c>
      <c r="CL309" s="1313">
        <f>CM308*((1+'Instrumentos Financeiros'!$Q$43)^(1/12)-1)</f>
        <v>13758.451497876742</v>
      </c>
      <c r="CM309" s="1313">
        <f t="shared" si="219"/>
        <v>3165127.6640050695</v>
      </c>
      <c r="CN309" s="1313">
        <f>IF(AND(C309&gt;$F$86,'Instrumentos Financeiros'!C309&lt;'Instrumentos Financeiros'!$F$86+'Instrumentos Financeiros'!$F$13+1),PMT(((1+'Instrumentos Financeiros'!$Q$43)^(1/12)-1),$F$13,-$I$86),0)</f>
        <v>30503.390100238979</v>
      </c>
      <c r="CO309" s="1313">
        <f t="shared" si="220"/>
        <v>16529.587753560176</v>
      </c>
      <c r="CP309" s="1313">
        <f>CQ308*((1+'Instrumentos Financeiros'!$Q$43)^(1/12)-1)</f>
        <v>13973.802346678802</v>
      </c>
      <c r="CQ309" s="1313">
        <f t="shared" si="221"/>
        <v>3215146.509517299</v>
      </c>
      <c r="CR309" s="1313">
        <f t="shared" si="190"/>
        <v>521803.11063210916</v>
      </c>
      <c r="CS309" s="1313">
        <f t="shared" si="190"/>
        <v>392798.82383018627</v>
      </c>
      <c r="CT309" s="1313">
        <f t="shared" si="190"/>
        <v>129004.28680192289</v>
      </c>
      <c r="CU309" s="1313">
        <f t="shared" si="190"/>
        <v>29591003.349999279</v>
      </c>
    </row>
    <row r="310" spans="3:99" x14ac:dyDescent="0.35">
      <c r="C310" s="1315">
        <f t="shared" si="191"/>
        <v>217</v>
      </c>
      <c r="D310" s="1312">
        <f>IF(AND(C310&gt;$F$59,'Instrumentos Financeiros'!C310&lt;'Instrumentos Financeiros'!$F$59+'Instrumentos Financeiros'!$F$11+1),PMT(((1+'Instrumentos Financeiros'!$G$43)^(1/12)-1),$F$11,-$I$59),0)</f>
        <v>91768.589635900134</v>
      </c>
      <c r="E310" s="1312">
        <f t="shared" si="188"/>
        <v>81212.185163872855</v>
      </c>
      <c r="F310" s="1312">
        <f>G309*((1+'Instrumentos Financeiros'!$G$43)^(1/12)-1)</f>
        <v>10556.404472027274</v>
      </c>
      <c r="G310" s="1312">
        <f t="shared" si="222"/>
        <v>2505000.5128110321</v>
      </c>
      <c r="H310" s="1312">
        <f>IF(AND(C310&gt;$F$60,'Instrumentos Financeiros'!C310&lt;'Instrumentos Financeiros'!$F$60+'Instrumentos Financeiros'!$F$11+1),PMT(((1+'Instrumentos Financeiros'!$G$43)^(1/12)-1),$F$11,-$I$60),0)</f>
        <v>0</v>
      </c>
      <c r="I310" s="1312">
        <f t="shared" si="174"/>
        <v>0</v>
      </c>
      <c r="J310" s="1312">
        <f>K309*((1+'Instrumentos Financeiros'!$G$43)^(1/12)-1)</f>
        <v>0</v>
      </c>
      <c r="K310" s="1312">
        <f t="shared" si="192"/>
        <v>0</v>
      </c>
      <c r="L310" s="1312">
        <f>IF(AND(C310&gt;$F$61,'Instrumentos Financeiros'!C310&lt;'Instrumentos Financeiros'!$F$61+'Instrumentos Financeiros'!$F$11+1),PMT(((1+'Instrumentos Financeiros'!$G$43)^(1/12)-1),$F$11,-$I$61),0)</f>
        <v>0</v>
      </c>
      <c r="M310" s="1312">
        <f t="shared" si="175"/>
        <v>0</v>
      </c>
      <c r="N310" s="1312">
        <f>O309*((1+'Instrumentos Financeiros'!$G$43)^(1/12)-1)</f>
        <v>0</v>
      </c>
      <c r="O310" s="1312">
        <f t="shared" si="193"/>
        <v>0</v>
      </c>
      <c r="P310" s="1312">
        <f>IF(AND(C310&gt;$F$62,'Instrumentos Financeiros'!C310&lt;'Instrumentos Financeiros'!$F$62+'Instrumentos Financeiros'!$F$11+1),PMT(((1+'Instrumentos Financeiros'!$H$43)^(1/12)-1),$F$11,-$I$62),0)</f>
        <v>0</v>
      </c>
      <c r="Q310" s="1312">
        <f t="shared" si="176"/>
        <v>0</v>
      </c>
      <c r="R310" s="1312">
        <f>S309*((1+'Instrumentos Financeiros'!$H$43)^(1/12)-1)</f>
        <v>0</v>
      </c>
      <c r="S310" s="1312">
        <f t="shared" si="194"/>
        <v>0</v>
      </c>
      <c r="T310" s="1312">
        <f>IF(AND(C310&gt;$F$63,'Instrumentos Financeiros'!C310&lt;'Instrumentos Financeiros'!$F$63+'Instrumentos Financeiros'!$F$11+1),PMT(((1+'Instrumentos Financeiros'!$H$43)^(1/12)-1),$F$11,-$I$63),0)</f>
        <v>0</v>
      </c>
      <c r="U310" s="1312">
        <f t="shared" si="177"/>
        <v>0</v>
      </c>
      <c r="V310" s="1312">
        <f>W309*((1+'Instrumentos Financeiros'!$H$43)^(1/12)-1)</f>
        <v>0</v>
      </c>
      <c r="W310" s="1312">
        <f t="shared" si="195"/>
        <v>0</v>
      </c>
      <c r="X310" s="1312">
        <f>IF(AND(C310&gt;$F$64,'Instrumentos Financeiros'!C310&lt;'Instrumentos Financeiros'!$F$64+'Instrumentos Financeiros'!$F$11+1),PMT(((1+'Instrumentos Financeiros'!$H$43)^(1/12)-1),$F$11,-$I$64),0)</f>
        <v>0</v>
      </c>
      <c r="Y310" s="1312">
        <f t="shared" si="178"/>
        <v>0</v>
      </c>
      <c r="Z310" s="1312">
        <f>AA309*((1+'Instrumentos Financeiros'!$H$43)^(1/12)-1)</f>
        <v>0</v>
      </c>
      <c r="AA310" s="1312">
        <f t="shared" si="196"/>
        <v>0</v>
      </c>
      <c r="AB310" s="1312">
        <f>IF(AND(C310&gt;$F$65,'Instrumentos Financeiros'!C310&lt;'Instrumentos Financeiros'!$F$65+'Instrumentos Financeiros'!$F$11+1),PMT(((1+'Instrumentos Financeiros'!$H$43)^(1/12)-1),$F$11,-$I$65),0)</f>
        <v>76636.661022032335</v>
      </c>
      <c r="AC310" s="1312">
        <f t="shared" si="179"/>
        <v>62300.564551760799</v>
      </c>
      <c r="AD310" s="1312">
        <f>AE309*((1+'Instrumentos Financeiros'!$H$43)^(1/12)-1)</f>
        <v>14336.096470271536</v>
      </c>
      <c r="AE310" s="1312">
        <f t="shared" si="197"/>
        <v>3253162.1235373523</v>
      </c>
      <c r="AF310" s="1312">
        <f>IF(AND(C310&gt;$F$66,'Instrumentos Financeiros'!C310&lt;'Instrumentos Financeiros'!$F$66+'Instrumentos Financeiros'!$F$11+1),PMT(((1+'Instrumentos Financeiros'!$I$43)^(1/12)-1),$F$11,-$I$66),0)</f>
        <v>76636.661022032335</v>
      </c>
      <c r="AG310" s="1312">
        <f t="shared" si="180"/>
        <v>61499.338594731817</v>
      </c>
      <c r="AH310" s="1312">
        <f>AI309*((1+'Instrumentos Financeiros'!$I$43)^(1/12)-1)</f>
        <v>15137.322427300516</v>
      </c>
      <c r="AI310" s="1312">
        <f t="shared" si="198"/>
        <v>3439260.2865488068</v>
      </c>
      <c r="AJ310" s="1312">
        <f>IF(AND(C310&gt;$F$67,'Instrumentos Financeiros'!C310&lt;'Instrumentos Financeiros'!$F$67+'Instrumentos Financeiros'!$F$11+1),PMT(((1+'Instrumentos Financeiros'!$I$43)^(1/12)-1),$F$11,-$I$67),0)</f>
        <v>76636.661022032335</v>
      </c>
      <c r="AK310" s="1312">
        <f t="shared" si="181"/>
        <v>60708.416926898863</v>
      </c>
      <c r="AL310" s="1312">
        <f>AM309*((1+'Instrumentos Financeiros'!$I$43)^(1/12)-1)</f>
        <v>15928.24409513347</v>
      </c>
      <c r="AM310" s="1312">
        <f t="shared" si="199"/>
        <v>3622965.1056181481</v>
      </c>
      <c r="AN310" s="1312">
        <f>IF(AND(C310&gt;$F$68,'Instrumentos Financeiros'!C310&lt;'Instrumentos Financeiros'!$F$68+'Instrumentos Financeiros'!$F$11+1),PMT(((1+'Instrumentos Financeiros'!$I$43)^(1/12)-1),$F$11,-$I$68),0)</f>
        <v>76636.661022032335</v>
      </c>
      <c r="AO310" s="1312">
        <f t="shared" si="182"/>
        <v>59927.667028371754</v>
      </c>
      <c r="AP310" s="1312">
        <f>AQ309*((1+'Instrumentos Financeiros'!$I$43)^(1/12)-1)</f>
        <v>16708.993993660581</v>
      </c>
      <c r="AQ310" s="1312">
        <f t="shared" si="200"/>
        <v>3804307.360711887</v>
      </c>
      <c r="AR310" s="1312">
        <f>IF(AND(C310&gt;$F$69,'Instrumentos Financeiros'!C310&lt;'Instrumentos Financeiros'!$F$69+'Instrumentos Financeiros'!$F$11+1),PMT(((1+'Instrumentos Financeiros'!$I$43)^(1/12)-1),$F$11,-$I$69),0)</f>
        <v>0</v>
      </c>
      <c r="AS310" s="1312">
        <f t="shared" si="183"/>
        <v>0</v>
      </c>
      <c r="AT310" s="1312">
        <f>AU309*((1+'Instrumentos Financeiros'!$I$43)^(1/12)-1)</f>
        <v>0</v>
      </c>
      <c r="AU310" s="1312">
        <f t="shared" si="201"/>
        <v>0</v>
      </c>
      <c r="AV310" s="1312">
        <f>IF(AND(C310&gt;$F$70,'Instrumentos Financeiros'!C310&lt;'Instrumentos Financeiros'!$F$70+'Instrumentos Financeiros'!$F$11+1),PMT(((1+'Instrumentos Financeiros'!$J$43)^(1/12)-1),$F$11,-$I$70),0)</f>
        <v>0</v>
      </c>
      <c r="AW310" s="1312">
        <f t="shared" si="184"/>
        <v>0</v>
      </c>
      <c r="AX310" s="1312">
        <f>AY309*((1+'Instrumentos Financeiros'!$J$43)^(1/12)-1)</f>
        <v>0</v>
      </c>
      <c r="AY310" s="1312">
        <f t="shared" si="202"/>
        <v>0</v>
      </c>
      <c r="AZ310" s="1312">
        <f>IF(AND(C310&gt;$F$71,'Instrumentos Financeiros'!C310&lt;'Instrumentos Financeiros'!$F$71+'Instrumentos Financeiros'!$F$11+1),PMT(((1+'Instrumentos Financeiros'!$J$43)^(1/12)-1),$F$11,-$I$71),0)</f>
        <v>0</v>
      </c>
      <c r="BA310" s="1312">
        <f t="shared" si="185"/>
        <v>0</v>
      </c>
      <c r="BB310" s="1312">
        <f>BC309*((1+'Instrumentos Financeiros'!$J$43)^(1/12)-1)</f>
        <v>0</v>
      </c>
      <c r="BC310" s="1312">
        <f t="shared" si="203"/>
        <v>0</v>
      </c>
      <c r="BD310" s="1312">
        <f>IF(AND(C310&gt;$F$72,'Instrumentos Financeiros'!C310&lt;'Instrumentos Financeiros'!$F$72+'Instrumentos Financeiros'!$F$11+1),PMT(((1+'Instrumentos Financeiros'!$J$43)^(1/12)-1),$F$11,-'Instrumentos Financeiros'!$G$7*$G$72),0)</f>
        <v>0</v>
      </c>
      <c r="BE310" s="1312">
        <f t="shared" si="186"/>
        <v>0</v>
      </c>
      <c r="BF310" s="1312">
        <f>BG309*((1+'Instrumentos Financeiros'!$J$43)^(1/12)-1)</f>
        <v>0</v>
      </c>
      <c r="BG310" s="1312">
        <f t="shared" si="204"/>
        <v>0</v>
      </c>
      <c r="BH310" s="1312">
        <f>IF(AND(C310&gt;$F$73,'Instrumentos Financeiros'!C310&lt;'Instrumentos Financeiros'!$F$73+'Instrumentos Financeiros'!$F$11+1),PMT(((1+'Instrumentos Financeiros'!$J$43)^(1/12)-1),$F$11,-$I$73),0)</f>
        <v>0</v>
      </c>
      <c r="BI310" s="1312">
        <f t="shared" si="187"/>
        <v>0</v>
      </c>
      <c r="BJ310" s="1312">
        <f>BK309*((1+'Instrumentos Financeiros'!$J$43)^(1/12)-1)</f>
        <v>0</v>
      </c>
      <c r="BK310" s="1312">
        <f t="shared" si="205"/>
        <v>0</v>
      </c>
      <c r="BL310" s="1312">
        <f>IF(AND(C310&gt;$F$77,'Instrumentos Financeiros'!C310&lt;'Instrumentos Financeiros'!$F$77+'Instrumentos Financeiros'!$F$12+1),PMT(((1+'Instrumentos Financeiros'!$K$43)^(1/12)-1),$F$12,-$I$77),0)</f>
        <v>368.57912678094596</v>
      </c>
      <c r="BM310" s="1312">
        <f t="shared" si="206"/>
        <v>284.51161184050545</v>
      </c>
      <c r="BN310" s="1312">
        <f>BO309*((1+'Instrumentos Financeiros'!$K$43)^(1/12)-1)</f>
        <v>84.067514940440475</v>
      </c>
      <c r="BO310" s="1312">
        <f t="shared" si="207"/>
        <v>19157.510813398188</v>
      </c>
      <c r="BP310" s="1312">
        <f>IF(AND(C310&gt;$F$78,'Instrumentos Financeiros'!C310&lt;'Instrumentos Financeiros'!$F$78+'Instrumentos Financeiros'!$F$12+1),PMT(((1+'Instrumentos Financeiros'!$L$43)^(1/12)-1),$F$12,-$I$78),0)</f>
        <v>368.57912678094596</v>
      </c>
      <c r="BQ310" s="1312">
        <f t="shared" si="208"/>
        <v>280.85260665936664</v>
      </c>
      <c r="BR310" s="1312">
        <f>BS309*((1+'Instrumentos Financeiros'!$L$43)^(1/12)-1)</f>
        <v>87.726520121579313</v>
      </c>
      <c r="BS310" s="1312">
        <f t="shared" si="209"/>
        <v>20007.376118791311</v>
      </c>
      <c r="BT310" s="1312">
        <f>IF(AND(C310&gt;$F$79,'Instrumentos Financeiros'!C310&lt;'Instrumentos Financeiros'!$F$79+'Instrumentos Financeiros'!$F$12+1),PMT(((1+'Instrumentos Financeiros'!$L$43)^(1/12)-1),$F$12,-$I$79),0)</f>
        <v>368.57912678094596</v>
      </c>
      <c r="BU310" s="1312">
        <f t="shared" si="210"/>
        <v>277.24065867504657</v>
      </c>
      <c r="BV310" s="1312">
        <f>BW309*((1+'Instrumentos Financeiros'!$L$43)^(1/12)-1)</f>
        <v>91.338468105899366</v>
      </c>
      <c r="BW310" s="1312">
        <f t="shared" si="211"/>
        <v>20846.311601195528</v>
      </c>
      <c r="BX310" s="1312">
        <f>IF(AND(C310&gt;$F$80,'Instrumentos Financeiros'!C310&lt;'Instrumentos Financeiros'!$F$80+'Instrumentos Financeiros'!$F$12+1),PMT(((1+'Instrumentos Financeiros'!$L$43)^(1/12)-1),$F$12,-$I$80),0)</f>
        <v>368.57912678094596</v>
      </c>
      <c r="BY310" s="1312">
        <f t="shared" si="212"/>
        <v>273.67516270125475</v>
      </c>
      <c r="BZ310" s="1312">
        <f>CA309*((1+'Instrumentos Financeiros'!$L$43)^(1/12)-1)</f>
        <v>94.903964079691178</v>
      </c>
      <c r="CA310" s="1312">
        <f t="shared" si="213"/>
        <v>21674.457825274225</v>
      </c>
      <c r="CB310" s="1312">
        <f>IF(AND(C310&gt;$F$83,'Instrumentos Financeiros'!C310&lt;'Instrumentos Financeiros'!$F$83+'Instrumentos Financeiros'!$F$13+1),PMT(((1+'Instrumentos Financeiros'!$P$43)^(1/12)-1),$F$13,-$I$83),0)</f>
        <v>30503.390100238979</v>
      </c>
      <c r="CC310" s="1312">
        <f t="shared" si="214"/>
        <v>17258.397964007658</v>
      </c>
      <c r="CD310" s="1312">
        <f>CE309*((1+'Instrumentos Financeiros'!$P$43)^(1/12)-1)</f>
        <v>13244.992136231323</v>
      </c>
      <c r="CE310" s="1312">
        <f t="shared" si="215"/>
        <v>3045868.1178745762</v>
      </c>
      <c r="CF310" s="1312">
        <f>IF(AND(C310&gt;$F$84,'Instrumentos Financeiros'!C310&lt;'Instrumentos Financeiros'!$F$84+'Instrumentos Financeiros'!$F$13+1),PMT(((1+'Instrumentos Financeiros'!$Q$43)^(1/12)-1),$F$13,-$I$84),0)</f>
        <v>30503.390100238979</v>
      </c>
      <c r="CG310" s="1312">
        <f t="shared" si="216"/>
        <v>17036.443692405344</v>
      </c>
      <c r="CH310" s="1312">
        <f>CI309*((1+'Instrumentos Financeiros'!$Q$43)^(1/12)-1)</f>
        <v>13466.946407833637</v>
      </c>
      <c r="CI310" s="1312">
        <f t="shared" si="217"/>
        <v>3097420.7190545229</v>
      </c>
      <c r="CJ310" s="1312">
        <f>IF(AND(C310&gt;$F$85,'Instrumentos Financeiros'!C310&lt;'Instrumentos Financeiros'!$F$85+'Instrumentos Financeiros'!$F$13+1),PMT(((1+'Instrumentos Financeiros'!$Q$43)^(1/12)-1),$F$13,-$I$85),0)</f>
        <v>30503.390100238979</v>
      </c>
      <c r="CK310" s="1312">
        <f t="shared" si="218"/>
        <v>16817.343897724073</v>
      </c>
      <c r="CL310" s="1312">
        <f>CM309*((1+'Instrumentos Financeiros'!$Q$43)^(1/12)-1)</f>
        <v>13686.046202514905</v>
      </c>
      <c r="CM310" s="1312">
        <f t="shared" si="219"/>
        <v>3148310.3201073455</v>
      </c>
      <c r="CN310" s="1312">
        <f>IF(AND(C310&gt;$F$86,'Instrumentos Financeiros'!C310&lt;'Instrumentos Financeiros'!$F$86+'Instrumentos Financeiros'!$F$13+1),PMT(((1+'Instrumentos Financeiros'!$Q$43)^(1/12)-1),$F$13,-$I$86),0)</f>
        <v>30503.390100238979</v>
      </c>
      <c r="CO310" s="1312">
        <f t="shared" si="220"/>
        <v>16601.061869526005</v>
      </c>
      <c r="CP310" s="1312">
        <f>CQ309*((1+'Instrumentos Financeiros'!$Q$43)^(1/12)-1)</f>
        <v>13902.328230712972</v>
      </c>
      <c r="CQ310" s="1312">
        <f t="shared" si="221"/>
        <v>3198545.4476477732</v>
      </c>
      <c r="CR310" s="1312">
        <f t="shared" si="190"/>
        <v>521803.11063210916</v>
      </c>
      <c r="CS310" s="1312">
        <f t="shared" si="190"/>
        <v>394477.69972917525</v>
      </c>
      <c r="CT310" s="1312">
        <f t="shared" si="190"/>
        <v>127325.41090293381</v>
      </c>
      <c r="CU310" s="1312">
        <f t="shared" si="190"/>
        <v>29196525.650270104</v>
      </c>
    </row>
    <row r="311" spans="3:99" x14ac:dyDescent="0.35">
      <c r="C311" s="1315">
        <f t="shared" si="191"/>
        <v>218</v>
      </c>
      <c r="D311" s="1312">
        <f>IF(AND(C311&gt;$F$59,'Instrumentos Financeiros'!C311&lt;'Instrumentos Financeiros'!$F$59+'Instrumentos Financeiros'!$F$11+1),PMT(((1+'Instrumentos Financeiros'!$G$43)^(1/12)-1),$F$11,-$I$59),0)</f>
        <v>91768.589635900134</v>
      </c>
      <c r="E311" s="1312">
        <f t="shared" si="188"/>
        <v>81543.677107794691</v>
      </c>
      <c r="F311" s="1312">
        <f>G310*((1+'Instrumentos Financeiros'!$G$43)^(1/12)-1)</f>
        <v>10224.912528105448</v>
      </c>
      <c r="G311" s="1312">
        <f t="shared" si="222"/>
        <v>2423456.8357032374</v>
      </c>
      <c r="H311" s="1312">
        <f>IF(AND(C311&gt;$F$60,'Instrumentos Financeiros'!C311&lt;'Instrumentos Financeiros'!$F$60+'Instrumentos Financeiros'!$F$11+1),PMT(((1+'Instrumentos Financeiros'!$G$43)^(1/12)-1),$F$11,-$I$60),0)</f>
        <v>0</v>
      </c>
      <c r="I311" s="1312">
        <f t="shared" si="174"/>
        <v>0</v>
      </c>
      <c r="J311" s="1312">
        <f>K310*((1+'Instrumentos Financeiros'!$G$43)^(1/12)-1)</f>
        <v>0</v>
      </c>
      <c r="K311" s="1312">
        <f t="shared" si="192"/>
        <v>0</v>
      </c>
      <c r="L311" s="1312">
        <f>IF(AND(C311&gt;$F$61,'Instrumentos Financeiros'!C311&lt;'Instrumentos Financeiros'!$F$61+'Instrumentos Financeiros'!$F$11+1),PMT(((1+'Instrumentos Financeiros'!$G$43)^(1/12)-1),$F$11,-$I$61),0)</f>
        <v>0</v>
      </c>
      <c r="M311" s="1312">
        <f t="shared" si="175"/>
        <v>0</v>
      </c>
      <c r="N311" s="1312">
        <f>O310*((1+'Instrumentos Financeiros'!$G$43)^(1/12)-1)</f>
        <v>0</v>
      </c>
      <c r="O311" s="1312">
        <f t="shared" si="193"/>
        <v>0</v>
      </c>
      <c r="P311" s="1312">
        <f>IF(AND(C311&gt;$F$62,'Instrumentos Financeiros'!C311&lt;'Instrumentos Financeiros'!$F$62+'Instrumentos Financeiros'!$F$11+1),PMT(((1+'Instrumentos Financeiros'!$H$43)^(1/12)-1),$F$11,-$I$62),0)</f>
        <v>0</v>
      </c>
      <c r="Q311" s="1312">
        <f t="shared" si="176"/>
        <v>0</v>
      </c>
      <c r="R311" s="1312">
        <f>S310*((1+'Instrumentos Financeiros'!$H$43)^(1/12)-1)</f>
        <v>0</v>
      </c>
      <c r="S311" s="1312">
        <f t="shared" si="194"/>
        <v>0</v>
      </c>
      <c r="T311" s="1312">
        <f>IF(AND(C311&gt;$F$63,'Instrumentos Financeiros'!C311&lt;'Instrumentos Financeiros'!$F$63+'Instrumentos Financeiros'!$F$11+1),PMT(((1+'Instrumentos Financeiros'!$H$43)^(1/12)-1),$F$11,-$I$63),0)</f>
        <v>0</v>
      </c>
      <c r="U311" s="1312">
        <f t="shared" si="177"/>
        <v>0</v>
      </c>
      <c r="V311" s="1312">
        <f>W310*((1+'Instrumentos Financeiros'!$H$43)^(1/12)-1)</f>
        <v>0</v>
      </c>
      <c r="W311" s="1312">
        <f t="shared" si="195"/>
        <v>0</v>
      </c>
      <c r="X311" s="1312">
        <f>IF(AND(C311&gt;$F$64,'Instrumentos Financeiros'!C311&lt;'Instrumentos Financeiros'!$F$64+'Instrumentos Financeiros'!$F$11+1),PMT(((1+'Instrumentos Financeiros'!$H$43)^(1/12)-1),$F$11,-$I$64),0)</f>
        <v>0</v>
      </c>
      <c r="Y311" s="1312">
        <f t="shared" si="178"/>
        <v>0</v>
      </c>
      <c r="Z311" s="1312">
        <f>AA310*((1+'Instrumentos Financeiros'!$H$43)^(1/12)-1)</f>
        <v>0</v>
      </c>
      <c r="AA311" s="1312">
        <f t="shared" si="196"/>
        <v>0</v>
      </c>
      <c r="AB311" s="1312">
        <f>IF(AND(C311&gt;$F$65,'Instrumentos Financeiros'!C311&lt;'Instrumentos Financeiros'!$F$65+'Instrumentos Financeiros'!$F$11+1),PMT(((1+'Instrumentos Financeiros'!$H$43)^(1/12)-1),$F$11,-$I$65),0)</f>
        <v>76636.661022032335</v>
      </c>
      <c r="AC311" s="1312">
        <f t="shared" si="179"/>
        <v>62569.952865728279</v>
      </c>
      <c r="AD311" s="1312">
        <f>AE310*((1+'Instrumentos Financeiros'!$H$43)^(1/12)-1)</f>
        <v>14066.708156304052</v>
      </c>
      <c r="AE311" s="1312">
        <f t="shared" si="197"/>
        <v>3190592.1706716241</v>
      </c>
      <c r="AF311" s="1312">
        <f>IF(AND(C311&gt;$F$66,'Instrumentos Financeiros'!C311&lt;'Instrumentos Financeiros'!$F$66+'Instrumentos Financeiros'!$F$11+1),PMT(((1+'Instrumentos Financeiros'!$I$43)^(1/12)-1),$F$11,-$I$66),0)</f>
        <v>76636.661022032335</v>
      </c>
      <c r="AG311" s="1312">
        <f t="shared" si="180"/>
        <v>61765.262399007872</v>
      </c>
      <c r="AH311" s="1312">
        <f>AI310*((1+'Instrumentos Financeiros'!$I$43)^(1/12)-1)</f>
        <v>14871.398623024461</v>
      </c>
      <c r="AI311" s="1312">
        <f t="shared" si="198"/>
        <v>3377495.0241497988</v>
      </c>
      <c r="AJ311" s="1312">
        <f>IF(AND(C311&gt;$F$67,'Instrumentos Financeiros'!C311&lt;'Instrumentos Financeiros'!$F$67+'Instrumentos Financeiros'!$F$11+1),PMT(((1+'Instrumentos Financeiros'!$I$43)^(1/12)-1),$F$11,-$I$67),0)</f>
        <v>76636.661022032335</v>
      </c>
      <c r="AK311" s="1312">
        <f t="shared" si="181"/>
        <v>60970.920777341264</v>
      </c>
      <c r="AL311" s="1312">
        <f>AM310*((1+'Instrumentos Financeiros'!$I$43)^(1/12)-1)</f>
        <v>15665.740244691075</v>
      </c>
      <c r="AM311" s="1312">
        <f t="shared" si="199"/>
        <v>3561994.1848408068</v>
      </c>
      <c r="AN311" s="1312">
        <f>IF(AND(C311&gt;$F$68,'Instrumentos Financeiros'!C311&lt;'Instrumentos Financeiros'!$F$68+'Instrumentos Financeiros'!$F$11+1),PMT(((1+'Instrumentos Financeiros'!$I$43)^(1/12)-1),$F$11,-$I$68),0)</f>
        <v>76636.661022032335</v>
      </c>
      <c r="AO311" s="1312">
        <f t="shared" si="182"/>
        <v>60186.794907820826</v>
      </c>
      <c r="AP311" s="1312">
        <f>AQ310*((1+'Instrumentos Financeiros'!$I$43)^(1/12)-1)</f>
        <v>16449.866114211509</v>
      </c>
      <c r="AQ311" s="1312">
        <f t="shared" si="200"/>
        <v>3744120.5658040661</v>
      </c>
      <c r="AR311" s="1312">
        <f>IF(AND(C311&gt;$F$69,'Instrumentos Financeiros'!C311&lt;'Instrumentos Financeiros'!$F$69+'Instrumentos Financeiros'!$F$11+1),PMT(((1+'Instrumentos Financeiros'!$I$43)^(1/12)-1),$F$11,-$I$69),0)</f>
        <v>0</v>
      </c>
      <c r="AS311" s="1312">
        <f t="shared" si="183"/>
        <v>0</v>
      </c>
      <c r="AT311" s="1312">
        <f>AU310*((1+'Instrumentos Financeiros'!$I$43)^(1/12)-1)</f>
        <v>0</v>
      </c>
      <c r="AU311" s="1312">
        <f t="shared" si="201"/>
        <v>0</v>
      </c>
      <c r="AV311" s="1312">
        <f>IF(AND(C311&gt;$F$70,'Instrumentos Financeiros'!C311&lt;'Instrumentos Financeiros'!$F$70+'Instrumentos Financeiros'!$F$11+1),PMT(((1+'Instrumentos Financeiros'!$J$43)^(1/12)-1),$F$11,-$I$70),0)</f>
        <v>0</v>
      </c>
      <c r="AW311" s="1312">
        <f t="shared" si="184"/>
        <v>0</v>
      </c>
      <c r="AX311" s="1312">
        <f>AY310*((1+'Instrumentos Financeiros'!$J$43)^(1/12)-1)</f>
        <v>0</v>
      </c>
      <c r="AY311" s="1312">
        <f t="shared" si="202"/>
        <v>0</v>
      </c>
      <c r="AZ311" s="1312">
        <f>IF(AND(C311&gt;$F$71,'Instrumentos Financeiros'!C311&lt;'Instrumentos Financeiros'!$F$71+'Instrumentos Financeiros'!$F$11+1),PMT(((1+'Instrumentos Financeiros'!$J$43)^(1/12)-1),$F$11,-$I$71),0)</f>
        <v>0</v>
      </c>
      <c r="BA311" s="1312">
        <f t="shared" si="185"/>
        <v>0</v>
      </c>
      <c r="BB311" s="1312">
        <f>BC310*((1+'Instrumentos Financeiros'!$J$43)^(1/12)-1)</f>
        <v>0</v>
      </c>
      <c r="BC311" s="1312">
        <f t="shared" si="203"/>
        <v>0</v>
      </c>
      <c r="BD311" s="1312">
        <f>IF(AND(C311&gt;$F$72,'Instrumentos Financeiros'!C311&lt;'Instrumentos Financeiros'!$F$72+'Instrumentos Financeiros'!$F$11+1),PMT(((1+'Instrumentos Financeiros'!$J$43)^(1/12)-1),$F$11,-'Instrumentos Financeiros'!$G$7*$G$72),0)</f>
        <v>0</v>
      </c>
      <c r="BE311" s="1312">
        <f t="shared" si="186"/>
        <v>0</v>
      </c>
      <c r="BF311" s="1312">
        <f>BG310*((1+'Instrumentos Financeiros'!$J$43)^(1/12)-1)</f>
        <v>0</v>
      </c>
      <c r="BG311" s="1312">
        <f t="shared" si="204"/>
        <v>0</v>
      </c>
      <c r="BH311" s="1312">
        <f>IF(AND(C311&gt;$F$73,'Instrumentos Financeiros'!C311&lt;'Instrumentos Financeiros'!$F$73+'Instrumentos Financeiros'!$F$11+1),PMT(((1+'Instrumentos Financeiros'!$J$43)^(1/12)-1),$F$11,-$I$73),0)</f>
        <v>0</v>
      </c>
      <c r="BI311" s="1312">
        <f t="shared" si="187"/>
        <v>0</v>
      </c>
      <c r="BJ311" s="1312">
        <f>BK310*((1+'Instrumentos Financeiros'!$J$43)^(1/12)-1)</f>
        <v>0</v>
      </c>
      <c r="BK311" s="1312">
        <f t="shared" si="205"/>
        <v>0</v>
      </c>
      <c r="BL311" s="1312">
        <f>IF(AND(C311&gt;$F$77,'Instrumentos Financeiros'!C311&lt;'Instrumentos Financeiros'!$F$77+'Instrumentos Financeiros'!$F$12+1),PMT(((1+'Instrumentos Financeiros'!$K$43)^(1/12)-1),$F$12,-$I$77),0)</f>
        <v>368.57912678094596</v>
      </c>
      <c r="BM311" s="1312">
        <f t="shared" si="206"/>
        <v>285.74184312282728</v>
      </c>
      <c r="BN311" s="1312">
        <f>BO310*((1+'Instrumentos Financeiros'!$K$43)^(1/12)-1)</f>
        <v>82.837283658118679</v>
      </c>
      <c r="BO311" s="1312">
        <f t="shared" si="207"/>
        <v>18871.76897027536</v>
      </c>
      <c r="BP311" s="1312">
        <f>IF(AND(C311&gt;$F$78,'Instrumentos Financeiros'!C311&lt;'Instrumentos Financeiros'!$F$78+'Instrumentos Financeiros'!$F$12+1),PMT(((1+'Instrumentos Financeiros'!$L$43)^(1/12)-1),$F$12,-$I$78),0)</f>
        <v>368.57912678094596</v>
      </c>
      <c r="BQ311" s="1312">
        <f t="shared" si="208"/>
        <v>282.06701636376795</v>
      </c>
      <c r="BR311" s="1312">
        <f>BS310*((1+'Instrumentos Financeiros'!$L$43)^(1/12)-1)</f>
        <v>86.512110417177993</v>
      </c>
      <c r="BS311" s="1312">
        <f t="shared" si="209"/>
        <v>19725.309102427542</v>
      </c>
      <c r="BT311" s="1312">
        <f>IF(AND(C311&gt;$F$79,'Instrumentos Financeiros'!C311&lt;'Instrumentos Financeiros'!$F$79+'Instrumentos Financeiros'!$F$12+1),PMT(((1+'Instrumentos Financeiros'!$L$43)^(1/12)-1),$F$12,-$I$79),0)</f>
        <v>368.57912678094596</v>
      </c>
      <c r="BU311" s="1312">
        <f t="shared" si="210"/>
        <v>278.43945027735469</v>
      </c>
      <c r="BV311" s="1312">
        <f>BW310*((1+'Instrumentos Financeiros'!$L$43)^(1/12)-1)</f>
        <v>90.139676503591261</v>
      </c>
      <c r="BW311" s="1312">
        <f t="shared" si="211"/>
        <v>20567.872150918174</v>
      </c>
      <c r="BX311" s="1312">
        <f>IF(AND(C311&gt;$F$80,'Instrumentos Financeiros'!C311&lt;'Instrumentos Financeiros'!$F$80+'Instrumentos Financeiros'!$F$12+1),PMT(((1+'Instrumentos Financeiros'!$L$43)^(1/12)-1),$F$12,-$I$80),0)</f>
        <v>368.57912678094596</v>
      </c>
      <c r="BY311" s="1312">
        <f t="shared" si="212"/>
        <v>274.85853706046487</v>
      </c>
      <c r="BZ311" s="1312">
        <f>CA310*((1+'Instrumentos Financeiros'!$L$43)^(1/12)-1)</f>
        <v>93.720589720481073</v>
      </c>
      <c r="CA311" s="1312">
        <f t="shared" si="213"/>
        <v>21399.599288213762</v>
      </c>
      <c r="CB311" s="1312">
        <f>IF(AND(C311&gt;$F$83,'Instrumentos Financeiros'!C311&lt;'Instrumentos Financeiros'!$F$83+'Instrumentos Financeiros'!$F$13+1),PMT(((1+'Instrumentos Financeiros'!$P$43)^(1/12)-1),$F$13,-$I$83),0)</f>
        <v>30503.390100238979</v>
      </c>
      <c r="CC311" s="1312">
        <f t="shared" si="214"/>
        <v>17333.023463194604</v>
      </c>
      <c r="CD311" s="1312">
        <f>CE310*((1+'Instrumentos Financeiros'!$P$43)^(1/12)-1)</f>
        <v>13170.366637044375</v>
      </c>
      <c r="CE311" s="1312">
        <f t="shared" si="215"/>
        <v>3028535.0944113815</v>
      </c>
      <c r="CF311" s="1312">
        <f>IF(AND(C311&gt;$F$84,'Instrumentos Financeiros'!C311&lt;'Instrumentos Financeiros'!$F$84+'Instrumentos Financeiros'!$F$13+1),PMT(((1+'Instrumentos Financeiros'!$Q$43)^(1/12)-1),$F$13,-$I$84),0)</f>
        <v>30503.390100238979</v>
      </c>
      <c r="CG311" s="1312">
        <f t="shared" si="216"/>
        <v>17110.109458924777</v>
      </c>
      <c r="CH311" s="1312">
        <f>CI310*((1+'Instrumentos Financeiros'!$Q$43)^(1/12)-1)</f>
        <v>13393.280641314203</v>
      </c>
      <c r="CI311" s="1312">
        <f t="shared" si="217"/>
        <v>3080310.6095955982</v>
      </c>
      <c r="CJ311" s="1312">
        <f>IF(AND(C311&gt;$F$85,'Instrumentos Financeiros'!C311&lt;'Instrumentos Financeiros'!$F$85+'Instrumentos Financeiros'!$F$13+1),PMT(((1+'Instrumentos Financeiros'!$Q$43)^(1/12)-1),$F$13,-$I$85),0)</f>
        <v>30503.390100238979</v>
      </c>
      <c r="CK311" s="1312">
        <f t="shared" si="218"/>
        <v>16890.062274365031</v>
      </c>
      <c r="CL311" s="1312">
        <f>CM310*((1+'Instrumentos Financeiros'!$Q$43)^(1/12)-1)</f>
        <v>13613.327825873948</v>
      </c>
      <c r="CM311" s="1312">
        <f t="shared" si="219"/>
        <v>3131420.2578329802</v>
      </c>
      <c r="CN311" s="1312">
        <f>IF(AND(C311&gt;$F$86,'Instrumentos Financeiros'!C311&lt;'Instrumentos Financeiros'!$F$86+'Instrumentos Financeiros'!$F$13+1),PMT(((1+'Instrumentos Financeiros'!$Q$43)^(1/12)-1),$F$13,-$I$86),0)</f>
        <v>30503.390100238979</v>
      </c>
      <c r="CO311" s="1312">
        <f t="shared" si="220"/>
        <v>16672.845040341192</v>
      </c>
      <c r="CP311" s="1312">
        <f>CQ310*((1+'Instrumentos Financeiros'!$Q$43)^(1/12)-1)</f>
        <v>13830.54505989779</v>
      </c>
      <c r="CQ311" s="1312">
        <f t="shared" si="221"/>
        <v>3181872.6026074318</v>
      </c>
      <c r="CR311" s="1312">
        <f t="shared" si="190"/>
        <v>521803.11063210916</v>
      </c>
      <c r="CS311" s="1312">
        <f t="shared" si="190"/>
        <v>396163.75514134299</v>
      </c>
      <c r="CT311" s="1312">
        <f t="shared" si="190"/>
        <v>125639.35549076623</v>
      </c>
      <c r="CU311" s="1312">
        <f t="shared" si="190"/>
        <v>28800361.89512876</v>
      </c>
    </row>
    <row r="312" spans="3:99" x14ac:dyDescent="0.35">
      <c r="C312" s="1315">
        <f t="shared" si="191"/>
        <v>219</v>
      </c>
      <c r="D312" s="1312">
        <f>IF(AND(C312&gt;$F$59,'Instrumentos Financeiros'!C312&lt;'Instrumentos Financeiros'!$F$59+'Instrumentos Financeiros'!$F$11+1),PMT(((1+'Instrumentos Financeiros'!$G$43)^(1/12)-1),$F$11,-$I$59),0)</f>
        <v>91768.589635900134</v>
      </c>
      <c r="E312" s="1312">
        <f t="shared" si="188"/>
        <v>81876.522135723106</v>
      </c>
      <c r="F312" s="1312">
        <f>G311*((1+'Instrumentos Financeiros'!$G$43)^(1/12)-1)</f>
        <v>9892.0675001770342</v>
      </c>
      <c r="G312" s="1312">
        <f t="shared" si="222"/>
        <v>2341580.3135675145</v>
      </c>
      <c r="H312" s="1312">
        <f>IF(AND(C312&gt;$F$60,'Instrumentos Financeiros'!C312&lt;'Instrumentos Financeiros'!$F$60+'Instrumentos Financeiros'!$F$11+1),PMT(((1+'Instrumentos Financeiros'!$G$43)^(1/12)-1),$F$11,-$I$60),0)</f>
        <v>0</v>
      </c>
      <c r="I312" s="1312">
        <f t="shared" si="174"/>
        <v>0</v>
      </c>
      <c r="J312" s="1312">
        <f>K311*((1+'Instrumentos Financeiros'!$G$43)^(1/12)-1)</f>
        <v>0</v>
      </c>
      <c r="K312" s="1312">
        <f t="shared" si="192"/>
        <v>0</v>
      </c>
      <c r="L312" s="1312">
        <f>IF(AND(C312&gt;$F$61,'Instrumentos Financeiros'!C312&lt;'Instrumentos Financeiros'!$F$61+'Instrumentos Financeiros'!$F$11+1),PMT(((1+'Instrumentos Financeiros'!$G$43)^(1/12)-1),$F$11,-$I$61),0)</f>
        <v>0</v>
      </c>
      <c r="M312" s="1312">
        <f t="shared" si="175"/>
        <v>0</v>
      </c>
      <c r="N312" s="1312">
        <f>O311*((1+'Instrumentos Financeiros'!$G$43)^(1/12)-1)</f>
        <v>0</v>
      </c>
      <c r="O312" s="1312">
        <f t="shared" si="193"/>
        <v>0</v>
      </c>
      <c r="P312" s="1312">
        <f>IF(AND(C312&gt;$F$62,'Instrumentos Financeiros'!C312&lt;'Instrumentos Financeiros'!$F$62+'Instrumentos Financeiros'!$F$11+1),PMT(((1+'Instrumentos Financeiros'!$H$43)^(1/12)-1),$F$11,-$I$62),0)</f>
        <v>0</v>
      </c>
      <c r="Q312" s="1312">
        <f t="shared" si="176"/>
        <v>0</v>
      </c>
      <c r="R312" s="1312">
        <f>S311*((1+'Instrumentos Financeiros'!$H$43)^(1/12)-1)</f>
        <v>0</v>
      </c>
      <c r="S312" s="1312">
        <f t="shared" si="194"/>
        <v>0</v>
      </c>
      <c r="T312" s="1312">
        <f>IF(AND(C312&gt;$F$63,'Instrumentos Financeiros'!C312&lt;'Instrumentos Financeiros'!$F$63+'Instrumentos Financeiros'!$F$11+1),PMT(((1+'Instrumentos Financeiros'!$H$43)^(1/12)-1),$F$11,-$I$63),0)</f>
        <v>0</v>
      </c>
      <c r="U312" s="1312">
        <f t="shared" si="177"/>
        <v>0</v>
      </c>
      <c r="V312" s="1312">
        <f>W311*((1+'Instrumentos Financeiros'!$H$43)^(1/12)-1)</f>
        <v>0</v>
      </c>
      <c r="W312" s="1312">
        <f t="shared" si="195"/>
        <v>0</v>
      </c>
      <c r="X312" s="1312">
        <f>IF(AND(C312&gt;$F$64,'Instrumentos Financeiros'!C312&lt;'Instrumentos Financeiros'!$F$64+'Instrumentos Financeiros'!$F$11+1),PMT(((1+'Instrumentos Financeiros'!$H$43)^(1/12)-1),$F$11,-$I$64),0)</f>
        <v>0</v>
      </c>
      <c r="Y312" s="1312">
        <f t="shared" si="178"/>
        <v>0</v>
      </c>
      <c r="Z312" s="1312">
        <f>AA311*((1+'Instrumentos Financeiros'!$H$43)^(1/12)-1)</f>
        <v>0</v>
      </c>
      <c r="AA312" s="1312">
        <f t="shared" si="196"/>
        <v>0</v>
      </c>
      <c r="AB312" s="1312">
        <f>IF(AND(C312&gt;$F$65,'Instrumentos Financeiros'!C312&lt;'Instrumentos Financeiros'!$F$65+'Instrumentos Financeiros'!$F$11+1),PMT(((1+'Instrumentos Financeiros'!$H$43)^(1/12)-1),$F$11,-$I$65),0)</f>
        <v>76636.661022032335</v>
      </c>
      <c r="AC312" s="1312">
        <f t="shared" si="179"/>
        <v>62840.50601767475</v>
      </c>
      <c r="AD312" s="1312">
        <f>AE311*((1+'Instrumentos Financeiros'!$H$43)^(1/12)-1)</f>
        <v>13796.155004357584</v>
      </c>
      <c r="AE312" s="1312">
        <f t="shared" si="197"/>
        <v>3127751.6646539494</v>
      </c>
      <c r="AF312" s="1312">
        <f>IF(AND(C312&gt;$F$66,'Instrumentos Financeiros'!C312&lt;'Instrumentos Financeiros'!$F$66+'Instrumentos Financeiros'!$F$11+1),PMT(((1+'Instrumentos Financeiros'!$I$43)^(1/12)-1),$F$11,-$I$66),0)</f>
        <v>76636.661022032335</v>
      </c>
      <c r="AG312" s="1312">
        <f t="shared" si="180"/>
        <v>62032.336060685593</v>
      </c>
      <c r="AH312" s="1312">
        <f>AI311*((1+'Instrumentos Financeiros'!$I$43)^(1/12)-1)</f>
        <v>14604.324961346741</v>
      </c>
      <c r="AI312" s="1312">
        <f t="shared" si="198"/>
        <v>3315462.6880891132</v>
      </c>
      <c r="AJ312" s="1312">
        <f>IF(AND(C312&gt;$F$67,'Instrumentos Financeiros'!C312&lt;'Instrumentos Financeiros'!$F$67+'Instrumentos Financeiros'!$F$11+1),PMT(((1+'Instrumentos Financeiros'!$I$43)^(1/12)-1),$F$11,-$I$67),0)</f>
        <v>76636.661022032335</v>
      </c>
      <c r="AK312" s="1312">
        <f t="shared" si="181"/>
        <v>61234.559697268007</v>
      </c>
      <c r="AL312" s="1312">
        <f>AM311*((1+'Instrumentos Financeiros'!$I$43)^(1/12)-1)</f>
        <v>15402.101324764326</v>
      </c>
      <c r="AM312" s="1312">
        <f t="shared" si="199"/>
        <v>3500759.6251435387</v>
      </c>
      <c r="AN312" s="1312">
        <f>IF(AND(C312&gt;$F$68,'Instrumentos Financeiros'!C312&lt;'Instrumentos Financeiros'!$F$68+'Instrumentos Financeiros'!$F$11+1),PMT(((1+'Instrumentos Financeiros'!$I$43)^(1/12)-1),$F$11,-$I$68),0)</f>
        <v>76636.661022032335</v>
      </c>
      <c r="AO312" s="1312">
        <f t="shared" si="182"/>
        <v>60447.043259019214</v>
      </c>
      <c r="AP312" s="1312">
        <f>AQ311*((1+'Instrumentos Financeiros'!$I$43)^(1/12)-1)</f>
        <v>16189.617763013121</v>
      </c>
      <c r="AQ312" s="1312">
        <f t="shared" si="200"/>
        <v>3683673.5225450471</v>
      </c>
      <c r="AR312" s="1312">
        <f>IF(AND(C312&gt;$F$69,'Instrumentos Financeiros'!C312&lt;'Instrumentos Financeiros'!$F$69+'Instrumentos Financeiros'!$F$11+1),PMT(((1+'Instrumentos Financeiros'!$I$43)^(1/12)-1),$F$11,-$I$69),0)</f>
        <v>0</v>
      </c>
      <c r="AS312" s="1312">
        <f t="shared" si="183"/>
        <v>0</v>
      </c>
      <c r="AT312" s="1312">
        <f>AU311*((1+'Instrumentos Financeiros'!$I$43)^(1/12)-1)</f>
        <v>0</v>
      </c>
      <c r="AU312" s="1312">
        <f t="shared" si="201"/>
        <v>0</v>
      </c>
      <c r="AV312" s="1312">
        <f>IF(AND(C312&gt;$F$70,'Instrumentos Financeiros'!C312&lt;'Instrumentos Financeiros'!$F$70+'Instrumentos Financeiros'!$F$11+1),PMT(((1+'Instrumentos Financeiros'!$J$43)^(1/12)-1),$F$11,-$I$70),0)</f>
        <v>0</v>
      </c>
      <c r="AW312" s="1312">
        <f t="shared" si="184"/>
        <v>0</v>
      </c>
      <c r="AX312" s="1312">
        <f>AY311*((1+'Instrumentos Financeiros'!$J$43)^(1/12)-1)</f>
        <v>0</v>
      </c>
      <c r="AY312" s="1312">
        <f t="shared" si="202"/>
        <v>0</v>
      </c>
      <c r="AZ312" s="1312">
        <f>IF(AND(C312&gt;$F$71,'Instrumentos Financeiros'!C312&lt;'Instrumentos Financeiros'!$F$71+'Instrumentos Financeiros'!$F$11+1),PMT(((1+'Instrumentos Financeiros'!$J$43)^(1/12)-1),$F$11,-$I$71),0)</f>
        <v>0</v>
      </c>
      <c r="BA312" s="1312">
        <f t="shared" si="185"/>
        <v>0</v>
      </c>
      <c r="BB312" s="1312">
        <f>BC311*((1+'Instrumentos Financeiros'!$J$43)^(1/12)-1)</f>
        <v>0</v>
      </c>
      <c r="BC312" s="1312">
        <f t="shared" si="203"/>
        <v>0</v>
      </c>
      <c r="BD312" s="1312">
        <f>IF(AND(C312&gt;$F$72,'Instrumentos Financeiros'!C312&lt;'Instrumentos Financeiros'!$F$72+'Instrumentos Financeiros'!$F$11+1),PMT(((1+'Instrumentos Financeiros'!$J$43)^(1/12)-1),$F$11,-'Instrumentos Financeiros'!$G$7*$G$72),0)</f>
        <v>0</v>
      </c>
      <c r="BE312" s="1312">
        <f t="shared" si="186"/>
        <v>0</v>
      </c>
      <c r="BF312" s="1312">
        <f>BG311*((1+'Instrumentos Financeiros'!$J$43)^(1/12)-1)</f>
        <v>0</v>
      </c>
      <c r="BG312" s="1312">
        <f t="shared" si="204"/>
        <v>0</v>
      </c>
      <c r="BH312" s="1312">
        <f>IF(AND(C312&gt;$F$73,'Instrumentos Financeiros'!C312&lt;'Instrumentos Financeiros'!$F$73+'Instrumentos Financeiros'!$F$11+1),PMT(((1+'Instrumentos Financeiros'!$J$43)^(1/12)-1),$F$11,-$I$73),0)</f>
        <v>0</v>
      </c>
      <c r="BI312" s="1312">
        <f t="shared" si="187"/>
        <v>0</v>
      </c>
      <c r="BJ312" s="1312">
        <f>BK311*((1+'Instrumentos Financeiros'!$J$43)^(1/12)-1)</f>
        <v>0</v>
      </c>
      <c r="BK312" s="1312">
        <f t="shared" si="205"/>
        <v>0</v>
      </c>
      <c r="BL312" s="1312">
        <f>IF(AND(C312&gt;$F$77,'Instrumentos Financeiros'!C312&lt;'Instrumentos Financeiros'!$F$77+'Instrumentos Financeiros'!$F$12+1),PMT(((1+'Instrumentos Financeiros'!$K$43)^(1/12)-1),$F$12,-$I$77),0)</f>
        <v>368.57912678094596</v>
      </c>
      <c r="BM312" s="1312">
        <f t="shared" si="206"/>
        <v>286.97739393850031</v>
      </c>
      <c r="BN312" s="1312">
        <f>BO311*((1+'Instrumentos Financeiros'!$K$43)^(1/12)-1)</f>
        <v>81.601732842445628</v>
      </c>
      <c r="BO312" s="1312">
        <f t="shared" si="207"/>
        <v>18584.791576336858</v>
      </c>
      <c r="BP312" s="1312">
        <f>IF(AND(C312&gt;$F$78,'Instrumentos Financeiros'!C312&lt;'Instrumentos Financeiros'!$F$78+'Instrumentos Financeiros'!$F$12+1),PMT(((1+'Instrumentos Financeiros'!$L$43)^(1/12)-1),$F$12,-$I$78),0)</f>
        <v>368.57912678094596</v>
      </c>
      <c r="BQ312" s="1312">
        <f t="shared" si="208"/>
        <v>283.28667718884674</v>
      </c>
      <c r="BR312" s="1312">
        <f>BS311*((1+'Instrumentos Financeiros'!$L$43)^(1/12)-1)</f>
        <v>85.292449592099217</v>
      </c>
      <c r="BS312" s="1312">
        <f t="shared" si="209"/>
        <v>19442.022425238694</v>
      </c>
      <c r="BT312" s="1312">
        <f>IF(AND(C312&gt;$F$79,'Instrumentos Financeiros'!C312&lt;'Instrumentos Financeiros'!$F$79+'Instrumentos Financeiros'!$F$12+1),PMT(((1+'Instrumentos Financeiros'!$L$43)^(1/12)-1),$F$12,-$I$79),0)</f>
        <v>368.57912678094596</v>
      </c>
      <c r="BU312" s="1312">
        <f t="shared" si="210"/>
        <v>279.6434254674981</v>
      </c>
      <c r="BV312" s="1312">
        <f>BW311*((1+'Instrumentos Financeiros'!$L$43)^(1/12)-1)</f>
        <v>88.935701313447836</v>
      </c>
      <c r="BW312" s="1312">
        <f t="shared" si="211"/>
        <v>20288.228725450677</v>
      </c>
      <c r="BX312" s="1312">
        <f>IF(AND(C312&gt;$F$80,'Instrumentos Financeiros'!C312&lt;'Instrumentos Financeiros'!$F$80+'Instrumentos Financeiros'!$F$12+1),PMT(((1+'Instrumentos Financeiros'!$L$43)^(1/12)-1),$F$12,-$I$80),0)</f>
        <v>368.57912678094596</v>
      </c>
      <c r="BY312" s="1312">
        <f t="shared" si="212"/>
        <v>276.04702834318465</v>
      </c>
      <c r="BZ312" s="1312">
        <f>CA311*((1+'Instrumentos Financeiros'!$L$43)^(1/12)-1)</f>
        <v>92.53209843776132</v>
      </c>
      <c r="CA312" s="1312">
        <f t="shared" si="213"/>
        <v>21123.552259870576</v>
      </c>
      <c r="CB312" s="1312">
        <f>IF(AND(C312&gt;$F$83,'Instrumentos Financeiros'!C312&lt;'Instrumentos Financeiros'!$F$83+'Instrumentos Financeiros'!$F$13+1),PMT(((1+'Instrumentos Financeiros'!$P$43)^(1/12)-1),$F$13,-$I$83),0)</f>
        <v>30503.390100238979</v>
      </c>
      <c r="CC312" s="1312">
        <f t="shared" si="214"/>
        <v>17407.971643845995</v>
      </c>
      <c r="CD312" s="1312">
        <f>CE311*((1+'Instrumentos Financeiros'!$P$43)^(1/12)-1)</f>
        <v>13095.418456392987</v>
      </c>
      <c r="CE312" s="1312">
        <f t="shared" si="215"/>
        <v>3011127.1227675355</v>
      </c>
      <c r="CF312" s="1312">
        <f>IF(AND(C312&gt;$F$84,'Instrumentos Financeiros'!C312&lt;'Instrumentos Financeiros'!$F$84+'Instrumentos Financeiros'!$F$13+1),PMT(((1+'Instrumentos Financeiros'!$Q$43)^(1/12)-1),$F$13,-$I$84),0)</f>
        <v>30503.390100238979</v>
      </c>
      <c r="CG312" s="1312">
        <f t="shared" si="216"/>
        <v>17184.093757014234</v>
      </c>
      <c r="CH312" s="1312">
        <f>CI311*((1+'Instrumentos Financeiros'!$Q$43)^(1/12)-1)</f>
        <v>13319.296343224747</v>
      </c>
      <c r="CI312" s="1312">
        <f t="shared" si="217"/>
        <v>3063126.5158385839</v>
      </c>
      <c r="CJ312" s="1312">
        <f>IF(AND(C312&gt;$F$85,'Instrumentos Financeiros'!C312&lt;'Instrumentos Financeiros'!$F$85+'Instrumentos Financeiros'!$F$13+1),PMT(((1+'Instrumentos Financeiros'!$Q$43)^(1/12)-1),$F$13,-$I$85),0)</f>
        <v>30503.390100238979</v>
      </c>
      <c r="CK312" s="1312">
        <f t="shared" si="218"/>
        <v>16963.095086051944</v>
      </c>
      <c r="CL312" s="1312">
        <f>CM311*((1+'Instrumentos Financeiros'!$Q$43)^(1/12)-1)</f>
        <v>13540.295014187037</v>
      </c>
      <c r="CM312" s="1312">
        <f t="shared" si="219"/>
        <v>3114457.1627469282</v>
      </c>
      <c r="CN312" s="1312">
        <f>IF(AND(C312&gt;$F$86,'Instrumentos Financeiros'!C312&lt;'Instrumentos Financeiros'!$F$86+'Instrumentos Financeiros'!$F$13+1),PMT(((1+'Instrumentos Financeiros'!$Q$43)^(1/12)-1),$F$13,-$I$86),0)</f>
        <v>30503.390100238979</v>
      </c>
      <c r="CO312" s="1312">
        <f t="shared" si="220"/>
        <v>16744.938602362236</v>
      </c>
      <c r="CP312" s="1312">
        <f>CQ311*((1+'Instrumentos Financeiros'!$Q$43)^(1/12)-1)</f>
        <v>13758.451497876742</v>
      </c>
      <c r="CQ312" s="1312">
        <f t="shared" si="221"/>
        <v>3165127.6640050695</v>
      </c>
      <c r="CR312" s="1312">
        <f t="shared" si="190"/>
        <v>521803.11063210916</v>
      </c>
      <c r="CS312" s="1312">
        <f t="shared" si="190"/>
        <v>397857.02078458318</v>
      </c>
      <c r="CT312" s="1312">
        <f t="shared" si="190"/>
        <v>123946.08984752609</v>
      </c>
      <c r="CU312" s="1312">
        <f t="shared" si="190"/>
        <v>28402504.874344178</v>
      </c>
    </row>
    <row r="313" spans="3:99" x14ac:dyDescent="0.35">
      <c r="C313" s="1315">
        <f t="shared" si="191"/>
        <v>220</v>
      </c>
      <c r="D313" s="1312">
        <f>IF(AND(C313&gt;$F$59,'Instrumentos Financeiros'!C313&lt;'Instrumentos Financeiros'!$F$59+'Instrumentos Financeiros'!$F$11+1),PMT(((1+'Instrumentos Financeiros'!$G$43)^(1/12)-1),$F$11,-$I$59),0)</f>
        <v>91768.589635900134</v>
      </c>
      <c r="E313" s="1312">
        <f t="shared" si="188"/>
        <v>82210.725770677163</v>
      </c>
      <c r="F313" s="1312">
        <f>G312*((1+'Instrumentos Financeiros'!$G$43)^(1/12)-1)</f>
        <v>9557.8638652229656</v>
      </c>
      <c r="G313" s="1312">
        <f t="shared" si="222"/>
        <v>2259369.5877968376</v>
      </c>
      <c r="H313" s="1312">
        <f>IF(AND(C313&gt;$F$60,'Instrumentos Financeiros'!C313&lt;'Instrumentos Financeiros'!$F$60+'Instrumentos Financeiros'!$F$11+1),PMT(((1+'Instrumentos Financeiros'!$G$43)^(1/12)-1),$F$11,-$I$60),0)</f>
        <v>0</v>
      </c>
      <c r="I313" s="1312">
        <f t="shared" si="174"/>
        <v>0</v>
      </c>
      <c r="J313" s="1312">
        <f>K312*((1+'Instrumentos Financeiros'!$G$43)^(1/12)-1)</f>
        <v>0</v>
      </c>
      <c r="K313" s="1312">
        <f t="shared" si="192"/>
        <v>0</v>
      </c>
      <c r="L313" s="1312">
        <f>IF(AND(C313&gt;$F$61,'Instrumentos Financeiros'!C313&lt;'Instrumentos Financeiros'!$F$61+'Instrumentos Financeiros'!$F$11+1),PMT(((1+'Instrumentos Financeiros'!$G$43)^(1/12)-1),$F$11,-$I$61),0)</f>
        <v>0</v>
      </c>
      <c r="M313" s="1312">
        <f t="shared" si="175"/>
        <v>0</v>
      </c>
      <c r="N313" s="1312">
        <f>O312*((1+'Instrumentos Financeiros'!$G$43)^(1/12)-1)</f>
        <v>0</v>
      </c>
      <c r="O313" s="1312">
        <f t="shared" si="193"/>
        <v>0</v>
      </c>
      <c r="P313" s="1312">
        <f>IF(AND(C313&gt;$F$62,'Instrumentos Financeiros'!C313&lt;'Instrumentos Financeiros'!$F$62+'Instrumentos Financeiros'!$F$11+1),PMT(((1+'Instrumentos Financeiros'!$H$43)^(1/12)-1),$F$11,-$I$62),0)</f>
        <v>0</v>
      </c>
      <c r="Q313" s="1312">
        <f t="shared" si="176"/>
        <v>0</v>
      </c>
      <c r="R313" s="1312">
        <f>S312*((1+'Instrumentos Financeiros'!$H$43)^(1/12)-1)</f>
        <v>0</v>
      </c>
      <c r="S313" s="1312">
        <f t="shared" si="194"/>
        <v>0</v>
      </c>
      <c r="T313" s="1312">
        <f>IF(AND(C313&gt;$F$63,'Instrumentos Financeiros'!C313&lt;'Instrumentos Financeiros'!$F$63+'Instrumentos Financeiros'!$F$11+1),PMT(((1+'Instrumentos Financeiros'!$H$43)^(1/12)-1),$F$11,-$I$63),0)</f>
        <v>0</v>
      </c>
      <c r="U313" s="1312">
        <f t="shared" si="177"/>
        <v>0</v>
      </c>
      <c r="V313" s="1312">
        <f>W312*((1+'Instrumentos Financeiros'!$H$43)^(1/12)-1)</f>
        <v>0</v>
      </c>
      <c r="W313" s="1312">
        <f t="shared" si="195"/>
        <v>0</v>
      </c>
      <c r="X313" s="1312">
        <f>IF(AND(C313&gt;$F$64,'Instrumentos Financeiros'!C313&lt;'Instrumentos Financeiros'!$F$64+'Instrumentos Financeiros'!$F$11+1),PMT(((1+'Instrumentos Financeiros'!$H$43)^(1/12)-1),$F$11,-$I$64),0)</f>
        <v>0</v>
      </c>
      <c r="Y313" s="1312">
        <f t="shared" si="178"/>
        <v>0</v>
      </c>
      <c r="Z313" s="1312">
        <f>AA312*((1+'Instrumentos Financeiros'!$H$43)^(1/12)-1)</f>
        <v>0</v>
      </c>
      <c r="AA313" s="1312">
        <f t="shared" si="196"/>
        <v>0</v>
      </c>
      <c r="AB313" s="1312">
        <f>IF(AND(C313&gt;$F$65,'Instrumentos Financeiros'!C313&lt;'Instrumentos Financeiros'!$F$65+'Instrumentos Financeiros'!$F$11+1),PMT(((1+'Instrumentos Financeiros'!$H$43)^(1/12)-1),$F$11,-$I$65),0)</f>
        <v>76636.661022032335</v>
      </c>
      <c r="AC313" s="1312">
        <f t="shared" si="179"/>
        <v>63112.229044372209</v>
      </c>
      <c r="AD313" s="1312">
        <f>AE312*((1+'Instrumentos Financeiros'!$H$43)^(1/12)-1)</f>
        <v>13524.431977660126</v>
      </c>
      <c r="AE313" s="1312">
        <f t="shared" si="197"/>
        <v>3064639.4356095772</v>
      </c>
      <c r="AF313" s="1312">
        <f>IF(AND(C313&gt;$F$66,'Instrumentos Financeiros'!C313&lt;'Instrumentos Financeiros'!$F$66+'Instrumentos Financeiros'!$F$11+1),PMT(((1+'Instrumentos Financeiros'!$I$43)^(1/12)-1),$F$11,-$I$66),0)</f>
        <v>76636.661022032335</v>
      </c>
      <c r="AG313" s="1312">
        <f t="shared" si="180"/>
        <v>62300.564551760799</v>
      </c>
      <c r="AH313" s="1312">
        <f>AI312*((1+'Instrumentos Financeiros'!$I$43)^(1/12)-1)</f>
        <v>14336.096470271536</v>
      </c>
      <c r="AI313" s="1312">
        <f t="shared" si="198"/>
        <v>3253162.1235373523</v>
      </c>
      <c r="AJ313" s="1312">
        <f>IF(AND(C313&gt;$F$67,'Instrumentos Financeiros'!C313&lt;'Instrumentos Financeiros'!$F$67+'Instrumentos Financeiros'!$F$11+1),PMT(((1+'Instrumentos Financeiros'!$I$43)^(1/12)-1),$F$11,-$I$67),0)</f>
        <v>76636.661022032335</v>
      </c>
      <c r="AK313" s="1312">
        <f t="shared" si="181"/>
        <v>61499.338594731817</v>
      </c>
      <c r="AL313" s="1312">
        <f>AM312*((1+'Instrumentos Financeiros'!$I$43)^(1/12)-1)</f>
        <v>15137.322427300516</v>
      </c>
      <c r="AM313" s="1312">
        <f t="shared" si="199"/>
        <v>3439260.2865488068</v>
      </c>
      <c r="AN313" s="1312">
        <f>IF(AND(C313&gt;$F$68,'Instrumentos Financeiros'!C313&lt;'Instrumentos Financeiros'!$F$68+'Instrumentos Financeiros'!$F$11+1),PMT(((1+'Instrumentos Financeiros'!$I$43)^(1/12)-1),$F$11,-$I$68),0)</f>
        <v>76636.661022032335</v>
      </c>
      <c r="AO313" s="1312">
        <f t="shared" si="182"/>
        <v>60708.416926898863</v>
      </c>
      <c r="AP313" s="1312">
        <f>AQ312*((1+'Instrumentos Financeiros'!$I$43)^(1/12)-1)</f>
        <v>15928.24409513347</v>
      </c>
      <c r="AQ313" s="1312">
        <f t="shared" si="200"/>
        <v>3622965.1056181481</v>
      </c>
      <c r="AR313" s="1312">
        <f>IF(AND(C313&gt;$F$69,'Instrumentos Financeiros'!C313&lt;'Instrumentos Financeiros'!$F$69+'Instrumentos Financeiros'!$F$11+1),PMT(((1+'Instrumentos Financeiros'!$I$43)^(1/12)-1),$F$11,-$I$69),0)</f>
        <v>0</v>
      </c>
      <c r="AS313" s="1312">
        <f t="shared" si="183"/>
        <v>0</v>
      </c>
      <c r="AT313" s="1312">
        <f>AU312*((1+'Instrumentos Financeiros'!$I$43)^(1/12)-1)</f>
        <v>0</v>
      </c>
      <c r="AU313" s="1312">
        <f t="shared" si="201"/>
        <v>0</v>
      </c>
      <c r="AV313" s="1312">
        <f>IF(AND(C313&gt;$F$70,'Instrumentos Financeiros'!C313&lt;'Instrumentos Financeiros'!$F$70+'Instrumentos Financeiros'!$F$11+1),PMT(((1+'Instrumentos Financeiros'!$J$43)^(1/12)-1),$F$11,-$I$70),0)</f>
        <v>0</v>
      </c>
      <c r="AW313" s="1312">
        <f t="shared" si="184"/>
        <v>0</v>
      </c>
      <c r="AX313" s="1312">
        <f>AY312*((1+'Instrumentos Financeiros'!$J$43)^(1/12)-1)</f>
        <v>0</v>
      </c>
      <c r="AY313" s="1312">
        <f t="shared" si="202"/>
        <v>0</v>
      </c>
      <c r="AZ313" s="1312">
        <f>IF(AND(C313&gt;$F$71,'Instrumentos Financeiros'!C313&lt;'Instrumentos Financeiros'!$F$71+'Instrumentos Financeiros'!$F$11+1),PMT(((1+'Instrumentos Financeiros'!$J$43)^(1/12)-1),$F$11,-$I$71),0)</f>
        <v>0</v>
      </c>
      <c r="BA313" s="1312">
        <f t="shared" si="185"/>
        <v>0</v>
      </c>
      <c r="BB313" s="1312">
        <f>BC312*((1+'Instrumentos Financeiros'!$J$43)^(1/12)-1)</f>
        <v>0</v>
      </c>
      <c r="BC313" s="1312">
        <f t="shared" si="203"/>
        <v>0</v>
      </c>
      <c r="BD313" s="1312">
        <f>IF(AND(C313&gt;$F$72,'Instrumentos Financeiros'!C313&lt;'Instrumentos Financeiros'!$F$72+'Instrumentos Financeiros'!$F$11+1),PMT(((1+'Instrumentos Financeiros'!$J$43)^(1/12)-1),$F$11,-'Instrumentos Financeiros'!$G$7*$G$72),0)</f>
        <v>0</v>
      </c>
      <c r="BE313" s="1312">
        <f t="shared" si="186"/>
        <v>0</v>
      </c>
      <c r="BF313" s="1312">
        <f>BG312*((1+'Instrumentos Financeiros'!$J$43)^(1/12)-1)</f>
        <v>0</v>
      </c>
      <c r="BG313" s="1312">
        <f t="shared" si="204"/>
        <v>0</v>
      </c>
      <c r="BH313" s="1312">
        <f>IF(AND(C313&gt;$F$73,'Instrumentos Financeiros'!C313&lt;'Instrumentos Financeiros'!$F$73+'Instrumentos Financeiros'!$F$11+1),PMT(((1+'Instrumentos Financeiros'!$J$43)^(1/12)-1),$F$11,-$I$73),0)</f>
        <v>0</v>
      </c>
      <c r="BI313" s="1312">
        <f t="shared" si="187"/>
        <v>0</v>
      </c>
      <c r="BJ313" s="1312">
        <f>BK312*((1+'Instrumentos Financeiros'!$J$43)^(1/12)-1)</f>
        <v>0</v>
      </c>
      <c r="BK313" s="1312">
        <f t="shared" si="205"/>
        <v>0</v>
      </c>
      <c r="BL313" s="1312">
        <f>IF(AND(C313&gt;$F$77,'Instrumentos Financeiros'!C313&lt;'Instrumentos Financeiros'!$F$77+'Instrumentos Financeiros'!$F$12+1),PMT(((1+'Instrumentos Financeiros'!$K$43)^(1/12)-1),$F$12,-$I$77),0)</f>
        <v>368.57912678094596</v>
      </c>
      <c r="BM313" s="1312">
        <f t="shared" si="206"/>
        <v>288.2182872892443</v>
      </c>
      <c r="BN313" s="1312">
        <f>BO312*((1+'Instrumentos Financeiros'!$K$43)^(1/12)-1)</f>
        <v>80.360839491701668</v>
      </c>
      <c r="BO313" s="1312">
        <f t="shared" si="207"/>
        <v>18296.573289047614</v>
      </c>
      <c r="BP313" s="1312">
        <f>IF(AND(C313&gt;$F$78,'Instrumentos Financeiros'!C313&lt;'Instrumentos Financeiros'!$F$78+'Instrumentos Financeiros'!$F$12+1),PMT(((1+'Instrumentos Financeiros'!$L$43)^(1/12)-1),$F$12,-$I$78),0)</f>
        <v>368.57912678094596</v>
      </c>
      <c r="BQ313" s="1312">
        <f t="shared" si="208"/>
        <v>284.51161184050545</v>
      </c>
      <c r="BR313" s="1312">
        <f>BS312*((1+'Instrumentos Financeiros'!$L$43)^(1/12)-1)</f>
        <v>84.067514940440475</v>
      </c>
      <c r="BS313" s="1312">
        <f t="shared" si="209"/>
        <v>19157.510813398188</v>
      </c>
      <c r="BT313" s="1312">
        <f>IF(AND(C313&gt;$F$79,'Instrumentos Financeiros'!C313&lt;'Instrumentos Financeiros'!$F$79+'Instrumentos Financeiros'!$F$12+1),PMT(((1+'Instrumentos Financeiros'!$L$43)^(1/12)-1),$F$12,-$I$79),0)</f>
        <v>368.57912678094596</v>
      </c>
      <c r="BU313" s="1312">
        <f t="shared" si="210"/>
        <v>280.85260665936664</v>
      </c>
      <c r="BV313" s="1312">
        <f>BW312*((1+'Instrumentos Financeiros'!$L$43)^(1/12)-1)</f>
        <v>87.726520121579313</v>
      </c>
      <c r="BW313" s="1312">
        <f t="shared" si="211"/>
        <v>20007.376118791311</v>
      </c>
      <c r="BX313" s="1312">
        <f>IF(AND(C313&gt;$F$80,'Instrumentos Financeiros'!C313&lt;'Instrumentos Financeiros'!$F$80+'Instrumentos Financeiros'!$F$12+1),PMT(((1+'Instrumentos Financeiros'!$L$43)^(1/12)-1),$F$12,-$I$80),0)</f>
        <v>368.57912678094596</v>
      </c>
      <c r="BY313" s="1312">
        <f t="shared" si="212"/>
        <v>277.24065867504657</v>
      </c>
      <c r="BZ313" s="1312">
        <f>CA312*((1+'Instrumentos Financeiros'!$L$43)^(1/12)-1)</f>
        <v>91.338468105899366</v>
      </c>
      <c r="CA313" s="1312">
        <f t="shared" si="213"/>
        <v>20846.311601195528</v>
      </c>
      <c r="CB313" s="1312">
        <f>IF(AND(C313&gt;$F$83,'Instrumentos Financeiros'!C313&lt;'Instrumentos Financeiros'!$F$83+'Instrumentos Financeiros'!$F$13+1),PMT(((1+'Instrumentos Financeiros'!$P$43)^(1/12)-1),$F$13,-$I$83),0)</f>
        <v>30503.390100238979</v>
      </c>
      <c r="CC313" s="1312">
        <f t="shared" si="214"/>
        <v>17483.243901239955</v>
      </c>
      <c r="CD313" s="1312">
        <f>CE312*((1+'Instrumentos Financeiros'!$P$43)^(1/12)-1)</f>
        <v>13020.146198999022</v>
      </c>
      <c r="CE313" s="1312">
        <f t="shared" si="215"/>
        <v>2993643.8788662953</v>
      </c>
      <c r="CF313" s="1312">
        <f>IF(AND(C313&gt;$F$84,'Instrumentos Financeiros'!C313&lt;'Instrumentos Financeiros'!$F$84+'Instrumentos Financeiros'!$F$13+1),PMT(((1+'Instrumentos Financeiros'!$Q$43)^(1/12)-1),$F$13,-$I$84),0)</f>
        <v>30503.390100238979</v>
      </c>
      <c r="CG313" s="1312">
        <f t="shared" si="216"/>
        <v>17258.397964007658</v>
      </c>
      <c r="CH313" s="1312">
        <f>CI312*((1+'Instrumentos Financeiros'!$Q$43)^(1/12)-1)</f>
        <v>13244.992136231323</v>
      </c>
      <c r="CI313" s="1312">
        <f t="shared" si="217"/>
        <v>3045868.1178745762</v>
      </c>
      <c r="CJ313" s="1312">
        <f>IF(AND(C313&gt;$F$85,'Instrumentos Financeiros'!C313&lt;'Instrumentos Financeiros'!$F$85+'Instrumentos Financeiros'!$F$13+1),PMT(((1+'Instrumentos Financeiros'!$Q$43)^(1/12)-1),$F$13,-$I$85),0)</f>
        <v>30503.390100238979</v>
      </c>
      <c r="CK313" s="1312">
        <f t="shared" si="218"/>
        <v>17036.443692405344</v>
      </c>
      <c r="CL313" s="1312">
        <f>CM312*((1+'Instrumentos Financeiros'!$Q$43)^(1/12)-1)</f>
        <v>13466.946407833637</v>
      </c>
      <c r="CM313" s="1312">
        <f t="shared" si="219"/>
        <v>3097420.7190545229</v>
      </c>
      <c r="CN313" s="1312">
        <f>IF(AND(C313&gt;$F$86,'Instrumentos Financeiros'!C313&lt;'Instrumentos Financeiros'!$F$86+'Instrumentos Financeiros'!$F$13+1),PMT(((1+'Instrumentos Financeiros'!$Q$43)^(1/12)-1),$F$13,-$I$86),0)</f>
        <v>30503.390100238979</v>
      </c>
      <c r="CO313" s="1312">
        <f t="shared" si="220"/>
        <v>16817.343897724073</v>
      </c>
      <c r="CP313" s="1312">
        <f>CQ312*((1+'Instrumentos Financeiros'!$Q$43)^(1/12)-1)</f>
        <v>13686.046202514905</v>
      </c>
      <c r="CQ313" s="1312">
        <f t="shared" si="221"/>
        <v>3148310.3201073455</v>
      </c>
      <c r="CR313" s="1312">
        <f t="shared" si="190"/>
        <v>521803.11063210916</v>
      </c>
      <c r="CS313" s="1312">
        <f t="shared" si="190"/>
        <v>399557.52750828199</v>
      </c>
      <c r="CT313" s="1312">
        <f t="shared" si="190"/>
        <v>122245.58312382709</v>
      </c>
      <c r="CU313" s="1312">
        <f t="shared" si="190"/>
        <v>28002947.346835896</v>
      </c>
    </row>
    <row r="314" spans="3:99" x14ac:dyDescent="0.35">
      <c r="C314" s="1315">
        <f t="shared" si="191"/>
        <v>221</v>
      </c>
      <c r="D314" s="1312">
        <f>IF(AND(C314&gt;$F$59,'Instrumentos Financeiros'!C314&lt;'Instrumentos Financeiros'!$F$59+'Instrumentos Financeiros'!$F$11+1),PMT(((1+'Instrumentos Financeiros'!$G$43)^(1/12)-1),$F$11,-$I$59),0)</f>
        <v>91768.589635900134</v>
      </c>
      <c r="E314" s="1312">
        <f t="shared" si="188"/>
        <v>82546.293558219826</v>
      </c>
      <c r="F314" s="1312">
        <f>G313*((1+'Instrumentos Financeiros'!$G$43)^(1/12)-1)</f>
        <v>9222.2960776803011</v>
      </c>
      <c r="G314" s="1312">
        <f t="shared" si="222"/>
        <v>2176823.2942386176</v>
      </c>
      <c r="H314" s="1312">
        <f>IF(AND(C314&gt;$F$60,'Instrumentos Financeiros'!C314&lt;'Instrumentos Financeiros'!$F$60+'Instrumentos Financeiros'!$F$11+1),PMT(((1+'Instrumentos Financeiros'!$G$43)^(1/12)-1),$F$11,-$I$60),0)</f>
        <v>0</v>
      </c>
      <c r="I314" s="1312">
        <f t="shared" si="174"/>
        <v>0</v>
      </c>
      <c r="J314" s="1312">
        <f>K313*((1+'Instrumentos Financeiros'!$G$43)^(1/12)-1)</f>
        <v>0</v>
      </c>
      <c r="K314" s="1312">
        <f t="shared" si="192"/>
        <v>0</v>
      </c>
      <c r="L314" s="1312">
        <f>IF(AND(C314&gt;$F$61,'Instrumentos Financeiros'!C314&lt;'Instrumentos Financeiros'!$F$61+'Instrumentos Financeiros'!$F$11+1),PMT(((1+'Instrumentos Financeiros'!$G$43)^(1/12)-1),$F$11,-$I$61),0)</f>
        <v>0</v>
      </c>
      <c r="M314" s="1312">
        <f t="shared" si="175"/>
        <v>0</v>
      </c>
      <c r="N314" s="1312">
        <f>O313*((1+'Instrumentos Financeiros'!$G$43)^(1/12)-1)</f>
        <v>0</v>
      </c>
      <c r="O314" s="1312">
        <f t="shared" si="193"/>
        <v>0</v>
      </c>
      <c r="P314" s="1312">
        <f>IF(AND(C314&gt;$F$62,'Instrumentos Financeiros'!C314&lt;'Instrumentos Financeiros'!$F$62+'Instrumentos Financeiros'!$F$11+1),PMT(((1+'Instrumentos Financeiros'!$H$43)^(1/12)-1),$F$11,-$I$62),0)</f>
        <v>0</v>
      </c>
      <c r="Q314" s="1312">
        <f t="shared" si="176"/>
        <v>0</v>
      </c>
      <c r="R314" s="1312">
        <f>S313*((1+'Instrumentos Financeiros'!$H$43)^(1/12)-1)</f>
        <v>0</v>
      </c>
      <c r="S314" s="1312">
        <f t="shared" si="194"/>
        <v>0</v>
      </c>
      <c r="T314" s="1312">
        <f>IF(AND(C314&gt;$F$63,'Instrumentos Financeiros'!C314&lt;'Instrumentos Financeiros'!$F$63+'Instrumentos Financeiros'!$F$11+1),PMT(((1+'Instrumentos Financeiros'!$H$43)^(1/12)-1),$F$11,-$I$63),0)</f>
        <v>0</v>
      </c>
      <c r="U314" s="1312">
        <f t="shared" si="177"/>
        <v>0</v>
      </c>
      <c r="V314" s="1312">
        <f>W313*((1+'Instrumentos Financeiros'!$H$43)^(1/12)-1)</f>
        <v>0</v>
      </c>
      <c r="W314" s="1312">
        <f t="shared" si="195"/>
        <v>0</v>
      </c>
      <c r="X314" s="1312">
        <f>IF(AND(C314&gt;$F$64,'Instrumentos Financeiros'!C314&lt;'Instrumentos Financeiros'!$F$64+'Instrumentos Financeiros'!$F$11+1),PMT(((1+'Instrumentos Financeiros'!$H$43)^(1/12)-1),$F$11,-$I$64),0)</f>
        <v>0</v>
      </c>
      <c r="Y314" s="1312">
        <f t="shared" si="178"/>
        <v>0</v>
      </c>
      <c r="Z314" s="1312">
        <f>AA313*((1+'Instrumentos Financeiros'!$H$43)^(1/12)-1)</f>
        <v>0</v>
      </c>
      <c r="AA314" s="1312">
        <f t="shared" si="196"/>
        <v>0</v>
      </c>
      <c r="AB314" s="1312">
        <f>IF(AND(C314&gt;$F$65,'Instrumentos Financeiros'!C314&lt;'Instrumentos Financeiros'!$F$65+'Instrumentos Financeiros'!$F$11+1),PMT(((1+'Instrumentos Financeiros'!$H$43)^(1/12)-1),$F$11,-$I$65),0)</f>
        <v>76636.661022032335</v>
      </c>
      <c r="AC314" s="1312">
        <f t="shared" si="179"/>
        <v>63385.127004371716</v>
      </c>
      <c r="AD314" s="1312">
        <f>AE313*((1+'Instrumentos Financeiros'!$H$43)^(1/12)-1)</f>
        <v>13251.534017660621</v>
      </c>
      <c r="AE314" s="1312">
        <f t="shared" si="197"/>
        <v>3001254.3086052057</v>
      </c>
      <c r="AF314" s="1312">
        <f>IF(AND(C314&gt;$F$66,'Instrumentos Financeiros'!C314&lt;'Instrumentos Financeiros'!$F$66+'Instrumentos Financeiros'!$F$11+1),PMT(((1+'Instrumentos Financeiros'!$I$43)^(1/12)-1),$F$11,-$I$66),0)</f>
        <v>76636.661022032335</v>
      </c>
      <c r="AG314" s="1312">
        <f t="shared" si="180"/>
        <v>62569.952865728279</v>
      </c>
      <c r="AH314" s="1312">
        <f>AI313*((1+'Instrumentos Financeiros'!$I$43)^(1/12)-1)</f>
        <v>14066.708156304052</v>
      </c>
      <c r="AI314" s="1312">
        <f t="shared" si="198"/>
        <v>3190592.1706716241</v>
      </c>
      <c r="AJ314" s="1312">
        <f>IF(AND(C314&gt;$F$67,'Instrumentos Financeiros'!C314&lt;'Instrumentos Financeiros'!$F$67+'Instrumentos Financeiros'!$F$11+1),PMT(((1+'Instrumentos Financeiros'!$I$43)^(1/12)-1),$F$11,-$I$67),0)</f>
        <v>76636.661022032335</v>
      </c>
      <c r="AK314" s="1312">
        <f t="shared" si="181"/>
        <v>61765.262399007872</v>
      </c>
      <c r="AL314" s="1312">
        <f>AM313*((1+'Instrumentos Financeiros'!$I$43)^(1/12)-1)</f>
        <v>14871.398623024461</v>
      </c>
      <c r="AM314" s="1312">
        <f t="shared" si="199"/>
        <v>3377495.0241497988</v>
      </c>
      <c r="AN314" s="1312">
        <f>IF(AND(C314&gt;$F$68,'Instrumentos Financeiros'!C314&lt;'Instrumentos Financeiros'!$F$68+'Instrumentos Financeiros'!$F$11+1),PMT(((1+'Instrumentos Financeiros'!$I$43)^(1/12)-1),$F$11,-$I$68),0)</f>
        <v>76636.661022032335</v>
      </c>
      <c r="AO314" s="1312">
        <f t="shared" si="182"/>
        <v>60970.920777341264</v>
      </c>
      <c r="AP314" s="1312">
        <f>AQ313*((1+'Instrumentos Financeiros'!$I$43)^(1/12)-1)</f>
        <v>15665.740244691075</v>
      </c>
      <c r="AQ314" s="1312">
        <f t="shared" si="200"/>
        <v>3561994.1848408068</v>
      </c>
      <c r="AR314" s="1312">
        <f>IF(AND(C314&gt;$F$69,'Instrumentos Financeiros'!C314&lt;'Instrumentos Financeiros'!$F$69+'Instrumentos Financeiros'!$F$11+1),PMT(((1+'Instrumentos Financeiros'!$I$43)^(1/12)-1),$F$11,-$I$69),0)</f>
        <v>0</v>
      </c>
      <c r="AS314" s="1312">
        <f t="shared" si="183"/>
        <v>0</v>
      </c>
      <c r="AT314" s="1312">
        <f>AU313*((1+'Instrumentos Financeiros'!$I$43)^(1/12)-1)</f>
        <v>0</v>
      </c>
      <c r="AU314" s="1312">
        <f t="shared" si="201"/>
        <v>0</v>
      </c>
      <c r="AV314" s="1312">
        <f>IF(AND(C314&gt;$F$70,'Instrumentos Financeiros'!C314&lt;'Instrumentos Financeiros'!$F$70+'Instrumentos Financeiros'!$F$11+1),PMT(((1+'Instrumentos Financeiros'!$J$43)^(1/12)-1),$F$11,-$I$70),0)</f>
        <v>0</v>
      </c>
      <c r="AW314" s="1312">
        <f t="shared" si="184"/>
        <v>0</v>
      </c>
      <c r="AX314" s="1312">
        <f>AY313*((1+'Instrumentos Financeiros'!$J$43)^(1/12)-1)</f>
        <v>0</v>
      </c>
      <c r="AY314" s="1312">
        <f t="shared" si="202"/>
        <v>0</v>
      </c>
      <c r="AZ314" s="1312">
        <f>IF(AND(C314&gt;$F$71,'Instrumentos Financeiros'!C314&lt;'Instrumentos Financeiros'!$F$71+'Instrumentos Financeiros'!$F$11+1),PMT(((1+'Instrumentos Financeiros'!$J$43)^(1/12)-1),$F$11,-$I$71),0)</f>
        <v>0</v>
      </c>
      <c r="BA314" s="1312">
        <f t="shared" si="185"/>
        <v>0</v>
      </c>
      <c r="BB314" s="1312">
        <f>BC313*((1+'Instrumentos Financeiros'!$J$43)^(1/12)-1)</f>
        <v>0</v>
      </c>
      <c r="BC314" s="1312">
        <f t="shared" si="203"/>
        <v>0</v>
      </c>
      <c r="BD314" s="1312">
        <f>IF(AND(C314&gt;$F$72,'Instrumentos Financeiros'!C314&lt;'Instrumentos Financeiros'!$F$72+'Instrumentos Financeiros'!$F$11+1),PMT(((1+'Instrumentos Financeiros'!$J$43)^(1/12)-1),$F$11,-'Instrumentos Financeiros'!$G$7*$G$72),0)</f>
        <v>0</v>
      </c>
      <c r="BE314" s="1312">
        <f t="shared" si="186"/>
        <v>0</v>
      </c>
      <c r="BF314" s="1312">
        <f>BG313*((1+'Instrumentos Financeiros'!$J$43)^(1/12)-1)</f>
        <v>0</v>
      </c>
      <c r="BG314" s="1312">
        <f t="shared" si="204"/>
        <v>0</v>
      </c>
      <c r="BH314" s="1312">
        <f>IF(AND(C314&gt;$F$73,'Instrumentos Financeiros'!C314&lt;'Instrumentos Financeiros'!$F$73+'Instrumentos Financeiros'!$F$11+1),PMT(((1+'Instrumentos Financeiros'!$J$43)^(1/12)-1),$F$11,-$I$73),0)</f>
        <v>0</v>
      </c>
      <c r="BI314" s="1312">
        <f t="shared" si="187"/>
        <v>0</v>
      </c>
      <c r="BJ314" s="1312">
        <f>BK313*((1+'Instrumentos Financeiros'!$J$43)^(1/12)-1)</f>
        <v>0</v>
      </c>
      <c r="BK314" s="1312">
        <f t="shared" si="205"/>
        <v>0</v>
      </c>
      <c r="BL314" s="1312">
        <f>IF(AND(C314&gt;$F$77,'Instrumentos Financeiros'!C314&lt;'Instrumentos Financeiros'!$F$77+'Instrumentos Financeiros'!$F$12+1),PMT(((1+'Instrumentos Financeiros'!$K$43)^(1/12)-1),$F$12,-$I$77),0)</f>
        <v>368.57912678094596</v>
      </c>
      <c r="BM314" s="1312">
        <f t="shared" si="206"/>
        <v>289.46454627623848</v>
      </c>
      <c r="BN314" s="1312">
        <f>BO313*((1+'Instrumentos Financeiros'!$K$43)^(1/12)-1)</f>
        <v>79.114580504707462</v>
      </c>
      <c r="BO314" s="1312">
        <f t="shared" si="207"/>
        <v>18007.108742771376</v>
      </c>
      <c r="BP314" s="1312">
        <f>IF(AND(C314&gt;$F$78,'Instrumentos Financeiros'!C314&lt;'Instrumentos Financeiros'!$F$78+'Instrumentos Financeiros'!$F$12+1),PMT(((1+'Instrumentos Financeiros'!$L$43)^(1/12)-1),$F$12,-$I$78),0)</f>
        <v>368.57912678094596</v>
      </c>
      <c r="BQ314" s="1312">
        <f t="shared" si="208"/>
        <v>285.74184312282728</v>
      </c>
      <c r="BR314" s="1312">
        <f>BS313*((1+'Instrumentos Financeiros'!$L$43)^(1/12)-1)</f>
        <v>82.837283658118679</v>
      </c>
      <c r="BS314" s="1312">
        <f t="shared" si="209"/>
        <v>18871.76897027536</v>
      </c>
      <c r="BT314" s="1312">
        <f>IF(AND(C314&gt;$F$79,'Instrumentos Financeiros'!C314&lt;'Instrumentos Financeiros'!$F$79+'Instrumentos Financeiros'!$F$12+1),PMT(((1+'Instrumentos Financeiros'!$L$43)^(1/12)-1),$F$12,-$I$79),0)</f>
        <v>368.57912678094596</v>
      </c>
      <c r="BU314" s="1312">
        <f t="shared" si="210"/>
        <v>282.06701636376795</v>
      </c>
      <c r="BV314" s="1312">
        <f>BW313*((1+'Instrumentos Financeiros'!$L$43)^(1/12)-1)</f>
        <v>86.512110417177993</v>
      </c>
      <c r="BW314" s="1312">
        <f t="shared" si="211"/>
        <v>19725.309102427542</v>
      </c>
      <c r="BX314" s="1312">
        <f>IF(AND(C314&gt;$F$80,'Instrumentos Financeiros'!C314&lt;'Instrumentos Financeiros'!$F$80+'Instrumentos Financeiros'!$F$12+1),PMT(((1+'Instrumentos Financeiros'!$L$43)^(1/12)-1),$F$12,-$I$80),0)</f>
        <v>368.57912678094596</v>
      </c>
      <c r="BY314" s="1312">
        <f t="shared" si="212"/>
        <v>278.43945027735469</v>
      </c>
      <c r="BZ314" s="1312">
        <f>CA313*((1+'Instrumentos Financeiros'!$L$43)^(1/12)-1)</f>
        <v>90.139676503591261</v>
      </c>
      <c r="CA314" s="1312">
        <f t="shared" si="213"/>
        <v>20567.872150918174</v>
      </c>
      <c r="CB314" s="1312">
        <f>IF(AND(C314&gt;$F$83,'Instrumentos Financeiros'!C314&lt;'Instrumentos Financeiros'!$F$83+'Instrumentos Financeiros'!$F$13+1),PMT(((1+'Instrumentos Financeiros'!$P$43)^(1/12)-1),$F$13,-$I$83),0)</f>
        <v>30503.390100238979</v>
      </c>
      <c r="CC314" s="1312">
        <f t="shared" si="214"/>
        <v>17558.841636687834</v>
      </c>
      <c r="CD314" s="1312">
        <f>CE313*((1+'Instrumentos Financeiros'!$P$43)^(1/12)-1)</f>
        <v>12944.548463551146</v>
      </c>
      <c r="CE314" s="1312">
        <f t="shared" si="215"/>
        <v>2976085.0372296073</v>
      </c>
      <c r="CF314" s="1312">
        <f>IF(AND(C314&gt;$F$84,'Instrumentos Financeiros'!C314&lt;'Instrumentos Financeiros'!$F$84+'Instrumentos Financeiros'!$F$13+1),PMT(((1+'Instrumentos Financeiros'!$Q$43)^(1/12)-1),$F$13,-$I$84),0)</f>
        <v>30503.390100238979</v>
      </c>
      <c r="CG314" s="1312">
        <f t="shared" si="216"/>
        <v>17333.023463194604</v>
      </c>
      <c r="CH314" s="1312">
        <f>CI313*((1+'Instrumentos Financeiros'!$Q$43)^(1/12)-1)</f>
        <v>13170.366637044375</v>
      </c>
      <c r="CI314" s="1312">
        <f t="shared" si="217"/>
        <v>3028535.0944113815</v>
      </c>
      <c r="CJ314" s="1312">
        <f>IF(AND(C314&gt;$F$85,'Instrumentos Financeiros'!C314&lt;'Instrumentos Financeiros'!$F$85+'Instrumentos Financeiros'!$F$13+1),PMT(((1+'Instrumentos Financeiros'!$Q$43)^(1/12)-1),$F$13,-$I$85),0)</f>
        <v>30503.390100238979</v>
      </c>
      <c r="CK314" s="1312">
        <f t="shared" si="218"/>
        <v>17110.109458924777</v>
      </c>
      <c r="CL314" s="1312">
        <f>CM313*((1+'Instrumentos Financeiros'!$Q$43)^(1/12)-1)</f>
        <v>13393.280641314203</v>
      </c>
      <c r="CM314" s="1312">
        <f t="shared" si="219"/>
        <v>3080310.6095955982</v>
      </c>
      <c r="CN314" s="1312">
        <f>IF(AND(C314&gt;$F$86,'Instrumentos Financeiros'!C314&lt;'Instrumentos Financeiros'!$F$86+'Instrumentos Financeiros'!$F$13+1),PMT(((1+'Instrumentos Financeiros'!$Q$43)^(1/12)-1),$F$13,-$I$86),0)</f>
        <v>30503.390100238979</v>
      </c>
      <c r="CO314" s="1312">
        <f t="shared" si="220"/>
        <v>16890.062274365031</v>
      </c>
      <c r="CP314" s="1312">
        <f>CQ313*((1+'Instrumentos Financeiros'!$Q$43)^(1/12)-1)</f>
        <v>13613.327825873948</v>
      </c>
      <c r="CQ314" s="1312">
        <f t="shared" si="221"/>
        <v>3131420.2578329802</v>
      </c>
      <c r="CR314" s="1312">
        <f t="shared" si="190"/>
        <v>521803.11063210916</v>
      </c>
      <c r="CS314" s="1312">
        <f t="shared" si="190"/>
        <v>401265.30629388144</v>
      </c>
      <c r="CT314" s="1312">
        <f t="shared" si="190"/>
        <v>120537.80433822778</v>
      </c>
      <c r="CU314" s="1312">
        <f t="shared" si="190"/>
        <v>27601682.04054201</v>
      </c>
    </row>
    <row r="315" spans="3:99" x14ac:dyDescent="0.35">
      <c r="C315" s="1315">
        <f t="shared" si="191"/>
        <v>222</v>
      </c>
      <c r="D315" s="1312">
        <f>IF(AND(C315&gt;$F$59,'Instrumentos Financeiros'!C315&lt;'Instrumentos Financeiros'!$F$59+'Instrumentos Financeiros'!$F$11+1),PMT(((1+'Instrumentos Financeiros'!$G$43)^(1/12)-1),$F$11,-$I$59),0)</f>
        <v>91768.589635900134</v>
      </c>
      <c r="E315" s="1312">
        <f t="shared" si="188"/>
        <v>82883.23106654991</v>
      </c>
      <c r="F315" s="1312">
        <f>G314*((1+'Instrumentos Financeiros'!$G$43)^(1/12)-1)</f>
        <v>8885.3585693502246</v>
      </c>
      <c r="G315" s="1312">
        <f t="shared" si="222"/>
        <v>2093940.0631720677</v>
      </c>
      <c r="H315" s="1312">
        <f>IF(AND(C315&gt;$F$60,'Instrumentos Financeiros'!C315&lt;'Instrumentos Financeiros'!$F$60+'Instrumentos Financeiros'!$F$11+1),PMT(((1+'Instrumentos Financeiros'!$G$43)^(1/12)-1),$F$11,-$I$60),0)</f>
        <v>0</v>
      </c>
      <c r="I315" s="1312">
        <f t="shared" si="174"/>
        <v>0</v>
      </c>
      <c r="J315" s="1312">
        <f>K314*((1+'Instrumentos Financeiros'!$G$43)^(1/12)-1)</f>
        <v>0</v>
      </c>
      <c r="K315" s="1312">
        <f t="shared" si="192"/>
        <v>0</v>
      </c>
      <c r="L315" s="1312">
        <f>IF(AND(C315&gt;$F$61,'Instrumentos Financeiros'!C315&lt;'Instrumentos Financeiros'!$F$61+'Instrumentos Financeiros'!$F$11+1),PMT(((1+'Instrumentos Financeiros'!$G$43)^(1/12)-1),$F$11,-$I$61),0)</f>
        <v>0</v>
      </c>
      <c r="M315" s="1312">
        <f t="shared" si="175"/>
        <v>0</v>
      </c>
      <c r="N315" s="1312">
        <f>O314*((1+'Instrumentos Financeiros'!$G$43)^(1/12)-1)</f>
        <v>0</v>
      </c>
      <c r="O315" s="1312">
        <f t="shared" si="193"/>
        <v>0</v>
      </c>
      <c r="P315" s="1312">
        <f>IF(AND(C315&gt;$F$62,'Instrumentos Financeiros'!C315&lt;'Instrumentos Financeiros'!$F$62+'Instrumentos Financeiros'!$F$11+1),PMT(((1+'Instrumentos Financeiros'!$H$43)^(1/12)-1),$F$11,-$I$62),0)</f>
        <v>0</v>
      </c>
      <c r="Q315" s="1312">
        <f t="shared" si="176"/>
        <v>0</v>
      </c>
      <c r="R315" s="1312">
        <f>S314*((1+'Instrumentos Financeiros'!$H$43)^(1/12)-1)</f>
        <v>0</v>
      </c>
      <c r="S315" s="1312">
        <f t="shared" si="194"/>
        <v>0</v>
      </c>
      <c r="T315" s="1312">
        <f>IF(AND(C315&gt;$F$63,'Instrumentos Financeiros'!C315&lt;'Instrumentos Financeiros'!$F$63+'Instrumentos Financeiros'!$F$11+1),PMT(((1+'Instrumentos Financeiros'!$H$43)^(1/12)-1),$F$11,-$I$63),0)</f>
        <v>0</v>
      </c>
      <c r="U315" s="1312">
        <f t="shared" si="177"/>
        <v>0</v>
      </c>
      <c r="V315" s="1312">
        <f>W314*((1+'Instrumentos Financeiros'!$H$43)^(1/12)-1)</f>
        <v>0</v>
      </c>
      <c r="W315" s="1312">
        <f t="shared" si="195"/>
        <v>0</v>
      </c>
      <c r="X315" s="1312">
        <f>IF(AND(C315&gt;$F$64,'Instrumentos Financeiros'!C315&lt;'Instrumentos Financeiros'!$F$64+'Instrumentos Financeiros'!$F$11+1),PMT(((1+'Instrumentos Financeiros'!$H$43)^(1/12)-1),$F$11,-$I$64),0)</f>
        <v>0</v>
      </c>
      <c r="Y315" s="1312">
        <f t="shared" si="178"/>
        <v>0</v>
      </c>
      <c r="Z315" s="1312">
        <f>AA314*((1+'Instrumentos Financeiros'!$H$43)^(1/12)-1)</f>
        <v>0</v>
      </c>
      <c r="AA315" s="1312">
        <f t="shared" si="196"/>
        <v>0</v>
      </c>
      <c r="AB315" s="1312">
        <f>IF(AND(C315&gt;$F$65,'Instrumentos Financeiros'!C315&lt;'Instrumentos Financeiros'!$F$65+'Instrumentos Financeiros'!$F$11+1),PMT(((1+'Instrumentos Financeiros'!$H$43)^(1/12)-1),$F$11,-$I$65),0)</f>
        <v>76636.661022032335</v>
      </c>
      <c r="AC315" s="1312">
        <f t="shared" si="179"/>
        <v>63659.20497809755</v>
      </c>
      <c r="AD315" s="1312">
        <f>AE314*((1+'Instrumentos Financeiros'!$H$43)^(1/12)-1)</f>
        <v>12977.456043934784</v>
      </c>
      <c r="AE315" s="1312">
        <f t="shared" si="197"/>
        <v>2937595.103627108</v>
      </c>
      <c r="AF315" s="1312">
        <f>IF(AND(C315&gt;$F$66,'Instrumentos Financeiros'!C315&lt;'Instrumentos Financeiros'!$F$66+'Instrumentos Financeiros'!$F$11+1),PMT(((1+'Instrumentos Financeiros'!$I$43)^(1/12)-1),$F$11,-$I$66),0)</f>
        <v>76636.661022032335</v>
      </c>
      <c r="AG315" s="1312">
        <f t="shared" si="180"/>
        <v>62840.50601767475</v>
      </c>
      <c r="AH315" s="1312">
        <f>AI314*((1+'Instrumentos Financeiros'!$I$43)^(1/12)-1)</f>
        <v>13796.155004357584</v>
      </c>
      <c r="AI315" s="1312">
        <f t="shared" si="198"/>
        <v>3127751.6646539494</v>
      </c>
      <c r="AJ315" s="1312">
        <f>IF(AND(C315&gt;$F$67,'Instrumentos Financeiros'!C315&lt;'Instrumentos Financeiros'!$F$67+'Instrumentos Financeiros'!$F$11+1),PMT(((1+'Instrumentos Financeiros'!$I$43)^(1/12)-1),$F$11,-$I$67),0)</f>
        <v>76636.661022032335</v>
      </c>
      <c r="AK315" s="1312">
        <f t="shared" si="181"/>
        <v>62032.336060685593</v>
      </c>
      <c r="AL315" s="1312">
        <f>AM314*((1+'Instrumentos Financeiros'!$I$43)^(1/12)-1)</f>
        <v>14604.324961346741</v>
      </c>
      <c r="AM315" s="1312">
        <f t="shared" si="199"/>
        <v>3315462.6880891132</v>
      </c>
      <c r="AN315" s="1312">
        <f>IF(AND(C315&gt;$F$68,'Instrumentos Financeiros'!C315&lt;'Instrumentos Financeiros'!$F$68+'Instrumentos Financeiros'!$F$11+1),PMT(((1+'Instrumentos Financeiros'!$I$43)^(1/12)-1),$F$11,-$I$68),0)</f>
        <v>76636.661022032335</v>
      </c>
      <c r="AO315" s="1312">
        <f t="shared" si="182"/>
        <v>61234.559697268007</v>
      </c>
      <c r="AP315" s="1312">
        <f>AQ314*((1+'Instrumentos Financeiros'!$I$43)^(1/12)-1)</f>
        <v>15402.101324764326</v>
      </c>
      <c r="AQ315" s="1312">
        <f t="shared" si="200"/>
        <v>3500759.6251435387</v>
      </c>
      <c r="AR315" s="1312">
        <f>IF(AND(C315&gt;$F$69,'Instrumentos Financeiros'!C315&lt;'Instrumentos Financeiros'!$F$69+'Instrumentos Financeiros'!$F$11+1),PMT(((1+'Instrumentos Financeiros'!$I$43)^(1/12)-1),$F$11,-$I$69),0)</f>
        <v>0</v>
      </c>
      <c r="AS315" s="1312">
        <f t="shared" si="183"/>
        <v>0</v>
      </c>
      <c r="AT315" s="1312">
        <f>AU314*((1+'Instrumentos Financeiros'!$I$43)^(1/12)-1)</f>
        <v>0</v>
      </c>
      <c r="AU315" s="1312">
        <f t="shared" si="201"/>
        <v>0</v>
      </c>
      <c r="AV315" s="1312">
        <f>IF(AND(C315&gt;$F$70,'Instrumentos Financeiros'!C315&lt;'Instrumentos Financeiros'!$F$70+'Instrumentos Financeiros'!$F$11+1),PMT(((1+'Instrumentos Financeiros'!$J$43)^(1/12)-1),$F$11,-$I$70),0)</f>
        <v>0</v>
      </c>
      <c r="AW315" s="1312">
        <f t="shared" si="184"/>
        <v>0</v>
      </c>
      <c r="AX315" s="1312">
        <f>AY314*((1+'Instrumentos Financeiros'!$J$43)^(1/12)-1)</f>
        <v>0</v>
      </c>
      <c r="AY315" s="1312">
        <f t="shared" si="202"/>
        <v>0</v>
      </c>
      <c r="AZ315" s="1312">
        <f>IF(AND(C315&gt;$F$71,'Instrumentos Financeiros'!C315&lt;'Instrumentos Financeiros'!$F$71+'Instrumentos Financeiros'!$F$11+1),PMT(((1+'Instrumentos Financeiros'!$J$43)^(1/12)-1),$F$11,-$I$71),0)</f>
        <v>0</v>
      </c>
      <c r="BA315" s="1312">
        <f t="shared" si="185"/>
        <v>0</v>
      </c>
      <c r="BB315" s="1312">
        <f>BC314*((1+'Instrumentos Financeiros'!$J$43)^(1/12)-1)</f>
        <v>0</v>
      </c>
      <c r="BC315" s="1312">
        <f t="shared" si="203"/>
        <v>0</v>
      </c>
      <c r="BD315" s="1312">
        <f>IF(AND(C315&gt;$F$72,'Instrumentos Financeiros'!C315&lt;'Instrumentos Financeiros'!$F$72+'Instrumentos Financeiros'!$F$11+1),PMT(((1+'Instrumentos Financeiros'!$J$43)^(1/12)-1),$F$11,-'Instrumentos Financeiros'!$G$7*$G$72),0)</f>
        <v>0</v>
      </c>
      <c r="BE315" s="1312">
        <f t="shared" si="186"/>
        <v>0</v>
      </c>
      <c r="BF315" s="1312">
        <f>BG314*((1+'Instrumentos Financeiros'!$J$43)^(1/12)-1)</f>
        <v>0</v>
      </c>
      <c r="BG315" s="1312">
        <f t="shared" si="204"/>
        <v>0</v>
      </c>
      <c r="BH315" s="1312">
        <f>IF(AND(C315&gt;$F$73,'Instrumentos Financeiros'!C315&lt;'Instrumentos Financeiros'!$F$73+'Instrumentos Financeiros'!$F$11+1),PMT(((1+'Instrumentos Financeiros'!$J$43)^(1/12)-1),$F$11,-$I$73),0)</f>
        <v>0</v>
      </c>
      <c r="BI315" s="1312">
        <f t="shared" si="187"/>
        <v>0</v>
      </c>
      <c r="BJ315" s="1312">
        <f>BK314*((1+'Instrumentos Financeiros'!$J$43)^(1/12)-1)</f>
        <v>0</v>
      </c>
      <c r="BK315" s="1312">
        <f t="shared" si="205"/>
        <v>0</v>
      </c>
      <c r="BL315" s="1312">
        <f>IF(AND(C315&gt;$F$77,'Instrumentos Financeiros'!C315&lt;'Instrumentos Financeiros'!$F$77+'Instrumentos Financeiros'!$F$12+1),PMT(((1+'Instrumentos Financeiros'!$K$43)^(1/12)-1),$F$12,-$I$77),0)</f>
        <v>368.57912678094596</v>
      </c>
      <c r="BM315" s="1312">
        <f t="shared" si="206"/>
        <v>290.71619410055206</v>
      </c>
      <c r="BN315" s="1312">
        <f>BO314*((1+'Instrumentos Financeiros'!$K$43)^(1/12)-1)</f>
        <v>77.862932680393897</v>
      </c>
      <c r="BO315" s="1312">
        <f t="shared" si="207"/>
        <v>17716.392548670825</v>
      </c>
      <c r="BP315" s="1312">
        <f>IF(AND(C315&gt;$F$78,'Instrumentos Financeiros'!C315&lt;'Instrumentos Financeiros'!$F$78+'Instrumentos Financeiros'!$F$12+1),PMT(((1+'Instrumentos Financeiros'!$L$43)^(1/12)-1),$F$12,-$I$78),0)</f>
        <v>368.57912678094596</v>
      </c>
      <c r="BQ315" s="1312">
        <f t="shared" si="208"/>
        <v>286.97739393850031</v>
      </c>
      <c r="BR315" s="1312">
        <f>BS314*((1+'Instrumentos Financeiros'!$L$43)^(1/12)-1)</f>
        <v>81.601732842445628</v>
      </c>
      <c r="BS315" s="1312">
        <f t="shared" si="209"/>
        <v>18584.791576336858</v>
      </c>
      <c r="BT315" s="1312">
        <f>IF(AND(C315&gt;$F$79,'Instrumentos Financeiros'!C315&lt;'Instrumentos Financeiros'!$F$79+'Instrumentos Financeiros'!$F$12+1),PMT(((1+'Instrumentos Financeiros'!$L$43)^(1/12)-1),$F$12,-$I$79),0)</f>
        <v>368.57912678094596</v>
      </c>
      <c r="BU315" s="1312">
        <f t="shared" si="210"/>
        <v>283.28667718884674</v>
      </c>
      <c r="BV315" s="1312">
        <f>BW314*((1+'Instrumentos Financeiros'!$L$43)^(1/12)-1)</f>
        <v>85.292449592099217</v>
      </c>
      <c r="BW315" s="1312">
        <f t="shared" si="211"/>
        <v>19442.022425238694</v>
      </c>
      <c r="BX315" s="1312">
        <f>IF(AND(C315&gt;$F$80,'Instrumentos Financeiros'!C315&lt;'Instrumentos Financeiros'!$F$80+'Instrumentos Financeiros'!$F$12+1),PMT(((1+'Instrumentos Financeiros'!$L$43)^(1/12)-1),$F$12,-$I$80),0)</f>
        <v>368.57912678094596</v>
      </c>
      <c r="BY315" s="1312">
        <f t="shared" si="212"/>
        <v>279.6434254674981</v>
      </c>
      <c r="BZ315" s="1312">
        <f>CA314*((1+'Instrumentos Financeiros'!$L$43)^(1/12)-1)</f>
        <v>88.935701313447836</v>
      </c>
      <c r="CA315" s="1312">
        <f t="shared" si="213"/>
        <v>20288.228725450677</v>
      </c>
      <c r="CB315" s="1312">
        <f>IF(AND(C315&gt;$F$83,'Instrumentos Financeiros'!C315&lt;'Instrumentos Financeiros'!$F$83+'Instrumentos Financeiros'!$F$13+1),PMT(((1+'Instrumentos Financeiros'!$P$43)^(1/12)-1),$F$13,-$I$83),0)</f>
        <v>30503.390100238979</v>
      </c>
      <c r="CC315" s="1312">
        <f t="shared" si="214"/>
        <v>17634.766257560241</v>
      </c>
      <c r="CD315" s="1312">
        <f>CE314*((1+'Instrumentos Financeiros'!$P$43)^(1/12)-1)</f>
        <v>12868.623842678739</v>
      </c>
      <c r="CE315" s="1312">
        <f t="shared" si="215"/>
        <v>2958450.270972047</v>
      </c>
      <c r="CF315" s="1312">
        <f>IF(AND(C315&gt;$F$84,'Instrumentos Financeiros'!C315&lt;'Instrumentos Financeiros'!$F$84+'Instrumentos Financeiros'!$F$13+1),PMT(((1+'Instrumentos Financeiros'!$Q$43)^(1/12)-1),$F$13,-$I$84),0)</f>
        <v>30503.390100238979</v>
      </c>
      <c r="CG315" s="1312">
        <f t="shared" si="216"/>
        <v>17407.971643845995</v>
      </c>
      <c r="CH315" s="1312">
        <f>CI314*((1+'Instrumentos Financeiros'!$Q$43)^(1/12)-1)</f>
        <v>13095.418456392987</v>
      </c>
      <c r="CI315" s="1312">
        <f t="shared" si="217"/>
        <v>3011127.1227675355</v>
      </c>
      <c r="CJ315" s="1312">
        <f>IF(AND(C315&gt;$F$85,'Instrumentos Financeiros'!C315&lt;'Instrumentos Financeiros'!$F$85+'Instrumentos Financeiros'!$F$13+1),PMT(((1+'Instrumentos Financeiros'!$Q$43)^(1/12)-1),$F$13,-$I$85),0)</f>
        <v>30503.390100238979</v>
      </c>
      <c r="CK315" s="1312">
        <f t="shared" si="218"/>
        <v>17184.093757014234</v>
      </c>
      <c r="CL315" s="1312">
        <f>CM314*((1+'Instrumentos Financeiros'!$Q$43)^(1/12)-1)</f>
        <v>13319.296343224747</v>
      </c>
      <c r="CM315" s="1312">
        <f t="shared" si="219"/>
        <v>3063126.5158385839</v>
      </c>
      <c r="CN315" s="1312">
        <f>IF(AND(C315&gt;$F$86,'Instrumentos Financeiros'!C315&lt;'Instrumentos Financeiros'!$F$86+'Instrumentos Financeiros'!$F$13+1),PMT(((1+'Instrumentos Financeiros'!$Q$43)^(1/12)-1),$F$13,-$I$86),0)</f>
        <v>30503.390100238979</v>
      </c>
      <c r="CO315" s="1312">
        <f t="shared" si="220"/>
        <v>16963.095086051944</v>
      </c>
      <c r="CP315" s="1312">
        <f>CQ314*((1+'Instrumentos Financeiros'!$Q$43)^(1/12)-1)</f>
        <v>13540.295014187037</v>
      </c>
      <c r="CQ315" s="1312">
        <f t="shared" si="221"/>
        <v>3114457.1627469282</v>
      </c>
      <c r="CR315" s="1312">
        <f t="shared" si="190"/>
        <v>521803.11063210916</v>
      </c>
      <c r="CS315" s="1312">
        <f t="shared" si="190"/>
        <v>402980.38825544366</v>
      </c>
      <c r="CT315" s="1312">
        <f t="shared" si="190"/>
        <v>118822.72237666555</v>
      </c>
      <c r="CU315" s="1312">
        <f t="shared" si="190"/>
        <v>27198701.652286567</v>
      </c>
    </row>
    <row r="316" spans="3:99" x14ac:dyDescent="0.35">
      <c r="C316" s="1315">
        <f t="shared" si="191"/>
        <v>223</v>
      </c>
      <c r="D316" s="1312">
        <f>IF(AND(C316&gt;$F$59,'Instrumentos Financeiros'!C316&lt;'Instrumentos Financeiros'!$F$59+'Instrumentos Financeiros'!$F$11+1),PMT(((1+'Instrumentos Financeiros'!$G$43)^(1/12)-1),$F$11,-$I$59),0)</f>
        <v>91768.589635900134</v>
      </c>
      <c r="E316" s="1312">
        <f t="shared" si="188"/>
        <v>83221.543886594489</v>
      </c>
      <c r="F316" s="1312">
        <f>G315*((1+'Instrumentos Financeiros'!$G$43)^(1/12)-1)</f>
        <v>8547.0457493056419</v>
      </c>
      <c r="G316" s="1312">
        <f t="shared" si="222"/>
        <v>2010718.5192854733</v>
      </c>
      <c r="H316" s="1312">
        <f>IF(AND(C316&gt;$F$60,'Instrumentos Financeiros'!C316&lt;'Instrumentos Financeiros'!$F$60+'Instrumentos Financeiros'!$F$11+1),PMT(((1+'Instrumentos Financeiros'!$G$43)^(1/12)-1),$F$11,-$I$60),0)</f>
        <v>0</v>
      </c>
      <c r="I316" s="1312">
        <f t="shared" si="174"/>
        <v>0</v>
      </c>
      <c r="J316" s="1312">
        <f>K315*((1+'Instrumentos Financeiros'!$G$43)^(1/12)-1)</f>
        <v>0</v>
      </c>
      <c r="K316" s="1312">
        <f t="shared" si="192"/>
        <v>0</v>
      </c>
      <c r="L316" s="1312">
        <f>IF(AND(C316&gt;$F$61,'Instrumentos Financeiros'!C316&lt;'Instrumentos Financeiros'!$F$61+'Instrumentos Financeiros'!$F$11+1),PMT(((1+'Instrumentos Financeiros'!$G$43)^(1/12)-1),$F$11,-$I$61),0)</f>
        <v>0</v>
      </c>
      <c r="M316" s="1312">
        <f t="shared" si="175"/>
        <v>0</v>
      </c>
      <c r="N316" s="1312">
        <f>O315*((1+'Instrumentos Financeiros'!$G$43)^(1/12)-1)</f>
        <v>0</v>
      </c>
      <c r="O316" s="1312">
        <f t="shared" si="193"/>
        <v>0</v>
      </c>
      <c r="P316" s="1312">
        <f>IF(AND(C316&gt;$F$62,'Instrumentos Financeiros'!C316&lt;'Instrumentos Financeiros'!$F$62+'Instrumentos Financeiros'!$F$11+1),PMT(((1+'Instrumentos Financeiros'!$H$43)^(1/12)-1),$F$11,-$I$62),0)</f>
        <v>0</v>
      </c>
      <c r="Q316" s="1312">
        <f t="shared" si="176"/>
        <v>0</v>
      </c>
      <c r="R316" s="1312">
        <f>S315*((1+'Instrumentos Financeiros'!$H$43)^(1/12)-1)</f>
        <v>0</v>
      </c>
      <c r="S316" s="1312">
        <f t="shared" si="194"/>
        <v>0</v>
      </c>
      <c r="T316" s="1312">
        <f>IF(AND(C316&gt;$F$63,'Instrumentos Financeiros'!C316&lt;'Instrumentos Financeiros'!$F$63+'Instrumentos Financeiros'!$F$11+1),PMT(((1+'Instrumentos Financeiros'!$H$43)^(1/12)-1),$F$11,-$I$63),0)</f>
        <v>0</v>
      </c>
      <c r="U316" s="1312">
        <f t="shared" si="177"/>
        <v>0</v>
      </c>
      <c r="V316" s="1312">
        <f>W315*((1+'Instrumentos Financeiros'!$H$43)^(1/12)-1)</f>
        <v>0</v>
      </c>
      <c r="W316" s="1312">
        <f t="shared" si="195"/>
        <v>0</v>
      </c>
      <c r="X316" s="1312">
        <f>IF(AND(C316&gt;$F$64,'Instrumentos Financeiros'!C316&lt;'Instrumentos Financeiros'!$F$64+'Instrumentos Financeiros'!$F$11+1),PMT(((1+'Instrumentos Financeiros'!$H$43)^(1/12)-1),$F$11,-$I$64),0)</f>
        <v>0</v>
      </c>
      <c r="Y316" s="1312">
        <f t="shared" si="178"/>
        <v>0</v>
      </c>
      <c r="Z316" s="1312">
        <f>AA315*((1+'Instrumentos Financeiros'!$H$43)^(1/12)-1)</f>
        <v>0</v>
      </c>
      <c r="AA316" s="1312">
        <f t="shared" si="196"/>
        <v>0</v>
      </c>
      <c r="AB316" s="1312">
        <f>IF(AND(C316&gt;$F$65,'Instrumentos Financeiros'!C316&lt;'Instrumentos Financeiros'!$F$65+'Instrumentos Financeiros'!$F$11+1),PMT(((1+'Instrumentos Financeiros'!$H$43)^(1/12)-1),$F$11,-$I$65),0)</f>
        <v>76636.661022032335</v>
      </c>
      <c r="AC316" s="1312">
        <f t="shared" si="179"/>
        <v>63934.468067941823</v>
      </c>
      <c r="AD316" s="1312">
        <f>AE315*((1+'Instrumentos Financeiros'!$H$43)^(1/12)-1)</f>
        <v>12702.192954090513</v>
      </c>
      <c r="AE316" s="1312">
        <f t="shared" si="197"/>
        <v>2873660.6355591663</v>
      </c>
      <c r="AF316" s="1312">
        <f>IF(AND(C316&gt;$F$66,'Instrumentos Financeiros'!C316&lt;'Instrumentos Financeiros'!$F$66+'Instrumentos Financeiros'!$F$11+1),PMT(((1+'Instrumentos Financeiros'!$I$43)^(1/12)-1),$F$11,-$I$66),0)</f>
        <v>76636.661022032335</v>
      </c>
      <c r="AG316" s="1312">
        <f t="shared" si="180"/>
        <v>63112.229044372209</v>
      </c>
      <c r="AH316" s="1312">
        <f>AI315*((1+'Instrumentos Financeiros'!$I$43)^(1/12)-1)</f>
        <v>13524.431977660126</v>
      </c>
      <c r="AI316" s="1312">
        <f t="shared" si="198"/>
        <v>3064639.4356095772</v>
      </c>
      <c r="AJ316" s="1312">
        <f>IF(AND(C316&gt;$F$67,'Instrumentos Financeiros'!C316&lt;'Instrumentos Financeiros'!$F$67+'Instrumentos Financeiros'!$F$11+1),PMT(((1+'Instrumentos Financeiros'!$I$43)^(1/12)-1),$F$11,-$I$67),0)</f>
        <v>76636.661022032335</v>
      </c>
      <c r="AK316" s="1312">
        <f t="shared" si="181"/>
        <v>62300.564551760799</v>
      </c>
      <c r="AL316" s="1312">
        <f>AM315*((1+'Instrumentos Financeiros'!$I$43)^(1/12)-1)</f>
        <v>14336.096470271536</v>
      </c>
      <c r="AM316" s="1312">
        <f t="shared" si="199"/>
        <v>3253162.1235373523</v>
      </c>
      <c r="AN316" s="1312">
        <f>IF(AND(C316&gt;$F$68,'Instrumentos Financeiros'!C316&lt;'Instrumentos Financeiros'!$F$68+'Instrumentos Financeiros'!$F$11+1),PMT(((1+'Instrumentos Financeiros'!$I$43)^(1/12)-1),$F$11,-$I$68),0)</f>
        <v>76636.661022032335</v>
      </c>
      <c r="AO316" s="1312">
        <f t="shared" si="182"/>
        <v>61499.338594731817</v>
      </c>
      <c r="AP316" s="1312">
        <f>AQ315*((1+'Instrumentos Financeiros'!$I$43)^(1/12)-1)</f>
        <v>15137.322427300516</v>
      </c>
      <c r="AQ316" s="1312">
        <f t="shared" si="200"/>
        <v>3439260.2865488068</v>
      </c>
      <c r="AR316" s="1312">
        <f>IF(AND(C316&gt;$F$69,'Instrumentos Financeiros'!C316&lt;'Instrumentos Financeiros'!$F$69+'Instrumentos Financeiros'!$F$11+1),PMT(((1+'Instrumentos Financeiros'!$I$43)^(1/12)-1),$F$11,-$I$69),0)</f>
        <v>0</v>
      </c>
      <c r="AS316" s="1312">
        <f t="shared" si="183"/>
        <v>0</v>
      </c>
      <c r="AT316" s="1312">
        <f>AU315*((1+'Instrumentos Financeiros'!$I$43)^(1/12)-1)</f>
        <v>0</v>
      </c>
      <c r="AU316" s="1312">
        <f t="shared" si="201"/>
        <v>0</v>
      </c>
      <c r="AV316" s="1312">
        <f>IF(AND(C316&gt;$F$70,'Instrumentos Financeiros'!C316&lt;'Instrumentos Financeiros'!$F$70+'Instrumentos Financeiros'!$F$11+1),PMT(((1+'Instrumentos Financeiros'!$J$43)^(1/12)-1),$F$11,-$I$70),0)</f>
        <v>0</v>
      </c>
      <c r="AW316" s="1312">
        <f t="shared" si="184"/>
        <v>0</v>
      </c>
      <c r="AX316" s="1312">
        <f>AY315*((1+'Instrumentos Financeiros'!$J$43)^(1/12)-1)</f>
        <v>0</v>
      </c>
      <c r="AY316" s="1312">
        <f t="shared" si="202"/>
        <v>0</v>
      </c>
      <c r="AZ316" s="1312">
        <f>IF(AND(C316&gt;$F$71,'Instrumentos Financeiros'!C316&lt;'Instrumentos Financeiros'!$F$71+'Instrumentos Financeiros'!$F$11+1),PMT(((1+'Instrumentos Financeiros'!$J$43)^(1/12)-1),$F$11,-$I$71),0)</f>
        <v>0</v>
      </c>
      <c r="BA316" s="1312">
        <f t="shared" si="185"/>
        <v>0</v>
      </c>
      <c r="BB316" s="1312">
        <f>BC315*((1+'Instrumentos Financeiros'!$J$43)^(1/12)-1)</f>
        <v>0</v>
      </c>
      <c r="BC316" s="1312">
        <f t="shared" si="203"/>
        <v>0</v>
      </c>
      <c r="BD316" s="1312">
        <f>IF(AND(C316&gt;$F$72,'Instrumentos Financeiros'!C316&lt;'Instrumentos Financeiros'!$F$72+'Instrumentos Financeiros'!$F$11+1),PMT(((1+'Instrumentos Financeiros'!$J$43)^(1/12)-1),$F$11,-'Instrumentos Financeiros'!$G$7*$G$72),0)</f>
        <v>0</v>
      </c>
      <c r="BE316" s="1312">
        <f t="shared" si="186"/>
        <v>0</v>
      </c>
      <c r="BF316" s="1312">
        <f>BG315*((1+'Instrumentos Financeiros'!$J$43)^(1/12)-1)</f>
        <v>0</v>
      </c>
      <c r="BG316" s="1312">
        <f t="shared" si="204"/>
        <v>0</v>
      </c>
      <c r="BH316" s="1312">
        <f>IF(AND(C316&gt;$F$73,'Instrumentos Financeiros'!C316&lt;'Instrumentos Financeiros'!$F$73+'Instrumentos Financeiros'!$F$11+1),PMT(((1+'Instrumentos Financeiros'!$J$43)^(1/12)-1),$F$11,-$I$73),0)</f>
        <v>0</v>
      </c>
      <c r="BI316" s="1312">
        <f t="shared" si="187"/>
        <v>0</v>
      </c>
      <c r="BJ316" s="1312">
        <f>BK315*((1+'Instrumentos Financeiros'!$J$43)^(1/12)-1)</f>
        <v>0</v>
      </c>
      <c r="BK316" s="1312">
        <f t="shared" si="205"/>
        <v>0</v>
      </c>
      <c r="BL316" s="1312">
        <f>IF(AND(C316&gt;$F$77,'Instrumentos Financeiros'!C316&lt;'Instrumentos Financeiros'!$F$77+'Instrumentos Financeiros'!$F$12+1),PMT(((1+'Instrumentos Financeiros'!$K$43)^(1/12)-1),$F$12,-$I$77),0)</f>
        <v>368.57912678094596</v>
      </c>
      <c r="BM316" s="1312">
        <f t="shared" si="206"/>
        <v>291.97325406357572</v>
      </c>
      <c r="BN316" s="1312">
        <f>BO315*((1+'Instrumentos Financeiros'!$K$43)^(1/12)-1)</f>
        <v>76.605872717370218</v>
      </c>
      <c r="BO316" s="1312">
        <f t="shared" si="207"/>
        <v>17424.419294607251</v>
      </c>
      <c r="BP316" s="1312">
        <f>IF(AND(C316&gt;$F$78,'Instrumentos Financeiros'!C316&lt;'Instrumentos Financeiros'!$F$78+'Instrumentos Financeiros'!$F$12+1),PMT(((1+'Instrumentos Financeiros'!$L$43)^(1/12)-1),$F$12,-$I$78),0)</f>
        <v>368.57912678094596</v>
      </c>
      <c r="BQ316" s="1312">
        <f t="shared" si="208"/>
        <v>288.2182872892443</v>
      </c>
      <c r="BR316" s="1312">
        <f>BS315*((1+'Instrumentos Financeiros'!$L$43)^(1/12)-1)</f>
        <v>80.360839491701668</v>
      </c>
      <c r="BS316" s="1312">
        <f t="shared" si="209"/>
        <v>18296.573289047614</v>
      </c>
      <c r="BT316" s="1312">
        <f>IF(AND(C316&gt;$F$79,'Instrumentos Financeiros'!C316&lt;'Instrumentos Financeiros'!$F$79+'Instrumentos Financeiros'!$F$12+1),PMT(((1+'Instrumentos Financeiros'!$L$43)^(1/12)-1),$F$12,-$I$79),0)</f>
        <v>368.57912678094596</v>
      </c>
      <c r="BU316" s="1312">
        <f t="shared" si="210"/>
        <v>284.51161184050545</v>
      </c>
      <c r="BV316" s="1312">
        <f>BW315*((1+'Instrumentos Financeiros'!$L$43)^(1/12)-1)</f>
        <v>84.067514940440475</v>
      </c>
      <c r="BW316" s="1312">
        <f t="shared" si="211"/>
        <v>19157.510813398188</v>
      </c>
      <c r="BX316" s="1312">
        <f>IF(AND(C316&gt;$F$80,'Instrumentos Financeiros'!C316&lt;'Instrumentos Financeiros'!$F$80+'Instrumentos Financeiros'!$F$12+1),PMT(((1+'Instrumentos Financeiros'!$L$43)^(1/12)-1),$F$12,-$I$80),0)</f>
        <v>368.57912678094596</v>
      </c>
      <c r="BY316" s="1312">
        <f t="shared" si="212"/>
        <v>280.85260665936664</v>
      </c>
      <c r="BZ316" s="1312">
        <f>CA315*((1+'Instrumentos Financeiros'!$L$43)^(1/12)-1)</f>
        <v>87.726520121579313</v>
      </c>
      <c r="CA316" s="1312">
        <f t="shared" si="213"/>
        <v>20007.376118791311</v>
      </c>
      <c r="CB316" s="1312">
        <f>IF(AND(C316&gt;$F$83,'Instrumentos Financeiros'!C316&lt;'Instrumentos Financeiros'!$F$83+'Instrumentos Financeiros'!$F$13+1),PMT(((1+'Instrumentos Financeiros'!$P$43)^(1/12)-1),$F$13,-$I$83),0)</f>
        <v>30503.390100238979</v>
      </c>
      <c r="CC316" s="1312">
        <f t="shared" si="214"/>
        <v>17711.019177313286</v>
      </c>
      <c r="CD316" s="1312">
        <f>CE315*((1+'Instrumentos Financeiros'!$P$43)^(1/12)-1)</f>
        <v>12792.370922925693</v>
      </c>
      <c r="CE316" s="1312">
        <f t="shared" si="215"/>
        <v>2940739.2517947336</v>
      </c>
      <c r="CF316" s="1312">
        <f>IF(AND(C316&gt;$F$84,'Instrumentos Financeiros'!C316&lt;'Instrumentos Financeiros'!$F$84+'Instrumentos Financeiros'!$F$13+1),PMT(((1+'Instrumentos Financeiros'!$Q$43)^(1/12)-1),$F$13,-$I$84),0)</f>
        <v>30503.390100238979</v>
      </c>
      <c r="CG316" s="1312">
        <f t="shared" si="216"/>
        <v>17483.243901239955</v>
      </c>
      <c r="CH316" s="1312">
        <f>CI315*((1+'Instrumentos Financeiros'!$Q$43)^(1/12)-1)</f>
        <v>13020.146198999022</v>
      </c>
      <c r="CI316" s="1312">
        <f t="shared" si="217"/>
        <v>2993643.8788662953</v>
      </c>
      <c r="CJ316" s="1312">
        <f>IF(AND(C316&gt;$F$85,'Instrumentos Financeiros'!C316&lt;'Instrumentos Financeiros'!$F$85+'Instrumentos Financeiros'!$F$13+1),PMT(((1+'Instrumentos Financeiros'!$Q$43)^(1/12)-1),$F$13,-$I$85),0)</f>
        <v>30503.390100238979</v>
      </c>
      <c r="CK316" s="1312">
        <f t="shared" si="218"/>
        <v>17258.397964007658</v>
      </c>
      <c r="CL316" s="1312">
        <f>CM315*((1+'Instrumentos Financeiros'!$Q$43)^(1/12)-1)</f>
        <v>13244.992136231323</v>
      </c>
      <c r="CM316" s="1312">
        <f t="shared" si="219"/>
        <v>3045868.1178745762</v>
      </c>
      <c r="CN316" s="1312">
        <f>IF(AND(C316&gt;$F$86,'Instrumentos Financeiros'!C316&lt;'Instrumentos Financeiros'!$F$86+'Instrumentos Financeiros'!$F$13+1),PMT(((1+'Instrumentos Financeiros'!$Q$43)^(1/12)-1),$F$13,-$I$86),0)</f>
        <v>30503.390100238979</v>
      </c>
      <c r="CO316" s="1312">
        <f t="shared" si="220"/>
        <v>17036.443692405344</v>
      </c>
      <c r="CP316" s="1312">
        <f>CQ315*((1+'Instrumentos Financeiros'!$Q$43)^(1/12)-1)</f>
        <v>13466.946407833637</v>
      </c>
      <c r="CQ316" s="1312">
        <f t="shared" si="221"/>
        <v>3097420.7190545229</v>
      </c>
      <c r="CR316" s="1312">
        <f t="shared" si="190"/>
        <v>521803.11063210916</v>
      </c>
      <c r="CS316" s="1312">
        <f t="shared" si="190"/>
        <v>404702.80464022013</v>
      </c>
      <c r="CT316" s="1312">
        <f t="shared" si="190"/>
        <v>117100.30599188909</v>
      </c>
      <c r="CU316" s="1312">
        <f t="shared" si="190"/>
        <v>26793998.847646352</v>
      </c>
    </row>
    <row r="317" spans="3:99" x14ac:dyDescent="0.35">
      <c r="C317" s="1315">
        <f t="shared" si="191"/>
        <v>224</v>
      </c>
      <c r="D317" s="1312">
        <f>IF(AND(C317&gt;$F$59,'Instrumentos Financeiros'!C317&lt;'Instrumentos Financeiros'!$F$59+'Instrumentos Financeiros'!$F$11+1),PMT(((1+'Instrumentos Financeiros'!$G$43)^(1/12)-1),$F$11,-$I$59),0)</f>
        <v>91768.589635900134</v>
      </c>
      <c r="E317" s="1312">
        <f t="shared" si="188"/>
        <v>83561.237632101722</v>
      </c>
      <c r="F317" s="1312">
        <f>G316*((1+'Instrumentos Financeiros'!$G$43)^(1/12)-1)</f>
        <v>8207.3520037984108</v>
      </c>
      <c r="G317" s="1312">
        <f t="shared" si="222"/>
        <v>1927157.2816533716</v>
      </c>
      <c r="H317" s="1312">
        <f>IF(AND(C317&gt;$F$60,'Instrumentos Financeiros'!C317&lt;'Instrumentos Financeiros'!$F$60+'Instrumentos Financeiros'!$F$11+1),PMT(((1+'Instrumentos Financeiros'!$G$43)^(1/12)-1),$F$11,-$I$60),0)</f>
        <v>0</v>
      </c>
      <c r="I317" s="1312">
        <f t="shared" si="174"/>
        <v>0</v>
      </c>
      <c r="J317" s="1312">
        <f>K316*((1+'Instrumentos Financeiros'!$G$43)^(1/12)-1)</f>
        <v>0</v>
      </c>
      <c r="K317" s="1312">
        <f t="shared" si="192"/>
        <v>0</v>
      </c>
      <c r="L317" s="1312">
        <f>IF(AND(C317&gt;$F$61,'Instrumentos Financeiros'!C317&lt;'Instrumentos Financeiros'!$F$61+'Instrumentos Financeiros'!$F$11+1),PMT(((1+'Instrumentos Financeiros'!$G$43)^(1/12)-1),$F$11,-$I$61),0)</f>
        <v>0</v>
      </c>
      <c r="M317" s="1312">
        <f t="shared" si="175"/>
        <v>0</v>
      </c>
      <c r="N317" s="1312">
        <f>O316*((1+'Instrumentos Financeiros'!$G$43)^(1/12)-1)</f>
        <v>0</v>
      </c>
      <c r="O317" s="1312">
        <f t="shared" si="193"/>
        <v>0</v>
      </c>
      <c r="P317" s="1312">
        <f>IF(AND(C317&gt;$F$62,'Instrumentos Financeiros'!C317&lt;'Instrumentos Financeiros'!$F$62+'Instrumentos Financeiros'!$F$11+1),PMT(((1+'Instrumentos Financeiros'!$H$43)^(1/12)-1),$F$11,-$I$62),0)</f>
        <v>0</v>
      </c>
      <c r="Q317" s="1312">
        <f t="shared" si="176"/>
        <v>0</v>
      </c>
      <c r="R317" s="1312">
        <f>S316*((1+'Instrumentos Financeiros'!$H$43)^(1/12)-1)</f>
        <v>0</v>
      </c>
      <c r="S317" s="1312">
        <f t="shared" si="194"/>
        <v>0</v>
      </c>
      <c r="T317" s="1312">
        <f>IF(AND(C317&gt;$F$63,'Instrumentos Financeiros'!C317&lt;'Instrumentos Financeiros'!$F$63+'Instrumentos Financeiros'!$F$11+1),PMT(((1+'Instrumentos Financeiros'!$H$43)^(1/12)-1),$F$11,-$I$63),0)</f>
        <v>0</v>
      </c>
      <c r="U317" s="1312">
        <f t="shared" si="177"/>
        <v>0</v>
      </c>
      <c r="V317" s="1312">
        <f>W316*((1+'Instrumentos Financeiros'!$H$43)^(1/12)-1)</f>
        <v>0</v>
      </c>
      <c r="W317" s="1312">
        <f t="shared" si="195"/>
        <v>0</v>
      </c>
      <c r="X317" s="1312">
        <f>IF(AND(C317&gt;$F$64,'Instrumentos Financeiros'!C317&lt;'Instrumentos Financeiros'!$F$64+'Instrumentos Financeiros'!$F$11+1),PMT(((1+'Instrumentos Financeiros'!$H$43)^(1/12)-1),$F$11,-$I$64),0)</f>
        <v>0</v>
      </c>
      <c r="Y317" s="1312">
        <f t="shared" si="178"/>
        <v>0</v>
      </c>
      <c r="Z317" s="1312">
        <f>AA316*((1+'Instrumentos Financeiros'!$H$43)^(1/12)-1)</f>
        <v>0</v>
      </c>
      <c r="AA317" s="1312">
        <f t="shared" si="196"/>
        <v>0</v>
      </c>
      <c r="AB317" s="1312">
        <f>IF(AND(C317&gt;$F$65,'Instrumentos Financeiros'!C317&lt;'Instrumentos Financeiros'!$F$65+'Instrumentos Financeiros'!$F$11+1),PMT(((1+'Instrumentos Financeiros'!$H$43)^(1/12)-1),$F$11,-$I$65),0)</f>
        <v>76636.661022032335</v>
      </c>
      <c r="AC317" s="1312">
        <f t="shared" si="179"/>
        <v>64210.921398359416</v>
      </c>
      <c r="AD317" s="1312">
        <f>AE316*((1+'Instrumentos Financeiros'!$H$43)^(1/12)-1)</f>
        <v>12425.739623672918</v>
      </c>
      <c r="AE317" s="1312">
        <f t="shared" si="197"/>
        <v>2809449.714160807</v>
      </c>
      <c r="AF317" s="1312">
        <f>IF(AND(C317&gt;$F$66,'Instrumentos Financeiros'!C317&lt;'Instrumentos Financeiros'!$F$66+'Instrumentos Financeiros'!$F$11+1),PMT(((1+'Instrumentos Financeiros'!$I$43)^(1/12)-1),$F$11,-$I$66),0)</f>
        <v>76636.661022032335</v>
      </c>
      <c r="AG317" s="1312">
        <f t="shared" si="180"/>
        <v>63385.127004371716</v>
      </c>
      <c r="AH317" s="1312">
        <f>AI316*((1+'Instrumentos Financeiros'!$I$43)^(1/12)-1)</f>
        <v>13251.534017660621</v>
      </c>
      <c r="AI317" s="1312">
        <f t="shared" si="198"/>
        <v>3001254.3086052057</v>
      </c>
      <c r="AJ317" s="1312">
        <f>IF(AND(C317&gt;$F$67,'Instrumentos Financeiros'!C317&lt;'Instrumentos Financeiros'!$F$67+'Instrumentos Financeiros'!$F$11+1),PMT(((1+'Instrumentos Financeiros'!$I$43)^(1/12)-1),$F$11,-$I$67),0)</f>
        <v>76636.661022032335</v>
      </c>
      <c r="AK317" s="1312">
        <f t="shared" si="181"/>
        <v>62569.952865728279</v>
      </c>
      <c r="AL317" s="1312">
        <f>AM316*((1+'Instrumentos Financeiros'!$I$43)^(1/12)-1)</f>
        <v>14066.708156304052</v>
      </c>
      <c r="AM317" s="1312">
        <f t="shared" si="199"/>
        <v>3190592.1706716241</v>
      </c>
      <c r="AN317" s="1312">
        <f>IF(AND(C317&gt;$F$68,'Instrumentos Financeiros'!C317&lt;'Instrumentos Financeiros'!$F$68+'Instrumentos Financeiros'!$F$11+1),PMT(((1+'Instrumentos Financeiros'!$I$43)^(1/12)-1),$F$11,-$I$68),0)</f>
        <v>76636.661022032335</v>
      </c>
      <c r="AO317" s="1312">
        <f t="shared" si="182"/>
        <v>61765.262399007872</v>
      </c>
      <c r="AP317" s="1312">
        <f>AQ316*((1+'Instrumentos Financeiros'!$I$43)^(1/12)-1)</f>
        <v>14871.398623024461</v>
      </c>
      <c r="AQ317" s="1312">
        <f t="shared" si="200"/>
        <v>3377495.0241497988</v>
      </c>
      <c r="AR317" s="1312">
        <f>IF(AND(C317&gt;$F$69,'Instrumentos Financeiros'!C317&lt;'Instrumentos Financeiros'!$F$69+'Instrumentos Financeiros'!$F$11+1),PMT(((1+'Instrumentos Financeiros'!$I$43)^(1/12)-1),$F$11,-$I$69),0)</f>
        <v>0</v>
      </c>
      <c r="AS317" s="1312">
        <f t="shared" si="183"/>
        <v>0</v>
      </c>
      <c r="AT317" s="1312">
        <f>AU316*((1+'Instrumentos Financeiros'!$I$43)^(1/12)-1)</f>
        <v>0</v>
      </c>
      <c r="AU317" s="1312">
        <f t="shared" si="201"/>
        <v>0</v>
      </c>
      <c r="AV317" s="1312">
        <f>IF(AND(C317&gt;$F$70,'Instrumentos Financeiros'!C317&lt;'Instrumentos Financeiros'!$F$70+'Instrumentos Financeiros'!$F$11+1),PMT(((1+'Instrumentos Financeiros'!$J$43)^(1/12)-1),$F$11,-$I$70),0)</f>
        <v>0</v>
      </c>
      <c r="AW317" s="1312">
        <f t="shared" si="184"/>
        <v>0</v>
      </c>
      <c r="AX317" s="1312">
        <f>AY316*((1+'Instrumentos Financeiros'!$J$43)^(1/12)-1)</f>
        <v>0</v>
      </c>
      <c r="AY317" s="1312">
        <f t="shared" si="202"/>
        <v>0</v>
      </c>
      <c r="AZ317" s="1312">
        <f>IF(AND(C317&gt;$F$71,'Instrumentos Financeiros'!C317&lt;'Instrumentos Financeiros'!$F$71+'Instrumentos Financeiros'!$F$11+1),PMT(((1+'Instrumentos Financeiros'!$J$43)^(1/12)-1),$F$11,-$I$71),0)</f>
        <v>0</v>
      </c>
      <c r="BA317" s="1312">
        <f t="shared" si="185"/>
        <v>0</v>
      </c>
      <c r="BB317" s="1312">
        <f>BC316*((1+'Instrumentos Financeiros'!$J$43)^(1/12)-1)</f>
        <v>0</v>
      </c>
      <c r="BC317" s="1312">
        <f t="shared" si="203"/>
        <v>0</v>
      </c>
      <c r="BD317" s="1312">
        <f>IF(AND(C317&gt;$F$72,'Instrumentos Financeiros'!C317&lt;'Instrumentos Financeiros'!$F$72+'Instrumentos Financeiros'!$F$11+1),PMT(((1+'Instrumentos Financeiros'!$J$43)^(1/12)-1),$F$11,-'Instrumentos Financeiros'!$G$7*$G$72),0)</f>
        <v>0</v>
      </c>
      <c r="BE317" s="1312">
        <f t="shared" si="186"/>
        <v>0</v>
      </c>
      <c r="BF317" s="1312">
        <f>BG316*((1+'Instrumentos Financeiros'!$J$43)^(1/12)-1)</f>
        <v>0</v>
      </c>
      <c r="BG317" s="1312">
        <f t="shared" si="204"/>
        <v>0</v>
      </c>
      <c r="BH317" s="1312">
        <f>IF(AND(C317&gt;$F$73,'Instrumentos Financeiros'!C317&lt;'Instrumentos Financeiros'!$F$73+'Instrumentos Financeiros'!$F$11+1),PMT(((1+'Instrumentos Financeiros'!$J$43)^(1/12)-1),$F$11,-$I$73),0)</f>
        <v>0</v>
      </c>
      <c r="BI317" s="1312">
        <f t="shared" si="187"/>
        <v>0</v>
      </c>
      <c r="BJ317" s="1312">
        <f>BK316*((1+'Instrumentos Financeiros'!$J$43)^(1/12)-1)</f>
        <v>0</v>
      </c>
      <c r="BK317" s="1312">
        <f t="shared" si="205"/>
        <v>0</v>
      </c>
      <c r="BL317" s="1312">
        <f>IF(AND(C317&gt;$F$77,'Instrumentos Financeiros'!C317&lt;'Instrumentos Financeiros'!$F$77+'Instrumentos Financeiros'!$F$12+1),PMT(((1+'Instrumentos Financeiros'!$K$43)^(1/12)-1),$F$12,-$I$77),0)</f>
        <v>368.57912678094596</v>
      </c>
      <c r="BM317" s="1312">
        <f t="shared" si="206"/>
        <v>293.23574956745574</v>
      </c>
      <c r="BN317" s="1312">
        <f>BO316*((1+'Instrumentos Financeiros'!$K$43)^(1/12)-1)</f>
        <v>75.3433772134902</v>
      </c>
      <c r="BO317" s="1312">
        <f t="shared" si="207"/>
        <v>17131.183545039796</v>
      </c>
      <c r="BP317" s="1312">
        <f>IF(AND(C317&gt;$F$78,'Instrumentos Financeiros'!C317&lt;'Instrumentos Financeiros'!$F$78+'Instrumentos Financeiros'!$F$12+1),PMT(((1+'Instrumentos Financeiros'!$L$43)^(1/12)-1),$F$12,-$I$78),0)</f>
        <v>368.57912678094596</v>
      </c>
      <c r="BQ317" s="1312">
        <f t="shared" si="208"/>
        <v>289.46454627623848</v>
      </c>
      <c r="BR317" s="1312">
        <f>BS316*((1+'Instrumentos Financeiros'!$L$43)^(1/12)-1)</f>
        <v>79.114580504707462</v>
      </c>
      <c r="BS317" s="1312">
        <f t="shared" si="209"/>
        <v>18007.108742771376</v>
      </c>
      <c r="BT317" s="1312">
        <f>IF(AND(C317&gt;$F$79,'Instrumentos Financeiros'!C317&lt;'Instrumentos Financeiros'!$F$79+'Instrumentos Financeiros'!$F$12+1),PMT(((1+'Instrumentos Financeiros'!$L$43)^(1/12)-1),$F$12,-$I$79),0)</f>
        <v>368.57912678094596</v>
      </c>
      <c r="BU317" s="1312">
        <f t="shared" si="210"/>
        <v>285.74184312282728</v>
      </c>
      <c r="BV317" s="1312">
        <f>BW316*((1+'Instrumentos Financeiros'!$L$43)^(1/12)-1)</f>
        <v>82.837283658118679</v>
      </c>
      <c r="BW317" s="1312">
        <f t="shared" si="211"/>
        <v>18871.76897027536</v>
      </c>
      <c r="BX317" s="1312">
        <f>IF(AND(C317&gt;$F$80,'Instrumentos Financeiros'!C317&lt;'Instrumentos Financeiros'!$F$80+'Instrumentos Financeiros'!$F$12+1),PMT(((1+'Instrumentos Financeiros'!$L$43)^(1/12)-1),$F$12,-$I$80),0)</f>
        <v>368.57912678094596</v>
      </c>
      <c r="BY317" s="1312">
        <f t="shared" si="212"/>
        <v>282.06701636376795</v>
      </c>
      <c r="BZ317" s="1312">
        <f>CA316*((1+'Instrumentos Financeiros'!$L$43)^(1/12)-1)</f>
        <v>86.512110417177993</v>
      </c>
      <c r="CA317" s="1312">
        <f t="shared" si="213"/>
        <v>19725.309102427542</v>
      </c>
      <c r="CB317" s="1312">
        <f>IF(AND(C317&gt;$F$83,'Instrumentos Financeiros'!C317&lt;'Instrumentos Financeiros'!$F$83+'Instrumentos Financeiros'!$F$13+1),PMT(((1+'Instrumentos Financeiros'!$P$43)^(1/12)-1),$F$13,-$I$83),0)</f>
        <v>30503.390100238979</v>
      </c>
      <c r="CC317" s="1312">
        <f t="shared" si="214"/>
        <v>17787.601815514874</v>
      </c>
      <c r="CD317" s="1312">
        <f>CE316*((1+'Instrumentos Financeiros'!$P$43)^(1/12)-1)</f>
        <v>12715.788284724105</v>
      </c>
      <c r="CE317" s="1312">
        <f t="shared" si="215"/>
        <v>2922951.6499792188</v>
      </c>
      <c r="CF317" s="1312">
        <f>IF(AND(C317&gt;$F$84,'Instrumentos Financeiros'!C317&lt;'Instrumentos Financeiros'!$F$84+'Instrumentos Financeiros'!$F$13+1),PMT(((1+'Instrumentos Financeiros'!$Q$43)^(1/12)-1),$F$13,-$I$84),0)</f>
        <v>30503.390100238979</v>
      </c>
      <c r="CG317" s="1312">
        <f t="shared" si="216"/>
        <v>17558.841636687834</v>
      </c>
      <c r="CH317" s="1312">
        <f>CI316*((1+'Instrumentos Financeiros'!$Q$43)^(1/12)-1)</f>
        <v>12944.548463551146</v>
      </c>
      <c r="CI317" s="1312">
        <f t="shared" si="217"/>
        <v>2976085.0372296073</v>
      </c>
      <c r="CJ317" s="1312">
        <f>IF(AND(C317&gt;$F$85,'Instrumentos Financeiros'!C317&lt;'Instrumentos Financeiros'!$F$85+'Instrumentos Financeiros'!$F$13+1),PMT(((1+'Instrumentos Financeiros'!$Q$43)^(1/12)-1),$F$13,-$I$85),0)</f>
        <v>30503.390100238979</v>
      </c>
      <c r="CK317" s="1312">
        <f t="shared" si="218"/>
        <v>17333.023463194604</v>
      </c>
      <c r="CL317" s="1312">
        <f>CM316*((1+'Instrumentos Financeiros'!$Q$43)^(1/12)-1)</f>
        <v>13170.366637044375</v>
      </c>
      <c r="CM317" s="1312">
        <f t="shared" si="219"/>
        <v>3028535.0944113815</v>
      </c>
      <c r="CN317" s="1312">
        <f>IF(AND(C317&gt;$F$86,'Instrumentos Financeiros'!C317&lt;'Instrumentos Financeiros'!$F$86+'Instrumentos Financeiros'!$F$13+1),PMT(((1+'Instrumentos Financeiros'!$Q$43)^(1/12)-1),$F$13,-$I$86),0)</f>
        <v>30503.390100238979</v>
      </c>
      <c r="CO317" s="1312">
        <f t="shared" si="220"/>
        <v>17110.109458924777</v>
      </c>
      <c r="CP317" s="1312">
        <f>CQ316*((1+'Instrumentos Financeiros'!$Q$43)^(1/12)-1)</f>
        <v>13393.280641314203</v>
      </c>
      <c r="CQ317" s="1312">
        <f t="shared" si="221"/>
        <v>3080310.6095955982</v>
      </c>
      <c r="CR317" s="1312">
        <f t="shared" si="190"/>
        <v>521803.11063210916</v>
      </c>
      <c r="CS317" s="1312">
        <f t="shared" si="190"/>
        <v>406432.58682922134</v>
      </c>
      <c r="CT317" s="1312">
        <f t="shared" si="190"/>
        <v>115370.52380288779</v>
      </c>
      <c r="CU317" s="1312">
        <f t="shared" si="190"/>
        <v>26387566.260817122</v>
      </c>
    </row>
    <row r="318" spans="3:99" x14ac:dyDescent="0.35">
      <c r="C318" s="1315">
        <f t="shared" si="191"/>
        <v>225</v>
      </c>
      <c r="D318" s="1312">
        <f>IF(AND(C318&gt;$F$59,'Instrumentos Financeiros'!C318&lt;'Instrumentos Financeiros'!$F$59+'Instrumentos Financeiros'!$F$11+1),PMT(((1+'Instrumentos Financeiros'!$G$43)^(1/12)-1),$F$11,-$I$59),0)</f>
        <v>91768.589635900134</v>
      </c>
      <c r="E318" s="1312">
        <f t="shared" si="188"/>
        <v>83902.317939733955</v>
      </c>
      <c r="F318" s="1312">
        <f>G317*((1+'Instrumentos Financeiros'!$G$43)^(1/12)-1)</f>
        <v>7866.2716961661836</v>
      </c>
      <c r="G318" s="1312">
        <f t="shared" si="222"/>
        <v>1843254.9637136378</v>
      </c>
      <c r="H318" s="1312">
        <f>IF(AND(C318&gt;$F$60,'Instrumentos Financeiros'!C318&lt;'Instrumentos Financeiros'!$F$60+'Instrumentos Financeiros'!$F$11+1),PMT(((1+'Instrumentos Financeiros'!$G$43)^(1/12)-1),$F$11,-$I$60),0)</f>
        <v>0</v>
      </c>
      <c r="I318" s="1312">
        <f t="shared" si="174"/>
        <v>0</v>
      </c>
      <c r="J318" s="1312">
        <f>K317*((1+'Instrumentos Financeiros'!$G$43)^(1/12)-1)</f>
        <v>0</v>
      </c>
      <c r="K318" s="1312">
        <f t="shared" si="192"/>
        <v>0</v>
      </c>
      <c r="L318" s="1312">
        <f>IF(AND(C318&gt;$F$61,'Instrumentos Financeiros'!C318&lt;'Instrumentos Financeiros'!$F$61+'Instrumentos Financeiros'!$F$11+1),PMT(((1+'Instrumentos Financeiros'!$G$43)^(1/12)-1),$F$11,-$I$61),0)</f>
        <v>0</v>
      </c>
      <c r="M318" s="1312">
        <f t="shared" si="175"/>
        <v>0</v>
      </c>
      <c r="N318" s="1312">
        <f>O317*((1+'Instrumentos Financeiros'!$G$43)^(1/12)-1)</f>
        <v>0</v>
      </c>
      <c r="O318" s="1312">
        <f t="shared" si="193"/>
        <v>0</v>
      </c>
      <c r="P318" s="1312">
        <f>IF(AND(C318&gt;$F$62,'Instrumentos Financeiros'!C318&lt;'Instrumentos Financeiros'!$F$62+'Instrumentos Financeiros'!$F$11+1),PMT(((1+'Instrumentos Financeiros'!$H$43)^(1/12)-1),$F$11,-$I$62),0)</f>
        <v>0</v>
      </c>
      <c r="Q318" s="1312">
        <f t="shared" si="176"/>
        <v>0</v>
      </c>
      <c r="R318" s="1312">
        <f>S317*((1+'Instrumentos Financeiros'!$H$43)^(1/12)-1)</f>
        <v>0</v>
      </c>
      <c r="S318" s="1312">
        <f t="shared" si="194"/>
        <v>0</v>
      </c>
      <c r="T318" s="1312">
        <f>IF(AND(C318&gt;$F$63,'Instrumentos Financeiros'!C318&lt;'Instrumentos Financeiros'!$F$63+'Instrumentos Financeiros'!$F$11+1),PMT(((1+'Instrumentos Financeiros'!$H$43)^(1/12)-1),$F$11,-$I$63),0)</f>
        <v>0</v>
      </c>
      <c r="U318" s="1312">
        <f t="shared" si="177"/>
        <v>0</v>
      </c>
      <c r="V318" s="1312">
        <f>W317*((1+'Instrumentos Financeiros'!$H$43)^(1/12)-1)</f>
        <v>0</v>
      </c>
      <c r="W318" s="1312">
        <f t="shared" si="195"/>
        <v>0</v>
      </c>
      <c r="X318" s="1312">
        <f>IF(AND(C318&gt;$F$64,'Instrumentos Financeiros'!C318&lt;'Instrumentos Financeiros'!$F$64+'Instrumentos Financeiros'!$F$11+1),PMT(((1+'Instrumentos Financeiros'!$H$43)^(1/12)-1),$F$11,-$I$64),0)</f>
        <v>0</v>
      </c>
      <c r="Y318" s="1312">
        <f t="shared" si="178"/>
        <v>0</v>
      </c>
      <c r="Z318" s="1312">
        <f>AA317*((1+'Instrumentos Financeiros'!$H$43)^(1/12)-1)</f>
        <v>0</v>
      </c>
      <c r="AA318" s="1312">
        <f t="shared" si="196"/>
        <v>0</v>
      </c>
      <c r="AB318" s="1312">
        <f>IF(AND(C318&gt;$F$65,'Instrumentos Financeiros'!C318&lt;'Instrumentos Financeiros'!$F$65+'Instrumentos Financeiros'!$F$11+1),PMT(((1+'Instrumentos Financeiros'!$H$43)^(1/12)-1),$F$11,-$I$65),0)</f>
        <v>76636.661022032335</v>
      </c>
      <c r="AC318" s="1312">
        <f t="shared" si="179"/>
        <v>64488.570115963434</v>
      </c>
      <c r="AD318" s="1312">
        <f>AE317*((1+'Instrumentos Financeiros'!$H$43)^(1/12)-1)</f>
        <v>12148.090906068903</v>
      </c>
      <c r="AE318" s="1312">
        <f t="shared" si="197"/>
        <v>2744961.1440448435</v>
      </c>
      <c r="AF318" s="1312">
        <f>IF(AND(C318&gt;$F$66,'Instrumentos Financeiros'!C318&lt;'Instrumentos Financeiros'!$F$66+'Instrumentos Financeiros'!$F$11+1),PMT(((1+'Instrumentos Financeiros'!$I$43)^(1/12)-1),$F$11,-$I$66),0)</f>
        <v>76636.661022032335</v>
      </c>
      <c r="AG318" s="1312">
        <f t="shared" si="180"/>
        <v>63659.20497809755</v>
      </c>
      <c r="AH318" s="1312">
        <f>AI317*((1+'Instrumentos Financeiros'!$I$43)^(1/12)-1)</f>
        <v>12977.456043934784</v>
      </c>
      <c r="AI318" s="1312">
        <f t="shared" si="198"/>
        <v>2937595.103627108</v>
      </c>
      <c r="AJ318" s="1312">
        <f>IF(AND(C318&gt;$F$67,'Instrumentos Financeiros'!C318&lt;'Instrumentos Financeiros'!$F$67+'Instrumentos Financeiros'!$F$11+1),PMT(((1+'Instrumentos Financeiros'!$I$43)^(1/12)-1),$F$11,-$I$67),0)</f>
        <v>76636.661022032335</v>
      </c>
      <c r="AK318" s="1312">
        <f t="shared" si="181"/>
        <v>62840.50601767475</v>
      </c>
      <c r="AL318" s="1312">
        <f>AM317*((1+'Instrumentos Financeiros'!$I$43)^(1/12)-1)</f>
        <v>13796.155004357584</v>
      </c>
      <c r="AM318" s="1312">
        <f t="shared" si="199"/>
        <v>3127751.6646539494</v>
      </c>
      <c r="AN318" s="1312">
        <f>IF(AND(C318&gt;$F$68,'Instrumentos Financeiros'!C318&lt;'Instrumentos Financeiros'!$F$68+'Instrumentos Financeiros'!$F$11+1),PMT(((1+'Instrumentos Financeiros'!$I$43)^(1/12)-1),$F$11,-$I$68),0)</f>
        <v>76636.661022032335</v>
      </c>
      <c r="AO318" s="1312">
        <f t="shared" si="182"/>
        <v>62032.336060685593</v>
      </c>
      <c r="AP318" s="1312">
        <f>AQ317*((1+'Instrumentos Financeiros'!$I$43)^(1/12)-1)</f>
        <v>14604.324961346741</v>
      </c>
      <c r="AQ318" s="1312">
        <f t="shared" si="200"/>
        <v>3315462.6880891132</v>
      </c>
      <c r="AR318" s="1312">
        <f>IF(AND(C318&gt;$F$69,'Instrumentos Financeiros'!C318&lt;'Instrumentos Financeiros'!$F$69+'Instrumentos Financeiros'!$F$11+1),PMT(((1+'Instrumentos Financeiros'!$I$43)^(1/12)-1),$F$11,-$I$69),0)</f>
        <v>0</v>
      </c>
      <c r="AS318" s="1312">
        <f t="shared" si="183"/>
        <v>0</v>
      </c>
      <c r="AT318" s="1312">
        <f>AU317*((1+'Instrumentos Financeiros'!$I$43)^(1/12)-1)</f>
        <v>0</v>
      </c>
      <c r="AU318" s="1312">
        <f t="shared" si="201"/>
        <v>0</v>
      </c>
      <c r="AV318" s="1312">
        <f>IF(AND(C318&gt;$F$70,'Instrumentos Financeiros'!C318&lt;'Instrumentos Financeiros'!$F$70+'Instrumentos Financeiros'!$F$11+1),PMT(((1+'Instrumentos Financeiros'!$J$43)^(1/12)-1),$F$11,-$I$70),0)</f>
        <v>0</v>
      </c>
      <c r="AW318" s="1312">
        <f t="shared" si="184"/>
        <v>0</v>
      </c>
      <c r="AX318" s="1312">
        <f>AY317*((1+'Instrumentos Financeiros'!$J$43)^(1/12)-1)</f>
        <v>0</v>
      </c>
      <c r="AY318" s="1312">
        <f t="shared" si="202"/>
        <v>0</v>
      </c>
      <c r="AZ318" s="1312">
        <f>IF(AND(C318&gt;$F$71,'Instrumentos Financeiros'!C318&lt;'Instrumentos Financeiros'!$F$71+'Instrumentos Financeiros'!$F$11+1),PMT(((1+'Instrumentos Financeiros'!$J$43)^(1/12)-1),$F$11,-$I$71),0)</f>
        <v>0</v>
      </c>
      <c r="BA318" s="1312">
        <f t="shared" si="185"/>
        <v>0</v>
      </c>
      <c r="BB318" s="1312">
        <f>BC317*((1+'Instrumentos Financeiros'!$J$43)^(1/12)-1)</f>
        <v>0</v>
      </c>
      <c r="BC318" s="1312">
        <f t="shared" si="203"/>
        <v>0</v>
      </c>
      <c r="BD318" s="1312">
        <f>IF(AND(C318&gt;$F$72,'Instrumentos Financeiros'!C318&lt;'Instrumentos Financeiros'!$F$72+'Instrumentos Financeiros'!$F$11+1),PMT(((1+'Instrumentos Financeiros'!$J$43)^(1/12)-1),$F$11,-'Instrumentos Financeiros'!$G$7*$G$72),0)</f>
        <v>0</v>
      </c>
      <c r="BE318" s="1312">
        <f t="shared" si="186"/>
        <v>0</v>
      </c>
      <c r="BF318" s="1312">
        <f>BG317*((1+'Instrumentos Financeiros'!$J$43)^(1/12)-1)</f>
        <v>0</v>
      </c>
      <c r="BG318" s="1312">
        <f t="shared" si="204"/>
        <v>0</v>
      </c>
      <c r="BH318" s="1312">
        <f>IF(AND(C318&gt;$F$73,'Instrumentos Financeiros'!C318&lt;'Instrumentos Financeiros'!$F$73+'Instrumentos Financeiros'!$F$11+1),PMT(((1+'Instrumentos Financeiros'!$J$43)^(1/12)-1),$F$11,-$I$73),0)</f>
        <v>0</v>
      </c>
      <c r="BI318" s="1312">
        <f t="shared" si="187"/>
        <v>0</v>
      </c>
      <c r="BJ318" s="1312">
        <f>BK317*((1+'Instrumentos Financeiros'!$J$43)^(1/12)-1)</f>
        <v>0</v>
      </c>
      <c r="BK318" s="1312">
        <f t="shared" si="205"/>
        <v>0</v>
      </c>
      <c r="BL318" s="1312">
        <f>IF(AND(C318&gt;$F$77,'Instrumentos Financeiros'!C318&lt;'Instrumentos Financeiros'!$F$77+'Instrumentos Financeiros'!$F$12+1),PMT(((1+'Instrumentos Financeiros'!$K$43)^(1/12)-1),$F$12,-$I$77),0)</f>
        <v>368.57912678094596</v>
      </c>
      <c r="BM318" s="1312">
        <f t="shared" si="206"/>
        <v>294.5037041155295</v>
      </c>
      <c r="BN318" s="1312">
        <f>BO317*((1+'Instrumentos Financeiros'!$K$43)^(1/12)-1)</f>
        <v>74.07542266541644</v>
      </c>
      <c r="BO318" s="1312">
        <f t="shared" si="207"/>
        <v>16836.679840924266</v>
      </c>
      <c r="BP318" s="1312">
        <f>IF(AND(C318&gt;$F$78,'Instrumentos Financeiros'!C318&lt;'Instrumentos Financeiros'!$F$78+'Instrumentos Financeiros'!$F$12+1),PMT(((1+'Instrumentos Financeiros'!$L$43)^(1/12)-1),$F$12,-$I$78),0)</f>
        <v>368.57912678094596</v>
      </c>
      <c r="BQ318" s="1312">
        <f t="shared" si="208"/>
        <v>290.71619410055206</v>
      </c>
      <c r="BR318" s="1312">
        <f>BS317*((1+'Instrumentos Financeiros'!$L$43)^(1/12)-1)</f>
        <v>77.862932680393897</v>
      </c>
      <c r="BS318" s="1312">
        <f t="shared" si="209"/>
        <v>17716.392548670825</v>
      </c>
      <c r="BT318" s="1312">
        <f>IF(AND(C318&gt;$F$79,'Instrumentos Financeiros'!C318&lt;'Instrumentos Financeiros'!$F$79+'Instrumentos Financeiros'!$F$12+1),PMT(((1+'Instrumentos Financeiros'!$L$43)^(1/12)-1),$F$12,-$I$79),0)</f>
        <v>368.57912678094596</v>
      </c>
      <c r="BU318" s="1312">
        <f t="shared" si="210"/>
        <v>286.97739393850031</v>
      </c>
      <c r="BV318" s="1312">
        <f>BW317*((1+'Instrumentos Financeiros'!$L$43)^(1/12)-1)</f>
        <v>81.601732842445628</v>
      </c>
      <c r="BW318" s="1312">
        <f t="shared" si="211"/>
        <v>18584.791576336858</v>
      </c>
      <c r="BX318" s="1312">
        <f>IF(AND(C318&gt;$F$80,'Instrumentos Financeiros'!C318&lt;'Instrumentos Financeiros'!$F$80+'Instrumentos Financeiros'!$F$12+1),PMT(((1+'Instrumentos Financeiros'!$L$43)^(1/12)-1),$F$12,-$I$80),0)</f>
        <v>368.57912678094596</v>
      </c>
      <c r="BY318" s="1312">
        <f t="shared" si="212"/>
        <v>283.28667718884674</v>
      </c>
      <c r="BZ318" s="1312">
        <f>CA317*((1+'Instrumentos Financeiros'!$L$43)^(1/12)-1)</f>
        <v>85.292449592099217</v>
      </c>
      <c r="CA318" s="1312">
        <f t="shared" si="213"/>
        <v>19442.022425238694</v>
      </c>
      <c r="CB318" s="1312">
        <f>IF(AND(C318&gt;$F$83,'Instrumentos Financeiros'!C318&lt;'Instrumentos Financeiros'!$F$83+'Instrumentos Financeiros'!$F$13+1),PMT(((1+'Instrumentos Financeiros'!$P$43)^(1/12)-1),$F$13,-$I$83),0)</f>
        <v>30503.390100238979</v>
      </c>
      <c r="CC318" s="1312">
        <f t="shared" si="214"/>
        <v>17864.515597871137</v>
      </c>
      <c r="CD318" s="1312">
        <f>CE317*((1+'Instrumentos Financeiros'!$P$43)^(1/12)-1)</f>
        <v>12638.874502367842</v>
      </c>
      <c r="CE318" s="1312">
        <f t="shared" si="215"/>
        <v>2905087.1343813478</v>
      </c>
      <c r="CF318" s="1312">
        <f>IF(AND(C318&gt;$F$84,'Instrumentos Financeiros'!C318&lt;'Instrumentos Financeiros'!$F$84+'Instrumentos Financeiros'!$F$13+1),PMT(((1+'Instrumentos Financeiros'!$Q$43)^(1/12)-1),$F$13,-$I$84),0)</f>
        <v>30503.390100238979</v>
      </c>
      <c r="CG318" s="1312">
        <f t="shared" si="216"/>
        <v>17634.766257560241</v>
      </c>
      <c r="CH318" s="1312">
        <f>CI317*((1+'Instrumentos Financeiros'!$Q$43)^(1/12)-1)</f>
        <v>12868.623842678739</v>
      </c>
      <c r="CI318" s="1312">
        <f t="shared" si="217"/>
        <v>2958450.270972047</v>
      </c>
      <c r="CJ318" s="1312">
        <f>IF(AND(C318&gt;$F$85,'Instrumentos Financeiros'!C318&lt;'Instrumentos Financeiros'!$F$85+'Instrumentos Financeiros'!$F$13+1),PMT(((1+'Instrumentos Financeiros'!$Q$43)^(1/12)-1),$F$13,-$I$85),0)</f>
        <v>30503.390100238979</v>
      </c>
      <c r="CK318" s="1312">
        <f t="shared" si="218"/>
        <v>17407.971643845995</v>
      </c>
      <c r="CL318" s="1312">
        <f>CM317*((1+'Instrumentos Financeiros'!$Q$43)^(1/12)-1)</f>
        <v>13095.418456392987</v>
      </c>
      <c r="CM318" s="1312">
        <f t="shared" si="219"/>
        <v>3011127.1227675355</v>
      </c>
      <c r="CN318" s="1312">
        <f>IF(AND(C318&gt;$F$86,'Instrumentos Financeiros'!C318&lt;'Instrumentos Financeiros'!$F$86+'Instrumentos Financeiros'!$F$13+1),PMT(((1+'Instrumentos Financeiros'!$Q$43)^(1/12)-1),$F$13,-$I$86),0)</f>
        <v>30503.390100238979</v>
      </c>
      <c r="CO318" s="1312">
        <f t="shared" si="220"/>
        <v>17184.093757014234</v>
      </c>
      <c r="CP318" s="1312">
        <f>CQ317*((1+'Instrumentos Financeiros'!$Q$43)^(1/12)-1)</f>
        <v>13319.296343224747</v>
      </c>
      <c r="CQ318" s="1312">
        <f t="shared" si="221"/>
        <v>3063126.5158385839</v>
      </c>
      <c r="CR318" s="1312">
        <f t="shared" si="190"/>
        <v>521803.11063210916</v>
      </c>
      <c r="CS318" s="1312">
        <f t="shared" si="190"/>
        <v>408169.76633779035</v>
      </c>
      <c r="CT318" s="1312">
        <f t="shared" si="190"/>
        <v>113633.34429431887</v>
      </c>
      <c r="CU318" s="1312">
        <f t="shared" si="190"/>
        <v>25979396.494479336</v>
      </c>
    </row>
    <row r="319" spans="3:99" x14ac:dyDescent="0.35">
      <c r="C319" s="1315">
        <f t="shared" si="191"/>
        <v>226</v>
      </c>
      <c r="D319" s="1312">
        <f>IF(AND(C319&gt;$F$59,'Instrumentos Financeiros'!C319&lt;'Instrumentos Financeiros'!$F$59+'Instrumentos Financeiros'!$F$11+1),PMT(((1+'Instrumentos Financeiros'!$G$43)^(1/12)-1),$F$11,-$I$59),0)</f>
        <v>91768.589635900134</v>
      </c>
      <c r="E319" s="1312">
        <f t="shared" si="188"/>
        <v>84244.790469161249</v>
      </c>
      <c r="F319" s="1312">
        <f>G318*((1+'Instrumentos Financeiros'!$G$43)^(1/12)-1)</f>
        <v>7523.799166738886</v>
      </c>
      <c r="G319" s="1312">
        <f t="shared" si="222"/>
        <v>1759010.1732444766</v>
      </c>
      <c r="H319" s="1312">
        <f>IF(AND(C319&gt;$F$60,'Instrumentos Financeiros'!C319&lt;'Instrumentos Financeiros'!$F$60+'Instrumentos Financeiros'!$F$11+1),PMT(((1+'Instrumentos Financeiros'!$G$43)^(1/12)-1),$F$11,-$I$60),0)</f>
        <v>0</v>
      </c>
      <c r="I319" s="1312">
        <f t="shared" si="174"/>
        <v>0</v>
      </c>
      <c r="J319" s="1312">
        <f>K318*((1+'Instrumentos Financeiros'!$G$43)^(1/12)-1)</f>
        <v>0</v>
      </c>
      <c r="K319" s="1312">
        <f t="shared" si="192"/>
        <v>0</v>
      </c>
      <c r="L319" s="1312">
        <f>IF(AND(C319&gt;$F$61,'Instrumentos Financeiros'!C319&lt;'Instrumentos Financeiros'!$F$61+'Instrumentos Financeiros'!$F$11+1),PMT(((1+'Instrumentos Financeiros'!$G$43)^(1/12)-1),$F$11,-$I$61),0)</f>
        <v>0</v>
      </c>
      <c r="M319" s="1312">
        <f t="shared" si="175"/>
        <v>0</v>
      </c>
      <c r="N319" s="1312">
        <f>O318*((1+'Instrumentos Financeiros'!$G$43)^(1/12)-1)</f>
        <v>0</v>
      </c>
      <c r="O319" s="1312">
        <f t="shared" si="193"/>
        <v>0</v>
      </c>
      <c r="P319" s="1312">
        <f>IF(AND(C319&gt;$F$62,'Instrumentos Financeiros'!C319&lt;'Instrumentos Financeiros'!$F$62+'Instrumentos Financeiros'!$F$11+1),PMT(((1+'Instrumentos Financeiros'!$H$43)^(1/12)-1),$F$11,-$I$62),0)</f>
        <v>0</v>
      </c>
      <c r="Q319" s="1312">
        <f t="shared" si="176"/>
        <v>0</v>
      </c>
      <c r="R319" s="1312">
        <f>S318*((1+'Instrumentos Financeiros'!$H$43)^(1/12)-1)</f>
        <v>0</v>
      </c>
      <c r="S319" s="1312">
        <f t="shared" si="194"/>
        <v>0</v>
      </c>
      <c r="T319" s="1312">
        <f>IF(AND(C319&gt;$F$63,'Instrumentos Financeiros'!C319&lt;'Instrumentos Financeiros'!$F$63+'Instrumentos Financeiros'!$F$11+1),PMT(((1+'Instrumentos Financeiros'!$H$43)^(1/12)-1),$F$11,-$I$63),0)</f>
        <v>0</v>
      </c>
      <c r="U319" s="1312">
        <f t="shared" si="177"/>
        <v>0</v>
      </c>
      <c r="V319" s="1312">
        <f>W318*((1+'Instrumentos Financeiros'!$H$43)^(1/12)-1)</f>
        <v>0</v>
      </c>
      <c r="W319" s="1312">
        <f t="shared" si="195"/>
        <v>0</v>
      </c>
      <c r="X319" s="1312">
        <f>IF(AND(C319&gt;$F$64,'Instrumentos Financeiros'!C319&lt;'Instrumentos Financeiros'!$F$64+'Instrumentos Financeiros'!$F$11+1),PMT(((1+'Instrumentos Financeiros'!$H$43)^(1/12)-1),$F$11,-$I$64),0)</f>
        <v>0</v>
      </c>
      <c r="Y319" s="1312">
        <f t="shared" si="178"/>
        <v>0</v>
      </c>
      <c r="Z319" s="1312">
        <f>AA318*((1+'Instrumentos Financeiros'!$H$43)^(1/12)-1)</f>
        <v>0</v>
      </c>
      <c r="AA319" s="1312">
        <f t="shared" si="196"/>
        <v>0</v>
      </c>
      <c r="AB319" s="1312">
        <f>IF(AND(C319&gt;$F$65,'Instrumentos Financeiros'!C319&lt;'Instrumentos Financeiros'!$F$65+'Instrumentos Financeiros'!$F$11+1),PMT(((1+'Instrumentos Financeiros'!$H$43)^(1/12)-1),$F$11,-$I$65),0)</f>
        <v>76636.661022032335</v>
      </c>
      <c r="AC319" s="1312">
        <f t="shared" si="179"/>
        <v>64767.419389620969</v>
      </c>
      <c r="AD319" s="1312">
        <f>AE318*((1+'Instrumentos Financeiros'!$H$43)^(1/12)-1)</f>
        <v>11869.241632411364</v>
      </c>
      <c r="AE319" s="1312">
        <f t="shared" si="197"/>
        <v>2680193.7246552226</v>
      </c>
      <c r="AF319" s="1312">
        <f>IF(AND(C319&gt;$F$66,'Instrumentos Financeiros'!C319&lt;'Instrumentos Financeiros'!$F$66+'Instrumentos Financeiros'!$F$11+1),PMT(((1+'Instrumentos Financeiros'!$I$43)^(1/12)-1),$F$11,-$I$66),0)</f>
        <v>76636.661022032335</v>
      </c>
      <c r="AG319" s="1312">
        <f t="shared" si="180"/>
        <v>63934.468067941823</v>
      </c>
      <c r="AH319" s="1312">
        <f>AI318*((1+'Instrumentos Financeiros'!$I$43)^(1/12)-1)</f>
        <v>12702.192954090513</v>
      </c>
      <c r="AI319" s="1312">
        <f t="shared" si="198"/>
        <v>2873660.6355591663</v>
      </c>
      <c r="AJ319" s="1312">
        <f>IF(AND(C319&gt;$F$67,'Instrumentos Financeiros'!C319&lt;'Instrumentos Financeiros'!$F$67+'Instrumentos Financeiros'!$F$11+1),PMT(((1+'Instrumentos Financeiros'!$I$43)^(1/12)-1),$F$11,-$I$67),0)</f>
        <v>76636.661022032335</v>
      </c>
      <c r="AK319" s="1312">
        <f t="shared" si="181"/>
        <v>63112.229044372209</v>
      </c>
      <c r="AL319" s="1312">
        <f>AM318*((1+'Instrumentos Financeiros'!$I$43)^(1/12)-1)</f>
        <v>13524.431977660126</v>
      </c>
      <c r="AM319" s="1312">
        <f t="shared" si="199"/>
        <v>3064639.4356095772</v>
      </c>
      <c r="AN319" s="1312">
        <f>IF(AND(C319&gt;$F$68,'Instrumentos Financeiros'!C319&lt;'Instrumentos Financeiros'!$F$68+'Instrumentos Financeiros'!$F$11+1),PMT(((1+'Instrumentos Financeiros'!$I$43)^(1/12)-1),$F$11,-$I$68),0)</f>
        <v>76636.661022032335</v>
      </c>
      <c r="AO319" s="1312">
        <f t="shared" si="182"/>
        <v>62300.564551760799</v>
      </c>
      <c r="AP319" s="1312">
        <f>AQ318*((1+'Instrumentos Financeiros'!$I$43)^(1/12)-1)</f>
        <v>14336.096470271536</v>
      </c>
      <c r="AQ319" s="1312">
        <f t="shared" si="200"/>
        <v>3253162.1235373523</v>
      </c>
      <c r="AR319" s="1312">
        <f>IF(AND(C319&gt;$F$69,'Instrumentos Financeiros'!C319&lt;'Instrumentos Financeiros'!$F$69+'Instrumentos Financeiros'!$F$11+1),PMT(((1+'Instrumentos Financeiros'!$I$43)^(1/12)-1),$F$11,-$I$69),0)</f>
        <v>0</v>
      </c>
      <c r="AS319" s="1312">
        <f t="shared" si="183"/>
        <v>0</v>
      </c>
      <c r="AT319" s="1312">
        <f>AU318*((1+'Instrumentos Financeiros'!$I$43)^(1/12)-1)</f>
        <v>0</v>
      </c>
      <c r="AU319" s="1312">
        <f t="shared" si="201"/>
        <v>0</v>
      </c>
      <c r="AV319" s="1312">
        <f>IF(AND(C319&gt;$F$70,'Instrumentos Financeiros'!C319&lt;'Instrumentos Financeiros'!$F$70+'Instrumentos Financeiros'!$F$11+1),PMT(((1+'Instrumentos Financeiros'!$J$43)^(1/12)-1),$F$11,-$I$70),0)</f>
        <v>0</v>
      </c>
      <c r="AW319" s="1312">
        <f t="shared" si="184"/>
        <v>0</v>
      </c>
      <c r="AX319" s="1312">
        <f>AY318*((1+'Instrumentos Financeiros'!$J$43)^(1/12)-1)</f>
        <v>0</v>
      </c>
      <c r="AY319" s="1312">
        <f t="shared" si="202"/>
        <v>0</v>
      </c>
      <c r="AZ319" s="1312">
        <f>IF(AND(C319&gt;$F$71,'Instrumentos Financeiros'!C319&lt;'Instrumentos Financeiros'!$F$71+'Instrumentos Financeiros'!$F$11+1),PMT(((1+'Instrumentos Financeiros'!$J$43)^(1/12)-1),$F$11,-$I$71),0)</f>
        <v>0</v>
      </c>
      <c r="BA319" s="1312">
        <f t="shared" si="185"/>
        <v>0</v>
      </c>
      <c r="BB319" s="1312">
        <f>BC318*((1+'Instrumentos Financeiros'!$J$43)^(1/12)-1)</f>
        <v>0</v>
      </c>
      <c r="BC319" s="1312">
        <f t="shared" si="203"/>
        <v>0</v>
      </c>
      <c r="BD319" s="1312">
        <f>IF(AND(C319&gt;$F$72,'Instrumentos Financeiros'!C319&lt;'Instrumentos Financeiros'!$F$72+'Instrumentos Financeiros'!$F$11+1),PMT(((1+'Instrumentos Financeiros'!$J$43)^(1/12)-1),$F$11,-'Instrumentos Financeiros'!$G$7*$G$72),0)</f>
        <v>0</v>
      </c>
      <c r="BE319" s="1312">
        <f t="shared" si="186"/>
        <v>0</v>
      </c>
      <c r="BF319" s="1312">
        <f>BG318*((1+'Instrumentos Financeiros'!$J$43)^(1/12)-1)</f>
        <v>0</v>
      </c>
      <c r="BG319" s="1312">
        <f t="shared" si="204"/>
        <v>0</v>
      </c>
      <c r="BH319" s="1312">
        <f>IF(AND(C319&gt;$F$73,'Instrumentos Financeiros'!C319&lt;'Instrumentos Financeiros'!$F$73+'Instrumentos Financeiros'!$F$11+1),PMT(((1+'Instrumentos Financeiros'!$J$43)^(1/12)-1),$F$11,-$I$73),0)</f>
        <v>0</v>
      </c>
      <c r="BI319" s="1312">
        <f t="shared" si="187"/>
        <v>0</v>
      </c>
      <c r="BJ319" s="1312">
        <f>BK318*((1+'Instrumentos Financeiros'!$J$43)^(1/12)-1)</f>
        <v>0</v>
      </c>
      <c r="BK319" s="1312">
        <f t="shared" si="205"/>
        <v>0</v>
      </c>
      <c r="BL319" s="1312">
        <f>IF(AND(C319&gt;$F$77,'Instrumentos Financeiros'!C319&lt;'Instrumentos Financeiros'!$F$77+'Instrumentos Financeiros'!$F$12+1),PMT(((1+'Instrumentos Financeiros'!$K$43)^(1/12)-1),$F$12,-$I$77),0)</f>
        <v>368.57912678094596</v>
      </c>
      <c r="BM319" s="1312">
        <f t="shared" si="206"/>
        <v>295.77714131276304</v>
      </c>
      <c r="BN319" s="1312">
        <f>BO318*((1+'Instrumentos Financeiros'!$K$43)^(1/12)-1)</f>
        <v>72.801985468182906</v>
      </c>
      <c r="BO319" s="1312">
        <f t="shared" si="207"/>
        <v>16540.902699611503</v>
      </c>
      <c r="BP319" s="1312">
        <f>IF(AND(C319&gt;$F$78,'Instrumentos Financeiros'!C319&lt;'Instrumentos Financeiros'!$F$78+'Instrumentos Financeiros'!$F$12+1),PMT(((1+'Instrumentos Financeiros'!$L$43)^(1/12)-1),$F$12,-$I$78),0)</f>
        <v>368.57912678094596</v>
      </c>
      <c r="BQ319" s="1312">
        <f t="shared" si="208"/>
        <v>291.97325406357572</v>
      </c>
      <c r="BR319" s="1312">
        <f>BS318*((1+'Instrumentos Financeiros'!$L$43)^(1/12)-1)</f>
        <v>76.605872717370218</v>
      </c>
      <c r="BS319" s="1312">
        <f t="shared" si="209"/>
        <v>17424.419294607251</v>
      </c>
      <c r="BT319" s="1312">
        <f>IF(AND(C319&gt;$F$79,'Instrumentos Financeiros'!C319&lt;'Instrumentos Financeiros'!$F$79+'Instrumentos Financeiros'!$F$12+1),PMT(((1+'Instrumentos Financeiros'!$L$43)^(1/12)-1),$F$12,-$I$79),0)</f>
        <v>368.57912678094596</v>
      </c>
      <c r="BU319" s="1312">
        <f t="shared" si="210"/>
        <v>288.2182872892443</v>
      </c>
      <c r="BV319" s="1312">
        <f>BW318*((1+'Instrumentos Financeiros'!$L$43)^(1/12)-1)</f>
        <v>80.360839491701668</v>
      </c>
      <c r="BW319" s="1312">
        <f t="shared" si="211"/>
        <v>18296.573289047614</v>
      </c>
      <c r="BX319" s="1312">
        <f>IF(AND(C319&gt;$F$80,'Instrumentos Financeiros'!C319&lt;'Instrumentos Financeiros'!$F$80+'Instrumentos Financeiros'!$F$12+1),PMT(((1+'Instrumentos Financeiros'!$L$43)^(1/12)-1),$F$12,-$I$80),0)</f>
        <v>368.57912678094596</v>
      </c>
      <c r="BY319" s="1312">
        <f t="shared" si="212"/>
        <v>284.51161184050545</v>
      </c>
      <c r="BZ319" s="1312">
        <f>CA318*((1+'Instrumentos Financeiros'!$L$43)^(1/12)-1)</f>
        <v>84.067514940440475</v>
      </c>
      <c r="CA319" s="1312">
        <f t="shared" si="213"/>
        <v>19157.510813398188</v>
      </c>
      <c r="CB319" s="1312">
        <f>IF(AND(C319&gt;$F$83,'Instrumentos Financeiros'!C319&lt;'Instrumentos Financeiros'!$F$83+'Instrumentos Financeiros'!$F$13+1),PMT(((1+'Instrumentos Financeiros'!$P$43)^(1/12)-1),$F$13,-$I$83),0)</f>
        <v>30503.390100238979</v>
      </c>
      <c r="CC319" s="1312">
        <f t="shared" si="214"/>
        <v>17941.76195625298</v>
      </c>
      <c r="CD319" s="1312">
        <f>CE318*((1+'Instrumentos Financeiros'!$P$43)^(1/12)-1)</f>
        <v>12561.628143986001</v>
      </c>
      <c r="CE319" s="1312">
        <f t="shared" si="215"/>
        <v>2887145.3724250947</v>
      </c>
      <c r="CF319" s="1312">
        <f>IF(AND(C319&gt;$F$84,'Instrumentos Financeiros'!C319&lt;'Instrumentos Financeiros'!$F$84+'Instrumentos Financeiros'!$F$13+1),PMT(((1+'Instrumentos Financeiros'!$Q$43)^(1/12)-1),$F$13,-$I$84),0)</f>
        <v>30503.390100238979</v>
      </c>
      <c r="CG319" s="1312">
        <f t="shared" si="216"/>
        <v>17711.019177313286</v>
      </c>
      <c r="CH319" s="1312">
        <f>CI318*((1+'Instrumentos Financeiros'!$Q$43)^(1/12)-1)</f>
        <v>12792.370922925693</v>
      </c>
      <c r="CI319" s="1312">
        <f t="shared" si="217"/>
        <v>2940739.2517947336</v>
      </c>
      <c r="CJ319" s="1312">
        <f>IF(AND(C319&gt;$F$85,'Instrumentos Financeiros'!C319&lt;'Instrumentos Financeiros'!$F$85+'Instrumentos Financeiros'!$F$13+1),PMT(((1+'Instrumentos Financeiros'!$Q$43)^(1/12)-1),$F$13,-$I$85),0)</f>
        <v>30503.390100238979</v>
      </c>
      <c r="CK319" s="1312">
        <f t="shared" si="218"/>
        <v>17483.243901239955</v>
      </c>
      <c r="CL319" s="1312">
        <f>CM318*((1+'Instrumentos Financeiros'!$Q$43)^(1/12)-1)</f>
        <v>13020.146198999022</v>
      </c>
      <c r="CM319" s="1312">
        <f t="shared" si="219"/>
        <v>2993643.8788662953</v>
      </c>
      <c r="CN319" s="1312">
        <f>IF(AND(C319&gt;$F$86,'Instrumentos Financeiros'!C319&lt;'Instrumentos Financeiros'!$F$86+'Instrumentos Financeiros'!$F$13+1),PMT(((1+'Instrumentos Financeiros'!$Q$43)^(1/12)-1),$F$13,-$I$86),0)</f>
        <v>30503.390100238979</v>
      </c>
      <c r="CO319" s="1312">
        <f t="shared" si="220"/>
        <v>17258.397964007658</v>
      </c>
      <c r="CP319" s="1312">
        <f>CQ318*((1+'Instrumentos Financeiros'!$Q$43)^(1/12)-1)</f>
        <v>13244.992136231323</v>
      </c>
      <c r="CQ319" s="1312">
        <f t="shared" si="221"/>
        <v>3045868.1178745762</v>
      </c>
      <c r="CR319" s="1312">
        <f t="shared" si="190"/>
        <v>521803.11063210916</v>
      </c>
      <c r="CS319" s="1312">
        <f t="shared" si="190"/>
        <v>409914.37481617706</v>
      </c>
      <c r="CT319" s="1312">
        <f t="shared" si="190"/>
        <v>111888.73581593216</v>
      </c>
      <c r="CU319" s="1312">
        <f t="shared" si="190"/>
        <v>25569482.119663164</v>
      </c>
    </row>
    <row r="320" spans="3:99" x14ac:dyDescent="0.35">
      <c r="C320" s="1315">
        <f t="shared" si="191"/>
        <v>227</v>
      </c>
      <c r="D320" s="1312">
        <f>IF(AND(C320&gt;$F$59,'Instrumentos Financeiros'!C320&lt;'Instrumentos Financeiros'!$F$59+'Instrumentos Financeiros'!$F$11+1),PMT(((1+'Instrumentos Financeiros'!$G$43)^(1/12)-1),$F$11,-$I$59),0)</f>
        <v>91768.589635900134</v>
      </c>
      <c r="E320" s="1312">
        <f t="shared" si="188"/>
        <v>84588.660903155338</v>
      </c>
      <c r="F320" s="1312">
        <f>G319*((1+'Instrumentos Financeiros'!$G$43)^(1/12)-1)</f>
        <v>7179.9287327447973</v>
      </c>
      <c r="G320" s="1312">
        <f t="shared" si="222"/>
        <v>1674421.5123413212</v>
      </c>
      <c r="H320" s="1312">
        <f>IF(AND(C320&gt;$F$60,'Instrumentos Financeiros'!C320&lt;'Instrumentos Financeiros'!$F$60+'Instrumentos Financeiros'!$F$11+1),PMT(((1+'Instrumentos Financeiros'!$G$43)^(1/12)-1),$F$11,-$I$60),0)</f>
        <v>0</v>
      </c>
      <c r="I320" s="1312">
        <f t="shared" si="174"/>
        <v>0</v>
      </c>
      <c r="J320" s="1312">
        <f>K319*((1+'Instrumentos Financeiros'!$G$43)^(1/12)-1)</f>
        <v>0</v>
      </c>
      <c r="K320" s="1312">
        <f t="shared" si="192"/>
        <v>0</v>
      </c>
      <c r="L320" s="1312">
        <f>IF(AND(C320&gt;$F$61,'Instrumentos Financeiros'!C320&lt;'Instrumentos Financeiros'!$F$61+'Instrumentos Financeiros'!$F$11+1),PMT(((1+'Instrumentos Financeiros'!$G$43)^(1/12)-1),$F$11,-$I$61),0)</f>
        <v>0</v>
      </c>
      <c r="M320" s="1312">
        <f t="shared" si="175"/>
        <v>0</v>
      </c>
      <c r="N320" s="1312">
        <f>O319*((1+'Instrumentos Financeiros'!$G$43)^(1/12)-1)</f>
        <v>0</v>
      </c>
      <c r="O320" s="1312">
        <f t="shared" si="193"/>
        <v>0</v>
      </c>
      <c r="P320" s="1312">
        <f>IF(AND(C320&gt;$F$62,'Instrumentos Financeiros'!C320&lt;'Instrumentos Financeiros'!$F$62+'Instrumentos Financeiros'!$F$11+1),PMT(((1+'Instrumentos Financeiros'!$H$43)^(1/12)-1),$F$11,-$I$62),0)</f>
        <v>0</v>
      </c>
      <c r="Q320" s="1312">
        <f t="shared" si="176"/>
        <v>0</v>
      </c>
      <c r="R320" s="1312">
        <f>S319*((1+'Instrumentos Financeiros'!$H$43)^(1/12)-1)</f>
        <v>0</v>
      </c>
      <c r="S320" s="1312">
        <f t="shared" si="194"/>
        <v>0</v>
      </c>
      <c r="T320" s="1312">
        <f>IF(AND(C320&gt;$F$63,'Instrumentos Financeiros'!C320&lt;'Instrumentos Financeiros'!$F$63+'Instrumentos Financeiros'!$F$11+1),PMT(((1+'Instrumentos Financeiros'!$H$43)^(1/12)-1),$F$11,-$I$63),0)</f>
        <v>0</v>
      </c>
      <c r="U320" s="1312">
        <f t="shared" si="177"/>
        <v>0</v>
      </c>
      <c r="V320" s="1312">
        <f>W319*((1+'Instrumentos Financeiros'!$H$43)^(1/12)-1)</f>
        <v>0</v>
      </c>
      <c r="W320" s="1312">
        <f t="shared" si="195"/>
        <v>0</v>
      </c>
      <c r="X320" s="1312">
        <f>IF(AND(C320&gt;$F$64,'Instrumentos Financeiros'!C320&lt;'Instrumentos Financeiros'!$F$64+'Instrumentos Financeiros'!$F$11+1),PMT(((1+'Instrumentos Financeiros'!$H$43)^(1/12)-1),$F$11,-$I$64),0)</f>
        <v>0</v>
      </c>
      <c r="Y320" s="1312">
        <f t="shared" si="178"/>
        <v>0</v>
      </c>
      <c r="Z320" s="1312">
        <f>AA319*((1+'Instrumentos Financeiros'!$H$43)^(1/12)-1)</f>
        <v>0</v>
      </c>
      <c r="AA320" s="1312">
        <f t="shared" si="196"/>
        <v>0</v>
      </c>
      <c r="AB320" s="1312">
        <f>IF(AND(C320&gt;$F$65,'Instrumentos Financeiros'!C320&lt;'Instrumentos Financeiros'!$F$65+'Instrumentos Financeiros'!$F$11+1),PMT(((1+'Instrumentos Financeiros'!$H$43)^(1/12)-1),$F$11,-$I$65),0)</f>
        <v>76636.661022032335</v>
      </c>
      <c r="AC320" s="1312">
        <f t="shared" si="179"/>
        <v>65047.474410549374</v>
      </c>
      <c r="AD320" s="1312">
        <f>AE319*((1+'Instrumentos Financeiros'!$H$43)^(1/12)-1)</f>
        <v>11589.186611482959</v>
      </c>
      <c r="AE320" s="1312">
        <f t="shared" si="197"/>
        <v>2615146.2502446733</v>
      </c>
      <c r="AF320" s="1312">
        <f>IF(AND(C320&gt;$F$66,'Instrumentos Financeiros'!C320&lt;'Instrumentos Financeiros'!$F$66+'Instrumentos Financeiros'!$F$11+1),PMT(((1+'Instrumentos Financeiros'!$I$43)^(1/12)-1),$F$11,-$I$66),0)</f>
        <v>76636.661022032335</v>
      </c>
      <c r="AG320" s="1312">
        <f t="shared" si="180"/>
        <v>64210.921398359416</v>
      </c>
      <c r="AH320" s="1312">
        <f>AI319*((1+'Instrumentos Financeiros'!$I$43)^(1/12)-1)</f>
        <v>12425.739623672918</v>
      </c>
      <c r="AI320" s="1312">
        <f t="shared" si="198"/>
        <v>2809449.714160807</v>
      </c>
      <c r="AJ320" s="1312">
        <f>IF(AND(C320&gt;$F$67,'Instrumentos Financeiros'!C320&lt;'Instrumentos Financeiros'!$F$67+'Instrumentos Financeiros'!$F$11+1),PMT(((1+'Instrumentos Financeiros'!$I$43)^(1/12)-1),$F$11,-$I$67),0)</f>
        <v>76636.661022032335</v>
      </c>
      <c r="AK320" s="1312">
        <f t="shared" si="181"/>
        <v>63385.127004371716</v>
      </c>
      <c r="AL320" s="1312">
        <f>AM319*((1+'Instrumentos Financeiros'!$I$43)^(1/12)-1)</f>
        <v>13251.534017660621</v>
      </c>
      <c r="AM320" s="1312">
        <f t="shared" si="199"/>
        <v>3001254.3086052057</v>
      </c>
      <c r="AN320" s="1312">
        <f>IF(AND(C320&gt;$F$68,'Instrumentos Financeiros'!C320&lt;'Instrumentos Financeiros'!$F$68+'Instrumentos Financeiros'!$F$11+1),PMT(((1+'Instrumentos Financeiros'!$I$43)^(1/12)-1),$F$11,-$I$68),0)</f>
        <v>76636.661022032335</v>
      </c>
      <c r="AO320" s="1312">
        <f t="shared" si="182"/>
        <v>62569.952865728279</v>
      </c>
      <c r="AP320" s="1312">
        <f>AQ319*((1+'Instrumentos Financeiros'!$I$43)^(1/12)-1)</f>
        <v>14066.708156304052</v>
      </c>
      <c r="AQ320" s="1312">
        <f t="shared" si="200"/>
        <v>3190592.1706716241</v>
      </c>
      <c r="AR320" s="1312">
        <f>IF(AND(C320&gt;$F$69,'Instrumentos Financeiros'!C320&lt;'Instrumentos Financeiros'!$F$69+'Instrumentos Financeiros'!$F$11+1),PMT(((1+'Instrumentos Financeiros'!$I$43)^(1/12)-1),$F$11,-$I$69),0)</f>
        <v>0</v>
      </c>
      <c r="AS320" s="1312">
        <f t="shared" si="183"/>
        <v>0</v>
      </c>
      <c r="AT320" s="1312">
        <f>AU319*((1+'Instrumentos Financeiros'!$I$43)^(1/12)-1)</f>
        <v>0</v>
      </c>
      <c r="AU320" s="1312">
        <f t="shared" si="201"/>
        <v>0</v>
      </c>
      <c r="AV320" s="1312">
        <f>IF(AND(C320&gt;$F$70,'Instrumentos Financeiros'!C320&lt;'Instrumentos Financeiros'!$F$70+'Instrumentos Financeiros'!$F$11+1),PMT(((1+'Instrumentos Financeiros'!$J$43)^(1/12)-1),$F$11,-$I$70),0)</f>
        <v>0</v>
      </c>
      <c r="AW320" s="1312">
        <f t="shared" si="184"/>
        <v>0</v>
      </c>
      <c r="AX320" s="1312">
        <f>AY319*((1+'Instrumentos Financeiros'!$J$43)^(1/12)-1)</f>
        <v>0</v>
      </c>
      <c r="AY320" s="1312">
        <f t="shared" si="202"/>
        <v>0</v>
      </c>
      <c r="AZ320" s="1312">
        <f>IF(AND(C320&gt;$F$71,'Instrumentos Financeiros'!C320&lt;'Instrumentos Financeiros'!$F$71+'Instrumentos Financeiros'!$F$11+1),PMT(((1+'Instrumentos Financeiros'!$J$43)^(1/12)-1),$F$11,-$I$71),0)</f>
        <v>0</v>
      </c>
      <c r="BA320" s="1312">
        <f t="shared" si="185"/>
        <v>0</v>
      </c>
      <c r="BB320" s="1312">
        <f>BC319*((1+'Instrumentos Financeiros'!$J$43)^(1/12)-1)</f>
        <v>0</v>
      </c>
      <c r="BC320" s="1312">
        <f t="shared" si="203"/>
        <v>0</v>
      </c>
      <c r="BD320" s="1312">
        <f>IF(AND(C320&gt;$F$72,'Instrumentos Financeiros'!C320&lt;'Instrumentos Financeiros'!$F$72+'Instrumentos Financeiros'!$F$11+1),PMT(((1+'Instrumentos Financeiros'!$J$43)^(1/12)-1),$F$11,-'Instrumentos Financeiros'!$G$7*$G$72),0)</f>
        <v>0</v>
      </c>
      <c r="BE320" s="1312">
        <f t="shared" si="186"/>
        <v>0</v>
      </c>
      <c r="BF320" s="1312">
        <f>BG319*((1+'Instrumentos Financeiros'!$J$43)^(1/12)-1)</f>
        <v>0</v>
      </c>
      <c r="BG320" s="1312">
        <f t="shared" si="204"/>
        <v>0</v>
      </c>
      <c r="BH320" s="1312">
        <f>IF(AND(C320&gt;$F$73,'Instrumentos Financeiros'!C320&lt;'Instrumentos Financeiros'!$F$73+'Instrumentos Financeiros'!$F$11+1),PMT(((1+'Instrumentos Financeiros'!$J$43)^(1/12)-1),$F$11,-$I$73),0)</f>
        <v>0</v>
      </c>
      <c r="BI320" s="1312">
        <f t="shared" si="187"/>
        <v>0</v>
      </c>
      <c r="BJ320" s="1312">
        <f>BK319*((1+'Instrumentos Financeiros'!$J$43)^(1/12)-1)</f>
        <v>0</v>
      </c>
      <c r="BK320" s="1312">
        <f t="shared" si="205"/>
        <v>0</v>
      </c>
      <c r="BL320" s="1312">
        <f>IF(AND(C320&gt;$F$77,'Instrumentos Financeiros'!C320&lt;'Instrumentos Financeiros'!$F$77+'Instrumentos Financeiros'!$F$12+1),PMT(((1+'Instrumentos Financeiros'!$K$43)^(1/12)-1),$F$12,-$I$77),0)</f>
        <v>368.57912678094596</v>
      </c>
      <c r="BM320" s="1312">
        <f t="shared" si="206"/>
        <v>297.05608486619053</v>
      </c>
      <c r="BN320" s="1312">
        <f>BO319*((1+'Instrumentos Financeiros'!$K$43)^(1/12)-1)</f>
        <v>71.523041914755439</v>
      </c>
      <c r="BO320" s="1312">
        <f t="shared" si="207"/>
        <v>16243.846614745313</v>
      </c>
      <c r="BP320" s="1312">
        <f>IF(AND(C320&gt;$F$78,'Instrumentos Financeiros'!C320&lt;'Instrumentos Financeiros'!$F$78+'Instrumentos Financeiros'!$F$12+1),PMT(((1+'Instrumentos Financeiros'!$L$43)^(1/12)-1),$F$12,-$I$78),0)</f>
        <v>368.57912678094596</v>
      </c>
      <c r="BQ320" s="1312">
        <f t="shared" si="208"/>
        <v>293.23574956745574</v>
      </c>
      <c r="BR320" s="1312">
        <f>BS319*((1+'Instrumentos Financeiros'!$L$43)^(1/12)-1)</f>
        <v>75.3433772134902</v>
      </c>
      <c r="BS320" s="1312">
        <f t="shared" si="209"/>
        <v>17131.183545039796</v>
      </c>
      <c r="BT320" s="1312">
        <f>IF(AND(C320&gt;$F$79,'Instrumentos Financeiros'!C320&lt;'Instrumentos Financeiros'!$F$79+'Instrumentos Financeiros'!$F$12+1),PMT(((1+'Instrumentos Financeiros'!$L$43)^(1/12)-1),$F$12,-$I$79),0)</f>
        <v>368.57912678094596</v>
      </c>
      <c r="BU320" s="1312">
        <f t="shared" si="210"/>
        <v>289.46454627623848</v>
      </c>
      <c r="BV320" s="1312">
        <f>BW319*((1+'Instrumentos Financeiros'!$L$43)^(1/12)-1)</f>
        <v>79.114580504707462</v>
      </c>
      <c r="BW320" s="1312">
        <f t="shared" si="211"/>
        <v>18007.108742771376</v>
      </c>
      <c r="BX320" s="1312">
        <f>IF(AND(C320&gt;$F$80,'Instrumentos Financeiros'!C320&lt;'Instrumentos Financeiros'!$F$80+'Instrumentos Financeiros'!$F$12+1),PMT(((1+'Instrumentos Financeiros'!$L$43)^(1/12)-1),$F$12,-$I$80),0)</f>
        <v>368.57912678094596</v>
      </c>
      <c r="BY320" s="1312">
        <f t="shared" si="212"/>
        <v>285.74184312282728</v>
      </c>
      <c r="BZ320" s="1312">
        <f>CA319*((1+'Instrumentos Financeiros'!$L$43)^(1/12)-1)</f>
        <v>82.837283658118679</v>
      </c>
      <c r="CA320" s="1312">
        <f t="shared" si="213"/>
        <v>18871.76897027536</v>
      </c>
      <c r="CB320" s="1312">
        <f>IF(AND(C320&gt;$F$83,'Instrumentos Financeiros'!C320&lt;'Instrumentos Financeiros'!$F$83+'Instrumentos Financeiros'!$F$13+1),PMT(((1+'Instrumentos Financeiros'!$P$43)^(1/12)-1),$F$13,-$I$83),0)</f>
        <v>30503.390100238979</v>
      </c>
      <c r="CC320" s="1312">
        <f t="shared" si="214"/>
        <v>18019.34232872272</v>
      </c>
      <c r="CD320" s="1312">
        <f>CE319*((1+'Instrumentos Financeiros'!$P$43)^(1/12)-1)</f>
        <v>12484.047771516258</v>
      </c>
      <c r="CE320" s="1312">
        <f t="shared" si="215"/>
        <v>2869126.0300963721</v>
      </c>
      <c r="CF320" s="1312">
        <f>IF(AND(C320&gt;$F$84,'Instrumentos Financeiros'!C320&lt;'Instrumentos Financeiros'!$F$84+'Instrumentos Financeiros'!$F$13+1),PMT(((1+'Instrumentos Financeiros'!$Q$43)^(1/12)-1),$F$13,-$I$84),0)</f>
        <v>30503.390100238979</v>
      </c>
      <c r="CG320" s="1312">
        <f t="shared" si="216"/>
        <v>17787.601815514874</v>
      </c>
      <c r="CH320" s="1312">
        <f>CI319*((1+'Instrumentos Financeiros'!$Q$43)^(1/12)-1)</f>
        <v>12715.788284724105</v>
      </c>
      <c r="CI320" s="1312">
        <f t="shared" si="217"/>
        <v>2922951.6499792188</v>
      </c>
      <c r="CJ320" s="1312">
        <f>IF(AND(C320&gt;$F$85,'Instrumentos Financeiros'!C320&lt;'Instrumentos Financeiros'!$F$85+'Instrumentos Financeiros'!$F$13+1),PMT(((1+'Instrumentos Financeiros'!$Q$43)^(1/12)-1),$F$13,-$I$85),0)</f>
        <v>30503.390100238979</v>
      </c>
      <c r="CK320" s="1312">
        <f t="shared" si="218"/>
        <v>17558.841636687834</v>
      </c>
      <c r="CL320" s="1312">
        <f>CM319*((1+'Instrumentos Financeiros'!$Q$43)^(1/12)-1)</f>
        <v>12944.548463551146</v>
      </c>
      <c r="CM320" s="1312">
        <f t="shared" si="219"/>
        <v>2976085.0372296073</v>
      </c>
      <c r="CN320" s="1312">
        <f>IF(AND(C320&gt;$F$86,'Instrumentos Financeiros'!C320&lt;'Instrumentos Financeiros'!$F$86+'Instrumentos Financeiros'!$F$13+1),PMT(((1+'Instrumentos Financeiros'!$Q$43)^(1/12)-1),$F$13,-$I$86),0)</f>
        <v>30503.390100238979</v>
      </c>
      <c r="CO320" s="1312">
        <f t="shared" si="220"/>
        <v>17333.023463194604</v>
      </c>
      <c r="CP320" s="1312">
        <f>CQ319*((1+'Instrumentos Financeiros'!$Q$43)^(1/12)-1)</f>
        <v>13170.366637044375</v>
      </c>
      <c r="CQ320" s="1312">
        <f t="shared" si="221"/>
        <v>3028535.0944113815</v>
      </c>
      <c r="CR320" s="1312">
        <f t="shared" si="190"/>
        <v>521803.11063210916</v>
      </c>
      <c r="CS320" s="1312">
        <f t="shared" si="190"/>
        <v>411666.44405011681</v>
      </c>
      <c r="CT320" s="1312">
        <f t="shared" si="190"/>
        <v>110136.66658199232</v>
      </c>
      <c r="CU320" s="1312">
        <f t="shared" si="190"/>
        <v>25157815.675613042</v>
      </c>
    </row>
    <row r="321" spans="3:99" x14ac:dyDescent="0.35">
      <c r="C321" s="1316">
        <f t="shared" si="191"/>
        <v>228</v>
      </c>
      <c r="D321" s="1313">
        <f>IF(AND(C321&gt;$F$59,'Instrumentos Financeiros'!C321&lt;'Instrumentos Financeiros'!$F$59+'Instrumentos Financeiros'!$F$11+1),PMT(((1+'Instrumentos Financeiros'!$G$43)^(1/12)-1),$F$11,-$I$59),0)</f>
        <v>91768.589635900134</v>
      </c>
      <c r="E321" s="1313">
        <f t="shared" si="188"/>
        <v>84933.934947683883</v>
      </c>
      <c r="F321" s="1313">
        <f>G320*((1+'Instrumentos Financeiros'!$G$43)^(1/12)-1)</f>
        <v>6834.6546882162556</v>
      </c>
      <c r="G321" s="1313">
        <f t="shared" si="222"/>
        <v>1589487.5773936373</v>
      </c>
      <c r="H321" s="1313">
        <f>IF(AND(C321&gt;$F$60,'Instrumentos Financeiros'!C321&lt;'Instrumentos Financeiros'!$F$60+'Instrumentos Financeiros'!$F$11+1),PMT(((1+'Instrumentos Financeiros'!$G$43)^(1/12)-1),$F$11,-$I$60),0)</f>
        <v>0</v>
      </c>
      <c r="I321" s="1313">
        <f t="shared" si="174"/>
        <v>0</v>
      </c>
      <c r="J321" s="1313">
        <f>K320*((1+'Instrumentos Financeiros'!$G$43)^(1/12)-1)</f>
        <v>0</v>
      </c>
      <c r="K321" s="1313">
        <f t="shared" si="192"/>
        <v>0</v>
      </c>
      <c r="L321" s="1313">
        <f>IF(AND(C321&gt;$F$61,'Instrumentos Financeiros'!C321&lt;'Instrumentos Financeiros'!$F$61+'Instrumentos Financeiros'!$F$11+1),PMT(((1+'Instrumentos Financeiros'!$G$43)^(1/12)-1),$F$11,-$I$61),0)</f>
        <v>0</v>
      </c>
      <c r="M321" s="1313">
        <f t="shared" si="175"/>
        <v>0</v>
      </c>
      <c r="N321" s="1313">
        <f>O320*((1+'Instrumentos Financeiros'!$G$43)^(1/12)-1)</f>
        <v>0</v>
      </c>
      <c r="O321" s="1313">
        <f t="shared" si="193"/>
        <v>0</v>
      </c>
      <c r="P321" s="1313">
        <f>IF(AND(C321&gt;$F$62,'Instrumentos Financeiros'!C321&lt;'Instrumentos Financeiros'!$F$62+'Instrumentos Financeiros'!$F$11+1),PMT(((1+'Instrumentos Financeiros'!$H$43)^(1/12)-1),$F$11,-$I$62),0)</f>
        <v>0</v>
      </c>
      <c r="Q321" s="1313">
        <f t="shared" si="176"/>
        <v>0</v>
      </c>
      <c r="R321" s="1313">
        <f>S320*((1+'Instrumentos Financeiros'!$H$43)^(1/12)-1)</f>
        <v>0</v>
      </c>
      <c r="S321" s="1313">
        <f t="shared" si="194"/>
        <v>0</v>
      </c>
      <c r="T321" s="1313">
        <f>IF(AND(C321&gt;$F$63,'Instrumentos Financeiros'!C321&lt;'Instrumentos Financeiros'!$F$63+'Instrumentos Financeiros'!$F$11+1),PMT(((1+'Instrumentos Financeiros'!$H$43)^(1/12)-1),$F$11,-$I$63),0)</f>
        <v>0</v>
      </c>
      <c r="U321" s="1313">
        <f t="shared" si="177"/>
        <v>0</v>
      </c>
      <c r="V321" s="1313">
        <f>W320*((1+'Instrumentos Financeiros'!$H$43)^(1/12)-1)</f>
        <v>0</v>
      </c>
      <c r="W321" s="1313">
        <f t="shared" si="195"/>
        <v>0</v>
      </c>
      <c r="X321" s="1313">
        <f>IF(AND(C321&gt;$F$64,'Instrumentos Financeiros'!C321&lt;'Instrumentos Financeiros'!$F$64+'Instrumentos Financeiros'!$F$11+1),PMT(((1+'Instrumentos Financeiros'!$H$43)^(1/12)-1),$F$11,-$I$64),0)</f>
        <v>0</v>
      </c>
      <c r="Y321" s="1313">
        <f t="shared" si="178"/>
        <v>0</v>
      </c>
      <c r="Z321" s="1313">
        <f>AA320*((1+'Instrumentos Financeiros'!$H$43)^(1/12)-1)</f>
        <v>0</v>
      </c>
      <c r="AA321" s="1313">
        <f t="shared" si="196"/>
        <v>0</v>
      </c>
      <c r="AB321" s="1313">
        <f>IF(AND(C321&gt;$F$65,'Instrumentos Financeiros'!C321&lt;'Instrumentos Financeiros'!$F$65+'Instrumentos Financeiros'!$F$11+1),PMT(((1+'Instrumentos Financeiros'!$H$43)^(1/12)-1),$F$11,-$I$65),0)</f>
        <v>76636.661022032335</v>
      </c>
      <c r="AC321" s="1313">
        <f t="shared" si="179"/>
        <v>65328.740392412867</v>
      </c>
      <c r="AD321" s="1313">
        <f>AE320*((1+'Instrumentos Financeiros'!$H$43)^(1/12)-1)</f>
        <v>11307.92062961947</v>
      </c>
      <c r="AE321" s="1313">
        <f t="shared" si="197"/>
        <v>2549817.5098522604</v>
      </c>
      <c r="AF321" s="1313">
        <f>IF(AND(C321&gt;$F$66,'Instrumentos Financeiros'!C321&lt;'Instrumentos Financeiros'!$F$66+'Instrumentos Financeiros'!$F$11+1),PMT(((1+'Instrumentos Financeiros'!$I$43)^(1/12)-1),$F$11,-$I$66),0)</f>
        <v>76636.661022032335</v>
      </c>
      <c r="AG321" s="1313">
        <f t="shared" si="180"/>
        <v>64488.570115963434</v>
      </c>
      <c r="AH321" s="1313">
        <f>AI320*((1+'Instrumentos Financeiros'!$I$43)^(1/12)-1)</f>
        <v>12148.090906068903</v>
      </c>
      <c r="AI321" s="1313">
        <f t="shared" si="198"/>
        <v>2744961.1440448435</v>
      </c>
      <c r="AJ321" s="1313">
        <f>IF(AND(C321&gt;$F$67,'Instrumentos Financeiros'!C321&lt;'Instrumentos Financeiros'!$F$67+'Instrumentos Financeiros'!$F$11+1),PMT(((1+'Instrumentos Financeiros'!$I$43)^(1/12)-1),$F$11,-$I$67),0)</f>
        <v>76636.661022032335</v>
      </c>
      <c r="AK321" s="1313">
        <f t="shared" si="181"/>
        <v>63659.20497809755</v>
      </c>
      <c r="AL321" s="1313">
        <f>AM320*((1+'Instrumentos Financeiros'!$I$43)^(1/12)-1)</f>
        <v>12977.456043934784</v>
      </c>
      <c r="AM321" s="1313">
        <f t="shared" si="199"/>
        <v>2937595.103627108</v>
      </c>
      <c r="AN321" s="1313">
        <f>IF(AND(C321&gt;$F$68,'Instrumentos Financeiros'!C321&lt;'Instrumentos Financeiros'!$F$68+'Instrumentos Financeiros'!$F$11+1),PMT(((1+'Instrumentos Financeiros'!$I$43)^(1/12)-1),$F$11,-$I$68),0)</f>
        <v>76636.661022032335</v>
      </c>
      <c r="AO321" s="1313">
        <f t="shared" si="182"/>
        <v>62840.50601767475</v>
      </c>
      <c r="AP321" s="1313">
        <f>AQ320*((1+'Instrumentos Financeiros'!$I$43)^(1/12)-1)</f>
        <v>13796.155004357584</v>
      </c>
      <c r="AQ321" s="1313">
        <f t="shared" si="200"/>
        <v>3127751.6646539494</v>
      </c>
      <c r="AR321" s="1313">
        <f>IF(AND(C321&gt;$F$69,'Instrumentos Financeiros'!C321&lt;'Instrumentos Financeiros'!$F$69+'Instrumentos Financeiros'!$F$11+1),PMT(((1+'Instrumentos Financeiros'!$I$43)^(1/12)-1),$F$11,-$I$69),0)</f>
        <v>0</v>
      </c>
      <c r="AS321" s="1313">
        <f t="shared" si="183"/>
        <v>0</v>
      </c>
      <c r="AT321" s="1313">
        <f>AU320*((1+'Instrumentos Financeiros'!$I$43)^(1/12)-1)</f>
        <v>0</v>
      </c>
      <c r="AU321" s="1313">
        <f t="shared" si="201"/>
        <v>0</v>
      </c>
      <c r="AV321" s="1313">
        <f>IF(AND(C321&gt;$F$70,'Instrumentos Financeiros'!C321&lt;'Instrumentos Financeiros'!$F$70+'Instrumentos Financeiros'!$F$11+1),PMT(((1+'Instrumentos Financeiros'!$J$43)^(1/12)-1),$F$11,-$I$70),0)</f>
        <v>0</v>
      </c>
      <c r="AW321" s="1313">
        <f t="shared" si="184"/>
        <v>0</v>
      </c>
      <c r="AX321" s="1313">
        <f>AY320*((1+'Instrumentos Financeiros'!$J$43)^(1/12)-1)</f>
        <v>0</v>
      </c>
      <c r="AY321" s="1313">
        <f t="shared" si="202"/>
        <v>0</v>
      </c>
      <c r="AZ321" s="1313">
        <f>IF(AND(C321&gt;$F$71,'Instrumentos Financeiros'!C321&lt;'Instrumentos Financeiros'!$F$71+'Instrumentos Financeiros'!$F$11+1),PMT(((1+'Instrumentos Financeiros'!$J$43)^(1/12)-1),$F$11,-$I$71),0)</f>
        <v>0</v>
      </c>
      <c r="BA321" s="1313">
        <f t="shared" si="185"/>
        <v>0</v>
      </c>
      <c r="BB321" s="1313">
        <f>BC320*((1+'Instrumentos Financeiros'!$J$43)^(1/12)-1)</f>
        <v>0</v>
      </c>
      <c r="BC321" s="1313">
        <f t="shared" si="203"/>
        <v>0</v>
      </c>
      <c r="BD321" s="1313">
        <f>IF(AND(C321&gt;$F$72,'Instrumentos Financeiros'!C321&lt;'Instrumentos Financeiros'!$F$72+'Instrumentos Financeiros'!$F$11+1),PMT(((1+'Instrumentos Financeiros'!$J$43)^(1/12)-1),$F$11,-'Instrumentos Financeiros'!$G$7*$G$72),0)</f>
        <v>0</v>
      </c>
      <c r="BE321" s="1313">
        <f t="shared" si="186"/>
        <v>0</v>
      </c>
      <c r="BF321" s="1313">
        <f>BG320*((1+'Instrumentos Financeiros'!$J$43)^(1/12)-1)</f>
        <v>0</v>
      </c>
      <c r="BG321" s="1313">
        <f t="shared" si="204"/>
        <v>0</v>
      </c>
      <c r="BH321" s="1313">
        <f>IF(AND(C321&gt;$F$73,'Instrumentos Financeiros'!C321&lt;'Instrumentos Financeiros'!$F$73+'Instrumentos Financeiros'!$F$11+1),PMT(((1+'Instrumentos Financeiros'!$J$43)^(1/12)-1),$F$11,-$I$73),0)</f>
        <v>0</v>
      </c>
      <c r="BI321" s="1313">
        <f t="shared" si="187"/>
        <v>0</v>
      </c>
      <c r="BJ321" s="1313">
        <f>BK320*((1+'Instrumentos Financeiros'!$J$43)^(1/12)-1)</f>
        <v>0</v>
      </c>
      <c r="BK321" s="1313">
        <f t="shared" si="205"/>
        <v>0</v>
      </c>
      <c r="BL321" s="1313">
        <f>IF(AND(C321&gt;$F$77,'Instrumentos Financeiros'!C321&lt;'Instrumentos Financeiros'!$F$77+'Instrumentos Financeiros'!$F$12+1),PMT(((1+'Instrumentos Financeiros'!$K$43)^(1/12)-1),$F$12,-$I$77),0)</f>
        <v>368.57912678094596</v>
      </c>
      <c r="BM321" s="1313">
        <f t="shared" si="206"/>
        <v>298.34055858535561</v>
      </c>
      <c r="BN321" s="1313">
        <f>BO320*((1+'Instrumentos Financeiros'!$K$43)^(1/12)-1)</f>
        <v>70.238568195590361</v>
      </c>
      <c r="BO321" s="1313">
        <f t="shared" si="207"/>
        <v>15945.506056159957</v>
      </c>
      <c r="BP321" s="1313">
        <f>IF(AND(C321&gt;$F$78,'Instrumentos Financeiros'!C321&lt;'Instrumentos Financeiros'!$F$78+'Instrumentos Financeiros'!$F$12+1),PMT(((1+'Instrumentos Financeiros'!$L$43)^(1/12)-1),$F$12,-$I$78),0)</f>
        <v>368.57912678094596</v>
      </c>
      <c r="BQ321" s="1313">
        <f t="shared" si="208"/>
        <v>294.5037041155295</v>
      </c>
      <c r="BR321" s="1313">
        <f>BS320*((1+'Instrumentos Financeiros'!$L$43)^(1/12)-1)</f>
        <v>74.07542266541644</v>
      </c>
      <c r="BS321" s="1313">
        <f t="shared" si="209"/>
        <v>16836.679840924266</v>
      </c>
      <c r="BT321" s="1313">
        <f>IF(AND(C321&gt;$F$79,'Instrumentos Financeiros'!C321&lt;'Instrumentos Financeiros'!$F$79+'Instrumentos Financeiros'!$F$12+1),PMT(((1+'Instrumentos Financeiros'!$L$43)^(1/12)-1),$F$12,-$I$79),0)</f>
        <v>368.57912678094596</v>
      </c>
      <c r="BU321" s="1313">
        <f t="shared" si="210"/>
        <v>290.71619410055206</v>
      </c>
      <c r="BV321" s="1313">
        <f>BW320*((1+'Instrumentos Financeiros'!$L$43)^(1/12)-1)</f>
        <v>77.862932680393897</v>
      </c>
      <c r="BW321" s="1313">
        <f t="shared" si="211"/>
        <v>17716.392548670825</v>
      </c>
      <c r="BX321" s="1313">
        <f>IF(AND(C321&gt;$F$80,'Instrumentos Financeiros'!C321&lt;'Instrumentos Financeiros'!$F$80+'Instrumentos Financeiros'!$F$12+1),PMT(((1+'Instrumentos Financeiros'!$L$43)^(1/12)-1),$F$12,-$I$80),0)</f>
        <v>368.57912678094596</v>
      </c>
      <c r="BY321" s="1313">
        <f t="shared" si="212"/>
        <v>286.97739393850031</v>
      </c>
      <c r="BZ321" s="1313">
        <f>CA320*((1+'Instrumentos Financeiros'!$L$43)^(1/12)-1)</f>
        <v>81.601732842445628</v>
      </c>
      <c r="CA321" s="1313">
        <f t="shared" si="213"/>
        <v>18584.791576336858</v>
      </c>
      <c r="CB321" s="1313">
        <f>IF(AND(C321&gt;$F$83,'Instrumentos Financeiros'!C321&lt;'Instrumentos Financeiros'!$F$83+'Instrumentos Financeiros'!$F$13+1),PMT(((1+'Instrumentos Financeiros'!$P$43)^(1/12)-1),$F$13,-$I$83),0)</f>
        <v>30503.390100238979</v>
      </c>
      <c r="CC321" s="1313">
        <f t="shared" si="214"/>
        <v>18097.25815956089</v>
      </c>
      <c r="CD321" s="1313">
        <f>CE320*((1+'Instrumentos Financeiros'!$P$43)^(1/12)-1)</f>
        <v>12406.131940678089</v>
      </c>
      <c r="CE321" s="1313">
        <f t="shared" si="215"/>
        <v>2851028.771936811</v>
      </c>
      <c r="CF321" s="1313">
        <f>IF(AND(C321&gt;$F$84,'Instrumentos Financeiros'!C321&lt;'Instrumentos Financeiros'!$F$84+'Instrumentos Financeiros'!$F$13+1),PMT(((1+'Instrumentos Financeiros'!$Q$43)^(1/12)-1),$F$13,-$I$84),0)</f>
        <v>30503.390100238979</v>
      </c>
      <c r="CG321" s="1313">
        <f t="shared" si="216"/>
        <v>17864.515597871137</v>
      </c>
      <c r="CH321" s="1313">
        <f>CI320*((1+'Instrumentos Financeiros'!$Q$43)^(1/12)-1)</f>
        <v>12638.874502367842</v>
      </c>
      <c r="CI321" s="1313">
        <f t="shared" si="217"/>
        <v>2905087.1343813478</v>
      </c>
      <c r="CJ321" s="1313">
        <f>IF(AND(C321&gt;$F$85,'Instrumentos Financeiros'!C321&lt;'Instrumentos Financeiros'!$F$85+'Instrumentos Financeiros'!$F$13+1),PMT(((1+'Instrumentos Financeiros'!$Q$43)^(1/12)-1),$F$13,-$I$85),0)</f>
        <v>30503.390100238979</v>
      </c>
      <c r="CK321" s="1313">
        <f t="shared" si="218"/>
        <v>17634.766257560241</v>
      </c>
      <c r="CL321" s="1313">
        <f>CM320*((1+'Instrumentos Financeiros'!$Q$43)^(1/12)-1)</f>
        <v>12868.623842678739</v>
      </c>
      <c r="CM321" s="1313">
        <f t="shared" si="219"/>
        <v>2958450.270972047</v>
      </c>
      <c r="CN321" s="1313">
        <f>IF(AND(C321&gt;$F$86,'Instrumentos Financeiros'!C321&lt;'Instrumentos Financeiros'!$F$86+'Instrumentos Financeiros'!$F$13+1),PMT(((1+'Instrumentos Financeiros'!$Q$43)^(1/12)-1),$F$13,-$I$86),0)</f>
        <v>30503.390100238979</v>
      </c>
      <c r="CO321" s="1313">
        <f t="shared" si="220"/>
        <v>17407.971643845995</v>
      </c>
      <c r="CP321" s="1313">
        <f>CQ320*((1+'Instrumentos Financeiros'!$Q$43)^(1/12)-1)</f>
        <v>13095.418456392987</v>
      </c>
      <c r="CQ321" s="1313">
        <f t="shared" si="221"/>
        <v>3011127.1227675355</v>
      </c>
      <c r="CR321" s="1313">
        <f t="shared" si="190"/>
        <v>521803.11063210916</v>
      </c>
      <c r="CS321" s="1313">
        <f t="shared" si="190"/>
        <v>413426.00596141076</v>
      </c>
      <c r="CT321" s="1313">
        <f t="shared" si="190"/>
        <v>108377.10467069848</v>
      </c>
      <c r="CU321" s="1313">
        <f t="shared" si="190"/>
        <v>24744389.669651631</v>
      </c>
    </row>
    <row r="322" spans="3:99" x14ac:dyDescent="0.35">
      <c r="C322" s="1315">
        <f t="shared" si="191"/>
        <v>229</v>
      </c>
      <c r="D322" s="1312">
        <f>IF(AND(C322&gt;$F$59,'Instrumentos Financeiros'!C322&lt;'Instrumentos Financeiros'!$F$59+'Instrumentos Financeiros'!$F$11+1),PMT(((1+'Instrumentos Financeiros'!$G$43)^(1/12)-1),$F$11,-$I$59),0)</f>
        <v>91768.589635900134</v>
      </c>
      <c r="E322" s="1312">
        <f t="shared" si="188"/>
        <v>85280.618332005164</v>
      </c>
      <c r="F322" s="1312">
        <f>G321*((1+'Instrumentos Financeiros'!$G$43)^(1/12)-1)</f>
        <v>6487.9713038949767</v>
      </c>
      <c r="G322" s="1312">
        <f t="shared" si="222"/>
        <v>1504206.9590616322</v>
      </c>
      <c r="H322" s="1312">
        <f>IF(AND(C322&gt;$F$60,'Instrumentos Financeiros'!C322&lt;'Instrumentos Financeiros'!$F$60+'Instrumentos Financeiros'!$F$11+1),PMT(((1+'Instrumentos Financeiros'!$G$43)^(1/12)-1),$F$11,-$I$60),0)</f>
        <v>0</v>
      </c>
      <c r="I322" s="1312">
        <f t="shared" si="174"/>
        <v>0</v>
      </c>
      <c r="J322" s="1312">
        <f>K321*((1+'Instrumentos Financeiros'!$G$43)^(1/12)-1)</f>
        <v>0</v>
      </c>
      <c r="K322" s="1312">
        <f t="shared" si="192"/>
        <v>0</v>
      </c>
      <c r="L322" s="1312">
        <f>IF(AND(C322&gt;$F$61,'Instrumentos Financeiros'!C322&lt;'Instrumentos Financeiros'!$F$61+'Instrumentos Financeiros'!$F$11+1),PMT(((1+'Instrumentos Financeiros'!$G$43)^(1/12)-1),$F$11,-$I$61),0)</f>
        <v>0</v>
      </c>
      <c r="M322" s="1312">
        <f t="shared" si="175"/>
        <v>0</v>
      </c>
      <c r="N322" s="1312">
        <f>O321*((1+'Instrumentos Financeiros'!$G$43)^(1/12)-1)</f>
        <v>0</v>
      </c>
      <c r="O322" s="1312">
        <f t="shared" si="193"/>
        <v>0</v>
      </c>
      <c r="P322" s="1312">
        <f>IF(AND(C322&gt;$F$62,'Instrumentos Financeiros'!C322&lt;'Instrumentos Financeiros'!$F$62+'Instrumentos Financeiros'!$F$11+1),PMT(((1+'Instrumentos Financeiros'!$H$43)^(1/12)-1),$F$11,-$I$62),0)</f>
        <v>0</v>
      </c>
      <c r="Q322" s="1312">
        <f t="shared" si="176"/>
        <v>0</v>
      </c>
      <c r="R322" s="1312">
        <f>S321*((1+'Instrumentos Financeiros'!$H$43)^(1/12)-1)</f>
        <v>0</v>
      </c>
      <c r="S322" s="1312">
        <f t="shared" si="194"/>
        <v>0</v>
      </c>
      <c r="T322" s="1312">
        <f>IF(AND(C322&gt;$F$63,'Instrumentos Financeiros'!C322&lt;'Instrumentos Financeiros'!$F$63+'Instrumentos Financeiros'!$F$11+1),PMT(((1+'Instrumentos Financeiros'!$H$43)^(1/12)-1),$F$11,-$I$63),0)</f>
        <v>0</v>
      </c>
      <c r="U322" s="1312">
        <f t="shared" si="177"/>
        <v>0</v>
      </c>
      <c r="V322" s="1312">
        <f>W321*((1+'Instrumentos Financeiros'!$H$43)^(1/12)-1)</f>
        <v>0</v>
      </c>
      <c r="W322" s="1312">
        <f t="shared" si="195"/>
        <v>0</v>
      </c>
      <c r="X322" s="1312">
        <f>IF(AND(C322&gt;$F$64,'Instrumentos Financeiros'!C322&lt;'Instrumentos Financeiros'!$F$64+'Instrumentos Financeiros'!$F$11+1),PMT(((1+'Instrumentos Financeiros'!$H$43)^(1/12)-1),$F$11,-$I$64),0)</f>
        <v>0</v>
      </c>
      <c r="Y322" s="1312">
        <f t="shared" si="178"/>
        <v>0</v>
      </c>
      <c r="Z322" s="1312">
        <f>AA321*((1+'Instrumentos Financeiros'!$H$43)^(1/12)-1)</f>
        <v>0</v>
      </c>
      <c r="AA322" s="1312">
        <f t="shared" si="196"/>
        <v>0</v>
      </c>
      <c r="AB322" s="1312">
        <f>IF(AND(C322&gt;$F$65,'Instrumentos Financeiros'!C322&lt;'Instrumentos Financeiros'!$F$65+'Instrumentos Financeiros'!$F$11+1),PMT(((1+'Instrumentos Financeiros'!$H$43)^(1/12)-1),$F$11,-$I$65),0)</f>
        <v>76636.661022032335</v>
      </c>
      <c r="AC322" s="1312">
        <f t="shared" si="179"/>
        <v>65611.22257141961</v>
      </c>
      <c r="AD322" s="1312">
        <f>AE321*((1+'Instrumentos Financeiros'!$H$43)^(1/12)-1)</f>
        <v>11025.438450612728</v>
      </c>
      <c r="AE322" s="1312">
        <f t="shared" si="197"/>
        <v>2484206.2872808408</v>
      </c>
      <c r="AF322" s="1312">
        <f>IF(AND(C322&gt;$F$66,'Instrumentos Financeiros'!C322&lt;'Instrumentos Financeiros'!$F$66+'Instrumentos Financeiros'!$F$11+1),PMT(((1+'Instrumentos Financeiros'!$I$43)^(1/12)-1),$F$11,-$I$66),0)</f>
        <v>76636.661022032335</v>
      </c>
      <c r="AG322" s="1312">
        <f t="shared" si="180"/>
        <v>64767.419389620969</v>
      </c>
      <c r="AH322" s="1312">
        <f>AI321*((1+'Instrumentos Financeiros'!$I$43)^(1/12)-1)</f>
        <v>11869.241632411364</v>
      </c>
      <c r="AI322" s="1312">
        <f t="shared" si="198"/>
        <v>2680193.7246552226</v>
      </c>
      <c r="AJ322" s="1312">
        <f>IF(AND(C322&gt;$F$67,'Instrumentos Financeiros'!C322&lt;'Instrumentos Financeiros'!$F$67+'Instrumentos Financeiros'!$F$11+1),PMT(((1+'Instrumentos Financeiros'!$I$43)^(1/12)-1),$F$11,-$I$67),0)</f>
        <v>76636.661022032335</v>
      </c>
      <c r="AK322" s="1312">
        <f t="shared" si="181"/>
        <v>63934.468067941823</v>
      </c>
      <c r="AL322" s="1312">
        <f>AM321*((1+'Instrumentos Financeiros'!$I$43)^(1/12)-1)</f>
        <v>12702.192954090513</v>
      </c>
      <c r="AM322" s="1312">
        <f t="shared" si="199"/>
        <v>2873660.6355591663</v>
      </c>
      <c r="AN322" s="1312">
        <f>IF(AND(C322&gt;$F$68,'Instrumentos Financeiros'!C322&lt;'Instrumentos Financeiros'!$F$68+'Instrumentos Financeiros'!$F$11+1),PMT(((1+'Instrumentos Financeiros'!$I$43)^(1/12)-1),$F$11,-$I$68),0)</f>
        <v>76636.661022032335</v>
      </c>
      <c r="AO322" s="1312">
        <f t="shared" si="182"/>
        <v>63112.229044372209</v>
      </c>
      <c r="AP322" s="1312">
        <f>AQ321*((1+'Instrumentos Financeiros'!$I$43)^(1/12)-1)</f>
        <v>13524.431977660126</v>
      </c>
      <c r="AQ322" s="1312">
        <f t="shared" si="200"/>
        <v>3064639.4356095772</v>
      </c>
      <c r="AR322" s="1312">
        <f>IF(AND(C322&gt;$F$69,'Instrumentos Financeiros'!C322&lt;'Instrumentos Financeiros'!$F$69+'Instrumentos Financeiros'!$F$11+1),PMT(((1+'Instrumentos Financeiros'!$I$43)^(1/12)-1),$F$11,-$I$69),0)</f>
        <v>0</v>
      </c>
      <c r="AS322" s="1312">
        <f t="shared" si="183"/>
        <v>0</v>
      </c>
      <c r="AT322" s="1312">
        <f>AU321*((1+'Instrumentos Financeiros'!$I$43)^(1/12)-1)</f>
        <v>0</v>
      </c>
      <c r="AU322" s="1312">
        <f t="shared" si="201"/>
        <v>0</v>
      </c>
      <c r="AV322" s="1312">
        <f>IF(AND(C322&gt;$F$70,'Instrumentos Financeiros'!C322&lt;'Instrumentos Financeiros'!$F$70+'Instrumentos Financeiros'!$F$11+1),PMT(((1+'Instrumentos Financeiros'!$J$43)^(1/12)-1),$F$11,-$I$70),0)</f>
        <v>0</v>
      </c>
      <c r="AW322" s="1312">
        <f t="shared" si="184"/>
        <v>0</v>
      </c>
      <c r="AX322" s="1312">
        <f>AY321*((1+'Instrumentos Financeiros'!$J$43)^(1/12)-1)</f>
        <v>0</v>
      </c>
      <c r="AY322" s="1312">
        <f t="shared" si="202"/>
        <v>0</v>
      </c>
      <c r="AZ322" s="1312">
        <f>IF(AND(C322&gt;$F$71,'Instrumentos Financeiros'!C322&lt;'Instrumentos Financeiros'!$F$71+'Instrumentos Financeiros'!$F$11+1),PMT(((1+'Instrumentos Financeiros'!$J$43)^(1/12)-1),$F$11,-$I$71),0)</f>
        <v>0</v>
      </c>
      <c r="BA322" s="1312">
        <f t="shared" si="185"/>
        <v>0</v>
      </c>
      <c r="BB322" s="1312">
        <f>BC321*((1+'Instrumentos Financeiros'!$J$43)^(1/12)-1)</f>
        <v>0</v>
      </c>
      <c r="BC322" s="1312">
        <f t="shared" si="203"/>
        <v>0</v>
      </c>
      <c r="BD322" s="1312">
        <f>IF(AND(C322&gt;$F$72,'Instrumentos Financeiros'!C322&lt;'Instrumentos Financeiros'!$F$72+'Instrumentos Financeiros'!$F$11+1),PMT(((1+'Instrumentos Financeiros'!$J$43)^(1/12)-1),$F$11,-'Instrumentos Financeiros'!$G$7*$G$72),0)</f>
        <v>0</v>
      </c>
      <c r="BE322" s="1312">
        <f t="shared" si="186"/>
        <v>0</v>
      </c>
      <c r="BF322" s="1312">
        <f>BG321*((1+'Instrumentos Financeiros'!$J$43)^(1/12)-1)</f>
        <v>0</v>
      </c>
      <c r="BG322" s="1312">
        <f t="shared" si="204"/>
        <v>0</v>
      </c>
      <c r="BH322" s="1312">
        <f>IF(AND(C322&gt;$F$73,'Instrumentos Financeiros'!C322&lt;'Instrumentos Financeiros'!$F$73+'Instrumentos Financeiros'!$F$11+1),PMT(((1+'Instrumentos Financeiros'!$J$43)^(1/12)-1),$F$11,-$I$73),0)</f>
        <v>0</v>
      </c>
      <c r="BI322" s="1312">
        <f t="shared" si="187"/>
        <v>0</v>
      </c>
      <c r="BJ322" s="1312">
        <f>BK321*((1+'Instrumentos Financeiros'!$J$43)^(1/12)-1)</f>
        <v>0</v>
      </c>
      <c r="BK322" s="1312">
        <f t="shared" si="205"/>
        <v>0</v>
      </c>
      <c r="BL322" s="1312">
        <f>IF(AND(C322&gt;$F$77,'Instrumentos Financeiros'!C322&lt;'Instrumentos Financeiros'!$F$77+'Instrumentos Financeiros'!$F$12+1),PMT(((1+'Instrumentos Financeiros'!$K$43)^(1/12)-1),$F$12,-$I$77),0)</f>
        <v>368.57912678094596</v>
      </c>
      <c r="BM322" s="1312">
        <f t="shared" si="206"/>
        <v>299.63058638275464</v>
      </c>
      <c r="BN322" s="1312">
        <f>BO321*((1+'Instrumentos Financeiros'!$K$43)^(1/12)-1)</f>
        <v>68.948540398191298</v>
      </c>
      <c r="BO322" s="1312">
        <f t="shared" si="207"/>
        <v>15645.875469777202</v>
      </c>
      <c r="BP322" s="1312">
        <f>IF(AND(C322&gt;$F$78,'Instrumentos Financeiros'!C322&lt;'Instrumentos Financeiros'!$F$78+'Instrumentos Financeiros'!$F$12+1),PMT(((1+'Instrumentos Financeiros'!$L$43)^(1/12)-1),$F$12,-$I$78),0)</f>
        <v>368.57912678094596</v>
      </c>
      <c r="BQ322" s="1312">
        <f t="shared" si="208"/>
        <v>295.77714131276304</v>
      </c>
      <c r="BR322" s="1312">
        <f>BS321*((1+'Instrumentos Financeiros'!$L$43)^(1/12)-1)</f>
        <v>72.801985468182906</v>
      </c>
      <c r="BS322" s="1312">
        <f t="shared" si="209"/>
        <v>16540.902699611503</v>
      </c>
      <c r="BT322" s="1312">
        <f>IF(AND(C322&gt;$F$79,'Instrumentos Financeiros'!C322&lt;'Instrumentos Financeiros'!$F$79+'Instrumentos Financeiros'!$F$12+1),PMT(((1+'Instrumentos Financeiros'!$L$43)^(1/12)-1),$F$12,-$I$79),0)</f>
        <v>368.57912678094596</v>
      </c>
      <c r="BU322" s="1312">
        <f t="shared" si="210"/>
        <v>291.97325406357572</v>
      </c>
      <c r="BV322" s="1312">
        <f>BW321*((1+'Instrumentos Financeiros'!$L$43)^(1/12)-1)</f>
        <v>76.605872717370218</v>
      </c>
      <c r="BW322" s="1312">
        <f t="shared" si="211"/>
        <v>17424.419294607251</v>
      </c>
      <c r="BX322" s="1312">
        <f>IF(AND(C322&gt;$F$80,'Instrumentos Financeiros'!C322&lt;'Instrumentos Financeiros'!$F$80+'Instrumentos Financeiros'!$F$12+1),PMT(((1+'Instrumentos Financeiros'!$L$43)^(1/12)-1),$F$12,-$I$80),0)</f>
        <v>368.57912678094596</v>
      </c>
      <c r="BY322" s="1312">
        <f t="shared" si="212"/>
        <v>288.2182872892443</v>
      </c>
      <c r="BZ322" s="1312">
        <f>CA321*((1+'Instrumentos Financeiros'!$L$43)^(1/12)-1)</f>
        <v>80.360839491701668</v>
      </c>
      <c r="CA322" s="1312">
        <f t="shared" si="213"/>
        <v>18296.573289047614</v>
      </c>
      <c r="CB322" s="1312">
        <f>IF(AND(C322&gt;$F$83,'Instrumentos Financeiros'!C322&lt;'Instrumentos Financeiros'!$F$83+'Instrumentos Financeiros'!$F$13+1),PMT(((1+'Instrumentos Financeiros'!$P$43)^(1/12)-1),$F$13,-$I$83),0)</f>
        <v>30503.390100238979</v>
      </c>
      <c r="CC322" s="1312">
        <f t="shared" si="214"/>
        <v>18175.510899293098</v>
      </c>
      <c r="CD322" s="1312">
        <f>CE321*((1+'Instrumentos Financeiros'!$P$43)^(1/12)-1)</f>
        <v>12327.879200945883</v>
      </c>
      <c r="CE322" s="1312">
        <f t="shared" si="215"/>
        <v>2832853.2610375178</v>
      </c>
      <c r="CF322" s="1312">
        <f>IF(AND(C322&gt;$F$84,'Instrumentos Financeiros'!C322&lt;'Instrumentos Financeiros'!$F$84+'Instrumentos Financeiros'!$F$13+1),PMT(((1+'Instrumentos Financeiros'!$Q$43)^(1/12)-1),$F$13,-$I$84),0)</f>
        <v>30503.390100238979</v>
      </c>
      <c r="CG322" s="1312">
        <f t="shared" si="216"/>
        <v>17941.76195625298</v>
      </c>
      <c r="CH322" s="1312">
        <f>CI321*((1+'Instrumentos Financeiros'!$Q$43)^(1/12)-1)</f>
        <v>12561.628143986001</v>
      </c>
      <c r="CI322" s="1312">
        <f t="shared" si="217"/>
        <v>2887145.3724250947</v>
      </c>
      <c r="CJ322" s="1312">
        <f>IF(AND(C322&gt;$F$85,'Instrumentos Financeiros'!C322&lt;'Instrumentos Financeiros'!$F$85+'Instrumentos Financeiros'!$F$13+1),PMT(((1+'Instrumentos Financeiros'!$Q$43)^(1/12)-1),$F$13,-$I$85),0)</f>
        <v>30503.390100238979</v>
      </c>
      <c r="CK322" s="1312">
        <f t="shared" si="218"/>
        <v>17711.019177313286</v>
      </c>
      <c r="CL322" s="1312">
        <f>CM321*((1+'Instrumentos Financeiros'!$Q$43)^(1/12)-1)</f>
        <v>12792.370922925693</v>
      </c>
      <c r="CM322" s="1312">
        <f t="shared" si="219"/>
        <v>2940739.2517947336</v>
      </c>
      <c r="CN322" s="1312">
        <f>IF(AND(C322&gt;$F$86,'Instrumentos Financeiros'!C322&lt;'Instrumentos Financeiros'!$F$86+'Instrumentos Financeiros'!$F$13+1),PMT(((1+'Instrumentos Financeiros'!$Q$43)^(1/12)-1),$F$13,-$I$86),0)</f>
        <v>30503.390100238979</v>
      </c>
      <c r="CO322" s="1312">
        <f t="shared" si="220"/>
        <v>17483.243901239955</v>
      </c>
      <c r="CP322" s="1312">
        <f>CQ321*((1+'Instrumentos Financeiros'!$Q$43)^(1/12)-1)</f>
        <v>13020.146198999022</v>
      </c>
      <c r="CQ322" s="1312">
        <f t="shared" si="221"/>
        <v>2993643.8788662953</v>
      </c>
      <c r="CR322" s="1312">
        <f t="shared" si="190"/>
        <v>521803.11063210916</v>
      </c>
      <c r="CS322" s="1312">
        <f t="shared" si="190"/>
        <v>415193.09260850749</v>
      </c>
      <c r="CT322" s="1312">
        <f t="shared" si="190"/>
        <v>106610.01802360175</v>
      </c>
      <c r="CU322" s="1312">
        <f t="shared" si="190"/>
        <v>24329196.577043124</v>
      </c>
    </row>
    <row r="323" spans="3:99" x14ac:dyDescent="0.35">
      <c r="C323" s="1315">
        <f t="shared" si="191"/>
        <v>230</v>
      </c>
      <c r="D323" s="1312">
        <f>IF(AND(C323&gt;$F$59,'Instrumentos Financeiros'!C323&lt;'Instrumentos Financeiros'!$F$59+'Instrumentos Financeiros'!$F$11+1),PMT(((1+'Instrumentos Financeiros'!$G$43)^(1/12)-1),$F$11,-$I$59),0)</f>
        <v>91768.589635900134</v>
      </c>
      <c r="E323" s="1312">
        <f t="shared" si="188"/>
        <v>85628.716808763143</v>
      </c>
      <c r="F323" s="1312">
        <f>G322*((1+'Instrumentos Financeiros'!$G$43)^(1/12)-1)</f>
        <v>6139.8728271369891</v>
      </c>
      <c r="G323" s="1312">
        <f t="shared" si="222"/>
        <v>1418578.2422528691</v>
      </c>
      <c r="H323" s="1312">
        <f>IF(AND(C323&gt;$F$60,'Instrumentos Financeiros'!C323&lt;'Instrumentos Financeiros'!$F$60+'Instrumentos Financeiros'!$F$11+1),PMT(((1+'Instrumentos Financeiros'!$G$43)^(1/12)-1),$F$11,-$I$60),0)</f>
        <v>0</v>
      </c>
      <c r="I323" s="1312">
        <f t="shared" si="174"/>
        <v>0</v>
      </c>
      <c r="J323" s="1312">
        <f>K322*((1+'Instrumentos Financeiros'!$G$43)^(1/12)-1)</f>
        <v>0</v>
      </c>
      <c r="K323" s="1312">
        <f t="shared" si="192"/>
        <v>0</v>
      </c>
      <c r="L323" s="1312">
        <f>IF(AND(C323&gt;$F$61,'Instrumentos Financeiros'!C323&lt;'Instrumentos Financeiros'!$F$61+'Instrumentos Financeiros'!$F$11+1),PMT(((1+'Instrumentos Financeiros'!$G$43)^(1/12)-1),$F$11,-$I$61),0)</f>
        <v>0</v>
      </c>
      <c r="M323" s="1312">
        <f t="shared" si="175"/>
        <v>0</v>
      </c>
      <c r="N323" s="1312">
        <f>O322*((1+'Instrumentos Financeiros'!$G$43)^(1/12)-1)</f>
        <v>0</v>
      </c>
      <c r="O323" s="1312">
        <f t="shared" si="193"/>
        <v>0</v>
      </c>
      <c r="P323" s="1312">
        <f>IF(AND(C323&gt;$F$62,'Instrumentos Financeiros'!C323&lt;'Instrumentos Financeiros'!$F$62+'Instrumentos Financeiros'!$F$11+1),PMT(((1+'Instrumentos Financeiros'!$H$43)^(1/12)-1),$F$11,-$I$62),0)</f>
        <v>0</v>
      </c>
      <c r="Q323" s="1312">
        <f t="shared" si="176"/>
        <v>0</v>
      </c>
      <c r="R323" s="1312">
        <f>S322*((1+'Instrumentos Financeiros'!$H$43)^(1/12)-1)</f>
        <v>0</v>
      </c>
      <c r="S323" s="1312">
        <f t="shared" si="194"/>
        <v>0</v>
      </c>
      <c r="T323" s="1312">
        <f>IF(AND(C323&gt;$F$63,'Instrumentos Financeiros'!C323&lt;'Instrumentos Financeiros'!$F$63+'Instrumentos Financeiros'!$F$11+1),PMT(((1+'Instrumentos Financeiros'!$H$43)^(1/12)-1),$F$11,-$I$63),0)</f>
        <v>0</v>
      </c>
      <c r="U323" s="1312">
        <f t="shared" si="177"/>
        <v>0</v>
      </c>
      <c r="V323" s="1312">
        <f>W322*((1+'Instrumentos Financeiros'!$H$43)^(1/12)-1)</f>
        <v>0</v>
      </c>
      <c r="W323" s="1312">
        <f t="shared" si="195"/>
        <v>0</v>
      </c>
      <c r="X323" s="1312">
        <f>IF(AND(C323&gt;$F$64,'Instrumentos Financeiros'!C323&lt;'Instrumentos Financeiros'!$F$64+'Instrumentos Financeiros'!$F$11+1),PMT(((1+'Instrumentos Financeiros'!$H$43)^(1/12)-1),$F$11,-$I$64),0)</f>
        <v>0</v>
      </c>
      <c r="Y323" s="1312">
        <f t="shared" si="178"/>
        <v>0</v>
      </c>
      <c r="Z323" s="1312">
        <f>AA322*((1+'Instrumentos Financeiros'!$H$43)^(1/12)-1)</f>
        <v>0</v>
      </c>
      <c r="AA323" s="1312">
        <f t="shared" si="196"/>
        <v>0</v>
      </c>
      <c r="AB323" s="1312">
        <f>IF(AND(C323&gt;$F$65,'Instrumentos Financeiros'!C323&lt;'Instrumentos Financeiros'!$F$65+'Instrumentos Financeiros'!$F$11+1),PMT(((1+'Instrumentos Financeiros'!$H$43)^(1/12)-1),$F$11,-$I$65),0)</f>
        <v>76636.661022032335</v>
      </c>
      <c r="AC323" s="1312">
        <f t="shared" si="179"/>
        <v>65894.926206419172</v>
      </c>
      <c r="AD323" s="1312">
        <f>AE322*((1+'Instrumentos Financeiros'!$H$43)^(1/12)-1)</f>
        <v>10741.734815613157</v>
      </c>
      <c r="AE323" s="1312">
        <f t="shared" si="197"/>
        <v>2418311.3610744216</v>
      </c>
      <c r="AF323" s="1312">
        <f>IF(AND(C323&gt;$F$66,'Instrumentos Financeiros'!C323&lt;'Instrumentos Financeiros'!$F$66+'Instrumentos Financeiros'!$F$11+1),PMT(((1+'Instrumentos Financeiros'!$I$43)^(1/12)-1),$F$11,-$I$66),0)</f>
        <v>76636.661022032335</v>
      </c>
      <c r="AG323" s="1312">
        <f t="shared" si="180"/>
        <v>65047.474410549374</v>
      </c>
      <c r="AH323" s="1312">
        <f>AI322*((1+'Instrumentos Financeiros'!$I$43)^(1/12)-1)</f>
        <v>11589.186611482959</v>
      </c>
      <c r="AI323" s="1312">
        <f t="shared" si="198"/>
        <v>2615146.2502446733</v>
      </c>
      <c r="AJ323" s="1312">
        <f>IF(AND(C323&gt;$F$67,'Instrumentos Financeiros'!C323&lt;'Instrumentos Financeiros'!$F$67+'Instrumentos Financeiros'!$F$11+1),PMT(((1+'Instrumentos Financeiros'!$I$43)^(1/12)-1),$F$11,-$I$67),0)</f>
        <v>76636.661022032335</v>
      </c>
      <c r="AK323" s="1312">
        <f t="shared" si="181"/>
        <v>64210.921398359416</v>
      </c>
      <c r="AL323" s="1312">
        <f>AM322*((1+'Instrumentos Financeiros'!$I$43)^(1/12)-1)</f>
        <v>12425.739623672918</v>
      </c>
      <c r="AM323" s="1312">
        <f t="shared" si="199"/>
        <v>2809449.714160807</v>
      </c>
      <c r="AN323" s="1312">
        <f>IF(AND(C323&gt;$F$68,'Instrumentos Financeiros'!C323&lt;'Instrumentos Financeiros'!$F$68+'Instrumentos Financeiros'!$F$11+1),PMT(((1+'Instrumentos Financeiros'!$I$43)^(1/12)-1),$F$11,-$I$68),0)</f>
        <v>76636.661022032335</v>
      </c>
      <c r="AO323" s="1312">
        <f t="shared" si="182"/>
        <v>63385.127004371716</v>
      </c>
      <c r="AP323" s="1312">
        <f>AQ322*((1+'Instrumentos Financeiros'!$I$43)^(1/12)-1)</f>
        <v>13251.534017660621</v>
      </c>
      <c r="AQ323" s="1312">
        <f t="shared" si="200"/>
        <v>3001254.3086052057</v>
      </c>
      <c r="AR323" s="1312">
        <f>IF(AND(C323&gt;$F$69,'Instrumentos Financeiros'!C323&lt;'Instrumentos Financeiros'!$F$69+'Instrumentos Financeiros'!$F$11+1),PMT(((1+'Instrumentos Financeiros'!$I$43)^(1/12)-1),$F$11,-$I$69),0)</f>
        <v>0</v>
      </c>
      <c r="AS323" s="1312">
        <f t="shared" si="183"/>
        <v>0</v>
      </c>
      <c r="AT323" s="1312">
        <f>AU322*((1+'Instrumentos Financeiros'!$I$43)^(1/12)-1)</f>
        <v>0</v>
      </c>
      <c r="AU323" s="1312">
        <f t="shared" si="201"/>
        <v>0</v>
      </c>
      <c r="AV323" s="1312">
        <f>IF(AND(C323&gt;$F$70,'Instrumentos Financeiros'!C323&lt;'Instrumentos Financeiros'!$F$70+'Instrumentos Financeiros'!$F$11+1),PMT(((1+'Instrumentos Financeiros'!$J$43)^(1/12)-1),$F$11,-$I$70),0)</f>
        <v>0</v>
      </c>
      <c r="AW323" s="1312">
        <f t="shared" si="184"/>
        <v>0</v>
      </c>
      <c r="AX323" s="1312">
        <f>AY322*((1+'Instrumentos Financeiros'!$J$43)^(1/12)-1)</f>
        <v>0</v>
      </c>
      <c r="AY323" s="1312">
        <f t="shared" si="202"/>
        <v>0</v>
      </c>
      <c r="AZ323" s="1312">
        <f>IF(AND(C323&gt;$F$71,'Instrumentos Financeiros'!C323&lt;'Instrumentos Financeiros'!$F$71+'Instrumentos Financeiros'!$F$11+1),PMT(((1+'Instrumentos Financeiros'!$J$43)^(1/12)-1),$F$11,-$I$71),0)</f>
        <v>0</v>
      </c>
      <c r="BA323" s="1312">
        <f t="shared" si="185"/>
        <v>0</v>
      </c>
      <c r="BB323" s="1312">
        <f>BC322*((1+'Instrumentos Financeiros'!$J$43)^(1/12)-1)</f>
        <v>0</v>
      </c>
      <c r="BC323" s="1312">
        <f t="shared" si="203"/>
        <v>0</v>
      </c>
      <c r="BD323" s="1312">
        <f>IF(AND(C323&gt;$F$72,'Instrumentos Financeiros'!C323&lt;'Instrumentos Financeiros'!$F$72+'Instrumentos Financeiros'!$F$11+1),PMT(((1+'Instrumentos Financeiros'!$J$43)^(1/12)-1),$F$11,-'Instrumentos Financeiros'!$G$7*$G$72),0)</f>
        <v>0</v>
      </c>
      <c r="BE323" s="1312">
        <f t="shared" si="186"/>
        <v>0</v>
      </c>
      <c r="BF323" s="1312">
        <f>BG322*((1+'Instrumentos Financeiros'!$J$43)^(1/12)-1)</f>
        <v>0</v>
      </c>
      <c r="BG323" s="1312">
        <f t="shared" si="204"/>
        <v>0</v>
      </c>
      <c r="BH323" s="1312">
        <f>IF(AND(C323&gt;$F$73,'Instrumentos Financeiros'!C323&lt;'Instrumentos Financeiros'!$F$73+'Instrumentos Financeiros'!$F$11+1),PMT(((1+'Instrumentos Financeiros'!$J$43)^(1/12)-1),$F$11,-$I$73),0)</f>
        <v>0</v>
      </c>
      <c r="BI323" s="1312">
        <f t="shared" si="187"/>
        <v>0</v>
      </c>
      <c r="BJ323" s="1312">
        <f>BK322*((1+'Instrumentos Financeiros'!$J$43)^(1/12)-1)</f>
        <v>0</v>
      </c>
      <c r="BK323" s="1312">
        <f t="shared" si="205"/>
        <v>0</v>
      </c>
      <c r="BL323" s="1312">
        <f>IF(AND(C323&gt;$F$77,'Instrumentos Financeiros'!C323&lt;'Instrumentos Financeiros'!$F$77+'Instrumentos Financeiros'!$F$12+1),PMT(((1+'Instrumentos Financeiros'!$K$43)^(1/12)-1),$F$12,-$I$77),0)</f>
        <v>368.57912678094596</v>
      </c>
      <c r="BM323" s="1312">
        <f t="shared" si="206"/>
        <v>300.92619227428196</v>
      </c>
      <c r="BN323" s="1312">
        <f>BO322*((1+'Instrumentos Financeiros'!$K$43)^(1/12)-1)</f>
        <v>67.652934506663996</v>
      </c>
      <c r="BO323" s="1312">
        <f t="shared" si="207"/>
        <v>15344.949277502919</v>
      </c>
      <c r="BP323" s="1312">
        <f>IF(AND(C323&gt;$F$78,'Instrumentos Financeiros'!C323&lt;'Instrumentos Financeiros'!$F$78+'Instrumentos Financeiros'!$F$12+1),PMT(((1+'Instrumentos Financeiros'!$L$43)^(1/12)-1),$F$12,-$I$78),0)</f>
        <v>368.57912678094596</v>
      </c>
      <c r="BQ323" s="1312">
        <f t="shared" si="208"/>
        <v>297.05608486619053</v>
      </c>
      <c r="BR323" s="1312">
        <f>BS322*((1+'Instrumentos Financeiros'!$L$43)^(1/12)-1)</f>
        <v>71.523041914755439</v>
      </c>
      <c r="BS323" s="1312">
        <f t="shared" si="209"/>
        <v>16243.846614745313</v>
      </c>
      <c r="BT323" s="1312">
        <f>IF(AND(C323&gt;$F$79,'Instrumentos Financeiros'!C323&lt;'Instrumentos Financeiros'!$F$79+'Instrumentos Financeiros'!$F$12+1),PMT(((1+'Instrumentos Financeiros'!$L$43)^(1/12)-1),$F$12,-$I$79),0)</f>
        <v>368.57912678094596</v>
      </c>
      <c r="BU323" s="1312">
        <f t="shared" si="210"/>
        <v>293.23574956745574</v>
      </c>
      <c r="BV323" s="1312">
        <f>BW322*((1+'Instrumentos Financeiros'!$L$43)^(1/12)-1)</f>
        <v>75.3433772134902</v>
      </c>
      <c r="BW323" s="1312">
        <f t="shared" si="211"/>
        <v>17131.183545039796</v>
      </c>
      <c r="BX323" s="1312">
        <f>IF(AND(C323&gt;$F$80,'Instrumentos Financeiros'!C323&lt;'Instrumentos Financeiros'!$F$80+'Instrumentos Financeiros'!$F$12+1),PMT(((1+'Instrumentos Financeiros'!$L$43)^(1/12)-1),$F$12,-$I$80),0)</f>
        <v>368.57912678094596</v>
      </c>
      <c r="BY323" s="1312">
        <f t="shared" si="212"/>
        <v>289.46454627623848</v>
      </c>
      <c r="BZ323" s="1312">
        <f>CA322*((1+'Instrumentos Financeiros'!$L$43)^(1/12)-1)</f>
        <v>79.114580504707462</v>
      </c>
      <c r="CA323" s="1312">
        <f t="shared" si="213"/>
        <v>18007.108742771376</v>
      </c>
      <c r="CB323" s="1312">
        <f>IF(AND(C323&gt;$F$83,'Instrumentos Financeiros'!C323&lt;'Instrumentos Financeiros'!$F$83+'Instrumentos Financeiros'!$F$13+1),PMT(((1+'Instrumentos Financeiros'!$P$43)^(1/12)-1),$F$13,-$I$83),0)</f>
        <v>30503.390100238979</v>
      </c>
      <c r="CC323" s="1312">
        <f t="shared" si="214"/>
        <v>18254.102004717031</v>
      </c>
      <c r="CD323" s="1312">
        <f>CE322*((1+'Instrumentos Financeiros'!$P$43)^(1/12)-1)</f>
        <v>12249.288095521946</v>
      </c>
      <c r="CE323" s="1312">
        <f t="shared" si="215"/>
        <v>2814599.1590328007</v>
      </c>
      <c r="CF323" s="1312">
        <f>IF(AND(C323&gt;$F$84,'Instrumentos Financeiros'!C323&lt;'Instrumentos Financeiros'!$F$84+'Instrumentos Financeiros'!$F$13+1),PMT(((1+'Instrumentos Financeiros'!$Q$43)^(1/12)-1),$F$13,-$I$84),0)</f>
        <v>30503.390100238979</v>
      </c>
      <c r="CG323" s="1312">
        <f t="shared" si="216"/>
        <v>18019.34232872272</v>
      </c>
      <c r="CH323" s="1312">
        <f>CI322*((1+'Instrumentos Financeiros'!$Q$43)^(1/12)-1)</f>
        <v>12484.047771516258</v>
      </c>
      <c r="CI323" s="1312">
        <f t="shared" si="217"/>
        <v>2869126.0300963721</v>
      </c>
      <c r="CJ323" s="1312">
        <f>IF(AND(C323&gt;$F$85,'Instrumentos Financeiros'!C323&lt;'Instrumentos Financeiros'!$F$85+'Instrumentos Financeiros'!$F$13+1),PMT(((1+'Instrumentos Financeiros'!$Q$43)^(1/12)-1),$F$13,-$I$85),0)</f>
        <v>30503.390100238979</v>
      </c>
      <c r="CK323" s="1312">
        <f t="shared" si="218"/>
        <v>17787.601815514874</v>
      </c>
      <c r="CL323" s="1312">
        <f>CM322*((1+'Instrumentos Financeiros'!$Q$43)^(1/12)-1)</f>
        <v>12715.788284724105</v>
      </c>
      <c r="CM323" s="1312">
        <f t="shared" si="219"/>
        <v>2922951.6499792188</v>
      </c>
      <c r="CN323" s="1312">
        <f>IF(AND(C323&gt;$F$86,'Instrumentos Financeiros'!C323&lt;'Instrumentos Financeiros'!$F$86+'Instrumentos Financeiros'!$F$13+1),PMT(((1+'Instrumentos Financeiros'!$Q$43)^(1/12)-1),$F$13,-$I$86),0)</f>
        <v>30503.390100238979</v>
      </c>
      <c r="CO323" s="1312">
        <f t="shared" si="220"/>
        <v>17558.841636687834</v>
      </c>
      <c r="CP323" s="1312">
        <f>CQ322*((1+'Instrumentos Financeiros'!$Q$43)^(1/12)-1)</f>
        <v>12944.548463551146</v>
      </c>
      <c r="CQ323" s="1312">
        <f t="shared" si="221"/>
        <v>2976085.0372296073</v>
      </c>
      <c r="CR323" s="1312">
        <f t="shared" si="190"/>
        <v>521803.11063210916</v>
      </c>
      <c r="CS323" s="1312">
        <f t="shared" si="190"/>
        <v>416967.73618708935</v>
      </c>
      <c r="CT323" s="1312">
        <f t="shared" si="190"/>
        <v>104835.37444501973</v>
      </c>
      <c r="CU323" s="1312">
        <f t="shared" si="190"/>
        <v>23912228.840856038</v>
      </c>
    </row>
    <row r="324" spans="3:99" x14ac:dyDescent="0.35">
      <c r="C324" s="1315">
        <f t="shared" si="191"/>
        <v>231</v>
      </c>
      <c r="D324" s="1312">
        <f>IF(AND(C324&gt;$F$59,'Instrumentos Financeiros'!C324&lt;'Instrumentos Financeiros'!$F$59+'Instrumentos Financeiros'!$F$11+1),PMT(((1+'Instrumentos Financeiros'!$G$43)^(1/12)-1),$F$11,-$I$59),0)</f>
        <v>91768.589635900134</v>
      </c>
      <c r="E324" s="1312">
        <f t="shared" si="188"/>
        <v>85978.236154082959</v>
      </c>
      <c r="F324" s="1312">
        <f>G323*((1+'Instrumentos Financeiros'!$G$43)^(1/12)-1)</f>
        <v>5790.3534818171738</v>
      </c>
      <c r="G324" s="1312">
        <f t="shared" si="222"/>
        <v>1332600.0060987861</v>
      </c>
      <c r="H324" s="1312">
        <f>IF(AND(C324&gt;$F$60,'Instrumentos Financeiros'!C324&lt;'Instrumentos Financeiros'!$F$60+'Instrumentos Financeiros'!$F$11+1),PMT(((1+'Instrumentos Financeiros'!$G$43)^(1/12)-1),$F$11,-$I$60),0)</f>
        <v>0</v>
      </c>
      <c r="I324" s="1312">
        <f t="shared" si="174"/>
        <v>0</v>
      </c>
      <c r="J324" s="1312">
        <f>K323*((1+'Instrumentos Financeiros'!$G$43)^(1/12)-1)</f>
        <v>0</v>
      </c>
      <c r="K324" s="1312">
        <f t="shared" si="192"/>
        <v>0</v>
      </c>
      <c r="L324" s="1312">
        <f>IF(AND(C324&gt;$F$61,'Instrumentos Financeiros'!C324&lt;'Instrumentos Financeiros'!$F$61+'Instrumentos Financeiros'!$F$11+1),PMT(((1+'Instrumentos Financeiros'!$G$43)^(1/12)-1),$F$11,-$I$61),0)</f>
        <v>0</v>
      </c>
      <c r="M324" s="1312">
        <f t="shared" si="175"/>
        <v>0</v>
      </c>
      <c r="N324" s="1312">
        <f>O323*((1+'Instrumentos Financeiros'!$G$43)^(1/12)-1)</f>
        <v>0</v>
      </c>
      <c r="O324" s="1312">
        <f t="shared" si="193"/>
        <v>0</v>
      </c>
      <c r="P324" s="1312">
        <f>IF(AND(C324&gt;$F$62,'Instrumentos Financeiros'!C324&lt;'Instrumentos Financeiros'!$F$62+'Instrumentos Financeiros'!$F$11+1),PMT(((1+'Instrumentos Financeiros'!$H$43)^(1/12)-1),$F$11,-$I$62),0)</f>
        <v>0</v>
      </c>
      <c r="Q324" s="1312">
        <f t="shared" si="176"/>
        <v>0</v>
      </c>
      <c r="R324" s="1312">
        <f>S323*((1+'Instrumentos Financeiros'!$H$43)^(1/12)-1)</f>
        <v>0</v>
      </c>
      <c r="S324" s="1312">
        <f t="shared" si="194"/>
        <v>0</v>
      </c>
      <c r="T324" s="1312">
        <f>IF(AND(C324&gt;$F$63,'Instrumentos Financeiros'!C324&lt;'Instrumentos Financeiros'!$F$63+'Instrumentos Financeiros'!$F$11+1),PMT(((1+'Instrumentos Financeiros'!$H$43)^(1/12)-1),$F$11,-$I$63),0)</f>
        <v>0</v>
      </c>
      <c r="U324" s="1312">
        <f t="shared" si="177"/>
        <v>0</v>
      </c>
      <c r="V324" s="1312">
        <f>W323*((1+'Instrumentos Financeiros'!$H$43)^(1/12)-1)</f>
        <v>0</v>
      </c>
      <c r="W324" s="1312">
        <f t="shared" si="195"/>
        <v>0</v>
      </c>
      <c r="X324" s="1312">
        <f>IF(AND(C324&gt;$F$64,'Instrumentos Financeiros'!C324&lt;'Instrumentos Financeiros'!$F$64+'Instrumentos Financeiros'!$F$11+1),PMT(((1+'Instrumentos Financeiros'!$H$43)^(1/12)-1),$F$11,-$I$64),0)</f>
        <v>0</v>
      </c>
      <c r="Y324" s="1312">
        <f t="shared" si="178"/>
        <v>0</v>
      </c>
      <c r="Z324" s="1312">
        <f>AA323*((1+'Instrumentos Financeiros'!$H$43)^(1/12)-1)</f>
        <v>0</v>
      </c>
      <c r="AA324" s="1312">
        <f t="shared" si="196"/>
        <v>0</v>
      </c>
      <c r="AB324" s="1312">
        <f>IF(AND(C324&gt;$F$65,'Instrumentos Financeiros'!C324&lt;'Instrumentos Financeiros'!$F$65+'Instrumentos Financeiros'!$F$11+1),PMT(((1+'Instrumentos Financeiros'!$H$43)^(1/12)-1),$F$11,-$I$65),0)</f>
        <v>76636.661022032335</v>
      </c>
      <c r="AC324" s="1312">
        <f t="shared" si="179"/>
        <v>66179.85657900048</v>
      </c>
      <c r="AD324" s="1312">
        <f>AE323*((1+'Instrumentos Financeiros'!$H$43)^(1/12)-1)</f>
        <v>10456.804443031851</v>
      </c>
      <c r="AE324" s="1312">
        <f t="shared" si="197"/>
        <v>2352131.504495421</v>
      </c>
      <c r="AF324" s="1312">
        <f>IF(AND(C324&gt;$F$66,'Instrumentos Financeiros'!C324&lt;'Instrumentos Financeiros'!$F$66+'Instrumentos Financeiros'!$F$11+1),PMT(((1+'Instrumentos Financeiros'!$I$43)^(1/12)-1),$F$11,-$I$66),0)</f>
        <v>76636.661022032335</v>
      </c>
      <c r="AG324" s="1312">
        <f t="shared" si="180"/>
        <v>65328.740392412867</v>
      </c>
      <c r="AH324" s="1312">
        <f>AI323*((1+'Instrumentos Financeiros'!$I$43)^(1/12)-1)</f>
        <v>11307.92062961947</v>
      </c>
      <c r="AI324" s="1312">
        <f t="shared" si="198"/>
        <v>2549817.5098522604</v>
      </c>
      <c r="AJ324" s="1312">
        <f>IF(AND(C324&gt;$F$67,'Instrumentos Financeiros'!C324&lt;'Instrumentos Financeiros'!$F$67+'Instrumentos Financeiros'!$F$11+1),PMT(((1+'Instrumentos Financeiros'!$I$43)^(1/12)-1),$F$11,-$I$67),0)</f>
        <v>76636.661022032335</v>
      </c>
      <c r="AK324" s="1312">
        <f t="shared" si="181"/>
        <v>64488.570115963434</v>
      </c>
      <c r="AL324" s="1312">
        <f>AM323*((1+'Instrumentos Financeiros'!$I$43)^(1/12)-1)</f>
        <v>12148.090906068903</v>
      </c>
      <c r="AM324" s="1312">
        <f t="shared" si="199"/>
        <v>2744961.1440448435</v>
      </c>
      <c r="AN324" s="1312">
        <f>IF(AND(C324&gt;$F$68,'Instrumentos Financeiros'!C324&lt;'Instrumentos Financeiros'!$F$68+'Instrumentos Financeiros'!$F$11+1),PMT(((1+'Instrumentos Financeiros'!$I$43)^(1/12)-1),$F$11,-$I$68),0)</f>
        <v>76636.661022032335</v>
      </c>
      <c r="AO324" s="1312">
        <f t="shared" si="182"/>
        <v>63659.20497809755</v>
      </c>
      <c r="AP324" s="1312">
        <f>AQ323*((1+'Instrumentos Financeiros'!$I$43)^(1/12)-1)</f>
        <v>12977.456043934784</v>
      </c>
      <c r="AQ324" s="1312">
        <f t="shared" si="200"/>
        <v>2937595.103627108</v>
      </c>
      <c r="AR324" s="1312">
        <f>IF(AND(C324&gt;$F$69,'Instrumentos Financeiros'!C324&lt;'Instrumentos Financeiros'!$F$69+'Instrumentos Financeiros'!$F$11+1),PMT(((1+'Instrumentos Financeiros'!$I$43)^(1/12)-1),$F$11,-$I$69),0)</f>
        <v>0</v>
      </c>
      <c r="AS324" s="1312">
        <f t="shared" si="183"/>
        <v>0</v>
      </c>
      <c r="AT324" s="1312">
        <f>AU323*((1+'Instrumentos Financeiros'!$I$43)^(1/12)-1)</f>
        <v>0</v>
      </c>
      <c r="AU324" s="1312">
        <f t="shared" si="201"/>
        <v>0</v>
      </c>
      <c r="AV324" s="1312">
        <f>IF(AND(C324&gt;$F$70,'Instrumentos Financeiros'!C324&lt;'Instrumentos Financeiros'!$F$70+'Instrumentos Financeiros'!$F$11+1),PMT(((1+'Instrumentos Financeiros'!$J$43)^(1/12)-1),$F$11,-$I$70),0)</f>
        <v>0</v>
      </c>
      <c r="AW324" s="1312">
        <f t="shared" si="184"/>
        <v>0</v>
      </c>
      <c r="AX324" s="1312">
        <f>AY323*((1+'Instrumentos Financeiros'!$J$43)^(1/12)-1)</f>
        <v>0</v>
      </c>
      <c r="AY324" s="1312">
        <f t="shared" si="202"/>
        <v>0</v>
      </c>
      <c r="AZ324" s="1312">
        <f>IF(AND(C324&gt;$F$71,'Instrumentos Financeiros'!C324&lt;'Instrumentos Financeiros'!$F$71+'Instrumentos Financeiros'!$F$11+1),PMT(((1+'Instrumentos Financeiros'!$J$43)^(1/12)-1),$F$11,-$I$71),0)</f>
        <v>0</v>
      </c>
      <c r="BA324" s="1312">
        <f t="shared" si="185"/>
        <v>0</v>
      </c>
      <c r="BB324" s="1312">
        <f>BC323*((1+'Instrumentos Financeiros'!$J$43)^(1/12)-1)</f>
        <v>0</v>
      </c>
      <c r="BC324" s="1312">
        <f t="shared" si="203"/>
        <v>0</v>
      </c>
      <c r="BD324" s="1312">
        <f>IF(AND(C324&gt;$F$72,'Instrumentos Financeiros'!C324&lt;'Instrumentos Financeiros'!$F$72+'Instrumentos Financeiros'!$F$11+1),PMT(((1+'Instrumentos Financeiros'!$J$43)^(1/12)-1),$F$11,-'Instrumentos Financeiros'!$G$7*$G$72),0)</f>
        <v>0</v>
      </c>
      <c r="BE324" s="1312">
        <f t="shared" si="186"/>
        <v>0</v>
      </c>
      <c r="BF324" s="1312">
        <f>BG323*((1+'Instrumentos Financeiros'!$J$43)^(1/12)-1)</f>
        <v>0</v>
      </c>
      <c r="BG324" s="1312">
        <f t="shared" si="204"/>
        <v>0</v>
      </c>
      <c r="BH324" s="1312">
        <f>IF(AND(C324&gt;$F$73,'Instrumentos Financeiros'!C324&lt;'Instrumentos Financeiros'!$F$73+'Instrumentos Financeiros'!$F$11+1),PMT(((1+'Instrumentos Financeiros'!$J$43)^(1/12)-1),$F$11,-$I$73),0)</f>
        <v>0</v>
      </c>
      <c r="BI324" s="1312">
        <f t="shared" si="187"/>
        <v>0</v>
      </c>
      <c r="BJ324" s="1312">
        <f>BK323*((1+'Instrumentos Financeiros'!$J$43)^(1/12)-1)</f>
        <v>0</v>
      </c>
      <c r="BK324" s="1312">
        <f t="shared" si="205"/>
        <v>0</v>
      </c>
      <c r="BL324" s="1312">
        <f>IF(AND(C324&gt;$F$77,'Instrumentos Financeiros'!C324&lt;'Instrumentos Financeiros'!$F$77+'Instrumentos Financeiros'!$F$12+1),PMT(((1+'Instrumentos Financeiros'!$K$43)^(1/12)-1),$F$12,-$I$77),0)</f>
        <v>368.57912678094596</v>
      </c>
      <c r="BM324" s="1312">
        <f t="shared" si="206"/>
        <v>302.22740037967674</v>
      </c>
      <c r="BN324" s="1312">
        <f>BO323*((1+'Instrumentos Financeiros'!$K$43)^(1/12)-1)</f>
        <v>66.35172640126919</v>
      </c>
      <c r="BO324" s="1312">
        <f t="shared" si="207"/>
        <v>15042.721877123242</v>
      </c>
      <c r="BP324" s="1312">
        <f>IF(AND(C324&gt;$F$78,'Instrumentos Financeiros'!C324&lt;'Instrumentos Financeiros'!$F$78+'Instrumentos Financeiros'!$F$12+1),PMT(((1+'Instrumentos Financeiros'!$L$43)^(1/12)-1),$F$12,-$I$78),0)</f>
        <v>368.57912678094596</v>
      </c>
      <c r="BQ324" s="1312">
        <f t="shared" si="208"/>
        <v>298.34055858535561</v>
      </c>
      <c r="BR324" s="1312">
        <f>BS323*((1+'Instrumentos Financeiros'!$L$43)^(1/12)-1)</f>
        <v>70.238568195590361</v>
      </c>
      <c r="BS324" s="1312">
        <f t="shared" si="209"/>
        <v>15945.506056159957</v>
      </c>
      <c r="BT324" s="1312">
        <f>IF(AND(C324&gt;$F$79,'Instrumentos Financeiros'!C324&lt;'Instrumentos Financeiros'!$F$79+'Instrumentos Financeiros'!$F$12+1),PMT(((1+'Instrumentos Financeiros'!$L$43)^(1/12)-1),$F$12,-$I$79),0)</f>
        <v>368.57912678094596</v>
      </c>
      <c r="BU324" s="1312">
        <f t="shared" si="210"/>
        <v>294.5037041155295</v>
      </c>
      <c r="BV324" s="1312">
        <f>BW323*((1+'Instrumentos Financeiros'!$L$43)^(1/12)-1)</f>
        <v>74.07542266541644</v>
      </c>
      <c r="BW324" s="1312">
        <f t="shared" si="211"/>
        <v>16836.679840924266</v>
      </c>
      <c r="BX324" s="1312">
        <f>IF(AND(C324&gt;$F$80,'Instrumentos Financeiros'!C324&lt;'Instrumentos Financeiros'!$F$80+'Instrumentos Financeiros'!$F$12+1),PMT(((1+'Instrumentos Financeiros'!$L$43)^(1/12)-1),$F$12,-$I$80),0)</f>
        <v>368.57912678094596</v>
      </c>
      <c r="BY324" s="1312">
        <f t="shared" si="212"/>
        <v>290.71619410055206</v>
      </c>
      <c r="BZ324" s="1312">
        <f>CA323*((1+'Instrumentos Financeiros'!$L$43)^(1/12)-1)</f>
        <v>77.862932680393897</v>
      </c>
      <c r="CA324" s="1312">
        <f t="shared" si="213"/>
        <v>17716.392548670825</v>
      </c>
      <c r="CB324" s="1312">
        <f>IF(AND(C324&gt;$F$83,'Instrumentos Financeiros'!C324&lt;'Instrumentos Financeiros'!$F$83+'Instrumentos Financeiros'!$F$13+1),PMT(((1+'Instrumentos Financeiros'!$P$43)^(1/12)-1),$F$13,-$I$83),0)</f>
        <v>30503.390100238979</v>
      </c>
      <c r="CC324" s="1312">
        <f t="shared" si="214"/>
        <v>18333.032938929606</v>
      </c>
      <c r="CD324" s="1312">
        <f>CE323*((1+'Instrumentos Financeiros'!$P$43)^(1/12)-1)</f>
        <v>12170.357161309374</v>
      </c>
      <c r="CE324" s="1312">
        <f t="shared" si="215"/>
        <v>2796266.126093871</v>
      </c>
      <c r="CF324" s="1312">
        <f>IF(AND(C324&gt;$F$84,'Instrumentos Financeiros'!C324&lt;'Instrumentos Financeiros'!$F$84+'Instrumentos Financeiros'!$F$13+1),PMT(((1+'Instrumentos Financeiros'!$Q$43)^(1/12)-1),$F$13,-$I$84),0)</f>
        <v>30503.390100238979</v>
      </c>
      <c r="CG324" s="1312">
        <f t="shared" si="216"/>
        <v>18097.25815956089</v>
      </c>
      <c r="CH324" s="1312">
        <f>CI323*((1+'Instrumentos Financeiros'!$Q$43)^(1/12)-1)</f>
        <v>12406.131940678089</v>
      </c>
      <c r="CI324" s="1312">
        <f t="shared" si="217"/>
        <v>2851028.771936811</v>
      </c>
      <c r="CJ324" s="1312">
        <f>IF(AND(C324&gt;$F$85,'Instrumentos Financeiros'!C324&lt;'Instrumentos Financeiros'!$F$85+'Instrumentos Financeiros'!$F$13+1),PMT(((1+'Instrumentos Financeiros'!$Q$43)^(1/12)-1),$F$13,-$I$85),0)</f>
        <v>30503.390100238979</v>
      </c>
      <c r="CK324" s="1312">
        <f t="shared" si="218"/>
        <v>17864.515597871137</v>
      </c>
      <c r="CL324" s="1312">
        <f>CM323*((1+'Instrumentos Financeiros'!$Q$43)^(1/12)-1)</f>
        <v>12638.874502367842</v>
      </c>
      <c r="CM324" s="1312">
        <f t="shared" si="219"/>
        <v>2905087.1343813478</v>
      </c>
      <c r="CN324" s="1312">
        <f>IF(AND(C324&gt;$F$86,'Instrumentos Financeiros'!C324&lt;'Instrumentos Financeiros'!$F$86+'Instrumentos Financeiros'!$F$13+1),PMT(((1+'Instrumentos Financeiros'!$Q$43)^(1/12)-1),$F$13,-$I$86),0)</f>
        <v>30503.390100238979</v>
      </c>
      <c r="CO324" s="1312">
        <f t="shared" si="220"/>
        <v>17634.766257560241</v>
      </c>
      <c r="CP324" s="1312">
        <f>CQ323*((1+'Instrumentos Financeiros'!$Q$43)^(1/12)-1)</f>
        <v>12868.623842678739</v>
      </c>
      <c r="CQ324" s="1312">
        <f t="shared" si="221"/>
        <v>2958450.270972047</v>
      </c>
      <c r="CR324" s="1312">
        <f t="shared" si="190"/>
        <v>521803.11063210916</v>
      </c>
      <c r="CS324" s="1312">
        <f t="shared" si="190"/>
        <v>418749.96903066034</v>
      </c>
      <c r="CT324" s="1312">
        <f t="shared" si="190"/>
        <v>103053.14160144888</v>
      </c>
      <c r="CU324" s="1312">
        <f t="shared" si="190"/>
        <v>23493478.871825375</v>
      </c>
    </row>
    <row r="325" spans="3:99" x14ac:dyDescent="0.35">
      <c r="C325" s="1315">
        <f t="shared" si="191"/>
        <v>232</v>
      </c>
      <c r="D325" s="1312">
        <f>IF(AND(C325&gt;$F$59,'Instrumentos Financeiros'!C325&lt;'Instrumentos Financeiros'!$F$59+'Instrumentos Financeiros'!$F$11+1),PMT(((1+'Instrumentos Financeiros'!$G$43)^(1/12)-1),$F$11,-$I$59),0)</f>
        <v>91768.589635900134</v>
      </c>
      <c r="E325" s="1312">
        <f t="shared" si="188"/>
        <v>86329.182167666717</v>
      </c>
      <c r="F325" s="1312">
        <f>G324*((1+'Instrumentos Financeiros'!$G$43)^(1/12)-1)</f>
        <v>5439.4074682334194</v>
      </c>
      <c r="G325" s="1312">
        <f t="shared" si="222"/>
        <v>1246270.8239311194</v>
      </c>
      <c r="H325" s="1312">
        <f>IF(AND(C325&gt;$F$60,'Instrumentos Financeiros'!C325&lt;'Instrumentos Financeiros'!$F$60+'Instrumentos Financeiros'!$F$11+1),PMT(((1+'Instrumentos Financeiros'!$G$43)^(1/12)-1),$F$11,-$I$60),0)</f>
        <v>0</v>
      </c>
      <c r="I325" s="1312">
        <f t="shared" si="174"/>
        <v>0</v>
      </c>
      <c r="J325" s="1312">
        <f>K324*((1+'Instrumentos Financeiros'!$G$43)^(1/12)-1)</f>
        <v>0</v>
      </c>
      <c r="K325" s="1312">
        <f t="shared" si="192"/>
        <v>0</v>
      </c>
      <c r="L325" s="1312">
        <f>IF(AND(C325&gt;$F$61,'Instrumentos Financeiros'!C325&lt;'Instrumentos Financeiros'!$F$61+'Instrumentos Financeiros'!$F$11+1),PMT(((1+'Instrumentos Financeiros'!$G$43)^(1/12)-1),$F$11,-$I$61),0)</f>
        <v>0</v>
      </c>
      <c r="M325" s="1312">
        <f t="shared" si="175"/>
        <v>0</v>
      </c>
      <c r="N325" s="1312">
        <f>O324*((1+'Instrumentos Financeiros'!$G$43)^(1/12)-1)</f>
        <v>0</v>
      </c>
      <c r="O325" s="1312">
        <f t="shared" si="193"/>
        <v>0</v>
      </c>
      <c r="P325" s="1312">
        <f>IF(AND(C325&gt;$F$62,'Instrumentos Financeiros'!C325&lt;'Instrumentos Financeiros'!$F$62+'Instrumentos Financeiros'!$F$11+1),PMT(((1+'Instrumentos Financeiros'!$H$43)^(1/12)-1),$F$11,-$I$62),0)</f>
        <v>0</v>
      </c>
      <c r="Q325" s="1312">
        <f t="shared" si="176"/>
        <v>0</v>
      </c>
      <c r="R325" s="1312">
        <f>S324*((1+'Instrumentos Financeiros'!$H$43)^(1/12)-1)</f>
        <v>0</v>
      </c>
      <c r="S325" s="1312">
        <f t="shared" si="194"/>
        <v>0</v>
      </c>
      <c r="T325" s="1312">
        <f>IF(AND(C325&gt;$F$63,'Instrumentos Financeiros'!C325&lt;'Instrumentos Financeiros'!$F$63+'Instrumentos Financeiros'!$F$11+1),PMT(((1+'Instrumentos Financeiros'!$H$43)^(1/12)-1),$F$11,-$I$63),0)</f>
        <v>0</v>
      </c>
      <c r="U325" s="1312">
        <f t="shared" si="177"/>
        <v>0</v>
      </c>
      <c r="V325" s="1312">
        <f>W324*((1+'Instrumentos Financeiros'!$H$43)^(1/12)-1)</f>
        <v>0</v>
      </c>
      <c r="W325" s="1312">
        <f t="shared" si="195"/>
        <v>0</v>
      </c>
      <c r="X325" s="1312">
        <f>IF(AND(C325&gt;$F$64,'Instrumentos Financeiros'!C325&lt;'Instrumentos Financeiros'!$F$64+'Instrumentos Financeiros'!$F$11+1),PMT(((1+'Instrumentos Financeiros'!$H$43)^(1/12)-1),$F$11,-$I$64),0)</f>
        <v>0</v>
      </c>
      <c r="Y325" s="1312">
        <f t="shared" si="178"/>
        <v>0</v>
      </c>
      <c r="Z325" s="1312">
        <f>AA324*((1+'Instrumentos Financeiros'!$H$43)^(1/12)-1)</f>
        <v>0</v>
      </c>
      <c r="AA325" s="1312">
        <f t="shared" si="196"/>
        <v>0</v>
      </c>
      <c r="AB325" s="1312">
        <f>IF(AND(C325&gt;$F$65,'Instrumentos Financeiros'!C325&lt;'Instrumentos Financeiros'!$F$65+'Instrumentos Financeiros'!$F$11+1),PMT(((1+'Instrumentos Financeiros'!$H$43)^(1/12)-1),$F$11,-$I$65),0)</f>
        <v>76636.661022032335</v>
      </c>
      <c r="AC325" s="1312">
        <f t="shared" si="179"/>
        <v>66466.018993590071</v>
      </c>
      <c r="AD325" s="1312">
        <f>AE324*((1+'Instrumentos Financeiros'!$H$43)^(1/12)-1)</f>
        <v>10170.642028442258</v>
      </c>
      <c r="AE325" s="1312">
        <f t="shared" si="197"/>
        <v>2285665.4855018309</v>
      </c>
      <c r="AF325" s="1312">
        <f>IF(AND(C325&gt;$F$66,'Instrumentos Financeiros'!C325&lt;'Instrumentos Financeiros'!$F$66+'Instrumentos Financeiros'!$F$11+1),PMT(((1+'Instrumentos Financeiros'!$I$43)^(1/12)-1),$F$11,-$I$66),0)</f>
        <v>76636.661022032335</v>
      </c>
      <c r="AG325" s="1312">
        <f t="shared" si="180"/>
        <v>65611.22257141961</v>
      </c>
      <c r="AH325" s="1312">
        <f>AI324*((1+'Instrumentos Financeiros'!$I$43)^(1/12)-1)</f>
        <v>11025.438450612728</v>
      </c>
      <c r="AI325" s="1312">
        <f t="shared" si="198"/>
        <v>2484206.2872808408</v>
      </c>
      <c r="AJ325" s="1312">
        <f>IF(AND(C325&gt;$F$67,'Instrumentos Financeiros'!C325&lt;'Instrumentos Financeiros'!$F$67+'Instrumentos Financeiros'!$F$11+1),PMT(((1+'Instrumentos Financeiros'!$I$43)^(1/12)-1),$F$11,-$I$67),0)</f>
        <v>76636.661022032335</v>
      </c>
      <c r="AK325" s="1312">
        <f t="shared" si="181"/>
        <v>64767.419389620969</v>
      </c>
      <c r="AL325" s="1312">
        <f>AM324*((1+'Instrumentos Financeiros'!$I$43)^(1/12)-1)</f>
        <v>11869.241632411364</v>
      </c>
      <c r="AM325" s="1312">
        <f t="shared" si="199"/>
        <v>2680193.7246552226</v>
      </c>
      <c r="AN325" s="1312">
        <f>IF(AND(C325&gt;$F$68,'Instrumentos Financeiros'!C325&lt;'Instrumentos Financeiros'!$F$68+'Instrumentos Financeiros'!$F$11+1),PMT(((1+'Instrumentos Financeiros'!$I$43)^(1/12)-1),$F$11,-$I$68),0)</f>
        <v>76636.661022032335</v>
      </c>
      <c r="AO325" s="1312">
        <f t="shared" si="182"/>
        <v>63934.468067941823</v>
      </c>
      <c r="AP325" s="1312">
        <f>AQ324*((1+'Instrumentos Financeiros'!$I$43)^(1/12)-1)</f>
        <v>12702.192954090513</v>
      </c>
      <c r="AQ325" s="1312">
        <f t="shared" si="200"/>
        <v>2873660.6355591663</v>
      </c>
      <c r="AR325" s="1312">
        <f>IF(AND(C325&gt;$F$69,'Instrumentos Financeiros'!C325&lt;'Instrumentos Financeiros'!$F$69+'Instrumentos Financeiros'!$F$11+1),PMT(((1+'Instrumentos Financeiros'!$I$43)^(1/12)-1),$F$11,-$I$69),0)</f>
        <v>0</v>
      </c>
      <c r="AS325" s="1312">
        <f t="shared" si="183"/>
        <v>0</v>
      </c>
      <c r="AT325" s="1312">
        <f>AU324*((1+'Instrumentos Financeiros'!$I$43)^(1/12)-1)</f>
        <v>0</v>
      </c>
      <c r="AU325" s="1312">
        <f t="shared" si="201"/>
        <v>0</v>
      </c>
      <c r="AV325" s="1312">
        <f>IF(AND(C325&gt;$F$70,'Instrumentos Financeiros'!C325&lt;'Instrumentos Financeiros'!$F$70+'Instrumentos Financeiros'!$F$11+1),PMT(((1+'Instrumentos Financeiros'!$J$43)^(1/12)-1),$F$11,-$I$70),0)</f>
        <v>0</v>
      </c>
      <c r="AW325" s="1312">
        <f t="shared" si="184"/>
        <v>0</v>
      </c>
      <c r="AX325" s="1312">
        <f>AY324*((1+'Instrumentos Financeiros'!$J$43)^(1/12)-1)</f>
        <v>0</v>
      </c>
      <c r="AY325" s="1312">
        <f t="shared" si="202"/>
        <v>0</v>
      </c>
      <c r="AZ325" s="1312">
        <f>IF(AND(C325&gt;$F$71,'Instrumentos Financeiros'!C325&lt;'Instrumentos Financeiros'!$F$71+'Instrumentos Financeiros'!$F$11+1),PMT(((1+'Instrumentos Financeiros'!$J$43)^(1/12)-1),$F$11,-$I$71),0)</f>
        <v>0</v>
      </c>
      <c r="BA325" s="1312">
        <f t="shared" si="185"/>
        <v>0</v>
      </c>
      <c r="BB325" s="1312">
        <f>BC324*((1+'Instrumentos Financeiros'!$J$43)^(1/12)-1)</f>
        <v>0</v>
      </c>
      <c r="BC325" s="1312">
        <f t="shared" si="203"/>
        <v>0</v>
      </c>
      <c r="BD325" s="1312">
        <f>IF(AND(C325&gt;$F$72,'Instrumentos Financeiros'!C325&lt;'Instrumentos Financeiros'!$F$72+'Instrumentos Financeiros'!$F$11+1),PMT(((1+'Instrumentos Financeiros'!$J$43)^(1/12)-1),$F$11,-'Instrumentos Financeiros'!$G$7*$G$72),0)</f>
        <v>0</v>
      </c>
      <c r="BE325" s="1312">
        <f t="shared" si="186"/>
        <v>0</v>
      </c>
      <c r="BF325" s="1312">
        <f>BG324*((1+'Instrumentos Financeiros'!$J$43)^(1/12)-1)</f>
        <v>0</v>
      </c>
      <c r="BG325" s="1312">
        <f t="shared" si="204"/>
        <v>0</v>
      </c>
      <c r="BH325" s="1312">
        <f>IF(AND(C325&gt;$F$73,'Instrumentos Financeiros'!C325&lt;'Instrumentos Financeiros'!$F$73+'Instrumentos Financeiros'!$F$11+1),PMT(((1+'Instrumentos Financeiros'!$J$43)^(1/12)-1),$F$11,-$I$73),0)</f>
        <v>0</v>
      </c>
      <c r="BI325" s="1312">
        <f t="shared" si="187"/>
        <v>0</v>
      </c>
      <c r="BJ325" s="1312">
        <f>BK324*((1+'Instrumentos Financeiros'!$J$43)^(1/12)-1)</f>
        <v>0</v>
      </c>
      <c r="BK325" s="1312">
        <f t="shared" si="205"/>
        <v>0</v>
      </c>
      <c r="BL325" s="1312">
        <f>IF(AND(C325&gt;$F$77,'Instrumentos Financeiros'!C325&lt;'Instrumentos Financeiros'!$F$77+'Instrumentos Financeiros'!$F$12+1),PMT(((1+'Instrumentos Financeiros'!$K$43)^(1/12)-1),$F$12,-$I$77),0)</f>
        <v>368.57912678094596</v>
      </c>
      <c r="BM325" s="1312">
        <f t="shared" si="206"/>
        <v>303.53423492297236</v>
      </c>
      <c r="BN325" s="1312">
        <f>BO324*((1+'Instrumentos Financeiros'!$K$43)^(1/12)-1)</f>
        <v>65.044891857973624</v>
      </c>
      <c r="BO325" s="1312">
        <f t="shared" si="207"/>
        <v>14739.18764220027</v>
      </c>
      <c r="BP325" s="1312">
        <f>IF(AND(C325&gt;$F$78,'Instrumentos Financeiros'!C325&lt;'Instrumentos Financeiros'!$F$78+'Instrumentos Financeiros'!$F$12+1),PMT(((1+'Instrumentos Financeiros'!$L$43)^(1/12)-1),$F$12,-$I$78),0)</f>
        <v>368.57912678094596</v>
      </c>
      <c r="BQ325" s="1312">
        <f t="shared" si="208"/>
        <v>299.63058638275464</v>
      </c>
      <c r="BR325" s="1312">
        <f>BS324*((1+'Instrumentos Financeiros'!$L$43)^(1/12)-1)</f>
        <v>68.948540398191298</v>
      </c>
      <c r="BS325" s="1312">
        <f t="shared" si="209"/>
        <v>15645.875469777202</v>
      </c>
      <c r="BT325" s="1312">
        <f>IF(AND(C325&gt;$F$79,'Instrumentos Financeiros'!C325&lt;'Instrumentos Financeiros'!$F$79+'Instrumentos Financeiros'!$F$12+1),PMT(((1+'Instrumentos Financeiros'!$L$43)^(1/12)-1),$F$12,-$I$79),0)</f>
        <v>368.57912678094596</v>
      </c>
      <c r="BU325" s="1312">
        <f t="shared" si="210"/>
        <v>295.77714131276304</v>
      </c>
      <c r="BV325" s="1312">
        <f>BW324*((1+'Instrumentos Financeiros'!$L$43)^(1/12)-1)</f>
        <v>72.801985468182906</v>
      </c>
      <c r="BW325" s="1312">
        <f t="shared" si="211"/>
        <v>16540.902699611503</v>
      </c>
      <c r="BX325" s="1312">
        <f>IF(AND(C325&gt;$F$80,'Instrumentos Financeiros'!C325&lt;'Instrumentos Financeiros'!$F$80+'Instrumentos Financeiros'!$F$12+1),PMT(((1+'Instrumentos Financeiros'!$L$43)^(1/12)-1),$F$12,-$I$80),0)</f>
        <v>368.57912678094596</v>
      </c>
      <c r="BY325" s="1312">
        <f t="shared" si="212"/>
        <v>291.97325406357572</v>
      </c>
      <c r="BZ325" s="1312">
        <f>CA324*((1+'Instrumentos Financeiros'!$L$43)^(1/12)-1)</f>
        <v>76.605872717370218</v>
      </c>
      <c r="CA325" s="1312">
        <f t="shared" si="213"/>
        <v>17424.419294607251</v>
      </c>
      <c r="CB325" s="1312">
        <f>IF(AND(C325&gt;$F$83,'Instrumentos Financeiros'!C325&lt;'Instrumentos Financeiros'!$F$83+'Instrumentos Financeiros'!$F$13+1),PMT(((1+'Instrumentos Financeiros'!$P$43)^(1/12)-1),$F$13,-$I$83),0)</f>
        <v>30503.390100238979</v>
      </c>
      <c r="CC325" s="1312">
        <f t="shared" si="214"/>
        <v>18412.305171354168</v>
      </c>
      <c r="CD325" s="1312">
        <f>CE324*((1+'Instrumentos Financeiros'!$P$43)^(1/12)-1)</f>
        <v>12091.084928884811</v>
      </c>
      <c r="CE325" s="1312">
        <f t="shared" si="215"/>
        <v>2777853.8209225168</v>
      </c>
      <c r="CF325" s="1312">
        <f>IF(AND(C325&gt;$F$84,'Instrumentos Financeiros'!C325&lt;'Instrumentos Financeiros'!$F$84+'Instrumentos Financeiros'!$F$13+1),PMT(((1+'Instrumentos Financeiros'!$Q$43)^(1/12)-1),$F$13,-$I$84),0)</f>
        <v>30503.390100238979</v>
      </c>
      <c r="CG325" s="1312">
        <f t="shared" si="216"/>
        <v>18175.510899293098</v>
      </c>
      <c r="CH325" s="1312">
        <f>CI324*((1+'Instrumentos Financeiros'!$Q$43)^(1/12)-1)</f>
        <v>12327.879200945883</v>
      </c>
      <c r="CI325" s="1312">
        <f t="shared" si="217"/>
        <v>2832853.2610375178</v>
      </c>
      <c r="CJ325" s="1312">
        <f>IF(AND(C325&gt;$F$85,'Instrumentos Financeiros'!C325&lt;'Instrumentos Financeiros'!$F$85+'Instrumentos Financeiros'!$F$13+1),PMT(((1+'Instrumentos Financeiros'!$Q$43)^(1/12)-1),$F$13,-$I$85),0)</f>
        <v>30503.390100238979</v>
      </c>
      <c r="CK325" s="1312">
        <f t="shared" si="218"/>
        <v>17941.76195625298</v>
      </c>
      <c r="CL325" s="1312">
        <f>CM324*((1+'Instrumentos Financeiros'!$Q$43)^(1/12)-1)</f>
        <v>12561.628143986001</v>
      </c>
      <c r="CM325" s="1312">
        <f t="shared" si="219"/>
        <v>2887145.3724250947</v>
      </c>
      <c r="CN325" s="1312">
        <f>IF(AND(C325&gt;$F$86,'Instrumentos Financeiros'!C325&lt;'Instrumentos Financeiros'!$F$86+'Instrumentos Financeiros'!$F$13+1),PMT(((1+'Instrumentos Financeiros'!$Q$43)^(1/12)-1),$F$13,-$I$86),0)</f>
        <v>30503.390100238979</v>
      </c>
      <c r="CO325" s="1312">
        <f t="shared" si="220"/>
        <v>17711.019177313286</v>
      </c>
      <c r="CP325" s="1312">
        <f>CQ324*((1+'Instrumentos Financeiros'!$Q$43)^(1/12)-1)</f>
        <v>12792.370922925693</v>
      </c>
      <c r="CQ325" s="1312">
        <f t="shared" si="221"/>
        <v>2940739.2517947336</v>
      </c>
      <c r="CR325" s="1312">
        <f t="shared" si="190"/>
        <v>521803.11063210916</v>
      </c>
      <c r="CS325" s="1312">
        <f t="shared" si="190"/>
        <v>420539.82361113484</v>
      </c>
      <c r="CT325" s="1312">
        <f t="shared" si="190"/>
        <v>101263.28702097439</v>
      </c>
      <c r="CU325" s="1312">
        <f t="shared" si="190"/>
        <v>23072939.048214238</v>
      </c>
    </row>
    <row r="326" spans="3:99" x14ac:dyDescent="0.35">
      <c r="C326" s="1315">
        <f t="shared" si="191"/>
        <v>233</v>
      </c>
      <c r="D326" s="1312">
        <f>IF(AND(C326&gt;$F$59,'Instrumentos Financeiros'!C326&lt;'Instrumentos Financeiros'!$F$59+'Instrumentos Financeiros'!$F$11+1),PMT(((1+'Instrumentos Financeiros'!$G$43)^(1/12)-1),$F$11,-$I$59),0)</f>
        <v>91768.589635900134</v>
      </c>
      <c r="E326" s="1312">
        <f t="shared" si="188"/>
        <v>86681.56067288974</v>
      </c>
      <c r="F326" s="1312">
        <f>G325*((1+'Instrumentos Financeiros'!$G$43)^(1/12)-1)</f>
        <v>5087.0289630103907</v>
      </c>
      <c r="G326" s="1312">
        <f t="shared" si="222"/>
        <v>1159589.2632582297</v>
      </c>
      <c r="H326" s="1312">
        <f>IF(AND(C326&gt;$F$60,'Instrumentos Financeiros'!C326&lt;'Instrumentos Financeiros'!$F$60+'Instrumentos Financeiros'!$F$11+1),PMT(((1+'Instrumentos Financeiros'!$G$43)^(1/12)-1),$F$11,-$I$60),0)</f>
        <v>0</v>
      </c>
      <c r="I326" s="1312">
        <f t="shared" si="174"/>
        <v>0</v>
      </c>
      <c r="J326" s="1312">
        <f>K325*((1+'Instrumentos Financeiros'!$G$43)^(1/12)-1)</f>
        <v>0</v>
      </c>
      <c r="K326" s="1312">
        <f t="shared" si="192"/>
        <v>0</v>
      </c>
      <c r="L326" s="1312">
        <f>IF(AND(C326&gt;$F$61,'Instrumentos Financeiros'!C326&lt;'Instrumentos Financeiros'!$F$61+'Instrumentos Financeiros'!$F$11+1),PMT(((1+'Instrumentos Financeiros'!$G$43)^(1/12)-1),$F$11,-$I$61),0)</f>
        <v>0</v>
      </c>
      <c r="M326" s="1312">
        <f t="shared" si="175"/>
        <v>0</v>
      </c>
      <c r="N326" s="1312">
        <f>O325*((1+'Instrumentos Financeiros'!$G$43)^(1/12)-1)</f>
        <v>0</v>
      </c>
      <c r="O326" s="1312">
        <f t="shared" si="193"/>
        <v>0</v>
      </c>
      <c r="P326" s="1312">
        <f>IF(AND(C326&gt;$F$62,'Instrumentos Financeiros'!C326&lt;'Instrumentos Financeiros'!$F$62+'Instrumentos Financeiros'!$F$11+1),PMT(((1+'Instrumentos Financeiros'!$H$43)^(1/12)-1),$F$11,-$I$62),0)</f>
        <v>0</v>
      </c>
      <c r="Q326" s="1312">
        <f t="shared" si="176"/>
        <v>0</v>
      </c>
      <c r="R326" s="1312">
        <f>S325*((1+'Instrumentos Financeiros'!$H$43)^(1/12)-1)</f>
        <v>0</v>
      </c>
      <c r="S326" s="1312">
        <f t="shared" si="194"/>
        <v>0</v>
      </c>
      <c r="T326" s="1312">
        <f>IF(AND(C326&gt;$F$63,'Instrumentos Financeiros'!C326&lt;'Instrumentos Financeiros'!$F$63+'Instrumentos Financeiros'!$F$11+1),PMT(((1+'Instrumentos Financeiros'!$H$43)^(1/12)-1),$F$11,-$I$63),0)</f>
        <v>0</v>
      </c>
      <c r="U326" s="1312">
        <f t="shared" si="177"/>
        <v>0</v>
      </c>
      <c r="V326" s="1312">
        <f>W325*((1+'Instrumentos Financeiros'!$H$43)^(1/12)-1)</f>
        <v>0</v>
      </c>
      <c r="W326" s="1312">
        <f t="shared" si="195"/>
        <v>0</v>
      </c>
      <c r="X326" s="1312">
        <f>IF(AND(C326&gt;$F$64,'Instrumentos Financeiros'!C326&lt;'Instrumentos Financeiros'!$F$64+'Instrumentos Financeiros'!$F$11+1),PMT(((1+'Instrumentos Financeiros'!$H$43)^(1/12)-1),$F$11,-$I$64),0)</f>
        <v>0</v>
      </c>
      <c r="Y326" s="1312">
        <f t="shared" si="178"/>
        <v>0</v>
      </c>
      <c r="Z326" s="1312">
        <f>AA325*((1+'Instrumentos Financeiros'!$H$43)^(1/12)-1)</f>
        <v>0</v>
      </c>
      <c r="AA326" s="1312">
        <f t="shared" si="196"/>
        <v>0</v>
      </c>
      <c r="AB326" s="1312">
        <f>IF(AND(C326&gt;$F$65,'Instrumentos Financeiros'!C326&lt;'Instrumentos Financeiros'!$F$65+'Instrumentos Financeiros'!$F$11+1),PMT(((1+'Instrumentos Financeiros'!$H$43)^(1/12)-1),$F$11,-$I$65),0)</f>
        <v>76636.661022032335</v>
      </c>
      <c r="AC326" s="1312">
        <f t="shared" si="179"/>
        <v>66753.418777550905</v>
      </c>
      <c r="AD326" s="1312">
        <f>AE325*((1+'Instrumentos Financeiros'!$H$43)^(1/12)-1)</f>
        <v>9883.2422444814274</v>
      </c>
      <c r="AE326" s="1312">
        <f t="shared" si="197"/>
        <v>2218912.0667242799</v>
      </c>
      <c r="AF326" s="1312">
        <f>IF(AND(C326&gt;$F$66,'Instrumentos Financeiros'!C326&lt;'Instrumentos Financeiros'!$F$66+'Instrumentos Financeiros'!$F$11+1),PMT(((1+'Instrumentos Financeiros'!$I$43)^(1/12)-1),$F$11,-$I$66),0)</f>
        <v>76636.661022032335</v>
      </c>
      <c r="AG326" s="1312">
        <f t="shared" si="180"/>
        <v>65894.926206419172</v>
      </c>
      <c r="AH326" s="1312">
        <f>AI325*((1+'Instrumentos Financeiros'!$I$43)^(1/12)-1)</f>
        <v>10741.734815613157</v>
      </c>
      <c r="AI326" s="1312">
        <f t="shared" si="198"/>
        <v>2418311.3610744216</v>
      </c>
      <c r="AJ326" s="1312">
        <f>IF(AND(C326&gt;$F$67,'Instrumentos Financeiros'!C326&lt;'Instrumentos Financeiros'!$F$67+'Instrumentos Financeiros'!$F$11+1),PMT(((1+'Instrumentos Financeiros'!$I$43)^(1/12)-1),$F$11,-$I$67),0)</f>
        <v>76636.661022032335</v>
      </c>
      <c r="AK326" s="1312">
        <f t="shared" si="181"/>
        <v>65047.474410549374</v>
      </c>
      <c r="AL326" s="1312">
        <f>AM325*((1+'Instrumentos Financeiros'!$I$43)^(1/12)-1)</f>
        <v>11589.186611482959</v>
      </c>
      <c r="AM326" s="1312">
        <f t="shared" si="199"/>
        <v>2615146.2502446733</v>
      </c>
      <c r="AN326" s="1312">
        <f>IF(AND(C326&gt;$F$68,'Instrumentos Financeiros'!C326&lt;'Instrumentos Financeiros'!$F$68+'Instrumentos Financeiros'!$F$11+1),PMT(((1+'Instrumentos Financeiros'!$I$43)^(1/12)-1),$F$11,-$I$68),0)</f>
        <v>76636.661022032335</v>
      </c>
      <c r="AO326" s="1312">
        <f t="shared" si="182"/>
        <v>64210.921398359416</v>
      </c>
      <c r="AP326" s="1312">
        <f>AQ325*((1+'Instrumentos Financeiros'!$I$43)^(1/12)-1)</f>
        <v>12425.739623672918</v>
      </c>
      <c r="AQ326" s="1312">
        <f t="shared" si="200"/>
        <v>2809449.714160807</v>
      </c>
      <c r="AR326" s="1312">
        <f>IF(AND(C326&gt;$F$69,'Instrumentos Financeiros'!C326&lt;'Instrumentos Financeiros'!$F$69+'Instrumentos Financeiros'!$F$11+1),PMT(((1+'Instrumentos Financeiros'!$I$43)^(1/12)-1),$F$11,-$I$69),0)</f>
        <v>0</v>
      </c>
      <c r="AS326" s="1312">
        <f t="shared" si="183"/>
        <v>0</v>
      </c>
      <c r="AT326" s="1312">
        <f>AU325*((1+'Instrumentos Financeiros'!$I$43)^(1/12)-1)</f>
        <v>0</v>
      </c>
      <c r="AU326" s="1312">
        <f t="shared" si="201"/>
        <v>0</v>
      </c>
      <c r="AV326" s="1312">
        <f>IF(AND(C326&gt;$F$70,'Instrumentos Financeiros'!C326&lt;'Instrumentos Financeiros'!$F$70+'Instrumentos Financeiros'!$F$11+1),PMT(((1+'Instrumentos Financeiros'!$J$43)^(1/12)-1),$F$11,-$I$70),0)</f>
        <v>0</v>
      </c>
      <c r="AW326" s="1312">
        <f t="shared" si="184"/>
        <v>0</v>
      </c>
      <c r="AX326" s="1312">
        <f>AY325*((1+'Instrumentos Financeiros'!$J$43)^(1/12)-1)</f>
        <v>0</v>
      </c>
      <c r="AY326" s="1312">
        <f t="shared" si="202"/>
        <v>0</v>
      </c>
      <c r="AZ326" s="1312">
        <f>IF(AND(C326&gt;$F$71,'Instrumentos Financeiros'!C326&lt;'Instrumentos Financeiros'!$F$71+'Instrumentos Financeiros'!$F$11+1),PMT(((1+'Instrumentos Financeiros'!$J$43)^(1/12)-1),$F$11,-$I$71),0)</f>
        <v>0</v>
      </c>
      <c r="BA326" s="1312">
        <f t="shared" si="185"/>
        <v>0</v>
      </c>
      <c r="BB326" s="1312">
        <f>BC325*((1+'Instrumentos Financeiros'!$J$43)^(1/12)-1)</f>
        <v>0</v>
      </c>
      <c r="BC326" s="1312">
        <f t="shared" si="203"/>
        <v>0</v>
      </c>
      <c r="BD326" s="1312">
        <f>IF(AND(C326&gt;$F$72,'Instrumentos Financeiros'!C326&lt;'Instrumentos Financeiros'!$F$72+'Instrumentos Financeiros'!$F$11+1),PMT(((1+'Instrumentos Financeiros'!$J$43)^(1/12)-1),$F$11,-'Instrumentos Financeiros'!$G$7*$G$72),0)</f>
        <v>0</v>
      </c>
      <c r="BE326" s="1312">
        <f t="shared" si="186"/>
        <v>0</v>
      </c>
      <c r="BF326" s="1312">
        <f>BG325*((1+'Instrumentos Financeiros'!$J$43)^(1/12)-1)</f>
        <v>0</v>
      </c>
      <c r="BG326" s="1312">
        <f t="shared" si="204"/>
        <v>0</v>
      </c>
      <c r="BH326" s="1312">
        <f>IF(AND(C326&gt;$F$73,'Instrumentos Financeiros'!C326&lt;'Instrumentos Financeiros'!$F$73+'Instrumentos Financeiros'!$F$11+1),PMT(((1+'Instrumentos Financeiros'!$J$43)^(1/12)-1),$F$11,-$I$73),0)</f>
        <v>0</v>
      </c>
      <c r="BI326" s="1312">
        <f t="shared" si="187"/>
        <v>0</v>
      </c>
      <c r="BJ326" s="1312">
        <f>BK325*((1+'Instrumentos Financeiros'!$J$43)^(1/12)-1)</f>
        <v>0</v>
      </c>
      <c r="BK326" s="1312">
        <f t="shared" si="205"/>
        <v>0</v>
      </c>
      <c r="BL326" s="1312">
        <f>IF(AND(C326&gt;$F$77,'Instrumentos Financeiros'!C326&lt;'Instrumentos Financeiros'!$F$77+'Instrumentos Financeiros'!$F$12+1),PMT(((1+'Instrumentos Financeiros'!$K$43)^(1/12)-1),$F$12,-$I$77),0)</f>
        <v>368.57912678094596</v>
      </c>
      <c r="BM326" s="1312">
        <f t="shared" si="206"/>
        <v>304.84672023294689</v>
      </c>
      <c r="BN326" s="1312">
        <f>BO325*((1+'Instrumentos Financeiros'!$K$43)^(1/12)-1)</f>
        <v>63.732406547999048</v>
      </c>
      <c r="BO326" s="1312">
        <f t="shared" si="207"/>
        <v>14434.340921967323</v>
      </c>
      <c r="BP326" s="1312">
        <f>IF(AND(C326&gt;$F$78,'Instrumentos Financeiros'!C326&lt;'Instrumentos Financeiros'!$F$78+'Instrumentos Financeiros'!$F$12+1),PMT(((1+'Instrumentos Financeiros'!$L$43)^(1/12)-1),$F$12,-$I$78),0)</f>
        <v>368.57912678094596</v>
      </c>
      <c r="BQ326" s="1312">
        <f t="shared" si="208"/>
        <v>300.92619227428196</v>
      </c>
      <c r="BR326" s="1312">
        <f>BS325*((1+'Instrumentos Financeiros'!$L$43)^(1/12)-1)</f>
        <v>67.652934506663996</v>
      </c>
      <c r="BS326" s="1312">
        <f t="shared" si="209"/>
        <v>15344.949277502919</v>
      </c>
      <c r="BT326" s="1312">
        <f>IF(AND(C326&gt;$F$79,'Instrumentos Financeiros'!C326&lt;'Instrumentos Financeiros'!$F$79+'Instrumentos Financeiros'!$F$12+1),PMT(((1+'Instrumentos Financeiros'!$L$43)^(1/12)-1),$F$12,-$I$79),0)</f>
        <v>368.57912678094596</v>
      </c>
      <c r="BU326" s="1312">
        <f t="shared" si="210"/>
        <v>297.05608486619053</v>
      </c>
      <c r="BV326" s="1312">
        <f>BW325*((1+'Instrumentos Financeiros'!$L$43)^(1/12)-1)</f>
        <v>71.523041914755439</v>
      </c>
      <c r="BW326" s="1312">
        <f t="shared" si="211"/>
        <v>16243.846614745313</v>
      </c>
      <c r="BX326" s="1312">
        <f>IF(AND(C326&gt;$F$80,'Instrumentos Financeiros'!C326&lt;'Instrumentos Financeiros'!$F$80+'Instrumentos Financeiros'!$F$12+1),PMT(((1+'Instrumentos Financeiros'!$L$43)^(1/12)-1),$F$12,-$I$80),0)</f>
        <v>368.57912678094596</v>
      </c>
      <c r="BY326" s="1312">
        <f t="shared" si="212"/>
        <v>293.23574956745574</v>
      </c>
      <c r="BZ326" s="1312">
        <f>CA325*((1+'Instrumentos Financeiros'!$L$43)^(1/12)-1)</f>
        <v>75.3433772134902</v>
      </c>
      <c r="CA326" s="1312">
        <f t="shared" si="213"/>
        <v>17131.183545039796</v>
      </c>
      <c r="CB326" s="1312">
        <f>IF(AND(C326&gt;$F$83,'Instrumentos Financeiros'!C326&lt;'Instrumentos Financeiros'!$F$83+'Instrumentos Financeiros'!$F$13+1),PMT(((1+'Instrumentos Financeiros'!$P$43)^(1/12)-1),$F$13,-$I$83),0)</f>
        <v>30503.390100238979</v>
      </c>
      <c r="CC326" s="1312">
        <f t="shared" si="214"/>
        <v>18491.920177767872</v>
      </c>
      <c r="CD326" s="1312">
        <f>CE325*((1+'Instrumentos Financeiros'!$P$43)^(1/12)-1)</f>
        <v>12011.469922471108</v>
      </c>
      <c r="CE326" s="1312">
        <f t="shared" si="215"/>
        <v>2759361.9007447488</v>
      </c>
      <c r="CF326" s="1312">
        <f>IF(AND(C326&gt;$F$84,'Instrumentos Financeiros'!C326&lt;'Instrumentos Financeiros'!$F$84+'Instrumentos Financeiros'!$F$13+1),PMT(((1+'Instrumentos Financeiros'!$Q$43)^(1/12)-1),$F$13,-$I$84),0)</f>
        <v>30503.390100238979</v>
      </c>
      <c r="CG326" s="1312">
        <f t="shared" si="216"/>
        <v>18254.102004717031</v>
      </c>
      <c r="CH326" s="1312">
        <f>CI325*((1+'Instrumentos Financeiros'!$Q$43)^(1/12)-1)</f>
        <v>12249.288095521946</v>
      </c>
      <c r="CI326" s="1312">
        <f t="shared" si="217"/>
        <v>2814599.1590328007</v>
      </c>
      <c r="CJ326" s="1312">
        <f>IF(AND(C326&gt;$F$85,'Instrumentos Financeiros'!C326&lt;'Instrumentos Financeiros'!$F$85+'Instrumentos Financeiros'!$F$13+1),PMT(((1+'Instrumentos Financeiros'!$Q$43)^(1/12)-1),$F$13,-$I$85),0)</f>
        <v>30503.390100238979</v>
      </c>
      <c r="CK326" s="1312">
        <f t="shared" si="218"/>
        <v>18019.34232872272</v>
      </c>
      <c r="CL326" s="1312">
        <f>CM325*((1+'Instrumentos Financeiros'!$Q$43)^(1/12)-1)</f>
        <v>12484.047771516258</v>
      </c>
      <c r="CM326" s="1312">
        <f t="shared" si="219"/>
        <v>2869126.0300963721</v>
      </c>
      <c r="CN326" s="1312">
        <f>IF(AND(C326&gt;$F$86,'Instrumentos Financeiros'!C326&lt;'Instrumentos Financeiros'!$F$86+'Instrumentos Financeiros'!$F$13+1),PMT(((1+'Instrumentos Financeiros'!$Q$43)^(1/12)-1),$F$13,-$I$86),0)</f>
        <v>30503.390100238979</v>
      </c>
      <c r="CO326" s="1312">
        <f t="shared" si="220"/>
        <v>17787.601815514874</v>
      </c>
      <c r="CP326" s="1312">
        <f>CQ325*((1+'Instrumentos Financeiros'!$Q$43)^(1/12)-1)</f>
        <v>12715.788284724105</v>
      </c>
      <c r="CQ326" s="1312">
        <f t="shared" si="221"/>
        <v>2922951.6499792188</v>
      </c>
      <c r="CR326" s="1312">
        <f t="shared" si="190"/>
        <v>521803.11063210916</v>
      </c>
      <c r="CS326" s="1312">
        <f t="shared" si="190"/>
        <v>422337.33253943187</v>
      </c>
      <c r="CT326" s="1312">
        <f t="shared" si="190"/>
        <v>99465.778092677181</v>
      </c>
      <c r="CU326" s="1312">
        <f t="shared" si="190"/>
        <v>22650601.715674806</v>
      </c>
    </row>
    <row r="327" spans="3:99" x14ac:dyDescent="0.35">
      <c r="C327" s="1315">
        <f t="shared" si="191"/>
        <v>234</v>
      </c>
      <c r="D327" s="1312">
        <f>IF(AND(C327&gt;$F$59,'Instrumentos Financeiros'!C327&lt;'Instrumentos Financeiros'!$F$59+'Instrumentos Financeiros'!$F$11+1),PMT(((1+'Instrumentos Financeiros'!$G$43)^(1/12)-1),$F$11,-$I$59),0)</f>
        <v>91768.589635900134</v>
      </c>
      <c r="E327" s="1312">
        <f t="shared" si="188"/>
        <v>87035.377516897235</v>
      </c>
      <c r="F327" s="1312">
        <f>G326*((1+'Instrumentos Financeiros'!$G$43)^(1/12)-1)</f>
        <v>4733.2121190028929</v>
      </c>
      <c r="G327" s="1312">
        <f t="shared" si="222"/>
        <v>1072553.8857413325</v>
      </c>
      <c r="H327" s="1312">
        <f>IF(AND(C327&gt;$F$60,'Instrumentos Financeiros'!C327&lt;'Instrumentos Financeiros'!$F$60+'Instrumentos Financeiros'!$F$11+1),PMT(((1+'Instrumentos Financeiros'!$G$43)^(1/12)-1),$F$11,-$I$60),0)</f>
        <v>0</v>
      </c>
      <c r="I327" s="1312">
        <f t="shared" si="174"/>
        <v>0</v>
      </c>
      <c r="J327" s="1312">
        <f>K326*((1+'Instrumentos Financeiros'!$G$43)^(1/12)-1)</f>
        <v>0</v>
      </c>
      <c r="K327" s="1312">
        <f t="shared" si="192"/>
        <v>0</v>
      </c>
      <c r="L327" s="1312">
        <f>IF(AND(C327&gt;$F$61,'Instrumentos Financeiros'!C327&lt;'Instrumentos Financeiros'!$F$61+'Instrumentos Financeiros'!$F$11+1),PMT(((1+'Instrumentos Financeiros'!$G$43)^(1/12)-1),$F$11,-$I$61),0)</f>
        <v>0</v>
      </c>
      <c r="M327" s="1312">
        <f t="shared" si="175"/>
        <v>0</v>
      </c>
      <c r="N327" s="1312">
        <f>O326*((1+'Instrumentos Financeiros'!$G$43)^(1/12)-1)</f>
        <v>0</v>
      </c>
      <c r="O327" s="1312">
        <f t="shared" si="193"/>
        <v>0</v>
      </c>
      <c r="P327" s="1312">
        <f>IF(AND(C327&gt;$F$62,'Instrumentos Financeiros'!C327&lt;'Instrumentos Financeiros'!$F$62+'Instrumentos Financeiros'!$F$11+1),PMT(((1+'Instrumentos Financeiros'!$H$43)^(1/12)-1),$F$11,-$I$62),0)</f>
        <v>0</v>
      </c>
      <c r="Q327" s="1312">
        <f t="shared" si="176"/>
        <v>0</v>
      </c>
      <c r="R327" s="1312">
        <f>S326*((1+'Instrumentos Financeiros'!$H$43)^(1/12)-1)</f>
        <v>0</v>
      </c>
      <c r="S327" s="1312">
        <f t="shared" si="194"/>
        <v>0</v>
      </c>
      <c r="T327" s="1312">
        <f>IF(AND(C327&gt;$F$63,'Instrumentos Financeiros'!C327&lt;'Instrumentos Financeiros'!$F$63+'Instrumentos Financeiros'!$F$11+1),PMT(((1+'Instrumentos Financeiros'!$H$43)^(1/12)-1),$F$11,-$I$63),0)</f>
        <v>0</v>
      </c>
      <c r="U327" s="1312">
        <f t="shared" si="177"/>
        <v>0</v>
      </c>
      <c r="V327" s="1312">
        <f>W326*((1+'Instrumentos Financeiros'!$H$43)^(1/12)-1)</f>
        <v>0</v>
      </c>
      <c r="W327" s="1312">
        <f t="shared" si="195"/>
        <v>0</v>
      </c>
      <c r="X327" s="1312">
        <f>IF(AND(C327&gt;$F$64,'Instrumentos Financeiros'!C327&lt;'Instrumentos Financeiros'!$F$64+'Instrumentos Financeiros'!$F$11+1),PMT(((1+'Instrumentos Financeiros'!$H$43)^(1/12)-1),$F$11,-$I$64),0)</f>
        <v>0</v>
      </c>
      <c r="Y327" s="1312">
        <f t="shared" si="178"/>
        <v>0</v>
      </c>
      <c r="Z327" s="1312">
        <f>AA326*((1+'Instrumentos Financeiros'!$H$43)^(1/12)-1)</f>
        <v>0</v>
      </c>
      <c r="AA327" s="1312">
        <f t="shared" si="196"/>
        <v>0</v>
      </c>
      <c r="AB327" s="1312">
        <f>IF(AND(C327&gt;$F$65,'Instrumentos Financeiros'!C327&lt;'Instrumentos Financeiros'!$F$65+'Instrumentos Financeiros'!$F$11+1),PMT(((1+'Instrumentos Financeiros'!$H$43)^(1/12)-1),$F$11,-$I$65),0)</f>
        <v>76636.661022032335</v>
      </c>
      <c r="AC327" s="1312">
        <f t="shared" si="179"/>
        <v>67042.061281281494</v>
      </c>
      <c r="AD327" s="1312">
        <f>AE326*((1+'Instrumentos Financeiros'!$H$43)^(1/12)-1)</f>
        <v>9594.599740750833</v>
      </c>
      <c r="AE327" s="1312">
        <f t="shared" si="197"/>
        <v>2151870.0054429984</v>
      </c>
      <c r="AF327" s="1312">
        <f>IF(AND(C327&gt;$F$66,'Instrumentos Financeiros'!C327&lt;'Instrumentos Financeiros'!$F$66+'Instrumentos Financeiros'!$F$11+1),PMT(((1+'Instrumentos Financeiros'!$I$43)^(1/12)-1),$F$11,-$I$66),0)</f>
        <v>76636.661022032335</v>
      </c>
      <c r="AG327" s="1312">
        <f t="shared" si="180"/>
        <v>66179.85657900048</v>
      </c>
      <c r="AH327" s="1312">
        <f>AI326*((1+'Instrumentos Financeiros'!$I$43)^(1/12)-1)</f>
        <v>10456.804443031851</v>
      </c>
      <c r="AI327" s="1312">
        <f t="shared" si="198"/>
        <v>2352131.504495421</v>
      </c>
      <c r="AJ327" s="1312">
        <f>IF(AND(C327&gt;$F$67,'Instrumentos Financeiros'!C327&lt;'Instrumentos Financeiros'!$F$67+'Instrumentos Financeiros'!$F$11+1),PMT(((1+'Instrumentos Financeiros'!$I$43)^(1/12)-1),$F$11,-$I$67),0)</f>
        <v>76636.661022032335</v>
      </c>
      <c r="AK327" s="1312">
        <f t="shared" si="181"/>
        <v>65328.740392412867</v>
      </c>
      <c r="AL327" s="1312">
        <f>AM326*((1+'Instrumentos Financeiros'!$I$43)^(1/12)-1)</f>
        <v>11307.92062961947</v>
      </c>
      <c r="AM327" s="1312">
        <f t="shared" si="199"/>
        <v>2549817.5098522604</v>
      </c>
      <c r="AN327" s="1312">
        <f>IF(AND(C327&gt;$F$68,'Instrumentos Financeiros'!C327&lt;'Instrumentos Financeiros'!$F$68+'Instrumentos Financeiros'!$F$11+1),PMT(((1+'Instrumentos Financeiros'!$I$43)^(1/12)-1),$F$11,-$I$68),0)</f>
        <v>76636.661022032335</v>
      </c>
      <c r="AO327" s="1312">
        <f t="shared" si="182"/>
        <v>64488.570115963434</v>
      </c>
      <c r="AP327" s="1312">
        <f>AQ326*((1+'Instrumentos Financeiros'!$I$43)^(1/12)-1)</f>
        <v>12148.090906068903</v>
      </c>
      <c r="AQ327" s="1312">
        <f t="shared" si="200"/>
        <v>2744961.1440448435</v>
      </c>
      <c r="AR327" s="1312">
        <f>IF(AND(C327&gt;$F$69,'Instrumentos Financeiros'!C327&lt;'Instrumentos Financeiros'!$F$69+'Instrumentos Financeiros'!$F$11+1),PMT(((1+'Instrumentos Financeiros'!$I$43)^(1/12)-1),$F$11,-$I$69),0)</f>
        <v>0</v>
      </c>
      <c r="AS327" s="1312">
        <f t="shared" si="183"/>
        <v>0</v>
      </c>
      <c r="AT327" s="1312">
        <f>AU326*((1+'Instrumentos Financeiros'!$I$43)^(1/12)-1)</f>
        <v>0</v>
      </c>
      <c r="AU327" s="1312">
        <f t="shared" si="201"/>
        <v>0</v>
      </c>
      <c r="AV327" s="1312">
        <f>IF(AND(C327&gt;$F$70,'Instrumentos Financeiros'!C327&lt;'Instrumentos Financeiros'!$F$70+'Instrumentos Financeiros'!$F$11+1),PMT(((1+'Instrumentos Financeiros'!$J$43)^(1/12)-1),$F$11,-$I$70),0)</f>
        <v>0</v>
      </c>
      <c r="AW327" s="1312">
        <f t="shared" si="184"/>
        <v>0</v>
      </c>
      <c r="AX327" s="1312">
        <f>AY326*((1+'Instrumentos Financeiros'!$J$43)^(1/12)-1)</f>
        <v>0</v>
      </c>
      <c r="AY327" s="1312">
        <f t="shared" si="202"/>
        <v>0</v>
      </c>
      <c r="AZ327" s="1312">
        <f>IF(AND(C327&gt;$F$71,'Instrumentos Financeiros'!C327&lt;'Instrumentos Financeiros'!$F$71+'Instrumentos Financeiros'!$F$11+1),PMT(((1+'Instrumentos Financeiros'!$J$43)^(1/12)-1),$F$11,-$I$71),0)</f>
        <v>0</v>
      </c>
      <c r="BA327" s="1312">
        <f t="shared" si="185"/>
        <v>0</v>
      </c>
      <c r="BB327" s="1312">
        <f>BC326*((1+'Instrumentos Financeiros'!$J$43)^(1/12)-1)</f>
        <v>0</v>
      </c>
      <c r="BC327" s="1312">
        <f t="shared" si="203"/>
        <v>0</v>
      </c>
      <c r="BD327" s="1312">
        <f>IF(AND(C327&gt;$F$72,'Instrumentos Financeiros'!C327&lt;'Instrumentos Financeiros'!$F$72+'Instrumentos Financeiros'!$F$11+1),PMT(((1+'Instrumentos Financeiros'!$J$43)^(1/12)-1),$F$11,-'Instrumentos Financeiros'!$G$7*$G$72),0)</f>
        <v>0</v>
      </c>
      <c r="BE327" s="1312">
        <f t="shared" si="186"/>
        <v>0</v>
      </c>
      <c r="BF327" s="1312">
        <f>BG326*((1+'Instrumentos Financeiros'!$J$43)^(1/12)-1)</f>
        <v>0</v>
      </c>
      <c r="BG327" s="1312">
        <f t="shared" si="204"/>
        <v>0</v>
      </c>
      <c r="BH327" s="1312">
        <f>IF(AND(C327&gt;$F$73,'Instrumentos Financeiros'!C327&lt;'Instrumentos Financeiros'!$F$73+'Instrumentos Financeiros'!$F$11+1),PMT(((1+'Instrumentos Financeiros'!$J$43)^(1/12)-1),$F$11,-$I$73),0)</f>
        <v>0</v>
      </c>
      <c r="BI327" s="1312">
        <f t="shared" si="187"/>
        <v>0</v>
      </c>
      <c r="BJ327" s="1312">
        <f>BK326*((1+'Instrumentos Financeiros'!$J$43)^(1/12)-1)</f>
        <v>0</v>
      </c>
      <c r="BK327" s="1312">
        <f t="shared" si="205"/>
        <v>0</v>
      </c>
      <c r="BL327" s="1312">
        <f>IF(AND(C327&gt;$F$77,'Instrumentos Financeiros'!C327&lt;'Instrumentos Financeiros'!$F$77+'Instrumentos Financeiros'!$F$12+1),PMT(((1+'Instrumentos Financeiros'!$K$43)^(1/12)-1),$F$12,-$I$77),0)</f>
        <v>368.57912678094596</v>
      </c>
      <c r="BM327" s="1312">
        <f t="shared" si="206"/>
        <v>306.16488074357665</v>
      </c>
      <c r="BN327" s="1312">
        <f>BO326*((1+'Instrumentos Financeiros'!$K$43)^(1/12)-1)</f>
        <v>62.414246037369303</v>
      </c>
      <c r="BO327" s="1312">
        <f t="shared" si="207"/>
        <v>14128.176041223747</v>
      </c>
      <c r="BP327" s="1312">
        <f>IF(AND(C327&gt;$F$78,'Instrumentos Financeiros'!C327&lt;'Instrumentos Financeiros'!$F$78+'Instrumentos Financeiros'!$F$12+1),PMT(((1+'Instrumentos Financeiros'!$L$43)^(1/12)-1),$F$12,-$I$78),0)</f>
        <v>368.57912678094596</v>
      </c>
      <c r="BQ327" s="1312">
        <f t="shared" si="208"/>
        <v>302.22740037967674</v>
      </c>
      <c r="BR327" s="1312">
        <f>BS326*((1+'Instrumentos Financeiros'!$L$43)^(1/12)-1)</f>
        <v>66.35172640126919</v>
      </c>
      <c r="BS327" s="1312">
        <f t="shared" si="209"/>
        <v>15042.721877123242</v>
      </c>
      <c r="BT327" s="1312">
        <f>IF(AND(C327&gt;$F$79,'Instrumentos Financeiros'!C327&lt;'Instrumentos Financeiros'!$F$79+'Instrumentos Financeiros'!$F$12+1),PMT(((1+'Instrumentos Financeiros'!$L$43)^(1/12)-1),$F$12,-$I$79),0)</f>
        <v>368.57912678094596</v>
      </c>
      <c r="BU327" s="1312">
        <f t="shared" si="210"/>
        <v>298.34055858535561</v>
      </c>
      <c r="BV327" s="1312">
        <f>BW326*((1+'Instrumentos Financeiros'!$L$43)^(1/12)-1)</f>
        <v>70.238568195590361</v>
      </c>
      <c r="BW327" s="1312">
        <f t="shared" si="211"/>
        <v>15945.506056159957</v>
      </c>
      <c r="BX327" s="1312">
        <f>IF(AND(C327&gt;$F$80,'Instrumentos Financeiros'!C327&lt;'Instrumentos Financeiros'!$F$80+'Instrumentos Financeiros'!$F$12+1),PMT(((1+'Instrumentos Financeiros'!$L$43)^(1/12)-1),$F$12,-$I$80),0)</f>
        <v>368.57912678094596</v>
      </c>
      <c r="BY327" s="1312">
        <f t="shared" si="212"/>
        <v>294.5037041155295</v>
      </c>
      <c r="BZ327" s="1312">
        <f>CA326*((1+'Instrumentos Financeiros'!$L$43)^(1/12)-1)</f>
        <v>74.07542266541644</v>
      </c>
      <c r="CA327" s="1312">
        <f t="shared" si="213"/>
        <v>16836.679840924266</v>
      </c>
      <c r="CB327" s="1312">
        <f>IF(AND(C327&gt;$F$83,'Instrumentos Financeiros'!C327&lt;'Instrumentos Financeiros'!$F$83+'Instrumentos Financeiros'!$F$13+1),PMT(((1+'Instrumentos Financeiros'!$P$43)^(1/12)-1),$F$13,-$I$83),0)</f>
        <v>30503.390100238979</v>
      </c>
      <c r="CC327" s="1312">
        <f t="shared" si="214"/>
        <v>18571.879440329154</v>
      </c>
      <c r="CD327" s="1312">
        <f>CE326*((1+'Instrumentos Financeiros'!$P$43)^(1/12)-1)</f>
        <v>11931.510659909827</v>
      </c>
      <c r="CE327" s="1312">
        <f t="shared" si="215"/>
        <v>2740790.0213044197</v>
      </c>
      <c r="CF327" s="1312">
        <f>IF(AND(C327&gt;$F$84,'Instrumentos Financeiros'!C327&lt;'Instrumentos Financeiros'!$F$84+'Instrumentos Financeiros'!$F$13+1),PMT(((1+'Instrumentos Financeiros'!$Q$43)^(1/12)-1),$F$13,-$I$84),0)</f>
        <v>30503.390100238979</v>
      </c>
      <c r="CG327" s="1312">
        <f t="shared" si="216"/>
        <v>18333.032938929606</v>
      </c>
      <c r="CH327" s="1312">
        <f>CI326*((1+'Instrumentos Financeiros'!$Q$43)^(1/12)-1)</f>
        <v>12170.357161309374</v>
      </c>
      <c r="CI327" s="1312">
        <f t="shared" si="217"/>
        <v>2796266.126093871</v>
      </c>
      <c r="CJ327" s="1312">
        <f>IF(AND(C327&gt;$F$85,'Instrumentos Financeiros'!C327&lt;'Instrumentos Financeiros'!$F$85+'Instrumentos Financeiros'!$F$13+1),PMT(((1+'Instrumentos Financeiros'!$Q$43)^(1/12)-1),$F$13,-$I$85),0)</f>
        <v>30503.390100238979</v>
      </c>
      <c r="CK327" s="1312">
        <f t="shared" si="218"/>
        <v>18097.25815956089</v>
      </c>
      <c r="CL327" s="1312">
        <f>CM326*((1+'Instrumentos Financeiros'!$Q$43)^(1/12)-1)</f>
        <v>12406.131940678089</v>
      </c>
      <c r="CM327" s="1312">
        <f t="shared" si="219"/>
        <v>2851028.771936811</v>
      </c>
      <c r="CN327" s="1312">
        <f>IF(AND(C327&gt;$F$86,'Instrumentos Financeiros'!C327&lt;'Instrumentos Financeiros'!$F$86+'Instrumentos Financeiros'!$F$13+1),PMT(((1+'Instrumentos Financeiros'!$Q$43)^(1/12)-1),$F$13,-$I$86),0)</f>
        <v>30503.390100238979</v>
      </c>
      <c r="CO327" s="1312">
        <f t="shared" si="220"/>
        <v>17864.515597871137</v>
      </c>
      <c r="CP327" s="1312">
        <f>CQ326*((1+'Instrumentos Financeiros'!$Q$43)^(1/12)-1)</f>
        <v>12638.874502367842</v>
      </c>
      <c r="CQ327" s="1312">
        <f t="shared" si="221"/>
        <v>2905087.1343813478</v>
      </c>
      <c r="CR327" s="1312">
        <f t="shared" si="190"/>
        <v>521803.11063210916</v>
      </c>
      <c r="CS327" s="1312">
        <f t="shared" si="190"/>
        <v>424142.52856607048</v>
      </c>
      <c r="CT327" s="1312">
        <f t="shared" si="190"/>
        <v>97660.582066038711</v>
      </c>
      <c r="CU327" s="1312">
        <f t="shared" si="190"/>
        <v>22226459.187108736</v>
      </c>
    </row>
    <row r="328" spans="3:99" x14ac:dyDescent="0.35">
      <c r="C328" s="1315">
        <f t="shared" si="191"/>
        <v>235</v>
      </c>
      <c r="D328" s="1312">
        <f>IF(AND(C328&gt;$F$59,'Instrumentos Financeiros'!C328&lt;'Instrumentos Financeiros'!$F$59+'Instrumentos Financeiros'!$F$11+1),PMT(((1+'Instrumentos Financeiros'!$G$43)^(1/12)-1),$F$11,-$I$59),0)</f>
        <v>91768.589635900134</v>
      </c>
      <c r="E328" s="1312">
        <f t="shared" si="188"/>
        <v>87390.638570701281</v>
      </c>
      <c r="F328" s="1312">
        <f>G327*((1+'Instrumentos Financeiros'!$G$43)^(1/12)-1)</f>
        <v>4377.9510651988521</v>
      </c>
      <c r="G328" s="1312">
        <f t="shared" si="222"/>
        <v>985163.24717063131</v>
      </c>
      <c r="H328" s="1312">
        <f>IF(AND(C328&gt;$F$60,'Instrumentos Financeiros'!C328&lt;'Instrumentos Financeiros'!$F$60+'Instrumentos Financeiros'!$F$11+1),PMT(((1+'Instrumentos Financeiros'!$G$43)^(1/12)-1),$F$11,-$I$60),0)</f>
        <v>0</v>
      </c>
      <c r="I328" s="1312">
        <f t="shared" si="174"/>
        <v>0</v>
      </c>
      <c r="J328" s="1312">
        <f>K327*((1+'Instrumentos Financeiros'!$G$43)^(1/12)-1)</f>
        <v>0</v>
      </c>
      <c r="K328" s="1312">
        <f t="shared" si="192"/>
        <v>0</v>
      </c>
      <c r="L328" s="1312">
        <f>IF(AND(C328&gt;$F$61,'Instrumentos Financeiros'!C328&lt;'Instrumentos Financeiros'!$F$61+'Instrumentos Financeiros'!$F$11+1),PMT(((1+'Instrumentos Financeiros'!$G$43)^(1/12)-1),$F$11,-$I$61),0)</f>
        <v>0</v>
      </c>
      <c r="M328" s="1312">
        <f t="shared" si="175"/>
        <v>0</v>
      </c>
      <c r="N328" s="1312">
        <f>O327*((1+'Instrumentos Financeiros'!$G$43)^(1/12)-1)</f>
        <v>0</v>
      </c>
      <c r="O328" s="1312">
        <f t="shared" si="193"/>
        <v>0</v>
      </c>
      <c r="P328" s="1312">
        <f>IF(AND(C328&gt;$F$62,'Instrumentos Financeiros'!C328&lt;'Instrumentos Financeiros'!$F$62+'Instrumentos Financeiros'!$F$11+1),PMT(((1+'Instrumentos Financeiros'!$H$43)^(1/12)-1),$F$11,-$I$62),0)</f>
        <v>0</v>
      </c>
      <c r="Q328" s="1312">
        <f t="shared" si="176"/>
        <v>0</v>
      </c>
      <c r="R328" s="1312">
        <f>S327*((1+'Instrumentos Financeiros'!$H$43)^(1/12)-1)</f>
        <v>0</v>
      </c>
      <c r="S328" s="1312">
        <f t="shared" si="194"/>
        <v>0</v>
      </c>
      <c r="T328" s="1312">
        <f>IF(AND(C328&gt;$F$63,'Instrumentos Financeiros'!C328&lt;'Instrumentos Financeiros'!$F$63+'Instrumentos Financeiros'!$F$11+1),PMT(((1+'Instrumentos Financeiros'!$H$43)^(1/12)-1),$F$11,-$I$63),0)</f>
        <v>0</v>
      </c>
      <c r="U328" s="1312">
        <f t="shared" si="177"/>
        <v>0</v>
      </c>
      <c r="V328" s="1312">
        <f>W327*((1+'Instrumentos Financeiros'!$H$43)^(1/12)-1)</f>
        <v>0</v>
      </c>
      <c r="W328" s="1312">
        <f t="shared" si="195"/>
        <v>0</v>
      </c>
      <c r="X328" s="1312">
        <f>IF(AND(C328&gt;$F$64,'Instrumentos Financeiros'!C328&lt;'Instrumentos Financeiros'!$F$64+'Instrumentos Financeiros'!$F$11+1),PMT(((1+'Instrumentos Financeiros'!$H$43)^(1/12)-1),$F$11,-$I$64),0)</f>
        <v>0</v>
      </c>
      <c r="Y328" s="1312">
        <f t="shared" si="178"/>
        <v>0</v>
      </c>
      <c r="Z328" s="1312">
        <f>AA327*((1+'Instrumentos Financeiros'!$H$43)^(1/12)-1)</f>
        <v>0</v>
      </c>
      <c r="AA328" s="1312">
        <f t="shared" si="196"/>
        <v>0</v>
      </c>
      <c r="AB328" s="1312">
        <f>IF(AND(C328&gt;$F$65,'Instrumentos Financeiros'!C328&lt;'Instrumentos Financeiros'!$F$65+'Instrumentos Financeiros'!$F$11+1),PMT(((1+'Instrumentos Financeiros'!$H$43)^(1/12)-1),$F$11,-$I$65),0)</f>
        <v>76636.661022032335</v>
      </c>
      <c r="AC328" s="1312">
        <f t="shared" si="179"/>
        <v>67331.951878315565</v>
      </c>
      <c r="AD328" s="1312">
        <f>AE327*((1+'Instrumentos Financeiros'!$H$43)^(1/12)-1)</f>
        <v>9304.709143716771</v>
      </c>
      <c r="AE328" s="1312">
        <f t="shared" si="197"/>
        <v>2084538.0535646828</v>
      </c>
      <c r="AF328" s="1312">
        <f>IF(AND(C328&gt;$F$66,'Instrumentos Financeiros'!C328&lt;'Instrumentos Financeiros'!$F$66+'Instrumentos Financeiros'!$F$11+1),PMT(((1+'Instrumentos Financeiros'!$I$43)^(1/12)-1),$F$11,-$I$66),0)</f>
        <v>76636.661022032335</v>
      </c>
      <c r="AG328" s="1312">
        <f t="shared" si="180"/>
        <v>66466.018993590071</v>
      </c>
      <c r="AH328" s="1312">
        <f>AI327*((1+'Instrumentos Financeiros'!$I$43)^(1/12)-1)</f>
        <v>10170.642028442258</v>
      </c>
      <c r="AI328" s="1312">
        <f t="shared" si="198"/>
        <v>2285665.4855018309</v>
      </c>
      <c r="AJ328" s="1312">
        <f>IF(AND(C328&gt;$F$67,'Instrumentos Financeiros'!C328&lt;'Instrumentos Financeiros'!$F$67+'Instrumentos Financeiros'!$F$11+1),PMT(((1+'Instrumentos Financeiros'!$I$43)^(1/12)-1),$F$11,-$I$67),0)</f>
        <v>76636.661022032335</v>
      </c>
      <c r="AK328" s="1312">
        <f t="shared" si="181"/>
        <v>65611.22257141961</v>
      </c>
      <c r="AL328" s="1312">
        <f>AM327*((1+'Instrumentos Financeiros'!$I$43)^(1/12)-1)</f>
        <v>11025.438450612728</v>
      </c>
      <c r="AM328" s="1312">
        <f t="shared" si="199"/>
        <v>2484206.2872808408</v>
      </c>
      <c r="AN328" s="1312">
        <f>IF(AND(C328&gt;$F$68,'Instrumentos Financeiros'!C328&lt;'Instrumentos Financeiros'!$F$68+'Instrumentos Financeiros'!$F$11+1),PMT(((1+'Instrumentos Financeiros'!$I$43)^(1/12)-1),$F$11,-$I$68),0)</f>
        <v>76636.661022032335</v>
      </c>
      <c r="AO328" s="1312">
        <f t="shared" si="182"/>
        <v>64767.419389620969</v>
      </c>
      <c r="AP328" s="1312">
        <f>AQ327*((1+'Instrumentos Financeiros'!$I$43)^(1/12)-1)</f>
        <v>11869.241632411364</v>
      </c>
      <c r="AQ328" s="1312">
        <f t="shared" si="200"/>
        <v>2680193.7246552226</v>
      </c>
      <c r="AR328" s="1312">
        <f>IF(AND(C328&gt;$F$69,'Instrumentos Financeiros'!C328&lt;'Instrumentos Financeiros'!$F$69+'Instrumentos Financeiros'!$F$11+1),PMT(((1+'Instrumentos Financeiros'!$I$43)^(1/12)-1),$F$11,-$I$69),0)</f>
        <v>0</v>
      </c>
      <c r="AS328" s="1312">
        <f t="shared" si="183"/>
        <v>0</v>
      </c>
      <c r="AT328" s="1312">
        <f>AU327*((1+'Instrumentos Financeiros'!$I$43)^(1/12)-1)</f>
        <v>0</v>
      </c>
      <c r="AU328" s="1312">
        <f t="shared" si="201"/>
        <v>0</v>
      </c>
      <c r="AV328" s="1312">
        <f>IF(AND(C328&gt;$F$70,'Instrumentos Financeiros'!C328&lt;'Instrumentos Financeiros'!$F$70+'Instrumentos Financeiros'!$F$11+1),PMT(((1+'Instrumentos Financeiros'!$J$43)^(1/12)-1),$F$11,-$I$70),0)</f>
        <v>0</v>
      </c>
      <c r="AW328" s="1312">
        <f t="shared" si="184"/>
        <v>0</v>
      </c>
      <c r="AX328" s="1312">
        <f>AY327*((1+'Instrumentos Financeiros'!$J$43)^(1/12)-1)</f>
        <v>0</v>
      </c>
      <c r="AY328" s="1312">
        <f t="shared" si="202"/>
        <v>0</v>
      </c>
      <c r="AZ328" s="1312">
        <f>IF(AND(C328&gt;$F$71,'Instrumentos Financeiros'!C328&lt;'Instrumentos Financeiros'!$F$71+'Instrumentos Financeiros'!$F$11+1),PMT(((1+'Instrumentos Financeiros'!$J$43)^(1/12)-1),$F$11,-$I$71),0)</f>
        <v>0</v>
      </c>
      <c r="BA328" s="1312">
        <f t="shared" si="185"/>
        <v>0</v>
      </c>
      <c r="BB328" s="1312">
        <f>BC327*((1+'Instrumentos Financeiros'!$J$43)^(1/12)-1)</f>
        <v>0</v>
      </c>
      <c r="BC328" s="1312">
        <f t="shared" si="203"/>
        <v>0</v>
      </c>
      <c r="BD328" s="1312">
        <f>IF(AND(C328&gt;$F$72,'Instrumentos Financeiros'!C328&lt;'Instrumentos Financeiros'!$F$72+'Instrumentos Financeiros'!$F$11+1),PMT(((1+'Instrumentos Financeiros'!$J$43)^(1/12)-1),$F$11,-'Instrumentos Financeiros'!$G$7*$G$72),0)</f>
        <v>0</v>
      </c>
      <c r="BE328" s="1312">
        <f t="shared" si="186"/>
        <v>0</v>
      </c>
      <c r="BF328" s="1312">
        <f>BG327*((1+'Instrumentos Financeiros'!$J$43)^(1/12)-1)</f>
        <v>0</v>
      </c>
      <c r="BG328" s="1312">
        <f t="shared" si="204"/>
        <v>0</v>
      </c>
      <c r="BH328" s="1312">
        <f>IF(AND(C328&gt;$F$73,'Instrumentos Financeiros'!C328&lt;'Instrumentos Financeiros'!$F$73+'Instrumentos Financeiros'!$F$11+1),PMT(((1+'Instrumentos Financeiros'!$J$43)^(1/12)-1),$F$11,-$I$73),0)</f>
        <v>0</v>
      </c>
      <c r="BI328" s="1312">
        <f t="shared" si="187"/>
        <v>0</v>
      </c>
      <c r="BJ328" s="1312">
        <f>BK327*((1+'Instrumentos Financeiros'!$J$43)^(1/12)-1)</f>
        <v>0</v>
      </c>
      <c r="BK328" s="1312">
        <f t="shared" si="205"/>
        <v>0</v>
      </c>
      <c r="BL328" s="1312">
        <f>IF(AND(C328&gt;$F$77,'Instrumentos Financeiros'!C328&lt;'Instrumentos Financeiros'!$F$77+'Instrumentos Financeiros'!$F$12+1),PMT(((1+'Instrumentos Financeiros'!$K$43)^(1/12)-1),$F$12,-$I$77),0)</f>
        <v>368.57912678094596</v>
      </c>
      <c r="BM328" s="1312">
        <f t="shared" si="206"/>
        <v>307.48874099449046</v>
      </c>
      <c r="BN328" s="1312">
        <f>BO327*((1+'Instrumentos Financeiros'!$K$43)^(1/12)-1)</f>
        <v>61.090385786455478</v>
      </c>
      <c r="BO328" s="1312">
        <f t="shared" si="207"/>
        <v>13820.687300229256</v>
      </c>
      <c r="BP328" s="1312">
        <f>IF(AND(C328&gt;$F$78,'Instrumentos Financeiros'!C328&lt;'Instrumentos Financeiros'!$F$78+'Instrumentos Financeiros'!$F$12+1),PMT(((1+'Instrumentos Financeiros'!$L$43)^(1/12)-1),$F$12,-$I$78),0)</f>
        <v>368.57912678094596</v>
      </c>
      <c r="BQ328" s="1312">
        <f t="shared" si="208"/>
        <v>303.53423492297236</v>
      </c>
      <c r="BR328" s="1312">
        <f>BS327*((1+'Instrumentos Financeiros'!$L$43)^(1/12)-1)</f>
        <v>65.044891857973624</v>
      </c>
      <c r="BS328" s="1312">
        <f t="shared" si="209"/>
        <v>14739.18764220027</v>
      </c>
      <c r="BT328" s="1312">
        <f>IF(AND(C328&gt;$F$79,'Instrumentos Financeiros'!C328&lt;'Instrumentos Financeiros'!$F$79+'Instrumentos Financeiros'!$F$12+1),PMT(((1+'Instrumentos Financeiros'!$L$43)^(1/12)-1),$F$12,-$I$79),0)</f>
        <v>368.57912678094596</v>
      </c>
      <c r="BU328" s="1312">
        <f t="shared" si="210"/>
        <v>299.63058638275464</v>
      </c>
      <c r="BV328" s="1312">
        <f>BW327*((1+'Instrumentos Financeiros'!$L$43)^(1/12)-1)</f>
        <v>68.948540398191298</v>
      </c>
      <c r="BW328" s="1312">
        <f t="shared" si="211"/>
        <v>15645.875469777202</v>
      </c>
      <c r="BX328" s="1312">
        <f>IF(AND(C328&gt;$F$80,'Instrumentos Financeiros'!C328&lt;'Instrumentos Financeiros'!$F$80+'Instrumentos Financeiros'!$F$12+1),PMT(((1+'Instrumentos Financeiros'!$L$43)^(1/12)-1),$F$12,-$I$80),0)</f>
        <v>368.57912678094596</v>
      </c>
      <c r="BY328" s="1312">
        <f t="shared" si="212"/>
        <v>295.77714131276304</v>
      </c>
      <c r="BZ328" s="1312">
        <f>CA327*((1+'Instrumentos Financeiros'!$L$43)^(1/12)-1)</f>
        <v>72.801985468182906</v>
      </c>
      <c r="CA328" s="1312">
        <f t="shared" si="213"/>
        <v>16540.902699611503</v>
      </c>
      <c r="CB328" s="1312">
        <f>IF(AND(C328&gt;$F$83,'Instrumentos Financeiros'!C328&lt;'Instrumentos Financeiros'!$F$83+'Instrumentos Financeiros'!$F$13+1),PMT(((1+'Instrumentos Financeiros'!$P$43)^(1/12)-1),$F$13,-$I$83),0)</f>
        <v>30503.390100238979</v>
      </c>
      <c r="CC328" s="1312">
        <f t="shared" si="214"/>
        <v>18652.184447605305</v>
      </c>
      <c r="CD328" s="1312">
        <f>CE327*((1+'Instrumentos Financeiros'!$P$43)^(1/12)-1)</f>
        <v>11851.205652633675</v>
      </c>
      <c r="CE328" s="1312">
        <f t="shared" si="215"/>
        <v>2722137.8368568146</v>
      </c>
      <c r="CF328" s="1312">
        <f>IF(AND(C328&gt;$F$84,'Instrumentos Financeiros'!C328&lt;'Instrumentos Financeiros'!$F$84+'Instrumentos Financeiros'!$F$13+1),PMT(((1+'Instrumentos Financeiros'!$Q$43)^(1/12)-1),$F$13,-$I$84),0)</f>
        <v>30503.390100238979</v>
      </c>
      <c r="CG328" s="1312">
        <f t="shared" si="216"/>
        <v>18412.305171354168</v>
      </c>
      <c r="CH328" s="1312">
        <f>CI327*((1+'Instrumentos Financeiros'!$Q$43)^(1/12)-1)</f>
        <v>12091.084928884811</v>
      </c>
      <c r="CI328" s="1312">
        <f t="shared" si="217"/>
        <v>2777853.8209225168</v>
      </c>
      <c r="CJ328" s="1312">
        <f>IF(AND(C328&gt;$F$85,'Instrumentos Financeiros'!C328&lt;'Instrumentos Financeiros'!$F$85+'Instrumentos Financeiros'!$F$13+1),PMT(((1+'Instrumentos Financeiros'!$Q$43)^(1/12)-1),$F$13,-$I$85),0)</f>
        <v>30503.390100238979</v>
      </c>
      <c r="CK328" s="1312">
        <f t="shared" si="218"/>
        <v>18175.510899293098</v>
      </c>
      <c r="CL328" s="1312">
        <f>CM327*((1+'Instrumentos Financeiros'!$Q$43)^(1/12)-1)</f>
        <v>12327.879200945883</v>
      </c>
      <c r="CM328" s="1312">
        <f t="shared" si="219"/>
        <v>2832853.2610375178</v>
      </c>
      <c r="CN328" s="1312">
        <f>IF(AND(C328&gt;$F$86,'Instrumentos Financeiros'!C328&lt;'Instrumentos Financeiros'!$F$86+'Instrumentos Financeiros'!$F$13+1),PMT(((1+'Instrumentos Financeiros'!$Q$43)^(1/12)-1),$F$13,-$I$86),0)</f>
        <v>30503.390100238979</v>
      </c>
      <c r="CO328" s="1312">
        <f t="shared" si="220"/>
        <v>17941.76195625298</v>
      </c>
      <c r="CP328" s="1312">
        <f>CQ327*((1+'Instrumentos Financeiros'!$Q$43)^(1/12)-1)</f>
        <v>12561.628143986001</v>
      </c>
      <c r="CQ328" s="1312">
        <f t="shared" si="221"/>
        <v>2887145.3724250947</v>
      </c>
      <c r="CR328" s="1312">
        <f t="shared" si="190"/>
        <v>521803.11063210916</v>
      </c>
      <c r="CS328" s="1312">
        <f t="shared" si="190"/>
        <v>425955.44458176597</v>
      </c>
      <c r="CT328" s="1312">
        <f t="shared" si="190"/>
        <v>95847.666050343149</v>
      </c>
      <c r="CU328" s="1312">
        <f t="shared" si="190"/>
        <v>21800503.742526971</v>
      </c>
    </row>
    <row r="329" spans="3:99" x14ac:dyDescent="0.35">
      <c r="C329" s="1315">
        <f t="shared" si="191"/>
        <v>236</v>
      </c>
      <c r="D329" s="1312">
        <f>IF(AND(C329&gt;$F$59,'Instrumentos Financeiros'!C329&lt;'Instrumentos Financeiros'!$F$59+'Instrumentos Financeiros'!$F$11+1),PMT(((1+'Instrumentos Financeiros'!$G$43)^(1/12)-1),$F$11,-$I$59),0)</f>
        <v>91768.589635900134</v>
      </c>
      <c r="E329" s="1312">
        <f t="shared" si="188"/>
        <v>87747.349729278241</v>
      </c>
      <c r="F329" s="1312">
        <f>G328*((1+'Instrumentos Financeiros'!$G$43)^(1/12)-1)</f>
        <v>4021.2399066218941</v>
      </c>
      <c r="G329" s="1312">
        <f t="shared" si="222"/>
        <v>897415.89744135307</v>
      </c>
      <c r="H329" s="1312">
        <f>IF(AND(C329&gt;$F$60,'Instrumentos Financeiros'!C329&lt;'Instrumentos Financeiros'!$F$60+'Instrumentos Financeiros'!$F$11+1),PMT(((1+'Instrumentos Financeiros'!$G$43)^(1/12)-1),$F$11,-$I$60),0)</f>
        <v>0</v>
      </c>
      <c r="I329" s="1312">
        <f t="shared" si="174"/>
        <v>0</v>
      </c>
      <c r="J329" s="1312">
        <f>K328*((1+'Instrumentos Financeiros'!$G$43)^(1/12)-1)</f>
        <v>0</v>
      </c>
      <c r="K329" s="1312">
        <f t="shared" si="192"/>
        <v>0</v>
      </c>
      <c r="L329" s="1312">
        <f>IF(AND(C329&gt;$F$61,'Instrumentos Financeiros'!C329&lt;'Instrumentos Financeiros'!$F$61+'Instrumentos Financeiros'!$F$11+1),PMT(((1+'Instrumentos Financeiros'!$G$43)^(1/12)-1),$F$11,-$I$61),0)</f>
        <v>0</v>
      </c>
      <c r="M329" s="1312">
        <f t="shared" si="175"/>
        <v>0</v>
      </c>
      <c r="N329" s="1312">
        <f>O328*((1+'Instrumentos Financeiros'!$G$43)^(1/12)-1)</f>
        <v>0</v>
      </c>
      <c r="O329" s="1312">
        <f t="shared" si="193"/>
        <v>0</v>
      </c>
      <c r="P329" s="1312">
        <f>IF(AND(C329&gt;$F$62,'Instrumentos Financeiros'!C329&lt;'Instrumentos Financeiros'!$F$62+'Instrumentos Financeiros'!$F$11+1),PMT(((1+'Instrumentos Financeiros'!$H$43)^(1/12)-1),$F$11,-$I$62),0)</f>
        <v>0</v>
      </c>
      <c r="Q329" s="1312">
        <f t="shared" si="176"/>
        <v>0</v>
      </c>
      <c r="R329" s="1312">
        <f>S328*((1+'Instrumentos Financeiros'!$H$43)^(1/12)-1)</f>
        <v>0</v>
      </c>
      <c r="S329" s="1312">
        <f t="shared" si="194"/>
        <v>0</v>
      </c>
      <c r="T329" s="1312">
        <f>IF(AND(C329&gt;$F$63,'Instrumentos Financeiros'!C329&lt;'Instrumentos Financeiros'!$F$63+'Instrumentos Financeiros'!$F$11+1),PMT(((1+'Instrumentos Financeiros'!$H$43)^(1/12)-1),$F$11,-$I$63),0)</f>
        <v>0</v>
      </c>
      <c r="U329" s="1312">
        <f t="shared" si="177"/>
        <v>0</v>
      </c>
      <c r="V329" s="1312">
        <f>W328*((1+'Instrumentos Financeiros'!$H$43)^(1/12)-1)</f>
        <v>0</v>
      </c>
      <c r="W329" s="1312">
        <f t="shared" si="195"/>
        <v>0</v>
      </c>
      <c r="X329" s="1312">
        <f>IF(AND(C329&gt;$F$64,'Instrumentos Financeiros'!C329&lt;'Instrumentos Financeiros'!$F$64+'Instrumentos Financeiros'!$F$11+1),PMT(((1+'Instrumentos Financeiros'!$H$43)^(1/12)-1),$F$11,-$I$64),0)</f>
        <v>0</v>
      </c>
      <c r="Y329" s="1312">
        <f t="shared" si="178"/>
        <v>0</v>
      </c>
      <c r="Z329" s="1312">
        <f>AA328*((1+'Instrumentos Financeiros'!$H$43)^(1/12)-1)</f>
        <v>0</v>
      </c>
      <c r="AA329" s="1312">
        <f t="shared" si="196"/>
        <v>0</v>
      </c>
      <c r="AB329" s="1312">
        <f>IF(AND(C329&gt;$F$65,'Instrumentos Financeiros'!C329&lt;'Instrumentos Financeiros'!$F$65+'Instrumentos Financeiros'!$F$11+1),PMT(((1+'Instrumentos Financeiros'!$H$43)^(1/12)-1),$F$11,-$I$65),0)</f>
        <v>76636.661022032335</v>
      </c>
      <c r="AC329" s="1312">
        <f t="shared" si="179"/>
        <v>67623.095965422021</v>
      </c>
      <c r="AD329" s="1312">
        <f>AE328*((1+'Instrumentos Financeiros'!$H$43)^(1/12)-1)</f>
        <v>9013.5650566103177</v>
      </c>
      <c r="AE329" s="1312">
        <f t="shared" si="197"/>
        <v>2016914.9575992608</v>
      </c>
      <c r="AF329" s="1312">
        <f>IF(AND(C329&gt;$F$66,'Instrumentos Financeiros'!C329&lt;'Instrumentos Financeiros'!$F$66+'Instrumentos Financeiros'!$F$11+1),PMT(((1+'Instrumentos Financeiros'!$I$43)^(1/12)-1),$F$11,-$I$66),0)</f>
        <v>76636.661022032335</v>
      </c>
      <c r="AG329" s="1312">
        <f t="shared" si="180"/>
        <v>66753.418777550905</v>
      </c>
      <c r="AH329" s="1312">
        <f>AI328*((1+'Instrumentos Financeiros'!$I$43)^(1/12)-1)</f>
        <v>9883.2422444814274</v>
      </c>
      <c r="AI329" s="1312">
        <f t="shared" si="198"/>
        <v>2218912.0667242799</v>
      </c>
      <c r="AJ329" s="1312">
        <f>IF(AND(C329&gt;$F$67,'Instrumentos Financeiros'!C329&lt;'Instrumentos Financeiros'!$F$67+'Instrumentos Financeiros'!$F$11+1),PMT(((1+'Instrumentos Financeiros'!$I$43)^(1/12)-1),$F$11,-$I$67),0)</f>
        <v>76636.661022032335</v>
      </c>
      <c r="AK329" s="1312">
        <f t="shared" si="181"/>
        <v>65894.926206419172</v>
      </c>
      <c r="AL329" s="1312">
        <f>AM328*((1+'Instrumentos Financeiros'!$I$43)^(1/12)-1)</f>
        <v>10741.734815613157</v>
      </c>
      <c r="AM329" s="1312">
        <f t="shared" si="199"/>
        <v>2418311.3610744216</v>
      </c>
      <c r="AN329" s="1312">
        <f>IF(AND(C329&gt;$F$68,'Instrumentos Financeiros'!C329&lt;'Instrumentos Financeiros'!$F$68+'Instrumentos Financeiros'!$F$11+1),PMT(((1+'Instrumentos Financeiros'!$I$43)^(1/12)-1),$F$11,-$I$68),0)</f>
        <v>76636.661022032335</v>
      </c>
      <c r="AO329" s="1312">
        <f t="shared" si="182"/>
        <v>65047.474410549374</v>
      </c>
      <c r="AP329" s="1312">
        <f>AQ328*((1+'Instrumentos Financeiros'!$I$43)^(1/12)-1)</f>
        <v>11589.186611482959</v>
      </c>
      <c r="AQ329" s="1312">
        <f t="shared" si="200"/>
        <v>2615146.2502446733</v>
      </c>
      <c r="AR329" s="1312">
        <f>IF(AND(C329&gt;$F$69,'Instrumentos Financeiros'!C329&lt;'Instrumentos Financeiros'!$F$69+'Instrumentos Financeiros'!$F$11+1),PMT(((1+'Instrumentos Financeiros'!$I$43)^(1/12)-1),$F$11,-$I$69),0)</f>
        <v>0</v>
      </c>
      <c r="AS329" s="1312">
        <f t="shared" si="183"/>
        <v>0</v>
      </c>
      <c r="AT329" s="1312">
        <f>AU328*((1+'Instrumentos Financeiros'!$I$43)^(1/12)-1)</f>
        <v>0</v>
      </c>
      <c r="AU329" s="1312">
        <f t="shared" si="201"/>
        <v>0</v>
      </c>
      <c r="AV329" s="1312">
        <f>IF(AND(C329&gt;$F$70,'Instrumentos Financeiros'!C329&lt;'Instrumentos Financeiros'!$F$70+'Instrumentos Financeiros'!$F$11+1),PMT(((1+'Instrumentos Financeiros'!$J$43)^(1/12)-1),$F$11,-$I$70),0)</f>
        <v>0</v>
      </c>
      <c r="AW329" s="1312">
        <f t="shared" si="184"/>
        <v>0</v>
      </c>
      <c r="AX329" s="1312">
        <f>AY328*((1+'Instrumentos Financeiros'!$J$43)^(1/12)-1)</f>
        <v>0</v>
      </c>
      <c r="AY329" s="1312">
        <f t="shared" si="202"/>
        <v>0</v>
      </c>
      <c r="AZ329" s="1312">
        <f>IF(AND(C329&gt;$F$71,'Instrumentos Financeiros'!C329&lt;'Instrumentos Financeiros'!$F$71+'Instrumentos Financeiros'!$F$11+1),PMT(((1+'Instrumentos Financeiros'!$J$43)^(1/12)-1),$F$11,-$I$71),0)</f>
        <v>0</v>
      </c>
      <c r="BA329" s="1312">
        <f t="shared" si="185"/>
        <v>0</v>
      </c>
      <c r="BB329" s="1312">
        <f>BC328*((1+'Instrumentos Financeiros'!$J$43)^(1/12)-1)</f>
        <v>0</v>
      </c>
      <c r="BC329" s="1312">
        <f t="shared" si="203"/>
        <v>0</v>
      </c>
      <c r="BD329" s="1312">
        <f>IF(AND(C329&gt;$F$72,'Instrumentos Financeiros'!C329&lt;'Instrumentos Financeiros'!$F$72+'Instrumentos Financeiros'!$F$11+1),PMT(((1+'Instrumentos Financeiros'!$J$43)^(1/12)-1),$F$11,-'Instrumentos Financeiros'!$G$7*$G$72),0)</f>
        <v>0</v>
      </c>
      <c r="BE329" s="1312">
        <f t="shared" si="186"/>
        <v>0</v>
      </c>
      <c r="BF329" s="1312">
        <f>BG328*((1+'Instrumentos Financeiros'!$J$43)^(1/12)-1)</f>
        <v>0</v>
      </c>
      <c r="BG329" s="1312">
        <f t="shared" si="204"/>
        <v>0</v>
      </c>
      <c r="BH329" s="1312">
        <f>IF(AND(C329&gt;$F$73,'Instrumentos Financeiros'!C329&lt;'Instrumentos Financeiros'!$F$73+'Instrumentos Financeiros'!$F$11+1),PMT(((1+'Instrumentos Financeiros'!$J$43)^(1/12)-1),$F$11,-$I$73),0)</f>
        <v>0</v>
      </c>
      <c r="BI329" s="1312">
        <f t="shared" si="187"/>
        <v>0</v>
      </c>
      <c r="BJ329" s="1312">
        <f>BK328*((1+'Instrumentos Financeiros'!$J$43)^(1/12)-1)</f>
        <v>0</v>
      </c>
      <c r="BK329" s="1312">
        <f t="shared" si="205"/>
        <v>0</v>
      </c>
      <c r="BL329" s="1312">
        <f>IF(AND(C329&gt;$F$77,'Instrumentos Financeiros'!C329&lt;'Instrumentos Financeiros'!$F$77+'Instrumentos Financeiros'!$F$12+1),PMT(((1+'Instrumentos Financeiros'!$K$43)^(1/12)-1),$F$12,-$I$77),0)</f>
        <v>368.57912678094596</v>
      </c>
      <c r="BM329" s="1312">
        <f t="shared" si="206"/>
        <v>308.81832563142694</v>
      </c>
      <c r="BN329" s="1312">
        <f>BO328*((1+'Instrumentos Financeiros'!$K$43)^(1/12)-1)</f>
        <v>59.760801149519011</v>
      </c>
      <c r="BO329" s="1312">
        <f t="shared" si="207"/>
        <v>13511.868974597828</v>
      </c>
      <c r="BP329" s="1312">
        <f>IF(AND(C329&gt;$F$78,'Instrumentos Financeiros'!C329&lt;'Instrumentos Financeiros'!$F$78+'Instrumentos Financeiros'!$F$12+1),PMT(((1+'Instrumentos Financeiros'!$L$43)^(1/12)-1),$F$12,-$I$78),0)</f>
        <v>368.57912678094596</v>
      </c>
      <c r="BQ329" s="1312">
        <f t="shared" si="208"/>
        <v>304.84672023294689</v>
      </c>
      <c r="BR329" s="1312">
        <f>BS328*((1+'Instrumentos Financeiros'!$L$43)^(1/12)-1)</f>
        <v>63.732406547999048</v>
      </c>
      <c r="BS329" s="1312">
        <f t="shared" si="209"/>
        <v>14434.340921967323</v>
      </c>
      <c r="BT329" s="1312">
        <f>IF(AND(C329&gt;$F$79,'Instrumentos Financeiros'!C329&lt;'Instrumentos Financeiros'!$F$79+'Instrumentos Financeiros'!$F$12+1),PMT(((1+'Instrumentos Financeiros'!$L$43)^(1/12)-1),$F$12,-$I$79),0)</f>
        <v>368.57912678094596</v>
      </c>
      <c r="BU329" s="1312">
        <f t="shared" si="210"/>
        <v>300.92619227428196</v>
      </c>
      <c r="BV329" s="1312">
        <f>BW328*((1+'Instrumentos Financeiros'!$L$43)^(1/12)-1)</f>
        <v>67.652934506663996</v>
      </c>
      <c r="BW329" s="1312">
        <f t="shared" si="211"/>
        <v>15344.949277502919</v>
      </c>
      <c r="BX329" s="1312">
        <f>IF(AND(C329&gt;$F$80,'Instrumentos Financeiros'!C329&lt;'Instrumentos Financeiros'!$F$80+'Instrumentos Financeiros'!$F$12+1),PMT(((1+'Instrumentos Financeiros'!$L$43)^(1/12)-1),$F$12,-$I$80),0)</f>
        <v>368.57912678094596</v>
      </c>
      <c r="BY329" s="1312">
        <f t="shared" si="212"/>
        <v>297.05608486619053</v>
      </c>
      <c r="BZ329" s="1312">
        <f>CA328*((1+'Instrumentos Financeiros'!$L$43)^(1/12)-1)</f>
        <v>71.523041914755439</v>
      </c>
      <c r="CA329" s="1312">
        <f t="shared" si="213"/>
        <v>16243.846614745313</v>
      </c>
      <c r="CB329" s="1312">
        <f>IF(AND(C329&gt;$F$83,'Instrumentos Financeiros'!C329&lt;'Instrumentos Financeiros'!$F$83+'Instrumentos Financeiros'!$F$13+1),PMT(((1+'Instrumentos Financeiros'!$P$43)^(1/12)-1),$F$13,-$I$83),0)</f>
        <v>30503.390100238979</v>
      </c>
      <c r="CC329" s="1312">
        <f t="shared" si="214"/>
        <v>18732.836694600213</v>
      </c>
      <c r="CD329" s="1312">
        <f>CE328*((1+'Instrumentos Financeiros'!$P$43)^(1/12)-1)</f>
        <v>11770.553405638766</v>
      </c>
      <c r="CE329" s="1312">
        <f t="shared" si="215"/>
        <v>2703405.0001622145</v>
      </c>
      <c r="CF329" s="1312">
        <f>IF(AND(C329&gt;$F$84,'Instrumentos Financeiros'!C329&lt;'Instrumentos Financeiros'!$F$84+'Instrumentos Financeiros'!$F$13+1),PMT(((1+'Instrumentos Financeiros'!$Q$43)^(1/12)-1),$F$13,-$I$84),0)</f>
        <v>30503.390100238979</v>
      </c>
      <c r="CG329" s="1312">
        <f t="shared" si="216"/>
        <v>18491.920177767872</v>
      </c>
      <c r="CH329" s="1312">
        <f>CI328*((1+'Instrumentos Financeiros'!$Q$43)^(1/12)-1)</f>
        <v>12011.469922471108</v>
      </c>
      <c r="CI329" s="1312">
        <f t="shared" si="217"/>
        <v>2759361.9007447488</v>
      </c>
      <c r="CJ329" s="1312">
        <f>IF(AND(C329&gt;$F$85,'Instrumentos Financeiros'!C329&lt;'Instrumentos Financeiros'!$F$85+'Instrumentos Financeiros'!$F$13+1),PMT(((1+'Instrumentos Financeiros'!$Q$43)^(1/12)-1),$F$13,-$I$85),0)</f>
        <v>30503.390100238979</v>
      </c>
      <c r="CK329" s="1312">
        <f t="shared" si="218"/>
        <v>18254.102004717031</v>
      </c>
      <c r="CL329" s="1312">
        <f>CM328*((1+'Instrumentos Financeiros'!$Q$43)^(1/12)-1)</f>
        <v>12249.288095521946</v>
      </c>
      <c r="CM329" s="1312">
        <f t="shared" si="219"/>
        <v>2814599.1590328007</v>
      </c>
      <c r="CN329" s="1312">
        <f>IF(AND(C329&gt;$F$86,'Instrumentos Financeiros'!C329&lt;'Instrumentos Financeiros'!$F$86+'Instrumentos Financeiros'!$F$13+1),PMT(((1+'Instrumentos Financeiros'!$Q$43)^(1/12)-1),$F$13,-$I$86),0)</f>
        <v>30503.390100238979</v>
      </c>
      <c r="CO329" s="1312">
        <f t="shared" si="220"/>
        <v>18019.34232872272</v>
      </c>
      <c r="CP329" s="1312">
        <f>CQ328*((1+'Instrumentos Financeiros'!$Q$43)^(1/12)-1)</f>
        <v>12484.047771516258</v>
      </c>
      <c r="CQ329" s="1312">
        <f t="shared" si="221"/>
        <v>2869126.0300963721</v>
      </c>
      <c r="CR329" s="1312">
        <f t="shared" si="190"/>
        <v>521803.11063210916</v>
      </c>
      <c r="CS329" s="1312">
        <f t="shared" si="190"/>
        <v>427776.11361803237</v>
      </c>
      <c r="CT329" s="1312">
        <f t="shared" si="190"/>
        <v>94026.997014076769</v>
      </c>
      <c r="CU329" s="1312">
        <f t="shared" si="190"/>
        <v>21372727.628908936</v>
      </c>
    </row>
    <row r="330" spans="3:99" x14ac:dyDescent="0.35">
      <c r="C330" s="1315">
        <f t="shared" si="191"/>
        <v>237</v>
      </c>
      <c r="D330" s="1312">
        <f>IF(AND(C330&gt;$F$59,'Instrumentos Financeiros'!C330&lt;'Instrumentos Financeiros'!$F$59+'Instrumentos Financeiros'!$F$11+1),PMT(((1+'Instrumentos Financeiros'!$G$43)^(1/12)-1),$F$11,-$I$59),0)</f>
        <v>91768.589635900134</v>
      </c>
      <c r="E330" s="1312">
        <f t="shared" si="188"/>
        <v>88105.516911666607</v>
      </c>
      <c r="F330" s="1312">
        <f>G329*((1+'Instrumentos Financeiros'!$G$43)^(1/12)-1)</f>
        <v>3663.0727242335247</v>
      </c>
      <c r="G330" s="1312">
        <f t="shared" si="222"/>
        <v>809310.38052968646</v>
      </c>
      <c r="H330" s="1312">
        <f>IF(AND(C330&gt;$F$60,'Instrumentos Financeiros'!C330&lt;'Instrumentos Financeiros'!$F$60+'Instrumentos Financeiros'!$F$11+1),PMT(((1+'Instrumentos Financeiros'!$G$43)^(1/12)-1),$F$11,-$I$60),0)</f>
        <v>0</v>
      </c>
      <c r="I330" s="1312">
        <f t="shared" si="174"/>
        <v>0</v>
      </c>
      <c r="J330" s="1312">
        <f>K329*((1+'Instrumentos Financeiros'!$G$43)^(1/12)-1)</f>
        <v>0</v>
      </c>
      <c r="K330" s="1312">
        <f t="shared" si="192"/>
        <v>0</v>
      </c>
      <c r="L330" s="1312">
        <f>IF(AND(C330&gt;$F$61,'Instrumentos Financeiros'!C330&lt;'Instrumentos Financeiros'!$F$61+'Instrumentos Financeiros'!$F$11+1),PMT(((1+'Instrumentos Financeiros'!$G$43)^(1/12)-1),$F$11,-$I$61),0)</f>
        <v>0</v>
      </c>
      <c r="M330" s="1312">
        <f t="shared" si="175"/>
        <v>0</v>
      </c>
      <c r="N330" s="1312">
        <f>O329*((1+'Instrumentos Financeiros'!$G$43)^(1/12)-1)</f>
        <v>0</v>
      </c>
      <c r="O330" s="1312">
        <f t="shared" si="193"/>
        <v>0</v>
      </c>
      <c r="P330" s="1312">
        <f>IF(AND(C330&gt;$F$62,'Instrumentos Financeiros'!C330&lt;'Instrumentos Financeiros'!$F$62+'Instrumentos Financeiros'!$F$11+1),PMT(((1+'Instrumentos Financeiros'!$H$43)^(1/12)-1),$F$11,-$I$62),0)</f>
        <v>0</v>
      </c>
      <c r="Q330" s="1312">
        <f t="shared" si="176"/>
        <v>0</v>
      </c>
      <c r="R330" s="1312">
        <f>S329*((1+'Instrumentos Financeiros'!$H$43)^(1/12)-1)</f>
        <v>0</v>
      </c>
      <c r="S330" s="1312">
        <f t="shared" si="194"/>
        <v>0</v>
      </c>
      <c r="T330" s="1312">
        <f>IF(AND(C330&gt;$F$63,'Instrumentos Financeiros'!C330&lt;'Instrumentos Financeiros'!$F$63+'Instrumentos Financeiros'!$F$11+1),PMT(((1+'Instrumentos Financeiros'!$H$43)^(1/12)-1),$F$11,-$I$63),0)</f>
        <v>0</v>
      </c>
      <c r="U330" s="1312">
        <f t="shared" si="177"/>
        <v>0</v>
      </c>
      <c r="V330" s="1312">
        <f>W329*((1+'Instrumentos Financeiros'!$H$43)^(1/12)-1)</f>
        <v>0</v>
      </c>
      <c r="W330" s="1312">
        <f t="shared" si="195"/>
        <v>0</v>
      </c>
      <c r="X330" s="1312">
        <f>IF(AND(C330&gt;$F$64,'Instrumentos Financeiros'!C330&lt;'Instrumentos Financeiros'!$F$64+'Instrumentos Financeiros'!$F$11+1),PMT(((1+'Instrumentos Financeiros'!$H$43)^(1/12)-1),$F$11,-$I$64),0)</f>
        <v>0</v>
      </c>
      <c r="Y330" s="1312">
        <f t="shared" si="178"/>
        <v>0</v>
      </c>
      <c r="Z330" s="1312">
        <f>AA329*((1+'Instrumentos Financeiros'!$H$43)^(1/12)-1)</f>
        <v>0</v>
      </c>
      <c r="AA330" s="1312">
        <f t="shared" si="196"/>
        <v>0</v>
      </c>
      <c r="AB330" s="1312">
        <f>IF(AND(C330&gt;$F$65,'Instrumentos Financeiros'!C330&lt;'Instrumentos Financeiros'!$F$65+'Instrumentos Financeiros'!$F$11+1),PMT(((1+'Instrumentos Financeiros'!$H$43)^(1/12)-1),$F$11,-$I$65),0)</f>
        <v>76636.661022032335</v>
      </c>
      <c r="AC330" s="1312">
        <f t="shared" si="179"/>
        <v>67915.498962705475</v>
      </c>
      <c r="AD330" s="1312">
        <f>AE329*((1+'Instrumentos Financeiros'!$H$43)^(1/12)-1)</f>
        <v>8721.1620593268635</v>
      </c>
      <c r="AE330" s="1312">
        <f t="shared" si="197"/>
        <v>1948999.4586365554</v>
      </c>
      <c r="AF330" s="1312">
        <f>IF(AND(C330&gt;$F$66,'Instrumentos Financeiros'!C330&lt;'Instrumentos Financeiros'!$F$66+'Instrumentos Financeiros'!$F$11+1),PMT(((1+'Instrumentos Financeiros'!$I$43)^(1/12)-1),$F$11,-$I$66),0)</f>
        <v>76636.661022032335</v>
      </c>
      <c r="AG330" s="1312">
        <f t="shared" si="180"/>
        <v>67042.061281281494</v>
      </c>
      <c r="AH330" s="1312">
        <f>AI329*((1+'Instrumentos Financeiros'!$I$43)^(1/12)-1)</f>
        <v>9594.599740750833</v>
      </c>
      <c r="AI330" s="1312">
        <f t="shared" si="198"/>
        <v>2151870.0054429984</v>
      </c>
      <c r="AJ330" s="1312">
        <f>IF(AND(C330&gt;$F$67,'Instrumentos Financeiros'!C330&lt;'Instrumentos Financeiros'!$F$67+'Instrumentos Financeiros'!$F$11+1),PMT(((1+'Instrumentos Financeiros'!$I$43)^(1/12)-1),$F$11,-$I$67),0)</f>
        <v>76636.661022032335</v>
      </c>
      <c r="AK330" s="1312">
        <f t="shared" si="181"/>
        <v>66179.85657900048</v>
      </c>
      <c r="AL330" s="1312">
        <f>AM329*((1+'Instrumentos Financeiros'!$I$43)^(1/12)-1)</f>
        <v>10456.804443031851</v>
      </c>
      <c r="AM330" s="1312">
        <f t="shared" si="199"/>
        <v>2352131.504495421</v>
      </c>
      <c r="AN330" s="1312">
        <f>IF(AND(C330&gt;$F$68,'Instrumentos Financeiros'!C330&lt;'Instrumentos Financeiros'!$F$68+'Instrumentos Financeiros'!$F$11+1),PMT(((1+'Instrumentos Financeiros'!$I$43)^(1/12)-1),$F$11,-$I$68),0)</f>
        <v>76636.661022032335</v>
      </c>
      <c r="AO330" s="1312">
        <f t="shared" si="182"/>
        <v>65328.740392412867</v>
      </c>
      <c r="AP330" s="1312">
        <f>AQ329*((1+'Instrumentos Financeiros'!$I$43)^(1/12)-1)</f>
        <v>11307.92062961947</v>
      </c>
      <c r="AQ330" s="1312">
        <f t="shared" si="200"/>
        <v>2549817.5098522604</v>
      </c>
      <c r="AR330" s="1312">
        <f>IF(AND(C330&gt;$F$69,'Instrumentos Financeiros'!C330&lt;'Instrumentos Financeiros'!$F$69+'Instrumentos Financeiros'!$F$11+1),PMT(((1+'Instrumentos Financeiros'!$I$43)^(1/12)-1),$F$11,-$I$69),0)</f>
        <v>0</v>
      </c>
      <c r="AS330" s="1312">
        <f t="shared" si="183"/>
        <v>0</v>
      </c>
      <c r="AT330" s="1312">
        <f>AU329*((1+'Instrumentos Financeiros'!$I$43)^(1/12)-1)</f>
        <v>0</v>
      </c>
      <c r="AU330" s="1312">
        <f t="shared" si="201"/>
        <v>0</v>
      </c>
      <c r="AV330" s="1312">
        <f>IF(AND(C330&gt;$F$70,'Instrumentos Financeiros'!C330&lt;'Instrumentos Financeiros'!$F$70+'Instrumentos Financeiros'!$F$11+1),PMT(((1+'Instrumentos Financeiros'!$J$43)^(1/12)-1),$F$11,-$I$70),0)</f>
        <v>0</v>
      </c>
      <c r="AW330" s="1312">
        <f t="shared" si="184"/>
        <v>0</v>
      </c>
      <c r="AX330" s="1312">
        <f>AY329*((1+'Instrumentos Financeiros'!$J$43)^(1/12)-1)</f>
        <v>0</v>
      </c>
      <c r="AY330" s="1312">
        <f t="shared" si="202"/>
        <v>0</v>
      </c>
      <c r="AZ330" s="1312">
        <f>IF(AND(C330&gt;$F$71,'Instrumentos Financeiros'!C330&lt;'Instrumentos Financeiros'!$F$71+'Instrumentos Financeiros'!$F$11+1),PMT(((1+'Instrumentos Financeiros'!$J$43)^(1/12)-1),$F$11,-$I$71),0)</f>
        <v>0</v>
      </c>
      <c r="BA330" s="1312">
        <f t="shared" si="185"/>
        <v>0</v>
      </c>
      <c r="BB330" s="1312">
        <f>BC329*((1+'Instrumentos Financeiros'!$J$43)^(1/12)-1)</f>
        <v>0</v>
      </c>
      <c r="BC330" s="1312">
        <f t="shared" si="203"/>
        <v>0</v>
      </c>
      <c r="BD330" s="1312">
        <f>IF(AND(C330&gt;$F$72,'Instrumentos Financeiros'!C330&lt;'Instrumentos Financeiros'!$F$72+'Instrumentos Financeiros'!$F$11+1),PMT(((1+'Instrumentos Financeiros'!$J$43)^(1/12)-1),$F$11,-'Instrumentos Financeiros'!$G$7*$G$72),0)</f>
        <v>0</v>
      </c>
      <c r="BE330" s="1312">
        <f t="shared" si="186"/>
        <v>0</v>
      </c>
      <c r="BF330" s="1312">
        <f>BG329*((1+'Instrumentos Financeiros'!$J$43)^(1/12)-1)</f>
        <v>0</v>
      </c>
      <c r="BG330" s="1312">
        <f t="shared" si="204"/>
        <v>0</v>
      </c>
      <c r="BH330" s="1312">
        <f>IF(AND(C330&gt;$F$73,'Instrumentos Financeiros'!C330&lt;'Instrumentos Financeiros'!$F$73+'Instrumentos Financeiros'!$F$11+1),PMT(((1+'Instrumentos Financeiros'!$J$43)^(1/12)-1),$F$11,-$I$73),0)</f>
        <v>0</v>
      </c>
      <c r="BI330" s="1312">
        <f t="shared" si="187"/>
        <v>0</v>
      </c>
      <c r="BJ330" s="1312">
        <f>BK329*((1+'Instrumentos Financeiros'!$J$43)^(1/12)-1)</f>
        <v>0</v>
      </c>
      <c r="BK330" s="1312">
        <f t="shared" si="205"/>
        <v>0</v>
      </c>
      <c r="BL330" s="1312">
        <f>IF(AND(C330&gt;$F$77,'Instrumentos Financeiros'!C330&lt;'Instrumentos Financeiros'!$F$77+'Instrumentos Financeiros'!$F$12+1),PMT(((1+'Instrumentos Financeiros'!$K$43)^(1/12)-1),$F$12,-$I$77),0)</f>
        <v>368.57912678094596</v>
      </c>
      <c r="BM330" s="1312">
        <f t="shared" si="206"/>
        <v>310.15365940669301</v>
      </c>
      <c r="BN330" s="1312">
        <f>BO329*((1+'Instrumentos Financeiros'!$K$43)^(1/12)-1)</f>
        <v>58.425467374252925</v>
      </c>
      <c r="BO330" s="1312">
        <f t="shared" si="207"/>
        <v>13201.715315191135</v>
      </c>
      <c r="BP330" s="1312">
        <f>IF(AND(C330&gt;$F$78,'Instrumentos Financeiros'!C330&lt;'Instrumentos Financeiros'!$F$78+'Instrumentos Financeiros'!$F$12+1),PMT(((1+'Instrumentos Financeiros'!$L$43)^(1/12)-1),$F$12,-$I$78),0)</f>
        <v>368.57912678094596</v>
      </c>
      <c r="BQ330" s="1312">
        <f t="shared" si="208"/>
        <v>306.16488074357665</v>
      </c>
      <c r="BR330" s="1312">
        <f>BS329*((1+'Instrumentos Financeiros'!$L$43)^(1/12)-1)</f>
        <v>62.414246037369303</v>
      </c>
      <c r="BS330" s="1312">
        <f t="shared" si="209"/>
        <v>14128.176041223747</v>
      </c>
      <c r="BT330" s="1312">
        <f>IF(AND(C330&gt;$F$79,'Instrumentos Financeiros'!C330&lt;'Instrumentos Financeiros'!$F$79+'Instrumentos Financeiros'!$F$12+1),PMT(((1+'Instrumentos Financeiros'!$L$43)^(1/12)-1),$F$12,-$I$79),0)</f>
        <v>368.57912678094596</v>
      </c>
      <c r="BU330" s="1312">
        <f t="shared" si="210"/>
        <v>302.22740037967674</v>
      </c>
      <c r="BV330" s="1312">
        <f>BW329*((1+'Instrumentos Financeiros'!$L$43)^(1/12)-1)</f>
        <v>66.35172640126919</v>
      </c>
      <c r="BW330" s="1312">
        <f t="shared" si="211"/>
        <v>15042.721877123242</v>
      </c>
      <c r="BX330" s="1312">
        <f>IF(AND(C330&gt;$F$80,'Instrumentos Financeiros'!C330&lt;'Instrumentos Financeiros'!$F$80+'Instrumentos Financeiros'!$F$12+1),PMT(((1+'Instrumentos Financeiros'!$L$43)^(1/12)-1),$F$12,-$I$80),0)</f>
        <v>368.57912678094596</v>
      </c>
      <c r="BY330" s="1312">
        <f t="shared" si="212"/>
        <v>298.34055858535561</v>
      </c>
      <c r="BZ330" s="1312">
        <f>CA329*((1+'Instrumentos Financeiros'!$L$43)^(1/12)-1)</f>
        <v>70.238568195590361</v>
      </c>
      <c r="CA330" s="1312">
        <f t="shared" si="213"/>
        <v>15945.506056159957</v>
      </c>
      <c r="CB330" s="1312">
        <f>IF(AND(C330&gt;$F$83,'Instrumentos Financeiros'!C330&lt;'Instrumentos Financeiros'!$F$83+'Instrumentos Financeiros'!$F$13+1),PMT(((1+'Instrumentos Financeiros'!$P$43)^(1/12)-1),$F$13,-$I$83),0)</f>
        <v>30503.390100238979</v>
      </c>
      <c r="CC330" s="1312">
        <f t="shared" si="214"/>
        <v>18813.83768278217</v>
      </c>
      <c r="CD330" s="1312">
        <f>CE329*((1+'Instrumentos Financeiros'!$P$43)^(1/12)-1)</f>
        <v>11689.552417456809</v>
      </c>
      <c r="CE330" s="1312">
        <f t="shared" si="215"/>
        <v>2684591.1624794323</v>
      </c>
      <c r="CF330" s="1312">
        <f>IF(AND(C330&gt;$F$84,'Instrumentos Financeiros'!C330&lt;'Instrumentos Financeiros'!$F$84+'Instrumentos Financeiros'!$F$13+1),PMT(((1+'Instrumentos Financeiros'!$Q$43)^(1/12)-1),$F$13,-$I$84),0)</f>
        <v>30503.390100238979</v>
      </c>
      <c r="CG330" s="1312">
        <f t="shared" si="216"/>
        <v>18571.879440329154</v>
      </c>
      <c r="CH330" s="1312">
        <f>CI329*((1+'Instrumentos Financeiros'!$Q$43)^(1/12)-1)</f>
        <v>11931.510659909827</v>
      </c>
      <c r="CI330" s="1312">
        <f t="shared" si="217"/>
        <v>2740790.0213044197</v>
      </c>
      <c r="CJ330" s="1312">
        <f>IF(AND(C330&gt;$F$85,'Instrumentos Financeiros'!C330&lt;'Instrumentos Financeiros'!$F$85+'Instrumentos Financeiros'!$F$13+1),PMT(((1+'Instrumentos Financeiros'!$Q$43)^(1/12)-1),$F$13,-$I$85),0)</f>
        <v>30503.390100238979</v>
      </c>
      <c r="CK330" s="1312">
        <f t="shared" si="218"/>
        <v>18333.032938929606</v>
      </c>
      <c r="CL330" s="1312">
        <f>CM329*((1+'Instrumentos Financeiros'!$Q$43)^(1/12)-1)</f>
        <v>12170.357161309374</v>
      </c>
      <c r="CM330" s="1312">
        <f t="shared" si="219"/>
        <v>2796266.126093871</v>
      </c>
      <c r="CN330" s="1312">
        <f>IF(AND(C330&gt;$F$86,'Instrumentos Financeiros'!C330&lt;'Instrumentos Financeiros'!$F$86+'Instrumentos Financeiros'!$F$13+1),PMT(((1+'Instrumentos Financeiros'!$Q$43)^(1/12)-1),$F$13,-$I$86),0)</f>
        <v>30503.390100238979</v>
      </c>
      <c r="CO330" s="1312">
        <f t="shared" si="220"/>
        <v>18097.25815956089</v>
      </c>
      <c r="CP330" s="1312">
        <f>CQ329*((1+'Instrumentos Financeiros'!$Q$43)^(1/12)-1)</f>
        <v>12406.131940678089</v>
      </c>
      <c r="CQ330" s="1312">
        <f t="shared" si="221"/>
        <v>2851028.771936811</v>
      </c>
      <c r="CR330" s="1312">
        <f t="shared" si="190"/>
        <v>521803.11063210916</v>
      </c>
      <c r="CS330" s="1312">
        <f t="shared" si="190"/>
        <v>429604.56884778413</v>
      </c>
      <c r="CT330" s="1312">
        <f t="shared" si="190"/>
        <v>92198.54178432512</v>
      </c>
      <c r="CU330" s="1312">
        <f t="shared" si="190"/>
        <v>20943123.060061153</v>
      </c>
    </row>
    <row r="331" spans="3:99" x14ac:dyDescent="0.35">
      <c r="C331" s="1315">
        <f t="shared" si="191"/>
        <v>238</v>
      </c>
      <c r="D331" s="1312">
        <f>IF(AND(C331&gt;$F$59,'Instrumentos Financeiros'!C331&lt;'Instrumentos Financeiros'!$F$59+'Instrumentos Financeiros'!$F$11+1),PMT(((1+'Instrumentos Financeiros'!$G$43)^(1/12)-1),$F$11,-$I$59),0)</f>
        <v>91768.589635900134</v>
      </c>
      <c r="E331" s="1312">
        <f t="shared" si="188"/>
        <v>88465.146061065214</v>
      </c>
      <c r="F331" s="1312">
        <f>G330*((1+'Instrumentos Financeiros'!$G$43)^(1/12)-1)</f>
        <v>3303.4435748349179</v>
      </c>
      <c r="G331" s="1312">
        <f t="shared" si="222"/>
        <v>720845.2344686212</v>
      </c>
      <c r="H331" s="1312">
        <f>IF(AND(C331&gt;$F$60,'Instrumentos Financeiros'!C331&lt;'Instrumentos Financeiros'!$F$60+'Instrumentos Financeiros'!$F$11+1),PMT(((1+'Instrumentos Financeiros'!$G$43)^(1/12)-1),$F$11,-$I$60),0)</f>
        <v>0</v>
      </c>
      <c r="I331" s="1312">
        <f t="shared" si="174"/>
        <v>0</v>
      </c>
      <c r="J331" s="1312">
        <f>K330*((1+'Instrumentos Financeiros'!$G$43)^(1/12)-1)</f>
        <v>0</v>
      </c>
      <c r="K331" s="1312">
        <f t="shared" si="192"/>
        <v>0</v>
      </c>
      <c r="L331" s="1312">
        <f>IF(AND(C331&gt;$F$61,'Instrumentos Financeiros'!C331&lt;'Instrumentos Financeiros'!$F$61+'Instrumentos Financeiros'!$F$11+1),PMT(((1+'Instrumentos Financeiros'!$G$43)^(1/12)-1),$F$11,-$I$61),0)</f>
        <v>0</v>
      </c>
      <c r="M331" s="1312">
        <f t="shared" si="175"/>
        <v>0</v>
      </c>
      <c r="N331" s="1312">
        <f>O330*((1+'Instrumentos Financeiros'!$G$43)^(1/12)-1)</f>
        <v>0</v>
      </c>
      <c r="O331" s="1312">
        <f t="shared" si="193"/>
        <v>0</v>
      </c>
      <c r="P331" s="1312">
        <f>IF(AND(C331&gt;$F$62,'Instrumentos Financeiros'!C331&lt;'Instrumentos Financeiros'!$F$62+'Instrumentos Financeiros'!$F$11+1),PMT(((1+'Instrumentos Financeiros'!$H$43)^(1/12)-1),$F$11,-$I$62),0)</f>
        <v>0</v>
      </c>
      <c r="Q331" s="1312">
        <f t="shared" si="176"/>
        <v>0</v>
      </c>
      <c r="R331" s="1312">
        <f>S330*((1+'Instrumentos Financeiros'!$H$43)^(1/12)-1)</f>
        <v>0</v>
      </c>
      <c r="S331" s="1312">
        <f t="shared" si="194"/>
        <v>0</v>
      </c>
      <c r="T331" s="1312">
        <f>IF(AND(C331&gt;$F$63,'Instrumentos Financeiros'!C331&lt;'Instrumentos Financeiros'!$F$63+'Instrumentos Financeiros'!$F$11+1),PMT(((1+'Instrumentos Financeiros'!$H$43)^(1/12)-1),$F$11,-$I$63),0)</f>
        <v>0</v>
      </c>
      <c r="U331" s="1312">
        <f t="shared" si="177"/>
        <v>0</v>
      </c>
      <c r="V331" s="1312">
        <f>W330*((1+'Instrumentos Financeiros'!$H$43)^(1/12)-1)</f>
        <v>0</v>
      </c>
      <c r="W331" s="1312">
        <f t="shared" si="195"/>
        <v>0</v>
      </c>
      <c r="X331" s="1312">
        <f>IF(AND(C331&gt;$F$64,'Instrumentos Financeiros'!C331&lt;'Instrumentos Financeiros'!$F$64+'Instrumentos Financeiros'!$F$11+1),PMT(((1+'Instrumentos Financeiros'!$H$43)^(1/12)-1),$F$11,-$I$64),0)</f>
        <v>0</v>
      </c>
      <c r="Y331" s="1312">
        <f t="shared" si="178"/>
        <v>0</v>
      </c>
      <c r="Z331" s="1312">
        <f>AA330*((1+'Instrumentos Financeiros'!$H$43)^(1/12)-1)</f>
        <v>0</v>
      </c>
      <c r="AA331" s="1312">
        <f t="shared" si="196"/>
        <v>0</v>
      </c>
      <c r="AB331" s="1312">
        <f>IF(AND(C331&gt;$F$65,'Instrumentos Financeiros'!C331&lt;'Instrumentos Financeiros'!$F$65+'Instrumentos Financeiros'!$F$11+1),PMT(((1+'Instrumentos Financeiros'!$H$43)^(1/12)-1),$F$11,-$I$65),0)</f>
        <v>76636.661022032335</v>
      </c>
      <c r="AC331" s="1312">
        <f t="shared" si="179"/>
        <v>68209.16631370713</v>
      </c>
      <c r="AD331" s="1312">
        <f>AE330*((1+'Instrumentos Financeiros'!$H$43)^(1/12)-1)</f>
        <v>8427.4947083252027</v>
      </c>
      <c r="AE331" s="1312">
        <f t="shared" si="197"/>
        <v>1880790.2923228482</v>
      </c>
      <c r="AF331" s="1312">
        <f>IF(AND(C331&gt;$F$66,'Instrumentos Financeiros'!C331&lt;'Instrumentos Financeiros'!$F$66+'Instrumentos Financeiros'!$F$11+1),PMT(((1+'Instrumentos Financeiros'!$I$43)^(1/12)-1),$F$11,-$I$66),0)</f>
        <v>76636.661022032335</v>
      </c>
      <c r="AG331" s="1312">
        <f t="shared" si="180"/>
        <v>67331.951878315565</v>
      </c>
      <c r="AH331" s="1312">
        <f>AI330*((1+'Instrumentos Financeiros'!$I$43)^(1/12)-1)</f>
        <v>9304.709143716771</v>
      </c>
      <c r="AI331" s="1312">
        <f t="shared" si="198"/>
        <v>2084538.0535646828</v>
      </c>
      <c r="AJ331" s="1312">
        <f>IF(AND(C331&gt;$F$67,'Instrumentos Financeiros'!C331&lt;'Instrumentos Financeiros'!$F$67+'Instrumentos Financeiros'!$F$11+1),PMT(((1+'Instrumentos Financeiros'!$I$43)^(1/12)-1),$F$11,-$I$67),0)</f>
        <v>76636.661022032335</v>
      </c>
      <c r="AK331" s="1312">
        <f t="shared" si="181"/>
        <v>66466.018993590071</v>
      </c>
      <c r="AL331" s="1312">
        <f>AM330*((1+'Instrumentos Financeiros'!$I$43)^(1/12)-1)</f>
        <v>10170.642028442258</v>
      </c>
      <c r="AM331" s="1312">
        <f t="shared" si="199"/>
        <v>2285665.4855018309</v>
      </c>
      <c r="AN331" s="1312">
        <f>IF(AND(C331&gt;$F$68,'Instrumentos Financeiros'!C331&lt;'Instrumentos Financeiros'!$F$68+'Instrumentos Financeiros'!$F$11+1),PMT(((1+'Instrumentos Financeiros'!$I$43)^(1/12)-1),$F$11,-$I$68),0)</f>
        <v>76636.661022032335</v>
      </c>
      <c r="AO331" s="1312">
        <f t="shared" si="182"/>
        <v>65611.22257141961</v>
      </c>
      <c r="AP331" s="1312">
        <f>AQ330*((1+'Instrumentos Financeiros'!$I$43)^(1/12)-1)</f>
        <v>11025.438450612728</v>
      </c>
      <c r="AQ331" s="1312">
        <f t="shared" si="200"/>
        <v>2484206.2872808408</v>
      </c>
      <c r="AR331" s="1312">
        <f>IF(AND(C331&gt;$F$69,'Instrumentos Financeiros'!C331&lt;'Instrumentos Financeiros'!$F$69+'Instrumentos Financeiros'!$F$11+1),PMT(((1+'Instrumentos Financeiros'!$I$43)^(1/12)-1),$F$11,-$I$69),0)</f>
        <v>0</v>
      </c>
      <c r="AS331" s="1312">
        <f t="shared" si="183"/>
        <v>0</v>
      </c>
      <c r="AT331" s="1312">
        <f>AU330*((1+'Instrumentos Financeiros'!$I$43)^(1/12)-1)</f>
        <v>0</v>
      </c>
      <c r="AU331" s="1312">
        <f t="shared" si="201"/>
        <v>0</v>
      </c>
      <c r="AV331" s="1312">
        <f>IF(AND(C331&gt;$F$70,'Instrumentos Financeiros'!C331&lt;'Instrumentos Financeiros'!$F$70+'Instrumentos Financeiros'!$F$11+1),PMT(((1+'Instrumentos Financeiros'!$J$43)^(1/12)-1),$F$11,-$I$70),0)</f>
        <v>0</v>
      </c>
      <c r="AW331" s="1312">
        <f t="shared" si="184"/>
        <v>0</v>
      </c>
      <c r="AX331" s="1312">
        <f>AY330*((1+'Instrumentos Financeiros'!$J$43)^(1/12)-1)</f>
        <v>0</v>
      </c>
      <c r="AY331" s="1312">
        <f t="shared" si="202"/>
        <v>0</v>
      </c>
      <c r="AZ331" s="1312">
        <f>IF(AND(C331&gt;$F$71,'Instrumentos Financeiros'!C331&lt;'Instrumentos Financeiros'!$F$71+'Instrumentos Financeiros'!$F$11+1),PMT(((1+'Instrumentos Financeiros'!$J$43)^(1/12)-1),$F$11,-$I$71),0)</f>
        <v>0</v>
      </c>
      <c r="BA331" s="1312">
        <f t="shared" si="185"/>
        <v>0</v>
      </c>
      <c r="BB331" s="1312">
        <f>BC330*((1+'Instrumentos Financeiros'!$J$43)^(1/12)-1)</f>
        <v>0</v>
      </c>
      <c r="BC331" s="1312">
        <f t="shared" si="203"/>
        <v>0</v>
      </c>
      <c r="BD331" s="1312">
        <f>IF(AND(C331&gt;$F$72,'Instrumentos Financeiros'!C331&lt;'Instrumentos Financeiros'!$F$72+'Instrumentos Financeiros'!$F$11+1),PMT(((1+'Instrumentos Financeiros'!$J$43)^(1/12)-1),$F$11,-'Instrumentos Financeiros'!$G$7*$G$72),0)</f>
        <v>0</v>
      </c>
      <c r="BE331" s="1312">
        <f t="shared" si="186"/>
        <v>0</v>
      </c>
      <c r="BF331" s="1312">
        <f>BG330*((1+'Instrumentos Financeiros'!$J$43)^(1/12)-1)</f>
        <v>0</v>
      </c>
      <c r="BG331" s="1312">
        <f t="shared" si="204"/>
        <v>0</v>
      </c>
      <c r="BH331" s="1312">
        <f>IF(AND(C331&gt;$F$73,'Instrumentos Financeiros'!C331&lt;'Instrumentos Financeiros'!$F$73+'Instrumentos Financeiros'!$F$11+1),PMT(((1+'Instrumentos Financeiros'!$J$43)^(1/12)-1),$F$11,-$I$73),0)</f>
        <v>0</v>
      </c>
      <c r="BI331" s="1312">
        <f t="shared" si="187"/>
        <v>0</v>
      </c>
      <c r="BJ331" s="1312">
        <f>BK330*((1+'Instrumentos Financeiros'!$J$43)^(1/12)-1)</f>
        <v>0</v>
      </c>
      <c r="BK331" s="1312">
        <f t="shared" si="205"/>
        <v>0</v>
      </c>
      <c r="BL331" s="1312">
        <f>IF(AND(C331&gt;$F$77,'Instrumentos Financeiros'!C331&lt;'Instrumentos Financeiros'!$F$77+'Instrumentos Financeiros'!$F$12+1),PMT(((1+'Instrumentos Financeiros'!$K$43)^(1/12)-1),$F$12,-$I$77),0)</f>
        <v>368.57912678094596</v>
      </c>
      <c r="BM331" s="1312">
        <f t="shared" si="206"/>
        <v>311.49476717962494</v>
      </c>
      <c r="BN331" s="1312">
        <f>BO330*((1+'Instrumentos Financeiros'!$K$43)^(1/12)-1)</f>
        <v>57.084359601320998</v>
      </c>
      <c r="BO331" s="1312">
        <f t="shared" si="207"/>
        <v>12890.22054801151</v>
      </c>
      <c r="BP331" s="1312">
        <f>IF(AND(C331&gt;$F$78,'Instrumentos Financeiros'!C331&lt;'Instrumentos Financeiros'!$F$78+'Instrumentos Financeiros'!$F$12+1),PMT(((1+'Instrumentos Financeiros'!$L$43)^(1/12)-1),$F$12,-$I$78),0)</f>
        <v>368.57912678094596</v>
      </c>
      <c r="BQ331" s="1312">
        <f t="shared" si="208"/>
        <v>307.48874099449046</v>
      </c>
      <c r="BR331" s="1312">
        <f>BS330*((1+'Instrumentos Financeiros'!$L$43)^(1/12)-1)</f>
        <v>61.090385786455478</v>
      </c>
      <c r="BS331" s="1312">
        <f t="shared" si="209"/>
        <v>13820.687300229256</v>
      </c>
      <c r="BT331" s="1312">
        <f>IF(AND(C331&gt;$F$79,'Instrumentos Financeiros'!C331&lt;'Instrumentos Financeiros'!$F$79+'Instrumentos Financeiros'!$F$12+1),PMT(((1+'Instrumentos Financeiros'!$L$43)^(1/12)-1),$F$12,-$I$79),0)</f>
        <v>368.57912678094596</v>
      </c>
      <c r="BU331" s="1312">
        <f t="shared" si="210"/>
        <v>303.53423492297236</v>
      </c>
      <c r="BV331" s="1312">
        <f>BW330*((1+'Instrumentos Financeiros'!$L$43)^(1/12)-1)</f>
        <v>65.044891857973624</v>
      </c>
      <c r="BW331" s="1312">
        <f t="shared" si="211"/>
        <v>14739.18764220027</v>
      </c>
      <c r="BX331" s="1312">
        <f>IF(AND(C331&gt;$F$80,'Instrumentos Financeiros'!C331&lt;'Instrumentos Financeiros'!$F$80+'Instrumentos Financeiros'!$F$12+1),PMT(((1+'Instrumentos Financeiros'!$L$43)^(1/12)-1),$F$12,-$I$80),0)</f>
        <v>368.57912678094596</v>
      </c>
      <c r="BY331" s="1312">
        <f t="shared" si="212"/>
        <v>299.63058638275464</v>
      </c>
      <c r="BZ331" s="1312">
        <f>CA330*((1+'Instrumentos Financeiros'!$L$43)^(1/12)-1)</f>
        <v>68.948540398191298</v>
      </c>
      <c r="CA331" s="1312">
        <f t="shared" si="213"/>
        <v>15645.875469777202</v>
      </c>
      <c r="CB331" s="1312">
        <f>IF(AND(C331&gt;$F$83,'Instrumentos Financeiros'!C331&lt;'Instrumentos Financeiros'!$F$83+'Instrumentos Financeiros'!$F$13+1),PMT(((1+'Instrumentos Financeiros'!$P$43)^(1/12)-1),$F$13,-$I$83),0)</f>
        <v>30503.390100238979</v>
      </c>
      <c r="CC331" s="1312">
        <f t="shared" si="214"/>
        <v>18895.188920111839</v>
      </c>
      <c r="CD331" s="1312">
        <f>CE330*((1+'Instrumentos Financeiros'!$P$43)^(1/12)-1)</f>
        <v>11608.20118012714</v>
      </c>
      <c r="CE331" s="1312">
        <f t="shared" si="215"/>
        <v>2665695.9735593204</v>
      </c>
      <c r="CF331" s="1312">
        <f>IF(AND(C331&gt;$F$84,'Instrumentos Financeiros'!C331&lt;'Instrumentos Financeiros'!$F$84+'Instrumentos Financeiros'!$F$13+1),PMT(((1+'Instrumentos Financeiros'!$Q$43)^(1/12)-1),$F$13,-$I$84),0)</f>
        <v>30503.390100238979</v>
      </c>
      <c r="CG331" s="1312">
        <f t="shared" si="216"/>
        <v>18652.184447605305</v>
      </c>
      <c r="CH331" s="1312">
        <f>CI330*((1+'Instrumentos Financeiros'!$Q$43)^(1/12)-1)</f>
        <v>11851.205652633675</v>
      </c>
      <c r="CI331" s="1312">
        <f t="shared" si="217"/>
        <v>2722137.8368568146</v>
      </c>
      <c r="CJ331" s="1312">
        <f>IF(AND(C331&gt;$F$85,'Instrumentos Financeiros'!C331&lt;'Instrumentos Financeiros'!$F$85+'Instrumentos Financeiros'!$F$13+1),PMT(((1+'Instrumentos Financeiros'!$Q$43)^(1/12)-1),$F$13,-$I$85),0)</f>
        <v>30503.390100238979</v>
      </c>
      <c r="CK331" s="1312">
        <f t="shared" si="218"/>
        <v>18412.305171354168</v>
      </c>
      <c r="CL331" s="1312">
        <f>CM330*((1+'Instrumentos Financeiros'!$Q$43)^(1/12)-1)</f>
        <v>12091.084928884811</v>
      </c>
      <c r="CM331" s="1312">
        <f t="shared" si="219"/>
        <v>2777853.8209225168</v>
      </c>
      <c r="CN331" s="1312">
        <f>IF(AND(C331&gt;$F$86,'Instrumentos Financeiros'!C331&lt;'Instrumentos Financeiros'!$F$86+'Instrumentos Financeiros'!$F$13+1),PMT(((1+'Instrumentos Financeiros'!$Q$43)^(1/12)-1),$F$13,-$I$86),0)</f>
        <v>30503.390100238979</v>
      </c>
      <c r="CO331" s="1312">
        <f t="shared" si="220"/>
        <v>18175.510899293098</v>
      </c>
      <c r="CP331" s="1312">
        <f>CQ330*((1+'Instrumentos Financeiros'!$Q$43)^(1/12)-1)</f>
        <v>12327.879200945883</v>
      </c>
      <c r="CQ331" s="1312">
        <f t="shared" si="221"/>
        <v>2832853.2610375178</v>
      </c>
      <c r="CR331" s="1312">
        <f t="shared" si="190"/>
        <v>521803.11063210916</v>
      </c>
      <c r="CS331" s="1312">
        <f t="shared" si="190"/>
        <v>431440.84358594177</v>
      </c>
      <c r="CT331" s="1312">
        <f t="shared" si="190"/>
        <v>90362.267046167326</v>
      </c>
      <c r="CU331" s="1312">
        <f t="shared" si="190"/>
        <v>20511682.216475211</v>
      </c>
    </row>
    <row r="332" spans="3:99" x14ac:dyDescent="0.35">
      <c r="C332" s="1315">
        <f t="shared" si="191"/>
        <v>239</v>
      </c>
      <c r="D332" s="1312">
        <f>IF(AND(C332&gt;$F$59,'Instrumentos Financeiros'!C332&lt;'Instrumentos Financeiros'!$F$59+'Instrumentos Financeiros'!$F$11+1),PMT(((1+'Instrumentos Financeiros'!$G$43)^(1/12)-1),$F$11,-$I$59),0)</f>
        <v>91768.589635900134</v>
      </c>
      <c r="E332" s="1312">
        <f t="shared" si="188"/>
        <v>88826.243144931839</v>
      </c>
      <c r="F332" s="1312">
        <f>G331*((1+'Instrumentos Financeiros'!$G$43)^(1/12)-1)</f>
        <v>2942.3464909682925</v>
      </c>
      <c r="G332" s="1312">
        <f t="shared" si="222"/>
        <v>632018.99132368935</v>
      </c>
      <c r="H332" s="1312">
        <f>IF(AND(C332&gt;$F$60,'Instrumentos Financeiros'!C332&lt;'Instrumentos Financeiros'!$F$60+'Instrumentos Financeiros'!$F$11+1),PMT(((1+'Instrumentos Financeiros'!$G$43)^(1/12)-1),$F$11,-$I$60),0)</f>
        <v>0</v>
      </c>
      <c r="I332" s="1312">
        <f t="shared" si="174"/>
        <v>0</v>
      </c>
      <c r="J332" s="1312">
        <f>K331*((1+'Instrumentos Financeiros'!$G$43)^(1/12)-1)</f>
        <v>0</v>
      </c>
      <c r="K332" s="1312">
        <f t="shared" si="192"/>
        <v>0</v>
      </c>
      <c r="L332" s="1312">
        <f>IF(AND(C332&gt;$F$61,'Instrumentos Financeiros'!C332&lt;'Instrumentos Financeiros'!$F$61+'Instrumentos Financeiros'!$F$11+1),PMT(((1+'Instrumentos Financeiros'!$G$43)^(1/12)-1),$F$11,-$I$61),0)</f>
        <v>0</v>
      </c>
      <c r="M332" s="1312">
        <f t="shared" si="175"/>
        <v>0</v>
      </c>
      <c r="N332" s="1312">
        <f>O331*((1+'Instrumentos Financeiros'!$G$43)^(1/12)-1)</f>
        <v>0</v>
      </c>
      <c r="O332" s="1312">
        <f t="shared" si="193"/>
        <v>0</v>
      </c>
      <c r="P332" s="1312">
        <f>IF(AND(C332&gt;$F$62,'Instrumentos Financeiros'!C332&lt;'Instrumentos Financeiros'!$F$62+'Instrumentos Financeiros'!$F$11+1),PMT(((1+'Instrumentos Financeiros'!$H$43)^(1/12)-1),$F$11,-$I$62),0)</f>
        <v>0</v>
      </c>
      <c r="Q332" s="1312">
        <f t="shared" si="176"/>
        <v>0</v>
      </c>
      <c r="R332" s="1312">
        <f>S331*((1+'Instrumentos Financeiros'!$H$43)^(1/12)-1)</f>
        <v>0</v>
      </c>
      <c r="S332" s="1312">
        <f t="shared" si="194"/>
        <v>0</v>
      </c>
      <c r="T332" s="1312">
        <f>IF(AND(C332&gt;$F$63,'Instrumentos Financeiros'!C332&lt;'Instrumentos Financeiros'!$F$63+'Instrumentos Financeiros'!$F$11+1),PMT(((1+'Instrumentos Financeiros'!$H$43)^(1/12)-1),$F$11,-$I$63),0)</f>
        <v>0</v>
      </c>
      <c r="U332" s="1312">
        <f t="shared" si="177"/>
        <v>0</v>
      </c>
      <c r="V332" s="1312">
        <f>W331*((1+'Instrumentos Financeiros'!$H$43)^(1/12)-1)</f>
        <v>0</v>
      </c>
      <c r="W332" s="1312">
        <f t="shared" si="195"/>
        <v>0</v>
      </c>
      <c r="X332" s="1312">
        <f>IF(AND(C332&gt;$F$64,'Instrumentos Financeiros'!C332&lt;'Instrumentos Financeiros'!$F$64+'Instrumentos Financeiros'!$F$11+1),PMT(((1+'Instrumentos Financeiros'!$H$43)^(1/12)-1),$F$11,-$I$64),0)</f>
        <v>0</v>
      </c>
      <c r="Y332" s="1312">
        <f t="shared" si="178"/>
        <v>0</v>
      </c>
      <c r="Z332" s="1312">
        <f>AA331*((1+'Instrumentos Financeiros'!$H$43)^(1/12)-1)</f>
        <v>0</v>
      </c>
      <c r="AA332" s="1312">
        <f t="shared" si="196"/>
        <v>0</v>
      </c>
      <c r="AB332" s="1312">
        <f>IF(AND(C332&gt;$F$65,'Instrumentos Financeiros'!C332&lt;'Instrumentos Financeiros'!$F$65+'Instrumentos Financeiros'!$F$11+1),PMT(((1+'Instrumentos Financeiros'!$H$43)^(1/12)-1),$F$11,-$I$65),0)</f>
        <v>76636.661022032335</v>
      </c>
      <c r="AC332" s="1312">
        <f t="shared" si="179"/>
        <v>68504.10348550613</v>
      </c>
      <c r="AD332" s="1312">
        <f>AE331*((1+'Instrumentos Financeiros'!$H$43)^(1/12)-1)</f>
        <v>8132.5575365262066</v>
      </c>
      <c r="AE332" s="1312">
        <f t="shared" si="197"/>
        <v>1812286.1888373422</v>
      </c>
      <c r="AF332" s="1312">
        <f>IF(AND(C332&gt;$F$66,'Instrumentos Financeiros'!C332&lt;'Instrumentos Financeiros'!$F$66+'Instrumentos Financeiros'!$F$11+1),PMT(((1+'Instrumentos Financeiros'!$I$43)^(1/12)-1),$F$11,-$I$66),0)</f>
        <v>76636.661022032335</v>
      </c>
      <c r="AG332" s="1312">
        <f t="shared" si="180"/>
        <v>67623.095965422021</v>
      </c>
      <c r="AH332" s="1312">
        <f>AI331*((1+'Instrumentos Financeiros'!$I$43)^(1/12)-1)</f>
        <v>9013.5650566103177</v>
      </c>
      <c r="AI332" s="1312">
        <f t="shared" si="198"/>
        <v>2016914.9575992608</v>
      </c>
      <c r="AJ332" s="1312">
        <f>IF(AND(C332&gt;$F$67,'Instrumentos Financeiros'!C332&lt;'Instrumentos Financeiros'!$F$67+'Instrumentos Financeiros'!$F$11+1),PMT(((1+'Instrumentos Financeiros'!$I$43)^(1/12)-1),$F$11,-$I$67),0)</f>
        <v>76636.661022032335</v>
      </c>
      <c r="AK332" s="1312">
        <f t="shared" si="181"/>
        <v>66753.418777550905</v>
      </c>
      <c r="AL332" s="1312">
        <f>AM331*((1+'Instrumentos Financeiros'!$I$43)^(1/12)-1)</f>
        <v>9883.2422444814274</v>
      </c>
      <c r="AM332" s="1312">
        <f t="shared" si="199"/>
        <v>2218912.0667242799</v>
      </c>
      <c r="AN332" s="1312">
        <f>IF(AND(C332&gt;$F$68,'Instrumentos Financeiros'!C332&lt;'Instrumentos Financeiros'!$F$68+'Instrumentos Financeiros'!$F$11+1),PMT(((1+'Instrumentos Financeiros'!$I$43)^(1/12)-1),$F$11,-$I$68),0)</f>
        <v>76636.661022032335</v>
      </c>
      <c r="AO332" s="1312">
        <f t="shared" si="182"/>
        <v>65894.926206419172</v>
      </c>
      <c r="AP332" s="1312">
        <f>AQ331*((1+'Instrumentos Financeiros'!$I$43)^(1/12)-1)</f>
        <v>10741.734815613157</v>
      </c>
      <c r="AQ332" s="1312">
        <f t="shared" si="200"/>
        <v>2418311.3610744216</v>
      </c>
      <c r="AR332" s="1312">
        <f>IF(AND(C332&gt;$F$69,'Instrumentos Financeiros'!C332&lt;'Instrumentos Financeiros'!$F$69+'Instrumentos Financeiros'!$F$11+1),PMT(((1+'Instrumentos Financeiros'!$I$43)^(1/12)-1),$F$11,-$I$69),0)</f>
        <v>0</v>
      </c>
      <c r="AS332" s="1312">
        <f t="shared" si="183"/>
        <v>0</v>
      </c>
      <c r="AT332" s="1312">
        <f>AU331*((1+'Instrumentos Financeiros'!$I$43)^(1/12)-1)</f>
        <v>0</v>
      </c>
      <c r="AU332" s="1312">
        <f t="shared" si="201"/>
        <v>0</v>
      </c>
      <c r="AV332" s="1312">
        <f>IF(AND(C332&gt;$F$70,'Instrumentos Financeiros'!C332&lt;'Instrumentos Financeiros'!$F$70+'Instrumentos Financeiros'!$F$11+1),PMT(((1+'Instrumentos Financeiros'!$J$43)^(1/12)-1),$F$11,-$I$70),0)</f>
        <v>0</v>
      </c>
      <c r="AW332" s="1312">
        <f t="shared" si="184"/>
        <v>0</v>
      </c>
      <c r="AX332" s="1312">
        <f>AY331*((1+'Instrumentos Financeiros'!$J$43)^(1/12)-1)</f>
        <v>0</v>
      </c>
      <c r="AY332" s="1312">
        <f t="shared" si="202"/>
        <v>0</v>
      </c>
      <c r="AZ332" s="1312">
        <f>IF(AND(C332&gt;$F$71,'Instrumentos Financeiros'!C332&lt;'Instrumentos Financeiros'!$F$71+'Instrumentos Financeiros'!$F$11+1),PMT(((1+'Instrumentos Financeiros'!$J$43)^(1/12)-1),$F$11,-$I$71),0)</f>
        <v>0</v>
      </c>
      <c r="BA332" s="1312">
        <f t="shared" si="185"/>
        <v>0</v>
      </c>
      <c r="BB332" s="1312">
        <f>BC331*((1+'Instrumentos Financeiros'!$J$43)^(1/12)-1)</f>
        <v>0</v>
      </c>
      <c r="BC332" s="1312">
        <f t="shared" si="203"/>
        <v>0</v>
      </c>
      <c r="BD332" s="1312">
        <f>IF(AND(C332&gt;$F$72,'Instrumentos Financeiros'!C332&lt;'Instrumentos Financeiros'!$F$72+'Instrumentos Financeiros'!$F$11+1),PMT(((1+'Instrumentos Financeiros'!$J$43)^(1/12)-1),$F$11,-'Instrumentos Financeiros'!$G$7*$G$72),0)</f>
        <v>0</v>
      </c>
      <c r="BE332" s="1312">
        <f t="shared" si="186"/>
        <v>0</v>
      </c>
      <c r="BF332" s="1312">
        <f>BG331*((1+'Instrumentos Financeiros'!$J$43)^(1/12)-1)</f>
        <v>0</v>
      </c>
      <c r="BG332" s="1312">
        <f t="shared" si="204"/>
        <v>0</v>
      </c>
      <c r="BH332" s="1312">
        <f>IF(AND(C332&gt;$F$73,'Instrumentos Financeiros'!C332&lt;'Instrumentos Financeiros'!$F$73+'Instrumentos Financeiros'!$F$11+1),PMT(((1+'Instrumentos Financeiros'!$J$43)^(1/12)-1),$F$11,-$I$73),0)</f>
        <v>0</v>
      </c>
      <c r="BI332" s="1312">
        <f t="shared" si="187"/>
        <v>0</v>
      </c>
      <c r="BJ332" s="1312">
        <f>BK331*((1+'Instrumentos Financeiros'!$J$43)^(1/12)-1)</f>
        <v>0</v>
      </c>
      <c r="BK332" s="1312">
        <f t="shared" si="205"/>
        <v>0</v>
      </c>
      <c r="BL332" s="1312">
        <f>IF(AND(C332&gt;$F$77,'Instrumentos Financeiros'!C332&lt;'Instrumentos Financeiros'!$F$77+'Instrumentos Financeiros'!$F$12+1),PMT(((1+'Instrumentos Financeiros'!$K$43)^(1/12)-1),$F$12,-$I$77),0)</f>
        <v>368.57912678094596</v>
      </c>
      <c r="BM332" s="1312">
        <f t="shared" si="206"/>
        <v>312.84167391705103</v>
      </c>
      <c r="BN332" s="1312">
        <f>BO331*((1+'Instrumentos Financeiros'!$K$43)^(1/12)-1)</f>
        <v>55.737452863894958</v>
      </c>
      <c r="BO332" s="1312">
        <f t="shared" si="207"/>
        <v>12577.378874094458</v>
      </c>
      <c r="BP332" s="1312">
        <f>IF(AND(C332&gt;$F$78,'Instrumentos Financeiros'!C332&lt;'Instrumentos Financeiros'!$F$78+'Instrumentos Financeiros'!$F$12+1),PMT(((1+'Instrumentos Financeiros'!$L$43)^(1/12)-1),$F$12,-$I$78),0)</f>
        <v>368.57912678094596</v>
      </c>
      <c r="BQ332" s="1312">
        <f t="shared" si="208"/>
        <v>308.81832563142694</v>
      </c>
      <c r="BR332" s="1312">
        <f>BS331*((1+'Instrumentos Financeiros'!$L$43)^(1/12)-1)</f>
        <v>59.760801149519011</v>
      </c>
      <c r="BS332" s="1312">
        <f t="shared" si="209"/>
        <v>13511.868974597828</v>
      </c>
      <c r="BT332" s="1312">
        <f>IF(AND(C332&gt;$F$79,'Instrumentos Financeiros'!C332&lt;'Instrumentos Financeiros'!$F$79+'Instrumentos Financeiros'!$F$12+1),PMT(((1+'Instrumentos Financeiros'!$L$43)^(1/12)-1),$F$12,-$I$79),0)</f>
        <v>368.57912678094596</v>
      </c>
      <c r="BU332" s="1312">
        <f t="shared" si="210"/>
        <v>304.84672023294689</v>
      </c>
      <c r="BV332" s="1312">
        <f>BW331*((1+'Instrumentos Financeiros'!$L$43)^(1/12)-1)</f>
        <v>63.732406547999048</v>
      </c>
      <c r="BW332" s="1312">
        <f t="shared" si="211"/>
        <v>14434.340921967323</v>
      </c>
      <c r="BX332" s="1312">
        <f>IF(AND(C332&gt;$F$80,'Instrumentos Financeiros'!C332&lt;'Instrumentos Financeiros'!$F$80+'Instrumentos Financeiros'!$F$12+1),PMT(((1+'Instrumentos Financeiros'!$L$43)^(1/12)-1),$F$12,-$I$80),0)</f>
        <v>368.57912678094596</v>
      </c>
      <c r="BY332" s="1312">
        <f t="shared" si="212"/>
        <v>300.92619227428196</v>
      </c>
      <c r="BZ332" s="1312">
        <f>CA331*((1+'Instrumentos Financeiros'!$L$43)^(1/12)-1)</f>
        <v>67.652934506663996</v>
      </c>
      <c r="CA332" s="1312">
        <f t="shared" si="213"/>
        <v>15344.949277502919</v>
      </c>
      <c r="CB332" s="1312">
        <f>IF(AND(C332&gt;$F$83,'Instrumentos Financeiros'!C332&lt;'Instrumentos Financeiros'!$F$83+'Instrumentos Financeiros'!$F$13+1),PMT(((1+'Instrumentos Financeiros'!$P$43)^(1/12)-1),$F$13,-$I$83),0)</f>
        <v>30503.390100238979</v>
      </c>
      <c r="CC332" s="1312">
        <f t="shared" si="214"/>
        <v>18976.891921070313</v>
      </c>
      <c r="CD332" s="1312">
        <f>CE331*((1+'Instrumentos Financeiros'!$P$43)^(1/12)-1)</f>
        <v>11526.498179168666</v>
      </c>
      <c r="CE332" s="1312">
        <f t="shared" si="215"/>
        <v>2646719.08163825</v>
      </c>
      <c r="CF332" s="1312">
        <f>IF(AND(C332&gt;$F$84,'Instrumentos Financeiros'!C332&lt;'Instrumentos Financeiros'!$F$84+'Instrumentos Financeiros'!$F$13+1),PMT(((1+'Instrumentos Financeiros'!$Q$43)^(1/12)-1),$F$13,-$I$84),0)</f>
        <v>30503.390100238979</v>
      </c>
      <c r="CG332" s="1312">
        <f t="shared" si="216"/>
        <v>18732.836694600213</v>
      </c>
      <c r="CH332" s="1312">
        <f>CI331*((1+'Instrumentos Financeiros'!$Q$43)^(1/12)-1)</f>
        <v>11770.553405638766</v>
      </c>
      <c r="CI332" s="1312">
        <f t="shared" si="217"/>
        <v>2703405.0001622145</v>
      </c>
      <c r="CJ332" s="1312">
        <f>IF(AND(C332&gt;$F$85,'Instrumentos Financeiros'!C332&lt;'Instrumentos Financeiros'!$F$85+'Instrumentos Financeiros'!$F$13+1),PMT(((1+'Instrumentos Financeiros'!$Q$43)^(1/12)-1),$F$13,-$I$85),0)</f>
        <v>30503.390100238979</v>
      </c>
      <c r="CK332" s="1312">
        <f t="shared" si="218"/>
        <v>18491.920177767872</v>
      </c>
      <c r="CL332" s="1312">
        <f>CM331*((1+'Instrumentos Financeiros'!$Q$43)^(1/12)-1)</f>
        <v>12011.469922471108</v>
      </c>
      <c r="CM332" s="1312">
        <f t="shared" si="219"/>
        <v>2759361.9007447488</v>
      </c>
      <c r="CN332" s="1312">
        <f>IF(AND(C332&gt;$F$86,'Instrumentos Financeiros'!C332&lt;'Instrumentos Financeiros'!$F$86+'Instrumentos Financeiros'!$F$13+1),PMT(((1+'Instrumentos Financeiros'!$Q$43)^(1/12)-1),$F$13,-$I$86),0)</f>
        <v>30503.390100238979</v>
      </c>
      <c r="CO332" s="1312">
        <f t="shared" si="220"/>
        <v>18254.102004717031</v>
      </c>
      <c r="CP332" s="1312">
        <f>CQ331*((1+'Instrumentos Financeiros'!$Q$43)^(1/12)-1)</f>
        <v>12249.288095521946</v>
      </c>
      <c r="CQ332" s="1312">
        <f t="shared" si="221"/>
        <v>2814599.1590328007</v>
      </c>
      <c r="CR332" s="1312">
        <f t="shared" si="190"/>
        <v>521803.11063210916</v>
      </c>
      <c r="CS332" s="1312">
        <f t="shared" si="190"/>
        <v>433284.97129004123</v>
      </c>
      <c r="CT332" s="1312">
        <f t="shared" si="190"/>
        <v>88518.139342067967</v>
      </c>
      <c r="CU332" s="1312">
        <f t="shared" si="190"/>
        <v>20078397.24518517</v>
      </c>
    </row>
    <row r="333" spans="3:99" x14ac:dyDescent="0.35">
      <c r="C333" s="1316">
        <f t="shared" si="191"/>
        <v>240</v>
      </c>
      <c r="D333" s="1313">
        <f>IF(AND(C333&gt;$F$59,'Instrumentos Financeiros'!C333&lt;'Instrumentos Financeiros'!$F$59+'Instrumentos Financeiros'!$F$11+1),PMT(((1+'Instrumentos Financeiros'!$G$43)^(1/12)-1),$F$11,-$I$59),0)</f>
        <v>91768.589635900134</v>
      </c>
      <c r="E333" s="1313">
        <f t="shared" si="188"/>
        <v>89188.814155082233</v>
      </c>
      <c r="F333" s="1313">
        <f>G332*((1+'Instrumentos Financeiros'!$G$43)^(1/12)-1)</f>
        <v>2579.775480817897</v>
      </c>
      <c r="G333" s="1313">
        <f t="shared" si="222"/>
        <v>542830.17716860713</v>
      </c>
      <c r="H333" s="1313">
        <f>IF(AND(C333&gt;$F$60,'Instrumentos Financeiros'!C333&lt;'Instrumentos Financeiros'!$F$60+'Instrumentos Financeiros'!$F$11+1),PMT(((1+'Instrumentos Financeiros'!$G$43)^(1/12)-1),$F$11,-$I$60),0)</f>
        <v>0</v>
      </c>
      <c r="I333" s="1313">
        <f t="shared" si="174"/>
        <v>0</v>
      </c>
      <c r="J333" s="1313">
        <f>K332*((1+'Instrumentos Financeiros'!$G$43)^(1/12)-1)</f>
        <v>0</v>
      </c>
      <c r="K333" s="1313">
        <f t="shared" si="192"/>
        <v>0</v>
      </c>
      <c r="L333" s="1313">
        <f>IF(AND(C333&gt;$F$61,'Instrumentos Financeiros'!C333&lt;'Instrumentos Financeiros'!$F$61+'Instrumentos Financeiros'!$F$11+1),PMT(((1+'Instrumentos Financeiros'!$G$43)^(1/12)-1),$F$11,-$I$61),0)</f>
        <v>0</v>
      </c>
      <c r="M333" s="1313">
        <f t="shared" si="175"/>
        <v>0</v>
      </c>
      <c r="N333" s="1313">
        <f>O332*((1+'Instrumentos Financeiros'!$G$43)^(1/12)-1)</f>
        <v>0</v>
      </c>
      <c r="O333" s="1313">
        <f t="shared" si="193"/>
        <v>0</v>
      </c>
      <c r="P333" s="1313">
        <f>IF(AND(C333&gt;$F$62,'Instrumentos Financeiros'!C333&lt;'Instrumentos Financeiros'!$F$62+'Instrumentos Financeiros'!$F$11+1),PMT(((1+'Instrumentos Financeiros'!$H$43)^(1/12)-1),$F$11,-$I$62),0)</f>
        <v>0</v>
      </c>
      <c r="Q333" s="1313">
        <f t="shared" si="176"/>
        <v>0</v>
      </c>
      <c r="R333" s="1313">
        <f>S332*((1+'Instrumentos Financeiros'!$H$43)^(1/12)-1)</f>
        <v>0</v>
      </c>
      <c r="S333" s="1313">
        <f t="shared" si="194"/>
        <v>0</v>
      </c>
      <c r="T333" s="1313">
        <f>IF(AND(C333&gt;$F$63,'Instrumentos Financeiros'!C333&lt;'Instrumentos Financeiros'!$F$63+'Instrumentos Financeiros'!$F$11+1),PMT(((1+'Instrumentos Financeiros'!$H$43)^(1/12)-1),$F$11,-$I$63),0)</f>
        <v>0</v>
      </c>
      <c r="U333" s="1313">
        <f t="shared" si="177"/>
        <v>0</v>
      </c>
      <c r="V333" s="1313">
        <f>W332*((1+'Instrumentos Financeiros'!$H$43)^(1/12)-1)</f>
        <v>0</v>
      </c>
      <c r="W333" s="1313">
        <f t="shared" si="195"/>
        <v>0</v>
      </c>
      <c r="X333" s="1313">
        <f>IF(AND(C333&gt;$F$64,'Instrumentos Financeiros'!C333&lt;'Instrumentos Financeiros'!$F$64+'Instrumentos Financeiros'!$F$11+1),PMT(((1+'Instrumentos Financeiros'!$H$43)^(1/12)-1),$F$11,-$I$64),0)</f>
        <v>0</v>
      </c>
      <c r="Y333" s="1313">
        <f t="shared" si="178"/>
        <v>0</v>
      </c>
      <c r="Z333" s="1313">
        <f>AA332*((1+'Instrumentos Financeiros'!$H$43)^(1/12)-1)</f>
        <v>0</v>
      </c>
      <c r="AA333" s="1313">
        <f t="shared" si="196"/>
        <v>0</v>
      </c>
      <c r="AB333" s="1313">
        <f>IF(AND(C333&gt;$F$65,'Instrumentos Financeiros'!C333&lt;'Instrumentos Financeiros'!$F$65+'Instrumentos Financeiros'!$F$11+1),PMT(((1+'Instrumentos Financeiros'!$H$43)^(1/12)-1),$F$11,-$I$65),0)</f>
        <v>76636.661022032335</v>
      </c>
      <c r="AC333" s="1313">
        <f t="shared" si="179"/>
        <v>68800.315968821305</v>
      </c>
      <c r="AD333" s="1313">
        <f>AE332*((1+'Instrumentos Financeiros'!$H$43)^(1/12)-1)</f>
        <v>7836.3450532110319</v>
      </c>
      <c r="AE333" s="1313">
        <f t="shared" si="197"/>
        <v>1743485.8728685209</v>
      </c>
      <c r="AF333" s="1313">
        <f>IF(AND(C333&gt;$F$66,'Instrumentos Financeiros'!C333&lt;'Instrumentos Financeiros'!$F$66+'Instrumentos Financeiros'!$F$11+1),PMT(((1+'Instrumentos Financeiros'!$I$43)^(1/12)-1),$F$11,-$I$66),0)</f>
        <v>76636.661022032335</v>
      </c>
      <c r="AG333" s="1313">
        <f t="shared" si="180"/>
        <v>67915.498962705475</v>
      </c>
      <c r="AH333" s="1313">
        <f>AI332*((1+'Instrumentos Financeiros'!$I$43)^(1/12)-1)</f>
        <v>8721.1620593268635</v>
      </c>
      <c r="AI333" s="1313">
        <f t="shared" si="198"/>
        <v>1948999.4586365554</v>
      </c>
      <c r="AJ333" s="1313">
        <f>IF(AND(C333&gt;$F$67,'Instrumentos Financeiros'!C333&lt;'Instrumentos Financeiros'!$F$67+'Instrumentos Financeiros'!$F$11+1),PMT(((1+'Instrumentos Financeiros'!$I$43)^(1/12)-1),$F$11,-$I$67),0)</f>
        <v>76636.661022032335</v>
      </c>
      <c r="AK333" s="1313">
        <f t="shared" si="181"/>
        <v>67042.061281281494</v>
      </c>
      <c r="AL333" s="1313">
        <f>AM332*((1+'Instrumentos Financeiros'!$I$43)^(1/12)-1)</f>
        <v>9594.599740750833</v>
      </c>
      <c r="AM333" s="1313">
        <f t="shared" si="199"/>
        <v>2151870.0054429984</v>
      </c>
      <c r="AN333" s="1313">
        <f>IF(AND(C333&gt;$F$68,'Instrumentos Financeiros'!C333&lt;'Instrumentos Financeiros'!$F$68+'Instrumentos Financeiros'!$F$11+1),PMT(((1+'Instrumentos Financeiros'!$I$43)^(1/12)-1),$F$11,-$I$68),0)</f>
        <v>76636.661022032335</v>
      </c>
      <c r="AO333" s="1313">
        <f t="shared" si="182"/>
        <v>66179.85657900048</v>
      </c>
      <c r="AP333" s="1313">
        <f>AQ332*((1+'Instrumentos Financeiros'!$I$43)^(1/12)-1)</f>
        <v>10456.804443031851</v>
      </c>
      <c r="AQ333" s="1313">
        <f t="shared" si="200"/>
        <v>2352131.504495421</v>
      </c>
      <c r="AR333" s="1313">
        <f>IF(AND(C333&gt;$F$69,'Instrumentos Financeiros'!C333&lt;'Instrumentos Financeiros'!$F$69+'Instrumentos Financeiros'!$F$11+1),PMT(((1+'Instrumentos Financeiros'!$I$43)^(1/12)-1),$F$11,-$I$69),0)</f>
        <v>0</v>
      </c>
      <c r="AS333" s="1313">
        <f t="shared" si="183"/>
        <v>0</v>
      </c>
      <c r="AT333" s="1313">
        <f>AU332*((1+'Instrumentos Financeiros'!$I$43)^(1/12)-1)</f>
        <v>0</v>
      </c>
      <c r="AU333" s="1313">
        <f t="shared" si="201"/>
        <v>0</v>
      </c>
      <c r="AV333" s="1313">
        <f>IF(AND(C333&gt;$F$70,'Instrumentos Financeiros'!C333&lt;'Instrumentos Financeiros'!$F$70+'Instrumentos Financeiros'!$F$11+1),PMT(((1+'Instrumentos Financeiros'!$J$43)^(1/12)-1),$F$11,-$I$70),0)</f>
        <v>0</v>
      </c>
      <c r="AW333" s="1313">
        <f t="shared" si="184"/>
        <v>0</v>
      </c>
      <c r="AX333" s="1313">
        <f>AY332*((1+'Instrumentos Financeiros'!$J$43)^(1/12)-1)</f>
        <v>0</v>
      </c>
      <c r="AY333" s="1313">
        <f t="shared" si="202"/>
        <v>0</v>
      </c>
      <c r="AZ333" s="1313">
        <f>IF(AND(C333&gt;$F$71,'Instrumentos Financeiros'!C333&lt;'Instrumentos Financeiros'!$F$71+'Instrumentos Financeiros'!$F$11+1),PMT(((1+'Instrumentos Financeiros'!$J$43)^(1/12)-1),$F$11,-$I$71),0)</f>
        <v>0</v>
      </c>
      <c r="BA333" s="1313">
        <f t="shared" si="185"/>
        <v>0</v>
      </c>
      <c r="BB333" s="1313">
        <f>BC332*((1+'Instrumentos Financeiros'!$J$43)^(1/12)-1)</f>
        <v>0</v>
      </c>
      <c r="BC333" s="1313">
        <f t="shared" si="203"/>
        <v>0</v>
      </c>
      <c r="BD333" s="1313">
        <f>IF(AND(C333&gt;$F$72,'Instrumentos Financeiros'!C333&lt;'Instrumentos Financeiros'!$F$72+'Instrumentos Financeiros'!$F$11+1),PMT(((1+'Instrumentos Financeiros'!$J$43)^(1/12)-1),$F$11,-'Instrumentos Financeiros'!$G$7*$G$72),0)</f>
        <v>0</v>
      </c>
      <c r="BE333" s="1313">
        <f t="shared" si="186"/>
        <v>0</v>
      </c>
      <c r="BF333" s="1313">
        <f>BG332*((1+'Instrumentos Financeiros'!$J$43)^(1/12)-1)</f>
        <v>0</v>
      </c>
      <c r="BG333" s="1313">
        <f t="shared" si="204"/>
        <v>0</v>
      </c>
      <c r="BH333" s="1313">
        <f>IF(AND(C333&gt;$F$73,'Instrumentos Financeiros'!C333&lt;'Instrumentos Financeiros'!$F$73+'Instrumentos Financeiros'!$F$11+1),PMT(((1+'Instrumentos Financeiros'!$J$43)^(1/12)-1),$F$11,-$I$73),0)</f>
        <v>0</v>
      </c>
      <c r="BI333" s="1313">
        <f t="shared" si="187"/>
        <v>0</v>
      </c>
      <c r="BJ333" s="1313">
        <f>BK332*((1+'Instrumentos Financeiros'!$J$43)^(1/12)-1)</f>
        <v>0</v>
      </c>
      <c r="BK333" s="1313">
        <f t="shared" si="205"/>
        <v>0</v>
      </c>
      <c r="BL333" s="1313">
        <f>IF(AND(C333&gt;$F$77,'Instrumentos Financeiros'!C333&lt;'Instrumentos Financeiros'!$F$77+'Instrumentos Financeiros'!$F$12+1),PMT(((1+'Instrumentos Financeiros'!$K$43)^(1/12)-1),$F$12,-$I$77),0)</f>
        <v>368.57912678094596</v>
      </c>
      <c r="BM333" s="1313">
        <f t="shared" si="206"/>
        <v>314.19440469375627</v>
      </c>
      <c r="BN333" s="1313">
        <f>BO332*((1+'Instrumentos Financeiros'!$K$43)^(1/12)-1)</f>
        <v>54.384722087189701</v>
      </c>
      <c r="BO333" s="1313">
        <f t="shared" si="207"/>
        <v>12263.184469400701</v>
      </c>
      <c r="BP333" s="1313">
        <f>IF(AND(C333&gt;$F$78,'Instrumentos Financeiros'!C333&lt;'Instrumentos Financeiros'!$F$78+'Instrumentos Financeiros'!$F$12+1),PMT(((1+'Instrumentos Financeiros'!$L$43)^(1/12)-1),$F$12,-$I$78),0)</f>
        <v>368.57912678094596</v>
      </c>
      <c r="BQ333" s="1313">
        <f t="shared" si="208"/>
        <v>310.15365940669301</v>
      </c>
      <c r="BR333" s="1313">
        <f>BS332*((1+'Instrumentos Financeiros'!$L$43)^(1/12)-1)</f>
        <v>58.425467374252925</v>
      </c>
      <c r="BS333" s="1313">
        <f t="shared" si="209"/>
        <v>13201.715315191135</v>
      </c>
      <c r="BT333" s="1313">
        <f>IF(AND(C333&gt;$F$79,'Instrumentos Financeiros'!C333&lt;'Instrumentos Financeiros'!$F$79+'Instrumentos Financeiros'!$F$12+1),PMT(((1+'Instrumentos Financeiros'!$L$43)^(1/12)-1),$F$12,-$I$79),0)</f>
        <v>368.57912678094596</v>
      </c>
      <c r="BU333" s="1313">
        <f t="shared" si="210"/>
        <v>306.16488074357665</v>
      </c>
      <c r="BV333" s="1313">
        <f>BW332*((1+'Instrumentos Financeiros'!$L$43)^(1/12)-1)</f>
        <v>62.414246037369303</v>
      </c>
      <c r="BW333" s="1313">
        <f t="shared" si="211"/>
        <v>14128.176041223747</v>
      </c>
      <c r="BX333" s="1313">
        <f>IF(AND(C333&gt;$F$80,'Instrumentos Financeiros'!C333&lt;'Instrumentos Financeiros'!$F$80+'Instrumentos Financeiros'!$F$12+1),PMT(((1+'Instrumentos Financeiros'!$L$43)^(1/12)-1),$F$12,-$I$80),0)</f>
        <v>368.57912678094596</v>
      </c>
      <c r="BY333" s="1313">
        <f t="shared" si="212"/>
        <v>302.22740037967674</v>
      </c>
      <c r="BZ333" s="1313">
        <f>CA332*((1+'Instrumentos Financeiros'!$L$43)^(1/12)-1)</f>
        <v>66.35172640126919</v>
      </c>
      <c r="CA333" s="1313">
        <f t="shared" si="213"/>
        <v>15042.721877123242</v>
      </c>
      <c r="CB333" s="1313">
        <f>IF(AND(C333&gt;$F$83,'Instrumentos Financeiros'!C333&lt;'Instrumentos Financeiros'!$F$83+'Instrumentos Financeiros'!$F$13+1),PMT(((1+'Instrumentos Financeiros'!$P$43)^(1/12)-1),$F$13,-$I$83),0)</f>
        <v>30503.390100238979</v>
      </c>
      <c r="CC333" s="1313">
        <f t="shared" si="214"/>
        <v>19058.948206687324</v>
      </c>
      <c r="CD333" s="1313">
        <f>CE332*((1+'Instrumentos Financeiros'!$P$43)^(1/12)-1)</f>
        <v>11444.441893551657</v>
      </c>
      <c r="CE333" s="1313">
        <f t="shared" si="215"/>
        <v>2627660.1334315627</v>
      </c>
      <c r="CF333" s="1313">
        <f>IF(AND(C333&gt;$F$84,'Instrumentos Financeiros'!C333&lt;'Instrumentos Financeiros'!$F$84+'Instrumentos Financeiros'!$F$13+1),PMT(((1+'Instrumentos Financeiros'!$Q$43)^(1/12)-1),$F$13,-$I$84),0)</f>
        <v>30503.390100238979</v>
      </c>
      <c r="CG333" s="1313">
        <f t="shared" si="216"/>
        <v>18813.83768278217</v>
      </c>
      <c r="CH333" s="1313">
        <f>CI332*((1+'Instrumentos Financeiros'!$Q$43)^(1/12)-1)</f>
        <v>11689.552417456809</v>
      </c>
      <c r="CI333" s="1313">
        <f t="shared" si="217"/>
        <v>2684591.1624794323</v>
      </c>
      <c r="CJ333" s="1313">
        <f>IF(AND(C333&gt;$F$85,'Instrumentos Financeiros'!C333&lt;'Instrumentos Financeiros'!$F$85+'Instrumentos Financeiros'!$F$13+1),PMT(((1+'Instrumentos Financeiros'!$Q$43)^(1/12)-1),$F$13,-$I$85),0)</f>
        <v>30503.390100238979</v>
      </c>
      <c r="CK333" s="1313">
        <f t="shared" si="218"/>
        <v>18571.879440329154</v>
      </c>
      <c r="CL333" s="1313">
        <f>CM332*((1+'Instrumentos Financeiros'!$Q$43)^(1/12)-1)</f>
        <v>11931.510659909827</v>
      </c>
      <c r="CM333" s="1313">
        <f t="shared" si="219"/>
        <v>2740790.0213044197</v>
      </c>
      <c r="CN333" s="1313">
        <f>IF(AND(C333&gt;$F$86,'Instrumentos Financeiros'!C333&lt;'Instrumentos Financeiros'!$F$86+'Instrumentos Financeiros'!$F$13+1),PMT(((1+'Instrumentos Financeiros'!$Q$43)^(1/12)-1),$F$13,-$I$86),0)</f>
        <v>30503.390100238979</v>
      </c>
      <c r="CO333" s="1313">
        <f t="shared" si="220"/>
        <v>18333.032938929606</v>
      </c>
      <c r="CP333" s="1313">
        <f>CQ332*((1+'Instrumentos Financeiros'!$Q$43)^(1/12)-1)</f>
        <v>12170.357161309374</v>
      </c>
      <c r="CQ333" s="1313">
        <f t="shared" si="221"/>
        <v>2796266.126093871</v>
      </c>
      <c r="CR333" s="1313">
        <f t="shared" si="190"/>
        <v>521803.11063210916</v>
      </c>
      <c r="CS333" s="1313">
        <f t="shared" si="190"/>
        <v>435136.98556084296</v>
      </c>
      <c r="CT333" s="1313">
        <f t="shared" si="190"/>
        <v>86666.125071266229</v>
      </c>
      <c r="CU333" s="1313">
        <f t="shared" si="190"/>
        <v>19643260.259624328</v>
      </c>
    </row>
    <row r="334" spans="3:99" x14ac:dyDescent="0.35">
      <c r="C334" s="1315">
        <f t="shared" si="191"/>
        <v>241</v>
      </c>
      <c r="D334" s="1312">
        <f>IF(AND(C334&gt;$F$59,'Instrumentos Financeiros'!C334&lt;'Instrumentos Financeiros'!$F$59+'Instrumentos Financeiros'!$F$11+1),PMT(((1+'Instrumentos Financeiros'!$G$43)^(1/12)-1),$F$11,-$I$59),0)</f>
        <v>91768.589635900134</v>
      </c>
      <c r="E334" s="1312">
        <f t="shared" si="188"/>
        <v>89552.865107789548</v>
      </c>
      <c r="F334" s="1312">
        <f>G333*((1+'Instrumentos Financeiros'!$G$43)^(1/12)-1)</f>
        <v>2215.724528110582</v>
      </c>
      <c r="G334" s="1312">
        <f t="shared" si="222"/>
        <v>453277.31206081761</v>
      </c>
      <c r="H334" s="1312">
        <f>IF(AND(C334&gt;$F$60,'Instrumentos Financeiros'!C334&lt;'Instrumentos Financeiros'!$F$60+'Instrumentos Financeiros'!$F$11+1),PMT(((1+'Instrumentos Financeiros'!$G$43)^(1/12)-1),$F$11,-$I$60),0)</f>
        <v>0</v>
      </c>
      <c r="I334" s="1312">
        <f t="shared" si="174"/>
        <v>0</v>
      </c>
      <c r="J334" s="1312">
        <f>K333*((1+'Instrumentos Financeiros'!$G$43)^(1/12)-1)</f>
        <v>0</v>
      </c>
      <c r="K334" s="1312">
        <f t="shared" si="192"/>
        <v>0</v>
      </c>
      <c r="L334" s="1312">
        <f>IF(AND(C334&gt;$F$61,'Instrumentos Financeiros'!C334&lt;'Instrumentos Financeiros'!$F$61+'Instrumentos Financeiros'!$F$11+1),PMT(((1+'Instrumentos Financeiros'!$G$43)^(1/12)-1),$F$11,-$I$61),0)</f>
        <v>0</v>
      </c>
      <c r="M334" s="1312">
        <f t="shared" si="175"/>
        <v>0</v>
      </c>
      <c r="N334" s="1312">
        <f>O333*((1+'Instrumentos Financeiros'!$G$43)^(1/12)-1)</f>
        <v>0</v>
      </c>
      <c r="O334" s="1312">
        <f t="shared" si="193"/>
        <v>0</v>
      </c>
      <c r="P334" s="1312">
        <f>IF(AND(C334&gt;$F$62,'Instrumentos Financeiros'!C334&lt;'Instrumentos Financeiros'!$F$62+'Instrumentos Financeiros'!$F$11+1),PMT(((1+'Instrumentos Financeiros'!$H$43)^(1/12)-1),$F$11,-$I$62),0)</f>
        <v>0</v>
      </c>
      <c r="Q334" s="1312">
        <f t="shared" si="176"/>
        <v>0</v>
      </c>
      <c r="R334" s="1312">
        <f>S333*((1+'Instrumentos Financeiros'!$H$43)^(1/12)-1)</f>
        <v>0</v>
      </c>
      <c r="S334" s="1312">
        <f t="shared" si="194"/>
        <v>0</v>
      </c>
      <c r="T334" s="1312">
        <f>IF(AND(C334&gt;$F$63,'Instrumentos Financeiros'!C334&lt;'Instrumentos Financeiros'!$F$63+'Instrumentos Financeiros'!$F$11+1),PMT(((1+'Instrumentos Financeiros'!$H$43)^(1/12)-1),$F$11,-$I$63),0)</f>
        <v>0</v>
      </c>
      <c r="U334" s="1312">
        <f t="shared" si="177"/>
        <v>0</v>
      </c>
      <c r="V334" s="1312">
        <f>W333*((1+'Instrumentos Financeiros'!$H$43)^(1/12)-1)</f>
        <v>0</v>
      </c>
      <c r="W334" s="1312">
        <f t="shared" si="195"/>
        <v>0</v>
      </c>
      <c r="X334" s="1312">
        <f>IF(AND(C334&gt;$F$64,'Instrumentos Financeiros'!C334&lt;'Instrumentos Financeiros'!$F$64+'Instrumentos Financeiros'!$F$11+1),PMT(((1+'Instrumentos Financeiros'!$H$43)^(1/12)-1),$F$11,-$I$64),0)</f>
        <v>0</v>
      </c>
      <c r="Y334" s="1312">
        <f t="shared" si="178"/>
        <v>0</v>
      </c>
      <c r="Z334" s="1312">
        <f>AA333*((1+'Instrumentos Financeiros'!$H$43)^(1/12)-1)</f>
        <v>0</v>
      </c>
      <c r="AA334" s="1312">
        <f t="shared" si="196"/>
        <v>0</v>
      </c>
      <c r="AB334" s="1312">
        <f>IF(AND(C334&gt;$F$65,'Instrumentos Financeiros'!C334&lt;'Instrumentos Financeiros'!$F$65+'Instrumentos Financeiros'!$F$11+1),PMT(((1+'Instrumentos Financeiros'!$H$43)^(1/12)-1),$F$11,-$I$65),0)</f>
        <v>76636.661022032335</v>
      </c>
      <c r="AC334" s="1312">
        <f t="shared" si="179"/>
        <v>69097.809278113418</v>
      </c>
      <c r="AD334" s="1312">
        <f>AE333*((1+'Instrumentos Financeiros'!$H$43)^(1/12)-1)</f>
        <v>7538.85174391891</v>
      </c>
      <c r="AE334" s="1312">
        <f t="shared" si="197"/>
        <v>1674388.0635904074</v>
      </c>
      <c r="AF334" s="1312">
        <f>IF(AND(C334&gt;$F$66,'Instrumentos Financeiros'!C334&lt;'Instrumentos Financeiros'!$F$66+'Instrumentos Financeiros'!$F$11+1),PMT(((1+'Instrumentos Financeiros'!$I$43)^(1/12)-1),$F$11,-$I$66),0)</f>
        <v>76636.661022032335</v>
      </c>
      <c r="AG334" s="1312">
        <f t="shared" si="180"/>
        <v>68209.16631370713</v>
      </c>
      <c r="AH334" s="1312">
        <f>AI333*((1+'Instrumentos Financeiros'!$I$43)^(1/12)-1)</f>
        <v>8427.4947083252027</v>
      </c>
      <c r="AI334" s="1312">
        <f t="shared" si="198"/>
        <v>1880790.2923228482</v>
      </c>
      <c r="AJ334" s="1312">
        <f>IF(AND(C334&gt;$F$67,'Instrumentos Financeiros'!C334&lt;'Instrumentos Financeiros'!$F$67+'Instrumentos Financeiros'!$F$11+1),PMT(((1+'Instrumentos Financeiros'!$I$43)^(1/12)-1),$F$11,-$I$67),0)</f>
        <v>76636.661022032335</v>
      </c>
      <c r="AK334" s="1312">
        <f t="shared" si="181"/>
        <v>67331.951878315565</v>
      </c>
      <c r="AL334" s="1312">
        <f>AM333*((1+'Instrumentos Financeiros'!$I$43)^(1/12)-1)</f>
        <v>9304.709143716771</v>
      </c>
      <c r="AM334" s="1312">
        <f t="shared" si="199"/>
        <v>2084538.0535646828</v>
      </c>
      <c r="AN334" s="1312">
        <f>IF(AND(C334&gt;$F$68,'Instrumentos Financeiros'!C334&lt;'Instrumentos Financeiros'!$F$68+'Instrumentos Financeiros'!$F$11+1),PMT(((1+'Instrumentos Financeiros'!$I$43)^(1/12)-1),$F$11,-$I$68),0)</f>
        <v>76636.661022032335</v>
      </c>
      <c r="AO334" s="1312">
        <f t="shared" si="182"/>
        <v>66466.018993590071</v>
      </c>
      <c r="AP334" s="1312">
        <f>AQ333*((1+'Instrumentos Financeiros'!$I$43)^(1/12)-1)</f>
        <v>10170.642028442258</v>
      </c>
      <c r="AQ334" s="1312">
        <f t="shared" si="200"/>
        <v>2285665.4855018309</v>
      </c>
      <c r="AR334" s="1312">
        <f>IF(AND(C334&gt;$F$69,'Instrumentos Financeiros'!C334&lt;'Instrumentos Financeiros'!$F$69+'Instrumentos Financeiros'!$F$11+1),PMT(((1+'Instrumentos Financeiros'!$I$43)^(1/12)-1),$F$11,-$I$69),0)</f>
        <v>0</v>
      </c>
      <c r="AS334" s="1312">
        <f t="shared" si="183"/>
        <v>0</v>
      </c>
      <c r="AT334" s="1312">
        <f>AU333*((1+'Instrumentos Financeiros'!$I$43)^(1/12)-1)</f>
        <v>0</v>
      </c>
      <c r="AU334" s="1312">
        <f t="shared" si="201"/>
        <v>0</v>
      </c>
      <c r="AV334" s="1312">
        <f>IF(AND(C334&gt;$F$70,'Instrumentos Financeiros'!C334&lt;'Instrumentos Financeiros'!$F$70+'Instrumentos Financeiros'!$F$11+1),PMT(((1+'Instrumentos Financeiros'!$J$43)^(1/12)-1),$F$11,-$I$70),0)</f>
        <v>0</v>
      </c>
      <c r="AW334" s="1312">
        <f t="shared" si="184"/>
        <v>0</v>
      </c>
      <c r="AX334" s="1312">
        <f>AY333*((1+'Instrumentos Financeiros'!$J$43)^(1/12)-1)</f>
        <v>0</v>
      </c>
      <c r="AY334" s="1312">
        <f t="shared" si="202"/>
        <v>0</v>
      </c>
      <c r="AZ334" s="1312">
        <f>IF(AND(C334&gt;$F$71,'Instrumentos Financeiros'!C334&lt;'Instrumentos Financeiros'!$F$71+'Instrumentos Financeiros'!$F$11+1),PMT(((1+'Instrumentos Financeiros'!$J$43)^(1/12)-1),$F$11,-$I$71),0)</f>
        <v>0</v>
      </c>
      <c r="BA334" s="1312">
        <f t="shared" si="185"/>
        <v>0</v>
      </c>
      <c r="BB334" s="1312">
        <f>BC333*((1+'Instrumentos Financeiros'!$J$43)^(1/12)-1)</f>
        <v>0</v>
      </c>
      <c r="BC334" s="1312">
        <f t="shared" si="203"/>
        <v>0</v>
      </c>
      <c r="BD334" s="1312">
        <f>IF(AND(C334&gt;$F$72,'Instrumentos Financeiros'!C334&lt;'Instrumentos Financeiros'!$F$72+'Instrumentos Financeiros'!$F$11+1),PMT(((1+'Instrumentos Financeiros'!$J$43)^(1/12)-1),$F$11,-'Instrumentos Financeiros'!$G$7*$G$72),0)</f>
        <v>0</v>
      </c>
      <c r="BE334" s="1312">
        <f t="shared" si="186"/>
        <v>0</v>
      </c>
      <c r="BF334" s="1312">
        <f>BG333*((1+'Instrumentos Financeiros'!$J$43)^(1/12)-1)</f>
        <v>0</v>
      </c>
      <c r="BG334" s="1312">
        <f t="shared" si="204"/>
        <v>0</v>
      </c>
      <c r="BH334" s="1312">
        <f>IF(AND(C334&gt;$F$73,'Instrumentos Financeiros'!C334&lt;'Instrumentos Financeiros'!$F$73+'Instrumentos Financeiros'!$F$11+1),PMT(((1+'Instrumentos Financeiros'!$J$43)^(1/12)-1),$F$11,-$I$73),0)</f>
        <v>0</v>
      </c>
      <c r="BI334" s="1312">
        <f t="shared" si="187"/>
        <v>0</v>
      </c>
      <c r="BJ334" s="1312">
        <f>BK333*((1+'Instrumentos Financeiros'!$J$43)^(1/12)-1)</f>
        <v>0</v>
      </c>
      <c r="BK334" s="1312">
        <f t="shared" si="205"/>
        <v>0</v>
      </c>
      <c r="BL334" s="1312">
        <f>IF(AND(C334&gt;$F$77,'Instrumentos Financeiros'!C334&lt;'Instrumentos Financeiros'!$F$77+'Instrumentos Financeiros'!$F$12+1),PMT(((1+'Instrumentos Financeiros'!$K$43)^(1/12)-1),$F$12,-$I$77),0)</f>
        <v>368.57912678094596</v>
      </c>
      <c r="BM334" s="1312">
        <f t="shared" si="206"/>
        <v>315.55298469294945</v>
      </c>
      <c r="BN334" s="1312">
        <f>BO333*((1+'Instrumentos Financeiros'!$K$43)^(1/12)-1)</f>
        <v>53.02614208799649</v>
      </c>
      <c r="BO334" s="1312">
        <f t="shared" si="207"/>
        <v>11947.631484707752</v>
      </c>
      <c r="BP334" s="1312">
        <f>IF(AND(C334&gt;$F$78,'Instrumentos Financeiros'!C334&lt;'Instrumentos Financeiros'!$F$78+'Instrumentos Financeiros'!$F$12+1),PMT(((1+'Instrumentos Financeiros'!$L$43)^(1/12)-1),$F$12,-$I$78),0)</f>
        <v>368.57912678094596</v>
      </c>
      <c r="BQ334" s="1312">
        <f t="shared" si="208"/>
        <v>311.49476717962494</v>
      </c>
      <c r="BR334" s="1312">
        <f>BS333*((1+'Instrumentos Financeiros'!$L$43)^(1/12)-1)</f>
        <v>57.084359601320998</v>
      </c>
      <c r="BS334" s="1312">
        <f t="shared" si="209"/>
        <v>12890.22054801151</v>
      </c>
      <c r="BT334" s="1312">
        <f>IF(AND(C334&gt;$F$79,'Instrumentos Financeiros'!C334&lt;'Instrumentos Financeiros'!$F$79+'Instrumentos Financeiros'!$F$12+1),PMT(((1+'Instrumentos Financeiros'!$L$43)^(1/12)-1),$F$12,-$I$79),0)</f>
        <v>368.57912678094596</v>
      </c>
      <c r="BU334" s="1312">
        <f t="shared" si="210"/>
        <v>307.48874099449046</v>
      </c>
      <c r="BV334" s="1312">
        <f>BW333*((1+'Instrumentos Financeiros'!$L$43)^(1/12)-1)</f>
        <v>61.090385786455478</v>
      </c>
      <c r="BW334" s="1312">
        <f t="shared" si="211"/>
        <v>13820.687300229256</v>
      </c>
      <c r="BX334" s="1312">
        <f>IF(AND(C334&gt;$F$80,'Instrumentos Financeiros'!C334&lt;'Instrumentos Financeiros'!$F$80+'Instrumentos Financeiros'!$F$12+1),PMT(((1+'Instrumentos Financeiros'!$L$43)^(1/12)-1),$F$12,-$I$80),0)</f>
        <v>368.57912678094596</v>
      </c>
      <c r="BY334" s="1312">
        <f t="shared" si="212"/>
        <v>303.53423492297236</v>
      </c>
      <c r="BZ334" s="1312">
        <f>CA333*((1+'Instrumentos Financeiros'!$L$43)^(1/12)-1)</f>
        <v>65.044891857973624</v>
      </c>
      <c r="CA334" s="1312">
        <f t="shared" si="213"/>
        <v>14739.18764220027</v>
      </c>
      <c r="CB334" s="1312">
        <f>IF(AND(C334&gt;$F$83,'Instrumentos Financeiros'!C334&lt;'Instrumentos Financeiros'!$F$83+'Instrumentos Financeiros'!$F$13+1),PMT(((1+'Instrumentos Financeiros'!$P$43)^(1/12)-1),$F$13,-$I$83),0)</f>
        <v>30503.390100238979</v>
      </c>
      <c r="CC334" s="1312">
        <f t="shared" si="214"/>
        <v>19141.359304569549</v>
      </c>
      <c r="CD334" s="1312">
        <f>CE333*((1+'Instrumentos Financeiros'!$P$43)^(1/12)-1)</f>
        <v>11362.030795669431</v>
      </c>
      <c r="CE334" s="1312">
        <f t="shared" si="215"/>
        <v>2608518.774126993</v>
      </c>
      <c r="CF334" s="1312">
        <f>IF(AND(C334&gt;$F$84,'Instrumentos Financeiros'!C334&lt;'Instrumentos Financeiros'!$F$84+'Instrumentos Financeiros'!$F$13+1),PMT(((1+'Instrumentos Financeiros'!$Q$43)^(1/12)-1),$F$13,-$I$84),0)</f>
        <v>30503.390100238979</v>
      </c>
      <c r="CG334" s="1312">
        <f t="shared" si="216"/>
        <v>18895.188920111839</v>
      </c>
      <c r="CH334" s="1312">
        <f>CI333*((1+'Instrumentos Financeiros'!$Q$43)^(1/12)-1)</f>
        <v>11608.20118012714</v>
      </c>
      <c r="CI334" s="1312">
        <f t="shared" si="217"/>
        <v>2665695.9735593204</v>
      </c>
      <c r="CJ334" s="1312">
        <f>IF(AND(C334&gt;$F$85,'Instrumentos Financeiros'!C334&lt;'Instrumentos Financeiros'!$F$85+'Instrumentos Financeiros'!$F$13+1),PMT(((1+'Instrumentos Financeiros'!$Q$43)^(1/12)-1),$F$13,-$I$85),0)</f>
        <v>30503.390100238979</v>
      </c>
      <c r="CK334" s="1312">
        <f t="shared" si="218"/>
        <v>18652.184447605305</v>
      </c>
      <c r="CL334" s="1312">
        <f>CM333*((1+'Instrumentos Financeiros'!$Q$43)^(1/12)-1)</f>
        <v>11851.205652633675</v>
      </c>
      <c r="CM334" s="1312">
        <f t="shared" si="219"/>
        <v>2722137.8368568146</v>
      </c>
      <c r="CN334" s="1312">
        <f>IF(AND(C334&gt;$F$86,'Instrumentos Financeiros'!C334&lt;'Instrumentos Financeiros'!$F$86+'Instrumentos Financeiros'!$F$13+1),PMT(((1+'Instrumentos Financeiros'!$Q$43)^(1/12)-1),$F$13,-$I$86),0)</f>
        <v>30503.390100238979</v>
      </c>
      <c r="CO334" s="1312">
        <f t="shared" si="220"/>
        <v>18412.305171354168</v>
      </c>
      <c r="CP334" s="1312">
        <f>CQ333*((1+'Instrumentos Financeiros'!$Q$43)^(1/12)-1)</f>
        <v>12091.084928884811</v>
      </c>
      <c r="CQ334" s="1312">
        <f t="shared" si="221"/>
        <v>2777853.8209225168</v>
      </c>
      <c r="CR334" s="1312">
        <f t="shared" si="190"/>
        <v>521803.11063210916</v>
      </c>
      <c r="CS334" s="1312">
        <f t="shared" si="190"/>
        <v>436996.92014294659</v>
      </c>
      <c r="CT334" s="1312">
        <f t="shared" si="190"/>
        <v>84806.190489162516</v>
      </c>
      <c r="CU334" s="1312">
        <f t="shared" si="190"/>
        <v>19206263.33948138</v>
      </c>
    </row>
    <row r="335" spans="3:99" x14ac:dyDescent="0.35">
      <c r="C335" s="1315">
        <f t="shared" si="191"/>
        <v>242</v>
      </c>
      <c r="D335" s="1312">
        <f>IF(AND(C335&gt;$F$59,'Instrumentos Financeiros'!C335&lt;'Instrumentos Financeiros'!$F$59+'Instrumentos Financeiros'!$F$11+1),PMT(((1+'Instrumentos Financeiros'!$G$43)^(1/12)-1),$F$11,-$I$59),0)</f>
        <v>91768.589635900134</v>
      </c>
      <c r="E335" s="1312">
        <f t="shared" si="188"/>
        <v>89918.402043884169</v>
      </c>
      <c r="F335" s="1312">
        <f>G334*((1+'Instrumentos Financeiros'!$G$43)^(1/12)-1)</f>
        <v>1850.1875920159712</v>
      </c>
      <c r="G335" s="1312">
        <f t="shared" si="222"/>
        <v>363358.91001693346</v>
      </c>
      <c r="H335" s="1312">
        <f>IF(AND(C335&gt;$F$60,'Instrumentos Financeiros'!C335&lt;'Instrumentos Financeiros'!$F$60+'Instrumentos Financeiros'!$F$11+1),PMT(((1+'Instrumentos Financeiros'!$G$43)^(1/12)-1),$F$11,-$I$60),0)</f>
        <v>0</v>
      </c>
      <c r="I335" s="1312">
        <f t="shared" si="174"/>
        <v>0</v>
      </c>
      <c r="J335" s="1312">
        <f>K334*((1+'Instrumentos Financeiros'!$G$43)^(1/12)-1)</f>
        <v>0</v>
      </c>
      <c r="K335" s="1312">
        <f t="shared" si="192"/>
        <v>0</v>
      </c>
      <c r="L335" s="1312">
        <f>IF(AND(C335&gt;$F$61,'Instrumentos Financeiros'!C335&lt;'Instrumentos Financeiros'!$F$61+'Instrumentos Financeiros'!$F$11+1),PMT(((1+'Instrumentos Financeiros'!$G$43)^(1/12)-1),$F$11,-$I$61),0)</f>
        <v>0</v>
      </c>
      <c r="M335" s="1312">
        <f t="shared" si="175"/>
        <v>0</v>
      </c>
      <c r="N335" s="1312">
        <f>O334*((1+'Instrumentos Financeiros'!$G$43)^(1/12)-1)</f>
        <v>0</v>
      </c>
      <c r="O335" s="1312">
        <f t="shared" si="193"/>
        <v>0</v>
      </c>
      <c r="P335" s="1312">
        <f>IF(AND(C335&gt;$F$62,'Instrumentos Financeiros'!C335&lt;'Instrumentos Financeiros'!$F$62+'Instrumentos Financeiros'!$F$11+1),PMT(((1+'Instrumentos Financeiros'!$H$43)^(1/12)-1),$F$11,-$I$62),0)</f>
        <v>0</v>
      </c>
      <c r="Q335" s="1312">
        <f t="shared" si="176"/>
        <v>0</v>
      </c>
      <c r="R335" s="1312">
        <f>S334*((1+'Instrumentos Financeiros'!$H$43)^(1/12)-1)</f>
        <v>0</v>
      </c>
      <c r="S335" s="1312">
        <f t="shared" si="194"/>
        <v>0</v>
      </c>
      <c r="T335" s="1312">
        <f>IF(AND(C335&gt;$F$63,'Instrumentos Financeiros'!C335&lt;'Instrumentos Financeiros'!$F$63+'Instrumentos Financeiros'!$F$11+1),PMT(((1+'Instrumentos Financeiros'!$H$43)^(1/12)-1),$F$11,-$I$63),0)</f>
        <v>0</v>
      </c>
      <c r="U335" s="1312">
        <f t="shared" si="177"/>
        <v>0</v>
      </c>
      <c r="V335" s="1312">
        <f>W334*((1+'Instrumentos Financeiros'!$H$43)^(1/12)-1)</f>
        <v>0</v>
      </c>
      <c r="W335" s="1312">
        <f t="shared" si="195"/>
        <v>0</v>
      </c>
      <c r="X335" s="1312">
        <f>IF(AND(C335&gt;$F$64,'Instrumentos Financeiros'!C335&lt;'Instrumentos Financeiros'!$F$64+'Instrumentos Financeiros'!$F$11+1),PMT(((1+'Instrumentos Financeiros'!$H$43)^(1/12)-1),$F$11,-$I$64),0)</f>
        <v>0</v>
      </c>
      <c r="Y335" s="1312">
        <f t="shared" si="178"/>
        <v>0</v>
      </c>
      <c r="Z335" s="1312">
        <f>AA334*((1+'Instrumentos Financeiros'!$H$43)^(1/12)-1)</f>
        <v>0</v>
      </c>
      <c r="AA335" s="1312">
        <f t="shared" si="196"/>
        <v>0</v>
      </c>
      <c r="AB335" s="1312">
        <f>IF(AND(C335&gt;$F$65,'Instrumentos Financeiros'!C335&lt;'Instrumentos Financeiros'!$F$65+'Instrumentos Financeiros'!$F$11+1),PMT(((1+'Instrumentos Financeiros'!$H$43)^(1/12)-1),$F$11,-$I$65),0)</f>
        <v>76636.661022032335</v>
      </c>
      <c r="AC335" s="1312">
        <f t="shared" si="179"/>
        <v>69396.588951687852</v>
      </c>
      <c r="AD335" s="1312">
        <f>AE334*((1+'Instrumentos Financeiros'!$H$43)^(1/12)-1)</f>
        <v>7240.0720703444831</v>
      </c>
      <c r="AE335" s="1312">
        <f t="shared" si="197"/>
        <v>1604991.4746387196</v>
      </c>
      <c r="AF335" s="1312">
        <f>IF(AND(C335&gt;$F$66,'Instrumentos Financeiros'!C335&lt;'Instrumentos Financeiros'!$F$66+'Instrumentos Financeiros'!$F$11+1),PMT(((1+'Instrumentos Financeiros'!$I$43)^(1/12)-1),$F$11,-$I$66),0)</f>
        <v>76636.661022032335</v>
      </c>
      <c r="AG335" s="1312">
        <f t="shared" si="180"/>
        <v>68504.10348550613</v>
      </c>
      <c r="AH335" s="1312">
        <f>AI334*((1+'Instrumentos Financeiros'!$I$43)^(1/12)-1)</f>
        <v>8132.5575365262066</v>
      </c>
      <c r="AI335" s="1312">
        <f t="shared" si="198"/>
        <v>1812286.1888373422</v>
      </c>
      <c r="AJ335" s="1312">
        <f>IF(AND(C335&gt;$F$67,'Instrumentos Financeiros'!C335&lt;'Instrumentos Financeiros'!$F$67+'Instrumentos Financeiros'!$F$11+1),PMT(((1+'Instrumentos Financeiros'!$I$43)^(1/12)-1),$F$11,-$I$67),0)</f>
        <v>76636.661022032335</v>
      </c>
      <c r="AK335" s="1312">
        <f t="shared" si="181"/>
        <v>67623.095965422021</v>
      </c>
      <c r="AL335" s="1312">
        <f>AM334*((1+'Instrumentos Financeiros'!$I$43)^(1/12)-1)</f>
        <v>9013.5650566103177</v>
      </c>
      <c r="AM335" s="1312">
        <f t="shared" si="199"/>
        <v>2016914.9575992608</v>
      </c>
      <c r="AN335" s="1312">
        <f>IF(AND(C335&gt;$F$68,'Instrumentos Financeiros'!C335&lt;'Instrumentos Financeiros'!$F$68+'Instrumentos Financeiros'!$F$11+1),PMT(((1+'Instrumentos Financeiros'!$I$43)^(1/12)-1),$F$11,-$I$68),0)</f>
        <v>76636.661022032335</v>
      </c>
      <c r="AO335" s="1312">
        <f t="shared" si="182"/>
        <v>66753.418777550905</v>
      </c>
      <c r="AP335" s="1312">
        <f>AQ334*((1+'Instrumentos Financeiros'!$I$43)^(1/12)-1)</f>
        <v>9883.2422444814274</v>
      </c>
      <c r="AQ335" s="1312">
        <f t="shared" si="200"/>
        <v>2218912.0667242799</v>
      </c>
      <c r="AR335" s="1312">
        <f>IF(AND(C335&gt;$F$69,'Instrumentos Financeiros'!C335&lt;'Instrumentos Financeiros'!$F$69+'Instrumentos Financeiros'!$F$11+1),PMT(((1+'Instrumentos Financeiros'!$I$43)^(1/12)-1),$F$11,-$I$69),0)</f>
        <v>0</v>
      </c>
      <c r="AS335" s="1312">
        <f t="shared" si="183"/>
        <v>0</v>
      </c>
      <c r="AT335" s="1312">
        <f>AU334*((1+'Instrumentos Financeiros'!$I$43)^(1/12)-1)</f>
        <v>0</v>
      </c>
      <c r="AU335" s="1312">
        <f t="shared" si="201"/>
        <v>0</v>
      </c>
      <c r="AV335" s="1312">
        <f>IF(AND(C335&gt;$F$70,'Instrumentos Financeiros'!C335&lt;'Instrumentos Financeiros'!$F$70+'Instrumentos Financeiros'!$F$11+1),PMT(((1+'Instrumentos Financeiros'!$J$43)^(1/12)-1),$F$11,-$I$70),0)</f>
        <v>0</v>
      </c>
      <c r="AW335" s="1312">
        <f t="shared" si="184"/>
        <v>0</v>
      </c>
      <c r="AX335" s="1312">
        <f>AY334*((1+'Instrumentos Financeiros'!$J$43)^(1/12)-1)</f>
        <v>0</v>
      </c>
      <c r="AY335" s="1312">
        <f t="shared" si="202"/>
        <v>0</v>
      </c>
      <c r="AZ335" s="1312">
        <f>IF(AND(C335&gt;$F$71,'Instrumentos Financeiros'!C335&lt;'Instrumentos Financeiros'!$F$71+'Instrumentos Financeiros'!$F$11+1),PMT(((1+'Instrumentos Financeiros'!$J$43)^(1/12)-1),$F$11,-$I$71),0)</f>
        <v>0</v>
      </c>
      <c r="BA335" s="1312">
        <f t="shared" si="185"/>
        <v>0</v>
      </c>
      <c r="BB335" s="1312">
        <f>BC334*((1+'Instrumentos Financeiros'!$J$43)^(1/12)-1)</f>
        <v>0</v>
      </c>
      <c r="BC335" s="1312">
        <f t="shared" si="203"/>
        <v>0</v>
      </c>
      <c r="BD335" s="1312">
        <f>IF(AND(C335&gt;$F$72,'Instrumentos Financeiros'!C335&lt;'Instrumentos Financeiros'!$F$72+'Instrumentos Financeiros'!$F$11+1),PMT(((1+'Instrumentos Financeiros'!$J$43)^(1/12)-1),$F$11,-'Instrumentos Financeiros'!$G$7*$G$72),0)</f>
        <v>0</v>
      </c>
      <c r="BE335" s="1312">
        <f t="shared" si="186"/>
        <v>0</v>
      </c>
      <c r="BF335" s="1312">
        <f>BG334*((1+'Instrumentos Financeiros'!$J$43)^(1/12)-1)</f>
        <v>0</v>
      </c>
      <c r="BG335" s="1312">
        <f t="shared" si="204"/>
        <v>0</v>
      </c>
      <c r="BH335" s="1312">
        <f>IF(AND(C335&gt;$F$73,'Instrumentos Financeiros'!C335&lt;'Instrumentos Financeiros'!$F$73+'Instrumentos Financeiros'!$F$11+1),PMT(((1+'Instrumentos Financeiros'!$J$43)^(1/12)-1),$F$11,-$I$73),0)</f>
        <v>0</v>
      </c>
      <c r="BI335" s="1312">
        <f t="shared" si="187"/>
        <v>0</v>
      </c>
      <c r="BJ335" s="1312">
        <f>BK334*((1+'Instrumentos Financeiros'!$J$43)^(1/12)-1)</f>
        <v>0</v>
      </c>
      <c r="BK335" s="1312">
        <f t="shared" si="205"/>
        <v>0</v>
      </c>
      <c r="BL335" s="1312">
        <f>IF(AND(C335&gt;$F$77,'Instrumentos Financeiros'!C335&lt;'Instrumentos Financeiros'!$F$77+'Instrumentos Financeiros'!$F$12+1),PMT(((1+'Instrumentos Financeiros'!$K$43)^(1/12)-1),$F$12,-$I$77),0)</f>
        <v>368.57912678094596</v>
      </c>
      <c r="BM335" s="1312">
        <f t="shared" si="206"/>
        <v>316.91743920673184</v>
      </c>
      <c r="BN335" s="1312">
        <f>BO334*((1+'Instrumentos Financeiros'!$K$43)^(1/12)-1)</f>
        <v>51.661687574214113</v>
      </c>
      <c r="BO335" s="1312">
        <f t="shared" si="207"/>
        <v>11630.714045501019</v>
      </c>
      <c r="BP335" s="1312">
        <f>IF(AND(C335&gt;$F$78,'Instrumentos Financeiros'!C335&lt;'Instrumentos Financeiros'!$F$78+'Instrumentos Financeiros'!$F$12+1),PMT(((1+'Instrumentos Financeiros'!$L$43)^(1/12)-1),$F$12,-$I$78),0)</f>
        <v>368.57912678094596</v>
      </c>
      <c r="BQ335" s="1312">
        <f t="shared" si="208"/>
        <v>312.84167391705103</v>
      </c>
      <c r="BR335" s="1312">
        <f>BS334*((1+'Instrumentos Financeiros'!$L$43)^(1/12)-1)</f>
        <v>55.737452863894958</v>
      </c>
      <c r="BS335" s="1312">
        <f t="shared" si="209"/>
        <v>12577.378874094458</v>
      </c>
      <c r="BT335" s="1312">
        <f>IF(AND(C335&gt;$F$79,'Instrumentos Financeiros'!C335&lt;'Instrumentos Financeiros'!$F$79+'Instrumentos Financeiros'!$F$12+1),PMT(((1+'Instrumentos Financeiros'!$L$43)^(1/12)-1),$F$12,-$I$79),0)</f>
        <v>368.57912678094596</v>
      </c>
      <c r="BU335" s="1312">
        <f t="shared" si="210"/>
        <v>308.81832563142694</v>
      </c>
      <c r="BV335" s="1312">
        <f>BW334*((1+'Instrumentos Financeiros'!$L$43)^(1/12)-1)</f>
        <v>59.760801149519011</v>
      </c>
      <c r="BW335" s="1312">
        <f t="shared" si="211"/>
        <v>13511.868974597828</v>
      </c>
      <c r="BX335" s="1312">
        <f>IF(AND(C335&gt;$F$80,'Instrumentos Financeiros'!C335&lt;'Instrumentos Financeiros'!$F$80+'Instrumentos Financeiros'!$F$12+1),PMT(((1+'Instrumentos Financeiros'!$L$43)^(1/12)-1),$F$12,-$I$80),0)</f>
        <v>368.57912678094596</v>
      </c>
      <c r="BY335" s="1312">
        <f t="shared" si="212"/>
        <v>304.84672023294689</v>
      </c>
      <c r="BZ335" s="1312">
        <f>CA334*((1+'Instrumentos Financeiros'!$L$43)^(1/12)-1)</f>
        <v>63.732406547999048</v>
      </c>
      <c r="CA335" s="1312">
        <f t="shared" si="213"/>
        <v>14434.340921967323</v>
      </c>
      <c r="CB335" s="1312">
        <f>IF(AND(C335&gt;$F$83,'Instrumentos Financeiros'!C335&lt;'Instrumentos Financeiros'!$F$83+'Instrumentos Financeiros'!$F$13+1),PMT(((1+'Instrumentos Financeiros'!$P$43)^(1/12)-1),$F$13,-$I$83),0)</f>
        <v>30503.390100238979</v>
      </c>
      <c r="CC335" s="1312">
        <f t="shared" si="214"/>
        <v>19224.126748929055</v>
      </c>
      <c r="CD335" s="1312">
        <f>CE334*((1+'Instrumentos Financeiros'!$P$43)^(1/12)-1)</f>
        <v>11279.263351309923</v>
      </c>
      <c r="CE335" s="1312">
        <f t="shared" si="215"/>
        <v>2589294.6473780638</v>
      </c>
      <c r="CF335" s="1312">
        <f>IF(AND(C335&gt;$F$84,'Instrumentos Financeiros'!C335&lt;'Instrumentos Financeiros'!$F$84+'Instrumentos Financeiros'!$F$13+1),PMT(((1+'Instrumentos Financeiros'!$Q$43)^(1/12)-1),$F$13,-$I$84),0)</f>
        <v>30503.390100238979</v>
      </c>
      <c r="CG335" s="1312">
        <f t="shared" si="216"/>
        <v>18976.891921070313</v>
      </c>
      <c r="CH335" s="1312">
        <f>CI334*((1+'Instrumentos Financeiros'!$Q$43)^(1/12)-1)</f>
        <v>11526.498179168666</v>
      </c>
      <c r="CI335" s="1312">
        <f t="shared" si="217"/>
        <v>2646719.08163825</v>
      </c>
      <c r="CJ335" s="1312">
        <f>IF(AND(C335&gt;$F$85,'Instrumentos Financeiros'!C335&lt;'Instrumentos Financeiros'!$F$85+'Instrumentos Financeiros'!$F$13+1),PMT(((1+'Instrumentos Financeiros'!$Q$43)^(1/12)-1),$F$13,-$I$85),0)</f>
        <v>30503.390100238979</v>
      </c>
      <c r="CK335" s="1312">
        <f t="shared" si="218"/>
        <v>18732.836694600213</v>
      </c>
      <c r="CL335" s="1312">
        <f>CM334*((1+'Instrumentos Financeiros'!$Q$43)^(1/12)-1)</f>
        <v>11770.553405638766</v>
      </c>
      <c r="CM335" s="1312">
        <f t="shared" si="219"/>
        <v>2703405.0001622145</v>
      </c>
      <c r="CN335" s="1312">
        <f>IF(AND(C335&gt;$F$86,'Instrumentos Financeiros'!C335&lt;'Instrumentos Financeiros'!$F$86+'Instrumentos Financeiros'!$F$13+1),PMT(((1+'Instrumentos Financeiros'!$Q$43)^(1/12)-1),$F$13,-$I$86),0)</f>
        <v>30503.390100238979</v>
      </c>
      <c r="CO335" s="1312">
        <f t="shared" si="220"/>
        <v>18491.920177767872</v>
      </c>
      <c r="CP335" s="1312">
        <f>CQ334*((1+'Instrumentos Financeiros'!$Q$43)^(1/12)-1)</f>
        <v>12011.469922471108</v>
      </c>
      <c r="CQ335" s="1312">
        <f t="shared" si="221"/>
        <v>2759361.9007447488</v>
      </c>
      <c r="CR335" s="1312">
        <f t="shared" si="190"/>
        <v>521803.11063210916</v>
      </c>
      <c r="CS335" s="1312">
        <f t="shared" si="190"/>
        <v>438864.80892540672</v>
      </c>
      <c r="CT335" s="1312">
        <f t="shared" si="190"/>
        <v>82938.301706702492</v>
      </c>
      <c r="CU335" s="1312">
        <f t="shared" si="190"/>
        <v>18767398.530555975</v>
      </c>
    </row>
    <row r="336" spans="3:99" x14ac:dyDescent="0.35">
      <c r="C336" s="1315">
        <f t="shared" si="191"/>
        <v>243</v>
      </c>
      <c r="D336" s="1312">
        <f>IF(AND(C336&gt;$F$59,'Instrumentos Financeiros'!C336&lt;'Instrumentos Financeiros'!$F$59+'Instrumentos Financeiros'!$F$11+1),PMT(((1+'Instrumentos Financeiros'!$G$43)^(1/12)-1),$F$11,-$I$59),0)</f>
        <v>91768.589635900134</v>
      </c>
      <c r="E336" s="1312">
        <f t="shared" si="188"/>
        <v>90285.431028853913</v>
      </c>
      <c r="F336" s="1312">
        <f>G335*((1+'Instrumentos Financeiros'!$G$43)^(1/12)-1)</f>
        <v>1483.1586070462222</v>
      </c>
      <c r="G336" s="1312">
        <f t="shared" si="222"/>
        <v>273073.47898807953</v>
      </c>
      <c r="H336" s="1312">
        <f>IF(AND(C336&gt;$F$60,'Instrumentos Financeiros'!C336&lt;'Instrumentos Financeiros'!$F$60+'Instrumentos Financeiros'!$F$11+1),PMT(((1+'Instrumentos Financeiros'!$G$43)^(1/12)-1),$F$11,-$I$60),0)</f>
        <v>0</v>
      </c>
      <c r="I336" s="1312">
        <f t="shared" si="174"/>
        <v>0</v>
      </c>
      <c r="J336" s="1312">
        <f>K335*((1+'Instrumentos Financeiros'!$G$43)^(1/12)-1)</f>
        <v>0</v>
      </c>
      <c r="K336" s="1312">
        <f t="shared" si="192"/>
        <v>0</v>
      </c>
      <c r="L336" s="1312">
        <f>IF(AND(C336&gt;$F$61,'Instrumentos Financeiros'!C336&lt;'Instrumentos Financeiros'!$F$61+'Instrumentos Financeiros'!$F$11+1),PMT(((1+'Instrumentos Financeiros'!$G$43)^(1/12)-1),$F$11,-$I$61),0)</f>
        <v>0</v>
      </c>
      <c r="M336" s="1312">
        <f t="shared" si="175"/>
        <v>0</v>
      </c>
      <c r="N336" s="1312">
        <f>O335*((1+'Instrumentos Financeiros'!$G$43)^(1/12)-1)</f>
        <v>0</v>
      </c>
      <c r="O336" s="1312">
        <f t="shared" si="193"/>
        <v>0</v>
      </c>
      <c r="P336" s="1312">
        <f>IF(AND(C336&gt;$F$62,'Instrumentos Financeiros'!C336&lt;'Instrumentos Financeiros'!$F$62+'Instrumentos Financeiros'!$F$11+1),PMT(((1+'Instrumentos Financeiros'!$H$43)^(1/12)-1),$F$11,-$I$62),0)</f>
        <v>0</v>
      </c>
      <c r="Q336" s="1312">
        <f t="shared" si="176"/>
        <v>0</v>
      </c>
      <c r="R336" s="1312">
        <f>S335*((1+'Instrumentos Financeiros'!$H$43)^(1/12)-1)</f>
        <v>0</v>
      </c>
      <c r="S336" s="1312">
        <f t="shared" si="194"/>
        <v>0</v>
      </c>
      <c r="T336" s="1312">
        <f>IF(AND(C336&gt;$F$63,'Instrumentos Financeiros'!C336&lt;'Instrumentos Financeiros'!$F$63+'Instrumentos Financeiros'!$F$11+1),PMT(((1+'Instrumentos Financeiros'!$H$43)^(1/12)-1),$F$11,-$I$63),0)</f>
        <v>0</v>
      </c>
      <c r="U336" s="1312">
        <f t="shared" si="177"/>
        <v>0</v>
      </c>
      <c r="V336" s="1312">
        <f>W335*((1+'Instrumentos Financeiros'!$H$43)^(1/12)-1)</f>
        <v>0</v>
      </c>
      <c r="W336" s="1312">
        <f t="shared" si="195"/>
        <v>0</v>
      </c>
      <c r="X336" s="1312">
        <f>IF(AND(C336&gt;$F$64,'Instrumentos Financeiros'!C336&lt;'Instrumentos Financeiros'!$F$64+'Instrumentos Financeiros'!$F$11+1),PMT(((1+'Instrumentos Financeiros'!$H$43)^(1/12)-1),$F$11,-$I$64),0)</f>
        <v>0</v>
      </c>
      <c r="Y336" s="1312">
        <f t="shared" si="178"/>
        <v>0</v>
      </c>
      <c r="Z336" s="1312">
        <f>AA335*((1+'Instrumentos Financeiros'!$H$43)^(1/12)-1)</f>
        <v>0</v>
      </c>
      <c r="AA336" s="1312">
        <f t="shared" si="196"/>
        <v>0</v>
      </c>
      <c r="AB336" s="1312">
        <f>IF(AND(C336&gt;$F$65,'Instrumentos Financeiros'!C336&lt;'Instrumentos Financeiros'!$F$65+'Instrumentos Financeiros'!$F$11+1),PMT(((1+'Instrumentos Financeiros'!$H$43)^(1/12)-1),$F$11,-$I$65),0)</f>
        <v>76636.661022032335</v>
      </c>
      <c r="AC336" s="1312">
        <f t="shared" si="179"/>
        <v>69696.660551797628</v>
      </c>
      <c r="AD336" s="1312">
        <f>AE335*((1+'Instrumentos Financeiros'!$H$43)^(1/12)-1)</f>
        <v>6940.0004702347014</v>
      </c>
      <c r="AE336" s="1312">
        <f t="shared" si="197"/>
        <v>1535294.814086922</v>
      </c>
      <c r="AF336" s="1312">
        <f>IF(AND(C336&gt;$F$66,'Instrumentos Financeiros'!C336&lt;'Instrumentos Financeiros'!$F$66+'Instrumentos Financeiros'!$F$11+1),PMT(((1+'Instrumentos Financeiros'!$I$43)^(1/12)-1),$F$11,-$I$66),0)</f>
        <v>76636.661022032335</v>
      </c>
      <c r="AG336" s="1312">
        <f t="shared" si="180"/>
        <v>68800.315968821305</v>
      </c>
      <c r="AH336" s="1312">
        <f>AI335*((1+'Instrumentos Financeiros'!$I$43)^(1/12)-1)</f>
        <v>7836.3450532110319</v>
      </c>
      <c r="AI336" s="1312">
        <f t="shared" si="198"/>
        <v>1743485.8728685209</v>
      </c>
      <c r="AJ336" s="1312">
        <f>IF(AND(C336&gt;$F$67,'Instrumentos Financeiros'!C336&lt;'Instrumentos Financeiros'!$F$67+'Instrumentos Financeiros'!$F$11+1),PMT(((1+'Instrumentos Financeiros'!$I$43)^(1/12)-1),$F$11,-$I$67),0)</f>
        <v>76636.661022032335</v>
      </c>
      <c r="AK336" s="1312">
        <f t="shared" si="181"/>
        <v>67915.498962705475</v>
      </c>
      <c r="AL336" s="1312">
        <f>AM335*((1+'Instrumentos Financeiros'!$I$43)^(1/12)-1)</f>
        <v>8721.1620593268635</v>
      </c>
      <c r="AM336" s="1312">
        <f t="shared" si="199"/>
        <v>1948999.4586365554</v>
      </c>
      <c r="AN336" s="1312">
        <f>IF(AND(C336&gt;$F$68,'Instrumentos Financeiros'!C336&lt;'Instrumentos Financeiros'!$F$68+'Instrumentos Financeiros'!$F$11+1),PMT(((1+'Instrumentos Financeiros'!$I$43)^(1/12)-1),$F$11,-$I$68),0)</f>
        <v>76636.661022032335</v>
      </c>
      <c r="AO336" s="1312">
        <f t="shared" si="182"/>
        <v>67042.061281281494</v>
      </c>
      <c r="AP336" s="1312">
        <f>AQ335*((1+'Instrumentos Financeiros'!$I$43)^(1/12)-1)</f>
        <v>9594.599740750833</v>
      </c>
      <c r="AQ336" s="1312">
        <f t="shared" si="200"/>
        <v>2151870.0054429984</v>
      </c>
      <c r="AR336" s="1312">
        <f>IF(AND(C336&gt;$F$69,'Instrumentos Financeiros'!C336&lt;'Instrumentos Financeiros'!$F$69+'Instrumentos Financeiros'!$F$11+1),PMT(((1+'Instrumentos Financeiros'!$I$43)^(1/12)-1),$F$11,-$I$69),0)</f>
        <v>0</v>
      </c>
      <c r="AS336" s="1312">
        <f t="shared" si="183"/>
        <v>0</v>
      </c>
      <c r="AT336" s="1312">
        <f>AU335*((1+'Instrumentos Financeiros'!$I$43)^(1/12)-1)</f>
        <v>0</v>
      </c>
      <c r="AU336" s="1312">
        <f t="shared" si="201"/>
        <v>0</v>
      </c>
      <c r="AV336" s="1312">
        <f>IF(AND(C336&gt;$F$70,'Instrumentos Financeiros'!C336&lt;'Instrumentos Financeiros'!$F$70+'Instrumentos Financeiros'!$F$11+1),PMT(((1+'Instrumentos Financeiros'!$J$43)^(1/12)-1),$F$11,-$I$70),0)</f>
        <v>0</v>
      </c>
      <c r="AW336" s="1312">
        <f t="shared" si="184"/>
        <v>0</v>
      </c>
      <c r="AX336" s="1312">
        <f>AY335*((1+'Instrumentos Financeiros'!$J$43)^(1/12)-1)</f>
        <v>0</v>
      </c>
      <c r="AY336" s="1312">
        <f t="shared" si="202"/>
        <v>0</v>
      </c>
      <c r="AZ336" s="1312">
        <f>IF(AND(C336&gt;$F$71,'Instrumentos Financeiros'!C336&lt;'Instrumentos Financeiros'!$F$71+'Instrumentos Financeiros'!$F$11+1),PMT(((1+'Instrumentos Financeiros'!$J$43)^(1/12)-1),$F$11,-$I$71),0)</f>
        <v>0</v>
      </c>
      <c r="BA336" s="1312">
        <f t="shared" si="185"/>
        <v>0</v>
      </c>
      <c r="BB336" s="1312">
        <f>BC335*((1+'Instrumentos Financeiros'!$J$43)^(1/12)-1)</f>
        <v>0</v>
      </c>
      <c r="BC336" s="1312">
        <f t="shared" si="203"/>
        <v>0</v>
      </c>
      <c r="BD336" s="1312">
        <f>IF(AND(C336&gt;$F$72,'Instrumentos Financeiros'!C336&lt;'Instrumentos Financeiros'!$F$72+'Instrumentos Financeiros'!$F$11+1),PMT(((1+'Instrumentos Financeiros'!$J$43)^(1/12)-1),$F$11,-'Instrumentos Financeiros'!$G$7*$G$72),0)</f>
        <v>0</v>
      </c>
      <c r="BE336" s="1312">
        <f t="shared" si="186"/>
        <v>0</v>
      </c>
      <c r="BF336" s="1312">
        <f>BG335*((1+'Instrumentos Financeiros'!$J$43)^(1/12)-1)</f>
        <v>0</v>
      </c>
      <c r="BG336" s="1312">
        <f t="shared" si="204"/>
        <v>0</v>
      </c>
      <c r="BH336" s="1312">
        <f>IF(AND(C336&gt;$F$73,'Instrumentos Financeiros'!C336&lt;'Instrumentos Financeiros'!$F$73+'Instrumentos Financeiros'!$F$11+1),PMT(((1+'Instrumentos Financeiros'!$J$43)^(1/12)-1),$F$11,-$I$73),0)</f>
        <v>0</v>
      </c>
      <c r="BI336" s="1312">
        <f t="shared" si="187"/>
        <v>0</v>
      </c>
      <c r="BJ336" s="1312">
        <f>BK335*((1+'Instrumentos Financeiros'!$J$43)^(1/12)-1)</f>
        <v>0</v>
      </c>
      <c r="BK336" s="1312">
        <f t="shared" si="205"/>
        <v>0</v>
      </c>
      <c r="BL336" s="1312">
        <f>IF(AND(C336&gt;$F$77,'Instrumentos Financeiros'!C336&lt;'Instrumentos Financeiros'!$F$77+'Instrumentos Financeiros'!$F$12+1),PMT(((1+'Instrumentos Financeiros'!$K$43)^(1/12)-1),$F$12,-$I$77),0)</f>
        <v>368.57912678094596</v>
      </c>
      <c r="BM336" s="1312">
        <f t="shared" si="206"/>
        <v>318.28779363656793</v>
      </c>
      <c r="BN336" s="1312">
        <f>BO335*((1+'Instrumentos Financeiros'!$K$43)^(1/12)-1)</f>
        <v>50.291333144378036</v>
      </c>
      <c r="BO336" s="1312">
        <f t="shared" si="207"/>
        <v>11312.426251864452</v>
      </c>
      <c r="BP336" s="1312">
        <f>IF(AND(C336&gt;$F$78,'Instrumentos Financeiros'!C336&lt;'Instrumentos Financeiros'!$F$78+'Instrumentos Financeiros'!$F$12+1),PMT(((1+'Instrumentos Financeiros'!$L$43)^(1/12)-1),$F$12,-$I$78),0)</f>
        <v>368.57912678094596</v>
      </c>
      <c r="BQ336" s="1312">
        <f t="shared" si="208"/>
        <v>314.19440469375627</v>
      </c>
      <c r="BR336" s="1312">
        <f>BS335*((1+'Instrumentos Financeiros'!$L$43)^(1/12)-1)</f>
        <v>54.384722087189701</v>
      </c>
      <c r="BS336" s="1312">
        <f t="shared" si="209"/>
        <v>12263.184469400701</v>
      </c>
      <c r="BT336" s="1312">
        <f>IF(AND(C336&gt;$F$79,'Instrumentos Financeiros'!C336&lt;'Instrumentos Financeiros'!$F$79+'Instrumentos Financeiros'!$F$12+1),PMT(((1+'Instrumentos Financeiros'!$L$43)^(1/12)-1),$F$12,-$I$79),0)</f>
        <v>368.57912678094596</v>
      </c>
      <c r="BU336" s="1312">
        <f t="shared" si="210"/>
        <v>310.15365940669301</v>
      </c>
      <c r="BV336" s="1312">
        <f>BW335*((1+'Instrumentos Financeiros'!$L$43)^(1/12)-1)</f>
        <v>58.425467374252925</v>
      </c>
      <c r="BW336" s="1312">
        <f t="shared" si="211"/>
        <v>13201.715315191135</v>
      </c>
      <c r="BX336" s="1312">
        <f>IF(AND(C336&gt;$F$80,'Instrumentos Financeiros'!C336&lt;'Instrumentos Financeiros'!$F$80+'Instrumentos Financeiros'!$F$12+1),PMT(((1+'Instrumentos Financeiros'!$L$43)^(1/12)-1),$F$12,-$I$80),0)</f>
        <v>368.57912678094596</v>
      </c>
      <c r="BY336" s="1312">
        <f t="shared" si="212"/>
        <v>306.16488074357665</v>
      </c>
      <c r="BZ336" s="1312">
        <f>CA335*((1+'Instrumentos Financeiros'!$L$43)^(1/12)-1)</f>
        <v>62.414246037369303</v>
      </c>
      <c r="CA336" s="1312">
        <f t="shared" si="213"/>
        <v>14128.176041223747</v>
      </c>
      <c r="CB336" s="1312">
        <f>IF(AND(C336&gt;$F$83,'Instrumentos Financeiros'!C336&lt;'Instrumentos Financeiros'!$F$83+'Instrumentos Financeiros'!$F$13+1),PMT(((1+'Instrumentos Financeiros'!$P$43)^(1/12)-1),$F$13,-$I$83),0)</f>
        <v>30503.390100238979</v>
      </c>
      <c r="CC336" s="1312">
        <f t="shared" si="214"/>
        <v>19307.252080611863</v>
      </c>
      <c r="CD336" s="1312">
        <f>CE335*((1+'Instrumentos Financeiros'!$P$43)^(1/12)-1)</f>
        <v>11196.138019627117</v>
      </c>
      <c r="CE336" s="1312">
        <f t="shared" si="215"/>
        <v>2569987.3952974519</v>
      </c>
      <c r="CF336" s="1312">
        <f>IF(AND(C336&gt;$F$84,'Instrumentos Financeiros'!C336&lt;'Instrumentos Financeiros'!$F$84+'Instrumentos Financeiros'!$F$13+1),PMT(((1+'Instrumentos Financeiros'!$Q$43)^(1/12)-1),$F$13,-$I$84),0)</f>
        <v>30503.390100238979</v>
      </c>
      <c r="CG336" s="1312">
        <f t="shared" si="216"/>
        <v>19058.948206687324</v>
      </c>
      <c r="CH336" s="1312">
        <f>CI335*((1+'Instrumentos Financeiros'!$Q$43)^(1/12)-1)</f>
        <v>11444.441893551657</v>
      </c>
      <c r="CI336" s="1312">
        <f t="shared" si="217"/>
        <v>2627660.1334315627</v>
      </c>
      <c r="CJ336" s="1312">
        <f>IF(AND(C336&gt;$F$85,'Instrumentos Financeiros'!C336&lt;'Instrumentos Financeiros'!$F$85+'Instrumentos Financeiros'!$F$13+1),PMT(((1+'Instrumentos Financeiros'!$Q$43)^(1/12)-1),$F$13,-$I$85),0)</f>
        <v>30503.390100238979</v>
      </c>
      <c r="CK336" s="1312">
        <f t="shared" si="218"/>
        <v>18813.83768278217</v>
      </c>
      <c r="CL336" s="1312">
        <f>CM335*((1+'Instrumentos Financeiros'!$Q$43)^(1/12)-1)</f>
        <v>11689.552417456809</v>
      </c>
      <c r="CM336" s="1312">
        <f t="shared" si="219"/>
        <v>2684591.1624794323</v>
      </c>
      <c r="CN336" s="1312">
        <f>IF(AND(C336&gt;$F$86,'Instrumentos Financeiros'!C336&lt;'Instrumentos Financeiros'!$F$86+'Instrumentos Financeiros'!$F$13+1),PMT(((1+'Instrumentos Financeiros'!$Q$43)^(1/12)-1),$F$13,-$I$86),0)</f>
        <v>30503.390100238979</v>
      </c>
      <c r="CO336" s="1312">
        <f t="shared" si="220"/>
        <v>18571.879440329154</v>
      </c>
      <c r="CP336" s="1312">
        <f>CQ335*((1+'Instrumentos Financeiros'!$Q$43)^(1/12)-1)</f>
        <v>11931.510659909827</v>
      </c>
      <c r="CQ336" s="1312">
        <f t="shared" si="221"/>
        <v>2740790.0213044197</v>
      </c>
      <c r="CR336" s="1312">
        <f t="shared" si="190"/>
        <v>521803.11063210916</v>
      </c>
      <c r="CS336" s="1312">
        <f t="shared" si="190"/>
        <v>440740.68594235089</v>
      </c>
      <c r="CT336" s="1312">
        <f t="shared" si="190"/>
        <v>81062.424689758249</v>
      </c>
      <c r="CU336" s="1312">
        <f t="shared" si="190"/>
        <v>18326657.844613623</v>
      </c>
    </row>
    <row r="337" spans="3:99" x14ac:dyDescent="0.35">
      <c r="C337" s="1315">
        <f t="shared" si="191"/>
        <v>244</v>
      </c>
      <c r="D337" s="1312">
        <f>IF(AND(C337&gt;$F$59,'Instrumentos Financeiros'!C337&lt;'Instrumentos Financeiros'!$F$59+'Instrumentos Financeiros'!$F$11+1),PMT(((1+'Instrumentos Financeiros'!$G$43)^(1/12)-1),$F$11,-$I$59),0)</f>
        <v>91768.589635900134</v>
      </c>
      <c r="E337" s="1312">
        <f t="shared" si="188"/>
        <v>90653.958152944746</v>
      </c>
      <c r="F337" s="1312">
        <f>G336*((1+'Instrumentos Financeiros'!$G$43)^(1/12)-1)</f>
        <v>1114.6314829553824</v>
      </c>
      <c r="G337" s="1312">
        <f t="shared" si="222"/>
        <v>182419.52083513478</v>
      </c>
      <c r="H337" s="1312">
        <f>IF(AND(C337&gt;$F$60,'Instrumentos Financeiros'!C337&lt;'Instrumentos Financeiros'!$F$60+'Instrumentos Financeiros'!$F$11+1),PMT(((1+'Instrumentos Financeiros'!$G$43)^(1/12)-1),$F$11,-$I$60),0)</f>
        <v>0</v>
      </c>
      <c r="I337" s="1312">
        <f t="shared" si="174"/>
        <v>0</v>
      </c>
      <c r="J337" s="1312">
        <f>K336*((1+'Instrumentos Financeiros'!$G$43)^(1/12)-1)</f>
        <v>0</v>
      </c>
      <c r="K337" s="1312">
        <f t="shared" si="192"/>
        <v>0</v>
      </c>
      <c r="L337" s="1312">
        <f>IF(AND(C337&gt;$F$61,'Instrumentos Financeiros'!C337&lt;'Instrumentos Financeiros'!$F$61+'Instrumentos Financeiros'!$F$11+1),PMT(((1+'Instrumentos Financeiros'!$G$43)^(1/12)-1),$F$11,-$I$61),0)</f>
        <v>0</v>
      </c>
      <c r="M337" s="1312">
        <f t="shared" si="175"/>
        <v>0</v>
      </c>
      <c r="N337" s="1312">
        <f>O336*((1+'Instrumentos Financeiros'!$G$43)^(1/12)-1)</f>
        <v>0</v>
      </c>
      <c r="O337" s="1312">
        <f t="shared" si="193"/>
        <v>0</v>
      </c>
      <c r="P337" s="1312">
        <f>IF(AND(C337&gt;$F$62,'Instrumentos Financeiros'!C337&lt;'Instrumentos Financeiros'!$F$62+'Instrumentos Financeiros'!$F$11+1),PMT(((1+'Instrumentos Financeiros'!$H$43)^(1/12)-1),$F$11,-$I$62),0)</f>
        <v>0</v>
      </c>
      <c r="Q337" s="1312">
        <f t="shared" si="176"/>
        <v>0</v>
      </c>
      <c r="R337" s="1312">
        <f>S336*((1+'Instrumentos Financeiros'!$H$43)^(1/12)-1)</f>
        <v>0</v>
      </c>
      <c r="S337" s="1312">
        <f t="shared" si="194"/>
        <v>0</v>
      </c>
      <c r="T337" s="1312">
        <f>IF(AND(C337&gt;$F$63,'Instrumentos Financeiros'!C337&lt;'Instrumentos Financeiros'!$F$63+'Instrumentos Financeiros'!$F$11+1),PMT(((1+'Instrumentos Financeiros'!$H$43)^(1/12)-1),$F$11,-$I$63),0)</f>
        <v>0</v>
      </c>
      <c r="U337" s="1312">
        <f t="shared" si="177"/>
        <v>0</v>
      </c>
      <c r="V337" s="1312">
        <f>W336*((1+'Instrumentos Financeiros'!$H$43)^(1/12)-1)</f>
        <v>0</v>
      </c>
      <c r="W337" s="1312">
        <f t="shared" si="195"/>
        <v>0</v>
      </c>
      <c r="X337" s="1312">
        <f>IF(AND(C337&gt;$F$64,'Instrumentos Financeiros'!C337&lt;'Instrumentos Financeiros'!$F$64+'Instrumentos Financeiros'!$F$11+1),PMT(((1+'Instrumentos Financeiros'!$H$43)^(1/12)-1),$F$11,-$I$64),0)</f>
        <v>0</v>
      </c>
      <c r="Y337" s="1312">
        <f t="shared" si="178"/>
        <v>0</v>
      </c>
      <c r="Z337" s="1312">
        <f>AA336*((1+'Instrumentos Financeiros'!$H$43)^(1/12)-1)</f>
        <v>0</v>
      </c>
      <c r="AA337" s="1312">
        <f t="shared" si="196"/>
        <v>0</v>
      </c>
      <c r="AB337" s="1312">
        <f>IF(AND(C337&gt;$F$65,'Instrumentos Financeiros'!C337&lt;'Instrumentos Financeiros'!$F$65+'Instrumentos Financeiros'!$F$11+1),PMT(((1+'Instrumentos Financeiros'!$H$43)^(1/12)-1),$F$11,-$I$65),0)</f>
        <v>76636.661022032335</v>
      </c>
      <c r="AC337" s="1312">
        <f t="shared" si="179"/>
        <v>69998.029664747053</v>
      </c>
      <c r="AD337" s="1312">
        <f>AE336*((1+'Instrumentos Financeiros'!$H$43)^(1/12)-1)</f>
        <v>6638.631357285275</v>
      </c>
      <c r="AE337" s="1312">
        <f t="shared" si="197"/>
        <v>1465296.784422175</v>
      </c>
      <c r="AF337" s="1312">
        <f>IF(AND(C337&gt;$F$66,'Instrumentos Financeiros'!C337&lt;'Instrumentos Financeiros'!$F$66+'Instrumentos Financeiros'!$F$11+1),PMT(((1+'Instrumentos Financeiros'!$I$43)^(1/12)-1),$F$11,-$I$66),0)</f>
        <v>76636.661022032335</v>
      </c>
      <c r="AG337" s="1312">
        <f t="shared" si="180"/>
        <v>69097.809278113418</v>
      </c>
      <c r="AH337" s="1312">
        <f>AI336*((1+'Instrumentos Financeiros'!$I$43)^(1/12)-1)</f>
        <v>7538.85174391891</v>
      </c>
      <c r="AI337" s="1312">
        <f t="shared" si="198"/>
        <v>1674388.0635904074</v>
      </c>
      <c r="AJ337" s="1312">
        <f>IF(AND(C337&gt;$F$67,'Instrumentos Financeiros'!C337&lt;'Instrumentos Financeiros'!$F$67+'Instrumentos Financeiros'!$F$11+1),PMT(((1+'Instrumentos Financeiros'!$I$43)^(1/12)-1),$F$11,-$I$67),0)</f>
        <v>76636.661022032335</v>
      </c>
      <c r="AK337" s="1312">
        <f t="shared" si="181"/>
        <v>68209.16631370713</v>
      </c>
      <c r="AL337" s="1312">
        <f>AM336*((1+'Instrumentos Financeiros'!$I$43)^(1/12)-1)</f>
        <v>8427.4947083252027</v>
      </c>
      <c r="AM337" s="1312">
        <f t="shared" si="199"/>
        <v>1880790.2923228482</v>
      </c>
      <c r="AN337" s="1312">
        <f>IF(AND(C337&gt;$F$68,'Instrumentos Financeiros'!C337&lt;'Instrumentos Financeiros'!$F$68+'Instrumentos Financeiros'!$F$11+1),PMT(((1+'Instrumentos Financeiros'!$I$43)^(1/12)-1),$F$11,-$I$68),0)</f>
        <v>76636.661022032335</v>
      </c>
      <c r="AO337" s="1312">
        <f t="shared" si="182"/>
        <v>67331.951878315565</v>
      </c>
      <c r="AP337" s="1312">
        <f>AQ336*((1+'Instrumentos Financeiros'!$I$43)^(1/12)-1)</f>
        <v>9304.709143716771</v>
      </c>
      <c r="AQ337" s="1312">
        <f t="shared" si="200"/>
        <v>2084538.0535646828</v>
      </c>
      <c r="AR337" s="1312">
        <f>IF(AND(C337&gt;$F$69,'Instrumentos Financeiros'!C337&lt;'Instrumentos Financeiros'!$F$69+'Instrumentos Financeiros'!$F$11+1),PMT(((1+'Instrumentos Financeiros'!$I$43)^(1/12)-1),$F$11,-$I$69),0)</f>
        <v>0</v>
      </c>
      <c r="AS337" s="1312">
        <f t="shared" si="183"/>
        <v>0</v>
      </c>
      <c r="AT337" s="1312">
        <f>AU336*((1+'Instrumentos Financeiros'!$I$43)^(1/12)-1)</f>
        <v>0</v>
      </c>
      <c r="AU337" s="1312">
        <f t="shared" si="201"/>
        <v>0</v>
      </c>
      <c r="AV337" s="1312">
        <f>IF(AND(C337&gt;$F$70,'Instrumentos Financeiros'!C337&lt;'Instrumentos Financeiros'!$F$70+'Instrumentos Financeiros'!$F$11+1),PMT(((1+'Instrumentos Financeiros'!$J$43)^(1/12)-1),$F$11,-$I$70),0)</f>
        <v>0</v>
      </c>
      <c r="AW337" s="1312">
        <f t="shared" si="184"/>
        <v>0</v>
      </c>
      <c r="AX337" s="1312">
        <f>AY336*((1+'Instrumentos Financeiros'!$J$43)^(1/12)-1)</f>
        <v>0</v>
      </c>
      <c r="AY337" s="1312">
        <f t="shared" si="202"/>
        <v>0</v>
      </c>
      <c r="AZ337" s="1312">
        <f>IF(AND(C337&gt;$F$71,'Instrumentos Financeiros'!C337&lt;'Instrumentos Financeiros'!$F$71+'Instrumentos Financeiros'!$F$11+1),PMT(((1+'Instrumentos Financeiros'!$J$43)^(1/12)-1),$F$11,-$I$71),0)</f>
        <v>0</v>
      </c>
      <c r="BA337" s="1312">
        <f t="shared" si="185"/>
        <v>0</v>
      </c>
      <c r="BB337" s="1312">
        <f>BC336*((1+'Instrumentos Financeiros'!$J$43)^(1/12)-1)</f>
        <v>0</v>
      </c>
      <c r="BC337" s="1312">
        <f t="shared" si="203"/>
        <v>0</v>
      </c>
      <c r="BD337" s="1312">
        <f>IF(AND(C337&gt;$F$72,'Instrumentos Financeiros'!C337&lt;'Instrumentos Financeiros'!$F$72+'Instrumentos Financeiros'!$F$11+1),PMT(((1+'Instrumentos Financeiros'!$J$43)^(1/12)-1),$F$11,-'Instrumentos Financeiros'!$G$7*$G$72),0)</f>
        <v>0</v>
      </c>
      <c r="BE337" s="1312">
        <f t="shared" si="186"/>
        <v>0</v>
      </c>
      <c r="BF337" s="1312">
        <f>BG336*((1+'Instrumentos Financeiros'!$J$43)^(1/12)-1)</f>
        <v>0</v>
      </c>
      <c r="BG337" s="1312">
        <f t="shared" si="204"/>
        <v>0</v>
      </c>
      <c r="BH337" s="1312">
        <f>IF(AND(C337&gt;$F$73,'Instrumentos Financeiros'!C337&lt;'Instrumentos Financeiros'!$F$73+'Instrumentos Financeiros'!$F$11+1),PMT(((1+'Instrumentos Financeiros'!$J$43)^(1/12)-1),$F$11,-$I$73),0)</f>
        <v>0</v>
      </c>
      <c r="BI337" s="1312">
        <f t="shared" si="187"/>
        <v>0</v>
      </c>
      <c r="BJ337" s="1312">
        <f>BK336*((1+'Instrumentos Financeiros'!$J$43)^(1/12)-1)</f>
        <v>0</v>
      </c>
      <c r="BK337" s="1312">
        <f t="shared" si="205"/>
        <v>0</v>
      </c>
      <c r="BL337" s="1312">
        <f>IF(AND(C337&gt;$F$77,'Instrumentos Financeiros'!C337&lt;'Instrumentos Financeiros'!$F$77+'Instrumentos Financeiros'!$F$12+1),PMT(((1+'Instrumentos Financeiros'!$K$43)^(1/12)-1),$F$12,-$I$77),0)</f>
        <v>368.57912678094596</v>
      </c>
      <c r="BM337" s="1312">
        <f t="shared" si="206"/>
        <v>319.66407349375839</v>
      </c>
      <c r="BN337" s="1312">
        <f>BO336*((1+'Instrumentos Financeiros'!$K$43)^(1/12)-1)</f>
        <v>48.91505328718754</v>
      </c>
      <c r="BO337" s="1312">
        <f t="shared" si="207"/>
        <v>10992.762178370693</v>
      </c>
      <c r="BP337" s="1312">
        <f>IF(AND(C337&gt;$F$78,'Instrumentos Financeiros'!C337&lt;'Instrumentos Financeiros'!$F$78+'Instrumentos Financeiros'!$F$12+1),PMT(((1+'Instrumentos Financeiros'!$L$43)^(1/12)-1),$F$12,-$I$78),0)</f>
        <v>368.57912678094596</v>
      </c>
      <c r="BQ337" s="1312">
        <f t="shared" si="208"/>
        <v>315.55298469294945</v>
      </c>
      <c r="BR337" s="1312">
        <f>BS336*((1+'Instrumentos Financeiros'!$L$43)^(1/12)-1)</f>
        <v>53.02614208799649</v>
      </c>
      <c r="BS337" s="1312">
        <f t="shared" si="209"/>
        <v>11947.631484707752</v>
      </c>
      <c r="BT337" s="1312">
        <f>IF(AND(C337&gt;$F$79,'Instrumentos Financeiros'!C337&lt;'Instrumentos Financeiros'!$F$79+'Instrumentos Financeiros'!$F$12+1),PMT(((1+'Instrumentos Financeiros'!$L$43)^(1/12)-1),$F$12,-$I$79),0)</f>
        <v>368.57912678094596</v>
      </c>
      <c r="BU337" s="1312">
        <f t="shared" si="210"/>
        <v>311.49476717962494</v>
      </c>
      <c r="BV337" s="1312">
        <f>BW336*((1+'Instrumentos Financeiros'!$L$43)^(1/12)-1)</f>
        <v>57.084359601320998</v>
      </c>
      <c r="BW337" s="1312">
        <f t="shared" si="211"/>
        <v>12890.22054801151</v>
      </c>
      <c r="BX337" s="1312">
        <f>IF(AND(C337&gt;$F$80,'Instrumentos Financeiros'!C337&lt;'Instrumentos Financeiros'!$F$80+'Instrumentos Financeiros'!$F$12+1),PMT(((1+'Instrumentos Financeiros'!$L$43)^(1/12)-1),$F$12,-$I$80),0)</f>
        <v>368.57912678094596</v>
      </c>
      <c r="BY337" s="1312">
        <f t="shared" si="212"/>
        <v>307.48874099449046</v>
      </c>
      <c r="BZ337" s="1312">
        <f>CA336*((1+'Instrumentos Financeiros'!$L$43)^(1/12)-1)</f>
        <v>61.090385786455478</v>
      </c>
      <c r="CA337" s="1312">
        <f t="shared" si="213"/>
        <v>13820.687300229256</v>
      </c>
      <c r="CB337" s="1312">
        <f>IF(AND(C337&gt;$F$83,'Instrumentos Financeiros'!C337&lt;'Instrumentos Financeiros'!$F$83+'Instrumentos Financeiros'!$F$13+1),PMT(((1+'Instrumentos Financeiros'!$P$43)^(1/12)-1),$F$13,-$I$83),0)</f>
        <v>30503.390100238979</v>
      </c>
      <c r="CC337" s="1312">
        <f t="shared" si="214"/>
        <v>19390.736847126616</v>
      </c>
      <c r="CD337" s="1312">
        <f>CE336*((1+'Instrumentos Financeiros'!$P$43)^(1/12)-1)</f>
        <v>11112.653253112361</v>
      </c>
      <c r="CE337" s="1312">
        <f t="shared" si="215"/>
        <v>2550596.6584503255</v>
      </c>
      <c r="CF337" s="1312">
        <f>IF(AND(C337&gt;$F$84,'Instrumentos Financeiros'!C337&lt;'Instrumentos Financeiros'!$F$84+'Instrumentos Financeiros'!$F$13+1),PMT(((1+'Instrumentos Financeiros'!$Q$43)^(1/12)-1),$F$13,-$I$84),0)</f>
        <v>30503.390100238979</v>
      </c>
      <c r="CG337" s="1312">
        <f t="shared" si="216"/>
        <v>19141.359304569549</v>
      </c>
      <c r="CH337" s="1312">
        <f>CI336*((1+'Instrumentos Financeiros'!$Q$43)^(1/12)-1)</f>
        <v>11362.030795669431</v>
      </c>
      <c r="CI337" s="1312">
        <f t="shared" si="217"/>
        <v>2608518.774126993</v>
      </c>
      <c r="CJ337" s="1312">
        <f>IF(AND(C337&gt;$F$85,'Instrumentos Financeiros'!C337&lt;'Instrumentos Financeiros'!$F$85+'Instrumentos Financeiros'!$F$13+1),PMT(((1+'Instrumentos Financeiros'!$Q$43)^(1/12)-1),$F$13,-$I$85),0)</f>
        <v>30503.390100238979</v>
      </c>
      <c r="CK337" s="1312">
        <f t="shared" si="218"/>
        <v>18895.188920111839</v>
      </c>
      <c r="CL337" s="1312">
        <f>CM336*((1+'Instrumentos Financeiros'!$Q$43)^(1/12)-1)</f>
        <v>11608.20118012714</v>
      </c>
      <c r="CM337" s="1312">
        <f t="shared" si="219"/>
        <v>2665695.9735593204</v>
      </c>
      <c r="CN337" s="1312">
        <f>IF(AND(C337&gt;$F$86,'Instrumentos Financeiros'!C337&lt;'Instrumentos Financeiros'!$F$86+'Instrumentos Financeiros'!$F$13+1),PMT(((1+'Instrumentos Financeiros'!$Q$43)^(1/12)-1),$F$13,-$I$86),0)</f>
        <v>30503.390100238979</v>
      </c>
      <c r="CO337" s="1312">
        <f t="shared" si="220"/>
        <v>18652.184447605305</v>
      </c>
      <c r="CP337" s="1312">
        <f>CQ336*((1+'Instrumentos Financeiros'!$Q$43)^(1/12)-1)</f>
        <v>11851.205652633675</v>
      </c>
      <c r="CQ337" s="1312">
        <f t="shared" si="221"/>
        <v>2722137.8368568146</v>
      </c>
      <c r="CR337" s="1312">
        <f t="shared" si="190"/>
        <v>521803.11063210916</v>
      </c>
      <c r="CS337" s="1312">
        <f t="shared" si="190"/>
        <v>442624.58537360205</v>
      </c>
      <c r="CT337" s="1312">
        <f t="shared" si="190"/>
        <v>79178.525258507114</v>
      </c>
      <c r="CU337" s="1312">
        <f t="shared" si="190"/>
        <v>17884033.25924002</v>
      </c>
    </row>
    <row r="338" spans="3:99" x14ac:dyDescent="0.35">
      <c r="C338" s="1315">
        <f t="shared" si="191"/>
        <v>245</v>
      </c>
      <c r="D338" s="1312">
        <f>IF(AND(C338&gt;$F$59,'Instrumentos Financeiros'!C338&lt;'Instrumentos Financeiros'!$F$59+'Instrumentos Financeiros'!$F$11+1),PMT(((1+'Instrumentos Financeiros'!$G$43)^(1/12)-1),$F$11,-$I$59),0)</f>
        <v>91768.589635900134</v>
      </c>
      <c r="E338" s="1312">
        <f t="shared" si="188"/>
        <v>91023.989531261803</v>
      </c>
      <c r="F338" s="1312">
        <f>G337*((1+'Instrumentos Financeiros'!$G$43)^(1/12)-1)</f>
        <v>744.60010463832896</v>
      </c>
      <c r="G338" s="1312">
        <f t="shared" si="222"/>
        <v>91395.53130387298</v>
      </c>
      <c r="H338" s="1312">
        <f>IF(AND(C338&gt;$F$60,'Instrumentos Financeiros'!C338&lt;'Instrumentos Financeiros'!$F$60+'Instrumentos Financeiros'!$F$11+1),PMT(((1+'Instrumentos Financeiros'!$G$43)^(1/12)-1),$F$11,-$I$60),0)</f>
        <v>0</v>
      </c>
      <c r="I338" s="1312">
        <f t="shared" si="174"/>
        <v>0</v>
      </c>
      <c r="J338" s="1312">
        <f>K337*((1+'Instrumentos Financeiros'!$G$43)^(1/12)-1)</f>
        <v>0</v>
      </c>
      <c r="K338" s="1312">
        <f t="shared" si="192"/>
        <v>0</v>
      </c>
      <c r="L338" s="1312">
        <f>IF(AND(C338&gt;$F$61,'Instrumentos Financeiros'!C338&lt;'Instrumentos Financeiros'!$F$61+'Instrumentos Financeiros'!$F$11+1),PMT(((1+'Instrumentos Financeiros'!$G$43)^(1/12)-1),$F$11,-$I$61),0)</f>
        <v>0</v>
      </c>
      <c r="M338" s="1312">
        <f t="shared" si="175"/>
        <v>0</v>
      </c>
      <c r="N338" s="1312">
        <f>O337*((1+'Instrumentos Financeiros'!$G$43)^(1/12)-1)</f>
        <v>0</v>
      </c>
      <c r="O338" s="1312">
        <f t="shared" si="193"/>
        <v>0</v>
      </c>
      <c r="P338" s="1312">
        <f>IF(AND(C338&gt;$F$62,'Instrumentos Financeiros'!C338&lt;'Instrumentos Financeiros'!$F$62+'Instrumentos Financeiros'!$F$11+1),PMT(((1+'Instrumentos Financeiros'!$H$43)^(1/12)-1),$F$11,-$I$62),0)</f>
        <v>0</v>
      </c>
      <c r="Q338" s="1312">
        <f t="shared" si="176"/>
        <v>0</v>
      </c>
      <c r="R338" s="1312">
        <f>S337*((1+'Instrumentos Financeiros'!$H$43)^(1/12)-1)</f>
        <v>0</v>
      </c>
      <c r="S338" s="1312">
        <f t="shared" si="194"/>
        <v>0</v>
      </c>
      <c r="T338" s="1312">
        <f>IF(AND(C338&gt;$F$63,'Instrumentos Financeiros'!C338&lt;'Instrumentos Financeiros'!$F$63+'Instrumentos Financeiros'!$F$11+1),PMT(((1+'Instrumentos Financeiros'!$H$43)^(1/12)-1),$F$11,-$I$63),0)</f>
        <v>0</v>
      </c>
      <c r="U338" s="1312">
        <f t="shared" si="177"/>
        <v>0</v>
      </c>
      <c r="V338" s="1312">
        <f>W337*((1+'Instrumentos Financeiros'!$H$43)^(1/12)-1)</f>
        <v>0</v>
      </c>
      <c r="W338" s="1312">
        <f t="shared" si="195"/>
        <v>0</v>
      </c>
      <c r="X338" s="1312">
        <f>IF(AND(C338&gt;$F$64,'Instrumentos Financeiros'!C338&lt;'Instrumentos Financeiros'!$F$64+'Instrumentos Financeiros'!$F$11+1),PMT(((1+'Instrumentos Financeiros'!$H$43)^(1/12)-1),$F$11,-$I$64),0)</f>
        <v>0</v>
      </c>
      <c r="Y338" s="1312">
        <f t="shared" si="178"/>
        <v>0</v>
      </c>
      <c r="Z338" s="1312">
        <f>AA337*((1+'Instrumentos Financeiros'!$H$43)^(1/12)-1)</f>
        <v>0</v>
      </c>
      <c r="AA338" s="1312">
        <f t="shared" si="196"/>
        <v>0</v>
      </c>
      <c r="AB338" s="1312">
        <f>IF(AND(C338&gt;$F$65,'Instrumentos Financeiros'!C338&lt;'Instrumentos Financeiros'!$F$65+'Instrumentos Financeiros'!$F$11+1),PMT(((1+'Instrumentos Financeiros'!$H$43)^(1/12)-1),$F$11,-$I$65),0)</f>
        <v>76636.661022032335</v>
      </c>
      <c r="AC338" s="1312">
        <f t="shared" si="179"/>
        <v>70300.701900995657</v>
      </c>
      <c r="AD338" s="1312">
        <f>AE337*((1+'Instrumentos Financeiros'!$H$43)^(1/12)-1)</f>
        <v>6335.9591210366707</v>
      </c>
      <c r="AE338" s="1312">
        <f t="shared" si="197"/>
        <v>1394996.0825211795</v>
      </c>
      <c r="AF338" s="1312">
        <f>IF(AND(C338&gt;$F$66,'Instrumentos Financeiros'!C338&lt;'Instrumentos Financeiros'!$F$66+'Instrumentos Financeiros'!$F$11+1),PMT(((1+'Instrumentos Financeiros'!$I$43)^(1/12)-1),$F$11,-$I$66),0)</f>
        <v>76636.661022032335</v>
      </c>
      <c r="AG338" s="1312">
        <f t="shared" si="180"/>
        <v>69396.588951687852</v>
      </c>
      <c r="AH338" s="1312">
        <f>AI337*((1+'Instrumentos Financeiros'!$I$43)^(1/12)-1)</f>
        <v>7240.0720703444831</v>
      </c>
      <c r="AI338" s="1312">
        <f t="shared" si="198"/>
        <v>1604991.4746387196</v>
      </c>
      <c r="AJ338" s="1312">
        <f>IF(AND(C338&gt;$F$67,'Instrumentos Financeiros'!C338&lt;'Instrumentos Financeiros'!$F$67+'Instrumentos Financeiros'!$F$11+1),PMT(((1+'Instrumentos Financeiros'!$I$43)^(1/12)-1),$F$11,-$I$67),0)</f>
        <v>76636.661022032335</v>
      </c>
      <c r="AK338" s="1312">
        <f t="shared" si="181"/>
        <v>68504.10348550613</v>
      </c>
      <c r="AL338" s="1312">
        <f>AM337*((1+'Instrumentos Financeiros'!$I$43)^(1/12)-1)</f>
        <v>8132.5575365262066</v>
      </c>
      <c r="AM338" s="1312">
        <f t="shared" si="199"/>
        <v>1812286.1888373422</v>
      </c>
      <c r="AN338" s="1312">
        <f>IF(AND(C338&gt;$F$68,'Instrumentos Financeiros'!C338&lt;'Instrumentos Financeiros'!$F$68+'Instrumentos Financeiros'!$F$11+1),PMT(((1+'Instrumentos Financeiros'!$I$43)^(1/12)-1),$F$11,-$I$68),0)</f>
        <v>76636.661022032335</v>
      </c>
      <c r="AO338" s="1312">
        <f t="shared" si="182"/>
        <v>67623.095965422021</v>
      </c>
      <c r="AP338" s="1312">
        <f>AQ337*((1+'Instrumentos Financeiros'!$I$43)^(1/12)-1)</f>
        <v>9013.5650566103177</v>
      </c>
      <c r="AQ338" s="1312">
        <f t="shared" si="200"/>
        <v>2016914.9575992608</v>
      </c>
      <c r="AR338" s="1312">
        <f>IF(AND(C338&gt;$F$69,'Instrumentos Financeiros'!C338&lt;'Instrumentos Financeiros'!$F$69+'Instrumentos Financeiros'!$F$11+1),PMT(((1+'Instrumentos Financeiros'!$I$43)^(1/12)-1),$F$11,-$I$69),0)</f>
        <v>0</v>
      </c>
      <c r="AS338" s="1312">
        <f t="shared" si="183"/>
        <v>0</v>
      </c>
      <c r="AT338" s="1312">
        <f>AU337*((1+'Instrumentos Financeiros'!$I$43)^(1/12)-1)</f>
        <v>0</v>
      </c>
      <c r="AU338" s="1312">
        <f t="shared" si="201"/>
        <v>0</v>
      </c>
      <c r="AV338" s="1312">
        <f>IF(AND(C338&gt;$F$70,'Instrumentos Financeiros'!C338&lt;'Instrumentos Financeiros'!$F$70+'Instrumentos Financeiros'!$F$11+1),PMT(((1+'Instrumentos Financeiros'!$J$43)^(1/12)-1),$F$11,-$I$70),0)</f>
        <v>0</v>
      </c>
      <c r="AW338" s="1312">
        <f t="shared" si="184"/>
        <v>0</v>
      </c>
      <c r="AX338" s="1312">
        <f>AY337*((1+'Instrumentos Financeiros'!$J$43)^(1/12)-1)</f>
        <v>0</v>
      </c>
      <c r="AY338" s="1312">
        <f t="shared" si="202"/>
        <v>0</v>
      </c>
      <c r="AZ338" s="1312">
        <f>IF(AND(C338&gt;$F$71,'Instrumentos Financeiros'!C338&lt;'Instrumentos Financeiros'!$F$71+'Instrumentos Financeiros'!$F$11+1),PMT(((1+'Instrumentos Financeiros'!$J$43)^(1/12)-1),$F$11,-$I$71),0)</f>
        <v>0</v>
      </c>
      <c r="BA338" s="1312">
        <f t="shared" si="185"/>
        <v>0</v>
      </c>
      <c r="BB338" s="1312">
        <f>BC337*((1+'Instrumentos Financeiros'!$J$43)^(1/12)-1)</f>
        <v>0</v>
      </c>
      <c r="BC338" s="1312">
        <f t="shared" si="203"/>
        <v>0</v>
      </c>
      <c r="BD338" s="1312">
        <f>IF(AND(C338&gt;$F$72,'Instrumentos Financeiros'!C338&lt;'Instrumentos Financeiros'!$F$72+'Instrumentos Financeiros'!$F$11+1),PMT(((1+'Instrumentos Financeiros'!$J$43)^(1/12)-1),$F$11,-'Instrumentos Financeiros'!$G$7*$G$72),0)</f>
        <v>0</v>
      </c>
      <c r="BE338" s="1312">
        <f t="shared" si="186"/>
        <v>0</v>
      </c>
      <c r="BF338" s="1312">
        <f>BG337*((1+'Instrumentos Financeiros'!$J$43)^(1/12)-1)</f>
        <v>0</v>
      </c>
      <c r="BG338" s="1312">
        <f t="shared" si="204"/>
        <v>0</v>
      </c>
      <c r="BH338" s="1312">
        <f>IF(AND(C338&gt;$F$73,'Instrumentos Financeiros'!C338&lt;'Instrumentos Financeiros'!$F$73+'Instrumentos Financeiros'!$F$11+1),PMT(((1+'Instrumentos Financeiros'!$J$43)^(1/12)-1),$F$11,-$I$73),0)</f>
        <v>0</v>
      </c>
      <c r="BI338" s="1312">
        <f t="shared" si="187"/>
        <v>0</v>
      </c>
      <c r="BJ338" s="1312">
        <f>BK337*((1+'Instrumentos Financeiros'!$J$43)^(1/12)-1)</f>
        <v>0</v>
      </c>
      <c r="BK338" s="1312">
        <f t="shared" si="205"/>
        <v>0</v>
      </c>
      <c r="BL338" s="1312">
        <f>IF(AND(C338&gt;$F$77,'Instrumentos Financeiros'!C338&lt;'Instrumentos Financeiros'!$F$77+'Instrumentos Financeiros'!$F$12+1),PMT(((1+'Instrumentos Financeiros'!$K$43)^(1/12)-1),$F$12,-$I$77),0)</f>
        <v>368.57912678094596</v>
      </c>
      <c r="BM338" s="1312">
        <f t="shared" si="206"/>
        <v>321.04630439991524</v>
      </c>
      <c r="BN338" s="1312">
        <f>BO337*((1+'Instrumentos Financeiros'!$K$43)^(1/12)-1)</f>
        <v>47.532822381030734</v>
      </c>
      <c r="BO338" s="1312">
        <f t="shared" si="207"/>
        <v>10671.715873970777</v>
      </c>
      <c r="BP338" s="1312">
        <f>IF(AND(C338&gt;$F$78,'Instrumentos Financeiros'!C338&lt;'Instrumentos Financeiros'!$F$78+'Instrumentos Financeiros'!$F$12+1),PMT(((1+'Instrumentos Financeiros'!$L$43)^(1/12)-1),$F$12,-$I$78),0)</f>
        <v>368.57912678094596</v>
      </c>
      <c r="BQ338" s="1312">
        <f t="shared" si="208"/>
        <v>316.91743920673184</v>
      </c>
      <c r="BR338" s="1312">
        <f>BS337*((1+'Instrumentos Financeiros'!$L$43)^(1/12)-1)</f>
        <v>51.661687574214113</v>
      </c>
      <c r="BS338" s="1312">
        <f t="shared" si="209"/>
        <v>11630.714045501019</v>
      </c>
      <c r="BT338" s="1312">
        <f>IF(AND(C338&gt;$F$79,'Instrumentos Financeiros'!C338&lt;'Instrumentos Financeiros'!$F$79+'Instrumentos Financeiros'!$F$12+1),PMT(((1+'Instrumentos Financeiros'!$L$43)^(1/12)-1),$F$12,-$I$79),0)</f>
        <v>368.57912678094596</v>
      </c>
      <c r="BU338" s="1312">
        <f t="shared" si="210"/>
        <v>312.84167391705103</v>
      </c>
      <c r="BV338" s="1312">
        <f>BW337*((1+'Instrumentos Financeiros'!$L$43)^(1/12)-1)</f>
        <v>55.737452863894958</v>
      </c>
      <c r="BW338" s="1312">
        <f t="shared" si="211"/>
        <v>12577.378874094458</v>
      </c>
      <c r="BX338" s="1312">
        <f>IF(AND(C338&gt;$F$80,'Instrumentos Financeiros'!C338&lt;'Instrumentos Financeiros'!$F$80+'Instrumentos Financeiros'!$F$12+1),PMT(((1+'Instrumentos Financeiros'!$L$43)^(1/12)-1),$F$12,-$I$80),0)</f>
        <v>368.57912678094596</v>
      </c>
      <c r="BY338" s="1312">
        <f t="shared" si="212"/>
        <v>308.81832563142694</v>
      </c>
      <c r="BZ338" s="1312">
        <f>CA337*((1+'Instrumentos Financeiros'!$L$43)^(1/12)-1)</f>
        <v>59.760801149519011</v>
      </c>
      <c r="CA338" s="1312">
        <f t="shared" si="213"/>
        <v>13511.868974597828</v>
      </c>
      <c r="CB338" s="1312">
        <f>IF(AND(C338&gt;$F$83,'Instrumentos Financeiros'!C338&lt;'Instrumentos Financeiros'!$F$83+'Instrumentos Financeiros'!$F$13+1),PMT(((1+'Instrumentos Financeiros'!$P$43)^(1/12)-1),$F$13,-$I$83),0)</f>
        <v>30503.390100238979</v>
      </c>
      <c r="CC338" s="1312">
        <f t="shared" si="214"/>
        <v>19474.582602673418</v>
      </c>
      <c r="CD338" s="1312">
        <f>CE337*((1+'Instrumentos Financeiros'!$P$43)^(1/12)-1)</f>
        <v>11028.807497565562</v>
      </c>
      <c r="CE338" s="1312">
        <f t="shared" si="215"/>
        <v>2531122.0758476523</v>
      </c>
      <c r="CF338" s="1312">
        <f>IF(AND(C338&gt;$F$84,'Instrumentos Financeiros'!C338&lt;'Instrumentos Financeiros'!$F$84+'Instrumentos Financeiros'!$F$13+1),PMT(((1+'Instrumentos Financeiros'!$Q$43)^(1/12)-1),$F$13,-$I$84),0)</f>
        <v>30503.390100238979</v>
      </c>
      <c r="CG338" s="1312">
        <f t="shared" si="216"/>
        <v>19224.126748929055</v>
      </c>
      <c r="CH338" s="1312">
        <f>CI337*((1+'Instrumentos Financeiros'!$Q$43)^(1/12)-1)</f>
        <v>11279.263351309923</v>
      </c>
      <c r="CI338" s="1312">
        <f t="shared" si="217"/>
        <v>2589294.6473780638</v>
      </c>
      <c r="CJ338" s="1312">
        <f>IF(AND(C338&gt;$F$85,'Instrumentos Financeiros'!C338&lt;'Instrumentos Financeiros'!$F$85+'Instrumentos Financeiros'!$F$13+1),PMT(((1+'Instrumentos Financeiros'!$Q$43)^(1/12)-1),$F$13,-$I$85),0)</f>
        <v>30503.390100238979</v>
      </c>
      <c r="CK338" s="1312">
        <f t="shared" si="218"/>
        <v>18976.891921070313</v>
      </c>
      <c r="CL338" s="1312">
        <f>CM337*((1+'Instrumentos Financeiros'!$Q$43)^(1/12)-1)</f>
        <v>11526.498179168666</v>
      </c>
      <c r="CM338" s="1312">
        <f t="shared" si="219"/>
        <v>2646719.08163825</v>
      </c>
      <c r="CN338" s="1312">
        <f>IF(AND(C338&gt;$F$86,'Instrumentos Financeiros'!C338&lt;'Instrumentos Financeiros'!$F$86+'Instrumentos Financeiros'!$F$13+1),PMT(((1+'Instrumentos Financeiros'!$Q$43)^(1/12)-1),$F$13,-$I$86),0)</f>
        <v>30503.390100238979</v>
      </c>
      <c r="CO338" s="1312">
        <f t="shared" si="220"/>
        <v>18732.836694600213</v>
      </c>
      <c r="CP338" s="1312">
        <f>CQ337*((1+'Instrumentos Financeiros'!$Q$43)^(1/12)-1)</f>
        <v>11770.553405638766</v>
      </c>
      <c r="CQ338" s="1312">
        <f t="shared" si="221"/>
        <v>2703405.0001622145</v>
      </c>
      <c r="CR338" s="1312">
        <f t="shared" si="190"/>
        <v>521803.11063210916</v>
      </c>
      <c r="CS338" s="1312">
        <f t="shared" si="190"/>
        <v>444516.54154530162</v>
      </c>
      <c r="CT338" s="1312">
        <f t="shared" si="190"/>
        <v>77286.569086807576</v>
      </c>
      <c r="CU338" s="1312">
        <f t="shared" si="190"/>
        <v>17439516.717694718</v>
      </c>
    </row>
    <row r="339" spans="3:99" x14ac:dyDescent="0.35">
      <c r="C339" s="1315">
        <f t="shared" si="191"/>
        <v>246</v>
      </c>
      <c r="D339" s="1312">
        <f>IF(AND(C339&gt;$F$59,'Instrumentos Financeiros'!C339&lt;'Instrumentos Financeiros'!$F$59+'Instrumentos Financeiros'!$F$11+1),PMT(((1+'Instrumentos Financeiros'!$G$43)^(1/12)-1),$F$11,-$I$59),0)</f>
        <v>91768.589635900134</v>
      </c>
      <c r="E339" s="1312">
        <f t="shared" si="188"/>
        <v>91395.531303870841</v>
      </c>
      <c r="F339" s="1312">
        <f>G338*((1+'Instrumentos Financeiros'!$G$43)^(1/12)-1)</f>
        <v>373.05833202929983</v>
      </c>
      <c r="G339" s="1312">
        <f t="shared" si="222"/>
        <v>2.1391315385699272E-9</v>
      </c>
      <c r="H339" s="1312">
        <f>IF(AND(C339&gt;$F$60,'Instrumentos Financeiros'!C339&lt;'Instrumentos Financeiros'!$F$60+'Instrumentos Financeiros'!$F$11+1),PMT(((1+'Instrumentos Financeiros'!$G$43)^(1/12)-1),$F$11,-$I$60),0)</f>
        <v>0</v>
      </c>
      <c r="I339" s="1312">
        <f t="shared" si="174"/>
        <v>0</v>
      </c>
      <c r="J339" s="1312">
        <f>K338*((1+'Instrumentos Financeiros'!$G$43)^(1/12)-1)</f>
        <v>0</v>
      </c>
      <c r="K339" s="1312">
        <f t="shared" si="192"/>
        <v>0</v>
      </c>
      <c r="L339" s="1312">
        <f>IF(AND(C339&gt;$F$61,'Instrumentos Financeiros'!C339&lt;'Instrumentos Financeiros'!$F$61+'Instrumentos Financeiros'!$F$11+1),PMT(((1+'Instrumentos Financeiros'!$G$43)^(1/12)-1),$F$11,-$I$61),0)</f>
        <v>0</v>
      </c>
      <c r="M339" s="1312">
        <f t="shared" si="175"/>
        <v>0</v>
      </c>
      <c r="N339" s="1312">
        <f>O338*((1+'Instrumentos Financeiros'!$G$43)^(1/12)-1)</f>
        <v>0</v>
      </c>
      <c r="O339" s="1312">
        <f t="shared" si="193"/>
        <v>0</v>
      </c>
      <c r="P339" s="1312">
        <f>IF(AND(C339&gt;$F$62,'Instrumentos Financeiros'!C339&lt;'Instrumentos Financeiros'!$F$62+'Instrumentos Financeiros'!$F$11+1),PMT(((1+'Instrumentos Financeiros'!$H$43)^(1/12)-1),$F$11,-$I$62),0)</f>
        <v>0</v>
      </c>
      <c r="Q339" s="1312">
        <f t="shared" si="176"/>
        <v>0</v>
      </c>
      <c r="R339" s="1312">
        <f>S338*((1+'Instrumentos Financeiros'!$H$43)^(1/12)-1)</f>
        <v>0</v>
      </c>
      <c r="S339" s="1312">
        <f t="shared" si="194"/>
        <v>0</v>
      </c>
      <c r="T339" s="1312">
        <f>IF(AND(C339&gt;$F$63,'Instrumentos Financeiros'!C339&lt;'Instrumentos Financeiros'!$F$63+'Instrumentos Financeiros'!$F$11+1),PMT(((1+'Instrumentos Financeiros'!$H$43)^(1/12)-1),$F$11,-$I$63),0)</f>
        <v>0</v>
      </c>
      <c r="U339" s="1312">
        <f t="shared" si="177"/>
        <v>0</v>
      </c>
      <c r="V339" s="1312">
        <f>W338*((1+'Instrumentos Financeiros'!$H$43)^(1/12)-1)</f>
        <v>0</v>
      </c>
      <c r="W339" s="1312">
        <f t="shared" si="195"/>
        <v>0</v>
      </c>
      <c r="X339" s="1312">
        <f>IF(AND(C339&gt;$F$64,'Instrumentos Financeiros'!C339&lt;'Instrumentos Financeiros'!$F$64+'Instrumentos Financeiros'!$F$11+1),PMT(((1+'Instrumentos Financeiros'!$H$43)^(1/12)-1),$F$11,-$I$64),0)</f>
        <v>0</v>
      </c>
      <c r="Y339" s="1312">
        <f t="shared" si="178"/>
        <v>0</v>
      </c>
      <c r="Z339" s="1312">
        <f>AA338*((1+'Instrumentos Financeiros'!$H$43)^(1/12)-1)</f>
        <v>0</v>
      </c>
      <c r="AA339" s="1312">
        <f t="shared" si="196"/>
        <v>0</v>
      </c>
      <c r="AB339" s="1312">
        <f>IF(AND(C339&gt;$F$65,'Instrumentos Financeiros'!C339&lt;'Instrumentos Financeiros'!$F$65+'Instrumentos Financeiros'!$F$11+1),PMT(((1+'Instrumentos Financeiros'!$H$43)^(1/12)-1),$F$11,-$I$65),0)</f>
        <v>76636.661022032335</v>
      </c>
      <c r="AC339" s="1312">
        <f t="shared" si="179"/>
        <v>70604.682895262667</v>
      </c>
      <c r="AD339" s="1312">
        <f>AE338*((1+'Instrumentos Financeiros'!$H$43)^(1/12)-1)</f>
        <v>6031.978126769669</v>
      </c>
      <c r="AE339" s="1312">
        <f t="shared" si="197"/>
        <v>1324391.3996259167</v>
      </c>
      <c r="AF339" s="1312">
        <f>IF(AND(C339&gt;$F$66,'Instrumentos Financeiros'!C339&lt;'Instrumentos Financeiros'!$F$66+'Instrumentos Financeiros'!$F$11+1),PMT(((1+'Instrumentos Financeiros'!$I$43)^(1/12)-1),$F$11,-$I$66),0)</f>
        <v>76636.661022032335</v>
      </c>
      <c r="AG339" s="1312">
        <f t="shared" si="180"/>
        <v>69696.660551797628</v>
      </c>
      <c r="AH339" s="1312">
        <f>AI338*((1+'Instrumentos Financeiros'!$I$43)^(1/12)-1)</f>
        <v>6940.0004702347014</v>
      </c>
      <c r="AI339" s="1312">
        <f t="shared" si="198"/>
        <v>1535294.814086922</v>
      </c>
      <c r="AJ339" s="1312">
        <f>IF(AND(C339&gt;$F$67,'Instrumentos Financeiros'!C339&lt;'Instrumentos Financeiros'!$F$67+'Instrumentos Financeiros'!$F$11+1),PMT(((1+'Instrumentos Financeiros'!$I$43)^(1/12)-1),$F$11,-$I$67),0)</f>
        <v>76636.661022032335</v>
      </c>
      <c r="AK339" s="1312">
        <f t="shared" si="181"/>
        <v>68800.315968821305</v>
      </c>
      <c r="AL339" s="1312">
        <f>AM338*((1+'Instrumentos Financeiros'!$I$43)^(1/12)-1)</f>
        <v>7836.3450532110319</v>
      </c>
      <c r="AM339" s="1312">
        <f t="shared" si="199"/>
        <v>1743485.8728685209</v>
      </c>
      <c r="AN339" s="1312">
        <f>IF(AND(C339&gt;$F$68,'Instrumentos Financeiros'!C339&lt;'Instrumentos Financeiros'!$F$68+'Instrumentos Financeiros'!$F$11+1),PMT(((1+'Instrumentos Financeiros'!$I$43)^(1/12)-1),$F$11,-$I$68),0)</f>
        <v>76636.661022032335</v>
      </c>
      <c r="AO339" s="1312">
        <f t="shared" si="182"/>
        <v>67915.498962705475</v>
      </c>
      <c r="AP339" s="1312">
        <f>AQ338*((1+'Instrumentos Financeiros'!$I$43)^(1/12)-1)</f>
        <v>8721.1620593268635</v>
      </c>
      <c r="AQ339" s="1312">
        <f t="shared" si="200"/>
        <v>1948999.4586365554</v>
      </c>
      <c r="AR339" s="1312">
        <f>IF(AND(C339&gt;$F$69,'Instrumentos Financeiros'!C339&lt;'Instrumentos Financeiros'!$F$69+'Instrumentos Financeiros'!$F$11+1),PMT(((1+'Instrumentos Financeiros'!$I$43)^(1/12)-1),$F$11,-$I$69),0)</f>
        <v>0</v>
      </c>
      <c r="AS339" s="1312">
        <f t="shared" si="183"/>
        <v>0</v>
      </c>
      <c r="AT339" s="1312">
        <f>AU338*((1+'Instrumentos Financeiros'!$I$43)^(1/12)-1)</f>
        <v>0</v>
      </c>
      <c r="AU339" s="1312">
        <f t="shared" si="201"/>
        <v>0</v>
      </c>
      <c r="AV339" s="1312">
        <f>IF(AND(C339&gt;$F$70,'Instrumentos Financeiros'!C339&lt;'Instrumentos Financeiros'!$F$70+'Instrumentos Financeiros'!$F$11+1),PMT(((1+'Instrumentos Financeiros'!$J$43)^(1/12)-1),$F$11,-$I$70),0)</f>
        <v>0</v>
      </c>
      <c r="AW339" s="1312">
        <f t="shared" si="184"/>
        <v>0</v>
      </c>
      <c r="AX339" s="1312">
        <f>AY338*((1+'Instrumentos Financeiros'!$J$43)^(1/12)-1)</f>
        <v>0</v>
      </c>
      <c r="AY339" s="1312">
        <f t="shared" si="202"/>
        <v>0</v>
      </c>
      <c r="AZ339" s="1312">
        <f>IF(AND(C339&gt;$F$71,'Instrumentos Financeiros'!C339&lt;'Instrumentos Financeiros'!$F$71+'Instrumentos Financeiros'!$F$11+1),PMT(((1+'Instrumentos Financeiros'!$J$43)^(1/12)-1),$F$11,-$I$71),0)</f>
        <v>0</v>
      </c>
      <c r="BA339" s="1312">
        <f t="shared" si="185"/>
        <v>0</v>
      </c>
      <c r="BB339" s="1312">
        <f>BC338*((1+'Instrumentos Financeiros'!$J$43)^(1/12)-1)</f>
        <v>0</v>
      </c>
      <c r="BC339" s="1312">
        <f t="shared" si="203"/>
        <v>0</v>
      </c>
      <c r="BD339" s="1312">
        <f>IF(AND(C339&gt;$F$72,'Instrumentos Financeiros'!C339&lt;'Instrumentos Financeiros'!$F$72+'Instrumentos Financeiros'!$F$11+1),PMT(((1+'Instrumentos Financeiros'!$J$43)^(1/12)-1),$F$11,-'Instrumentos Financeiros'!$G$7*$G$72),0)</f>
        <v>0</v>
      </c>
      <c r="BE339" s="1312">
        <f t="shared" si="186"/>
        <v>0</v>
      </c>
      <c r="BF339" s="1312">
        <f>BG338*((1+'Instrumentos Financeiros'!$J$43)^(1/12)-1)</f>
        <v>0</v>
      </c>
      <c r="BG339" s="1312">
        <f t="shared" si="204"/>
        <v>0</v>
      </c>
      <c r="BH339" s="1312">
        <f>IF(AND(C339&gt;$F$73,'Instrumentos Financeiros'!C339&lt;'Instrumentos Financeiros'!$F$73+'Instrumentos Financeiros'!$F$11+1),PMT(((1+'Instrumentos Financeiros'!$J$43)^(1/12)-1),$F$11,-$I$73),0)</f>
        <v>0</v>
      </c>
      <c r="BI339" s="1312">
        <f t="shared" si="187"/>
        <v>0</v>
      </c>
      <c r="BJ339" s="1312">
        <f>BK338*((1+'Instrumentos Financeiros'!$J$43)^(1/12)-1)</f>
        <v>0</v>
      </c>
      <c r="BK339" s="1312">
        <f t="shared" si="205"/>
        <v>0</v>
      </c>
      <c r="BL339" s="1312">
        <f>IF(AND(C339&gt;$F$77,'Instrumentos Financeiros'!C339&lt;'Instrumentos Financeiros'!$F$77+'Instrumentos Financeiros'!$F$12+1),PMT(((1+'Instrumentos Financeiros'!$K$43)^(1/12)-1),$F$12,-$I$77),0)</f>
        <v>368.57912678094596</v>
      </c>
      <c r="BM339" s="1312">
        <f t="shared" si="206"/>
        <v>322.43451208743835</v>
      </c>
      <c r="BN339" s="1312">
        <f>BO338*((1+'Instrumentos Financeiros'!$K$43)^(1/12)-1)</f>
        <v>46.14461469350762</v>
      </c>
      <c r="BO339" s="1312">
        <f t="shared" si="207"/>
        <v>10349.281361883339</v>
      </c>
      <c r="BP339" s="1312">
        <f>IF(AND(C339&gt;$F$78,'Instrumentos Financeiros'!C339&lt;'Instrumentos Financeiros'!$F$78+'Instrumentos Financeiros'!$F$12+1),PMT(((1+'Instrumentos Financeiros'!$L$43)^(1/12)-1),$F$12,-$I$78),0)</f>
        <v>368.57912678094596</v>
      </c>
      <c r="BQ339" s="1312">
        <f t="shared" si="208"/>
        <v>318.28779363656793</v>
      </c>
      <c r="BR339" s="1312">
        <f>BS338*((1+'Instrumentos Financeiros'!$L$43)^(1/12)-1)</f>
        <v>50.291333144378036</v>
      </c>
      <c r="BS339" s="1312">
        <f t="shared" si="209"/>
        <v>11312.426251864452</v>
      </c>
      <c r="BT339" s="1312">
        <f>IF(AND(C339&gt;$F$79,'Instrumentos Financeiros'!C339&lt;'Instrumentos Financeiros'!$F$79+'Instrumentos Financeiros'!$F$12+1),PMT(((1+'Instrumentos Financeiros'!$L$43)^(1/12)-1),$F$12,-$I$79),0)</f>
        <v>368.57912678094596</v>
      </c>
      <c r="BU339" s="1312">
        <f t="shared" si="210"/>
        <v>314.19440469375627</v>
      </c>
      <c r="BV339" s="1312">
        <f>BW338*((1+'Instrumentos Financeiros'!$L$43)^(1/12)-1)</f>
        <v>54.384722087189701</v>
      </c>
      <c r="BW339" s="1312">
        <f t="shared" si="211"/>
        <v>12263.184469400701</v>
      </c>
      <c r="BX339" s="1312">
        <f>IF(AND(C339&gt;$F$80,'Instrumentos Financeiros'!C339&lt;'Instrumentos Financeiros'!$F$80+'Instrumentos Financeiros'!$F$12+1),PMT(((1+'Instrumentos Financeiros'!$L$43)^(1/12)-1),$F$12,-$I$80),0)</f>
        <v>368.57912678094596</v>
      </c>
      <c r="BY339" s="1312">
        <f t="shared" si="212"/>
        <v>310.15365940669301</v>
      </c>
      <c r="BZ339" s="1312">
        <f>CA338*((1+'Instrumentos Financeiros'!$L$43)^(1/12)-1)</f>
        <v>58.425467374252925</v>
      </c>
      <c r="CA339" s="1312">
        <f t="shared" si="213"/>
        <v>13201.715315191135</v>
      </c>
      <c r="CB339" s="1312">
        <f>IF(AND(C339&gt;$F$83,'Instrumentos Financeiros'!C339&lt;'Instrumentos Financeiros'!$F$83+'Instrumentos Financeiros'!$F$13+1),PMT(((1+'Instrumentos Financeiros'!$P$43)^(1/12)-1),$F$13,-$I$83),0)</f>
        <v>30503.390100238979</v>
      </c>
      <c r="CC339" s="1312">
        <f t="shared" si="214"/>
        <v>19558.790908172734</v>
      </c>
      <c r="CD339" s="1312">
        <f>CE338*((1+'Instrumentos Financeiros'!$P$43)^(1/12)-1)</f>
        <v>10944.599192066245</v>
      </c>
      <c r="CE339" s="1312">
        <f t="shared" si="215"/>
        <v>2511563.2849394795</v>
      </c>
      <c r="CF339" s="1312">
        <f>IF(AND(C339&gt;$F$84,'Instrumentos Financeiros'!C339&lt;'Instrumentos Financeiros'!$F$84+'Instrumentos Financeiros'!$F$13+1),PMT(((1+'Instrumentos Financeiros'!$Q$43)^(1/12)-1),$F$13,-$I$84),0)</f>
        <v>30503.390100238979</v>
      </c>
      <c r="CG339" s="1312">
        <f t="shared" si="216"/>
        <v>19307.252080611863</v>
      </c>
      <c r="CH339" s="1312">
        <f>CI338*((1+'Instrumentos Financeiros'!$Q$43)^(1/12)-1)</f>
        <v>11196.138019627117</v>
      </c>
      <c r="CI339" s="1312">
        <f t="shared" si="217"/>
        <v>2569987.3952974519</v>
      </c>
      <c r="CJ339" s="1312">
        <f>IF(AND(C339&gt;$F$85,'Instrumentos Financeiros'!C339&lt;'Instrumentos Financeiros'!$F$85+'Instrumentos Financeiros'!$F$13+1),PMT(((1+'Instrumentos Financeiros'!$Q$43)^(1/12)-1),$F$13,-$I$85),0)</f>
        <v>30503.390100238979</v>
      </c>
      <c r="CK339" s="1312">
        <f t="shared" si="218"/>
        <v>19058.948206687324</v>
      </c>
      <c r="CL339" s="1312">
        <f>CM338*((1+'Instrumentos Financeiros'!$Q$43)^(1/12)-1)</f>
        <v>11444.441893551657</v>
      </c>
      <c r="CM339" s="1312">
        <f t="shared" si="219"/>
        <v>2627660.1334315627</v>
      </c>
      <c r="CN339" s="1312">
        <f>IF(AND(C339&gt;$F$86,'Instrumentos Financeiros'!C339&lt;'Instrumentos Financeiros'!$F$86+'Instrumentos Financeiros'!$F$13+1),PMT(((1+'Instrumentos Financeiros'!$Q$43)^(1/12)-1),$F$13,-$I$86),0)</f>
        <v>30503.390100238979</v>
      </c>
      <c r="CO339" s="1312">
        <f t="shared" si="220"/>
        <v>18813.83768278217</v>
      </c>
      <c r="CP339" s="1312">
        <f>CQ338*((1+'Instrumentos Financeiros'!$Q$43)^(1/12)-1)</f>
        <v>11689.552417456809</v>
      </c>
      <c r="CQ339" s="1312">
        <f t="shared" si="221"/>
        <v>2684591.1624794323</v>
      </c>
      <c r="CR339" s="1312">
        <f t="shared" si="190"/>
        <v>521803.11063210916</v>
      </c>
      <c r="CS339" s="1312">
        <f t="shared" si="190"/>
        <v>446416.58893053647</v>
      </c>
      <c r="CT339" s="1312">
        <f t="shared" si="190"/>
        <v>75386.521701572739</v>
      </c>
      <c r="CU339" s="1312">
        <f t="shared" si="190"/>
        <v>16993100.128764182</v>
      </c>
    </row>
    <row r="340" spans="3:99" x14ac:dyDescent="0.35">
      <c r="C340" s="1315">
        <f t="shared" si="191"/>
        <v>247</v>
      </c>
      <c r="D340" s="1312">
        <f>IF(AND(C340&gt;$F$59,'Instrumentos Financeiros'!C340&lt;'Instrumentos Financeiros'!$F$59+'Instrumentos Financeiros'!$F$11+1),PMT(((1+'Instrumentos Financeiros'!$G$43)^(1/12)-1),$F$11,-$I$59),0)</f>
        <v>0</v>
      </c>
      <c r="E340" s="1312">
        <f t="shared" si="188"/>
        <v>-8.731508339471188E-12</v>
      </c>
      <c r="F340" s="1312">
        <f>G339*((1+'Instrumentos Financeiros'!$G$43)^(1/12)-1)</f>
        <v>8.731508339471188E-12</v>
      </c>
      <c r="G340" s="1312">
        <f t="shared" si="222"/>
        <v>2.1478630469093983E-9</v>
      </c>
      <c r="H340" s="1312">
        <f>IF(AND(C340&gt;$F$60,'Instrumentos Financeiros'!C340&lt;'Instrumentos Financeiros'!$F$60+'Instrumentos Financeiros'!$F$11+1),PMT(((1+'Instrumentos Financeiros'!$G$43)^(1/12)-1),$F$11,-$I$60),0)</f>
        <v>0</v>
      </c>
      <c r="I340" s="1312">
        <f t="shared" si="174"/>
        <v>0</v>
      </c>
      <c r="J340" s="1312">
        <f>K339*((1+'Instrumentos Financeiros'!$G$43)^(1/12)-1)</f>
        <v>0</v>
      </c>
      <c r="K340" s="1312">
        <f t="shared" si="192"/>
        <v>0</v>
      </c>
      <c r="L340" s="1312">
        <f>IF(AND(C340&gt;$F$61,'Instrumentos Financeiros'!C340&lt;'Instrumentos Financeiros'!$F$61+'Instrumentos Financeiros'!$F$11+1),PMT(((1+'Instrumentos Financeiros'!$G$43)^(1/12)-1),$F$11,-$I$61),0)</f>
        <v>0</v>
      </c>
      <c r="M340" s="1312">
        <f t="shared" si="175"/>
        <v>0</v>
      </c>
      <c r="N340" s="1312">
        <f>O339*((1+'Instrumentos Financeiros'!$G$43)^(1/12)-1)</f>
        <v>0</v>
      </c>
      <c r="O340" s="1312">
        <f t="shared" si="193"/>
        <v>0</v>
      </c>
      <c r="P340" s="1312">
        <f>IF(AND(C340&gt;$F$62,'Instrumentos Financeiros'!C340&lt;'Instrumentos Financeiros'!$F$62+'Instrumentos Financeiros'!$F$11+1),PMT(((1+'Instrumentos Financeiros'!$H$43)^(1/12)-1),$F$11,-$I$62),0)</f>
        <v>0</v>
      </c>
      <c r="Q340" s="1312">
        <f t="shared" si="176"/>
        <v>0</v>
      </c>
      <c r="R340" s="1312">
        <f>S339*((1+'Instrumentos Financeiros'!$H$43)^(1/12)-1)</f>
        <v>0</v>
      </c>
      <c r="S340" s="1312">
        <f t="shared" si="194"/>
        <v>0</v>
      </c>
      <c r="T340" s="1312">
        <f>IF(AND(C340&gt;$F$63,'Instrumentos Financeiros'!C340&lt;'Instrumentos Financeiros'!$F$63+'Instrumentos Financeiros'!$F$11+1),PMT(((1+'Instrumentos Financeiros'!$H$43)^(1/12)-1),$F$11,-$I$63),0)</f>
        <v>0</v>
      </c>
      <c r="U340" s="1312">
        <f t="shared" si="177"/>
        <v>0</v>
      </c>
      <c r="V340" s="1312">
        <f>W339*((1+'Instrumentos Financeiros'!$H$43)^(1/12)-1)</f>
        <v>0</v>
      </c>
      <c r="W340" s="1312">
        <f t="shared" si="195"/>
        <v>0</v>
      </c>
      <c r="X340" s="1312">
        <f>IF(AND(C340&gt;$F$64,'Instrumentos Financeiros'!C340&lt;'Instrumentos Financeiros'!$F$64+'Instrumentos Financeiros'!$F$11+1),PMT(((1+'Instrumentos Financeiros'!$H$43)^(1/12)-1),$F$11,-$I$64),0)</f>
        <v>0</v>
      </c>
      <c r="Y340" s="1312">
        <f t="shared" si="178"/>
        <v>0</v>
      </c>
      <c r="Z340" s="1312">
        <f>AA339*((1+'Instrumentos Financeiros'!$H$43)^(1/12)-1)</f>
        <v>0</v>
      </c>
      <c r="AA340" s="1312">
        <f t="shared" si="196"/>
        <v>0</v>
      </c>
      <c r="AB340" s="1312">
        <f>IF(AND(C340&gt;$F$65,'Instrumentos Financeiros'!C340&lt;'Instrumentos Financeiros'!$F$65+'Instrumentos Financeiros'!$F$11+1),PMT(((1+'Instrumentos Financeiros'!$H$43)^(1/12)-1),$F$11,-$I$65),0)</f>
        <v>76636.661022032335</v>
      </c>
      <c r="AC340" s="1312">
        <f t="shared" si="179"/>
        <v>70909.978306631878</v>
      </c>
      <c r="AD340" s="1312">
        <f>AE339*((1+'Instrumentos Financeiros'!$H$43)^(1/12)-1)</f>
        <v>5726.6827154004632</v>
      </c>
      <c r="AE340" s="1312">
        <f t="shared" si="197"/>
        <v>1253481.4213192849</v>
      </c>
      <c r="AF340" s="1312">
        <f>IF(AND(C340&gt;$F$66,'Instrumentos Financeiros'!C340&lt;'Instrumentos Financeiros'!$F$66+'Instrumentos Financeiros'!$F$11+1),PMT(((1+'Instrumentos Financeiros'!$I$43)^(1/12)-1),$F$11,-$I$66),0)</f>
        <v>76636.661022032335</v>
      </c>
      <c r="AG340" s="1312">
        <f t="shared" si="180"/>
        <v>69998.029664747053</v>
      </c>
      <c r="AH340" s="1312">
        <f>AI339*((1+'Instrumentos Financeiros'!$I$43)^(1/12)-1)</f>
        <v>6638.631357285275</v>
      </c>
      <c r="AI340" s="1312">
        <f t="shared" si="198"/>
        <v>1465296.784422175</v>
      </c>
      <c r="AJ340" s="1312">
        <f>IF(AND(C340&gt;$F$67,'Instrumentos Financeiros'!C340&lt;'Instrumentos Financeiros'!$F$67+'Instrumentos Financeiros'!$F$11+1),PMT(((1+'Instrumentos Financeiros'!$I$43)^(1/12)-1),$F$11,-$I$67),0)</f>
        <v>76636.661022032335</v>
      </c>
      <c r="AK340" s="1312">
        <f t="shared" si="181"/>
        <v>69097.809278113418</v>
      </c>
      <c r="AL340" s="1312">
        <f>AM339*((1+'Instrumentos Financeiros'!$I$43)^(1/12)-1)</f>
        <v>7538.85174391891</v>
      </c>
      <c r="AM340" s="1312">
        <f t="shared" si="199"/>
        <v>1674388.0635904074</v>
      </c>
      <c r="AN340" s="1312">
        <f>IF(AND(C340&gt;$F$68,'Instrumentos Financeiros'!C340&lt;'Instrumentos Financeiros'!$F$68+'Instrumentos Financeiros'!$F$11+1),PMT(((1+'Instrumentos Financeiros'!$I$43)^(1/12)-1),$F$11,-$I$68),0)</f>
        <v>76636.661022032335</v>
      </c>
      <c r="AO340" s="1312">
        <f t="shared" si="182"/>
        <v>68209.16631370713</v>
      </c>
      <c r="AP340" s="1312">
        <f>AQ339*((1+'Instrumentos Financeiros'!$I$43)^(1/12)-1)</f>
        <v>8427.4947083252027</v>
      </c>
      <c r="AQ340" s="1312">
        <f t="shared" si="200"/>
        <v>1880790.2923228482</v>
      </c>
      <c r="AR340" s="1312">
        <f>IF(AND(C340&gt;$F$69,'Instrumentos Financeiros'!C340&lt;'Instrumentos Financeiros'!$F$69+'Instrumentos Financeiros'!$F$11+1),PMT(((1+'Instrumentos Financeiros'!$I$43)^(1/12)-1),$F$11,-$I$69),0)</f>
        <v>0</v>
      </c>
      <c r="AS340" s="1312">
        <f t="shared" si="183"/>
        <v>0</v>
      </c>
      <c r="AT340" s="1312">
        <f>AU339*((1+'Instrumentos Financeiros'!$I$43)^(1/12)-1)</f>
        <v>0</v>
      </c>
      <c r="AU340" s="1312">
        <f t="shared" si="201"/>
        <v>0</v>
      </c>
      <c r="AV340" s="1312">
        <f>IF(AND(C340&gt;$F$70,'Instrumentos Financeiros'!C340&lt;'Instrumentos Financeiros'!$F$70+'Instrumentos Financeiros'!$F$11+1),PMT(((1+'Instrumentos Financeiros'!$J$43)^(1/12)-1),$F$11,-$I$70),0)</f>
        <v>0</v>
      </c>
      <c r="AW340" s="1312">
        <f t="shared" si="184"/>
        <v>0</v>
      </c>
      <c r="AX340" s="1312">
        <f>AY339*((1+'Instrumentos Financeiros'!$J$43)^(1/12)-1)</f>
        <v>0</v>
      </c>
      <c r="AY340" s="1312">
        <f t="shared" si="202"/>
        <v>0</v>
      </c>
      <c r="AZ340" s="1312">
        <f>IF(AND(C340&gt;$F$71,'Instrumentos Financeiros'!C340&lt;'Instrumentos Financeiros'!$F$71+'Instrumentos Financeiros'!$F$11+1),PMT(((1+'Instrumentos Financeiros'!$J$43)^(1/12)-1),$F$11,-$I$71),0)</f>
        <v>0</v>
      </c>
      <c r="BA340" s="1312">
        <f t="shared" si="185"/>
        <v>0</v>
      </c>
      <c r="BB340" s="1312">
        <f>BC339*((1+'Instrumentos Financeiros'!$J$43)^(1/12)-1)</f>
        <v>0</v>
      </c>
      <c r="BC340" s="1312">
        <f t="shared" si="203"/>
        <v>0</v>
      </c>
      <c r="BD340" s="1312">
        <f>IF(AND(C340&gt;$F$72,'Instrumentos Financeiros'!C340&lt;'Instrumentos Financeiros'!$F$72+'Instrumentos Financeiros'!$F$11+1),PMT(((1+'Instrumentos Financeiros'!$J$43)^(1/12)-1),$F$11,-'Instrumentos Financeiros'!$G$7*$G$72),0)</f>
        <v>0</v>
      </c>
      <c r="BE340" s="1312">
        <f t="shared" si="186"/>
        <v>0</v>
      </c>
      <c r="BF340" s="1312">
        <f>BG339*((1+'Instrumentos Financeiros'!$J$43)^(1/12)-1)</f>
        <v>0</v>
      </c>
      <c r="BG340" s="1312">
        <f t="shared" si="204"/>
        <v>0</v>
      </c>
      <c r="BH340" s="1312">
        <f>IF(AND(C340&gt;$F$73,'Instrumentos Financeiros'!C340&lt;'Instrumentos Financeiros'!$F$73+'Instrumentos Financeiros'!$F$11+1),PMT(((1+'Instrumentos Financeiros'!$J$43)^(1/12)-1),$F$11,-$I$73),0)</f>
        <v>0</v>
      </c>
      <c r="BI340" s="1312">
        <f t="shared" si="187"/>
        <v>0</v>
      </c>
      <c r="BJ340" s="1312">
        <f>BK339*((1+'Instrumentos Financeiros'!$J$43)^(1/12)-1)</f>
        <v>0</v>
      </c>
      <c r="BK340" s="1312">
        <f t="shared" si="205"/>
        <v>0</v>
      </c>
      <c r="BL340" s="1312">
        <f>IF(AND(C340&gt;$F$77,'Instrumentos Financeiros'!C340&lt;'Instrumentos Financeiros'!$F$77+'Instrumentos Financeiros'!$F$12+1),PMT(((1+'Instrumentos Financeiros'!$K$43)^(1/12)-1),$F$12,-$I$77),0)</f>
        <v>368.57912678094596</v>
      </c>
      <c r="BM340" s="1312">
        <f t="shared" si="206"/>
        <v>323.82872239999494</v>
      </c>
      <c r="BN340" s="1312">
        <f>BO339*((1+'Instrumentos Financeiros'!$K$43)^(1/12)-1)</f>
        <v>44.750404380951025</v>
      </c>
      <c r="BO340" s="1312">
        <f t="shared" si="207"/>
        <v>10025.452639483345</v>
      </c>
      <c r="BP340" s="1312">
        <f>IF(AND(C340&gt;$F$78,'Instrumentos Financeiros'!C340&lt;'Instrumentos Financeiros'!$F$78+'Instrumentos Financeiros'!$F$12+1),PMT(((1+'Instrumentos Financeiros'!$L$43)^(1/12)-1),$F$12,-$I$78),0)</f>
        <v>368.57912678094596</v>
      </c>
      <c r="BQ340" s="1312">
        <f t="shared" si="208"/>
        <v>319.66407349375839</v>
      </c>
      <c r="BR340" s="1312">
        <f>BS339*((1+'Instrumentos Financeiros'!$L$43)^(1/12)-1)</f>
        <v>48.91505328718754</v>
      </c>
      <c r="BS340" s="1312">
        <f t="shared" si="209"/>
        <v>10992.762178370693</v>
      </c>
      <c r="BT340" s="1312">
        <f>IF(AND(C340&gt;$F$79,'Instrumentos Financeiros'!C340&lt;'Instrumentos Financeiros'!$F$79+'Instrumentos Financeiros'!$F$12+1),PMT(((1+'Instrumentos Financeiros'!$L$43)^(1/12)-1),$F$12,-$I$79),0)</f>
        <v>368.57912678094596</v>
      </c>
      <c r="BU340" s="1312">
        <f t="shared" si="210"/>
        <v>315.55298469294945</v>
      </c>
      <c r="BV340" s="1312">
        <f>BW339*((1+'Instrumentos Financeiros'!$L$43)^(1/12)-1)</f>
        <v>53.02614208799649</v>
      </c>
      <c r="BW340" s="1312">
        <f t="shared" si="211"/>
        <v>11947.631484707752</v>
      </c>
      <c r="BX340" s="1312">
        <f>IF(AND(C340&gt;$F$80,'Instrumentos Financeiros'!C340&lt;'Instrumentos Financeiros'!$F$80+'Instrumentos Financeiros'!$F$12+1),PMT(((1+'Instrumentos Financeiros'!$L$43)^(1/12)-1),$F$12,-$I$80),0)</f>
        <v>368.57912678094596</v>
      </c>
      <c r="BY340" s="1312">
        <f t="shared" si="212"/>
        <v>311.49476717962494</v>
      </c>
      <c r="BZ340" s="1312">
        <f>CA339*((1+'Instrumentos Financeiros'!$L$43)^(1/12)-1)</f>
        <v>57.084359601320998</v>
      </c>
      <c r="CA340" s="1312">
        <f t="shared" si="213"/>
        <v>12890.22054801151</v>
      </c>
      <c r="CB340" s="1312">
        <f>IF(AND(C340&gt;$F$83,'Instrumentos Financeiros'!C340&lt;'Instrumentos Financeiros'!$F$83+'Instrumentos Financeiros'!$F$13+1),PMT(((1+'Instrumentos Financeiros'!$P$43)^(1/12)-1),$F$13,-$I$83),0)</f>
        <v>30503.390100238979</v>
      </c>
      <c r="CC340" s="1312">
        <f t="shared" si="214"/>
        <v>19643.36333129448</v>
      </c>
      <c r="CD340" s="1312">
        <f>CE339*((1+'Instrumentos Financeiros'!$P$43)^(1/12)-1)</f>
        <v>10860.026768944499</v>
      </c>
      <c r="CE340" s="1312">
        <f t="shared" si="215"/>
        <v>2491919.9216081849</v>
      </c>
      <c r="CF340" s="1312">
        <f>IF(AND(C340&gt;$F$84,'Instrumentos Financeiros'!C340&lt;'Instrumentos Financeiros'!$F$84+'Instrumentos Financeiros'!$F$13+1),PMT(((1+'Instrumentos Financeiros'!$Q$43)^(1/12)-1),$F$13,-$I$84),0)</f>
        <v>30503.390100238979</v>
      </c>
      <c r="CG340" s="1312">
        <f t="shared" si="216"/>
        <v>19390.736847126616</v>
      </c>
      <c r="CH340" s="1312">
        <f>CI339*((1+'Instrumentos Financeiros'!$Q$43)^(1/12)-1)</f>
        <v>11112.653253112361</v>
      </c>
      <c r="CI340" s="1312">
        <f t="shared" si="217"/>
        <v>2550596.6584503255</v>
      </c>
      <c r="CJ340" s="1312">
        <f>IF(AND(C340&gt;$F$85,'Instrumentos Financeiros'!C340&lt;'Instrumentos Financeiros'!$F$85+'Instrumentos Financeiros'!$F$13+1),PMT(((1+'Instrumentos Financeiros'!$Q$43)^(1/12)-1),$F$13,-$I$85),0)</f>
        <v>30503.390100238979</v>
      </c>
      <c r="CK340" s="1312">
        <f t="shared" si="218"/>
        <v>19141.359304569549</v>
      </c>
      <c r="CL340" s="1312">
        <f>CM339*((1+'Instrumentos Financeiros'!$Q$43)^(1/12)-1)</f>
        <v>11362.030795669431</v>
      </c>
      <c r="CM340" s="1312">
        <f t="shared" si="219"/>
        <v>2608518.774126993</v>
      </c>
      <c r="CN340" s="1312">
        <f>IF(AND(C340&gt;$F$86,'Instrumentos Financeiros'!C340&lt;'Instrumentos Financeiros'!$F$86+'Instrumentos Financeiros'!$F$13+1),PMT(((1+'Instrumentos Financeiros'!$Q$43)^(1/12)-1),$F$13,-$I$86),0)</f>
        <v>30503.390100238979</v>
      </c>
      <c r="CO340" s="1312">
        <f t="shared" si="220"/>
        <v>18895.188920111839</v>
      </c>
      <c r="CP340" s="1312">
        <f>CQ339*((1+'Instrumentos Financeiros'!$Q$43)^(1/12)-1)</f>
        <v>11608.20118012714</v>
      </c>
      <c r="CQ340" s="1312">
        <f t="shared" si="221"/>
        <v>2665695.9735593204</v>
      </c>
      <c r="CR340" s="1312">
        <f t="shared" si="190"/>
        <v>430034.52099620906</v>
      </c>
      <c r="CS340" s="1312">
        <f t="shared" si="190"/>
        <v>356556.17251406831</v>
      </c>
      <c r="CT340" s="1312">
        <f t="shared" si="190"/>
        <v>73478.348482140747</v>
      </c>
      <c r="CU340" s="1312">
        <f t="shared" si="190"/>
        <v>16636543.956250114</v>
      </c>
    </row>
    <row r="341" spans="3:99" x14ac:dyDescent="0.35">
      <c r="C341" s="1315">
        <f t="shared" si="191"/>
        <v>248</v>
      </c>
      <c r="D341" s="1312">
        <f>IF(AND(C341&gt;$F$59,'Instrumentos Financeiros'!C341&lt;'Instrumentos Financeiros'!$F$59+'Instrumentos Financeiros'!$F$11+1),PMT(((1+'Instrumentos Financeiros'!$G$43)^(1/12)-1),$F$11,-$I$59),0)</f>
        <v>0</v>
      </c>
      <c r="E341" s="1312">
        <f t="shared" si="188"/>
        <v>-8.7671486152128203E-12</v>
      </c>
      <c r="F341" s="1312">
        <f>G340*((1+'Instrumentos Financeiros'!$G$43)^(1/12)-1)</f>
        <v>8.7671486152128203E-12</v>
      </c>
      <c r="G341" s="1312">
        <f t="shared" si="222"/>
        <v>2.1566301955246111E-9</v>
      </c>
      <c r="H341" s="1312">
        <f>IF(AND(C341&gt;$F$60,'Instrumentos Financeiros'!C341&lt;'Instrumentos Financeiros'!$F$60+'Instrumentos Financeiros'!$F$11+1),PMT(((1+'Instrumentos Financeiros'!$G$43)^(1/12)-1),$F$11,-$I$60),0)</f>
        <v>0</v>
      </c>
      <c r="I341" s="1312">
        <f t="shared" si="174"/>
        <v>0</v>
      </c>
      <c r="J341" s="1312">
        <f>K340*((1+'Instrumentos Financeiros'!$G$43)^(1/12)-1)</f>
        <v>0</v>
      </c>
      <c r="K341" s="1312">
        <f t="shared" si="192"/>
        <v>0</v>
      </c>
      <c r="L341" s="1312">
        <f>IF(AND(C341&gt;$F$61,'Instrumentos Financeiros'!C341&lt;'Instrumentos Financeiros'!$F$61+'Instrumentos Financeiros'!$F$11+1),PMT(((1+'Instrumentos Financeiros'!$G$43)^(1/12)-1),$F$11,-$I$61),0)</f>
        <v>0</v>
      </c>
      <c r="M341" s="1312">
        <f t="shared" si="175"/>
        <v>0</v>
      </c>
      <c r="N341" s="1312">
        <f>O340*((1+'Instrumentos Financeiros'!$G$43)^(1/12)-1)</f>
        <v>0</v>
      </c>
      <c r="O341" s="1312">
        <f t="shared" si="193"/>
        <v>0</v>
      </c>
      <c r="P341" s="1312">
        <f>IF(AND(C341&gt;$F$62,'Instrumentos Financeiros'!C341&lt;'Instrumentos Financeiros'!$F$62+'Instrumentos Financeiros'!$F$11+1),PMT(((1+'Instrumentos Financeiros'!$H$43)^(1/12)-1),$F$11,-$I$62),0)</f>
        <v>0</v>
      </c>
      <c r="Q341" s="1312">
        <f t="shared" si="176"/>
        <v>0</v>
      </c>
      <c r="R341" s="1312">
        <f>S340*((1+'Instrumentos Financeiros'!$H$43)^(1/12)-1)</f>
        <v>0</v>
      </c>
      <c r="S341" s="1312">
        <f t="shared" si="194"/>
        <v>0</v>
      </c>
      <c r="T341" s="1312">
        <f>IF(AND(C341&gt;$F$63,'Instrumentos Financeiros'!C341&lt;'Instrumentos Financeiros'!$F$63+'Instrumentos Financeiros'!$F$11+1),PMT(((1+'Instrumentos Financeiros'!$H$43)^(1/12)-1),$F$11,-$I$63),0)</f>
        <v>0</v>
      </c>
      <c r="U341" s="1312">
        <f t="shared" si="177"/>
        <v>0</v>
      </c>
      <c r="V341" s="1312">
        <f>W340*((1+'Instrumentos Financeiros'!$H$43)^(1/12)-1)</f>
        <v>0</v>
      </c>
      <c r="W341" s="1312">
        <f t="shared" si="195"/>
        <v>0</v>
      </c>
      <c r="X341" s="1312">
        <f>IF(AND(C341&gt;$F$64,'Instrumentos Financeiros'!C341&lt;'Instrumentos Financeiros'!$F$64+'Instrumentos Financeiros'!$F$11+1),PMT(((1+'Instrumentos Financeiros'!$H$43)^(1/12)-1),$F$11,-$I$64),0)</f>
        <v>0</v>
      </c>
      <c r="Y341" s="1312">
        <f t="shared" si="178"/>
        <v>0</v>
      </c>
      <c r="Z341" s="1312">
        <f>AA340*((1+'Instrumentos Financeiros'!$H$43)^(1/12)-1)</f>
        <v>0</v>
      </c>
      <c r="AA341" s="1312">
        <f t="shared" si="196"/>
        <v>0</v>
      </c>
      <c r="AB341" s="1312">
        <f>IF(AND(C341&gt;$F$65,'Instrumentos Financeiros'!C341&lt;'Instrumentos Financeiros'!$F$65+'Instrumentos Financeiros'!$F$11+1),PMT(((1+'Instrumentos Financeiros'!$H$43)^(1/12)-1),$F$11,-$I$65),0)</f>
        <v>76636.661022032335</v>
      </c>
      <c r="AC341" s="1312">
        <f t="shared" si="179"/>
        <v>71216.593818657027</v>
      </c>
      <c r="AD341" s="1312">
        <f>AE340*((1+'Instrumentos Financeiros'!$H$43)^(1/12)-1)</f>
        <v>5420.0672033753099</v>
      </c>
      <c r="AE341" s="1312">
        <f t="shared" si="197"/>
        <v>1182264.8275006278</v>
      </c>
      <c r="AF341" s="1312">
        <f>IF(AND(C341&gt;$F$66,'Instrumentos Financeiros'!C341&lt;'Instrumentos Financeiros'!$F$66+'Instrumentos Financeiros'!$F$11+1),PMT(((1+'Instrumentos Financeiros'!$I$43)^(1/12)-1),$F$11,-$I$66),0)</f>
        <v>76636.661022032335</v>
      </c>
      <c r="AG341" s="1312">
        <f t="shared" si="180"/>
        <v>70300.701900995657</v>
      </c>
      <c r="AH341" s="1312">
        <f>AI340*((1+'Instrumentos Financeiros'!$I$43)^(1/12)-1)</f>
        <v>6335.9591210366707</v>
      </c>
      <c r="AI341" s="1312">
        <f t="shared" si="198"/>
        <v>1394996.0825211795</v>
      </c>
      <c r="AJ341" s="1312">
        <f>IF(AND(C341&gt;$F$67,'Instrumentos Financeiros'!C341&lt;'Instrumentos Financeiros'!$F$67+'Instrumentos Financeiros'!$F$11+1),PMT(((1+'Instrumentos Financeiros'!$I$43)^(1/12)-1),$F$11,-$I$67),0)</f>
        <v>76636.661022032335</v>
      </c>
      <c r="AK341" s="1312">
        <f t="shared" si="181"/>
        <v>69396.588951687852</v>
      </c>
      <c r="AL341" s="1312">
        <f>AM340*((1+'Instrumentos Financeiros'!$I$43)^(1/12)-1)</f>
        <v>7240.0720703444831</v>
      </c>
      <c r="AM341" s="1312">
        <f t="shared" si="199"/>
        <v>1604991.4746387196</v>
      </c>
      <c r="AN341" s="1312">
        <f>IF(AND(C341&gt;$F$68,'Instrumentos Financeiros'!C341&lt;'Instrumentos Financeiros'!$F$68+'Instrumentos Financeiros'!$F$11+1),PMT(((1+'Instrumentos Financeiros'!$I$43)^(1/12)-1),$F$11,-$I$68),0)</f>
        <v>76636.661022032335</v>
      </c>
      <c r="AO341" s="1312">
        <f t="shared" si="182"/>
        <v>68504.10348550613</v>
      </c>
      <c r="AP341" s="1312">
        <f>AQ340*((1+'Instrumentos Financeiros'!$I$43)^(1/12)-1)</f>
        <v>8132.5575365262066</v>
      </c>
      <c r="AQ341" s="1312">
        <f t="shared" si="200"/>
        <v>1812286.1888373422</v>
      </c>
      <c r="AR341" s="1312">
        <f>IF(AND(C341&gt;$F$69,'Instrumentos Financeiros'!C341&lt;'Instrumentos Financeiros'!$F$69+'Instrumentos Financeiros'!$F$11+1),PMT(((1+'Instrumentos Financeiros'!$I$43)^(1/12)-1),$F$11,-$I$69),0)</f>
        <v>0</v>
      </c>
      <c r="AS341" s="1312">
        <f t="shared" si="183"/>
        <v>0</v>
      </c>
      <c r="AT341" s="1312">
        <f>AU340*((1+'Instrumentos Financeiros'!$I$43)^(1/12)-1)</f>
        <v>0</v>
      </c>
      <c r="AU341" s="1312">
        <f t="shared" si="201"/>
        <v>0</v>
      </c>
      <c r="AV341" s="1312">
        <f>IF(AND(C341&gt;$F$70,'Instrumentos Financeiros'!C341&lt;'Instrumentos Financeiros'!$F$70+'Instrumentos Financeiros'!$F$11+1),PMT(((1+'Instrumentos Financeiros'!$J$43)^(1/12)-1),$F$11,-$I$70),0)</f>
        <v>0</v>
      </c>
      <c r="AW341" s="1312">
        <f t="shared" si="184"/>
        <v>0</v>
      </c>
      <c r="AX341" s="1312">
        <f>AY340*((1+'Instrumentos Financeiros'!$J$43)^(1/12)-1)</f>
        <v>0</v>
      </c>
      <c r="AY341" s="1312">
        <f t="shared" si="202"/>
        <v>0</v>
      </c>
      <c r="AZ341" s="1312">
        <f>IF(AND(C341&gt;$F$71,'Instrumentos Financeiros'!C341&lt;'Instrumentos Financeiros'!$F$71+'Instrumentos Financeiros'!$F$11+1),PMT(((1+'Instrumentos Financeiros'!$J$43)^(1/12)-1),$F$11,-$I$71),0)</f>
        <v>0</v>
      </c>
      <c r="BA341" s="1312">
        <f t="shared" si="185"/>
        <v>0</v>
      </c>
      <c r="BB341" s="1312">
        <f>BC340*((1+'Instrumentos Financeiros'!$J$43)^(1/12)-1)</f>
        <v>0</v>
      </c>
      <c r="BC341" s="1312">
        <f t="shared" si="203"/>
        <v>0</v>
      </c>
      <c r="BD341" s="1312">
        <f>IF(AND(C341&gt;$F$72,'Instrumentos Financeiros'!C341&lt;'Instrumentos Financeiros'!$F$72+'Instrumentos Financeiros'!$F$11+1),PMT(((1+'Instrumentos Financeiros'!$J$43)^(1/12)-1),$F$11,-'Instrumentos Financeiros'!$G$7*$G$72),0)</f>
        <v>0</v>
      </c>
      <c r="BE341" s="1312">
        <f t="shared" si="186"/>
        <v>0</v>
      </c>
      <c r="BF341" s="1312">
        <f>BG340*((1+'Instrumentos Financeiros'!$J$43)^(1/12)-1)</f>
        <v>0</v>
      </c>
      <c r="BG341" s="1312">
        <f t="shared" si="204"/>
        <v>0</v>
      </c>
      <c r="BH341" s="1312">
        <f>IF(AND(C341&gt;$F$73,'Instrumentos Financeiros'!C341&lt;'Instrumentos Financeiros'!$F$73+'Instrumentos Financeiros'!$F$11+1),PMT(((1+'Instrumentos Financeiros'!$J$43)^(1/12)-1),$F$11,-$I$73),0)</f>
        <v>0</v>
      </c>
      <c r="BI341" s="1312">
        <f t="shared" si="187"/>
        <v>0</v>
      </c>
      <c r="BJ341" s="1312">
        <f>BK340*((1+'Instrumentos Financeiros'!$J$43)^(1/12)-1)</f>
        <v>0</v>
      </c>
      <c r="BK341" s="1312">
        <f t="shared" si="205"/>
        <v>0</v>
      </c>
      <c r="BL341" s="1312">
        <f>IF(AND(C341&gt;$F$77,'Instrumentos Financeiros'!C341&lt;'Instrumentos Financeiros'!$F$77+'Instrumentos Financeiros'!$F$12+1),PMT(((1+'Instrumentos Financeiros'!$K$43)^(1/12)-1),$F$12,-$I$77),0)</f>
        <v>368.57912678094596</v>
      </c>
      <c r="BM341" s="1312">
        <f t="shared" si="206"/>
        <v>325.22896129300045</v>
      </c>
      <c r="BN341" s="1312">
        <f>BO340*((1+'Instrumentos Financeiros'!$K$43)^(1/12)-1)</f>
        <v>43.350165487945482</v>
      </c>
      <c r="BO341" s="1312">
        <f t="shared" si="207"/>
        <v>9700.2236781903448</v>
      </c>
      <c r="BP341" s="1312">
        <f>IF(AND(C341&gt;$F$78,'Instrumentos Financeiros'!C341&lt;'Instrumentos Financeiros'!$F$78+'Instrumentos Financeiros'!$F$12+1),PMT(((1+'Instrumentos Financeiros'!$L$43)^(1/12)-1),$F$12,-$I$78),0)</f>
        <v>368.57912678094596</v>
      </c>
      <c r="BQ341" s="1312">
        <f t="shared" si="208"/>
        <v>321.04630439991524</v>
      </c>
      <c r="BR341" s="1312">
        <f>BS340*((1+'Instrumentos Financeiros'!$L$43)^(1/12)-1)</f>
        <v>47.532822381030734</v>
      </c>
      <c r="BS341" s="1312">
        <f t="shared" si="209"/>
        <v>10671.715873970777</v>
      </c>
      <c r="BT341" s="1312">
        <f>IF(AND(C341&gt;$F$79,'Instrumentos Financeiros'!C341&lt;'Instrumentos Financeiros'!$F$79+'Instrumentos Financeiros'!$F$12+1),PMT(((1+'Instrumentos Financeiros'!$L$43)^(1/12)-1),$F$12,-$I$79),0)</f>
        <v>368.57912678094596</v>
      </c>
      <c r="BU341" s="1312">
        <f t="shared" si="210"/>
        <v>316.91743920673184</v>
      </c>
      <c r="BV341" s="1312">
        <f>BW340*((1+'Instrumentos Financeiros'!$L$43)^(1/12)-1)</f>
        <v>51.661687574214113</v>
      </c>
      <c r="BW341" s="1312">
        <f t="shared" si="211"/>
        <v>11630.714045501019</v>
      </c>
      <c r="BX341" s="1312">
        <f>IF(AND(C341&gt;$F$80,'Instrumentos Financeiros'!C341&lt;'Instrumentos Financeiros'!$F$80+'Instrumentos Financeiros'!$F$12+1),PMT(((1+'Instrumentos Financeiros'!$L$43)^(1/12)-1),$F$12,-$I$80),0)</f>
        <v>368.57912678094596</v>
      </c>
      <c r="BY341" s="1312">
        <f t="shared" si="212"/>
        <v>312.84167391705103</v>
      </c>
      <c r="BZ341" s="1312">
        <f>CA340*((1+'Instrumentos Financeiros'!$L$43)^(1/12)-1)</f>
        <v>55.737452863894958</v>
      </c>
      <c r="CA341" s="1312">
        <f t="shared" si="213"/>
        <v>12577.378874094458</v>
      </c>
      <c r="CB341" s="1312">
        <f>IF(AND(C341&gt;$F$83,'Instrumentos Financeiros'!C341&lt;'Instrumentos Financeiros'!$F$83+'Instrumentos Financeiros'!$F$13+1),PMT(((1+'Instrumentos Financeiros'!$P$43)^(1/12)-1),$F$13,-$I$83),0)</f>
        <v>30503.390100238979</v>
      </c>
      <c r="CC341" s="1312">
        <f t="shared" si="214"/>
        <v>19728.301446487189</v>
      </c>
      <c r="CD341" s="1312">
        <f>CE340*((1+'Instrumentos Financeiros'!$P$43)^(1/12)-1)</f>
        <v>10775.088653751793</v>
      </c>
      <c r="CE341" s="1312">
        <f t="shared" si="215"/>
        <v>2472191.6201616977</v>
      </c>
      <c r="CF341" s="1312">
        <f>IF(AND(C341&gt;$F$84,'Instrumentos Financeiros'!C341&lt;'Instrumentos Financeiros'!$F$84+'Instrumentos Financeiros'!$F$13+1),PMT(((1+'Instrumentos Financeiros'!$Q$43)^(1/12)-1),$F$13,-$I$84),0)</f>
        <v>30503.390100238979</v>
      </c>
      <c r="CG341" s="1312">
        <f t="shared" si="216"/>
        <v>19474.582602673418</v>
      </c>
      <c r="CH341" s="1312">
        <f>CI340*((1+'Instrumentos Financeiros'!$Q$43)^(1/12)-1)</f>
        <v>11028.807497565562</v>
      </c>
      <c r="CI341" s="1312">
        <f t="shared" si="217"/>
        <v>2531122.0758476523</v>
      </c>
      <c r="CJ341" s="1312">
        <f>IF(AND(C341&gt;$F$85,'Instrumentos Financeiros'!C341&lt;'Instrumentos Financeiros'!$F$85+'Instrumentos Financeiros'!$F$13+1),PMT(((1+'Instrumentos Financeiros'!$Q$43)^(1/12)-1),$F$13,-$I$85),0)</f>
        <v>30503.390100238979</v>
      </c>
      <c r="CK341" s="1312">
        <f t="shared" si="218"/>
        <v>19224.126748929055</v>
      </c>
      <c r="CL341" s="1312">
        <f>CM340*((1+'Instrumentos Financeiros'!$Q$43)^(1/12)-1)</f>
        <v>11279.263351309923</v>
      </c>
      <c r="CM341" s="1312">
        <f t="shared" si="219"/>
        <v>2589294.6473780638</v>
      </c>
      <c r="CN341" s="1312">
        <f>IF(AND(C341&gt;$F$86,'Instrumentos Financeiros'!C341&lt;'Instrumentos Financeiros'!$F$86+'Instrumentos Financeiros'!$F$13+1),PMT(((1+'Instrumentos Financeiros'!$Q$43)^(1/12)-1),$F$13,-$I$86),0)</f>
        <v>30503.390100238979</v>
      </c>
      <c r="CO341" s="1312">
        <f t="shared" si="220"/>
        <v>18976.891921070313</v>
      </c>
      <c r="CP341" s="1312">
        <f>CQ340*((1+'Instrumentos Financeiros'!$Q$43)^(1/12)-1)</f>
        <v>11526.498179168666</v>
      </c>
      <c r="CQ341" s="1312">
        <f t="shared" si="221"/>
        <v>2646719.08163825</v>
      </c>
      <c r="CR341" s="1312">
        <f t="shared" si="190"/>
        <v>430034.52099620906</v>
      </c>
      <c r="CS341" s="1312">
        <f t="shared" si="190"/>
        <v>358097.92525482335</v>
      </c>
      <c r="CT341" s="1312">
        <f t="shared" si="190"/>
        <v>71936.59574138571</v>
      </c>
      <c r="CU341" s="1312">
        <f t="shared" si="190"/>
        <v>16278446.030995291</v>
      </c>
    </row>
    <row r="342" spans="3:99" x14ac:dyDescent="0.35">
      <c r="C342" s="1315">
        <f t="shared" si="191"/>
        <v>249</v>
      </c>
      <c r="D342" s="1312">
        <f>IF(AND(C342&gt;$F$59,'Instrumentos Financeiros'!C342&lt;'Instrumentos Financeiros'!$F$59+'Instrumentos Financeiros'!$F$11+1),PMT(((1+'Instrumentos Financeiros'!$G$43)^(1/12)-1),$F$11,-$I$59),0)</f>
        <v>0</v>
      </c>
      <c r="E342" s="1312">
        <f t="shared" si="188"/>
        <v>-8.8029343674523901E-12</v>
      </c>
      <c r="F342" s="1312">
        <f>G341*((1+'Instrumentos Financeiros'!$G$43)^(1/12)-1)</f>
        <v>8.8029343674523901E-12</v>
      </c>
      <c r="G342" s="1312">
        <f t="shared" si="222"/>
        <v>2.1654331298920634E-9</v>
      </c>
      <c r="H342" s="1312">
        <f>IF(AND(C342&gt;$F$60,'Instrumentos Financeiros'!C342&lt;'Instrumentos Financeiros'!$F$60+'Instrumentos Financeiros'!$F$11+1),PMT(((1+'Instrumentos Financeiros'!$G$43)^(1/12)-1),$F$11,-$I$60),0)</f>
        <v>0</v>
      </c>
      <c r="I342" s="1312">
        <f t="shared" si="174"/>
        <v>0</v>
      </c>
      <c r="J342" s="1312">
        <f>K341*((1+'Instrumentos Financeiros'!$G$43)^(1/12)-1)</f>
        <v>0</v>
      </c>
      <c r="K342" s="1312">
        <f t="shared" si="192"/>
        <v>0</v>
      </c>
      <c r="L342" s="1312">
        <f>IF(AND(C342&gt;$F$61,'Instrumentos Financeiros'!C342&lt;'Instrumentos Financeiros'!$F$61+'Instrumentos Financeiros'!$F$11+1),PMT(((1+'Instrumentos Financeiros'!$G$43)^(1/12)-1),$F$11,-$I$61),0)</f>
        <v>0</v>
      </c>
      <c r="M342" s="1312">
        <f t="shared" si="175"/>
        <v>0</v>
      </c>
      <c r="N342" s="1312">
        <f>O341*((1+'Instrumentos Financeiros'!$G$43)^(1/12)-1)</f>
        <v>0</v>
      </c>
      <c r="O342" s="1312">
        <f t="shared" si="193"/>
        <v>0</v>
      </c>
      <c r="P342" s="1312">
        <f>IF(AND(C342&gt;$F$62,'Instrumentos Financeiros'!C342&lt;'Instrumentos Financeiros'!$F$62+'Instrumentos Financeiros'!$F$11+1),PMT(((1+'Instrumentos Financeiros'!$H$43)^(1/12)-1),$F$11,-$I$62),0)</f>
        <v>0</v>
      </c>
      <c r="Q342" s="1312">
        <f t="shared" si="176"/>
        <v>0</v>
      </c>
      <c r="R342" s="1312">
        <f>S341*((1+'Instrumentos Financeiros'!$H$43)^(1/12)-1)</f>
        <v>0</v>
      </c>
      <c r="S342" s="1312">
        <f t="shared" si="194"/>
        <v>0</v>
      </c>
      <c r="T342" s="1312">
        <f>IF(AND(C342&gt;$F$63,'Instrumentos Financeiros'!C342&lt;'Instrumentos Financeiros'!$F$63+'Instrumentos Financeiros'!$F$11+1),PMT(((1+'Instrumentos Financeiros'!$H$43)^(1/12)-1),$F$11,-$I$63),0)</f>
        <v>0</v>
      </c>
      <c r="U342" s="1312">
        <f t="shared" si="177"/>
        <v>0</v>
      </c>
      <c r="V342" s="1312">
        <f>W341*((1+'Instrumentos Financeiros'!$H$43)^(1/12)-1)</f>
        <v>0</v>
      </c>
      <c r="W342" s="1312">
        <f t="shared" si="195"/>
        <v>0</v>
      </c>
      <c r="X342" s="1312">
        <f>IF(AND(C342&gt;$F$64,'Instrumentos Financeiros'!C342&lt;'Instrumentos Financeiros'!$F$64+'Instrumentos Financeiros'!$F$11+1),PMT(((1+'Instrumentos Financeiros'!$H$43)^(1/12)-1),$F$11,-$I$64),0)</f>
        <v>0</v>
      </c>
      <c r="Y342" s="1312">
        <f t="shared" si="178"/>
        <v>0</v>
      </c>
      <c r="Z342" s="1312">
        <f>AA341*((1+'Instrumentos Financeiros'!$H$43)^(1/12)-1)</f>
        <v>0</v>
      </c>
      <c r="AA342" s="1312">
        <f t="shared" si="196"/>
        <v>0</v>
      </c>
      <c r="AB342" s="1312">
        <f>IF(AND(C342&gt;$F$65,'Instrumentos Financeiros'!C342&lt;'Instrumentos Financeiros'!$F$65+'Instrumentos Financeiros'!$F$11+1),PMT(((1+'Instrumentos Financeiros'!$H$43)^(1/12)-1),$F$11,-$I$65),0)</f>
        <v>76636.661022032335</v>
      </c>
      <c r="AC342" s="1312">
        <f t="shared" si="179"/>
        <v>71524.535139467625</v>
      </c>
      <c r="AD342" s="1312">
        <f>AE341*((1+'Instrumentos Financeiros'!$H$43)^(1/12)-1)</f>
        <v>5112.1258825647137</v>
      </c>
      <c r="AE342" s="1312">
        <f t="shared" si="197"/>
        <v>1110740.2923611603</v>
      </c>
      <c r="AF342" s="1312">
        <f>IF(AND(C342&gt;$F$66,'Instrumentos Financeiros'!C342&lt;'Instrumentos Financeiros'!$F$66+'Instrumentos Financeiros'!$F$11+1),PMT(((1+'Instrumentos Financeiros'!$I$43)^(1/12)-1),$F$11,-$I$66),0)</f>
        <v>76636.661022032335</v>
      </c>
      <c r="AG342" s="1312">
        <f t="shared" si="180"/>
        <v>70604.682895262667</v>
      </c>
      <c r="AH342" s="1312">
        <f>AI341*((1+'Instrumentos Financeiros'!$I$43)^(1/12)-1)</f>
        <v>6031.978126769669</v>
      </c>
      <c r="AI342" s="1312">
        <f t="shared" si="198"/>
        <v>1324391.3996259167</v>
      </c>
      <c r="AJ342" s="1312">
        <f>IF(AND(C342&gt;$F$67,'Instrumentos Financeiros'!C342&lt;'Instrumentos Financeiros'!$F$67+'Instrumentos Financeiros'!$F$11+1),PMT(((1+'Instrumentos Financeiros'!$I$43)^(1/12)-1),$F$11,-$I$67),0)</f>
        <v>76636.661022032335</v>
      </c>
      <c r="AK342" s="1312">
        <f t="shared" si="181"/>
        <v>69696.660551797628</v>
      </c>
      <c r="AL342" s="1312">
        <f>AM341*((1+'Instrumentos Financeiros'!$I$43)^(1/12)-1)</f>
        <v>6940.0004702347014</v>
      </c>
      <c r="AM342" s="1312">
        <f t="shared" si="199"/>
        <v>1535294.814086922</v>
      </c>
      <c r="AN342" s="1312">
        <f>IF(AND(C342&gt;$F$68,'Instrumentos Financeiros'!C342&lt;'Instrumentos Financeiros'!$F$68+'Instrumentos Financeiros'!$F$11+1),PMT(((1+'Instrumentos Financeiros'!$I$43)^(1/12)-1),$F$11,-$I$68),0)</f>
        <v>76636.661022032335</v>
      </c>
      <c r="AO342" s="1312">
        <f t="shared" si="182"/>
        <v>68800.315968821305</v>
      </c>
      <c r="AP342" s="1312">
        <f>AQ341*((1+'Instrumentos Financeiros'!$I$43)^(1/12)-1)</f>
        <v>7836.3450532110319</v>
      </c>
      <c r="AQ342" s="1312">
        <f t="shared" si="200"/>
        <v>1743485.8728685209</v>
      </c>
      <c r="AR342" s="1312">
        <f>IF(AND(C342&gt;$F$69,'Instrumentos Financeiros'!C342&lt;'Instrumentos Financeiros'!$F$69+'Instrumentos Financeiros'!$F$11+1),PMT(((1+'Instrumentos Financeiros'!$I$43)^(1/12)-1),$F$11,-$I$69),0)</f>
        <v>0</v>
      </c>
      <c r="AS342" s="1312">
        <f t="shared" si="183"/>
        <v>0</v>
      </c>
      <c r="AT342" s="1312">
        <f>AU341*((1+'Instrumentos Financeiros'!$I$43)^(1/12)-1)</f>
        <v>0</v>
      </c>
      <c r="AU342" s="1312">
        <f t="shared" si="201"/>
        <v>0</v>
      </c>
      <c r="AV342" s="1312">
        <f>IF(AND(C342&gt;$F$70,'Instrumentos Financeiros'!C342&lt;'Instrumentos Financeiros'!$F$70+'Instrumentos Financeiros'!$F$11+1),PMT(((1+'Instrumentos Financeiros'!$J$43)^(1/12)-1),$F$11,-$I$70),0)</f>
        <v>0</v>
      </c>
      <c r="AW342" s="1312">
        <f t="shared" si="184"/>
        <v>0</v>
      </c>
      <c r="AX342" s="1312">
        <f>AY341*((1+'Instrumentos Financeiros'!$J$43)^(1/12)-1)</f>
        <v>0</v>
      </c>
      <c r="AY342" s="1312">
        <f t="shared" si="202"/>
        <v>0</v>
      </c>
      <c r="AZ342" s="1312">
        <f>IF(AND(C342&gt;$F$71,'Instrumentos Financeiros'!C342&lt;'Instrumentos Financeiros'!$F$71+'Instrumentos Financeiros'!$F$11+1),PMT(((1+'Instrumentos Financeiros'!$J$43)^(1/12)-1),$F$11,-$I$71),0)</f>
        <v>0</v>
      </c>
      <c r="BA342" s="1312">
        <f t="shared" si="185"/>
        <v>0</v>
      </c>
      <c r="BB342" s="1312">
        <f>BC341*((1+'Instrumentos Financeiros'!$J$43)^(1/12)-1)</f>
        <v>0</v>
      </c>
      <c r="BC342" s="1312">
        <f t="shared" si="203"/>
        <v>0</v>
      </c>
      <c r="BD342" s="1312">
        <f>IF(AND(C342&gt;$F$72,'Instrumentos Financeiros'!C342&lt;'Instrumentos Financeiros'!$F$72+'Instrumentos Financeiros'!$F$11+1),PMT(((1+'Instrumentos Financeiros'!$J$43)^(1/12)-1),$F$11,-'Instrumentos Financeiros'!$G$7*$G$72),0)</f>
        <v>0</v>
      </c>
      <c r="BE342" s="1312">
        <f t="shared" si="186"/>
        <v>0</v>
      </c>
      <c r="BF342" s="1312">
        <f>BG341*((1+'Instrumentos Financeiros'!$J$43)^(1/12)-1)</f>
        <v>0</v>
      </c>
      <c r="BG342" s="1312">
        <f t="shared" si="204"/>
        <v>0</v>
      </c>
      <c r="BH342" s="1312">
        <f>IF(AND(C342&gt;$F$73,'Instrumentos Financeiros'!C342&lt;'Instrumentos Financeiros'!$F$73+'Instrumentos Financeiros'!$F$11+1),PMT(((1+'Instrumentos Financeiros'!$J$43)^(1/12)-1),$F$11,-$I$73),0)</f>
        <v>0</v>
      </c>
      <c r="BI342" s="1312">
        <f t="shared" si="187"/>
        <v>0</v>
      </c>
      <c r="BJ342" s="1312">
        <f>BK341*((1+'Instrumentos Financeiros'!$J$43)^(1/12)-1)</f>
        <v>0</v>
      </c>
      <c r="BK342" s="1312">
        <f t="shared" si="205"/>
        <v>0</v>
      </c>
      <c r="BL342" s="1312">
        <f>IF(AND(C342&gt;$F$77,'Instrumentos Financeiros'!C342&lt;'Instrumentos Financeiros'!$F$77+'Instrumentos Financeiros'!$F$12+1),PMT(((1+'Instrumentos Financeiros'!$K$43)^(1/12)-1),$F$12,-$I$77),0)</f>
        <v>368.57912678094596</v>
      </c>
      <c r="BM342" s="1312">
        <f t="shared" si="206"/>
        <v>326.63525483410194</v>
      </c>
      <c r="BN342" s="1312">
        <f>BO341*((1+'Instrumentos Financeiros'!$K$43)^(1/12)-1)</f>
        <v>41.943871946844006</v>
      </c>
      <c r="BO342" s="1312">
        <f t="shared" si="207"/>
        <v>9373.5884233562429</v>
      </c>
      <c r="BP342" s="1312">
        <f>IF(AND(C342&gt;$F$78,'Instrumentos Financeiros'!C342&lt;'Instrumentos Financeiros'!$F$78+'Instrumentos Financeiros'!$F$12+1),PMT(((1+'Instrumentos Financeiros'!$L$43)^(1/12)-1),$F$12,-$I$78),0)</f>
        <v>368.57912678094596</v>
      </c>
      <c r="BQ342" s="1312">
        <f t="shared" si="208"/>
        <v>322.43451208743835</v>
      </c>
      <c r="BR342" s="1312">
        <f>BS341*((1+'Instrumentos Financeiros'!$L$43)^(1/12)-1)</f>
        <v>46.14461469350762</v>
      </c>
      <c r="BS342" s="1312">
        <f t="shared" si="209"/>
        <v>10349.281361883339</v>
      </c>
      <c r="BT342" s="1312">
        <f>IF(AND(C342&gt;$F$79,'Instrumentos Financeiros'!C342&lt;'Instrumentos Financeiros'!$F$79+'Instrumentos Financeiros'!$F$12+1),PMT(((1+'Instrumentos Financeiros'!$L$43)^(1/12)-1),$F$12,-$I$79),0)</f>
        <v>368.57912678094596</v>
      </c>
      <c r="BU342" s="1312">
        <f t="shared" si="210"/>
        <v>318.28779363656793</v>
      </c>
      <c r="BV342" s="1312">
        <f>BW341*((1+'Instrumentos Financeiros'!$L$43)^(1/12)-1)</f>
        <v>50.291333144378036</v>
      </c>
      <c r="BW342" s="1312">
        <f t="shared" si="211"/>
        <v>11312.426251864452</v>
      </c>
      <c r="BX342" s="1312">
        <f>IF(AND(C342&gt;$F$80,'Instrumentos Financeiros'!C342&lt;'Instrumentos Financeiros'!$F$80+'Instrumentos Financeiros'!$F$12+1),PMT(((1+'Instrumentos Financeiros'!$L$43)^(1/12)-1),$F$12,-$I$80),0)</f>
        <v>368.57912678094596</v>
      </c>
      <c r="BY342" s="1312">
        <f t="shared" si="212"/>
        <v>314.19440469375627</v>
      </c>
      <c r="BZ342" s="1312">
        <f>CA341*((1+'Instrumentos Financeiros'!$L$43)^(1/12)-1)</f>
        <v>54.384722087189701</v>
      </c>
      <c r="CA342" s="1312">
        <f t="shared" si="213"/>
        <v>12263.184469400701</v>
      </c>
      <c r="CB342" s="1312">
        <f>IF(AND(C342&gt;$F$83,'Instrumentos Financeiros'!C342&lt;'Instrumentos Financeiros'!$F$83+'Instrumentos Financeiros'!$F$13+1),PMT(((1+'Instrumentos Financeiros'!$P$43)^(1/12)-1),$F$13,-$I$83),0)</f>
        <v>30503.390100238979</v>
      </c>
      <c r="CC342" s="1312">
        <f t="shared" si="214"/>
        <v>19813.606835007318</v>
      </c>
      <c r="CD342" s="1312">
        <f>CE341*((1+'Instrumentos Financeiros'!$P$43)^(1/12)-1)</f>
        <v>10689.783265231661</v>
      </c>
      <c r="CE342" s="1312">
        <f t="shared" si="215"/>
        <v>2452378.0133266905</v>
      </c>
      <c r="CF342" s="1312">
        <f>IF(AND(C342&gt;$F$84,'Instrumentos Financeiros'!C342&lt;'Instrumentos Financeiros'!$F$84+'Instrumentos Financeiros'!$F$13+1),PMT(((1+'Instrumentos Financeiros'!$Q$43)^(1/12)-1),$F$13,-$I$84),0)</f>
        <v>30503.390100238979</v>
      </c>
      <c r="CG342" s="1312">
        <f t="shared" si="216"/>
        <v>19558.790908172734</v>
      </c>
      <c r="CH342" s="1312">
        <f>CI341*((1+'Instrumentos Financeiros'!$Q$43)^(1/12)-1)</f>
        <v>10944.599192066245</v>
      </c>
      <c r="CI342" s="1312">
        <f t="shared" si="217"/>
        <v>2511563.2849394795</v>
      </c>
      <c r="CJ342" s="1312">
        <f>IF(AND(C342&gt;$F$85,'Instrumentos Financeiros'!C342&lt;'Instrumentos Financeiros'!$F$85+'Instrumentos Financeiros'!$F$13+1),PMT(((1+'Instrumentos Financeiros'!$Q$43)^(1/12)-1),$F$13,-$I$85),0)</f>
        <v>30503.390100238979</v>
      </c>
      <c r="CK342" s="1312">
        <f t="shared" si="218"/>
        <v>19307.252080611863</v>
      </c>
      <c r="CL342" s="1312">
        <f>CM341*((1+'Instrumentos Financeiros'!$Q$43)^(1/12)-1)</f>
        <v>11196.138019627117</v>
      </c>
      <c r="CM342" s="1312">
        <f t="shared" si="219"/>
        <v>2569987.3952974519</v>
      </c>
      <c r="CN342" s="1312">
        <f>IF(AND(C342&gt;$F$86,'Instrumentos Financeiros'!C342&lt;'Instrumentos Financeiros'!$F$86+'Instrumentos Financeiros'!$F$13+1),PMT(((1+'Instrumentos Financeiros'!$Q$43)^(1/12)-1),$F$13,-$I$86),0)</f>
        <v>30503.390100238979</v>
      </c>
      <c r="CO342" s="1312">
        <f t="shared" si="220"/>
        <v>19058.948206687324</v>
      </c>
      <c r="CP342" s="1312">
        <f>CQ341*((1+'Instrumentos Financeiros'!$Q$43)^(1/12)-1)</f>
        <v>11444.441893551657</v>
      </c>
      <c r="CQ342" s="1312">
        <f t="shared" si="221"/>
        <v>2627660.1334315627</v>
      </c>
      <c r="CR342" s="1312">
        <f t="shared" si="190"/>
        <v>430034.52099620906</v>
      </c>
      <c r="CS342" s="1312">
        <f t="shared" si="190"/>
        <v>359646.34455108031</v>
      </c>
      <c r="CT342" s="1312">
        <f t="shared" si="190"/>
        <v>70388.176445128731</v>
      </c>
      <c r="CU342" s="1312">
        <f t="shared" si="190"/>
        <v>15918799.686444214</v>
      </c>
    </row>
    <row r="343" spans="3:99" x14ac:dyDescent="0.35">
      <c r="C343" s="1315">
        <f t="shared" si="191"/>
        <v>250</v>
      </c>
      <c r="D343" s="1312">
        <f>IF(AND(C343&gt;$F$59,'Instrumentos Financeiros'!C343&lt;'Instrumentos Financeiros'!$F$59+'Instrumentos Financeiros'!$F$11+1),PMT(((1+'Instrumentos Financeiros'!$G$43)^(1/12)-1),$F$11,-$I$59),0)</f>
        <v>0</v>
      </c>
      <c r="E343" s="1312">
        <f t="shared" si="188"/>
        <v>-8.8388661899959501E-12</v>
      </c>
      <c r="F343" s="1312">
        <f>G342*((1+'Instrumentos Financeiros'!$G$43)^(1/12)-1)</f>
        <v>8.8388661899959501E-12</v>
      </c>
      <c r="G343" s="1312">
        <f t="shared" si="222"/>
        <v>2.1742719960820594E-9</v>
      </c>
      <c r="H343" s="1312">
        <f>IF(AND(C343&gt;$F$60,'Instrumentos Financeiros'!C343&lt;'Instrumentos Financeiros'!$F$60+'Instrumentos Financeiros'!$F$11+1),PMT(((1+'Instrumentos Financeiros'!$G$43)^(1/12)-1),$F$11,-$I$60),0)</f>
        <v>0</v>
      </c>
      <c r="I343" s="1312">
        <f t="shared" si="174"/>
        <v>0</v>
      </c>
      <c r="J343" s="1312">
        <f>K342*((1+'Instrumentos Financeiros'!$G$43)^(1/12)-1)</f>
        <v>0</v>
      </c>
      <c r="K343" s="1312">
        <f t="shared" si="192"/>
        <v>0</v>
      </c>
      <c r="L343" s="1312">
        <f>IF(AND(C343&gt;$F$61,'Instrumentos Financeiros'!C343&lt;'Instrumentos Financeiros'!$F$61+'Instrumentos Financeiros'!$F$11+1),PMT(((1+'Instrumentos Financeiros'!$G$43)^(1/12)-1),$F$11,-$I$61),0)</f>
        <v>0</v>
      </c>
      <c r="M343" s="1312">
        <f t="shared" si="175"/>
        <v>0</v>
      </c>
      <c r="N343" s="1312">
        <f>O342*((1+'Instrumentos Financeiros'!$G$43)^(1/12)-1)</f>
        <v>0</v>
      </c>
      <c r="O343" s="1312">
        <f t="shared" si="193"/>
        <v>0</v>
      </c>
      <c r="P343" s="1312">
        <f>IF(AND(C343&gt;$F$62,'Instrumentos Financeiros'!C343&lt;'Instrumentos Financeiros'!$F$62+'Instrumentos Financeiros'!$F$11+1),PMT(((1+'Instrumentos Financeiros'!$H$43)^(1/12)-1),$F$11,-$I$62),0)</f>
        <v>0</v>
      </c>
      <c r="Q343" s="1312">
        <f t="shared" si="176"/>
        <v>0</v>
      </c>
      <c r="R343" s="1312">
        <f>S342*((1+'Instrumentos Financeiros'!$H$43)^(1/12)-1)</f>
        <v>0</v>
      </c>
      <c r="S343" s="1312">
        <f t="shared" si="194"/>
        <v>0</v>
      </c>
      <c r="T343" s="1312">
        <f>IF(AND(C343&gt;$F$63,'Instrumentos Financeiros'!C343&lt;'Instrumentos Financeiros'!$F$63+'Instrumentos Financeiros'!$F$11+1),PMT(((1+'Instrumentos Financeiros'!$H$43)^(1/12)-1),$F$11,-$I$63),0)</f>
        <v>0</v>
      </c>
      <c r="U343" s="1312">
        <f t="shared" si="177"/>
        <v>0</v>
      </c>
      <c r="V343" s="1312">
        <f>W342*((1+'Instrumentos Financeiros'!$H$43)^(1/12)-1)</f>
        <v>0</v>
      </c>
      <c r="W343" s="1312">
        <f t="shared" si="195"/>
        <v>0</v>
      </c>
      <c r="X343" s="1312">
        <f>IF(AND(C343&gt;$F$64,'Instrumentos Financeiros'!C343&lt;'Instrumentos Financeiros'!$F$64+'Instrumentos Financeiros'!$F$11+1),PMT(((1+'Instrumentos Financeiros'!$H$43)^(1/12)-1),$F$11,-$I$64),0)</f>
        <v>0</v>
      </c>
      <c r="Y343" s="1312">
        <f t="shared" si="178"/>
        <v>0</v>
      </c>
      <c r="Z343" s="1312">
        <f>AA342*((1+'Instrumentos Financeiros'!$H$43)^(1/12)-1)</f>
        <v>0</v>
      </c>
      <c r="AA343" s="1312">
        <f t="shared" si="196"/>
        <v>0</v>
      </c>
      <c r="AB343" s="1312">
        <f>IF(AND(C343&gt;$F$65,'Instrumentos Financeiros'!C343&lt;'Instrumentos Financeiros'!$F$65+'Instrumentos Financeiros'!$F$11+1),PMT(((1+'Instrumentos Financeiros'!$H$43)^(1/12)-1),$F$11,-$I$65),0)</f>
        <v>76636.661022032335</v>
      </c>
      <c r="AC343" s="1312">
        <f t="shared" si="179"/>
        <v>71833.808001875164</v>
      </c>
      <c r="AD343" s="1312">
        <f>AE342*((1+'Instrumentos Financeiros'!$H$43)^(1/12)-1)</f>
        <v>4802.8530201571684</v>
      </c>
      <c r="AE343" s="1312">
        <f t="shared" si="197"/>
        <v>1038906.4843592851</v>
      </c>
      <c r="AF343" s="1312">
        <f>IF(AND(C343&gt;$F$66,'Instrumentos Financeiros'!C343&lt;'Instrumentos Financeiros'!$F$66+'Instrumentos Financeiros'!$F$11+1),PMT(((1+'Instrumentos Financeiros'!$I$43)^(1/12)-1),$F$11,-$I$66),0)</f>
        <v>76636.661022032335</v>
      </c>
      <c r="AG343" s="1312">
        <f t="shared" si="180"/>
        <v>70909.978306631878</v>
      </c>
      <c r="AH343" s="1312">
        <f>AI342*((1+'Instrumentos Financeiros'!$I$43)^(1/12)-1)</f>
        <v>5726.6827154004632</v>
      </c>
      <c r="AI343" s="1312">
        <f t="shared" si="198"/>
        <v>1253481.4213192849</v>
      </c>
      <c r="AJ343" s="1312">
        <f>IF(AND(C343&gt;$F$67,'Instrumentos Financeiros'!C343&lt;'Instrumentos Financeiros'!$F$67+'Instrumentos Financeiros'!$F$11+1),PMT(((1+'Instrumentos Financeiros'!$I$43)^(1/12)-1),$F$11,-$I$67),0)</f>
        <v>76636.661022032335</v>
      </c>
      <c r="AK343" s="1312">
        <f t="shared" si="181"/>
        <v>69998.029664747053</v>
      </c>
      <c r="AL343" s="1312">
        <f>AM342*((1+'Instrumentos Financeiros'!$I$43)^(1/12)-1)</f>
        <v>6638.631357285275</v>
      </c>
      <c r="AM343" s="1312">
        <f t="shared" si="199"/>
        <v>1465296.784422175</v>
      </c>
      <c r="AN343" s="1312">
        <f>IF(AND(C343&gt;$F$68,'Instrumentos Financeiros'!C343&lt;'Instrumentos Financeiros'!$F$68+'Instrumentos Financeiros'!$F$11+1),PMT(((1+'Instrumentos Financeiros'!$I$43)^(1/12)-1),$F$11,-$I$68),0)</f>
        <v>76636.661022032335</v>
      </c>
      <c r="AO343" s="1312">
        <f t="shared" si="182"/>
        <v>69097.809278113418</v>
      </c>
      <c r="AP343" s="1312">
        <f>AQ342*((1+'Instrumentos Financeiros'!$I$43)^(1/12)-1)</f>
        <v>7538.85174391891</v>
      </c>
      <c r="AQ343" s="1312">
        <f t="shared" si="200"/>
        <v>1674388.0635904074</v>
      </c>
      <c r="AR343" s="1312">
        <f>IF(AND(C343&gt;$F$69,'Instrumentos Financeiros'!C343&lt;'Instrumentos Financeiros'!$F$69+'Instrumentos Financeiros'!$F$11+1),PMT(((1+'Instrumentos Financeiros'!$I$43)^(1/12)-1),$F$11,-$I$69),0)</f>
        <v>0</v>
      </c>
      <c r="AS343" s="1312">
        <f t="shared" si="183"/>
        <v>0</v>
      </c>
      <c r="AT343" s="1312">
        <f>AU342*((1+'Instrumentos Financeiros'!$I$43)^(1/12)-1)</f>
        <v>0</v>
      </c>
      <c r="AU343" s="1312">
        <f t="shared" si="201"/>
        <v>0</v>
      </c>
      <c r="AV343" s="1312">
        <f>IF(AND(C343&gt;$F$70,'Instrumentos Financeiros'!C343&lt;'Instrumentos Financeiros'!$F$70+'Instrumentos Financeiros'!$F$11+1),PMT(((1+'Instrumentos Financeiros'!$J$43)^(1/12)-1),$F$11,-$I$70),0)</f>
        <v>0</v>
      </c>
      <c r="AW343" s="1312">
        <f t="shared" si="184"/>
        <v>0</v>
      </c>
      <c r="AX343" s="1312">
        <f>AY342*((1+'Instrumentos Financeiros'!$J$43)^(1/12)-1)</f>
        <v>0</v>
      </c>
      <c r="AY343" s="1312">
        <f t="shared" si="202"/>
        <v>0</v>
      </c>
      <c r="AZ343" s="1312">
        <f>IF(AND(C343&gt;$F$71,'Instrumentos Financeiros'!C343&lt;'Instrumentos Financeiros'!$F$71+'Instrumentos Financeiros'!$F$11+1),PMT(((1+'Instrumentos Financeiros'!$J$43)^(1/12)-1),$F$11,-$I$71),0)</f>
        <v>0</v>
      </c>
      <c r="BA343" s="1312">
        <f t="shared" si="185"/>
        <v>0</v>
      </c>
      <c r="BB343" s="1312">
        <f>BC342*((1+'Instrumentos Financeiros'!$J$43)^(1/12)-1)</f>
        <v>0</v>
      </c>
      <c r="BC343" s="1312">
        <f t="shared" si="203"/>
        <v>0</v>
      </c>
      <c r="BD343" s="1312">
        <f>IF(AND(C343&gt;$F$72,'Instrumentos Financeiros'!C343&lt;'Instrumentos Financeiros'!$F$72+'Instrumentos Financeiros'!$F$11+1),PMT(((1+'Instrumentos Financeiros'!$J$43)^(1/12)-1),$F$11,-'Instrumentos Financeiros'!$G$7*$G$72),0)</f>
        <v>0</v>
      </c>
      <c r="BE343" s="1312">
        <f t="shared" si="186"/>
        <v>0</v>
      </c>
      <c r="BF343" s="1312">
        <f>BG342*((1+'Instrumentos Financeiros'!$J$43)^(1/12)-1)</f>
        <v>0</v>
      </c>
      <c r="BG343" s="1312">
        <f t="shared" si="204"/>
        <v>0</v>
      </c>
      <c r="BH343" s="1312">
        <f>IF(AND(C343&gt;$F$73,'Instrumentos Financeiros'!C343&lt;'Instrumentos Financeiros'!$F$73+'Instrumentos Financeiros'!$F$11+1),PMT(((1+'Instrumentos Financeiros'!$J$43)^(1/12)-1),$F$11,-$I$73),0)</f>
        <v>0</v>
      </c>
      <c r="BI343" s="1312">
        <f t="shared" si="187"/>
        <v>0</v>
      </c>
      <c r="BJ343" s="1312">
        <f>BK342*((1+'Instrumentos Financeiros'!$J$43)^(1/12)-1)</f>
        <v>0</v>
      </c>
      <c r="BK343" s="1312">
        <f t="shared" si="205"/>
        <v>0</v>
      </c>
      <c r="BL343" s="1312">
        <f>IF(AND(C343&gt;$F$77,'Instrumentos Financeiros'!C343&lt;'Instrumentos Financeiros'!$F$77+'Instrumentos Financeiros'!$F$12+1),PMT(((1+'Instrumentos Financeiros'!$K$43)^(1/12)-1),$F$12,-$I$77),0)</f>
        <v>368.57912678094596</v>
      </c>
      <c r="BM343" s="1312">
        <f t="shared" si="206"/>
        <v>328.04762920366312</v>
      </c>
      <c r="BN343" s="1312">
        <f>BO342*((1+'Instrumentos Financeiros'!$K$43)^(1/12)-1)</f>
        <v>40.531497577282842</v>
      </c>
      <c r="BO343" s="1312">
        <f t="shared" si="207"/>
        <v>9045.5407941525791</v>
      </c>
      <c r="BP343" s="1312">
        <f>IF(AND(C343&gt;$F$78,'Instrumentos Financeiros'!C343&lt;'Instrumentos Financeiros'!$F$78+'Instrumentos Financeiros'!$F$12+1),PMT(((1+'Instrumentos Financeiros'!$L$43)^(1/12)-1),$F$12,-$I$78),0)</f>
        <v>368.57912678094596</v>
      </c>
      <c r="BQ343" s="1312">
        <f t="shared" si="208"/>
        <v>323.82872239999494</v>
      </c>
      <c r="BR343" s="1312">
        <f>BS342*((1+'Instrumentos Financeiros'!$L$43)^(1/12)-1)</f>
        <v>44.750404380951025</v>
      </c>
      <c r="BS343" s="1312">
        <f t="shared" si="209"/>
        <v>10025.452639483345</v>
      </c>
      <c r="BT343" s="1312">
        <f>IF(AND(C343&gt;$F$79,'Instrumentos Financeiros'!C343&lt;'Instrumentos Financeiros'!$F$79+'Instrumentos Financeiros'!$F$12+1),PMT(((1+'Instrumentos Financeiros'!$L$43)^(1/12)-1),$F$12,-$I$79),0)</f>
        <v>368.57912678094596</v>
      </c>
      <c r="BU343" s="1312">
        <f t="shared" si="210"/>
        <v>319.66407349375839</v>
      </c>
      <c r="BV343" s="1312">
        <f>BW342*((1+'Instrumentos Financeiros'!$L$43)^(1/12)-1)</f>
        <v>48.91505328718754</v>
      </c>
      <c r="BW343" s="1312">
        <f t="shared" si="211"/>
        <v>10992.762178370693</v>
      </c>
      <c r="BX343" s="1312">
        <f>IF(AND(C343&gt;$F$80,'Instrumentos Financeiros'!C343&lt;'Instrumentos Financeiros'!$F$80+'Instrumentos Financeiros'!$F$12+1),PMT(((1+'Instrumentos Financeiros'!$L$43)^(1/12)-1),$F$12,-$I$80),0)</f>
        <v>368.57912678094596</v>
      </c>
      <c r="BY343" s="1312">
        <f t="shared" si="212"/>
        <v>315.55298469294945</v>
      </c>
      <c r="BZ343" s="1312">
        <f>CA342*((1+'Instrumentos Financeiros'!$L$43)^(1/12)-1)</f>
        <v>53.02614208799649</v>
      </c>
      <c r="CA343" s="1312">
        <f t="shared" si="213"/>
        <v>11947.631484707752</v>
      </c>
      <c r="CB343" s="1312">
        <f>IF(AND(C343&gt;$F$83,'Instrumentos Financeiros'!C343&lt;'Instrumentos Financeiros'!$F$83+'Instrumentos Financeiros'!$F$13+1),PMT(((1+'Instrumentos Financeiros'!$P$43)^(1/12)-1),$F$13,-$I$83),0)</f>
        <v>30503.390100238979</v>
      </c>
      <c r="CC343" s="1312">
        <f t="shared" si="214"/>
        <v>19899.281084948707</v>
      </c>
      <c r="CD343" s="1312">
        <f>CE342*((1+'Instrumentos Financeiros'!$P$43)^(1/12)-1)</f>
        <v>10604.109015290273</v>
      </c>
      <c r="CE343" s="1312">
        <f t="shared" si="215"/>
        <v>2432478.7322417418</v>
      </c>
      <c r="CF343" s="1312">
        <f>IF(AND(C343&gt;$F$84,'Instrumentos Financeiros'!C343&lt;'Instrumentos Financeiros'!$F$84+'Instrumentos Financeiros'!$F$13+1),PMT(((1+'Instrumentos Financeiros'!$Q$43)^(1/12)-1),$F$13,-$I$84),0)</f>
        <v>30503.390100238979</v>
      </c>
      <c r="CG343" s="1312">
        <f t="shared" si="216"/>
        <v>19643.36333129448</v>
      </c>
      <c r="CH343" s="1312">
        <f>CI342*((1+'Instrumentos Financeiros'!$Q$43)^(1/12)-1)</f>
        <v>10860.026768944499</v>
      </c>
      <c r="CI343" s="1312">
        <f t="shared" si="217"/>
        <v>2491919.9216081849</v>
      </c>
      <c r="CJ343" s="1312">
        <f>IF(AND(C343&gt;$F$85,'Instrumentos Financeiros'!C343&lt;'Instrumentos Financeiros'!$F$85+'Instrumentos Financeiros'!$F$13+1),PMT(((1+'Instrumentos Financeiros'!$Q$43)^(1/12)-1),$F$13,-$I$85),0)</f>
        <v>30503.390100238979</v>
      </c>
      <c r="CK343" s="1312">
        <f t="shared" si="218"/>
        <v>19390.736847126616</v>
      </c>
      <c r="CL343" s="1312">
        <f>CM342*((1+'Instrumentos Financeiros'!$Q$43)^(1/12)-1)</f>
        <v>11112.653253112361</v>
      </c>
      <c r="CM343" s="1312">
        <f t="shared" si="219"/>
        <v>2550596.6584503255</v>
      </c>
      <c r="CN343" s="1312">
        <f>IF(AND(C343&gt;$F$86,'Instrumentos Financeiros'!C343&lt;'Instrumentos Financeiros'!$F$86+'Instrumentos Financeiros'!$F$13+1),PMT(((1+'Instrumentos Financeiros'!$Q$43)^(1/12)-1),$F$13,-$I$86),0)</f>
        <v>30503.390100238979</v>
      </c>
      <c r="CO343" s="1312">
        <f t="shared" si="220"/>
        <v>19141.359304569549</v>
      </c>
      <c r="CP343" s="1312">
        <f>CQ342*((1+'Instrumentos Financeiros'!$Q$43)^(1/12)-1)</f>
        <v>11362.030795669431</v>
      </c>
      <c r="CQ343" s="1312">
        <f t="shared" si="221"/>
        <v>2608518.774126993</v>
      </c>
      <c r="CR343" s="1312">
        <f t="shared" si="190"/>
        <v>430034.52099620906</v>
      </c>
      <c r="CS343" s="1312">
        <f t="shared" si="190"/>
        <v>361201.45922909724</v>
      </c>
      <c r="CT343" s="1312">
        <f t="shared" si="190"/>
        <v>68833.061767111794</v>
      </c>
      <c r="CU343" s="1312">
        <f t="shared" si="190"/>
        <v>15557598.227215115</v>
      </c>
    </row>
    <row r="344" spans="3:99" x14ac:dyDescent="0.35">
      <c r="C344" s="1315">
        <f t="shared" si="191"/>
        <v>251</v>
      </c>
      <c r="D344" s="1312">
        <f>IF(AND(C344&gt;$F$59,'Instrumentos Financeiros'!C344&lt;'Instrumentos Financeiros'!$F$59+'Instrumentos Financeiros'!$F$11+1),PMT(((1+'Instrumentos Financeiros'!$G$43)^(1/12)-1),$F$11,-$I$59),0)</f>
        <v>0</v>
      </c>
      <c r="E344" s="1312">
        <f t="shared" si="188"/>
        <v>-8.874944679073352E-12</v>
      </c>
      <c r="F344" s="1312">
        <f>G343*((1+'Instrumentos Financeiros'!$G$43)^(1/12)-1)</f>
        <v>8.874944679073352E-12</v>
      </c>
      <c r="G344" s="1312">
        <f t="shared" si="222"/>
        <v>2.1831469407611326E-9</v>
      </c>
      <c r="H344" s="1312">
        <f>IF(AND(C344&gt;$F$60,'Instrumentos Financeiros'!C344&lt;'Instrumentos Financeiros'!$F$60+'Instrumentos Financeiros'!$F$11+1),PMT(((1+'Instrumentos Financeiros'!$G$43)^(1/12)-1),$F$11,-$I$60),0)</f>
        <v>0</v>
      </c>
      <c r="I344" s="1312">
        <f t="shared" si="174"/>
        <v>0</v>
      </c>
      <c r="J344" s="1312">
        <f>K343*((1+'Instrumentos Financeiros'!$G$43)^(1/12)-1)</f>
        <v>0</v>
      </c>
      <c r="K344" s="1312">
        <f t="shared" si="192"/>
        <v>0</v>
      </c>
      <c r="L344" s="1312">
        <f>IF(AND(C344&gt;$F$61,'Instrumentos Financeiros'!C344&lt;'Instrumentos Financeiros'!$F$61+'Instrumentos Financeiros'!$F$11+1),PMT(((1+'Instrumentos Financeiros'!$G$43)^(1/12)-1),$F$11,-$I$61),0)</f>
        <v>0</v>
      </c>
      <c r="M344" s="1312">
        <f t="shared" si="175"/>
        <v>0</v>
      </c>
      <c r="N344" s="1312">
        <f>O343*((1+'Instrumentos Financeiros'!$G$43)^(1/12)-1)</f>
        <v>0</v>
      </c>
      <c r="O344" s="1312">
        <f t="shared" si="193"/>
        <v>0</v>
      </c>
      <c r="P344" s="1312">
        <f>IF(AND(C344&gt;$F$62,'Instrumentos Financeiros'!C344&lt;'Instrumentos Financeiros'!$F$62+'Instrumentos Financeiros'!$F$11+1),PMT(((1+'Instrumentos Financeiros'!$H$43)^(1/12)-1),$F$11,-$I$62),0)</f>
        <v>0</v>
      </c>
      <c r="Q344" s="1312">
        <f t="shared" si="176"/>
        <v>0</v>
      </c>
      <c r="R344" s="1312">
        <f>S343*((1+'Instrumentos Financeiros'!$H$43)^(1/12)-1)</f>
        <v>0</v>
      </c>
      <c r="S344" s="1312">
        <f t="shared" si="194"/>
        <v>0</v>
      </c>
      <c r="T344" s="1312">
        <f>IF(AND(C344&gt;$F$63,'Instrumentos Financeiros'!C344&lt;'Instrumentos Financeiros'!$F$63+'Instrumentos Financeiros'!$F$11+1),PMT(((1+'Instrumentos Financeiros'!$H$43)^(1/12)-1),$F$11,-$I$63),0)</f>
        <v>0</v>
      </c>
      <c r="U344" s="1312">
        <f t="shared" si="177"/>
        <v>0</v>
      </c>
      <c r="V344" s="1312">
        <f>W343*((1+'Instrumentos Financeiros'!$H$43)^(1/12)-1)</f>
        <v>0</v>
      </c>
      <c r="W344" s="1312">
        <f t="shared" si="195"/>
        <v>0</v>
      </c>
      <c r="X344" s="1312">
        <f>IF(AND(C344&gt;$F$64,'Instrumentos Financeiros'!C344&lt;'Instrumentos Financeiros'!$F$64+'Instrumentos Financeiros'!$F$11+1),PMT(((1+'Instrumentos Financeiros'!$H$43)^(1/12)-1),$F$11,-$I$64),0)</f>
        <v>0</v>
      </c>
      <c r="Y344" s="1312">
        <f t="shared" si="178"/>
        <v>0</v>
      </c>
      <c r="Z344" s="1312">
        <f>AA343*((1+'Instrumentos Financeiros'!$H$43)^(1/12)-1)</f>
        <v>0</v>
      </c>
      <c r="AA344" s="1312">
        <f t="shared" si="196"/>
        <v>0</v>
      </c>
      <c r="AB344" s="1312">
        <f>IF(AND(C344&gt;$F$65,'Instrumentos Financeiros'!C344&lt;'Instrumentos Financeiros'!$F$65+'Instrumentos Financeiros'!$F$11+1),PMT(((1+'Instrumentos Financeiros'!$H$43)^(1/12)-1),$F$11,-$I$65),0)</f>
        <v>76636.661022032335</v>
      </c>
      <c r="AC344" s="1312">
        <f t="shared" si="179"/>
        <v>72144.418163479902</v>
      </c>
      <c r="AD344" s="1312">
        <f>AE343*((1+'Instrumentos Financeiros'!$H$43)^(1/12)-1)</f>
        <v>4492.2428585524285</v>
      </c>
      <c r="AE344" s="1312">
        <f t="shared" si="197"/>
        <v>966762.06619580521</v>
      </c>
      <c r="AF344" s="1312">
        <f>IF(AND(C344&gt;$F$66,'Instrumentos Financeiros'!C344&lt;'Instrumentos Financeiros'!$F$66+'Instrumentos Financeiros'!$F$11+1),PMT(((1+'Instrumentos Financeiros'!$I$43)^(1/12)-1),$F$11,-$I$66),0)</f>
        <v>76636.661022032335</v>
      </c>
      <c r="AG344" s="1312">
        <f t="shared" si="180"/>
        <v>71216.593818657027</v>
      </c>
      <c r="AH344" s="1312">
        <f>AI343*((1+'Instrumentos Financeiros'!$I$43)^(1/12)-1)</f>
        <v>5420.0672033753099</v>
      </c>
      <c r="AI344" s="1312">
        <f t="shared" si="198"/>
        <v>1182264.8275006278</v>
      </c>
      <c r="AJ344" s="1312">
        <f>IF(AND(C344&gt;$F$67,'Instrumentos Financeiros'!C344&lt;'Instrumentos Financeiros'!$F$67+'Instrumentos Financeiros'!$F$11+1),PMT(((1+'Instrumentos Financeiros'!$I$43)^(1/12)-1),$F$11,-$I$67),0)</f>
        <v>76636.661022032335</v>
      </c>
      <c r="AK344" s="1312">
        <f t="shared" si="181"/>
        <v>70300.701900995657</v>
      </c>
      <c r="AL344" s="1312">
        <f>AM343*((1+'Instrumentos Financeiros'!$I$43)^(1/12)-1)</f>
        <v>6335.9591210366707</v>
      </c>
      <c r="AM344" s="1312">
        <f t="shared" si="199"/>
        <v>1394996.0825211795</v>
      </c>
      <c r="AN344" s="1312">
        <f>IF(AND(C344&gt;$F$68,'Instrumentos Financeiros'!C344&lt;'Instrumentos Financeiros'!$F$68+'Instrumentos Financeiros'!$F$11+1),PMT(((1+'Instrumentos Financeiros'!$I$43)^(1/12)-1),$F$11,-$I$68),0)</f>
        <v>76636.661022032335</v>
      </c>
      <c r="AO344" s="1312">
        <f t="shared" si="182"/>
        <v>69396.588951687852</v>
      </c>
      <c r="AP344" s="1312">
        <f>AQ343*((1+'Instrumentos Financeiros'!$I$43)^(1/12)-1)</f>
        <v>7240.0720703444831</v>
      </c>
      <c r="AQ344" s="1312">
        <f t="shared" si="200"/>
        <v>1604991.4746387196</v>
      </c>
      <c r="AR344" s="1312">
        <f>IF(AND(C344&gt;$F$69,'Instrumentos Financeiros'!C344&lt;'Instrumentos Financeiros'!$F$69+'Instrumentos Financeiros'!$F$11+1),PMT(((1+'Instrumentos Financeiros'!$I$43)^(1/12)-1),$F$11,-$I$69),0)</f>
        <v>0</v>
      </c>
      <c r="AS344" s="1312">
        <f t="shared" si="183"/>
        <v>0</v>
      </c>
      <c r="AT344" s="1312">
        <f>AU343*((1+'Instrumentos Financeiros'!$I$43)^(1/12)-1)</f>
        <v>0</v>
      </c>
      <c r="AU344" s="1312">
        <f t="shared" si="201"/>
        <v>0</v>
      </c>
      <c r="AV344" s="1312">
        <f>IF(AND(C344&gt;$F$70,'Instrumentos Financeiros'!C344&lt;'Instrumentos Financeiros'!$F$70+'Instrumentos Financeiros'!$F$11+1),PMT(((1+'Instrumentos Financeiros'!$J$43)^(1/12)-1),$F$11,-$I$70),0)</f>
        <v>0</v>
      </c>
      <c r="AW344" s="1312">
        <f t="shared" si="184"/>
        <v>0</v>
      </c>
      <c r="AX344" s="1312">
        <f>AY343*((1+'Instrumentos Financeiros'!$J$43)^(1/12)-1)</f>
        <v>0</v>
      </c>
      <c r="AY344" s="1312">
        <f t="shared" si="202"/>
        <v>0</v>
      </c>
      <c r="AZ344" s="1312">
        <f>IF(AND(C344&gt;$F$71,'Instrumentos Financeiros'!C344&lt;'Instrumentos Financeiros'!$F$71+'Instrumentos Financeiros'!$F$11+1),PMT(((1+'Instrumentos Financeiros'!$J$43)^(1/12)-1),$F$11,-$I$71),0)</f>
        <v>0</v>
      </c>
      <c r="BA344" s="1312">
        <f t="shared" si="185"/>
        <v>0</v>
      </c>
      <c r="BB344" s="1312">
        <f>BC343*((1+'Instrumentos Financeiros'!$J$43)^(1/12)-1)</f>
        <v>0</v>
      </c>
      <c r="BC344" s="1312">
        <f t="shared" si="203"/>
        <v>0</v>
      </c>
      <c r="BD344" s="1312">
        <f>IF(AND(C344&gt;$F$72,'Instrumentos Financeiros'!C344&lt;'Instrumentos Financeiros'!$F$72+'Instrumentos Financeiros'!$F$11+1),PMT(((1+'Instrumentos Financeiros'!$J$43)^(1/12)-1),$F$11,-'Instrumentos Financeiros'!$G$7*$G$72),0)</f>
        <v>0</v>
      </c>
      <c r="BE344" s="1312">
        <f t="shared" si="186"/>
        <v>0</v>
      </c>
      <c r="BF344" s="1312">
        <f>BG343*((1+'Instrumentos Financeiros'!$J$43)^(1/12)-1)</f>
        <v>0</v>
      </c>
      <c r="BG344" s="1312">
        <f t="shared" si="204"/>
        <v>0</v>
      </c>
      <c r="BH344" s="1312">
        <f>IF(AND(C344&gt;$F$73,'Instrumentos Financeiros'!C344&lt;'Instrumentos Financeiros'!$F$73+'Instrumentos Financeiros'!$F$11+1),PMT(((1+'Instrumentos Financeiros'!$J$43)^(1/12)-1),$F$11,-$I$73),0)</f>
        <v>0</v>
      </c>
      <c r="BI344" s="1312">
        <f t="shared" si="187"/>
        <v>0</v>
      </c>
      <c r="BJ344" s="1312">
        <f>BK343*((1+'Instrumentos Financeiros'!$J$43)^(1/12)-1)</f>
        <v>0</v>
      </c>
      <c r="BK344" s="1312">
        <f t="shared" si="205"/>
        <v>0</v>
      </c>
      <c r="BL344" s="1312">
        <f>IF(AND(C344&gt;$F$77,'Instrumentos Financeiros'!C344&lt;'Instrumentos Financeiros'!$F$77+'Instrumentos Financeiros'!$F$12+1),PMT(((1+'Instrumentos Financeiros'!$K$43)^(1/12)-1),$F$12,-$I$77),0)</f>
        <v>368.57912678094596</v>
      </c>
      <c r="BM344" s="1312">
        <f t="shared" si="206"/>
        <v>329.46611069525187</v>
      </c>
      <c r="BN344" s="1312">
        <f>BO343*((1+'Instrumentos Financeiros'!$K$43)^(1/12)-1)</f>
        <v>39.113016085694063</v>
      </c>
      <c r="BO344" s="1312">
        <f t="shared" si="207"/>
        <v>8716.0746834573274</v>
      </c>
      <c r="BP344" s="1312">
        <f>IF(AND(C344&gt;$F$78,'Instrumentos Financeiros'!C344&lt;'Instrumentos Financeiros'!$F$78+'Instrumentos Financeiros'!$F$12+1),PMT(((1+'Instrumentos Financeiros'!$L$43)^(1/12)-1),$F$12,-$I$78),0)</f>
        <v>368.57912678094596</v>
      </c>
      <c r="BQ344" s="1312">
        <f t="shared" si="208"/>
        <v>325.22896129300045</v>
      </c>
      <c r="BR344" s="1312">
        <f>BS343*((1+'Instrumentos Financeiros'!$L$43)^(1/12)-1)</f>
        <v>43.350165487945482</v>
      </c>
      <c r="BS344" s="1312">
        <f t="shared" si="209"/>
        <v>9700.2236781903448</v>
      </c>
      <c r="BT344" s="1312">
        <f>IF(AND(C344&gt;$F$79,'Instrumentos Financeiros'!C344&lt;'Instrumentos Financeiros'!$F$79+'Instrumentos Financeiros'!$F$12+1),PMT(((1+'Instrumentos Financeiros'!$L$43)^(1/12)-1),$F$12,-$I$79),0)</f>
        <v>368.57912678094596</v>
      </c>
      <c r="BU344" s="1312">
        <f t="shared" si="210"/>
        <v>321.04630439991524</v>
      </c>
      <c r="BV344" s="1312">
        <f>BW343*((1+'Instrumentos Financeiros'!$L$43)^(1/12)-1)</f>
        <v>47.532822381030734</v>
      </c>
      <c r="BW344" s="1312">
        <f t="shared" si="211"/>
        <v>10671.715873970777</v>
      </c>
      <c r="BX344" s="1312">
        <f>IF(AND(C344&gt;$F$80,'Instrumentos Financeiros'!C344&lt;'Instrumentos Financeiros'!$F$80+'Instrumentos Financeiros'!$F$12+1),PMT(((1+'Instrumentos Financeiros'!$L$43)^(1/12)-1),$F$12,-$I$80),0)</f>
        <v>368.57912678094596</v>
      </c>
      <c r="BY344" s="1312">
        <f t="shared" si="212"/>
        <v>316.91743920673184</v>
      </c>
      <c r="BZ344" s="1312">
        <f>CA343*((1+'Instrumentos Financeiros'!$L$43)^(1/12)-1)</f>
        <v>51.661687574214113</v>
      </c>
      <c r="CA344" s="1312">
        <f t="shared" si="213"/>
        <v>11630.714045501019</v>
      </c>
      <c r="CB344" s="1312">
        <f>IF(AND(C344&gt;$F$83,'Instrumentos Financeiros'!C344&lt;'Instrumentos Financeiros'!$F$83+'Instrumentos Financeiros'!$F$13+1),PMT(((1+'Instrumentos Financeiros'!$P$43)^(1/12)-1),$F$13,-$I$83),0)</f>
        <v>30503.390100238979</v>
      </c>
      <c r="CC344" s="1312">
        <f t="shared" si="214"/>
        <v>19985.325791272124</v>
      </c>
      <c r="CD344" s="1312">
        <f>CE343*((1+'Instrumentos Financeiros'!$P$43)^(1/12)-1)</f>
        <v>10518.064308966856</v>
      </c>
      <c r="CE344" s="1312">
        <f t="shared" si="215"/>
        <v>2412493.4064504695</v>
      </c>
      <c r="CF344" s="1312">
        <f>IF(AND(C344&gt;$F$84,'Instrumentos Financeiros'!C344&lt;'Instrumentos Financeiros'!$F$84+'Instrumentos Financeiros'!$F$13+1),PMT(((1+'Instrumentos Financeiros'!$Q$43)^(1/12)-1),$F$13,-$I$84),0)</f>
        <v>30503.390100238979</v>
      </c>
      <c r="CG344" s="1312">
        <f t="shared" si="216"/>
        <v>19728.301446487189</v>
      </c>
      <c r="CH344" s="1312">
        <f>CI343*((1+'Instrumentos Financeiros'!$Q$43)^(1/12)-1)</f>
        <v>10775.088653751793</v>
      </c>
      <c r="CI344" s="1312">
        <f t="shared" si="217"/>
        <v>2472191.6201616977</v>
      </c>
      <c r="CJ344" s="1312">
        <f>IF(AND(C344&gt;$F$85,'Instrumentos Financeiros'!C344&lt;'Instrumentos Financeiros'!$F$85+'Instrumentos Financeiros'!$F$13+1),PMT(((1+'Instrumentos Financeiros'!$Q$43)^(1/12)-1),$F$13,-$I$85),0)</f>
        <v>30503.390100238979</v>
      </c>
      <c r="CK344" s="1312">
        <f t="shared" si="218"/>
        <v>19474.582602673418</v>
      </c>
      <c r="CL344" s="1312">
        <f>CM343*((1+'Instrumentos Financeiros'!$Q$43)^(1/12)-1)</f>
        <v>11028.807497565562</v>
      </c>
      <c r="CM344" s="1312">
        <f t="shared" si="219"/>
        <v>2531122.0758476523</v>
      </c>
      <c r="CN344" s="1312">
        <f>IF(AND(C344&gt;$F$86,'Instrumentos Financeiros'!C344&lt;'Instrumentos Financeiros'!$F$86+'Instrumentos Financeiros'!$F$13+1),PMT(((1+'Instrumentos Financeiros'!$Q$43)^(1/12)-1),$F$13,-$I$86),0)</f>
        <v>30503.390100238979</v>
      </c>
      <c r="CO344" s="1312">
        <f t="shared" si="220"/>
        <v>19224.126748929055</v>
      </c>
      <c r="CP344" s="1312">
        <f>CQ343*((1+'Instrumentos Financeiros'!$Q$43)^(1/12)-1)</f>
        <v>11279.263351309923</v>
      </c>
      <c r="CQ344" s="1312">
        <f t="shared" si="221"/>
        <v>2589294.6473780638</v>
      </c>
      <c r="CR344" s="1312">
        <f t="shared" si="190"/>
        <v>430034.52099620906</v>
      </c>
      <c r="CS344" s="1312">
        <f t="shared" si="190"/>
        <v>362763.29823977716</v>
      </c>
      <c r="CT344" s="1312">
        <f t="shared" si="190"/>
        <v>67271.222756431918</v>
      </c>
      <c r="CU344" s="1312">
        <f t="shared" si="190"/>
        <v>15194834.928975336</v>
      </c>
    </row>
    <row r="345" spans="3:99" x14ac:dyDescent="0.35">
      <c r="C345" s="1316">
        <f t="shared" si="191"/>
        <v>252</v>
      </c>
      <c r="D345" s="1313">
        <f>IF(AND(C345&gt;$F$59,'Instrumentos Financeiros'!C345&lt;'Instrumentos Financeiros'!$F$59+'Instrumentos Financeiros'!$F$11+1),PMT(((1+'Instrumentos Financeiros'!$G$43)^(1/12)-1),$F$11,-$I$59),0)</f>
        <v>0</v>
      </c>
      <c r="E345" s="1313">
        <f t="shared" si="188"/>
        <v>-8.9111704333481355E-12</v>
      </c>
      <c r="F345" s="1313">
        <f>G344*((1+'Instrumentos Financeiros'!$G$43)^(1/12)-1)</f>
        <v>8.9111704333481355E-12</v>
      </c>
      <c r="G345" s="1313">
        <f t="shared" si="222"/>
        <v>2.1920581111944807E-9</v>
      </c>
      <c r="H345" s="1313">
        <f>IF(AND(C345&gt;$F$60,'Instrumentos Financeiros'!C345&lt;'Instrumentos Financeiros'!$F$60+'Instrumentos Financeiros'!$F$11+1),PMT(((1+'Instrumentos Financeiros'!$G$43)^(1/12)-1),$F$11,-$I$60),0)</f>
        <v>0</v>
      </c>
      <c r="I345" s="1313">
        <f t="shared" ref="I345:I408" si="223">H345-J345</f>
        <v>0</v>
      </c>
      <c r="J345" s="1313">
        <f>K344*((1+'Instrumentos Financeiros'!$G$43)^(1/12)-1)</f>
        <v>0</v>
      </c>
      <c r="K345" s="1313">
        <f t="shared" si="192"/>
        <v>0</v>
      </c>
      <c r="L345" s="1313">
        <f>IF(AND(C345&gt;$F$61,'Instrumentos Financeiros'!C345&lt;'Instrumentos Financeiros'!$F$61+'Instrumentos Financeiros'!$F$11+1),PMT(((1+'Instrumentos Financeiros'!$G$43)^(1/12)-1),$F$11,-$I$61),0)</f>
        <v>0</v>
      </c>
      <c r="M345" s="1313">
        <f t="shared" ref="M345:M408" si="224">L345-N345</f>
        <v>0</v>
      </c>
      <c r="N345" s="1313">
        <f>O344*((1+'Instrumentos Financeiros'!$G$43)^(1/12)-1)</f>
        <v>0</v>
      </c>
      <c r="O345" s="1313">
        <f t="shared" si="193"/>
        <v>0</v>
      </c>
      <c r="P345" s="1313">
        <f>IF(AND(C345&gt;$F$62,'Instrumentos Financeiros'!C345&lt;'Instrumentos Financeiros'!$F$62+'Instrumentos Financeiros'!$F$11+1),PMT(((1+'Instrumentos Financeiros'!$H$43)^(1/12)-1),$F$11,-$I$62),0)</f>
        <v>0</v>
      </c>
      <c r="Q345" s="1313">
        <f t="shared" ref="Q345:Q408" si="225">P345-R345</f>
        <v>0</v>
      </c>
      <c r="R345" s="1313">
        <f>S344*((1+'Instrumentos Financeiros'!$H$43)^(1/12)-1)</f>
        <v>0</v>
      </c>
      <c r="S345" s="1313">
        <f t="shared" si="194"/>
        <v>0</v>
      </c>
      <c r="T345" s="1313">
        <f>IF(AND(C345&gt;$F$63,'Instrumentos Financeiros'!C345&lt;'Instrumentos Financeiros'!$F$63+'Instrumentos Financeiros'!$F$11+1),PMT(((1+'Instrumentos Financeiros'!$H$43)^(1/12)-1),$F$11,-$I$63),0)</f>
        <v>0</v>
      </c>
      <c r="U345" s="1313">
        <f t="shared" ref="U345:U408" si="226">T345-V345</f>
        <v>0</v>
      </c>
      <c r="V345" s="1313">
        <f>W344*((1+'Instrumentos Financeiros'!$H$43)^(1/12)-1)</f>
        <v>0</v>
      </c>
      <c r="W345" s="1313">
        <f t="shared" si="195"/>
        <v>0</v>
      </c>
      <c r="X345" s="1313">
        <f>IF(AND(C345&gt;$F$64,'Instrumentos Financeiros'!C345&lt;'Instrumentos Financeiros'!$F$64+'Instrumentos Financeiros'!$F$11+1),PMT(((1+'Instrumentos Financeiros'!$H$43)^(1/12)-1),$F$11,-$I$64),0)</f>
        <v>0</v>
      </c>
      <c r="Y345" s="1313">
        <f t="shared" ref="Y345:Y408" si="227">X345-Z345</f>
        <v>0</v>
      </c>
      <c r="Z345" s="1313">
        <f>AA344*((1+'Instrumentos Financeiros'!$H$43)^(1/12)-1)</f>
        <v>0</v>
      </c>
      <c r="AA345" s="1313">
        <f t="shared" si="196"/>
        <v>0</v>
      </c>
      <c r="AB345" s="1313">
        <f>IF(AND(C345&gt;$F$65,'Instrumentos Financeiros'!C345&lt;'Instrumentos Financeiros'!$F$65+'Instrumentos Financeiros'!$F$11+1),PMT(((1+'Instrumentos Financeiros'!$H$43)^(1/12)-1),$F$11,-$I$65),0)</f>
        <v>76636.661022032335</v>
      </c>
      <c r="AC345" s="1313">
        <f t="shared" ref="AC345:AC408" si="228">AB345-AD345</f>
        <v>72456.371406778009</v>
      </c>
      <c r="AD345" s="1313">
        <f>AE344*((1+'Instrumentos Financeiros'!$H$43)^(1/12)-1)</f>
        <v>4180.2896152543217</v>
      </c>
      <c r="AE345" s="1313">
        <f t="shared" si="197"/>
        <v>894305.69478902721</v>
      </c>
      <c r="AF345" s="1313">
        <f>IF(AND(C345&gt;$F$66,'Instrumentos Financeiros'!C345&lt;'Instrumentos Financeiros'!$F$66+'Instrumentos Financeiros'!$F$11+1),PMT(((1+'Instrumentos Financeiros'!$I$43)^(1/12)-1),$F$11,-$I$66),0)</f>
        <v>76636.661022032335</v>
      </c>
      <c r="AG345" s="1313">
        <f t="shared" ref="AG345:AG408" si="229">AF345-AH345</f>
        <v>71524.535139467625</v>
      </c>
      <c r="AH345" s="1313">
        <f>AI344*((1+'Instrumentos Financeiros'!$I$43)^(1/12)-1)</f>
        <v>5112.1258825647137</v>
      </c>
      <c r="AI345" s="1313">
        <f t="shared" si="198"/>
        <v>1110740.2923611603</v>
      </c>
      <c r="AJ345" s="1313">
        <f>IF(AND(C345&gt;$F$67,'Instrumentos Financeiros'!C345&lt;'Instrumentos Financeiros'!$F$67+'Instrumentos Financeiros'!$F$11+1),PMT(((1+'Instrumentos Financeiros'!$I$43)^(1/12)-1),$F$11,-$I$67),0)</f>
        <v>76636.661022032335</v>
      </c>
      <c r="AK345" s="1313">
        <f t="shared" ref="AK345:AK408" si="230">AJ345-AL345</f>
        <v>70604.682895262667</v>
      </c>
      <c r="AL345" s="1313">
        <f>AM344*((1+'Instrumentos Financeiros'!$I$43)^(1/12)-1)</f>
        <v>6031.978126769669</v>
      </c>
      <c r="AM345" s="1313">
        <f t="shared" si="199"/>
        <v>1324391.3996259167</v>
      </c>
      <c r="AN345" s="1313">
        <f>IF(AND(C345&gt;$F$68,'Instrumentos Financeiros'!C345&lt;'Instrumentos Financeiros'!$F$68+'Instrumentos Financeiros'!$F$11+1),PMT(((1+'Instrumentos Financeiros'!$I$43)^(1/12)-1),$F$11,-$I$68),0)</f>
        <v>76636.661022032335</v>
      </c>
      <c r="AO345" s="1313">
        <f t="shared" ref="AO345:AO408" si="231">AN345-AP345</f>
        <v>69696.660551797628</v>
      </c>
      <c r="AP345" s="1313">
        <f>AQ344*((1+'Instrumentos Financeiros'!$I$43)^(1/12)-1)</f>
        <v>6940.0004702347014</v>
      </c>
      <c r="AQ345" s="1313">
        <f t="shared" si="200"/>
        <v>1535294.814086922</v>
      </c>
      <c r="AR345" s="1313">
        <f>IF(AND(C345&gt;$F$69,'Instrumentos Financeiros'!C345&lt;'Instrumentos Financeiros'!$F$69+'Instrumentos Financeiros'!$F$11+1),PMT(((1+'Instrumentos Financeiros'!$I$43)^(1/12)-1),$F$11,-$I$69),0)</f>
        <v>0</v>
      </c>
      <c r="AS345" s="1313">
        <f t="shared" ref="AS345:AS408" si="232">AR345-AT345</f>
        <v>0</v>
      </c>
      <c r="AT345" s="1313">
        <f>AU344*((1+'Instrumentos Financeiros'!$I$43)^(1/12)-1)</f>
        <v>0</v>
      </c>
      <c r="AU345" s="1313">
        <f t="shared" si="201"/>
        <v>0</v>
      </c>
      <c r="AV345" s="1313">
        <f>IF(AND(C345&gt;$F$70,'Instrumentos Financeiros'!C345&lt;'Instrumentos Financeiros'!$F$70+'Instrumentos Financeiros'!$F$11+1),PMT(((1+'Instrumentos Financeiros'!$J$43)^(1/12)-1),$F$11,-$I$70),0)</f>
        <v>0</v>
      </c>
      <c r="AW345" s="1313">
        <f t="shared" ref="AW345:AW408" si="233">AV345-AX345</f>
        <v>0</v>
      </c>
      <c r="AX345" s="1313">
        <f>AY344*((1+'Instrumentos Financeiros'!$J$43)^(1/12)-1)</f>
        <v>0</v>
      </c>
      <c r="AY345" s="1313">
        <f t="shared" si="202"/>
        <v>0</v>
      </c>
      <c r="AZ345" s="1313">
        <f>IF(AND(C345&gt;$F$71,'Instrumentos Financeiros'!C345&lt;'Instrumentos Financeiros'!$F$71+'Instrumentos Financeiros'!$F$11+1),PMT(((1+'Instrumentos Financeiros'!$J$43)^(1/12)-1),$F$11,-$I$71),0)</f>
        <v>0</v>
      </c>
      <c r="BA345" s="1313">
        <f t="shared" ref="BA345:BA408" si="234">AZ345-BB345</f>
        <v>0</v>
      </c>
      <c r="BB345" s="1313">
        <f>BC344*((1+'Instrumentos Financeiros'!$J$43)^(1/12)-1)</f>
        <v>0</v>
      </c>
      <c r="BC345" s="1313">
        <f t="shared" si="203"/>
        <v>0</v>
      </c>
      <c r="BD345" s="1313">
        <f>IF(AND(C345&gt;$F$72,'Instrumentos Financeiros'!C345&lt;'Instrumentos Financeiros'!$F$72+'Instrumentos Financeiros'!$F$11+1),PMT(((1+'Instrumentos Financeiros'!$J$43)^(1/12)-1),$F$11,-'Instrumentos Financeiros'!$G$7*$G$72),0)</f>
        <v>0</v>
      </c>
      <c r="BE345" s="1313">
        <f t="shared" ref="BE345:BE408" si="235">BD345-BF345</f>
        <v>0</v>
      </c>
      <c r="BF345" s="1313">
        <f>BG344*((1+'Instrumentos Financeiros'!$J$43)^(1/12)-1)</f>
        <v>0</v>
      </c>
      <c r="BG345" s="1313">
        <f t="shared" si="204"/>
        <v>0</v>
      </c>
      <c r="BH345" s="1313">
        <f>IF(AND(C345&gt;$F$73,'Instrumentos Financeiros'!C345&lt;'Instrumentos Financeiros'!$F$73+'Instrumentos Financeiros'!$F$11+1),PMT(((1+'Instrumentos Financeiros'!$J$43)^(1/12)-1),$F$11,-$I$73),0)</f>
        <v>0</v>
      </c>
      <c r="BI345" s="1313">
        <f t="shared" ref="BI345:BI408" si="236">BH345-BJ345</f>
        <v>0</v>
      </c>
      <c r="BJ345" s="1313">
        <f>BK344*((1+'Instrumentos Financeiros'!$J$43)^(1/12)-1)</f>
        <v>0</v>
      </c>
      <c r="BK345" s="1313">
        <f t="shared" si="205"/>
        <v>0</v>
      </c>
      <c r="BL345" s="1313">
        <f>IF(AND(C345&gt;$F$77,'Instrumentos Financeiros'!C345&lt;'Instrumentos Financeiros'!$F$77+'Instrumentos Financeiros'!$F$12+1),PMT(((1+'Instrumentos Financeiros'!$K$43)^(1/12)-1),$F$12,-$I$77),0)</f>
        <v>368.57912678094596</v>
      </c>
      <c r="BM345" s="1313">
        <f t="shared" si="206"/>
        <v>330.89072571612991</v>
      </c>
      <c r="BN345" s="1313">
        <f>BO344*((1+'Instrumentos Financeiros'!$K$43)^(1/12)-1)</f>
        <v>37.68840106481607</v>
      </c>
      <c r="BO345" s="1313">
        <f t="shared" si="207"/>
        <v>8385.1839577411974</v>
      </c>
      <c r="BP345" s="1313">
        <f>IF(AND(C345&gt;$F$78,'Instrumentos Financeiros'!C345&lt;'Instrumentos Financeiros'!$F$78+'Instrumentos Financeiros'!$F$12+1),PMT(((1+'Instrumentos Financeiros'!$L$43)^(1/12)-1),$F$12,-$I$78),0)</f>
        <v>368.57912678094596</v>
      </c>
      <c r="BQ345" s="1313">
        <f t="shared" si="208"/>
        <v>326.63525483410194</v>
      </c>
      <c r="BR345" s="1313">
        <f>BS344*((1+'Instrumentos Financeiros'!$L$43)^(1/12)-1)</f>
        <v>41.943871946844006</v>
      </c>
      <c r="BS345" s="1313">
        <f t="shared" si="209"/>
        <v>9373.5884233562429</v>
      </c>
      <c r="BT345" s="1313">
        <f>IF(AND(C345&gt;$F$79,'Instrumentos Financeiros'!C345&lt;'Instrumentos Financeiros'!$F$79+'Instrumentos Financeiros'!$F$12+1),PMT(((1+'Instrumentos Financeiros'!$L$43)^(1/12)-1),$F$12,-$I$79),0)</f>
        <v>368.57912678094596</v>
      </c>
      <c r="BU345" s="1313">
        <f t="shared" si="210"/>
        <v>322.43451208743835</v>
      </c>
      <c r="BV345" s="1313">
        <f>BW344*((1+'Instrumentos Financeiros'!$L$43)^(1/12)-1)</f>
        <v>46.14461469350762</v>
      </c>
      <c r="BW345" s="1313">
        <f t="shared" si="211"/>
        <v>10349.281361883339</v>
      </c>
      <c r="BX345" s="1313">
        <f>IF(AND(C345&gt;$F$80,'Instrumentos Financeiros'!C345&lt;'Instrumentos Financeiros'!$F$80+'Instrumentos Financeiros'!$F$12+1),PMT(((1+'Instrumentos Financeiros'!$L$43)^(1/12)-1),$F$12,-$I$80),0)</f>
        <v>368.57912678094596</v>
      </c>
      <c r="BY345" s="1313">
        <f t="shared" si="212"/>
        <v>318.28779363656793</v>
      </c>
      <c r="BZ345" s="1313">
        <f>CA344*((1+'Instrumentos Financeiros'!$L$43)^(1/12)-1)</f>
        <v>50.291333144378036</v>
      </c>
      <c r="CA345" s="1313">
        <f t="shared" si="213"/>
        <v>11312.426251864452</v>
      </c>
      <c r="CB345" s="1313">
        <f>IF(AND(C345&gt;$F$83,'Instrumentos Financeiros'!C345&lt;'Instrumentos Financeiros'!$F$83+'Instrumentos Financeiros'!$F$13+1),PMT(((1+'Instrumentos Financeiros'!$P$43)^(1/12)-1),$F$13,-$I$83),0)</f>
        <v>30503.390100238979</v>
      </c>
      <c r="CC345" s="1313">
        <f t="shared" si="214"/>
        <v>20071.742555834964</v>
      </c>
      <c r="CD345" s="1313">
        <f>CE344*((1+'Instrumentos Financeiros'!$P$43)^(1/12)-1)</f>
        <v>10431.647544404013</v>
      </c>
      <c r="CE345" s="1313">
        <f t="shared" si="215"/>
        <v>2392421.6638946347</v>
      </c>
      <c r="CF345" s="1313">
        <f>IF(AND(C345&gt;$F$84,'Instrumentos Financeiros'!C345&lt;'Instrumentos Financeiros'!$F$84+'Instrumentos Financeiros'!$F$13+1),PMT(((1+'Instrumentos Financeiros'!$Q$43)^(1/12)-1),$F$13,-$I$84),0)</f>
        <v>30503.390100238979</v>
      </c>
      <c r="CG345" s="1313">
        <f t="shared" si="216"/>
        <v>19813.606835007318</v>
      </c>
      <c r="CH345" s="1313">
        <f>CI344*((1+'Instrumentos Financeiros'!$Q$43)^(1/12)-1)</f>
        <v>10689.783265231661</v>
      </c>
      <c r="CI345" s="1313">
        <f t="shared" si="217"/>
        <v>2452378.0133266905</v>
      </c>
      <c r="CJ345" s="1313">
        <f>IF(AND(C345&gt;$F$85,'Instrumentos Financeiros'!C345&lt;'Instrumentos Financeiros'!$F$85+'Instrumentos Financeiros'!$F$13+1),PMT(((1+'Instrumentos Financeiros'!$Q$43)^(1/12)-1),$F$13,-$I$85),0)</f>
        <v>30503.390100238979</v>
      </c>
      <c r="CK345" s="1313">
        <f t="shared" si="218"/>
        <v>19558.790908172734</v>
      </c>
      <c r="CL345" s="1313">
        <f>CM344*((1+'Instrumentos Financeiros'!$Q$43)^(1/12)-1)</f>
        <v>10944.599192066245</v>
      </c>
      <c r="CM345" s="1313">
        <f t="shared" si="219"/>
        <v>2511563.2849394795</v>
      </c>
      <c r="CN345" s="1313">
        <f>IF(AND(C345&gt;$F$86,'Instrumentos Financeiros'!C345&lt;'Instrumentos Financeiros'!$F$86+'Instrumentos Financeiros'!$F$13+1),PMT(((1+'Instrumentos Financeiros'!$Q$43)^(1/12)-1),$F$13,-$I$86),0)</f>
        <v>30503.390100238979</v>
      </c>
      <c r="CO345" s="1313">
        <f t="shared" si="220"/>
        <v>19307.252080611863</v>
      </c>
      <c r="CP345" s="1313">
        <f>CQ344*((1+'Instrumentos Financeiros'!$Q$43)^(1/12)-1)</f>
        <v>11196.138019627117</v>
      </c>
      <c r="CQ345" s="1313">
        <f t="shared" si="221"/>
        <v>2569987.3952974519</v>
      </c>
      <c r="CR345" s="1313">
        <f t="shared" si="190"/>
        <v>430034.52099620906</v>
      </c>
      <c r="CS345" s="1313">
        <f t="shared" si="190"/>
        <v>364331.89065920701</v>
      </c>
      <c r="CT345" s="1313">
        <f t="shared" si="190"/>
        <v>65702.630337002003</v>
      </c>
      <c r="CU345" s="1313">
        <f t="shared" si="190"/>
        <v>14830503.038316131</v>
      </c>
    </row>
    <row r="346" spans="3:99" x14ac:dyDescent="0.35">
      <c r="C346" s="1315">
        <f t="shared" si="191"/>
        <v>253</v>
      </c>
      <c r="D346" s="1312">
        <f>IF(AND(C346&gt;$F$59,'Instrumentos Financeiros'!C346&lt;'Instrumentos Financeiros'!$F$59+'Instrumentos Financeiros'!$F$11+1),PMT(((1+'Instrumentos Financeiros'!$G$43)^(1/12)-1),$F$11,-$I$59),0)</f>
        <v>0</v>
      </c>
      <c r="E346" s="1312">
        <f t="shared" si="188"/>
        <v>-8.9475440539274677E-12</v>
      </c>
      <c r="F346" s="1312">
        <f>G345*((1+'Instrumentos Financeiros'!$G$43)^(1/12)-1)</f>
        <v>8.9475440539274677E-12</v>
      </c>
      <c r="G346" s="1312">
        <f t="shared" si="222"/>
        <v>2.2010056552484083E-9</v>
      </c>
      <c r="H346" s="1312">
        <f>IF(AND(C346&gt;$F$60,'Instrumentos Financeiros'!C346&lt;'Instrumentos Financeiros'!$F$60+'Instrumentos Financeiros'!$F$11+1),PMT(((1+'Instrumentos Financeiros'!$G$43)^(1/12)-1),$F$11,-$I$60),0)</f>
        <v>0</v>
      </c>
      <c r="I346" s="1312">
        <f t="shared" si="223"/>
        <v>0</v>
      </c>
      <c r="J346" s="1312">
        <f>K345*((1+'Instrumentos Financeiros'!$G$43)^(1/12)-1)</f>
        <v>0</v>
      </c>
      <c r="K346" s="1312">
        <f t="shared" si="192"/>
        <v>0</v>
      </c>
      <c r="L346" s="1312">
        <f>IF(AND(C346&gt;$F$61,'Instrumentos Financeiros'!C346&lt;'Instrumentos Financeiros'!$F$61+'Instrumentos Financeiros'!$F$11+1),PMT(((1+'Instrumentos Financeiros'!$G$43)^(1/12)-1),$F$11,-$I$61),0)</f>
        <v>0</v>
      </c>
      <c r="M346" s="1312">
        <f t="shared" si="224"/>
        <v>0</v>
      </c>
      <c r="N346" s="1312">
        <f>O345*((1+'Instrumentos Financeiros'!$G$43)^(1/12)-1)</f>
        <v>0</v>
      </c>
      <c r="O346" s="1312">
        <f t="shared" si="193"/>
        <v>0</v>
      </c>
      <c r="P346" s="1312">
        <f>IF(AND(C346&gt;$F$62,'Instrumentos Financeiros'!C346&lt;'Instrumentos Financeiros'!$F$62+'Instrumentos Financeiros'!$F$11+1),PMT(((1+'Instrumentos Financeiros'!$H$43)^(1/12)-1),$F$11,-$I$62),0)</f>
        <v>0</v>
      </c>
      <c r="Q346" s="1312">
        <f t="shared" si="225"/>
        <v>0</v>
      </c>
      <c r="R346" s="1312">
        <f>S345*((1+'Instrumentos Financeiros'!$H$43)^(1/12)-1)</f>
        <v>0</v>
      </c>
      <c r="S346" s="1312">
        <f t="shared" si="194"/>
        <v>0</v>
      </c>
      <c r="T346" s="1312">
        <f>IF(AND(C346&gt;$F$63,'Instrumentos Financeiros'!C346&lt;'Instrumentos Financeiros'!$F$63+'Instrumentos Financeiros'!$F$11+1),PMT(((1+'Instrumentos Financeiros'!$H$43)^(1/12)-1),$F$11,-$I$63),0)</f>
        <v>0</v>
      </c>
      <c r="U346" s="1312">
        <f t="shared" si="226"/>
        <v>0</v>
      </c>
      <c r="V346" s="1312">
        <f>W345*((1+'Instrumentos Financeiros'!$H$43)^(1/12)-1)</f>
        <v>0</v>
      </c>
      <c r="W346" s="1312">
        <f t="shared" si="195"/>
        <v>0</v>
      </c>
      <c r="X346" s="1312">
        <f>IF(AND(C346&gt;$F$64,'Instrumentos Financeiros'!C346&lt;'Instrumentos Financeiros'!$F$64+'Instrumentos Financeiros'!$F$11+1),PMT(((1+'Instrumentos Financeiros'!$H$43)^(1/12)-1),$F$11,-$I$64),0)</f>
        <v>0</v>
      </c>
      <c r="Y346" s="1312">
        <f t="shared" si="227"/>
        <v>0</v>
      </c>
      <c r="Z346" s="1312">
        <f>AA345*((1+'Instrumentos Financeiros'!$H$43)^(1/12)-1)</f>
        <v>0</v>
      </c>
      <c r="AA346" s="1312">
        <f t="shared" si="196"/>
        <v>0</v>
      </c>
      <c r="AB346" s="1312">
        <f>IF(AND(C346&gt;$F$65,'Instrumentos Financeiros'!C346&lt;'Instrumentos Financeiros'!$F$65+'Instrumentos Financeiros'!$F$11+1),PMT(((1+'Instrumentos Financeiros'!$H$43)^(1/12)-1),$F$11,-$I$65),0)</f>
        <v>76636.661022032335</v>
      </c>
      <c r="AC346" s="1312">
        <f t="shared" si="228"/>
        <v>72769.673539269235</v>
      </c>
      <c r="AD346" s="1312">
        <f>AE345*((1+'Instrumentos Financeiros'!$H$43)^(1/12)-1)</f>
        <v>3866.9874827631015</v>
      </c>
      <c r="AE346" s="1312">
        <f t="shared" si="197"/>
        <v>821536.02124975796</v>
      </c>
      <c r="AF346" s="1312">
        <f>IF(AND(C346&gt;$F$66,'Instrumentos Financeiros'!C346&lt;'Instrumentos Financeiros'!$F$66+'Instrumentos Financeiros'!$F$11+1),PMT(((1+'Instrumentos Financeiros'!$I$43)^(1/12)-1),$F$11,-$I$66),0)</f>
        <v>76636.661022032335</v>
      </c>
      <c r="AG346" s="1312">
        <f t="shared" si="229"/>
        <v>71833.808001875164</v>
      </c>
      <c r="AH346" s="1312">
        <f>AI345*((1+'Instrumentos Financeiros'!$I$43)^(1/12)-1)</f>
        <v>4802.8530201571684</v>
      </c>
      <c r="AI346" s="1312">
        <f t="shared" si="198"/>
        <v>1038906.4843592851</v>
      </c>
      <c r="AJ346" s="1312">
        <f>IF(AND(C346&gt;$F$67,'Instrumentos Financeiros'!C346&lt;'Instrumentos Financeiros'!$F$67+'Instrumentos Financeiros'!$F$11+1),PMT(((1+'Instrumentos Financeiros'!$I$43)^(1/12)-1),$F$11,-$I$67),0)</f>
        <v>76636.661022032335</v>
      </c>
      <c r="AK346" s="1312">
        <f t="shared" si="230"/>
        <v>70909.978306631878</v>
      </c>
      <c r="AL346" s="1312">
        <f>AM345*((1+'Instrumentos Financeiros'!$I$43)^(1/12)-1)</f>
        <v>5726.6827154004632</v>
      </c>
      <c r="AM346" s="1312">
        <f t="shared" si="199"/>
        <v>1253481.4213192849</v>
      </c>
      <c r="AN346" s="1312">
        <f>IF(AND(C346&gt;$F$68,'Instrumentos Financeiros'!C346&lt;'Instrumentos Financeiros'!$F$68+'Instrumentos Financeiros'!$F$11+1),PMT(((1+'Instrumentos Financeiros'!$I$43)^(1/12)-1),$F$11,-$I$68),0)</f>
        <v>76636.661022032335</v>
      </c>
      <c r="AO346" s="1312">
        <f t="shared" si="231"/>
        <v>69998.029664747053</v>
      </c>
      <c r="AP346" s="1312">
        <f>AQ345*((1+'Instrumentos Financeiros'!$I$43)^(1/12)-1)</f>
        <v>6638.631357285275</v>
      </c>
      <c r="AQ346" s="1312">
        <f t="shared" si="200"/>
        <v>1465296.784422175</v>
      </c>
      <c r="AR346" s="1312">
        <f>IF(AND(C346&gt;$F$69,'Instrumentos Financeiros'!C346&lt;'Instrumentos Financeiros'!$F$69+'Instrumentos Financeiros'!$F$11+1),PMT(((1+'Instrumentos Financeiros'!$I$43)^(1/12)-1),$F$11,-$I$69),0)</f>
        <v>0</v>
      </c>
      <c r="AS346" s="1312">
        <f t="shared" si="232"/>
        <v>0</v>
      </c>
      <c r="AT346" s="1312">
        <f>AU345*((1+'Instrumentos Financeiros'!$I$43)^(1/12)-1)</f>
        <v>0</v>
      </c>
      <c r="AU346" s="1312">
        <f t="shared" si="201"/>
        <v>0</v>
      </c>
      <c r="AV346" s="1312">
        <f>IF(AND(C346&gt;$F$70,'Instrumentos Financeiros'!C346&lt;'Instrumentos Financeiros'!$F$70+'Instrumentos Financeiros'!$F$11+1),PMT(((1+'Instrumentos Financeiros'!$J$43)^(1/12)-1),$F$11,-$I$70),0)</f>
        <v>0</v>
      </c>
      <c r="AW346" s="1312">
        <f t="shared" si="233"/>
        <v>0</v>
      </c>
      <c r="AX346" s="1312">
        <f>AY345*((1+'Instrumentos Financeiros'!$J$43)^(1/12)-1)</f>
        <v>0</v>
      </c>
      <c r="AY346" s="1312">
        <f t="shared" si="202"/>
        <v>0</v>
      </c>
      <c r="AZ346" s="1312">
        <f>IF(AND(C346&gt;$F$71,'Instrumentos Financeiros'!C346&lt;'Instrumentos Financeiros'!$F$71+'Instrumentos Financeiros'!$F$11+1),PMT(((1+'Instrumentos Financeiros'!$J$43)^(1/12)-1),$F$11,-$I$71),0)</f>
        <v>0</v>
      </c>
      <c r="BA346" s="1312">
        <f t="shared" si="234"/>
        <v>0</v>
      </c>
      <c r="BB346" s="1312">
        <f>BC345*((1+'Instrumentos Financeiros'!$J$43)^(1/12)-1)</f>
        <v>0</v>
      </c>
      <c r="BC346" s="1312">
        <f t="shared" si="203"/>
        <v>0</v>
      </c>
      <c r="BD346" s="1312">
        <f>IF(AND(C346&gt;$F$72,'Instrumentos Financeiros'!C346&lt;'Instrumentos Financeiros'!$F$72+'Instrumentos Financeiros'!$F$11+1),PMT(((1+'Instrumentos Financeiros'!$J$43)^(1/12)-1),$F$11,-'Instrumentos Financeiros'!$G$7*$G$72),0)</f>
        <v>0</v>
      </c>
      <c r="BE346" s="1312">
        <f t="shared" si="235"/>
        <v>0</v>
      </c>
      <c r="BF346" s="1312">
        <f>BG345*((1+'Instrumentos Financeiros'!$J$43)^(1/12)-1)</f>
        <v>0</v>
      </c>
      <c r="BG346" s="1312">
        <f t="shared" si="204"/>
        <v>0</v>
      </c>
      <c r="BH346" s="1312">
        <f>IF(AND(C346&gt;$F$73,'Instrumentos Financeiros'!C346&lt;'Instrumentos Financeiros'!$F$73+'Instrumentos Financeiros'!$F$11+1),PMT(((1+'Instrumentos Financeiros'!$J$43)^(1/12)-1),$F$11,-$I$73),0)</f>
        <v>0</v>
      </c>
      <c r="BI346" s="1312">
        <f t="shared" si="236"/>
        <v>0</v>
      </c>
      <c r="BJ346" s="1312">
        <f>BK345*((1+'Instrumentos Financeiros'!$J$43)^(1/12)-1)</f>
        <v>0</v>
      </c>
      <c r="BK346" s="1312">
        <f t="shared" si="205"/>
        <v>0</v>
      </c>
      <c r="BL346" s="1312">
        <f>IF(AND(C346&gt;$F$77,'Instrumentos Financeiros'!C346&lt;'Instrumentos Financeiros'!$F$77+'Instrumentos Financeiros'!$F$12+1),PMT(((1+'Instrumentos Financeiros'!$K$43)^(1/12)-1),$F$12,-$I$77),0)</f>
        <v>368.57912678094596</v>
      </c>
      <c r="BM346" s="1312">
        <f t="shared" si="206"/>
        <v>332.32150078774401</v>
      </c>
      <c r="BN346" s="1312">
        <f>BO345*((1+'Instrumentos Financeiros'!$K$43)^(1/12)-1)</f>
        <v>36.257625993201962</v>
      </c>
      <c r="BO346" s="1312">
        <f t="shared" si="207"/>
        <v>8052.8624569534531</v>
      </c>
      <c r="BP346" s="1312">
        <f>IF(AND(C346&gt;$F$78,'Instrumentos Financeiros'!C346&lt;'Instrumentos Financeiros'!$F$78+'Instrumentos Financeiros'!$F$12+1),PMT(((1+'Instrumentos Financeiros'!$L$43)^(1/12)-1),$F$12,-$I$78),0)</f>
        <v>368.57912678094596</v>
      </c>
      <c r="BQ346" s="1312">
        <f t="shared" si="208"/>
        <v>328.04762920366312</v>
      </c>
      <c r="BR346" s="1312">
        <f>BS345*((1+'Instrumentos Financeiros'!$L$43)^(1/12)-1)</f>
        <v>40.531497577282842</v>
      </c>
      <c r="BS346" s="1312">
        <f t="shared" si="209"/>
        <v>9045.5407941525791</v>
      </c>
      <c r="BT346" s="1312">
        <f>IF(AND(C346&gt;$F$79,'Instrumentos Financeiros'!C346&lt;'Instrumentos Financeiros'!$F$79+'Instrumentos Financeiros'!$F$12+1),PMT(((1+'Instrumentos Financeiros'!$L$43)^(1/12)-1),$F$12,-$I$79),0)</f>
        <v>368.57912678094596</v>
      </c>
      <c r="BU346" s="1312">
        <f t="shared" si="210"/>
        <v>323.82872239999494</v>
      </c>
      <c r="BV346" s="1312">
        <f>BW345*((1+'Instrumentos Financeiros'!$L$43)^(1/12)-1)</f>
        <v>44.750404380951025</v>
      </c>
      <c r="BW346" s="1312">
        <f t="shared" si="211"/>
        <v>10025.452639483345</v>
      </c>
      <c r="BX346" s="1312">
        <f>IF(AND(C346&gt;$F$80,'Instrumentos Financeiros'!C346&lt;'Instrumentos Financeiros'!$F$80+'Instrumentos Financeiros'!$F$12+1),PMT(((1+'Instrumentos Financeiros'!$L$43)^(1/12)-1),$F$12,-$I$80),0)</f>
        <v>368.57912678094596</v>
      </c>
      <c r="BY346" s="1312">
        <f t="shared" si="212"/>
        <v>319.66407349375839</v>
      </c>
      <c r="BZ346" s="1312">
        <f>CA345*((1+'Instrumentos Financeiros'!$L$43)^(1/12)-1)</f>
        <v>48.91505328718754</v>
      </c>
      <c r="CA346" s="1312">
        <f t="shared" si="213"/>
        <v>10992.762178370693</v>
      </c>
      <c r="CB346" s="1312">
        <f>IF(AND(C346&gt;$F$83,'Instrumentos Financeiros'!C346&lt;'Instrumentos Financeiros'!$F$83+'Instrumentos Financeiros'!$F$13+1),PMT(((1+'Instrumentos Financeiros'!$P$43)^(1/12)-1),$F$13,-$I$83),0)</f>
        <v>30503.390100238979</v>
      </c>
      <c r="CC346" s="1312">
        <f t="shared" si="214"/>
        <v>20158.532987421077</v>
      </c>
      <c r="CD346" s="1312">
        <f>CE345*((1+'Instrumentos Financeiros'!$P$43)^(1/12)-1)</f>
        <v>10344.857112817903</v>
      </c>
      <c r="CE346" s="1312">
        <f t="shared" si="215"/>
        <v>2372263.1309072138</v>
      </c>
      <c r="CF346" s="1312">
        <f>IF(AND(C346&gt;$F$84,'Instrumentos Financeiros'!C346&lt;'Instrumentos Financeiros'!$F$84+'Instrumentos Financeiros'!$F$13+1),PMT(((1+'Instrumentos Financeiros'!$Q$43)^(1/12)-1),$F$13,-$I$84),0)</f>
        <v>30503.390100238979</v>
      </c>
      <c r="CG346" s="1312">
        <f t="shared" si="216"/>
        <v>19899.281084948707</v>
      </c>
      <c r="CH346" s="1312">
        <f>CI345*((1+'Instrumentos Financeiros'!$Q$43)^(1/12)-1)</f>
        <v>10604.109015290273</v>
      </c>
      <c r="CI346" s="1312">
        <f t="shared" si="217"/>
        <v>2432478.7322417418</v>
      </c>
      <c r="CJ346" s="1312">
        <f>IF(AND(C346&gt;$F$85,'Instrumentos Financeiros'!C346&lt;'Instrumentos Financeiros'!$F$85+'Instrumentos Financeiros'!$F$13+1),PMT(((1+'Instrumentos Financeiros'!$Q$43)^(1/12)-1),$F$13,-$I$85),0)</f>
        <v>30503.390100238979</v>
      </c>
      <c r="CK346" s="1312">
        <f t="shared" si="218"/>
        <v>19643.36333129448</v>
      </c>
      <c r="CL346" s="1312">
        <f>CM345*((1+'Instrumentos Financeiros'!$Q$43)^(1/12)-1)</f>
        <v>10860.026768944499</v>
      </c>
      <c r="CM346" s="1312">
        <f t="shared" si="219"/>
        <v>2491919.9216081849</v>
      </c>
      <c r="CN346" s="1312">
        <f>IF(AND(C346&gt;$F$86,'Instrumentos Financeiros'!C346&lt;'Instrumentos Financeiros'!$F$86+'Instrumentos Financeiros'!$F$13+1),PMT(((1+'Instrumentos Financeiros'!$Q$43)^(1/12)-1),$F$13,-$I$86),0)</f>
        <v>30503.390100238979</v>
      </c>
      <c r="CO346" s="1312">
        <f t="shared" si="220"/>
        <v>19390.736847126616</v>
      </c>
      <c r="CP346" s="1312">
        <f>CQ345*((1+'Instrumentos Financeiros'!$Q$43)^(1/12)-1)</f>
        <v>11112.653253112361</v>
      </c>
      <c r="CQ346" s="1312">
        <f t="shared" si="221"/>
        <v>2550596.6584503255</v>
      </c>
      <c r="CR346" s="1312">
        <f t="shared" si="190"/>
        <v>430034.52099620906</v>
      </c>
      <c r="CS346" s="1312">
        <f t="shared" si="190"/>
        <v>365907.26568919932</v>
      </c>
      <c r="CT346" s="1312">
        <f t="shared" si="190"/>
        <v>64127.255307009669</v>
      </c>
      <c r="CU346" s="1312">
        <f t="shared" si="190"/>
        <v>14464595.772626933</v>
      </c>
    </row>
    <row r="347" spans="3:99" x14ac:dyDescent="0.35">
      <c r="C347" s="1315">
        <f t="shared" si="191"/>
        <v>254</v>
      </c>
      <c r="D347" s="1312">
        <f>IF(AND(C347&gt;$F$59,'Instrumentos Financeiros'!C347&lt;'Instrumentos Financeiros'!$F$59+'Instrumentos Financeiros'!$F$11+1),PMT(((1+'Instrumentos Financeiros'!$G$43)^(1/12)-1),$F$11,-$I$59),0)</f>
        <v>0</v>
      </c>
      <c r="E347" s="1312">
        <f t="shared" si="188"/>
        <v>-8.9840661443721191E-12</v>
      </c>
      <c r="F347" s="1312">
        <f>G346*((1+'Instrumentos Financeiros'!$G$43)^(1/12)-1)</f>
        <v>8.9840661443721191E-12</v>
      </c>
      <c r="G347" s="1312">
        <f t="shared" si="222"/>
        <v>2.2099897213927804E-9</v>
      </c>
      <c r="H347" s="1312">
        <f>IF(AND(C347&gt;$F$60,'Instrumentos Financeiros'!C347&lt;'Instrumentos Financeiros'!$F$60+'Instrumentos Financeiros'!$F$11+1),PMT(((1+'Instrumentos Financeiros'!$G$43)^(1/12)-1),$F$11,-$I$60),0)</f>
        <v>0</v>
      </c>
      <c r="I347" s="1312">
        <f t="shared" si="223"/>
        <v>0</v>
      </c>
      <c r="J347" s="1312">
        <f>K346*((1+'Instrumentos Financeiros'!$G$43)^(1/12)-1)</f>
        <v>0</v>
      </c>
      <c r="K347" s="1312">
        <f t="shared" si="192"/>
        <v>0</v>
      </c>
      <c r="L347" s="1312">
        <f>IF(AND(C347&gt;$F$61,'Instrumentos Financeiros'!C347&lt;'Instrumentos Financeiros'!$F$61+'Instrumentos Financeiros'!$F$11+1),PMT(((1+'Instrumentos Financeiros'!$G$43)^(1/12)-1),$F$11,-$I$61),0)</f>
        <v>0</v>
      </c>
      <c r="M347" s="1312">
        <f t="shared" si="224"/>
        <v>0</v>
      </c>
      <c r="N347" s="1312">
        <f>O346*((1+'Instrumentos Financeiros'!$G$43)^(1/12)-1)</f>
        <v>0</v>
      </c>
      <c r="O347" s="1312">
        <f t="shared" si="193"/>
        <v>0</v>
      </c>
      <c r="P347" s="1312">
        <f>IF(AND(C347&gt;$F$62,'Instrumentos Financeiros'!C347&lt;'Instrumentos Financeiros'!$F$62+'Instrumentos Financeiros'!$F$11+1),PMT(((1+'Instrumentos Financeiros'!$H$43)^(1/12)-1),$F$11,-$I$62),0)</f>
        <v>0</v>
      </c>
      <c r="Q347" s="1312">
        <f t="shared" si="225"/>
        <v>0</v>
      </c>
      <c r="R347" s="1312">
        <f>S346*((1+'Instrumentos Financeiros'!$H$43)^(1/12)-1)</f>
        <v>0</v>
      </c>
      <c r="S347" s="1312">
        <f t="shared" si="194"/>
        <v>0</v>
      </c>
      <c r="T347" s="1312">
        <f>IF(AND(C347&gt;$F$63,'Instrumentos Financeiros'!C347&lt;'Instrumentos Financeiros'!$F$63+'Instrumentos Financeiros'!$F$11+1),PMT(((1+'Instrumentos Financeiros'!$H$43)^(1/12)-1),$F$11,-$I$63),0)</f>
        <v>0</v>
      </c>
      <c r="U347" s="1312">
        <f t="shared" si="226"/>
        <v>0</v>
      </c>
      <c r="V347" s="1312">
        <f>W346*((1+'Instrumentos Financeiros'!$H$43)^(1/12)-1)</f>
        <v>0</v>
      </c>
      <c r="W347" s="1312">
        <f t="shared" si="195"/>
        <v>0</v>
      </c>
      <c r="X347" s="1312">
        <f>IF(AND(C347&gt;$F$64,'Instrumentos Financeiros'!C347&lt;'Instrumentos Financeiros'!$F$64+'Instrumentos Financeiros'!$F$11+1),PMT(((1+'Instrumentos Financeiros'!$H$43)^(1/12)-1),$F$11,-$I$64),0)</f>
        <v>0</v>
      </c>
      <c r="Y347" s="1312">
        <f t="shared" si="227"/>
        <v>0</v>
      </c>
      <c r="Z347" s="1312">
        <f>AA346*((1+'Instrumentos Financeiros'!$H$43)^(1/12)-1)</f>
        <v>0</v>
      </c>
      <c r="AA347" s="1312">
        <f t="shared" si="196"/>
        <v>0</v>
      </c>
      <c r="AB347" s="1312">
        <f>IF(AND(C347&gt;$F$65,'Instrumentos Financeiros'!C347&lt;'Instrumentos Financeiros'!$F$65+'Instrumentos Financeiros'!$F$11+1),PMT(((1+'Instrumentos Financeiros'!$H$43)^(1/12)-1),$F$11,-$I$65),0)</f>
        <v>76636.661022032335</v>
      </c>
      <c r="AC347" s="1312">
        <f t="shared" si="228"/>
        <v>73084.330393565004</v>
      </c>
      <c r="AD347" s="1312">
        <f>AE346*((1+'Instrumentos Financeiros'!$H$43)^(1/12)-1)</f>
        <v>3552.3306284673281</v>
      </c>
      <c r="AE347" s="1312">
        <f t="shared" si="197"/>
        <v>748451.69085619296</v>
      </c>
      <c r="AF347" s="1312">
        <f>IF(AND(C347&gt;$F$66,'Instrumentos Financeiros'!C347&lt;'Instrumentos Financeiros'!$F$66+'Instrumentos Financeiros'!$F$11+1),PMT(((1+'Instrumentos Financeiros'!$I$43)^(1/12)-1),$F$11,-$I$66),0)</f>
        <v>76636.661022032335</v>
      </c>
      <c r="AG347" s="1312">
        <f t="shared" si="229"/>
        <v>72144.418163479902</v>
      </c>
      <c r="AH347" s="1312">
        <f>AI346*((1+'Instrumentos Financeiros'!$I$43)^(1/12)-1)</f>
        <v>4492.2428585524285</v>
      </c>
      <c r="AI347" s="1312">
        <f t="shared" si="198"/>
        <v>966762.06619580521</v>
      </c>
      <c r="AJ347" s="1312">
        <f>IF(AND(C347&gt;$F$67,'Instrumentos Financeiros'!C347&lt;'Instrumentos Financeiros'!$F$67+'Instrumentos Financeiros'!$F$11+1),PMT(((1+'Instrumentos Financeiros'!$I$43)^(1/12)-1),$F$11,-$I$67),0)</f>
        <v>76636.661022032335</v>
      </c>
      <c r="AK347" s="1312">
        <f t="shared" si="230"/>
        <v>71216.593818657027</v>
      </c>
      <c r="AL347" s="1312">
        <f>AM346*((1+'Instrumentos Financeiros'!$I$43)^(1/12)-1)</f>
        <v>5420.0672033753099</v>
      </c>
      <c r="AM347" s="1312">
        <f t="shared" si="199"/>
        <v>1182264.8275006278</v>
      </c>
      <c r="AN347" s="1312">
        <f>IF(AND(C347&gt;$F$68,'Instrumentos Financeiros'!C347&lt;'Instrumentos Financeiros'!$F$68+'Instrumentos Financeiros'!$F$11+1),PMT(((1+'Instrumentos Financeiros'!$I$43)^(1/12)-1),$F$11,-$I$68),0)</f>
        <v>76636.661022032335</v>
      </c>
      <c r="AO347" s="1312">
        <f t="shared" si="231"/>
        <v>70300.701900995657</v>
      </c>
      <c r="AP347" s="1312">
        <f>AQ346*((1+'Instrumentos Financeiros'!$I$43)^(1/12)-1)</f>
        <v>6335.9591210366707</v>
      </c>
      <c r="AQ347" s="1312">
        <f t="shared" si="200"/>
        <v>1394996.0825211795</v>
      </c>
      <c r="AR347" s="1312">
        <f>IF(AND(C347&gt;$F$69,'Instrumentos Financeiros'!C347&lt;'Instrumentos Financeiros'!$F$69+'Instrumentos Financeiros'!$F$11+1),PMT(((1+'Instrumentos Financeiros'!$I$43)^(1/12)-1),$F$11,-$I$69),0)</f>
        <v>0</v>
      </c>
      <c r="AS347" s="1312">
        <f t="shared" si="232"/>
        <v>0</v>
      </c>
      <c r="AT347" s="1312">
        <f>AU346*((1+'Instrumentos Financeiros'!$I$43)^(1/12)-1)</f>
        <v>0</v>
      </c>
      <c r="AU347" s="1312">
        <f t="shared" si="201"/>
        <v>0</v>
      </c>
      <c r="AV347" s="1312">
        <f>IF(AND(C347&gt;$F$70,'Instrumentos Financeiros'!C347&lt;'Instrumentos Financeiros'!$F$70+'Instrumentos Financeiros'!$F$11+1),PMT(((1+'Instrumentos Financeiros'!$J$43)^(1/12)-1),$F$11,-$I$70),0)</f>
        <v>0</v>
      </c>
      <c r="AW347" s="1312">
        <f t="shared" si="233"/>
        <v>0</v>
      </c>
      <c r="AX347" s="1312">
        <f>AY346*((1+'Instrumentos Financeiros'!$J$43)^(1/12)-1)</f>
        <v>0</v>
      </c>
      <c r="AY347" s="1312">
        <f t="shared" si="202"/>
        <v>0</v>
      </c>
      <c r="AZ347" s="1312">
        <f>IF(AND(C347&gt;$F$71,'Instrumentos Financeiros'!C347&lt;'Instrumentos Financeiros'!$F$71+'Instrumentos Financeiros'!$F$11+1),PMT(((1+'Instrumentos Financeiros'!$J$43)^(1/12)-1),$F$11,-$I$71),0)</f>
        <v>0</v>
      </c>
      <c r="BA347" s="1312">
        <f t="shared" si="234"/>
        <v>0</v>
      </c>
      <c r="BB347" s="1312">
        <f>BC346*((1+'Instrumentos Financeiros'!$J$43)^(1/12)-1)</f>
        <v>0</v>
      </c>
      <c r="BC347" s="1312">
        <f t="shared" si="203"/>
        <v>0</v>
      </c>
      <c r="BD347" s="1312">
        <f>IF(AND(C347&gt;$F$72,'Instrumentos Financeiros'!C347&lt;'Instrumentos Financeiros'!$F$72+'Instrumentos Financeiros'!$F$11+1),PMT(((1+'Instrumentos Financeiros'!$J$43)^(1/12)-1),$F$11,-'Instrumentos Financeiros'!$G$7*$G$72),0)</f>
        <v>0</v>
      </c>
      <c r="BE347" s="1312">
        <f t="shared" si="235"/>
        <v>0</v>
      </c>
      <c r="BF347" s="1312">
        <f>BG346*((1+'Instrumentos Financeiros'!$J$43)^(1/12)-1)</f>
        <v>0</v>
      </c>
      <c r="BG347" s="1312">
        <f t="shared" si="204"/>
        <v>0</v>
      </c>
      <c r="BH347" s="1312">
        <f>IF(AND(C347&gt;$F$73,'Instrumentos Financeiros'!C347&lt;'Instrumentos Financeiros'!$F$73+'Instrumentos Financeiros'!$F$11+1),PMT(((1+'Instrumentos Financeiros'!$J$43)^(1/12)-1),$F$11,-$I$73),0)</f>
        <v>0</v>
      </c>
      <c r="BI347" s="1312">
        <f t="shared" si="236"/>
        <v>0</v>
      </c>
      <c r="BJ347" s="1312">
        <f>BK346*((1+'Instrumentos Financeiros'!$J$43)^(1/12)-1)</f>
        <v>0</v>
      </c>
      <c r="BK347" s="1312">
        <f t="shared" si="205"/>
        <v>0</v>
      </c>
      <c r="BL347" s="1312">
        <f>IF(AND(C347&gt;$F$77,'Instrumentos Financeiros'!C347&lt;'Instrumentos Financeiros'!$F$77+'Instrumentos Financeiros'!$F$12+1),PMT(((1+'Instrumentos Financeiros'!$K$43)^(1/12)-1),$F$12,-$I$77),0)</f>
        <v>368.57912678094596</v>
      </c>
      <c r="BM347" s="1312">
        <f t="shared" si="206"/>
        <v>333.75846254622013</v>
      </c>
      <c r="BN347" s="1312">
        <f>BO346*((1+'Instrumentos Financeiros'!$K$43)^(1/12)-1)</f>
        <v>34.820664234725832</v>
      </c>
      <c r="BO347" s="1312">
        <f t="shared" si="207"/>
        <v>7719.1039944072327</v>
      </c>
      <c r="BP347" s="1312">
        <f>IF(AND(C347&gt;$F$78,'Instrumentos Financeiros'!C347&lt;'Instrumentos Financeiros'!$F$78+'Instrumentos Financeiros'!$F$12+1),PMT(((1+'Instrumentos Financeiros'!$L$43)^(1/12)-1),$F$12,-$I$78),0)</f>
        <v>368.57912678094596</v>
      </c>
      <c r="BQ347" s="1312">
        <f t="shared" si="208"/>
        <v>329.46611069525187</v>
      </c>
      <c r="BR347" s="1312">
        <f>BS346*((1+'Instrumentos Financeiros'!$L$43)^(1/12)-1)</f>
        <v>39.113016085694063</v>
      </c>
      <c r="BS347" s="1312">
        <f t="shared" si="209"/>
        <v>8716.0746834573274</v>
      </c>
      <c r="BT347" s="1312">
        <f>IF(AND(C347&gt;$F$79,'Instrumentos Financeiros'!C347&lt;'Instrumentos Financeiros'!$F$79+'Instrumentos Financeiros'!$F$12+1),PMT(((1+'Instrumentos Financeiros'!$L$43)^(1/12)-1),$F$12,-$I$79),0)</f>
        <v>368.57912678094596</v>
      </c>
      <c r="BU347" s="1312">
        <f t="shared" si="210"/>
        <v>325.22896129300045</v>
      </c>
      <c r="BV347" s="1312">
        <f>BW346*((1+'Instrumentos Financeiros'!$L$43)^(1/12)-1)</f>
        <v>43.350165487945482</v>
      </c>
      <c r="BW347" s="1312">
        <f t="shared" si="211"/>
        <v>9700.2236781903448</v>
      </c>
      <c r="BX347" s="1312">
        <f>IF(AND(C347&gt;$F$80,'Instrumentos Financeiros'!C347&lt;'Instrumentos Financeiros'!$F$80+'Instrumentos Financeiros'!$F$12+1),PMT(((1+'Instrumentos Financeiros'!$L$43)^(1/12)-1),$F$12,-$I$80),0)</f>
        <v>368.57912678094596</v>
      </c>
      <c r="BY347" s="1312">
        <f t="shared" si="212"/>
        <v>321.04630439991524</v>
      </c>
      <c r="BZ347" s="1312">
        <f>CA346*((1+'Instrumentos Financeiros'!$L$43)^(1/12)-1)</f>
        <v>47.532822381030734</v>
      </c>
      <c r="CA347" s="1312">
        <f t="shared" si="213"/>
        <v>10671.715873970777</v>
      </c>
      <c r="CB347" s="1312">
        <f>IF(AND(C347&gt;$F$83,'Instrumentos Financeiros'!C347&lt;'Instrumentos Financeiros'!$F$83+'Instrumentos Financeiros'!$F$13+1),PMT(((1+'Instrumentos Financeiros'!$P$43)^(1/12)-1),$F$13,-$I$83),0)</f>
        <v>30503.390100238979</v>
      </c>
      <c r="CC347" s="1312">
        <f t="shared" si="214"/>
        <v>20245.698701770703</v>
      </c>
      <c r="CD347" s="1312">
        <f>CE346*((1+'Instrumentos Financeiros'!$P$43)^(1/12)-1)</f>
        <v>10257.691398468276</v>
      </c>
      <c r="CE347" s="1312">
        <f t="shared" si="215"/>
        <v>2352017.4322054433</v>
      </c>
      <c r="CF347" s="1312">
        <f>IF(AND(C347&gt;$F$84,'Instrumentos Financeiros'!C347&lt;'Instrumentos Financeiros'!$F$84+'Instrumentos Financeiros'!$F$13+1),PMT(((1+'Instrumentos Financeiros'!$Q$43)^(1/12)-1),$F$13,-$I$84),0)</f>
        <v>30503.390100238979</v>
      </c>
      <c r="CG347" s="1312">
        <f t="shared" si="216"/>
        <v>19985.325791272124</v>
      </c>
      <c r="CH347" s="1312">
        <f>CI346*((1+'Instrumentos Financeiros'!$Q$43)^(1/12)-1)</f>
        <v>10518.064308966856</v>
      </c>
      <c r="CI347" s="1312">
        <f t="shared" si="217"/>
        <v>2412493.4064504695</v>
      </c>
      <c r="CJ347" s="1312">
        <f>IF(AND(C347&gt;$F$85,'Instrumentos Financeiros'!C347&lt;'Instrumentos Financeiros'!$F$85+'Instrumentos Financeiros'!$F$13+1),PMT(((1+'Instrumentos Financeiros'!$Q$43)^(1/12)-1),$F$13,-$I$85),0)</f>
        <v>30503.390100238979</v>
      </c>
      <c r="CK347" s="1312">
        <f t="shared" si="218"/>
        <v>19728.301446487189</v>
      </c>
      <c r="CL347" s="1312">
        <f>CM346*((1+'Instrumentos Financeiros'!$Q$43)^(1/12)-1)</f>
        <v>10775.088653751793</v>
      </c>
      <c r="CM347" s="1312">
        <f t="shared" si="219"/>
        <v>2472191.6201616977</v>
      </c>
      <c r="CN347" s="1312">
        <f>IF(AND(C347&gt;$F$86,'Instrumentos Financeiros'!C347&lt;'Instrumentos Financeiros'!$F$86+'Instrumentos Financeiros'!$F$13+1),PMT(((1+'Instrumentos Financeiros'!$Q$43)^(1/12)-1),$F$13,-$I$86),0)</f>
        <v>30503.390100238979</v>
      </c>
      <c r="CO347" s="1312">
        <f t="shared" si="220"/>
        <v>19474.582602673418</v>
      </c>
      <c r="CP347" s="1312">
        <f>CQ346*((1+'Instrumentos Financeiros'!$Q$43)^(1/12)-1)</f>
        <v>11028.807497565562</v>
      </c>
      <c r="CQ347" s="1312">
        <f t="shared" si="221"/>
        <v>2531122.0758476523</v>
      </c>
      <c r="CR347" s="1312">
        <f t="shared" si="190"/>
        <v>430034.52099620906</v>
      </c>
      <c r="CS347" s="1312">
        <f t="shared" si="190"/>
        <v>367489.45265783538</v>
      </c>
      <c r="CT347" s="1312">
        <f t="shared" si="190"/>
        <v>62545.068338373632</v>
      </c>
      <c r="CU347" s="1312">
        <f t="shared" si="190"/>
        <v>14097106.319969095</v>
      </c>
    </row>
    <row r="348" spans="3:99" x14ac:dyDescent="0.35">
      <c r="C348" s="1315">
        <f t="shared" si="191"/>
        <v>255</v>
      </c>
      <c r="D348" s="1312">
        <f>IF(AND(C348&gt;$F$59,'Instrumentos Financeiros'!C348&lt;'Instrumentos Financeiros'!$F$59+'Instrumentos Financeiros'!$F$11+1),PMT(((1+'Instrumentos Financeiros'!$G$43)^(1/12)-1),$F$11,-$I$59),0)</f>
        <v>0</v>
      </c>
      <c r="E348" s="1312">
        <f t="shared" si="188"/>
        <v>-9.0207373107064659E-12</v>
      </c>
      <c r="F348" s="1312">
        <f>G347*((1+'Instrumentos Financeiros'!$G$43)^(1/12)-1)</f>
        <v>9.0207373107064659E-12</v>
      </c>
      <c r="G348" s="1312">
        <f t="shared" si="222"/>
        <v>2.2190104587034868E-9</v>
      </c>
      <c r="H348" s="1312">
        <f>IF(AND(C348&gt;$F$60,'Instrumentos Financeiros'!C348&lt;'Instrumentos Financeiros'!$F$60+'Instrumentos Financeiros'!$F$11+1),PMT(((1+'Instrumentos Financeiros'!$G$43)^(1/12)-1),$F$11,-$I$60),0)</f>
        <v>0</v>
      </c>
      <c r="I348" s="1312">
        <f t="shared" si="223"/>
        <v>0</v>
      </c>
      <c r="J348" s="1312">
        <f>K347*((1+'Instrumentos Financeiros'!$G$43)^(1/12)-1)</f>
        <v>0</v>
      </c>
      <c r="K348" s="1312">
        <f t="shared" si="192"/>
        <v>0</v>
      </c>
      <c r="L348" s="1312">
        <f>IF(AND(C348&gt;$F$61,'Instrumentos Financeiros'!C348&lt;'Instrumentos Financeiros'!$F$61+'Instrumentos Financeiros'!$F$11+1),PMT(((1+'Instrumentos Financeiros'!$G$43)^(1/12)-1),$F$11,-$I$61),0)</f>
        <v>0</v>
      </c>
      <c r="M348" s="1312">
        <f t="shared" si="224"/>
        <v>0</v>
      </c>
      <c r="N348" s="1312">
        <f>O347*((1+'Instrumentos Financeiros'!$G$43)^(1/12)-1)</f>
        <v>0</v>
      </c>
      <c r="O348" s="1312">
        <f t="shared" si="193"/>
        <v>0</v>
      </c>
      <c r="P348" s="1312">
        <f>IF(AND(C348&gt;$F$62,'Instrumentos Financeiros'!C348&lt;'Instrumentos Financeiros'!$F$62+'Instrumentos Financeiros'!$F$11+1),PMT(((1+'Instrumentos Financeiros'!$H$43)^(1/12)-1),$F$11,-$I$62),0)</f>
        <v>0</v>
      </c>
      <c r="Q348" s="1312">
        <f t="shared" si="225"/>
        <v>0</v>
      </c>
      <c r="R348" s="1312">
        <f>S347*((1+'Instrumentos Financeiros'!$H$43)^(1/12)-1)</f>
        <v>0</v>
      </c>
      <c r="S348" s="1312">
        <f t="shared" si="194"/>
        <v>0</v>
      </c>
      <c r="T348" s="1312">
        <f>IF(AND(C348&gt;$F$63,'Instrumentos Financeiros'!C348&lt;'Instrumentos Financeiros'!$F$63+'Instrumentos Financeiros'!$F$11+1),PMT(((1+'Instrumentos Financeiros'!$H$43)^(1/12)-1),$F$11,-$I$63),0)</f>
        <v>0</v>
      </c>
      <c r="U348" s="1312">
        <f t="shared" si="226"/>
        <v>0</v>
      </c>
      <c r="V348" s="1312">
        <f>W347*((1+'Instrumentos Financeiros'!$H$43)^(1/12)-1)</f>
        <v>0</v>
      </c>
      <c r="W348" s="1312">
        <f t="shared" si="195"/>
        <v>0</v>
      </c>
      <c r="X348" s="1312">
        <f>IF(AND(C348&gt;$F$64,'Instrumentos Financeiros'!C348&lt;'Instrumentos Financeiros'!$F$64+'Instrumentos Financeiros'!$F$11+1),PMT(((1+'Instrumentos Financeiros'!$H$43)^(1/12)-1),$F$11,-$I$64),0)</f>
        <v>0</v>
      </c>
      <c r="Y348" s="1312">
        <f t="shared" si="227"/>
        <v>0</v>
      </c>
      <c r="Z348" s="1312">
        <f>AA347*((1+'Instrumentos Financeiros'!$H$43)^(1/12)-1)</f>
        <v>0</v>
      </c>
      <c r="AA348" s="1312">
        <f t="shared" si="196"/>
        <v>0</v>
      </c>
      <c r="AB348" s="1312">
        <f>IF(AND(C348&gt;$F$65,'Instrumentos Financeiros'!C348&lt;'Instrumentos Financeiros'!$F$65+'Instrumentos Financeiros'!$F$11+1),PMT(((1+'Instrumentos Financeiros'!$H$43)^(1/12)-1),$F$11,-$I$65),0)</f>
        <v>76636.661022032335</v>
      </c>
      <c r="AC348" s="1312">
        <f t="shared" si="228"/>
        <v>73400.34782749704</v>
      </c>
      <c r="AD348" s="1312">
        <f>AE347*((1+'Instrumentos Financeiros'!$H$43)^(1/12)-1)</f>
        <v>3236.3131945352875</v>
      </c>
      <c r="AE348" s="1312">
        <f t="shared" si="197"/>
        <v>675051.3430286959</v>
      </c>
      <c r="AF348" s="1312">
        <f>IF(AND(C348&gt;$F$66,'Instrumentos Financeiros'!C348&lt;'Instrumentos Financeiros'!$F$66+'Instrumentos Financeiros'!$F$11+1),PMT(((1+'Instrumentos Financeiros'!$I$43)^(1/12)-1),$F$11,-$I$66),0)</f>
        <v>76636.661022032335</v>
      </c>
      <c r="AG348" s="1312">
        <f t="shared" si="229"/>
        <v>72456.371406778009</v>
      </c>
      <c r="AH348" s="1312">
        <f>AI347*((1+'Instrumentos Financeiros'!$I$43)^(1/12)-1)</f>
        <v>4180.2896152543217</v>
      </c>
      <c r="AI348" s="1312">
        <f t="shared" si="198"/>
        <v>894305.69478902721</v>
      </c>
      <c r="AJ348" s="1312">
        <f>IF(AND(C348&gt;$F$67,'Instrumentos Financeiros'!C348&lt;'Instrumentos Financeiros'!$F$67+'Instrumentos Financeiros'!$F$11+1),PMT(((1+'Instrumentos Financeiros'!$I$43)^(1/12)-1),$F$11,-$I$67),0)</f>
        <v>76636.661022032335</v>
      </c>
      <c r="AK348" s="1312">
        <f t="shared" si="230"/>
        <v>71524.535139467625</v>
      </c>
      <c r="AL348" s="1312">
        <f>AM347*((1+'Instrumentos Financeiros'!$I$43)^(1/12)-1)</f>
        <v>5112.1258825647137</v>
      </c>
      <c r="AM348" s="1312">
        <f t="shared" si="199"/>
        <v>1110740.2923611603</v>
      </c>
      <c r="AN348" s="1312">
        <f>IF(AND(C348&gt;$F$68,'Instrumentos Financeiros'!C348&lt;'Instrumentos Financeiros'!$F$68+'Instrumentos Financeiros'!$F$11+1),PMT(((1+'Instrumentos Financeiros'!$I$43)^(1/12)-1),$F$11,-$I$68),0)</f>
        <v>76636.661022032335</v>
      </c>
      <c r="AO348" s="1312">
        <f t="shared" si="231"/>
        <v>70604.682895262667</v>
      </c>
      <c r="AP348" s="1312">
        <f>AQ347*((1+'Instrumentos Financeiros'!$I$43)^(1/12)-1)</f>
        <v>6031.978126769669</v>
      </c>
      <c r="AQ348" s="1312">
        <f t="shared" si="200"/>
        <v>1324391.3996259167</v>
      </c>
      <c r="AR348" s="1312">
        <f>IF(AND(C348&gt;$F$69,'Instrumentos Financeiros'!C348&lt;'Instrumentos Financeiros'!$F$69+'Instrumentos Financeiros'!$F$11+1),PMT(((1+'Instrumentos Financeiros'!$I$43)^(1/12)-1),$F$11,-$I$69),0)</f>
        <v>0</v>
      </c>
      <c r="AS348" s="1312">
        <f t="shared" si="232"/>
        <v>0</v>
      </c>
      <c r="AT348" s="1312">
        <f>AU347*((1+'Instrumentos Financeiros'!$I$43)^(1/12)-1)</f>
        <v>0</v>
      </c>
      <c r="AU348" s="1312">
        <f t="shared" si="201"/>
        <v>0</v>
      </c>
      <c r="AV348" s="1312">
        <f>IF(AND(C348&gt;$F$70,'Instrumentos Financeiros'!C348&lt;'Instrumentos Financeiros'!$F$70+'Instrumentos Financeiros'!$F$11+1),PMT(((1+'Instrumentos Financeiros'!$J$43)^(1/12)-1),$F$11,-$I$70),0)</f>
        <v>0</v>
      </c>
      <c r="AW348" s="1312">
        <f t="shared" si="233"/>
        <v>0</v>
      </c>
      <c r="AX348" s="1312">
        <f>AY347*((1+'Instrumentos Financeiros'!$J$43)^(1/12)-1)</f>
        <v>0</v>
      </c>
      <c r="AY348" s="1312">
        <f t="shared" si="202"/>
        <v>0</v>
      </c>
      <c r="AZ348" s="1312">
        <f>IF(AND(C348&gt;$F$71,'Instrumentos Financeiros'!C348&lt;'Instrumentos Financeiros'!$F$71+'Instrumentos Financeiros'!$F$11+1),PMT(((1+'Instrumentos Financeiros'!$J$43)^(1/12)-1),$F$11,-$I$71),0)</f>
        <v>0</v>
      </c>
      <c r="BA348" s="1312">
        <f t="shared" si="234"/>
        <v>0</v>
      </c>
      <c r="BB348" s="1312">
        <f>BC347*((1+'Instrumentos Financeiros'!$J$43)^(1/12)-1)</f>
        <v>0</v>
      </c>
      <c r="BC348" s="1312">
        <f t="shared" si="203"/>
        <v>0</v>
      </c>
      <c r="BD348" s="1312">
        <f>IF(AND(C348&gt;$F$72,'Instrumentos Financeiros'!C348&lt;'Instrumentos Financeiros'!$F$72+'Instrumentos Financeiros'!$F$11+1),PMT(((1+'Instrumentos Financeiros'!$J$43)^(1/12)-1),$F$11,-'Instrumentos Financeiros'!$G$7*$G$72),0)</f>
        <v>0</v>
      </c>
      <c r="BE348" s="1312">
        <f t="shared" si="235"/>
        <v>0</v>
      </c>
      <c r="BF348" s="1312">
        <f>BG347*((1+'Instrumentos Financeiros'!$J$43)^(1/12)-1)</f>
        <v>0</v>
      </c>
      <c r="BG348" s="1312">
        <f t="shared" si="204"/>
        <v>0</v>
      </c>
      <c r="BH348" s="1312">
        <f>IF(AND(C348&gt;$F$73,'Instrumentos Financeiros'!C348&lt;'Instrumentos Financeiros'!$F$73+'Instrumentos Financeiros'!$F$11+1),PMT(((1+'Instrumentos Financeiros'!$J$43)^(1/12)-1),$F$11,-$I$73),0)</f>
        <v>0</v>
      </c>
      <c r="BI348" s="1312">
        <f t="shared" si="236"/>
        <v>0</v>
      </c>
      <c r="BJ348" s="1312">
        <f>BK347*((1+'Instrumentos Financeiros'!$J$43)^(1/12)-1)</f>
        <v>0</v>
      </c>
      <c r="BK348" s="1312">
        <f t="shared" si="205"/>
        <v>0</v>
      </c>
      <c r="BL348" s="1312">
        <f>IF(AND(C348&gt;$F$77,'Instrumentos Financeiros'!C348&lt;'Instrumentos Financeiros'!$F$77+'Instrumentos Financeiros'!$F$12+1),PMT(((1+'Instrumentos Financeiros'!$K$43)^(1/12)-1),$F$12,-$I$77),0)</f>
        <v>368.57912678094596</v>
      </c>
      <c r="BM348" s="1312">
        <f t="shared" si="206"/>
        <v>335.20163774285908</v>
      </c>
      <c r="BN348" s="1312">
        <f>BO347*((1+'Instrumentos Financeiros'!$K$43)^(1/12)-1)</f>
        <v>33.377489038086878</v>
      </c>
      <c r="BO348" s="1312">
        <f t="shared" si="207"/>
        <v>7383.9023566643737</v>
      </c>
      <c r="BP348" s="1312">
        <f>IF(AND(C348&gt;$F$78,'Instrumentos Financeiros'!C348&lt;'Instrumentos Financeiros'!$F$78+'Instrumentos Financeiros'!$F$12+1),PMT(((1+'Instrumentos Financeiros'!$L$43)^(1/12)-1),$F$12,-$I$78),0)</f>
        <v>368.57912678094596</v>
      </c>
      <c r="BQ348" s="1312">
        <f t="shared" si="208"/>
        <v>330.89072571612991</v>
      </c>
      <c r="BR348" s="1312">
        <f>BS347*((1+'Instrumentos Financeiros'!$L$43)^(1/12)-1)</f>
        <v>37.68840106481607</v>
      </c>
      <c r="BS348" s="1312">
        <f t="shared" si="209"/>
        <v>8385.1839577411974</v>
      </c>
      <c r="BT348" s="1312">
        <f>IF(AND(C348&gt;$F$79,'Instrumentos Financeiros'!C348&lt;'Instrumentos Financeiros'!$F$79+'Instrumentos Financeiros'!$F$12+1),PMT(((1+'Instrumentos Financeiros'!$L$43)^(1/12)-1),$F$12,-$I$79),0)</f>
        <v>368.57912678094596</v>
      </c>
      <c r="BU348" s="1312">
        <f t="shared" si="210"/>
        <v>326.63525483410194</v>
      </c>
      <c r="BV348" s="1312">
        <f>BW347*((1+'Instrumentos Financeiros'!$L$43)^(1/12)-1)</f>
        <v>41.943871946844006</v>
      </c>
      <c r="BW348" s="1312">
        <f t="shared" si="211"/>
        <v>9373.5884233562429</v>
      </c>
      <c r="BX348" s="1312">
        <f>IF(AND(C348&gt;$F$80,'Instrumentos Financeiros'!C348&lt;'Instrumentos Financeiros'!$F$80+'Instrumentos Financeiros'!$F$12+1),PMT(((1+'Instrumentos Financeiros'!$L$43)^(1/12)-1),$F$12,-$I$80),0)</f>
        <v>368.57912678094596</v>
      </c>
      <c r="BY348" s="1312">
        <f t="shared" si="212"/>
        <v>322.43451208743835</v>
      </c>
      <c r="BZ348" s="1312">
        <f>CA347*((1+'Instrumentos Financeiros'!$L$43)^(1/12)-1)</f>
        <v>46.14461469350762</v>
      </c>
      <c r="CA348" s="1312">
        <f t="shared" si="213"/>
        <v>10349.281361883339</v>
      </c>
      <c r="CB348" s="1312">
        <f>IF(AND(C348&gt;$F$83,'Instrumentos Financeiros'!C348&lt;'Instrumentos Financeiros'!$F$83+'Instrumentos Financeiros'!$F$13+1),PMT(((1+'Instrumentos Financeiros'!$P$43)^(1/12)-1),$F$13,-$I$83),0)</f>
        <v>30503.390100238979</v>
      </c>
      <c r="CC348" s="1312">
        <f t="shared" si="214"/>
        <v>20333.241321610563</v>
      </c>
      <c r="CD348" s="1312">
        <f>CE347*((1+'Instrumentos Financeiros'!$P$43)^(1/12)-1)</f>
        <v>10170.148778628414</v>
      </c>
      <c r="CE348" s="1312">
        <f t="shared" si="215"/>
        <v>2331684.1908838325</v>
      </c>
      <c r="CF348" s="1312">
        <f>IF(AND(C348&gt;$F$84,'Instrumentos Financeiros'!C348&lt;'Instrumentos Financeiros'!$F$84+'Instrumentos Financeiros'!$F$13+1),PMT(((1+'Instrumentos Financeiros'!$Q$43)^(1/12)-1),$F$13,-$I$84),0)</f>
        <v>30503.390100238979</v>
      </c>
      <c r="CG348" s="1312">
        <f t="shared" si="216"/>
        <v>20071.742555834964</v>
      </c>
      <c r="CH348" s="1312">
        <f>CI347*((1+'Instrumentos Financeiros'!$Q$43)^(1/12)-1)</f>
        <v>10431.647544404013</v>
      </c>
      <c r="CI348" s="1312">
        <f t="shared" si="217"/>
        <v>2392421.6638946347</v>
      </c>
      <c r="CJ348" s="1312">
        <f>IF(AND(C348&gt;$F$85,'Instrumentos Financeiros'!C348&lt;'Instrumentos Financeiros'!$F$85+'Instrumentos Financeiros'!$F$13+1),PMT(((1+'Instrumentos Financeiros'!$Q$43)^(1/12)-1),$F$13,-$I$85),0)</f>
        <v>30503.390100238979</v>
      </c>
      <c r="CK348" s="1312">
        <f t="shared" si="218"/>
        <v>19813.606835007318</v>
      </c>
      <c r="CL348" s="1312">
        <f>CM347*((1+'Instrumentos Financeiros'!$Q$43)^(1/12)-1)</f>
        <v>10689.783265231661</v>
      </c>
      <c r="CM348" s="1312">
        <f t="shared" si="219"/>
        <v>2452378.0133266905</v>
      </c>
      <c r="CN348" s="1312">
        <f>IF(AND(C348&gt;$F$86,'Instrumentos Financeiros'!C348&lt;'Instrumentos Financeiros'!$F$86+'Instrumentos Financeiros'!$F$13+1),PMT(((1+'Instrumentos Financeiros'!$Q$43)^(1/12)-1),$F$13,-$I$86),0)</f>
        <v>30503.390100238979</v>
      </c>
      <c r="CO348" s="1312">
        <f t="shared" si="220"/>
        <v>19558.790908172734</v>
      </c>
      <c r="CP348" s="1312">
        <f>CQ347*((1+'Instrumentos Financeiros'!$Q$43)^(1/12)-1)</f>
        <v>10944.599192066245</v>
      </c>
      <c r="CQ348" s="1312">
        <f t="shared" si="221"/>
        <v>2511563.2849394795</v>
      </c>
      <c r="CR348" s="1312">
        <f t="shared" si="190"/>
        <v>430034.52099620906</v>
      </c>
      <c r="CS348" s="1312">
        <f t="shared" si="190"/>
        <v>369078.48102001147</v>
      </c>
      <c r="CT348" s="1312">
        <f t="shared" si="190"/>
        <v>60956.0399761976</v>
      </c>
      <c r="CU348" s="1312">
        <f t="shared" si="190"/>
        <v>13728027.838949084</v>
      </c>
    </row>
    <row r="349" spans="3:99" x14ac:dyDescent="0.35">
      <c r="C349" s="1315">
        <f t="shared" si="191"/>
        <v>256</v>
      </c>
      <c r="D349" s="1312">
        <f>IF(AND(C349&gt;$F$59,'Instrumentos Financeiros'!C349&lt;'Instrumentos Financeiros'!$F$59+'Instrumentos Financeiros'!$F$11+1),PMT(((1+'Instrumentos Financeiros'!$G$43)^(1/12)-1),$F$11,-$I$59),0)</f>
        <v>0</v>
      </c>
      <c r="E349" s="1312">
        <f t="shared" ref="E349:E412" si="237">D349-F349</f>
        <v>-9.0575581614285614E-12</v>
      </c>
      <c r="F349" s="1312">
        <f>G348*((1+'Instrumentos Financeiros'!$G$43)^(1/12)-1)</f>
        <v>9.0575581614285614E-12</v>
      </c>
      <c r="G349" s="1312">
        <f t="shared" si="222"/>
        <v>2.2280680168649152E-9</v>
      </c>
      <c r="H349" s="1312">
        <f>IF(AND(C349&gt;$F$60,'Instrumentos Financeiros'!C349&lt;'Instrumentos Financeiros'!$F$60+'Instrumentos Financeiros'!$F$11+1),PMT(((1+'Instrumentos Financeiros'!$G$43)^(1/12)-1),$F$11,-$I$60),0)</f>
        <v>0</v>
      </c>
      <c r="I349" s="1312">
        <f t="shared" si="223"/>
        <v>0</v>
      </c>
      <c r="J349" s="1312">
        <f>K348*((1+'Instrumentos Financeiros'!$G$43)^(1/12)-1)</f>
        <v>0</v>
      </c>
      <c r="K349" s="1312">
        <f t="shared" si="192"/>
        <v>0</v>
      </c>
      <c r="L349" s="1312">
        <f>IF(AND(C349&gt;$F$61,'Instrumentos Financeiros'!C349&lt;'Instrumentos Financeiros'!$F$61+'Instrumentos Financeiros'!$F$11+1),PMT(((1+'Instrumentos Financeiros'!$G$43)^(1/12)-1),$F$11,-$I$61),0)</f>
        <v>0</v>
      </c>
      <c r="M349" s="1312">
        <f t="shared" si="224"/>
        <v>0</v>
      </c>
      <c r="N349" s="1312">
        <f>O348*((1+'Instrumentos Financeiros'!$G$43)^(1/12)-1)</f>
        <v>0</v>
      </c>
      <c r="O349" s="1312">
        <f t="shared" si="193"/>
        <v>0</v>
      </c>
      <c r="P349" s="1312">
        <f>IF(AND(C349&gt;$F$62,'Instrumentos Financeiros'!C349&lt;'Instrumentos Financeiros'!$F$62+'Instrumentos Financeiros'!$F$11+1),PMT(((1+'Instrumentos Financeiros'!$H$43)^(1/12)-1),$F$11,-$I$62),0)</f>
        <v>0</v>
      </c>
      <c r="Q349" s="1312">
        <f t="shared" si="225"/>
        <v>0</v>
      </c>
      <c r="R349" s="1312">
        <f>S348*((1+'Instrumentos Financeiros'!$H$43)^(1/12)-1)</f>
        <v>0</v>
      </c>
      <c r="S349" s="1312">
        <f t="shared" si="194"/>
        <v>0</v>
      </c>
      <c r="T349" s="1312">
        <f>IF(AND(C349&gt;$F$63,'Instrumentos Financeiros'!C349&lt;'Instrumentos Financeiros'!$F$63+'Instrumentos Financeiros'!$F$11+1),PMT(((1+'Instrumentos Financeiros'!$H$43)^(1/12)-1),$F$11,-$I$63),0)</f>
        <v>0</v>
      </c>
      <c r="U349" s="1312">
        <f t="shared" si="226"/>
        <v>0</v>
      </c>
      <c r="V349" s="1312">
        <f>W348*((1+'Instrumentos Financeiros'!$H$43)^(1/12)-1)</f>
        <v>0</v>
      </c>
      <c r="W349" s="1312">
        <f t="shared" si="195"/>
        <v>0</v>
      </c>
      <c r="X349" s="1312">
        <f>IF(AND(C349&gt;$F$64,'Instrumentos Financeiros'!C349&lt;'Instrumentos Financeiros'!$F$64+'Instrumentos Financeiros'!$F$11+1),PMT(((1+'Instrumentos Financeiros'!$H$43)^(1/12)-1),$F$11,-$I$64),0)</f>
        <v>0</v>
      </c>
      <c r="Y349" s="1312">
        <f t="shared" si="227"/>
        <v>0</v>
      </c>
      <c r="Z349" s="1312">
        <f>AA348*((1+'Instrumentos Financeiros'!$H$43)^(1/12)-1)</f>
        <v>0</v>
      </c>
      <c r="AA349" s="1312">
        <f t="shared" si="196"/>
        <v>0</v>
      </c>
      <c r="AB349" s="1312">
        <f>IF(AND(C349&gt;$F$65,'Instrumentos Financeiros'!C349&lt;'Instrumentos Financeiros'!$F$65+'Instrumentos Financeiros'!$F$11+1),PMT(((1+'Instrumentos Financeiros'!$H$43)^(1/12)-1),$F$11,-$I$65),0)</f>
        <v>76636.661022032335</v>
      </c>
      <c r="AC349" s="1312">
        <f t="shared" si="228"/>
        <v>73717.731724226396</v>
      </c>
      <c r="AD349" s="1312">
        <f>AE348*((1+'Instrumentos Financeiros'!$H$43)^(1/12)-1)</f>
        <v>2918.9292978059393</v>
      </c>
      <c r="AE349" s="1312">
        <f t="shared" si="197"/>
        <v>601333.61130446952</v>
      </c>
      <c r="AF349" s="1312">
        <f>IF(AND(C349&gt;$F$66,'Instrumentos Financeiros'!C349&lt;'Instrumentos Financeiros'!$F$66+'Instrumentos Financeiros'!$F$11+1),PMT(((1+'Instrumentos Financeiros'!$I$43)^(1/12)-1),$F$11,-$I$66),0)</f>
        <v>76636.661022032335</v>
      </c>
      <c r="AG349" s="1312">
        <f t="shared" si="229"/>
        <v>72769.673539269235</v>
      </c>
      <c r="AH349" s="1312">
        <f>AI348*((1+'Instrumentos Financeiros'!$I$43)^(1/12)-1)</f>
        <v>3866.9874827631015</v>
      </c>
      <c r="AI349" s="1312">
        <f t="shared" si="198"/>
        <v>821536.02124975796</v>
      </c>
      <c r="AJ349" s="1312">
        <f>IF(AND(C349&gt;$F$67,'Instrumentos Financeiros'!C349&lt;'Instrumentos Financeiros'!$F$67+'Instrumentos Financeiros'!$F$11+1),PMT(((1+'Instrumentos Financeiros'!$I$43)^(1/12)-1),$F$11,-$I$67),0)</f>
        <v>76636.661022032335</v>
      </c>
      <c r="AK349" s="1312">
        <f t="shared" si="230"/>
        <v>71833.808001875164</v>
      </c>
      <c r="AL349" s="1312">
        <f>AM348*((1+'Instrumentos Financeiros'!$I$43)^(1/12)-1)</f>
        <v>4802.8530201571684</v>
      </c>
      <c r="AM349" s="1312">
        <f t="shared" si="199"/>
        <v>1038906.4843592851</v>
      </c>
      <c r="AN349" s="1312">
        <f>IF(AND(C349&gt;$F$68,'Instrumentos Financeiros'!C349&lt;'Instrumentos Financeiros'!$F$68+'Instrumentos Financeiros'!$F$11+1),PMT(((1+'Instrumentos Financeiros'!$I$43)^(1/12)-1),$F$11,-$I$68),0)</f>
        <v>76636.661022032335</v>
      </c>
      <c r="AO349" s="1312">
        <f t="shared" si="231"/>
        <v>70909.978306631878</v>
      </c>
      <c r="AP349" s="1312">
        <f>AQ348*((1+'Instrumentos Financeiros'!$I$43)^(1/12)-1)</f>
        <v>5726.6827154004632</v>
      </c>
      <c r="AQ349" s="1312">
        <f t="shared" si="200"/>
        <v>1253481.4213192849</v>
      </c>
      <c r="AR349" s="1312">
        <f>IF(AND(C349&gt;$F$69,'Instrumentos Financeiros'!C349&lt;'Instrumentos Financeiros'!$F$69+'Instrumentos Financeiros'!$F$11+1),PMT(((1+'Instrumentos Financeiros'!$I$43)^(1/12)-1),$F$11,-$I$69),0)</f>
        <v>0</v>
      </c>
      <c r="AS349" s="1312">
        <f t="shared" si="232"/>
        <v>0</v>
      </c>
      <c r="AT349" s="1312">
        <f>AU348*((1+'Instrumentos Financeiros'!$I$43)^(1/12)-1)</f>
        <v>0</v>
      </c>
      <c r="AU349" s="1312">
        <f t="shared" si="201"/>
        <v>0</v>
      </c>
      <c r="AV349" s="1312">
        <f>IF(AND(C349&gt;$F$70,'Instrumentos Financeiros'!C349&lt;'Instrumentos Financeiros'!$F$70+'Instrumentos Financeiros'!$F$11+1),PMT(((1+'Instrumentos Financeiros'!$J$43)^(1/12)-1),$F$11,-$I$70),0)</f>
        <v>0</v>
      </c>
      <c r="AW349" s="1312">
        <f t="shared" si="233"/>
        <v>0</v>
      </c>
      <c r="AX349" s="1312">
        <f>AY348*((1+'Instrumentos Financeiros'!$J$43)^(1/12)-1)</f>
        <v>0</v>
      </c>
      <c r="AY349" s="1312">
        <f t="shared" si="202"/>
        <v>0</v>
      </c>
      <c r="AZ349" s="1312">
        <f>IF(AND(C349&gt;$F$71,'Instrumentos Financeiros'!C349&lt;'Instrumentos Financeiros'!$F$71+'Instrumentos Financeiros'!$F$11+1),PMT(((1+'Instrumentos Financeiros'!$J$43)^(1/12)-1),$F$11,-$I$71),0)</f>
        <v>0</v>
      </c>
      <c r="BA349" s="1312">
        <f t="shared" si="234"/>
        <v>0</v>
      </c>
      <c r="BB349" s="1312">
        <f>BC348*((1+'Instrumentos Financeiros'!$J$43)^(1/12)-1)</f>
        <v>0</v>
      </c>
      <c r="BC349" s="1312">
        <f t="shared" si="203"/>
        <v>0</v>
      </c>
      <c r="BD349" s="1312">
        <f>IF(AND(C349&gt;$F$72,'Instrumentos Financeiros'!C349&lt;'Instrumentos Financeiros'!$F$72+'Instrumentos Financeiros'!$F$11+1),PMT(((1+'Instrumentos Financeiros'!$J$43)^(1/12)-1),$F$11,-'Instrumentos Financeiros'!$G$7*$G$72),0)</f>
        <v>0</v>
      </c>
      <c r="BE349" s="1312">
        <f t="shared" si="235"/>
        <v>0</v>
      </c>
      <c r="BF349" s="1312">
        <f>BG348*((1+'Instrumentos Financeiros'!$J$43)^(1/12)-1)</f>
        <v>0</v>
      </c>
      <c r="BG349" s="1312">
        <f t="shared" si="204"/>
        <v>0</v>
      </c>
      <c r="BH349" s="1312">
        <f>IF(AND(C349&gt;$F$73,'Instrumentos Financeiros'!C349&lt;'Instrumentos Financeiros'!$F$73+'Instrumentos Financeiros'!$F$11+1),PMT(((1+'Instrumentos Financeiros'!$J$43)^(1/12)-1),$F$11,-$I$73),0)</f>
        <v>0</v>
      </c>
      <c r="BI349" s="1312">
        <f t="shared" si="236"/>
        <v>0</v>
      </c>
      <c r="BJ349" s="1312">
        <f>BK348*((1+'Instrumentos Financeiros'!$J$43)^(1/12)-1)</f>
        <v>0</v>
      </c>
      <c r="BK349" s="1312">
        <f t="shared" si="205"/>
        <v>0</v>
      </c>
      <c r="BL349" s="1312">
        <f>IF(AND(C349&gt;$F$77,'Instrumentos Financeiros'!C349&lt;'Instrumentos Financeiros'!$F$77+'Instrumentos Financeiros'!$F$12+1),PMT(((1+'Instrumentos Financeiros'!$K$43)^(1/12)-1),$F$12,-$I$77),0)</f>
        <v>368.57912678094596</v>
      </c>
      <c r="BM349" s="1312">
        <f t="shared" si="206"/>
        <v>336.65105324463457</v>
      </c>
      <c r="BN349" s="1312">
        <f>BO348*((1+'Instrumentos Financeiros'!$K$43)^(1/12)-1)</f>
        <v>31.928073536311377</v>
      </c>
      <c r="BO349" s="1312">
        <f t="shared" si="207"/>
        <v>7047.2513034197391</v>
      </c>
      <c r="BP349" s="1312">
        <f>IF(AND(C349&gt;$F$78,'Instrumentos Financeiros'!C349&lt;'Instrumentos Financeiros'!$F$78+'Instrumentos Financeiros'!$F$12+1),PMT(((1+'Instrumentos Financeiros'!$L$43)^(1/12)-1),$F$12,-$I$78),0)</f>
        <v>368.57912678094596</v>
      </c>
      <c r="BQ349" s="1312">
        <f t="shared" si="208"/>
        <v>332.32150078774401</v>
      </c>
      <c r="BR349" s="1312">
        <f>BS348*((1+'Instrumentos Financeiros'!$L$43)^(1/12)-1)</f>
        <v>36.257625993201962</v>
      </c>
      <c r="BS349" s="1312">
        <f t="shared" si="209"/>
        <v>8052.8624569534531</v>
      </c>
      <c r="BT349" s="1312">
        <f>IF(AND(C349&gt;$F$79,'Instrumentos Financeiros'!C349&lt;'Instrumentos Financeiros'!$F$79+'Instrumentos Financeiros'!$F$12+1),PMT(((1+'Instrumentos Financeiros'!$L$43)^(1/12)-1),$F$12,-$I$79),0)</f>
        <v>368.57912678094596</v>
      </c>
      <c r="BU349" s="1312">
        <f t="shared" si="210"/>
        <v>328.04762920366312</v>
      </c>
      <c r="BV349" s="1312">
        <f>BW348*((1+'Instrumentos Financeiros'!$L$43)^(1/12)-1)</f>
        <v>40.531497577282842</v>
      </c>
      <c r="BW349" s="1312">
        <f t="shared" si="211"/>
        <v>9045.5407941525791</v>
      </c>
      <c r="BX349" s="1312">
        <f>IF(AND(C349&gt;$F$80,'Instrumentos Financeiros'!C349&lt;'Instrumentos Financeiros'!$F$80+'Instrumentos Financeiros'!$F$12+1),PMT(((1+'Instrumentos Financeiros'!$L$43)^(1/12)-1),$F$12,-$I$80),0)</f>
        <v>368.57912678094596</v>
      </c>
      <c r="BY349" s="1312">
        <f t="shared" si="212"/>
        <v>323.82872239999494</v>
      </c>
      <c r="BZ349" s="1312">
        <f>CA348*((1+'Instrumentos Financeiros'!$L$43)^(1/12)-1)</f>
        <v>44.750404380951025</v>
      </c>
      <c r="CA349" s="1312">
        <f t="shared" si="213"/>
        <v>10025.452639483345</v>
      </c>
      <c r="CB349" s="1312">
        <f>IF(AND(C349&gt;$F$83,'Instrumentos Financeiros'!C349&lt;'Instrumentos Financeiros'!$F$83+'Instrumentos Financeiros'!$F$13+1),PMT(((1+'Instrumentos Financeiros'!$P$43)^(1/12)-1),$F$13,-$I$83),0)</f>
        <v>30503.390100238979</v>
      </c>
      <c r="CC349" s="1312">
        <f t="shared" si="214"/>
        <v>20421.162476684076</v>
      </c>
      <c r="CD349" s="1312">
        <f>CE348*((1+'Instrumentos Financeiros'!$P$43)^(1/12)-1)</f>
        <v>10082.227623554903</v>
      </c>
      <c r="CE349" s="1312">
        <f t="shared" si="215"/>
        <v>2311263.0284071486</v>
      </c>
      <c r="CF349" s="1312">
        <f>IF(AND(C349&gt;$F$84,'Instrumentos Financeiros'!C349&lt;'Instrumentos Financeiros'!$F$84+'Instrumentos Financeiros'!$F$13+1),PMT(((1+'Instrumentos Financeiros'!$Q$43)^(1/12)-1),$F$13,-$I$84),0)</f>
        <v>30503.390100238979</v>
      </c>
      <c r="CG349" s="1312">
        <f t="shared" si="216"/>
        <v>20158.532987421077</v>
      </c>
      <c r="CH349" s="1312">
        <f>CI348*((1+'Instrumentos Financeiros'!$Q$43)^(1/12)-1)</f>
        <v>10344.857112817903</v>
      </c>
      <c r="CI349" s="1312">
        <f t="shared" si="217"/>
        <v>2372263.1309072138</v>
      </c>
      <c r="CJ349" s="1312">
        <f>IF(AND(C349&gt;$F$85,'Instrumentos Financeiros'!C349&lt;'Instrumentos Financeiros'!$F$85+'Instrumentos Financeiros'!$F$13+1),PMT(((1+'Instrumentos Financeiros'!$Q$43)^(1/12)-1),$F$13,-$I$85),0)</f>
        <v>30503.390100238979</v>
      </c>
      <c r="CK349" s="1312">
        <f t="shared" si="218"/>
        <v>19899.281084948707</v>
      </c>
      <c r="CL349" s="1312">
        <f>CM348*((1+'Instrumentos Financeiros'!$Q$43)^(1/12)-1)</f>
        <v>10604.109015290273</v>
      </c>
      <c r="CM349" s="1312">
        <f t="shared" si="219"/>
        <v>2432478.7322417418</v>
      </c>
      <c r="CN349" s="1312">
        <f>IF(AND(C349&gt;$F$86,'Instrumentos Financeiros'!C349&lt;'Instrumentos Financeiros'!$F$86+'Instrumentos Financeiros'!$F$13+1),PMT(((1+'Instrumentos Financeiros'!$Q$43)^(1/12)-1),$F$13,-$I$86),0)</f>
        <v>30503.390100238979</v>
      </c>
      <c r="CO349" s="1312">
        <f t="shared" si="220"/>
        <v>19643.36333129448</v>
      </c>
      <c r="CP349" s="1312">
        <f>CQ348*((1+'Instrumentos Financeiros'!$Q$43)^(1/12)-1)</f>
        <v>10860.026768944499</v>
      </c>
      <c r="CQ349" s="1312">
        <f t="shared" si="221"/>
        <v>2491919.9216081849</v>
      </c>
      <c r="CR349" s="1312">
        <f t="shared" si="190"/>
        <v>430034.52099620906</v>
      </c>
      <c r="CS349" s="1312">
        <f t="shared" si="190"/>
        <v>370674.38035798713</v>
      </c>
      <c r="CT349" s="1312">
        <f t="shared" si="190"/>
        <v>59360.140638222016</v>
      </c>
      <c r="CU349" s="1312">
        <f t="shared" ref="CU349" si="238">G349+K349+O349+S349+W349+AA349+AE349+AI349+AM349+AQ349+AU349+AY349+BC349+BG349+BK349+BO349+BS349+BW349+CA349+CE349+CI349+CM349+CQ349</f>
        <v>13357353.4585911</v>
      </c>
    </row>
    <row r="350" spans="3:99" x14ac:dyDescent="0.35">
      <c r="C350" s="1315">
        <f t="shared" si="191"/>
        <v>257</v>
      </c>
      <c r="D350" s="1312">
        <f>IF(AND(C350&gt;$F$59,'Instrumentos Financeiros'!C350&lt;'Instrumentos Financeiros'!$F$59+'Instrumentos Financeiros'!$F$11+1),PMT(((1+'Instrumentos Financeiros'!$G$43)^(1/12)-1),$F$11,-$I$59),0)</f>
        <v>0</v>
      </c>
      <c r="E350" s="1312">
        <f t="shared" si="237"/>
        <v>-9.0945293075202269E-12</v>
      </c>
      <c r="F350" s="1312">
        <f>G349*((1+'Instrumentos Financeiros'!$G$43)^(1/12)-1)</f>
        <v>9.0945293075202269E-12</v>
      </c>
      <c r="G350" s="1312">
        <f t="shared" si="222"/>
        <v>2.2371625461724353E-9</v>
      </c>
      <c r="H350" s="1312">
        <f>IF(AND(C350&gt;$F$60,'Instrumentos Financeiros'!C350&lt;'Instrumentos Financeiros'!$F$60+'Instrumentos Financeiros'!$F$11+1),PMT(((1+'Instrumentos Financeiros'!$G$43)^(1/12)-1),$F$11,-$I$60),0)</f>
        <v>0</v>
      </c>
      <c r="I350" s="1312">
        <f t="shared" si="223"/>
        <v>0</v>
      </c>
      <c r="J350" s="1312">
        <f>K349*((1+'Instrumentos Financeiros'!$G$43)^(1/12)-1)</f>
        <v>0</v>
      </c>
      <c r="K350" s="1312">
        <f t="shared" si="192"/>
        <v>0</v>
      </c>
      <c r="L350" s="1312">
        <f>IF(AND(C350&gt;$F$61,'Instrumentos Financeiros'!C350&lt;'Instrumentos Financeiros'!$F$61+'Instrumentos Financeiros'!$F$11+1),PMT(((1+'Instrumentos Financeiros'!$G$43)^(1/12)-1),$F$11,-$I$61),0)</f>
        <v>0</v>
      </c>
      <c r="M350" s="1312">
        <f t="shared" si="224"/>
        <v>0</v>
      </c>
      <c r="N350" s="1312">
        <f>O349*((1+'Instrumentos Financeiros'!$G$43)^(1/12)-1)</f>
        <v>0</v>
      </c>
      <c r="O350" s="1312">
        <f t="shared" si="193"/>
        <v>0</v>
      </c>
      <c r="P350" s="1312">
        <f>IF(AND(C350&gt;$F$62,'Instrumentos Financeiros'!C350&lt;'Instrumentos Financeiros'!$F$62+'Instrumentos Financeiros'!$F$11+1),PMT(((1+'Instrumentos Financeiros'!$H$43)^(1/12)-1),$F$11,-$I$62),0)</f>
        <v>0</v>
      </c>
      <c r="Q350" s="1312">
        <f t="shared" si="225"/>
        <v>0</v>
      </c>
      <c r="R350" s="1312">
        <f>S349*((1+'Instrumentos Financeiros'!$H$43)^(1/12)-1)</f>
        <v>0</v>
      </c>
      <c r="S350" s="1312">
        <f t="shared" si="194"/>
        <v>0</v>
      </c>
      <c r="T350" s="1312">
        <f>IF(AND(C350&gt;$F$63,'Instrumentos Financeiros'!C350&lt;'Instrumentos Financeiros'!$F$63+'Instrumentos Financeiros'!$F$11+1),PMT(((1+'Instrumentos Financeiros'!$H$43)^(1/12)-1),$F$11,-$I$63),0)</f>
        <v>0</v>
      </c>
      <c r="U350" s="1312">
        <f t="shared" si="226"/>
        <v>0</v>
      </c>
      <c r="V350" s="1312">
        <f>W349*((1+'Instrumentos Financeiros'!$H$43)^(1/12)-1)</f>
        <v>0</v>
      </c>
      <c r="W350" s="1312">
        <f t="shared" si="195"/>
        <v>0</v>
      </c>
      <c r="X350" s="1312">
        <f>IF(AND(C350&gt;$F$64,'Instrumentos Financeiros'!C350&lt;'Instrumentos Financeiros'!$F$64+'Instrumentos Financeiros'!$F$11+1),PMT(((1+'Instrumentos Financeiros'!$H$43)^(1/12)-1),$F$11,-$I$64),0)</f>
        <v>0</v>
      </c>
      <c r="Y350" s="1312">
        <f t="shared" si="227"/>
        <v>0</v>
      </c>
      <c r="Z350" s="1312">
        <f>AA349*((1+'Instrumentos Financeiros'!$H$43)^(1/12)-1)</f>
        <v>0</v>
      </c>
      <c r="AA350" s="1312">
        <f t="shared" si="196"/>
        <v>0</v>
      </c>
      <c r="AB350" s="1312">
        <f>IF(AND(C350&gt;$F$65,'Instrumentos Financeiros'!C350&lt;'Instrumentos Financeiros'!$F$65+'Instrumentos Financeiros'!$F$11+1),PMT(((1+'Instrumentos Financeiros'!$H$43)^(1/12)-1),$F$11,-$I$65),0)</f>
        <v>76636.661022032335</v>
      </c>
      <c r="AC350" s="1312">
        <f t="shared" si="228"/>
        <v>74036.487992352952</v>
      </c>
      <c r="AD350" s="1312">
        <f>AE349*((1+'Instrumentos Financeiros'!$H$43)^(1/12)-1)</f>
        <v>2600.1730296793889</v>
      </c>
      <c r="AE350" s="1312">
        <f t="shared" si="197"/>
        <v>527297.1233121166</v>
      </c>
      <c r="AF350" s="1312">
        <f>IF(AND(C350&gt;$F$66,'Instrumentos Financeiros'!C350&lt;'Instrumentos Financeiros'!$F$66+'Instrumentos Financeiros'!$F$11+1),PMT(((1+'Instrumentos Financeiros'!$I$43)^(1/12)-1),$F$11,-$I$66),0)</f>
        <v>76636.661022032335</v>
      </c>
      <c r="AG350" s="1312">
        <f t="shared" si="229"/>
        <v>73084.330393565004</v>
      </c>
      <c r="AH350" s="1312">
        <f>AI349*((1+'Instrumentos Financeiros'!$I$43)^(1/12)-1)</f>
        <v>3552.3306284673281</v>
      </c>
      <c r="AI350" s="1312">
        <f t="shared" si="198"/>
        <v>748451.69085619296</v>
      </c>
      <c r="AJ350" s="1312">
        <f>IF(AND(C350&gt;$F$67,'Instrumentos Financeiros'!C350&lt;'Instrumentos Financeiros'!$F$67+'Instrumentos Financeiros'!$F$11+1),PMT(((1+'Instrumentos Financeiros'!$I$43)^(1/12)-1),$F$11,-$I$67),0)</f>
        <v>76636.661022032335</v>
      </c>
      <c r="AK350" s="1312">
        <f t="shared" si="230"/>
        <v>72144.418163479902</v>
      </c>
      <c r="AL350" s="1312">
        <f>AM349*((1+'Instrumentos Financeiros'!$I$43)^(1/12)-1)</f>
        <v>4492.2428585524285</v>
      </c>
      <c r="AM350" s="1312">
        <f t="shared" si="199"/>
        <v>966762.06619580521</v>
      </c>
      <c r="AN350" s="1312">
        <f>IF(AND(C350&gt;$F$68,'Instrumentos Financeiros'!C350&lt;'Instrumentos Financeiros'!$F$68+'Instrumentos Financeiros'!$F$11+1),PMT(((1+'Instrumentos Financeiros'!$I$43)^(1/12)-1),$F$11,-$I$68),0)</f>
        <v>76636.661022032335</v>
      </c>
      <c r="AO350" s="1312">
        <f t="shared" si="231"/>
        <v>71216.593818657027</v>
      </c>
      <c r="AP350" s="1312">
        <f>AQ349*((1+'Instrumentos Financeiros'!$I$43)^(1/12)-1)</f>
        <v>5420.0672033753099</v>
      </c>
      <c r="AQ350" s="1312">
        <f t="shared" si="200"/>
        <v>1182264.8275006278</v>
      </c>
      <c r="AR350" s="1312">
        <f>IF(AND(C350&gt;$F$69,'Instrumentos Financeiros'!C350&lt;'Instrumentos Financeiros'!$F$69+'Instrumentos Financeiros'!$F$11+1),PMT(((1+'Instrumentos Financeiros'!$I$43)^(1/12)-1),$F$11,-$I$69),0)</f>
        <v>0</v>
      </c>
      <c r="AS350" s="1312">
        <f t="shared" si="232"/>
        <v>0</v>
      </c>
      <c r="AT350" s="1312">
        <f>AU349*((1+'Instrumentos Financeiros'!$I$43)^(1/12)-1)</f>
        <v>0</v>
      </c>
      <c r="AU350" s="1312">
        <f t="shared" si="201"/>
        <v>0</v>
      </c>
      <c r="AV350" s="1312">
        <f>IF(AND(C350&gt;$F$70,'Instrumentos Financeiros'!C350&lt;'Instrumentos Financeiros'!$F$70+'Instrumentos Financeiros'!$F$11+1),PMT(((1+'Instrumentos Financeiros'!$J$43)^(1/12)-1),$F$11,-$I$70),0)</f>
        <v>0</v>
      </c>
      <c r="AW350" s="1312">
        <f t="shared" si="233"/>
        <v>0</v>
      </c>
      <c r="AX350" s="1312">
        <f>AY349*((1+'Instrumentos Financeiros'!$J$43)^(1/12)-1)</f>
        <v>0</v>
      </c>
      <c r="AY350" s="1312">
        <f t="shared" si="202"/>
        <v>0</v>
      </c>
      <c r="AZ350" s="1312">
        <f>IF(AND(C350&gt;$F$71,'Instrumentos Financeiros'!C350&lt;'Instrumentos Financeiros'!$F$71+'Instrumentos Financeiros'!$F$11+1),PMT(((1+'Instrumentos Financeiros'!$J$43)^(1/12)-1),$F$11,-$I$71),0)</f>
        <v>0</v>
      </c>
      <c r="BA350" s="1312">
        <f t="shared" si="234"/>
        <v>0</v>
      </c>
      <c r="BB350" s="1312">
        <f>BC349*((1+'Instrumentos Financeiros'!$J$43)^(1/12)-1)</f>
        <v>0</v>
      </c>
      <c r="BC350" s="1312">
        <f t="shared" si="203"/>
        <v>0</v>
      </c>
      <c r="BD350" s="1312">
        <f>IF(AND(C350&gt;$F$72,'Instrumentos Financeiros'!C350&lt;'Instrumentos Financeiros'!$F$72+'Instrumentos Financeiros'!$F$11+1),PMT(((1+'Instrumentos Financeiros'!$J$43)^(1/12)-1),$F$11,-'Instrumentos Financeiros'!$G$7*$G$72),0)</f>
        <v>0</v>
      </c>
      <c r="BE350" s="1312">
        <f t="shared" si="235"/>
        <v>0</v>
      </c>
      <c r="BF350" s="1312">
        <f>BG349*((1+'Instrumentos Financeiros'!$J$43)^(1/12)-1)</f>
        <v>0</v>
      </c>
      <c r="BG350" s="1312">
        <f t="shared" si="204"/>
        <v>0</v>
      </c>
      <c r="BH350" s="1312">
        <f>IF(AND(C350&gt;$F$73,'Instrumentos Financeiros'!C350&lt;'Instrumentos Financeiros'!$F$73+'Instrumentos Financeiros'!$F$11+1),PMT(((1+'Instrumentos Financeiros'!$J$43)^(1/12)-1),$F$11,-$I$73),0)</f>
        <v>0</v>
      </c>
      <c r="BI350" s="1312">
        <f t="shared" si="236"/>
        <v>0</v>
      </c>
      <c r="BJ350" s="1312">
        <f>BK349*((1+'Instrumentos Financeiros'!$J$43)^(1/12)-1)</f>
        <v>0</v>
      </c>
      <c r="BK350" s="1312">
        <f t="shared" si="205"/>
        <v>0</v>
      </c>
      <c r="BL350" s="1312">
        <f>IF(AND(C350&gt;$F$77,'Instrumentos Financeiros'!C350&lt;'Instrumentos Financeiros'!$F$77+'Instrumentos Financeiros'!$F$12+1),PMT(((1+'Instrumentos Financeiros'!$K$43)^(1/12)-1),$F$12,-$I$77),0)</f>
        <v>368.57912678094596</v>
      </c>
      <c r="BM350" s="1312">
        <f t="shared" si="206"/>
        <v>338.10673603469343</v>
      </c>
      <c r="BN350" s="1312">
        <f>BO349*((1+'Instrumentos Financeiros'!$K$43)^(1/12)-1)</f>
        <v>30.472390746252518</v>
      </c>
      <c r="BO350" s="1312">
        <f t="shared" si="207"/>
        <v>6709.1445673850458</v>
      </c>
      <c r="BP350" s="1312">
        <f>IF(AND(C350&gt;$F$78,'Instrumentos Financeiros'!C350&lt;'Instrumentos Financeiros'!$F$78+'Instrumentos Financeiros'!$F$12+1),PMT(((1+'Instrumentos Financeiros'!$L$43)^(1/12)-1),$F$12,-$I$78),0)</f>
        <v>368.57912678094596</v>
      </c>
      <c r="BQ350" s="1312">
        <f t="shared" si="208"/>
        <v>333.75846254622013</v>
      </c>
      <c r="BR350" s="1312">
        <f>BS349*((1+'Instrumentos Financeiros'!$L$43)^(1/12)-1)</f>
        <v>34.820664234725832</v>
      </c>
      <c r="BS350" s="1312">
        <f t="shared" si="209"/>
        <v>7719.1039944072327</v>
      </c>
      <c r="BT350" s="1312">
        <f>IF(AND(C350&gt;$F$79,'Instrumentos Financeiros'!C350&lt;'Instrumentos Financeiros'!$F$79+'Instrumentos Financeiros'!$F$12+1),PMT(((1+'Instrumentos Financeiros'!$L$43)^(1/12)-1),$F$12,-$I$79),0)</f>
        <v>368.57912678094596</v>
      </c>
      <c r="BU350" s="1312">
        <f t="shared" si="210"/>
        <v>329.46611069525187</v>
      </c>
      <c r="BV350" s="1312">
        <f>BW349*((1+'Instrumentos Financeiros'!$L$43)^(1/12)-1)</f>
        <v>39.113016085694063</v>
      </c>
      <c r="BW350" s="1312">
        <f t="shared" si="211"/>
        <v>8716.0746834573274</v>
      </c>
      <c r="BX350" s="1312">
        <f>IF(AND(C350&gt;$F$80,'Instrumentos Financeiros'!C350&lt;'Instrumentos Financeiros'!$F$80+'Instrumentos Financeiros'!$F$12+1),PMT(((1+'Instrumentos Financeiros'!$L$43)^(1/12)-1),$F$12,-$I$80),0)</f>
        <v>368.57912678094596</v>
      </c>
      <c r="BY350" s="1312">
        <f t="shared" si="212"/>
        <v>325.22896129300045</v>
      </c>
      <c r="BZ350" s="1312">
        <f>CA349*((1+'Instrumentos Financeiros'!$L$43)^(1/12)-1)</f>
        <v>43.350165487945482</v>
      </c>
      <c r="CA350" s="1312">
        <f t="shared" si="213"/>
        <v>9700.2236781903448</v>
      </c>
      <c r="CB350" s="1312">
        <f>IF(AND(C350&gt;$F$83,'Instrumentos Financeiros'!C350&lt;'Instrumentos Financeiros'!$F$83+'Instrumentos Financeiros'!$F$13+1),PMT(((1+'Instrumentos Financeiros'!$P$43)^(1/12)-1),$F$13,-$I$83),0)</f>
        <v>30503.390100238979</v>
      </c>
      <c r="CC350" s="1312">
        <f t="shared" si="214"/>
        <v>20509.463803781669</v>
      </c>
      <c r="CD350" s="1312">
        <f>CE349*((1+'Instrumentos Financeiros'!$P$43)^(1/12)-1)</f>
        <v>9993.9262964573081</v>
      </c>
      <c r="CE350" s="1312">
        <f t="shared" si="215"/>
        <v>2290753.5646033669</v>
      </c>
      <c r="CF350" s="1312">
        <f>IF(AND(C350&gt;$F$84,'Instrumentos Financeiros'!C350&lt;'Instrumentos Financeiros'!$F$84+'Instrumentos Financeiros'!$F$13+1),PMT(((1+'Instrumentos Financeiros'!$Q$43)^(1/12)-1),$F$13,-$I$84),0)</f>
        <v>30503.390100238979</v>
      </c>
      <c r="CG350" s="1312">
        <f t="shared" si="216"/>
        <v>20245.698701770703</v>
      </c>
      <c r="CH350" s="1312">
        <f>CI349*((1+'Instrumentos Financeiros'!$Q$43)^(1/12)-1)</f>
        <v>10257.691398468276</v>
      </c>
      <c r="CI350" s="1312">
        <f t="shared" si="217"/>
        <v>2352017.4322054433</v>
      </c>
      <c r="CJ350" s="1312">
        <f>IF(AND(C350&gt;$F$85,'Instrumentos Financeiros'!C350&lt;'Instrumentos Financeiros'!$F$85+'Instrumentos Financeiros'!$F$13+1),PMT(((1+'Instrumentos Financeiros'!$Q$43)^(1/12)-1),$F$13,-$I$85),0)</f>
        <v>30503.390100238979</v>
      </c>
      <c r="CK350" s="1312">
        <f t="shared" si="218"/>
        <v>19985.325791272124</v>
      </c>
      <c r="CL350" s="1312">
        <f>CM349*((1+'Instrumentos Financeiros'!$Q$43)^(1/12)-1)</f>
        <v>10518.064308966856</v>
      </c>
      <c r="CM350" s="1312">
        <f t="shared" si="219"/>
        <v>2412493.4064504695</v>
      </c>
      <c r="CN350" s="1312">
        <f>IF(AND(C350&gt;$F$86,'Instrumentos Financeiros'!C350&lt;'Instrumentos Financeiros'!$F$86+'Instrumentos Financeiros'!$F$13+1),PMT(((1+'Instrumentos Financeiros'!$Q$43)^(1/12)-1),$F$13,-$I$86),0)</f>
        <v>30503.390100238979</v>
      </c>
      <c r="CO350" s="1312">
        <f t="shared" si="220"/>
        <v>19728.301446487189</v>
      </c>
      <c r="CP350" s="1312">
        <f>CQ349*((1+'Instrumentos Financeiros'!$Q$43)^(1/12)-1)</f>
        <v>10775.088653751793</v>
      </c>
      <c r="CQ350" s="1312">
        <f t="shared" si="221"/>
        <v>2472191.6201616977</v>
      </c>
      <c r="CR350" s="1312">
        <f t="shared" ref="CR350:CU413" si="239">D350+H350+L350+P350+T350+X350+AB350+AF350+AJ350+AN350+AR350+AV350+AZ350+BD350+BH350+BL350+BP350+BT350+BX350+CB350+CF350+CJ350+CN350</f>
        <v>430034.52099620906</v>
      </c>
      <c r="CS350" s="1312">
        <f t="shared" si="239"/>
        <v>372277.18038193567</v>
      </c>
      <c r="CT350" s="1312">
        <f t="shared" si="239"/>
        <v>57757.340614273315</v>
      </c>
      <c r="CU350" s="1312">
        <f t="shared" si="239"/>
        <v>12985076.278209161</v>
      </c>
    </row>
    <row r="351" spans="3:99" x14ac:dyDescent="0.35">
      <c r="C351" s="1315">
        <f t="shared" ref="C351:C414" si="240">C350+1</f>
        <v>258</v>
      </c>
      <c r="D351" s="1312">
        <f>IF(AND(C351&gt;$F$59,'Instrumentos Financeiros'!C351&lt;'Instrumentos Financeiros'!$F$59+'Instrumentos Financeiros'!$F$11+1),PMT(((1+'Instrumentos Financeiros'!$G$43)^(1/12)-1),$F$11,-$I$59),0)</f>
        <v>0</v>
      </c>
      <c r="E351" s="1312">
        <f t="shared" si="237"/>
        <v>-9.1316513624571867E-12</v>
      </c>
      <c r="F351" s="1312">
        <f>G350*((1+'Instrumentos Financeiros'!$G$43)^(1/12)-1)</f>
        <v>9.1316513624571867E-12</v>
      </c>
      <c r="G351" s="1312">
        <f t="shared" si="222"/>
        <v>2.2462941975348924E-9</v>
      </c>
      <c r="H351" s="1312">
        <f>IF(AND(C351&gt;$F$60,'Instrumentos Financeiros'!C351&lt;'Instrumentos Financeiros'!$F$60+'Instrumentos Financeiros'!$F$11+1),PMT(((1+'Instrumentos Financeiros'!$G$43)^(1/12)-1),$F$11,-$I$60),0)</f>
        <v>0</v>
      </c>
      <c r="I351" s="1312">
        <f t="shared" si="223"/>
        <v>0</v>
      </c>
      <c r="J351" s="1312">
        <f>K350*((1+'Instrumentos Financeiros'!$G$43)^(1/12)-1)</f>
        <v>0</v>
      </c>
      <c r="K351" s="1312">
        <f t="shared" ref="K351:K414" si="241">IF(C351=$F$60,$I$60,K350-I351)</f>
        <v>0</v>
      </c>
      <c r="L351" s="1312">
        <f>IF(AND(C351&gt;$F$61,'Instrumentos Financeiros'!C351&lt;'Instrumentos Financeiros'!$F$61+'Instrumentos Financeiros'!$F$11+1),PMT(((1+'Instrumentos Financeiros'!$G$43)^(1/12)-1),$F$11,-$I$61),0)</f>
        <v>0</v>
      </c>
      <c r="M351" s="1312">
        <f t="shared" si="224"/>
        <v>0</v>
      </c>
      <c r="N351" s="1312">
        <f>O350*((1+'Instrumentos Financeiros'!$G$43)^(1/12)-1)</f>
        <v>0</v>
      </c>
      <c r="O351" s="1312">
        <f t="shared" ref="O351:O414" si="242">IF(C351=$F$61,$I$61,O350-M351)</f>
        <v>0</v>
      </c>
      <c r="P351" s="1312">
        <f>IF(AND(C351&gt;$F$62,'Instrumentos Financeiros'!C351&lt;'Instrumentos Financeiros'!$F$62+'Instrumentos Financeiros'!$F$11+1),PMT(((1+'Instrumentos Financeiros'!$H$43)^(1/12)-1),$F$11,-$I$62),0)</f>
        <v>0</v>
      </c>
      <c r="Q351" s="1312">
        <f t="shared" si="225"/>
        <v>0</v>
      </c>
      <c r="R351" s="1312">
        <f>S350*((1+'Instrumentos Financeiros'!$H$43)^(1/12)-1)</f>
        <v>0</v>
      </c>
      <c r="S351" s="1312">
        <f t="shared" ref="S351:S414" si="243">IF(C351=$F$62,$I$62,S350-Q351)</f>
        <v>0</v>
      </c>
      <c r="T351" s="1312">
        <f>IF(AND(C351&gt;$F$63,'Instrumentos Financeiros'!C351&lt;'Instrumentos Financeiros'!$F$63+'Instrumentos Financeiros'!$F$11+1),PMT(((1+'Instrumentos Financeiros'!$H$43)^(1/12)-1),$F$11,-$I$63),0)</f>
        <v>0</v>
      </c>
      <c r="U351" s="1312">
        <f t="shared" si="226"/>
        <v>0</v>
      </c>
      <c r="V351" s="1312">
        <f>W350*((1+'Instrumentos Financeiros'!$H$43)^(1/12)-1)</f>
        <v>0</v>
      </c>
      <c r="W351" s="1312">
        <f t="shared" ref="W351:W414" si="244">IF(C351=$F$63,$I$63,W350-U351)</f>
        <v>0</v>
      </c>
      <c r="X351" s="1312">
        <f>IF(AND(C351&gt;$F$64,'Instrumentos Financeiros'!C351&lt;'Instrumentos Financeiros'!$F$64+'Instrumentos Financeiros'!$F$11+1),PMT(((1+'Instrumentos Financeiros'!$H$43)^(1/12)-1),$F$11,-$I$64),0)</f>
        <v>0</v>
      </c>
      <c r="Y351" s="1312">
        <f t="shared" si="227"/>
        <v>0</v>
      </c>
      <c r="Z351" s="1312">
        <f>AA350*((1+'Instrumentos Financeiros'!$H$43)^(1/12)-1)</f>
        <v>0</v>
      </c>
      <c r="AA351" s="1312">
        <f t="shared" ref="AA351:AA414" si="245">IF(C351=$F$64,$I$64,AA350-Y351)</f>
        <v>0</v>
      </c>
      <c r="AB351" s="1312">
        <f>IF(AND(C351&gt;$F$65,'Instrumentos Financeiros'!C351&lt;'Instrumentos Financeiros'!$F$65+'Instrumentos Financeiros'!$F$11+1),PMT(((1+'Instrumentos Financeiros'!$H$43)^(1/12)-1),$F$11,-$I$65),0)</f>
        <v>76636.661022032335</v>
      </c>
      <c r="AC351" s="1312">
        <f t="shared" si="228"/>
        <v>74356.622566025442</v>
      </c>
      <c r="AD351" s="1312">
        <f>AE350*((1+'Instrumentos Financeiros'!$H$43)^(1/12)-1)</f>
        <v>2280.0384560068942</v>
      </c>
      <c r="AE351" s="1312">
        <f t="shared" ref="AE351:AE414" si="246">IF(C351=$F$65,$I$65,AE350-AC351)</f>
        <v>452940.50074609113</v>
      </c>
      <c r="AF351" s="1312">
        <f>IF(AND(C351&gt;$F$66,'Instrumentos Financeiros'!C351&lt;'Instrumentos Financeiros'!$F$66+'Instrumentos Financeiros'!$F$11+1),PMT(((1+'Instrumentos Financeiros'!$I$43)^(1/12)-1),$F$11,-$I$66),0)</f>
        <v>76636.661022032335</v>
      </c>
      <c r="AG351" s="1312">
        <f t="shared" si="229"/>
        <v>73400.34782749704</v>
      </c>
      <c r="AH351" s="1312">
        <f>AI350*((1+'Instrumentos Financeiros'!$I$43)^(1/12)-1)</f>
        <v>3236.3131945352875</v>
      </c>
      <c r="AI351" s="1312">
        <f t="shared" ref="AI351:AI414" si="247">IF(C351=$F$66,$I$66,AI350-AG351)</f>
        <v>675051.3430286959</v>
      </c>
      <c r="AJ351" s="1312">
        <f>IF(AND(C351&gt;$F$67,'Instrumentos Financeiros'!C351&lt;'Instrumentos Financeiros'!$F$67+'Instrumentos Financeiros'!$F$11+1),PMT(((1+'Instrumentos Financeiros'!$I$43)^(1/12)-1),$F$11,-$I$67),0)</f>
        <v>76636.661022032335</v>
      </c>
      <c r="AK351" s="1312">
        <f t="shared" si="230"/>
        <v>72456.371406778009</v>
      </c>
      <c r="AL351" s="1312">
        <f>AM350*((1+'Instrumentos Financeiros'!$I$43)^(1/12)-1)</f>
        <v>4180.2896152543217</v>
      </c>
      <c r="AM351" s="1312">
        <f t="shared" ref="AM351:AM414" si="248">IF(C351=$F$67,$I$67,AM350-AK351)</f>
        <v>894305.69478902721</v>
      </c>
      <c r="AN351" s="1312">
        <f>IF(AND(C351&gt;$F$68,'Instrumentos Financeiros'!C351&lt;'Instrumentos Financeiros'!$F$68+'Instrumentos Financeiros'!$F$11+1),PMT(((1+'Instrumentos Financeiros'!$I$43)^(1/12)-1),$F$11,-$I$68),0)</f>
        <v>76636.661022032335</v>
      </c>
      <c r="AO351" s="1312">
        <f t="shared" si="231"/>
        <v>71524.535139467625</v>
      </c>
      <c r="AP351" s="1312">
        <f>AQ350*((1+'Instrumentos Financeiros'!$I$43)^(1/12)-1)</f>
        <v>5112.1258825647137</v>
      </c>
      <c r="AQ351" s="1312">
        <f t="shared" ref="AQ351:AQ414" si="249">IF(C351=$F$68,$I$68,AQ350-AO351)</f>
        <v>1110740.2923611603</v>
      </c>
      <c r="AR351" s="1312">
        <f>IF(AND(C351&gt;$F$69,'Instrumentos Financeiros'!C351&lt;'Instrumentos Financeiros'!$F$69+'Instrumentos Financeiros'!$F$11+1),PMT(((1+'Instrumentos Financeiros'!$I$43)^(1/12)-1),$F$11,-$I$69),0)</f>
        <v>0</v>
      </c>
      <c r="AS351" s="1312">
        <f t="shared" si="232"/>
        <v>0</v>
      </c>
      <c r="AT351" s="1312">
        <f>AU350*((1+'Instrumentos Financeiros'!$I$43)^(1/12)-1)</f>
        <v>0</v>
      </c>
      <c r="AU351" s="1312">
        <f t="shared" ref="AU351:AU414" si="250">IF(C351=$F$69,$I$69,AU350-AS351)</f>
        <v>0</v>
      </c>
      <c r="AV351" s="1312">
        <f>IF(AND(C351&gt;$F$70,'Instrumentos Financeiros'!C351&lt;'Instrumentos Financeiros'!$F$70+'Instrumentos Financeiros'!$F$11+1),PMT(((1+'Instrumentos Financeiros'!$J$43)^(1/12)-1),$F$11,-$I$70),0)</f>
        <v>0</v>
      </c>
      <c r="AW351" s="1312">
        <f t="shared" si="233"/>
        <v>0</v>
      </c>
      <c r="AX351" s="1312">
        <f>AY350*((1+'Instrumentos Financeiros'!$J$43)^(1/12)-1)</f>
        <v>0</v>
      </c>
      <c r="AY351" s="1312">
        <f t="shared" ref="AY351:AY414" si="251">IF(C351=$F$70,$I$70,AY350-AW351)</f>
        <v>0</v>
      </c>
      <c r="AZ351" s="1312">
        <f>IF(AND(C351&gt;$F$71,'Instrumentos Financeiros'!C351&lt;'Instrumentos Financeiros'!$F$71+'Instrumentos Financeiros'!$F$11+1),PMT(((1+'Instrumentos Financeiros'!$J$43)^(1/12)-1),$F$11,-$I$71),0)</f>
        <v>0</v>
      </c>
      <c r="BA351" s="1312">
        <f t="shared" si="234"/>
        <v>0</v>
      </c>
      <c r="BB351" s="1312">
        <f>BC350*((1+'Instrumentos Financeiros'!$J$43)^(1/12)-1)</f>
        <v>0</v>
      </c>
      <c r="BC351" s="1312">
        <f t="shared" ref="BC351:BC414" si="252">IF(C351=$F$71,$I$71,BC350-BA351)</f>
        <v>0</v>
      </c>
      <c r="BD351" s="1312">
        <f>IF(AND(C351&gt;$F$72,'Instrumentos Financeiros'!C351&lt;'Instrumentos Financeiros'!$F$72+'Instrumentos Financeiros'!$F$11+1),PMT(((1+'Instrumentos Financeiros'!$J$43)^(1/12)-1),$F$11,-'Instrumentos Financeiros'!$G$7*$G$72),0)</f>
        <v>0</v>
      </c>
      <c r="BE351" s="1312">
        <f t="shared" si="235"/>
        <v>0</v>
      </c>
      <c r="BF351" s="1312">
        <f>BG350*((1+'Instrumentos Financeiros'!$J$43)^(1/12)-1)</f>
        <v>0</v>
      </c>
      <c r="BG351" s="1312">
        <f t="shared" ref="BG351:BG414" si="253">IF(C351=$F$72,$I$72,BG350-BE351)</f>
        <v>0</v>
      </c>
      <c r="BH351" s="1312">
        <f>IF(AND(C351&gt;$F$73,'Instrumentos Financeiros'!C351&lt;'Instrumentos Financeiros'!$F$73+'Instrumentos Financeiros'!$F$11+1),PMT(((1+'Instrumentos Financeiros'!$J$43)^(1/12)-1),$F$11,-$I$73),0)</f>
        <v>0</v>
      </c>
      <c r="BI351" s="1312">
        <f t="shared" si="236"/>
        <v>0</v>
      </c>
      <c r="BJ351" s="1312">
        <f>BK350*((1+'Instrumentos Financeiros'!$J$43)^(1/12)-1)</f>
        <v>0</v>
      </c>
      <c r="BK351" s="1312">
        <f t="shared" ref="BK351:BK414" si="254">IF(C351=$F$73,$I$73,BK350-BI351)</f>
        <v>0</v>
      </c>
      <c r="BL351" s="1312">
        <f>IF(AND(C351&gt;$F$77,'Instrumentos Financeiros'!C351&lt;'Instrumentos Financeiros'!$F$77+'Instrumentos Financeiros'!$F$12+1),PMT(((1+'Instrumentos Financeiros'!$K$43)^(1/12)-1),$F$12,-$I$77),0)</f>
        <v>368.57912678094596</v>
      </c>
      <c r="BM351" s="1312">
        <f t="shared" ref="BM351:BM414" si="255">BL351-BN351</f>
        <v>339.56871321285786</v>
      </c>
      <c r="BN351" s="1312">
        <f>BO350*((1+'Instrumentos Financeiros'!$K$43)^(1/12)-1)</f>
        <v>29.010413568088083</v>
      </c>
      <c r="BO351" s="1312">
        <f t="shared" ref="BO351:BO414" si="256">IF(C351=$F$77,$I$77,BO350-BM351)</f>
        <v>6369.575854172188</v>
      </c>
      <c r="BP351" s="1312">
        <f>IF(AND(C351&gt;$F$78,'Instrumentos Financeiros'!C351&lt;'Instrumentos Financeiros'!$F$78+'Instrumentos Financeiros'!$F$12+1),PMT(((1+'Instrumentos Financeiros'!$L$43)^(1/12)-1),$F$12,-$I$78),0)</f>
        <v>368.57912678094596</v>
      </c>
      <c r="BQ351" s="1312">
        <f t="shared" ref="BQ351:BQ414" si="257">BP351-BR351</f>
        <v>335.20163774285908</v>
      </c>
      <c r="BR351" s="1312">
        <f>BS350*((1+'Instrumentos Financeiros'!$L$43)^(1/12)-1)</f>
        <v>33.377489038086878</v>
      </c>
      <c r="BS351" s="1312">
        <f t="shared" ref="BS351:BS414" si="258">IF(C351=$F$78,$I$78,BS350-BQ351)</f>
        <v>7383.9023566643737</v>
      </c>
      <c r="BT351" s="1312">
        <f>IF(AND(C351&gt;$F$79,'Instrumentos Financeiros'!C351&lt;'Instrumentos Financeiros'!$F$79+'Instrumentos Financeiros'!$F$12+1),PMT(((1+'Instrumentos Financeiros'!$L$43)^(1/12)-1),$F$12,-$I$79),0)</f>
        <v>368.57912678094596</v>
      </c>
      <c r="BU351" s="1312">
        <f t="shared" ref="BU351:BU414" si="259">BT351-BV351</f>
        <v>330.89072571612991</v>
      </c>
      <c r="BV351" s="1312">
        <f>BW350*((1+'Instrumentos Financeiros'!$L$43)^(1/12)-1)</f>
        <v>37.68840106481607</v>
      </c>
      <c r="BW351" s="1312">
        <f t="shared" ref="BW351:BW414" si="260">IF(C351=$F$79,$I$79,BW350-BU351)</f>
        <v>8385.1839577411974</v>
      </c>
      <c r="BX351" s="1312">
        <f>IF(AND(C351&gt;$F$80,'Instrumentos Financeiros'!C351&lt;'Instrumentos Financeiros'!$F$80+'Instrumentos Financeiros'!$F$12+1),PMT(((1+'Instrumentos Financeiros'!$L$43)^(1/12)-1),$F$12,-$I$80),0)</f>
        <v>368.57912678094596</v>
      </c>
      <c r="BY351" s="1312">
        <f t="shared" ref="BY351:BY414" si="261">BX351-BZ351</f>
        <v>326.63525483410194</v>
      </c>
      <c r="BZ351" s="1312">
        <f>CA350*((1+'Instrumentos Financeiros'!$L$43)^(1/12)-1)</f>
        <v>41.943871946844006</v>
      </c>
      <c r="CA351" s="1312">
        <f t="shared" ref="CA351:CA414" si="262">IF(C351=$F$80,$I$80,CA350-BY351)</f>
        <v>9373.5884233562429</v>
      </c>
      <c r="CB351" s="1312">
        <f>IF(AND(C351&gt;$F$83,'Instrumentos Financeiros'!C351&lt;'Instrumentos Financeiros'!$F$83+'Instrumentos Financeiros'!$F$13+1),PMT(((1+'Instrumentos Financeiros'!$P$43)^(1/12)-1),$F$13,-$I$83),0)</f>
        <v>30503.390100238979</v>
      </c>
      <c r="CC351" s="1312">
        <f t="shared" ref="CC351:CC414" si="263">CB351-CD351</f>
        <v>20598.146946771292</v>
      </c>
      <c r="CD351" s="1312">
        <f>CE350*((1+'Instrumentos Financeiros'!$P$43)^(1/12)-1)</f>
        <v>9905.2431534676871</v>
      </c>
      <c r="CE351" s="1312">
        <f t="shared" ref="CE351:CE414" si="264">IF(C351=$F$83,$I$83,CE350-CC351)</f>
        <v>2270155.4176565958</v>
      </c>
      <c r="CF351" s="1312">
        <f>IF(AND(C351&gt;$F$84,'Instrumentos Financeiros'!C351&lt;'Instrumentos Financeiros'!$F$84+'Instrumentos Financeiros'!$F$13+1),PMT(((1+'Instrumentos Financeiros'!$Q$43)^(1/12)-1),$F$13,-$I$84),0)</f>
        <v>30503.390100238979</v>
      </c>
      <c r="CG351" s="1312">
        <f t="shared" ref="CG351:CG414" si="265">CF351-CH351</f>
        <v>20333.241321610563</v>
      </c>
      <c r="CH351" s="1312">
        <f>CI350*((1+'Instrumentos Financeiros'!$Q$43)^(1/12)-1)</f>
        <v>10170.148778628414</v>
      </c>
      <c r="CI351" s="1312">
        <f t="shared" ref="CI351:CI414" si="266">IF(C351=$F$84,$I$84,CI350-CG351)</f>
        <v>2331684.1908838325</v>
      </c>
      <c r="CJ351" s="1312">
        <f>IF(AND(C351&gt;$F$85,'Instrumentos Financeiros'!C351&lt;'Instrumentos Financeiros'!$F$85+'Instrumentos Financeiros'!$F$13+1),PMT(((1+'Instrumentos Financeiros'!$Q$43)^(1/12)-1),$F$13,-$I$85),0)</f>
        <v>30503.390100238979</v>
      </c>
      <c r="CK351" s="1312">
        <f t="shared" ref="CK351:CK414" si="267">CJ351-CL351</f>
        <v>20071.742555834964</v>
      </c>
      <c r="CL351" s="1312">
        <f>CM350*((1+'Instrumentos Financeiros'!$Q$43)^(1/12)-1)</f>
        <v>10431.647544404013</v>
      </c>
      <c r="CM351" s="1312">
        <f t="shared" ref="CM351:CM414" si="268">IF(C351=$F$85,$I$85,CM350-CK351)</f>
        <v>2392421.6638946347</v>
      </c>
      <c r="CN351" s="1312">
        <f>IF(AND(C351&gt;$F$86,'Instrumentos Financeiros'!C351&lt;'Instrumentos Financeiros'!$F$86+'Instrumentos Financeiros'!$F$13+1),PMT(((1+'Instrumentos Financeiros'!$Q$43)^(1/12)-1),$F$13,-$I$86),0)</f>
        <v>30503.390100238979</v>
      </c>
      <c r="CO351" s="1312">
        <f t="shared" ref="CO351:CO414" si="269">CN351-CP351</f>
        <v>19813.606835007318</v>
      </c>
      <c r="CP351" s="1312">
        <f>CQ350*((1+'Instrumentos Financeiros'!$Q$43)^(1/12)-1)</f>
        <v>10689.783265231661</v>
      </c>
      <c r="CQ351" s="1312">
        <f t="shared" ref="CQ351:CQ414" si="270">IF(C351=$F$86,$I$86,CQ350-CO351)</f>
        <v>2452378.0133266905</v>
      </c>
      <c r="CR351" s="1312">
        <f t="shared" si="239"/>
        <v>430034.52099620906</v>
      </c>
      <c r="CS351" s="1312">
        <f t="shared" si="239"/>
        <v>373886.91093049815</v>
      </c>
      <c r="CT351" s="1312">
        <f t="shared" si="239"/>
        <v>56147.610065710833</v>
      </c>
      <c r="CU351" s="1312">
        <f t="shared" si="239"/>
        <v>12611189.367278665</v>
      </c>
    </row>
    <row r="352" spans="3:99" x14ac:dyDescent="0.35">
      <c r="C352" s="1315">
        <f t="shared" si="240"/>
        <v>259</v>
      </c>
      <c r="D352" s="1312">
        <f>IF(AND(C352&gt;$F$59,'Instrumentos Financeiros'!C352&lt;'Instrumentos Financeiros'!$F$59+'Instrumentos Financeiros'!$F$11+1),PMT(((1+'Instrumentos Financeiros'!$G$43)^(1/12)-1),$F$11,-$I$59),0)</f>
        <v>0</v>
      </c>
      <c r="E352" s="1312">
        <f t="shared" si="237"/>
        <v>-9.1689249422192537E-12</v>
      </c>
      <c r="F352" s="1312">
        <f>G351*((1+'Instrumentos Financeiros'!$G$43)^(1/12)-1)</f>
        <v>9.1689249422192537E-12</v>
      </c>
      <c r="G352" s="1312">
        <f t="shared" ref="G352:G415" si="271">IF(C352=$F$59,$I$59,G351-E352)</f>
        <v>2.2554631224771117E-9</v>
      </c>
      <c r="H352" s="1312">
        <f>IF(AND(C352&gt;$F$60,'Instrumentos Financeiros'!C352&lt;'Instrumentos Financeiros'!$F$60+'Instrumentos Financeiros'!$F$11+1),PMT(((1+'Instrumentos Financeiros'!$G$43)^(1/12)-1),$F$11,-$I$60),0)</f>
        <v>0</v>
      </c>
      <c r="I352" s="1312">
        <f t="shared" si="223"/>
        <v>0</v>
      </c>
      <c r="J352" s="1312">
        <f>K351*((1+'Instrumentos Financeiros'!$G$43)^(1/12)-1)</f>
        <v>0</v>
      </c>
      <c r="K352" s="1312">
        <f t="shared" si="241"/>
        <v>0</v>
      </c>
      <c r="L352" s="1312">
        <f>IF(AND(C352&gt;$F$61,'Instrumentos Financeiros'!C352&lt;'Instrumentos Financeiros'!$F$61+'Instrumentos Financeiros'!$F$11+1),PMT(((1+'Instrumentos Financeiros'!$G$43)^(1/12)-1),$F$11,-$I$61),0)</f>
        <v>0</v>
      </c>
      <c r="M352" s="1312">
        <f t="shared" si="224"/>
        <v>0</v>
      </c>
      <c r="N352" s="1312">
        <f>O351*((1+'Instrumentos Financeiros'!$G$43)^(1/12)-1)</f>
        <v>0</v>
      </c>
      <c r="O352" s="1312">
        <f t="shared" si="242"/>
        <v>0</v>
      </c>
      <c r="P352" s="1312">
        <f>IF(AND(C352&gt;$F$62,'Instrumentos Financeiros'!C352&lt;'Instrumentos Financeiros'!$F$62+'Instrumentos Financeiros'!$F$11+1),PMT(((1+'Instrumentos Financeiros'!$H$43)^(1/12)-1),$F$11,-$I$62),0)</f>
        <v>0</v>
      </c>
      <c r="Q352" s="1312">
        <f t="shared" si="225"/>
        <v>0</v>
      </c>
      <c r="R352" s="1312">
        <f>S351*((1+'Instrumentos Financeiros'!$H$43)^(1/12)-1)</f>
        <v>0</v>
      </c>
      <c r="S352" s="1312">
        <f t="shared" si="243"/>
        <v>0</v>
      </c>
      <c r="T352" s="1312">
        <f>IF(AND(C352&gt;$F$63,'Instrumentos Financeiros'!C352&lt;'Instrumentos Financeiros'!$F$63+'Instrumentos Financeiros'!$F$11+1),PMT(((1+'Instrumentos Financeiros'!$H$43)^(1/12)-1),$F$11,-$I$63),0)</f>
        <v>0</v>
      </c>
      <c r="U352" s="1312">
        <f t="shared" si="226"/>
        <v>0</v>
      </c>
      <c r="V352" s="1312">
        <f>W351*((1+'Instrumentos Financeiros'!$H$43)^(1/12)-1)</f>
        <v>0</v>
      </c>
      <c r="W352" s="1312">
        <f t="shared" si="244"/>
        <v>0</v>
      </c>
      <c r="X352" s="1312">
        <f>IF(AND(C352&gt;$F$64,'Instrumentos Financeiros'!C352&lt;'Instrumentos Financeiros'!$F$64+'Instrumentos Financeiros'!$F$11+1),PMT(((1+'Instrumentos Financeiros'!$H$43)^(1/12)-1),$F$11,-$I$64),0)</f>
        <v>0</v>
      </c>
      <c r="Y352" s="1312">
        <f t="shared" si="227"/>
        <v>0</v>
      </c>
      <c r="Z352" s="1312">
        <f>AA351*((1+'Instrumentos Financeiros'!$H$43)^(1/12)-1)</f>
        <v>0</v>
      </c>
      <c r="AA352" s="1312">
        <f t="shared" si="245"/>
        <v>0</v>
      </c>
      <c r="AB352" s="1312">
        <f>IF(AND(C352&gt;$F$65,'Instrumentos Financeiros'!C352&lt;'Instrumentos Financeiros'!$F$65+'Instrumentos Financeiros'!$F$11+1),PMT(((1+'Instrumentos Financeiros'!$H$43)^(1/12)-1),$F$11,-$I$65),0)</f>
        <v>76636.661022032335</v>
      </c>
      <c r="AC352" s="1312">
        <f t="shared" si="228"/>
        <v>74678.141405051952</v>
      </c>
      <c r="AD352" s="1312">
        <f>AE351*((1+'Instrumentos Financeiros'!$H$43)^(1/12)-1)</f>
        <v>1958.5196169803883</v>
      </c>
      <c r="AE352" s="1312">
        <f t="shared" si="246"/>
        <v>378262.35934103921</v>
      </c>
      <c r="AF352" s="1312">
        <f>IF(AND(C352&gt;$F$66,'Instrumentos Financeiros'!C352&lt;'Instrumentos Financeiros'!$F$66+'Instrumentos Financeiros'!$F$11+1),PMT(((1+'Instrumentos Financeiros'!$I$43)^(1/12)-1),$F$11,-$I$66),0)</f>
        <v>76636.661022032335</v>
      </c>
      <c r="AG352" s="1312">
        <f t="shared" si="229"/>
        <v>73717.731724226396</v>
      </c>
      <c r="AH352" s="1312">
        <f>AI351*((1+'Instrumentos Financeiros'!$I$43)^(1/12)-1)</f>
        <v>2918.9292978059393</v>
      </c>
      <c r="AI352" s="1312">
        <f t="shared" si="247"/>
        <v>601333.61130446952</v>
      </c>
      <c r="AJ352" s="1312">
        <f>IF(AND(C352&gt;$F$67,'Instrumentos Financeiros'!C352&lt;'Instrumentos Financeiros'!$F$67+'Instrumentos Financeiros'!$F$11+1),PMT(((1+'Instrumentos Financeiros'!$I$43)^(1/12)-1),$F$11,-$I$67),0)</f>
        <v>76636.661022032335</v>
      </c>
      <c r="AK352" s="1312">
        <f t="shared" si="230"/>
        <v>72769.673539269235</v>
      </c>
      <c r="AL352" s="1312">
        <f>AM351*((1+'Instrumentos Financeiros'!$I$43)^(1/12)-1)</f>
        <v>3866.9874827631015</v>
      </c>
      <c r="AM352" s="1312">
        <f t="shared" si="248"/>
        <v>821536.02124975796</v>
      </c>
      <c r="AN352" s="1312">
        <f>IF(AND(C352&gt;$F$68,'Instrumentos Financeiros'!C352&lt;'Instrumentos Financeiros'!$F$68+'Instrumentos Financeiros'!$F$11+1),PMT(((1+'Instrumentos Financeiros'!$I$43)^(1/12)-1),$F$11,-$I$68),0)</f>
        <v>76636.661022032335</v>
      </c>
      <c r="AO352" s="1312">
        <f t="shared" si="231"/>
        <v>71833.808001875164</v>
      </c>
      <c r="AP352" s="1312">
        <f>AQ351*((1+'Instrumentos Financeiros'!$I$43)^(1/12)-1)</f>
        <v>4802.8530201571684</v>
      </c>
      <c r="AQ352" s="1312">
        <f t="shared" si="249"/>
        <v>1038906.4843592851</v>
      </c>
      <c r="AR352" s="1312">
        <f>IF(AND(C352&gt;$F$69,'Instrumentos Financeiros'!C352&lt;'Instrumentos Financeiros'!$F$69+'Instrumentos Financeiros'!$F$11+1),PMT(((1+'Instrumentos Financeiros'!$I$43)^(1/12)-1),$F$11,-$I$69),0)</f>
        <v>0</v>
      </c>
      <c r="AS352" s="1312">
        <f t="shared" si="232"/>
        <v>0</v>
      </c>
      <c r="AT352" s="1312">
        <f>AU351*((1+'Instrumentos Financeiros'!$I$43)^(1/12)-1)</f>
        <v>0</v>
      </c>
      <c r="AU352" s="1312">
        <f t="shared" si="250"/>
        <v>0</v>
      </c>
      <c r="AV352" s="1312">
        <f>IF(AND(C352&gt;$F$70,'Instrumentos Financeiros'!C352&lt;'Instrumentos Financeiros'!$F$70+'Instrumentos Financeiros'!$F$11+1),PMT(((1+'Instrumentos Financeiros'!$J$43)^(1/12)-1),$F$11,-$I$70),0)</f>
        <v>0</v>
      </c>
      <c r="AW352" s="1312">
        <f t="shared" si="233"/>
        <v>0</v>
      </c>
      <c r="AX352" s="1312">
        <f>AY351*((1+'Instrumentos Financeiros'!$J$43)^(1/12)-1)</f>
        <v>0</v>
      </c>
      <c r="AY352" s="1312">
        <f t="shared" si="251"/>
        <v>0</v>
      </c>
      <c r="AZ352" s="1312">
        <f>IF(AND(C352&gt;$F$71,'Instrumentos Financeiros'!C352&lt;'Instrumentos Financeiros'!$F$71+'Instrumentos Financeiros'!$F$11+1),PMT(((1+'Instrumentos Financeiros'!$J$43)^(1/12)-1),$F$11,-$I$71),0)</f>
        <v>0</v>
      </c>
      <c r="BA352" s="1312">
        <f t="shared" si="234"/>
        <v>0</v>
      </c>
      <c r="BB352" s="1312">
        <f>BC351*((1+'Instrumentos Financeiros'!$J$43)^(1/12)-1)</f>
        <v>0</v>
      </c>
      <c r="BC352" s="1312">
        <f t="shared" si="252"/>
        <v>0</v>
      </c>
      <c r="BD352" s="1312">
        <f>IF(AND(C352&gt;$F$72,'Instrumentos Financeiros'!C352&lt;'Instrumentos Financeiros'!$F$72+'Instrumentos Financeiros'!$F$11+1),PMT(((1+'Instrumentos Financeiros'!$J$43)^(1/12)-1),$F$11,-'Instrumentos Financeiros'!$G$7*$G$72),0)</f>
        <v>0</v>
      </c>
      <c r="BE352" s="1312">
        <f t="shared" si="235"/>
        <v>0</v>
      </c>
      <c r="BF352" s="1312">
        <f>BG351*((1+'Instrumentos Financeiros'!$J$43)^(1/12)-1)</f>
        <v>0</v>
      </c>
      <c r="BG352" s="1312">
        <f t="shared" si="253"/>
        <v>0</v>
      </c>
      <c r="BH352" s="1312">
        <f>IF(AND(C352&gt;$F$73,'Instrumentos Financeiros'!C352&lt;'Instrumentos Financeiros'!$F$73+'Instrumentos Financeiros'!$F$11+1),PMT(((1+'Instrumentos Financeiros'!$J$43)^(1/12)-1),$F$11,-$I$73),0)</f>
        <v>0</v>
      </c>
      <c r="BI352" s="1312">
        <f t="shared" si="236"/>
        <v>0</v>
      </c>
      <c r="BJ352" s="1312">
        <f>BK351*((1+'Instrumentos Financeiros'!$J$43)^(1/12)-1)</f>
        <v>0</v>
      </c>
      <c r="BK352" s="1312">
        <f t="shared" si="254"/>
        <v>0</v>
      </c>
      <c r="BL352" s="1312">
        <f>IF(AND(C352&gt;$F$77,'Instrumentos Financeiros'!C352&lt;'Instrumentos Financeiros'!$F$77+'Instrumentos Financeiros'!$F$12+1),PMT(((1+'Instrumentos Financeiros'!$K$43)^(1/12)-1),$F$12,-$I$77),0)</f>
        <v>368.57912678094596</v>
      </c>
      <c r="BM352" s="1312">
        <f t="shared" si="255"/>
        <v>341.03701199613005</v>
      </c>
      <c r="BN352" s="1312">
        <f>BO351*((1+'Instrumentos Financeiros'!$K$43)^(1/12)-1)</f>
        <v>27.542114784815922</v>
      </c>
      <c r="BO352" s="1312">
        <f t="shared" si="256"/>
        <v>6028.5388421760581</v>
      </c>
      <c r="BP352" s="1312">
        <f>IF(AND(C352&gt;$F$78,'Instrumentos Financeiros'!C352&lt;'Instrumentos Financeiros'!$F$78+'Instrumentos Financeiros'!$F$12+1),PMT(((1+'Instrumentos Financeiros'!$L$43)^(1/12)-1),$F$12,-$I$78),0)</f>
        <v>368.57912678094596</v>
      </c>
      <c r="BQ352" s="1312">
        <f t="shared" si="257"/>
        <v>336.65105324463457</v>
      </c>
      <c r="BR352" s="1312">
        <f>BS351*((1+'Instrumentos Financeiros'!$L$43)^(1/12)-1)</f>
        <v>31.928073536311377</v>
      </c>
      <c r="BS352" s="1312">
        <f t="shared" si="258"/>
        <v>7047.2513034197391</v>
      </c>
      <c r="BT352" s="1312">
        <f>IF(AND(C352&gt;$F$79,'Instrumentos Financeiros'!C352&lt;'Instrumentos Financeiros'!$F$79+'Instrumentos Financeiros'!$F$12+1),PMT(((1+'Instrumentos Financeiros'!$L$43)^(1/12)-1),$F$12,-$I$79),0)</f>
        <v>368.57912678094596</v>
      </c>
      <c r="BU352" s="1312">
        <f t="shared" si="259"/>
        <v>332.32150078774401</v>
      </c>
      <c r="BV352" s="1312">
        <f>BW351*((1+'Instrumentos Financeiros'!$L$43)^(1/12)-1)</f>
        <v>36.257625993201962</v>
      </c>
      <c r="BW352" s="1312">
        <f t="shared" si="260"/>
        <v>8052.8624569534531</v>
      </c>
      <c r="BX352" s="1312">
        <f>IF(AND(C352&gt;$F$80,'Instrumentos Financeiros'!C352&lt;'Instrumentos Financeiros'!$F$80+'Instrumentos Financeiros'!$F$12+1),PMT(((1+'Instrumentos Financeiros'!$L$43)^(1/12)-1),$F$12,-$I$80),0)</f>
        <v>368.57912678094596</v>
      </c>
      <c r="BY352" s="1312">
        <f t="shared" si="261"/>
        <v>328.04762920366312</v>
      </c>
      <c r="BZ352" s="1312">
        <f>CA351*((1+'Instrumentos Financeiros'!$L$43)^(1/12)-1)</f>
        <v>40.531497577282842</v>
      </c>
      <c r="CA352" s="1312">
        <f t="shared" si="262"/>
        <v>9045.5407941525791</v>
      </c>
      <c r="CB352" s="1312">
        <f>IF(AND(C352&gt;$F$83,'Instrumentos Financeiros'!C352&lt;'Instrumentos Financeiros'!$F$83+'Instrumentos Financeiros'!$F$13+1),PMT(((1+'Instrumentos Financeiros'!$P$43)^(1/12)-1),$F$13,-$I$83),0)</f>
        <v>30503.390100238979</v>
      </c>
      <c r="CC352" s="1312">
        <f t="shared" si="263"/>
        <v>20687.213556628973</v>
      </c>
      <c r="CD352" s="1312">
        <f>CE351*((1+'Instrumentos Financeiros'!$P$43)^(1/12)-1)</f>
        <v>9816.176543610005</v>
      </c>
      <c r="CE352" s="1312">
        <f t="shared" si="264"/>
        <v>2249468.2040999667</v>
      </c>
      <c r="CF352" s="1312">
        <f>IF(AND(C352&gt;$F$84,'Instrumentos Financeiros'!C352&lt;'Instrumentos Financeiros'!$F$84+'Instrumentos Financeiros'!$F$13+1),PMT(((1+'Instrumentos Financeiros'!$Q$43)^(1/12)-1),$F$13,-$I$84),0)</f>
        <v>30503.390100238979</v>
      </c>
      <c r="CG352" s="1312">
        <f t="shared" si="265"/>
        <v>20421.162476684076</v>
      </c>
      <c r="CH352" s="1312">
        <f>CI351*((1+'Instrumentos Financeiros'!$Q$43)^(1/12)-1)</f>
        <v>10082.227623554903</v>
      </c>
      <c r="CI352" s="1312">
        <f t="shared" si="266"/>
        <v>2311263.0284071486</v>
      </c>
      <c r="CJ352" s="1312">
        <f>IF(AND(C352&gt;$F$85,'Instrumentos Financeiros'!C352&lt;'Instrumentos Financeiros'!$F$85+'Instrumentos Financeiros'!$F$13+1),PMT(((1+'Instrumentos Financeiros'!$Q$43)^(1/12)-1),$F$13,-$I$85),0)</f>
        <v>30503.390100238979</v>
      </c>
      <c r="CK352" s="1312">
        <f t="shared" si="267"/>
        <v>20158.532987421077</v>
      </c>
      <c r="CL352" s="1312">
        <f>CM351*((1+'Instrumentos Financeiros'!$Q$43)^(1/12)-1)</f>
        <v>10344.857112817903</v>
      </c>
      <c r="CM352" s="1312">
        <f t="shared" si="268"/>
        <v>2372263.1309072138</v>
      </c>
      <c r="CN352" s="1312">
        <f>IF(AND(C352&gt;$F$86,'Instrumentos Financeiros'!C352&lt;'Instrumentos Financeiros'!$F$86+'Instrumentos Financeiros'!$F$13+1),PMT(((1+'Instrumentos Financeiros'!$Q$43)^(1/12)-1),$F$13,-$I$86),0)</f>
        <v>30503.390100238979</v>
      </c>
      <c r="CO352" s="1312">
        <f t="shared" si="269"/>
        <v>19899.281084948707</v>
      </c>
      <c r="CP352" s="1312">
        <f>CQ351*((1+'Instrumentos Financeiros'!$Q$43)^(1/12)-1)</f>
        <v>10604.109015290273</v>
      </c>
      <c r="CQ352" s="1312">
        <f t="shared" si="270"/>
        <v>2432478.7322417418</v>
      </c>
      <c r="CR352" s="1312">
        <f t="shared" si="239"/>
        <v>430034.52099620906</v>
      </c>
      <c r="CS352" s="1312">
        <f t="shared" si="239"/>
        <v>375503.60197133775</v>
      </c>
      <c r="CT352" s="1312">
        <f t="shared" si="239"/>
        <v>54530.919024871298</v>
      </c>
      <c r="CU352" s="1312">
        <f t="shared" si="239"/>
        <v>12235685.765307328</v>
      </c>
    </row>
    <row r="353" spans="3:99" x14ac:dyDescent="0.35">
      <c r="C353" s="1315">
        <f t="shared" si="240"/>
        <v>260</v>
      </c>
      <c r="D353" s="1312">
        <f>IF(AND(C353&gt;$F$59,'Instrumentos Financeiros'!C353&lt;'Instrumentos Financeiros'!$F$59+'Instrumentos Financeiros'!$F$11+1),PMT(((1+'Instrumentos Financeiros'!$G$43)^(1/12)-1),$F$11,-$I$59),0)</f>
        <v>0</v>
      </c>
      <c r="E353" s="1312">
        <f t="shared" si="237"/>
        <v>-9.2063506653005438E-12</v>
      </c>
      <c r="F353" s="1312">
        <f>G352*((1+'Instrumentos Financeiros'!$G$43)^(1/12)-1)</f>
        <v>9.2063506653005438E-12</v>
      </c>
      <c r="G353" s="1312">
        <f t="shared" si="271"/>
        <v>2.2646694731424121E-9</v>
      </c>
      <c r="H353" s="1312">
        <f>IF(AND(C353&gt;$F$60,'Instrumentos Financeiros'!C353&lt;'Instrumentos Financeiros'!$F$60+'Instrumentos Financeiros'!$F$11+1),PMT(((1+'Instrumentos Financeiros'!$G$43)^(1/12)-1),$F$11,-$I$60),0)</f>
        <v>0</v>
      </c>
      <c r="I353" s="1312">
        <f t="shared" si="223"/>
        <v>0</v>
      </c>
      <c r="J353" s="1312">
        <f>K352*((1+'Instrumentos Financeiros'!$G$43)^(1/12)-1)</f>
        <v>0</v>
      </c>
      <c r="K353" s="1312">
        <f t="shared" si="241"/>
        <v>0</v>
      </c>
      <c r="L353" s="1312">
        <f>IF(AND(C353&gt;$F$61,'Instrumentos Financeiros'!C353&lt;'Instrumentos Financeiros'!$F$61+'Instrumentos Financeiros'!$F$11+1),PMT(((1+'Instrumentos Financeiros'!$G$43)^(1/12)-1),$F$11,-$I$61),0)</f>
        <v>0</v>
      </c>
      <c r="M353" s="1312">
        <f t="shared" si="224"/>
        <v>0</v>
      </c>
      <c r="N353" s="1312">
        <f>O352*((1+'Instrumentos Financeiros'!$G$43)^(1/12)-1)</f>
        <v>0</v>
      </c>
      <c r="O353" s="1312">
        <f t="shared" si="242"/>
        <v>0</v>
      </c>
      <c r="P353" s="1312">
        <f>IF(AND(C353&gt;$F$62,'Instrumentos Financeiros'!C353&lt;'Instrumentos Financeiros'!$F$62+'Instrumentos Financeiros'!$F$11+1),PMT(((1+'Instrumentos Financeiros'!$H$43)^(1/12)-1),$F$11,-$I$62),0)</f>
        <v>0</v>
      </c>
      <c r="Q353" s="1312">
        <f t="shared" si="225"/>
        <v>0</v>
      </c>
      <c r="R353" s="1312">
        <f>S352*((1+'Instrumentos Financeiros'!$H$43)^(1/12)-1)</f>
        <v>0</v>
      </c>
      <c r="S353" s="1312">
        <f t="shared" si="243"/>
        <v>0</v>
      </c>
      <c r="T353" s="1312">
        <f>IF(AND(C353&gt;$F$63,'Instrumentos Financeiros'!C353&lt;'Instrumentos Financeiros'!$F$63+'Instrumentos Financeiros'!$F$11+1),PMT(((1+'Instrumentos Financeiros'!$H$43)^(1/12)-1),$F$11,-$I$63),0)</f>
        <v>0</v>
      </c>
      <c r="U353" s="1312">
        <f t="shared" si="226"/>
        <v>0</v>
      </c>
      <c r="V353" s="1312">
        <f>W352*((1+'Instrumentos Financeiros'!$H$43)^(1/12)-1)</f>
        <v>0</v>
      </c>
      <c r="W353" s="1312">
        <f t="shared" si="244"/>
        <v>0</v>
      </c>
      <c r="X353" s="1312">
        <f>IF(AND(C353&gt;$F$64,'Instrumentos Financeiros'!C353&lt;'Instrumentos Financeiros'!$F$64+'Instrumentos Financeiros'!$F$11+1),PMT(((1+'Instrumentos Financeiros'!$H$43)^(1/12)-1),$F$11,-$I$64),0)</f>
        <v>0</v>
      </c>
      <c r="Y353" s="1312">
        <f t="shared" si="227"/>
        <v>0</v>
      </c>
      <c r="Z353" s="1312">
        <f>AA352*((1+'Instrumentos Financeiros'!$H$43)^(1/12)-1)</f>
        <v>0</v>
      </c>
      <c r="AA353" s="1312">
        <f t="shared" si="245"/>
        <v>0</v>
      </c>
      <c r="AB353" s="1312">
        <f>IF(AND(C353&gt;$F$65,'Instrumentos Financeiros'!C353&lt;'Instrumentos Financeiros'!$F$65+'Instrumentos Financeiros'!$F$11+1),PMT(((1+'Instrumentos Financeiros'!$H$43)^(1/12)-1),$F$11,-$I$65),0)</f>
        <v>76636.661022032335</v>
      </c>
      <c r="AC353" s="1312">
        <f t="shared" si="228"/>
        <v>75001.050495010801</v>
      </c>
      <c r="AD353" s="1312">
        <f>AE352*((1+'Instrumentos Financeiros'!$H$43)^(1/12)-1)</f>
        <v>1635.6105270215307</v>
      </c>
      <c r="AE353" s="1312">
        <f t="shared" si="246"/>
        <v>303261.30884602841</v>
      </c>
      <c r="AF353" s="1312">
        <f>IF(AND(C353&gt;$F$66,'Instrumentos Financeiros'!C353&lt;'Instrumentos Financeiros'!$F$66+'Instrumentos Financeiros'!$F$11+1),PMT(((1+'Instrumentos Financeiros'!$I$43)^(1/12)-1),$F$11,-$I$66),0)</f>
        <v>76636.661022032335</v>
      </c>
      <c r="AG353" s="1312">
        <f t="shared" si="229"/>
        <v>74036.487992352952</v>
      </c>
      <c r="AH353" s="1312">
        <f>AI352*((1+'Instrumentos Financeiros'!$I$43)^(1/12)-1)</f>
        <v>2600.1730296793889</v>
      </c>
      <c r="AI353" s="1312">
        <f t="shared" si="247"/>
        <v>527297.1233121166</v>
      </c>
      <c r="AJ353" s="1312">
        <f>IF(AND(C353&gt;$F$67,'Instrumentos Financeiros'!C353&lt;'Instrumentos Financeiros'!$F$67+'Instrumentos Financeiros'!$F$11+1),PMT(((1+'Instrumentos Financeiros'!$I$43)^(1/12)-1),$F$11,-$I$67),0)</f>
        <v>76636.661022032335</v>
      </c>
      <c r="AK353" s="1312">
        <f t="shared" si="230"/>
        <v>73084.330393565004</v>
      </c>
      <c r="AL353" s="1312">
        <f>AM352*((1+'Instrumentos Financeiros'!$I$43)^(1/12)-1)</f>
        <v>3552.3306284673281</v>
      </c>
      <c r="AM353" s="1312">
        <f t="shared" si="248"/>
        <v>748451.69085619296</v>
      </c>
      <c r="AN353" s="1312">
        <f>IF(AND(C353&gt;$F$68,'Instrumentos Financeiros'!C353&lt;'Instrumentos Financeiros'!$F$68+'Instrumentos Financeiros'!$F$11+1),PMT(((1+'Instrumentos Financeiros'!$I$43)^(1/12)-1),$F$11,-$I$68),0)</f>
        <v>76636.661022032335</v>
      </c>
      <c r="AO353" s="1312">
        <f t="shared" si="231"/>
        <v>72144.418163479902</v>
      </c>
      <c r="AP353" s="1312">
        <f>AQ352*((1+'Instrumentos Financeiros'!$I$43)^(1/12)-1)</f>
        <v>4492.2428585524285</v>
      </c>
      <c r="AQ353" s="1312">
        <f t="shared" si="249"/>
        <v>966762.06619580521</v>
      </c>
      <c r="AR353" s="1312">
        <f>IF(AND(C353&gt;$F$69,'Instrumentos Financeiros'!C353&lt;'Instrumentos Financeiros'!$F$69+'Instrumentos Financeiros'!$F$11+1),PMT(((1+'Instrumentos Financeiros'!$I$43)^(1/12)-1),$F$11,-$I$69),0)</f>
        <v>0</v>
      </c>
      <c r="AS353" s="1312">
        <f t="shared" si="232"/>
        <v>0</v>
      </c>
      <c r="AT353" s="1312">
        <f>AU352*((1+'Instrumentos Financeiros'!$I$43)^(1/12)-1)</f>
        <v>0</v>
      </c>
      <c r="AU353" s="1312">
        <f t="shared" si="250"/>
        <v>0</v>
      </c>
      <c r="AV353" s="1312">
        <f>IF(AND(C353&gt;$F$70,'Instrumentos Financeiros'!C353&lt;'Instrumentos Financeiros'!$F$70+'Instrumentos Financeiros'!$F$11+1),PMT(((1+'Instrumentos Financeiros'!$J$43)^(1/12)-1),$F$11,-$I$70),0)</f>
        <v>0</v>
      </c>
      <c r="AW353" s="1312">
        <f t="shared" si="233"/>
        <v>0</v>
      </c>
      <c r="AX353" s="1312">
        <f>AY352*((1+'Instrumentos Financeiros'!$J$43)^(1/12)-1)</f>
        <v>0</v>
      </c>
      <c r="AY353" s="1312">
        <f t="shared" si="251"/>
        <v>0</v>
      </c>
      <c r="AZ353" s="1312">
        <f>IF(AND(C353&gt;$F$71,'Instrumentos Financeiros'!C353&lt;'Instrumentos Financeiros'!$F$71+'Instrumentos Financeiros'!$F$11+1),PMT(((1+'Instrumentos Financeiros'!$J$43)^(1/12)-1),$F$11,-$I$71),0)</f>
        <v>0</v>
      </c>
      <c r="BA353" s="1312">
        <f t="shared" si="234"/>
        <v>0</v>
      </c>
      <c r="BB353" s="1312">
        <f>BC352*((1+'Instrumentos Financeiros'!$J$43)^(1/12)-1)</f>
        <v>0</v>
      </c>
      <c r="BC353" s="1312">
        <f t="shared" si="252"/>
        <v>0</v>
      </c>
      <c r="BD353" s="1312">
        <f>IF(AND(C353&gt;$F$72,'Instrumentos Financeiros'!C353&lt;'Instrumentos Financeiros'!$F$72+'Instrumentos Financeiros'!$F$11+1),PMT(((1+'Instrumentos Financeiros'!$J$43)^(1/12)-1),$F$11,-'Instrumentos Financeiros'!$G$7*$G$72),0)</f>
        <v>0</v>
      </c>
      <c r="BE353" s="1312">
        <f t="shared" si="235"/>
        <v>0</v>
      </c>
      <c r="BF353" s="1312">
        <f>BG352*((1+'Instrumentos Financeiros'!$J$43)^(1/12)-1)</f>
        <v>0</v>
      </c>
      <c r="BG353" s="1312">
        <f t="shared" si="253"/>
        <v>0</v>
      </c>
      <c r="BH353" s="1312">
        <f>IF(AND(C353&gt;$F$73,'Instrumentos Financeiros'!C353&lt;'Instrumentos Financeiros'!$F$73+'Instrumentos Financeiros'!$F$11+1),PMT(((1+'Instrumentos Financeiros'!$J$43)^(1/12)-1),$F$11,-$I$73),0)</f>
        <v>0</v>
      </c>
      <c r="BI353" s="1312">
        <f t="shared" si="236"/>
        <v>0</v>
      </c>
      <c r="BJ353" s="1312">
        <f>BK352*((1+'Instrumentos Financeiros'!$J$43)^(1/12)-1)</f>
        <v>0</v>
      </c>
      <c r="BK353" s="1312">
        <f t="shared" si="254"/>
        <v>0</v>
      </c>
      <c r="BL353" s="1312">
        <f>IF(AND(C353&gt;$F$77,'Instrumentos Financeiros'!C353&lt;'Instrumentos Financeiros'!$F$77+'Instrumentos Financeiros'!$F$12+1),PMT(((1+'Instrumentos Financeiros'!$K$43)^(1/12)-1),$F$12,-$I$77),0)</f>
        <v>368.57912678094596</v>
      </c>
      <c r="BM353" s="1312">
        <f t="shared" si="255"/>
        <v>342.51165971919869</v>
      </c>
      <c r="BN353" s="1312">
        <f>BO352*((1+'Instrumentos Financeiros'!$K$43)^(1/12)-1)</f>
        <v>26.067467061747273</v>
      </c>
      <c r="BO353" s="1312">
        <f t="shared" si="256"/>
        <v>5686.027182456859</v>
      </c>
      <c r="BP353" s="1312">
        <f>IF(AND(C353&gt;$F$78,'Instrumentos Financeiros'!C353&lt;'Instrumentos Financeiros'!$F$78+'Instrumentos Financeiros'!$F$12+1),PMT(((1+'Instrumentos Financeiros'!$L$43)^(1/12)-1),$F$12,-$I$78),0)</f>
        <v>368.57912678094596</v>
      </c>
      <c r="BQ353" s="1312">
        <f t="shared" si="257"/>
        <v>338.10673603469343</v>
      </c>
      <c r="BR353" s="1312">
        <f>BS352*((1+'Instrumentos Financeiros'!$L$43)^(1/12)-1)</f>
        <v>30.472390746252518</v>
      </c>
      <c r="BS353" s="1312">
        <f t="shared" si="258"/>
        <v>6709.1445673850458</v>
      </c>
      <c r="BT353" s="1312">
        <f>IF(AND(C353&gt;$F$79,'Instrumentos Financeiros'!C353&lt;'Instrumentos Financeiros'!$F$79+'Instrumentos Financeiros'!$F$12+1),PMT(((1+'Instrumentos Financeiros'!$L$43)^(1/12)-1),$F$12,-$I$79),0)</f>
        <v>368.57912678094596</v>
      </c>
      <c r="BU353" s="1312">
        <f t="shared" si="259"/>
        <v>333.75846254622013</v>
      </c>
      <c r="BV353" s="1312">
        <f>BW352*((1+'Instrumentos Financeiros'!$L$43)^(1/12)-1)</f>
        <v>34.820664234725832</v>
      </c>
      <c r="BW353" s="1312">
        <f t="shared" si="260"/>
        <v>7719.1039944072327</v>
      </c>
      <c r="BX353" s="1312">
        <f>IF(AND(C353&gt;$F$80,'Instrumentos Financeiros'!C353&lt;'Instrumentos Financeiros'!$F$80+'Instrumentos Financeiros'!$F$12+1),PMT(((1+'Instrumentos Financeiros'!$L$43)^(1/12)-1),$F$12,-$I$80),0)</f>
        <v>368.57912678094596</v>
      </c>
      <c r="BY353" s="1312">
        <f t="shared" si="261"/>
        <v>329.46611069525187</v>
      </c>
      <c r="BZ353" s="1312">
        <f>CA352*((1+'Instrumentos Financeiros'!$L$43)^(1/12)-1)</f>
        <v>39.113016085694063</v>
      </c>
      <c r="CA353" s="1312">
        <f t="shared" si="262"/>
        <v>8716.0746834573274</v>
      </c>
      <c r="CB353" s="1312">
        <f>IF(AND(C353&gt;$F$83,'Instrumentos Financeiros'!C353&lt;'Instrumentos Financeiros'!$F$83+'Instrumentos Financeiros'!$F$13+1),PMT(((1+'Instrumentos Financeiros'!$P$43)^(1/12)-1),$F$13,-$I$83),0)</f>
        <v>30503.390100238979</v>
      </c>
      <c r="CC353" s="1312">
        <f t="shared" si="263"/>
        <v>20776.665291469602</v>
      </c>
      <c r="CD353" s="1312">
        <f>CE352*((1+'Instrumentos Financeiros'!$P$43)^(1/12)-1)</f>
        <v>9726.724808769377</v>
      </c>
      <c r="CE353" s="1312">
        <f t="shared" si="264"/>
        <v>2228691.5388084971</v>
      </c>
      <c r="CF353" s="1312">
        <f>IF(AND(C353&gt;$F$84,'Instrumentos Financeiros'!C353&lt;'Instrumentos Financeiros'!$F$84+'Instrumentos Financeiros'!$F$13+1),PMT(((1+'Instrumentos Financeiros'!$Q$43)^(1/12)-1),$F$13,-$I$84),0)</f>
        <v>30503.390100238979</v>
      </c>
      <c r="CG353" s="1312">
        <f t="shared" si="265"/>
        <v>20509.463803781669</v>
      </c>
      <c r="CH353" s="1312">
        <f>CI352*((1+'Instrumentos Financeiros'!$Q$43)^(1/12)-1)</f>
        <v>9993.9262964573081</v>
      </c>
      <c r="CI353" s="1312">
        <f t="shared" si="266"/>
        <v>2290753.5646033669</v>
      </c>
      <c r="CJ353" s="1312">
        <f>IF(AND(C353&gt;$F$85,'Instrumentos Financeiros'!C353&lt;'Instrumentos Financeiros'!$F$85+'Instrumentos Financeiros'!$F$13+1),PMT(((1+'Instrumentos Financeiros'!$Q$43)^(1/12)-1),$F$13,-$I$85),0)</f>
        <v>30503.390100238979</v>
      </c>
      <c r="CK353" s="1312">
        <f t="shared" si="267"/>
        <v>20245.698701770703</v>
      </c>
      <c r="CL353" s="1312">
        <f>CM352*((1+'Instrumentos Financeiros'!$Q$43)^(1/12)-1)</f>
        <v>10257.691398468276</v>
      </c>
      <c r="CM353" s="1312">
        <f t="shared" si="268"/>
        <v>2352017.4322054433</v>
      </c>
      <c r="CN353" s="1312">
        <f>IF(AND(C353&gt;$F$86,'Instrumentos Financeiros'!C353&lt;'Instrumentos Financeiros'!$F$86+'Instrumentos Financeiros'!$F$13+1),PMT(((1+'Instrumentos Financeiros'!$Q$43)^(1/12)-1),$F$13,-$I$86),0)</f>
        <v>30503.390100238979</v>
      </c>
      <c r="CO353" s="1312">
        <f t="shared" si="269"/>
        <v>19985.325791272124</v>
      </c>
      <c r="CP353" s="1312">
        <f>CQ352*((1+'Instrumentos Financeiros'!$Q$43)^(1/12)-1)</f>
        <v>10518.064308966856</v>
      </c>
      <c r="CQ353" s="1312">
        <f t="shared" si="270"/>
        <v>2412493.4064504695</v>
      </c>
      <c r="CR353" s="1312">
        <f t="shared" si="239"/>
        <v>430034.52099620906</v>
      </c>
      <c r="CS353" s="1312">
        <f t="shared" si="239"/>
        <v>377127.28360169806</v>
      </c>
      <c r="CT353" s="1312">
        <f t="shared" si="239"/>
        <v>52907.237394510914</v>
      </c>
      <c r="CU353" s="1312">
        <f t="shared" si="239"/>
        <v>11858558.481705628</v>
      </c>
    </row>
    <row r="354" spans="3:99" x14ac:dyDescent="0.35">
      <c r="C354" s="1315">
        <f t="shared" si="240"/>
        <v>261</v>
      </c>
      <c r="D354" s="1312">
        <f>IF(AND(C354&gt;$F$59,'Instrumentos Financeiros'!C354&lt;'Instrumentos Financeiros'!$F$59+'Instrumentos Financeiros'!$F$11+1),PMT(((1+'Instrumentos Financeiros'!$G$43)^(1/12)-1),$F$11,-$I$59),0)</f>
        <v>0</v>
      </c>
      <c r="E354" s="1312">
        <f t="shared" si="237"/>
        <v>-9.2439291527197457E-12</v>
      </c>
      <c r="F354" s="1312">
        <f>G353*((1+'Instrumentos Financeiros'!$G$43)^(1/12)-1)</f>
        <v>9.2439291527197457E-12</v>
      </c>
      <c r="G354" s="1312">
        <f t="shared" si="271"/>
        <v>2.273913402295132E-9</v>
      </c>
      <c r="H354" s="1312">
        <f>IF(AND(C354&gt;$F$60,'Instrumentos Financeiros'!C354&lt;'Instrumentos Financeiros'!$F$60+'Instrumentos Financeiros'!$F$11+1),PMT(((1+'Instrumentos Financeiros'!$G$43)^(1/12)-1),$F$11,-$I$60),0)</f>
        <v>0</v>
      </c>
      <c r="I354" s="1312">
        <f t="shared" si="223"/>
        <v>0</v>
      </c>
      <c r="J354" s="1312">
        <f>K353*((1+'Instrumentos Financeiros'!$G$43)^(1/12)-1)</f>
        <v>0</v>
      </c>
      <c r="K354" s="1312">
        <f t="shared" si="241"/>
        <v>0</v>
      </c>
      <c r="L354" s="1312">
        <f>IF(AND(C354&gt;$F$61,'Instrumentos Financeiros'!C354&lt;'Instrumentos Financeiros'!$F$61+'Instrumentos Financeiros'!$F$11+1),PMT(((1+'Instrumentos Financeiros'!$G$43)^(1/12)-1),$F$11,-$I$61),0)</f>
        <v>0</v>
      </c>
      <c r="M354" s="1312">
        <f t="shared" si="224"/>
        <v>0</v>
      </c>
      <c r="N354" s="1312">
        <f>O353*((1+'Instrumentos Financeiros'!$G$43)^(1/12)-1)</f>
        <v>0</v>
      </c>
      <c r="O354" s="1312">
        <f t="shared" si="242"/>
        <v>0</v>
      </c>
      <c r="P354" s="1312">
        <f>IF(AND(C354&gt;$F$62,'Instrumentos Financeiros'!C354&lt;'Instrumentos Financeiros'!$F$62+'Instrumentos Financeiros'!$F$11+1),PMT(((1+'Instrumentos Financeiros'!$H$43)^(1/12)-1),$F$11,-$I$62),0)</f>
        <v>0</v>
      </c>
      <c r="Q354" s="1312">
        <f t="shared" si="225"/>
        <v>0</v>
      </c>
      <c r="R354" s="1312">
        <f>S353*((1+'Instrumentos Financeiros'!$H$43)^(1/12)-1)</f>
        <v>0</v>
      </c>
      <c r="S354" s="1312">
        <f t="shared" si="243"/>
        <v>0</v>
      </c>
      <c r="T354" s="1312">
        <f>IF(AND(C354&gt;$F$63,'Instrumentos Financeiros'!C354&lt;'Instrumentos Financeiros'!$F$63+'Instrumentos Financeiros'!$F$11+1),PMT(((1+'Instrumentos Financeiros'!$H$43)^(1/12)-1),$F$11,-$I$63),0)</f>
        <v>0</v>
      </c>
      <c r="U354" s="1312">
        <f t="shared" si="226"/>
        <v>0</v>
      </c>
      <c r="V354" s="1312">
        <f>W353*((1+'Instrumentos Financeiros'!$H$43)^(1/12)-1)</f>
        <v>0</v>
      </c>
      <c r="W354" s="1312">
        <f t="shared" si="244"/>
        <v>0</v>
      </c>
      <c r="X354" s="1312">
        <f>IF(AND(C354&gt;$F$64,'Instrumentos Financeiros'!C354&lt;'Instrumentos Financeiros'!$F$64+'Instrumentos Financeiros'!$F$11+1),PMT(((1+'Instrumentos Financeiros'!$H$43)^(1/12)-1),$F$11,-$I$64),0)</f>
        <v>0</v>
      </c>
      <c r="Y354" s="1312">
        <f t="shared" si="227"/>
        <v>0</v>
      </c>
      <c r="Z354" s="1312">
        <f>AA353*((1+'Instrumentos Financeiros'!$H$43)^(1/12)-1)</f>
        <v>0</v>
      </c>
      <c r="AA354" s="1312">
        <f t="shared" si="245"/>
        <v>0</v>
      </c>
      <c r="AB354" s="1312">
        <f>IF(AND(C354&gt;$F$65,'Instrumentos Financeiros'!C354&lt;'Instrumentos Financeiros'!$F$65+'Instrumentos Financeiros'!$F$11+1),PMT(((1+'Instrumentos Financeiros'!$H$43)^(1/12)-1),$F$11,-$I$65),0)</f>
        <v>76636.661022032335</v>
      </c>
      <c r="AC354" s="1312">
        <f t="shared" si="228"/>
        <v>75325.355847362065</v>
      </c>
      <c r="AD354" s="1312">
        <f>AE353*((1+'Instrumentos Financeiros'!$H$43)^(1/12)-1)</f>
        <v>1311.3051746702749</v>
      </c>
      <c r="AE354" s="1312">
        <f t="shared" si="246"/>
        <v>227935.95299866633</v>
      </c>
      <c r="AF354" s="1312">
        <f>IF(AND(C354&gt;$F$66,'Instrumentos Financeiros'!C354&lt;'Instrumentos Financeiros'!$F$66+'Instrumentos Financeiros'!$F$11+1),PMT(((1+'Instrumentos Financeiros'!$I$43)^(1/12)-1),$F$11,-$I$66),0)</f>
        <v>76636.661022032335</v>
      </c>
      <c r="AG354" s="1312">
        <f t="shared" si="229"/>
        <v>74356.622566025442</v>
      </c>
      <c r="AH354" s="1312">
        <f>AI353*((1+'Instrumentos Financeiros'!$I$43)^(1/12)-1)</f>
        <v>2280.0384560068942</v>
      </c>
      <c r="AI354" s="1312">
        <f t="shared" si="247"/>
        <v>452940.50074609113</v>
      </c>
      <c r="AJ354" s="1312">
        <f>IF(AND(C354&gt;$F$67,'Instrumentos Financeiros'!C354&lt;'Instrumentos Financeiros'!$F$67+'Instrumentos Financeiros'!$F$11+1),PMT(((1+'Instrumentos Financeiros'!$I$43)^(1/12)-1),$F$11,-$I$67),0)</f>
        <v>76636.661022032335</v>
      </c>
      <c r="AK354" s="1312">
        <f t="shared" si="230"/>
        <v>73400.34782749704</v>
      </c>
      <c r="AL354" s="1312">
        <f>AM353*((1+'Instrumentos Financeiros'!$I$43)^(1/12)-1)</f>
        <v>3236.3131945352875</v>
      </c>
      <c r="AM354" s="1312">
        <f t="shared" si="248"/>
        <v>675051.3430286959</v>
      </c>
      <c r="AN354" s="1312">
        <f>IF(AND(C354&gt;$F$68,'Instrumentos Financeiros'!C354&lt;'Instrumentos Financeiros'!$F$68+'Instrumentos Financeiros'!$F$11+1),PMT(((1+'Instrumentos Financeiros'!$I$43)^(1/12)-1),$F$11,-$I$68),0)</f>
        <v>76636.661022032335</v>
      </c>
      <c r="AO354" s="1312">
        <f t="shared" si="231"/>
        <v>72456.371406778009</v>
      </c>
      <c r="AP354" s="1312">
        <f>AQ353*((1+'Instrumentos Financeiros'!$I$43)^(1/12)-1)</f>
        <v>4180.2896152543217</v>
      </c>
      <c r="AQ354" s="1312">
        <f t="shared" si="249"/>
        <v>894305.69478902721</v>
      </c>
      <c r="AR354" s="1312">
        <f>IF(AND(C354&gt;$F$69,'Instrumentos Financeiros'!C354&lt;'Instrumentos Financeiros'!$F$69+'Instrumentos Financeiros'!$F$11+1),PMT(((1+'Instrumentos Financeiros'!$I$43)^(1/12)-1),$F$11,-$I$69),0)</f>
        <v>0</v>
      </c>
      <c r="AS354" s="1312">
        <f t="shared" si="232"/>
        <v>0</v>
      </c>
      <c r="AT354" s="1312">
        <f>AU353*((1+'Instrumentos Financeiros'!$I$43)^(1/12)-1)</f>
        <v>0</v>
      </c>
      <c r="AU354" s="1312">
        <f t="shared" si="250"/>
        <v>0</v>
      </c>
      <c r="AV354" s="1312">
        <f>IF(AND(C354&gt;$F$70,'Instrumentos Financeiros'!C354&lt;'Instrumentos Financeiros'!$F$70+'Instrumentos Financeiros'!$F$11+1),PMT(((1+'Instrumentos Financeiros'!$J$43)^(1/12)-1),$F$11,-$I$70),0)</f>
        <v>0</v>
      </c>
      <c r="AW354" s="1312">
        <f t="shared" si="233"/>
        <v>0</v>
      </c>
      <c r="AX354" s="1312">
        <f>AY353*((1+'Instrumentos Financeiros'!$J$43)^(1/12)-1)</f>
        <v>0</v>
      </c>
      <c r="AY354" s="1312">
        <f t="shared" si="251"/>
        <v>0</v>
      </c>
      <c r="AZ354" s="1312">
        <f>IF(AND(C354&gt;$F$71,'Instrumentos Financeiros'!C354&lt;'Instrumentos Financeiros'!$F$71+'Instrumentos Financeiros'!$F$11+1),PMT(((1+'Instrumentos Financeiros'!$J$43)^(1/12)-1),$F$11,-$I$71),0)</f>
        <v>0</v>
      </c>
      <c r="BA354" s="1312">
        <f t="shared" si="234"/>
        <v>0</v>
      </c>
      <c r="BB354" s="1312">
        <f>BC353*((1+'Instrumentos Financeiros'!$J$43)^(1/12)-1)</f>
        <v>0</v>
      </c>
      <c r="BC354" s="1312">
        <f t="shared" si="252"/>
        <v>0</v>
      </c>
      <c r="BD354" s="1312">
        <f>IF(AND(C354&gt;$F$72,'Instrumentos Financeiros'!C354&lt;'Instrumentos Financeiros'!$F$72+'Instrumentos Financeiros'!$F$11+1),PMT(((1+'Instrumentos Financeiros'!$J$43)^(1/12)-1),$F$11,-'Instrumentos Financeiros'!$G$7*$G$72),0)</f>
        <v>0</v>
      </c>
      <c r="BE354" s="1312">
        <f t="shared" si="235"/>
        <v>0</v>
      </c>
      <c r="BF354" s="1312">
        <f>BG353*((1+'Instrumentos Financeiros'!$J$43)^(1/12)-1)</f>
        <v>0</v>
      </c>
      <c r="BG354" s="1312">
        <f t="shared" si="253"/>
        <v>0</v>
      </c>
      <c r="BH354" s="1312">
        <f>IF(AND(C354&gt;$F$73,'Instrumentos Financeiros'!C354&lt;'Instrumentos Financeiros'!$F$73+'Instrumentos Financeiros'!$F$11+1),PMT(((1+'Instrumentos Financeiros'!$J$43)^(1/12)-1),$F$11,-$I$73),0)</f>
        <v>0</v>
      </c>
      <c r="BI354" s="1312">
        <f t="shared" si="236"/>
        <v>0</v>
      </c>
      <c r="BJ354" s="1312">
        <f>BK353*((1+'Instrumentos Financeiros'!$J$43)^(1/12)-1)</f>
        <v>0</v>
      </c>
      <c r="BK354" s="1312">
        <f t="shared" si="254"/>
        <v>0</v>
      </c>
      <c r="BL354" s="1312">
        <f>IF(AND(C354&gt;$F$77,'Instrumentos Financeiros'!C354&lt;'Instrumentos Financeiros'!$F$77+'Instrumentos Financeiros'!$F$12+1),PMT(((1+'Instrumentos Financeiros'!$K$43)^(1/12)-1),$F$12,-$I$77),0)</f>
        <v>368.57912678094596</v>
      </c>
      <c r="BM354" s="1312">
        <f t="shared" si="255"/>
        <v>343.99268383494808</v>
      </c>
      <c r="BN354" s="1312">
        <f>BO353*((1+'Instrumentos Financeiros'!$K$43)^(1/12)-1)</f>
        <v>24.586442945997888</v>
      </c>
      <c r="BO354" s="1312">
        <f t="shared" si="256"/>
        <v>5342.0344986219106</v>
      </c>
      <c r="BP354" s="1312">
        <f>IF(AND(C354&gt;$F$78,'Instrumentos Financeiros'!C354&lt;'Instrumentos Financeiros'!$F$78+'Instrumentos Financeiros'!$F$12+1),PMT(((1+'Instrumentos Financeiros'!$L$43)^(1/12)-1),$F$12,-$I$78),0)</f>
        <v>368.57912678094596</v>
      </c>
      <c r="BQ354" s="1312">
        <f t="shared" si="257"/>
        <v>339.56871321285786</v>
      </c>
      <c r="BR354" s="1312">
        <f>BS353*((1+'Instrumentos Financeiros'!$L$43)^(1/12)-1)</f>
        <v>29.010413568088083</v>
      </c>
      <c r="BS354" s="1312">
        <f t="shared" si="258"/>
        <v>6369.575854172188</v>
      </c>
      <c r="BT354" s="1312">
        <f>IF(AND(C354&gt;$F$79,'Instrumentos Financeiros'!C354&lt;'Instrumentos Financeiros'!$F$79+'Instrumentos Financeiros'!$F$12+1),PMT(((1+'Instrumentos Financeiros'!$L$43)^(1/12)-1),$F$12,-$I$79),0)</f>
        <v>368.57912678094596</v>
      </c>
      <c r="BU354" s="1312">
        <f t="shared" si="259"/>
        <v>335.20163774285908</v>
      </c>
      <c r="BV354" s="1312">
        <f>BW353*((1+'Instrumentos Financeiros'!$L$43)^(1/12)-1)</f>
        <v>33.377489038086878</v>
      </c>
      <c r="BW354" s="1312">
        <f t="shared" si="260"/>
        <v>7383.9023566643737</v>
      </c>
      <c r="BX354" s="1312">
        <f>IF(AND(C354&gt;$F$80,'Instrumentos Financeiros'!C354&lt;'Instrumentos Financeiros'!$F$80+'Instrumentos Financeiros'!$F$12+1),PMT(((1+'Instrumentos Financeiros'!$L$43)^(1/12)-1),$F$12,-$I$80),0)</f>
        <v>368.57912678094596</v>
      </c>
      <c r="BY354" s="1312">
        <f t="shared" si="261"/>
        <v>330.89072571612991</v>
      </c>
      <c r="BZ354" s="1312">
        <f>CA353*((1+'Instrumentos Financeiros'!$L$43)^(1/12)-1)</f>
        <v>37.68840106481607</v>
      </c>
      <c r="CA354" s="1312">
        <f t="shared" si="262"/>
        <v>8385.1839577411974</v>
      </c>
      <c r="CB354" s="1312">
        <f>IF(AND(C354&gt;$F$83,'Instrumentos Financeiros'!C354&lt;'Instrumentos Financeiros'!$F$83+'Instrumentos Financeiros'!$F$13+1),PMT(((1+'Instrumentos Financeiros'!$P$43)^(1/12)-1),$F$13,-$I$83),0)</f>
        <v>30503.390100238979</v>
      </c>
      <c r="CC354" s="1312">
        <f t="shared" si="263"/>
        <v>20866.503816577759</v>
      </c>
      <c r="CD354" s="1312">
        <f>CE353*((1+'Instrumentos Financeiros'!$P$43)^(1/12)-1)</f>
        <v>9636.8862836612188</v>
      </c>
      <c r="CE354" s="1312">
        <f t="shared" si="264"/>
        <v>2207825.0349919195</v>
      </c>
      <c r="CF354" s="1312">
        <f>IF(AND(C354&gt;$F$84,'Instrumentos Financeiros'!C354&lt;'Instrumentos Financeiros'!$F$84+'Instrumentos Financeiros'!$F$13+1),PMT(((1+'Instrumentos Financeiros'!$Q$43)^(1/12)-1),$F$13,-$I$84),0)</f>
        <v>30503.390100238979</v>
      </c>
      <c r="CG354" s="1312">
        <f t="shared" si="265"/>
        <v>20598.146946771292</v>
      </c>
      <c r="CH354" s="1312">
        <f>CI353*((1+'Instrumentos Financeiros'!$Q$43)^(1/12)-1)</f>
        <v>9905.2431534676871</v>
      </c>
      <c r="CI354" s="1312">
        <f t="shared" si="266"/>
        <v>2270155.4176565958</v>
      </c>
      <c r="CJ354" s="1312">
        <f>IF(AND(C354&gt;$F$85,'Instrumentos Financeiros'!C354&lt;'Instrumentos Financeiros'!$F$85+'Instrumentos Financeiros'!$F$13+1),PMT(((1+'Instrumentos Financeiros'!$Q$43)^(1/12)-1),$F$13,-$I$85),0)</f>
        <v>30503.390100238979</v>
      </c>
      <c r="CK354" s="1312">
        <f t="shared" si="267"/>
        <v>20333.241321610563</v>
      </c>
      <c r="CL354" s="1312">
        <f>CM353*((1+'Instrumentos Financeiros'!$Q$43)^(1/12)-1)</f>
        <v>10170.148778628414</v>
      </c>
      <c r="CM354" s="1312">
        <f t="shared" si="268"/>
        <v>2331684.1908838325</v>
      </c>
      <c r="CN354" s="1312">
        <f>IF(AND(C354&gt;$F$86,'Instrumentos Financeiros'!C354&lt;'Instrumentos Financeiros'!$F$86+'Instrumentos Financeiros'!$F$13+1),PMT(((1+'Instrumentos Financeiros'!$Q$43)^(1/12)-1),$F$13,-$I$86),0)</f>
        <v>30503.390100238979</v>
      </c>
      <c r="CO354" s="1312">
        <f t="shared" si="269"/>
        <v>20071.742555834964</v>
      </c>
      <c r="CP354" s="1312">
        <f>CQ353*((1+'Instrumentos Financeiros'!$Q$43)^(1/12)-1)</f>
        <v>10431.647544404013</v>
      </c>
      <c r="CQ354" s="1312">
        <f t="shared" si="270"/>
        <v>2392421.6638946347</v>
      </c>
      <c r="CR354" s="1312">
        <f t="shared" si="239"/>
        <v>430034.52099620906</v>
      </c>
      <c r="CS354" s="1312">
        <f t="shared" si="239"/>
        <v>378757.98604896397</v>
      </c>
      <c r="CT354" s="1312">
        <f t="shared" si="239"/>
        <v>51276.534947245105</v>
      </c>
      <c r="CU354" s="1312">
        <f t="shared" si="239"/>
        <v>11479800.495656665</v>
      </c>
    </row>
    <row r="355" spans="3:99" x14ac:dyDescent="0.35">
      <c r="C355" s="1315">
        <f t="shared" si="240"/>
        <v>262</v>
      </c>
      <c r="D355" s="1312">
        <f>IF(AND(C355&gt;$F$59,'Instrumentos Financeiros'!C355&lt;'Instrumentos Financeiros'!$F$59+'Instrumentos Financeiros'!$F$11+1),PMT(((1+'Instrumentos Financeiros'!$G$43)^(1/12)-1),$F$11,-$I$59),0)</f>
        <v>0</v>
      </c>
      <c r="E355" s="1312">
        <f t="shared" si="237"/>
        <v>-9.2816610280304223E-12</v>
      </c>
      <c r="F355" s="1312">
        <f>G354*((1+'Instrumentos Financeiros'!$G$43)^(1/12)-1)</f>
        <v>9.2816610280304223E-12</v>
      </c>
      <c r="G355" s="1312">
        <f t="shared" si="271"/>
        <v>2.2831950633231626E-9</v>
      </c>
      <c r="H355" s="1312">
        <f>IF(AND(C355&gt;$F$60,'Instrumentos Financeiros'!C355&lt;'Instrumentos Financeiros'!$F$60+'Instrumentos Financeiros'!$F$11+1),PMT(((1+'Instrumentos Financeiros'!$G$43)^(1/12)-1),$F$11,-$I$60),0)</f>
        <v>0</v>
      </c>
      <c r="I355" s="1312">
        <f t="shared" si="223"/>
        <v>0</v>
      </c>
      <c r="J355" s="1312">
        <f>K354*((1+'Instrumentos Financeiros'!$G$43)^(1/12)-1)</f>
        <v>0</v>
      </c>
      <c r="K355" s="1312">
        <f t="shared" si="241"/>
        <v>0</v>
      </c>
      <c r="L355" s="1312">
        <f>IF(AND(C355&gt;$F$61,'Instrumentos Financeiros'!C355&lt;'Instrumentos Financeiros'!$F$61+'Instrumentos Financeiros'!$F$11+1),PMT(((1+'Instrumentos Financeiros'!$G$43)^(1/12)-1),$F$11,-$I$61),0)</f>
        <v>0</v>
      </c>
      <c r="M355" s="1312">
        <f t="shared" si="224"/>
        <v>0</v>
      </c>
      <c r="N355" s="1312">
        <f>O354*((1+'Instrumentos Financeiros'!$G$43)^(1/12)-1)</f>
        <v>0</v>
      </c>
      <c r="O355" s="1312">
        <f t="shared" si="242"/>
        <v>0</v>
      </c>
      <c r="P355" s="1312">
        <f>IF(AND(C355&gt;$F$62,'Instrumentos Financeiros'!C355&lt;'Instrumentos Financeiros'!$F$62+'Instrumentos Financeiros'!$F$11+1),PMT(((1+'Instrumentos Financeiros'!$H$43)^(1/12)-1),$F$11,-$I$62),0)</f>
        <v>0</v>
      </c>
      <c r="Q355" s="1312">
        <f t="shared" si="225"/>
        <v>0</v>
      </c>
      <c r="R355" s="1312">
        <f>S354*((1+'Instrumentos Financeiros'!$H$43)^(1/12)-1)</f>
        <v>0</v>
      </c>
      <c r="S355" s="1312">
        <f t="shared" si="243"/>
        <v>0</v>
      </c>
      <c r="T355" s="1312">
        <f>IF(AND(C355&gt;$F$63,'Instrumentos Financeiros'!C355&lt;'Instrumentos Financeiros'!$F$63+'Instrumentos Financeiros'!$F$11+1),PMT(((1+'Instrumentos Financeiros'!$H$43)^(1/12)-1),$F$11,-$I$63),0)</f>
        <v>0</v>
      </c>
      <c r="U355" s="1312">
        <f t="shared" si="226"/>
        <v>0</v>
      </c>
      <c r="V355" s="1312">
        <f>W354*((1+'Instrumentos Financeiros'!$H$43)^(1/12)-1)</f>
        <v>0</v>
      </c>
      <c r="W355" s="1312">
        <f t="shared" si="244"/>
        <v>0</v>
      </c>
      <c r="X355" s="1312">
        <f>IF(AND(C355&gt;$F$64,'Instrumentos Financeiros'!C355&lt;'Instrumentos Financeiros'!$F$64+'Instrumentos Financeiros'!$F$11+1),PMT(((1+'Instrumentos Financeiros'!$H$43)^(1/12)-1),$F$11,-$I$64),0)</f>
        <v>0</v>
      </c>
      <c r="Y355" s="1312">
        <f t="shared" si="227"/>
        <v>0</v>
      </c>
      <c r="Z355" s="1312">
        <f>AA354*((1+'Instrumentos Financeiros'!$H$43)^(1/12)-1)</f>
        <v>0</v>
      </c>
      <c r="AA355" s="1312">
        <f t="shared" si="245"/>
        <v>0</v>
      </c>
      <c r="AB355" s="1312">
        <f>IF(AND(C355&gt;$F$65,'Instrumentos Financeiros'!C355&lt;'Instrumentos Financeiros'!$F$65+'Instrumentos Financeiros'!$F$11+1),PMT(((1+'Instrumentos Financeiros'!$H$43)^(1/12)-1),$F$11,-$I$65),0)</f>
        <v>76636.661022032335</v>
      </c>
      <c r="AC355" s="1312">
        <f t="shared" si="228"/>
        <v>75651.063499559372</v>
      </c>
      <c r="AD355" s="1312">
        <f>AE354*((1+'Instrumentos Financeiros'!$H$43)^(1/12)-1)</f>
        <v>985.5975224729566</v>
      </c>
      <c r="AE355" s="1312">
        <f t="shared" si="246"/>
        <v>152284.88949910697</v>
      </c>
      <c r="AF355" s="1312">
        <f>IF(AND(C355&gt;$F$66,'Instrumentos Financeiros'!C355&lt;'Instrumentos Financeiros'!$F$66+'Instrumentos Financeiros'!$F$11+1),PMT(((1+'Instrumentos Financeiros'!$I$43)^(1/12)-1),$F$11,-$I$66),0)</f>
        <v>76636.661022032335</v>
      </c>
      <c r="AG355" s="1312">
        <f t="shared" si="229"/>
        <v>74678.141405051952</v>
      </c>
      <c r="AH355" s="1312">
        <f>AI354*((1+'Instrumentos Financeiros'!$I$43)^(1/12)-1)</f>
        <v>1958.5196169803883</v>
      </c>
      <c r="AI355" s="1312">
        <f t="shared" si="247"/>
        <v>378262.35934103921</v>
      </c>
      <c r="AJ355" s="1312">
        <f>IF(AND(C355&gt;$F$67,'Instrumentos Financeiros'!C355&lt;'Instrumentos Financeiros'!$F$67+'Instrumentos Financeiros'!$F$11+1),PMT(((1+'Instrumentos Financeiros'!$I$43)^(1/12)-1),$F$11,-$I$67),0)</f>
        <v>76636.661022032335</v>
      </c>
      <c r="AK355" s="1312">
        <f t="shared" si="230"/>
        <v>73717.731724226396</v>
      </c>
      <c r="AL355" s="1312">
        <f>AM354*((1+'Instrumentos Financeiros'!$I$43)^(1/12)-1)</f>
        <v>2918.9292978059393</v>
      </c>
      <c r="AM355" s="1312">
        <f t="shared" si="248"/>
        <v>601333.61130446952</v>
      </c>
      <c r="AN355" s="1312">
        <f>IF(AND(C355&gt;$F$68,'Instrumentos Financeiros'!C355&lt;'Instrumentos Financeiros'!$F$68+'Instrumentos Financeiros'!$F$11+1),PMT(((1+'Instrumentos Financeiros'!$I$43)^(1/12)-1),$F$11,-$I$68),0)</f>
        <v>76636.661022032335</v>
      </c>
      <c r="AO355" s="1312">
        <f t="shared" si="231"/>
        <v>72769.673539269235</v>
      </c>
      <c r="AP355" s="1312">
        <f>AQ354*((1+'Instrumentos Financeiros'!$I$43)^(1/12)-1)</f>
        <v>3866.9874827631015</v>
      </c>
      <c r="AQ355" s="1312">
        <f t="shared" si="249"/>
        <v>821536.02124975796</v>
      </c>
      <c r="AR355" s="1312">
        <f>IF(AND(C355&gt;$F$69,'Instrumentos Financeiros'!C355&lt;'Instrumentos Financeiros'!$F$69+'Instrumentos Financeiros'!$F$11+1),PMT(((1+'Instrumentos Financeiros'!$I$43)^(1/12)-1),$F$11,-$I$69),0)</f>
        <v>0</v>
      </c>
      <c r="AS355" s="1312">
        <f t="shared" si="232"/>
        <v>0</v>
      </c>
      <c r="AT355" s="1312">
        <f>AU354*((1+'Instrumentos Financeiros'!$I$43)^(1/12)-1)</f>
        <v>0</v>
      </c>
      <c r="AU355" s="1312">
        <f t="shared" si="250"/>
        <v>0</v>
      </c>
      <c r="AV355" s="1312">
        <f>IF(AND(C355&gt;$F$70,'Instrumentos Financeiros'!C355&lt;'Instrumentos Financeiros'!$F$70+'Instrumentos Financeiros'!$F$11+1),PMT(((1+'Instrumentos Financeiros'!$J$43)^(1/12)-1),$F$11,-$I$70),0)</f>
        <v>0</v>
      </c>
      <c r="AW355" s="1312">
        <f t="shared" si="233"/>
        <v>0</v>
      </c>
      <c r="AX355" s="1312">
        <f>AY354*((1+'Instrumentos Financeiros'!$J$43)^(1/12)-1)</f>
        <v>0</v>
      </c>
      <c r="AY355" s="1312">
        <f t="shared" si="251"/>
        <v>0</v>
      </c>
      <c r="AZ355" s="1312">
        <f>IF(AND(C355&gt;$F$71,'Instrumentos Financeiros'!C355&lt;'Instrumentos Financeiros'!$F$71+'Instrumentos Financeiros'!$F$11+1),PMT(((1+'Instrumentos Financeiros'!$J$43)^(1/12)-1),$F$11,-$I$71),0)</f>
        <v>0</v>
      </c>
      <c r="BA355" s="1312">
        <f t="shared" si="234"/>
        <v>0</v>
      </c>
      <c r="BB355" s="1312">
        <f>BC354*((1+'Instrumentos Financeiros'!$J$43)^(1/12)-1)</f>
        <v>0</v>
      </c>
      <c r="BC355" s="1312">
        <f t="shared" si="252"/>
        <v>0</v>
      </c>
      <c r="BD355" s="1312">
        <f>IF(AND(C355&gt;$F$72,'Instrumentos Financeiros'!C355&lt;'Instrumentos Financeiros'!$F$72+'Instrumentos Financeiros'!$F$11+1),PMT(((1+'Instrumentos Financeiros'!$J$43)^(1/12)-1),$F$11,-'Instrumentos Financeiros'!$G$7*$G$72),0)</f>
        <v>0</v>
      </c>
      <c r="BE355" s="1312">
        <f t="shared" si="235"/>
        <v>0</v>
      </c>
      <c r="BF355" s="1312">
        <f>BG354*((1+'Instrumentos Financeiros'!$J$43)^(1/12)-1)</f>
        <v>0</v>
      </c>
      <c r="BG355" s="1312">
        <f t="shared" si="253"/>
        <v>0</v>
      </c>
      <c r="BH355" s="1312">
        <f>IF(AND(C355&gt;$F$73,'Instrumentos Financeiros'!C355&lt;'Instrumentos Financeiros'!$F$73+'Instrumentos Financeiros'!$F$11+1),PMT(((1+'Instrumentos Financeiros'!$J$43)^(1/12)-1),$F$11,-$I$73),0)</f>
        <v>0</v>
      </c>
      <c r="BI355" s="1312">
        <f t="shared" si="236"/>
        <v>0</v>
      </c>
      <c r="BJ355" s="1312">
        <f>BK354*((1+'Instrumentos Financeiros'!$J$43)^(1/12)-1)</f>
        <v>0</v>
      </c>
      <c r="BK355" s="1312">
        <f t="shared" si="254"/>
        <v>0</v>
      </c>
      <c r="BL355" s="1312">
        <f>IF(AND(C355&gt;$F$77,'Instrumentos Financeiros'!C355&lt;'Instrumentos Financeiros'!$F$77+'Instrumentos Financeiros'!$F$12+1),PMT(((1+'Instrumentos Financeiros'!$K$43)^(1/12)-1),$F$12,-$I$77),0)</f>
        <v>368.57912678094596</v>
      </c>
      <c r="BM355" s="1312">
        <f t="shared" si="255"/>
        <v>345.48011191496903</v>
      </c>
      <c r="BN355" s="1312">
        <f>BO354*((1+'Instrumentos Financeiros'!$K$43)^(1/12)-1)</f>
        <v>23.099014865976955</v>
      </c>
      <c r="BO355" s="1312">
        <f t="shared" si="256"/>
        <v>4996.5543867069418</v>
      </c>
      <c r="BP355" s="1312">
        <f>IF(AND(C355&gt;$F$78,'Instrumentos Financeiros'!C355&lt;'Instrumentos Financeiros'!$F$78+'Instrumentos Financeiros'!$F$12+1),PMT(((1+'Instrumentos Financeiros'!$L$43)^(1/12)-1),$F$12,-$I$78),0)</f>
        <v>368.57912678094596</v>
      </c>
      <c r="BQ355" s="1312">
        <f t="shared" si="257"/>
        <v>341.03701199613005</v>
      </c>
      <c r="BR355" s="1312">
        <f>BS354*((1+'Instrumentos Financeiros'!$L$43)^(1/12)-1)</f>
        <v>27.542114784815922</v>
      </c>
      <c r="BS355" s="1312">
        <f t="shared" si="258"/>
        <v>6028.5388421760581</v>
      </c>
      <c r="BT355" s="1312">
        <f>IF(AND(C355&gt;$F$79,'Instrumentos Financeiros'!C355&lt;'Instrumentos Financeiros'!$F$79+'Instrumentos Financeiros'!$F$12+1),PMT(((1+'Instrumentos Financeiros'!$L$43)^(1/12)-1),$F$12,-$I$79),0)</f>
        <v>368.57912678094596</v>
      </c>
      <c r="BU355" s="1312">
        <f t="shared" si="259"/>
        <v>336.65105324463457</v>
      </c>
      <c r="BV355" s="1312">
        <f>BW354*((1+'Instrumentos Financeiros'!$L$43)^(1/12)-1)</f>
        <v>31.928073536311377</v>
      </c>
      <c r="BW355" s="1312">
        <f t="shared" si="260"/>
        <v>7047.2513034197391</v>
      </c>
      <c r="BX355" s="1312">
        <f>IF(AND(C355&gt;$F$80,'Instrumentos Financeiros'!C355&lt;'Instrumentos Financeiros'!$F$80+'Instrumentos Financeiros'!$F$12+1),PMT(((1+'Instrumentos Financeiros'!$L$43)^(1/12)-1),$F$12,-$I$80),0)</f>
        <v>368.57912678094596</v>
      </c>
      <c r="BY355" s="1312">
        <f t="shared" si="261"/>
        <v>332.32150078774401</v>
      </c>
      <c r="BZ355" s="1312">
        <f>CA354*((1+'Instrumentos Financeiros'!$L$43)^(1/12)-1)</f>
        <v>36.257625993201962</v>
      </c>
      <c r="CA355" s="1312">
        <f t="shared" si="262"/>
        <v>8052.8624569534531</v>
      </c>
      <c r="CB355" s="1312">
        <f>IF(AND(C355&gt;$F$83,'Instrumentos Financeiros'!C355&lt;'Instrumentos Financeiros'!$F$83+'Instrumentos Financeiros'!$F$13+1),PMT(((1+'Instrumentos Financeiros'!$P$43)^(1/12)-1),$F$13,-$I$83),0)</f>
        <v>30503.390100238979</v>
      </c>
      <c r="CC355" s="1312">
        <f t="shared" si="263"/>
        <v>20956.730804438739</v>
      </c>
      <c r="CD355" s="1312">
        <f>CE354*((1+'Instrumentos Financeiros'!$P$43)^(1/12)-1)</f>
        <v>9546.6592958002402</v>
      </c>
      <c r="CE355" s="1312">
        <f t="shared" si="264"/>
        <v>2186868.3041874808</v>
      </c>
      <c r="CF355" s="1312">
        <f>IF(AND(C355&gt;$F$84,'Instrumentos Financeiros'!C355&lt;'Instrumentos Financeiros'!$F$84+'Instrumentos Financeiros'!$F$13+1),PMT(((1+'Instrumentos Financeiros'!$Q$43)^(1/12)-1),$F$13,-$I$84),0)</f>
        <v>30503.390100238979</v>
      </c>
      <c r="CG355" s="1312">
        <f t="shared" si="265"/>
        <v>20687.213556628973</v>
      </c>
      <c r="CH355" s="1312">
        <f>CI354*((1+'Instrumentos Financeiros'!$Q$43)^(1/12)-1)</f>
        <v>9816.176543610005</v>
      </c>
      <c r="CI355" s="1312">
        <f t="shared" si="266"/>
        <v>2249468.2040999667</v>
      </c>
      <c r="CJ355" s="1312">
        <f>IF(AND(C355&gt;$F$85,'Instrumentos Financeiros'!C355&lt;'Instrumentos Financeiros'!$F$85+'Instrumentos Financeiros'!$F$13+1),PMT(((1+'Instrumentos Financeiros'!$Q$43)^(1/12)-1),$F$13,-$I$85),0)</f>
        <v>30503.390100238979</v>
      </c>
      <c r="CK355" s="1312">
        <f t="shared" si="267"/>
        <v>20421.162476684076</v>
      </c>
      <c r="CL355" s="1312">
        <f>CM354*((1+'Instrumentos Financeiros'!$Q$43)^(1/12)-1)</f>
        <v>10082.227623554903</v>
      </c>
      <c r="CM355" s="1312">
        <f t="shared" si="268"/>
        <v>2311263.0284071486</v>
      </c>
      <c r="CN355" s="1312">
        <f>IF(AND(C355&gt;$F$86,'Instrumentos Financeiros'!C355&lt;'Instrumentos Financeiros'!$F$86+'Instrumentos Financeiros'!$F$13+1),PMT(((1+'Instrumentos Financeiros'!$Q$43)^(1/12)-1),$F$13,-$I$86),0)</f>
        <v>30503.390100238979</v>
      </c>
      <c r="CO355" s="1312">
        <f t="shared" si="269"/>
        <v>20158.532987421077</v>
      </c>
      <c r="CP355" s="1312">
        <f>CQ354*((1+'Instrumentos Financeiros'!$Q$43)^(1/12)-1)</f>
        <v>10344.857112817903</v>
      </c>
      <c r="CQ355" s="1312">
        <f t="shared" si="270"/>
        <v>2372263.1309072138</v>
      </c>
      <c r="CR355" s="1312">
        <f t="shared" si="239"/>
        <v>430034.52099620906</v>
      </c>
      <c r="CS355" s="1312">
        <f t="shared" si="239"/>
        <v>380395.73967122339</v>
      </c>
      <c r="CT355" s="1312">
        <f t="shared" si="239"/>
        <v>49638.781324985757</v>
      </c>
      <c r="CU355" s="1312">
        <f t="shared" si="239"/>
        <v>11099404.755985443</v>
      </c>
    </row>
    <row r="356" spans="3:99" x14ac:dyDescent="0.35">
      <c r="C356" s="1315">
        <f t="shared" si="240"/>
        <v>263</v>
      </c>
      <c r="D356" s="1312">
        <f>IF(AND(C356&gt;$F$59,'Instrumentos Financeiros'!C356&lt;'Instrumentos Financeiros'!$F$59+'Instrumentos Financeiros'!$F$11+1),PMT(((1+'Instrumentos Financeiros'!$G$43)^(1/12)-1),$F$11,-$I$59),0)</f>
        <v>0</v>
      </c>
      <c r="E356" s="1312">
        <f t="shared" si="237"/>
        <v>-9.3195469173313532E-12</v>
      </c>
      <c r="F356" s="1312">
        <f>G355*((1+'Instrumentos Financeiros'!$G$43)^(1/12)-1)</f>
        <v>9.3195469173313532E-12</v>
      </c>
      <c r="G356" s="1312">
        <f t="shared" si="271"/>
        <v>2.2925146102404941E-9</v>
      </c>
      <c r="H356" s="1312">
        <f>IF(AND(C356&gt;$F$60,'Instrumentos Financeiros'!C356&lt;'Instrumentos Financeiros'!$F$60+'Instrumentos Financeiros'!$F$11+1),PMT(((1+'Instrumentos Financeiros'!$G$43)^(1/12)-1),$F$11,-$I$60),0)</f>
        <v>0</v>
      </c>
      <c r="I356" s="1312">
        <f t="shared" si="223"/>
        <v>0</v>
      </c>
      <c r="J356" s="1312">
        <f>K355*((1+'Instrumentos Financeiros'!$G$43)^(1/12)-1)</f>
        <v>0</v>
      </c>
      <c r="K356" s="1312">
        <f t="shared" si="241"/>
        <v>0</v>
      </c>
      <c r="L356" s="1312">
        <f>IF(AND(C356&gt;$F$61,'Instrumentos Financeiros'!C356&lt;'Instrumentos Financeiros'!$F$61+'Instrumentos Financeiros'!$F$11+1),PMT(((1+'Instrumentos Financeiros'!$G$43)^(1/12)-1),$F$11,-$I$61),0)</f>
        <v>0</v>
      </c>
      <c r="M356" s="1312">
        <f t="shared" si="224"/>
        <v>0</v>
      </c>
      <c r="N356" s="1312">
        <f>O355*((1+'Instrumentos Financeiros'!$G$43)^(1/12)-1)</f>
        <v>0</v>
      </c>
      <c r="O356" s="1312">
        <f t="shared" si="242"/>
        <v>0</v>
      </c>
      <c r="P356" s="1312">
        <f>IF(AND(C356&gt;$F$62,'Instrumentos Financeiros'!C356&lt;'Instrumentos Financeiros'!$F$62+'Instrumentos Financeiros'!$F$11+1),PMT(((1+'Instrumentos Financeiros'!$H$43)^(1/12)-1),$F$11,-$I$62),0)</f>
        <v>0</v>
      </c>
      <c r="Q356" s="1312">
        <f t="shared" si="225"/>
        <v>0</v>
      </c>
      <c r="R356" s="1312">
        <f>S355*((1+'Instrumentos Financeiros'!$H$43)^(1/12)-1)</f>
        <v>0</v>
      </c>
      <c r="S356" s="1312">
        <f t="shared" si="243"/>
        <v>0</v>
      </c>
      <c r="T356" s="1312">
        <f>IF(AND(C356&gt;$F$63,'Instrumentos Financeiros'!C356&lt;'Instrumentos Financeiros'!$F$63+'Instrumentos Financeiros'!$F$11+1),PMT(((1+'Instrumentos Financeiros'!$H$43)^(1/12)-1),$F$11,-$I$63),0)</f>
        <v>0</v>
      </c>
      <c r="U356" s="1312">
        <f t="shared" si="226"/>
        <v>0</v>
      </c>
      <c r="V356" s="1312">
        <f>W355*((1+'Instrumentos Financeiros'!$H$43)^(1/12)-1)</f>
        <v>0</v>
      </c>
      <c r="W356" s="1312">
        <f t="shared" si="244"/>
        <v>0</v>
      </c>
      <c r="X356" s="1312">
        <f>IF(AND(C356&gt;$F$64,'Instrumentos Financeiros'!C356&lt;'Instrumentos Financeiros'!$F$64+'Instrumentos Financeiros'!$F$11+1),PMT(((1+'Instrumentos Financeiros'!$H$43)^(1/12)-1),$F$11,-$I$64),0)</f>
        <v>0</v>
      </c>
      <c r="Y356" s="1312">
        <f t="shared" si="227"/>
        <v>0</v>
      </c>
      <c r="Z356" s="1312">
        <f>AA355*((1+'Instrumentos Financeiros'!$H$43)^(1/12)-1)</f>
        <v>0</v>
      </c>
      <c r="AA356" s="1312">
        <f t="shared" si="245"/>
        <v>0</v>
      </c>
      <c r="AB356" s="1312">
        <f>IF(AND(C356&gt;$F$65,'Instrumentos Financeiros'!C356&lt;'Instrumentos Financeiros'!$F$65+'Instrumentos Financeiros'!$F$11+1),PMT(((1+'Instrumentos Financeiros'!$H$43)^(1/12)-1),$F$11,-$I$65),0)</f>
        <v>76636.661022032335</v>
      </c>
      <c r="AC356" s="1312">
        <f t="shared" si="228"/>
        <v>75978.179515162439</v>
      </c>
      <c r="AD356" s="1312">
        <f>AE355*((1+'Instrumentos Financeiros'!$H$43)^(1/12)-1)</f>
        <v>658.48150686989686</v>
      </c>
      <c r="AE356" s="1312">
        <f t="shared" si="246"/>
        <v>76306.709983944529</v>
      </c>
      <c r="AF356" s="1312">
        <f>IF(AND(C356&gt;$F$66,'Instrumentos Financeiros'!C356&lt;'Instrumentos Financeiros'!$F$66+'Instrumentos Financeiros'!$F$11+1),PMT(((1+'Instrumentos Financeiros'!$I$43)^(1/12)-1),$F$11,-$I$66),0)</f>
        <v>76636.661022032335</v>
      </c>
      <c r="AG356" s="1312">
        <f t="shared" si="229"/>
        <v>75001.050495010801</v>
      </c>
      <c r="AH356" s="1312">
        <f>AI355*((1+'Instrumentos Financeiros'!$I$43)^(1/12)-1)</f>
        <v>1635.6105270215307</v>
      </c>
      <c r="AI356" s="1312">
        <f t="shared" si="247"/>
        <v>303261.30884602841</v>
      </c>
      <c r="AJ356" s="1312">
        <f>IF(AND(C356&gt;$F$67,'Instrumentos Financeiros'!C356&lt;'Instrumentos Financeiros'!$F$67+'Instrumentos Financeiros'!$F$11+1),PMT(((1+'Instrumentos Financeiros'!$I$43)^(1/12)-1),$F$11,-$I$67),0)</f>
        <v>76636.661022032335</v>
      </c>
      <c r="AK356" s="1312">
        <f t="shared" si="230"/>
        <v>74036.487992352952</v>
      </c>
      <c r="AL356" s="1312">
        <f>AM355*((1+'Instrumentos Financeiros'!$I$43)^(1/12)-1)</f>
        <v>2600.1730296793889</v>
      </c>
      <c r="AM356" s="1312">
        <f t="shared" si="248"/>
        <v>527297.1233121166</v>
      </c>
      <c r="AN356" s="1312">
        <f>IF(AND(C356&gt;$F$68,'Instrumentos Financeiros'!C356&lt;'Instrumentos Financeiros'!$F$68+'Instrumentos Financeiros'!$F$11+1),PMT(((1+'Instrumentos Financeiros'!$I$43)^(1/12)-1),$F$11,-$I$68),0)</f>
        <v>76636.661022032335</v>
      </c>
      <c r="AO356" s="1312">
        <f t="shared" si="231"/>
        <v>73084.330393565004</v>
      </c>
      <c r="AP356" s="1312">
        <f>AQ355*((1+'Instrumentos Financeiros'!$I$43)^(1/12)-1)</f>
        <v>3552.3306284673281</v>
      </c>
      <c r="AQ356" s="1312">
        <f t="shared" si="249"/>
        <v>748451.69085619296</v>
      </c>
      <c r="AR356" s="1312">
        <f>IF(AND(C356&gt;$F$69,'Instrumentos Financeiros'!C356&lt;'Instrumentos Financeiros'!$F$69+'Instrumentos Financeiros'!$F$11+1),PMT(((1+'Instrumentos Financeiros'!$I$43)^(1/12)-1),$F$11,-$I$69),0)</f>
        <v>0</v>
      </c>
      <c r="AS356" s="1312">
        <f t="shared" si="232"/>
        <v>0</v>
      </c>
      <c r="AT356" s="1312">
        <f>AU355*((1+'Instrumentos Financeiros'!$I$43)^(1/12)-1)</f>
        <v>0</v>
      </c>
      <c r="AU356" s="1312">
        <f t="shared" si="250"/>
        <v>0</v>
      </c>
      <c r="AV356" s="1312">
        <f>IF(AND(C356&gt;$F$70,'Instrumentos Financeiros'!C356&lt;'Instrumentos Financeiros'!$F$70+'Instrumentos Financeiros'!$F$11+1),PMT(((1+'Instrumentos Financeiros'!$J$43)^(1/12)-1),$F$11,-$I$70),0)</f>
        <v>0</v>
      </c>
      <c r="AW356" s="1312">
        <f t="shared" si="233"/>
        <v>0</v>
      </c>
      <c r="AX356" s="1312">
        <f>AY355*((1+'Instrumentos Financeiros'!$J$43)^(1/12)-1)</f>
        <v>0</v>
      </c>
      <c r="AY356" s="1312">
        <f t="shared" si="251"/>
        <v>0</v>
      </c>
      <c r="AZ356" s="1312">
        <f>IF(AND(C356&gt;$F$71,'Instrumentos Financeiros'!C356&lt;'Instrumentos Financeiros'!$F$71+'Instrumentos Financeiros'!$F$11+1),PMT(((1+'Instrumentos Financeiros'!$J$43)^(1/12)-1),$F$11,-$I$71),0)</f>
        <v>0</v>
      </c>
      <c r="BA356" s="1312">
        <f t="shared" si="234"/>
        <v>0</v>
      </c>
      <c r="BB356" s="1312">
        <f>BC355*((1+'Instrumentos Financeiros'!$J$43)^(1/12)-1)</f>
        <v>0</v>
      </c>
      <c r="BC356" s="1312">
        <f t="shared" si="252"/>
        <v>0</v>
      </c>
      <c r="BD356" s="1312">
        <f>IF(AND(C356&gt;$F$72,'Instrumentos Financeiros'!C356&lt;'Instrumentos Financeiros'!$F$72+'Instrumentos Financeiros'!$F$11+1),PMT(((1+'Instrumentos Financeiros'!$J$43)^(1/12)-1),$F$11,-'Instrumentos Financeiros'!$G$7*$G$72),0)</f>
        <v>0</v>
      </c>
      <c r="BE356" s="1312">
        <f t="shared" si="235"/>
        <v>0</v>
      </c>
      <c r="BF356" s="1312">
        <f>BG355*((1+'Instrumentos Financeiros'!$J$43)^(1/12)-1)</f>
        <v>0</v>
      </c>
      <c r="BG356" s="1312">
        <f t="shared" si="253"/>
        <v>0</v>
      </c>
      <c r="BH356" s="1312">
        <f>IF(AND(C356&gt;$F$73,'Instrumentos Financeiros'!C356&lt;'Instrumentos Financeiros'!$F$73+'Instrumentos Financeiros'!$F$11+1),PMT(((1+'Instrumentos Financeiros'!$J$43)^(1/12)-1),$F$11,-$I$73),0)</f>
        <v>0</v>
      </c>
      <c r="BI356" s="1312">
        <f t="shared" si="236"/>
        <v>0</v>
      </c>
      <c r="BJ356" s="1312">
        <f>BK355*((1+'Instrumentos Financeiros'!$J$43)^(1/12)-1)</f>
        <v>0</v>
      </c>
      <c r="BK356" s="1312">
        <f t="shared" si="254"/>
        <v>0</v>
      </c>
      <c r="BL356" s="1312">
        <f>IF(AND(C356&gt;$F$77,'Instrumentos Financeiros'!C356&lt;'Instrumentos Financeiros'!$F$77+'Instrumentos Financeiros'!$F$12+1),PMT(((1+'Instrumentos Financeiros'!$K$43)^(1/12)-1),$F$12,-$I$77),0)</f>
        <v>368.57912678094596</v>
      </c>
      <c r="BM356" s="1312">
        <f t="shared" si="255"/>
        <v>346.97397165007214</v>
      </c>
      <c r="BN356" s="1312">
        <f>BO355*((1+'Instrumentos Financeiros'!$K$43)^(1/12)-1)</f>
        <v>21.605155130873801</v>
      </c>
      <c r="BO356" s="1312">
        <f t="shared" si="256"/>
        <v>4649.5804150568692</v>
      </c>
      <c r="BP356" s="1312">
        <f>IF(AND(C356&gt;$F$78,'Instrumentos Financeiros'!C356&lt;'Instrumentos Financeiros'!$F$78+'Instrumentos Financeiros'!$F$12+1),PMT(((1+'Instrumentos Financeiros'!$L$43)^(1/12)-1),$F$12,-$I$78),0)</f>
        <v>368.57912678094596</v>
      </c>
      <c r="BQ356" s="1312">
        <f t="shared" si="257"/>
        <v>342.51165971919869</v>
      </c>
      <c r="BR356" s="1312">
        <f>BS355*((1+'Instrumentos Financeiros'!$L$43)^(1/12)-1)</f>
        <v>26.067467061747273</v>
      </c>
      <c r="BS356" s="1312">
        <f t="shared" si="258"/>
        <v>5686.027182456859</v>
      </c>
      <c r="BT356" s="1312">
        <f>IF(AND(C356&gt;$F$79,'Instrumentos Financeiros'!C356&lt;'Instrumentos Financeiros'!$F$79+'Instrumentos Financeiros'!$F$12+1),PMT(((1+'Instrumentos Financeiros'!$L$43)^(1/12)-1),$F$12,-$I$79),0)</f>
        <v>368.57912678094596</v>
      </c>
      <c r="BU356" s="1312">
        <f t="shared" si="259"/>
        <v>338.10673603469343</v>
      </c>
      <c r="BV356" s="1312">
        <f>BW355*((1+'Instrumentos Financeiros'!$L$43)^(1/12)-1)</f>
        <v>30.472390746252518</v>
      </c>
      <c r="BW356" s="1312">
        <f t="shared" si="260"/>
        <v>6709.1445673850458</v>
      </c>
      <c r="BX356" s="1312">
        <f>IF(AND(C356&gt;$F$80,'Instrumentos Financeiros'!C356&lt;'Instrumentos Financeiros'!$F$80+'Instrumentos Financeiros'!$F$12+1),PMT(((1+'Instrumentos Financeiros'!$L$43)^(1/12)-1),$F$12,-$I$80),0)</f>
        <v>368.57912678094596</v>
      </c>
      <c r="BY356" s="1312">
        <f t="shared" si="261"/>
        <v>333.75846254622013</v>
      </c>
      <c r="BZ356" s="1312">
        <f>CA355*((1+'Instrumentos Financeiros'!$L$43)^(1/12)-1)</f>
        <v>34.820664234725832</v>
      </c>
      <c r="CA356" s="1312">
        <f t="shared" si="262"/>
        <v>7719.1039944072327</v>
      </c>
      <c r="CB356" s="1312">
        <f>IF(AND(C356&gt;$F$83,'Instrumentos Financeiros'!C356&lt;'Instrumentos Financeiros'!$F$83+'Instrumentos Financeiros'!$F$13+1),PMT(((1+'Instrumentos Financeiros'!$P$43)^(1/12)-1),$F$13,-$I$83),0)</f>
        <v>30503.390100238979</v>
      </c>
      <c r="CC356" s="1312">
        <f t="shared" si="263"/>
        <v>21047.347934769678</v>
      </c>
      <c r="CD356" s="1312">
        <f>CE355*((1+'Instrumentos Financeiros'!$P$43)^(1/12)-1)</f>
        <v>9456.0421654693</v>
      </c>
      <c r="CE356" s="1312">
        <f t="shared" si="264"/>
        <v>2165820.9562527114</v>
      </c>
      <c r="CF356" s="1312">
        <f>IF(AND(C356&gt;$F$84,'Instrumentos Financeiros'!C356&lt;'Instrumentos Financeiros'!$F$84+'Instrumentos Financeiros'!$F$13+1),PMT(((1+'Instrumentos Financeiros'!$Q$43)^(1/12)-1),$F$13,-$I$84),0)</f>
        <v>30503.390100238979</v>
      </c>
      <c r="CG356" s="1312">
        <f t="shared" si="265"/>
        <v>20776.665291469602</v>
      </c>
      <c r="CH356" s="1312">
        <f>CI355*((1+'Instrumentos Financeiros'!$Q$43)^(1/12)-1)</f>
        <v>9726.724808769377</v>
      </c>
      <c r="CI356" s="1312">
        <f t="shared" si="266"/>
        <v>2228691.5388084971</v>
      </c>
      <c r="CJ356" s="1312">
        <f>IF(AND(C356&gt;$F$85,'Instrumentos Financeiros'!C356&lt;'Instrumentos Financeiros'!$F$85+'Instrumentos Financeiros'!$F$13+1),PMT(((1+'Instrumentos Financeiros'!$Q$43)^(1/12)-1),$F$13,-$I$85),0)</f>
        <v>30503.390100238979</v>
      </c>
      <c r="CK356" s="1312">
        <f t="shared" si="267"/>
        <v>20509.463803781669</v>
      </c>
      <c r="CL356" s="1312">
        <f>CM355*((1+'Instrumentos Financeiros'!$Q$43)^(1/12)-1)</f>
        <v>9993.9262964573081</v>
      </c>
      <c r="CM356" s="1312">
        <f t="shared" si="268"/>
        <v>2290753.5646033669</v>
      </c>
      <c r="CN356" s="1312">
        <f>IF(AND(C356&gt;$F$86,'Instrumentos Financeiros'!C356&lt;'Instrumentos Financeiros'!$F$86+'Instrumentos Financeiros'!$F$13+1),PMT(((1+'Instrumentos Financeiros'!$Q$43)^(1/12)-1),$F$13,-$I$86),0)</f>
        <v>30503.390100238979</v>
      </c>
      <c r="CO356" s="1312">
        <f t="shared" si="269"/>
        <v>20245.698701770703</v>
      </c>
      <c r="CP356" s="1312">
        <f>CQ355*((1+'Instrumentos Financeiros'!$Q$43)^(1/12)-1)</f>
        <v>10257.691398468276</v>
      </c>
      <c r="CQ356" s="1312">
        <f t="shared" si="270"/>
        <v>2352017.4322054433</v>
      </c>
      <c r="CR356" s="1312">
        <f t="shared" si="239"/>
        <v>430034.52099620906</v>
      </c>
      <c r="CS356" s="1312">
        <f t="shared" si="239"/>
        <v>382040.57495783304</v>
      </c>
      <c r="CT356" s="1312">
        <f t="shared" si="239"/>
        <v>47993.946038376016</v>
      </c>
      <c r="CU356" s="1312">
        <f t="shared" si="239"/>
        <v>10717364.18102761</v>
      </c>
    </row>
    <row r="357" spans="3:99" x14ac:dyDescent="0.35">
      <c r="C357" s="1316">
        <f t="shared" si="240"/>
        <v>264</v>
      </c>
      <c r="D357" s="1313">
        <f>IF(AND(C357&gt;$F$59,'Instrumentos Financeiros'!C357&lt;'Instrumentos Financeiros'!$F$59+'Instrumentos Financeiros'!$F$11+1),PMT(((1+'Instrumentos Financeiros'!$G$43)^(1/12)-1),$F$11,-$I$59),0)</f>
        <v>0</v>
      </c>
      <c r="E357" s="1313">
        <f t="shared" si="237"/>
        <v>-9.3575874492769364E-12</v>
      </c>
      <c r="F357" s="1313">
        <f>G356*((1+'Instrumentos Financeiros'!$G$43)^(1/12)-1)</f>
        <v>9.3575874492769364E-12</v>
      </c>
      <c r="G357" s="1313">
        <f t="shared" si="271"/>
        <v>2.3018721976897709E-9</v>
      </c>
      <c r="H357" s="1313">
        <f>IF(AND(C357&gt;$F$60,'Instrumentos Financeiros'!C357&lt;'Instrumentos Financeiros'!$F$60+'Instrumentos Financeiros'!$F$11+1),PMT(((1+'Instrumentos Financeiros'!$G$43)^(1/12)-1),$F$11,-$I$60),0)</f>
        <v>0</v>
      </c>
      <c r="I357" s="1313">
        <f t="shared" si="223"/>
        <v>0</v>
      </c>
      <c r="J357" s="1313">
        <f>K356*((1+'Instrumentos Financeiros'!$G$43)^(1/12)-1)</f>
        <v>0</v>
      </c>
      <c r="K357" s="1313">
        <f t="shared" si="241"/>
        <v>0</v>
      </c>
      <c r="L357" s="1313">
        <f>IF(AND(C357&gt;$F$61,'Instrumentos Financeiros'!C357&lt;'Instrumentos Financeiros'!$F$61+'Instrumentos Financeiros'!$F$11+1),PMT(((1+'Instrumentos Financeiros'!$G$43)^(1/12)-1),$F$11,-$I$61),0)</f>
        <v>0</v>
      </c>
      <c r="M357" s="1313">
        <f t="shared" si="224"/>
        <v>0</v>
      </c>
      <c r="N357" s="1313">
        <f>O356*((1+'Instrumentos Financeiros'!$G$43)^(1/12)-1)</f>
        <v>0</v>
      </c>
      <c r="O357" s="1313">
        <f t="shared" si="242"/>
        <v>0</v>
      </c>
      <c r="P357" s="1313">
        <f>IF(AND(C357&gt;$F$62,'Instrumentos Financeiros'!C357&lt;'Instrumentos Financeiros'!$F$62+'Instrumentos Financeiros'!$F$11+1),PMT(((1+'Instrumentos Financeiros'!$H$43)^(1/12)-1),$F$11,-$I$62),0)</f>
        <v>0</v>
      </c>
      <c r="Q357" s="1313">
        <f t="shared" si="225"/>
        <v>0</v>
      </c>
      <c r="R357" s="1313">
        <f>S356*((1+'Instrumentos Financeiros'!$H$43)^(1/12)-1)</f>
        <v>0</v>
      </c>
      <c r="S357" s="1313">
        <f t="shared" si="243"/>
        <v>0</v>
      </c>
      <c r="T357" s="1313">
        <f>IF(AND(C357&gt;$F$63,'Instrumentos Financeiros'!C357&lt;'Instrumentos Financeiros'!$F$63+'Instrumentos Financeiros'!$F$11+1),PMT(((1+'Instrumentos Financeiros'!$H$43)^(1/12)-1),$F$11,-$I$63),0)</f>
        <v>0</v>
      </c>
      <c r="U357" s="1313">
        <f t="shared" si="226"/>
        <v>0</v>
      </c>
      <c r="V357" s="1313">
        <f>W356*((1+'Instrumentos Financeiros'!$H$43)^(1/12)-1)</f>
        <v>0</v>
      </c>
      <c r="W357" s="1313">
        <f t="shared" si="244"/>
        <v>0</v>
      </c>
      <c r="X357" s="1313">
        <f>IF(AND(C357&gt;$F$64,'Instrumentos Financeiros'!C357&lt;'Instrumentos Financeiros'!$F$64+'Instrumentos Financeiros'!$F$11+1),PMT(((1+'Instrumentos Financeiros'!$H$43)^(1/12)-1),$F$11,-$I$64),0)</f>
        <v>0</v>
      </c>
      <c r="Y357" s="1313">
        <f t="shared" si="227"/>
        <v>0</v>
      </c>
      <c r="Z357" s="1313">
        <f>AA356*((1+'Instrumentos Financeiros'!$H$43)^(1/12)-1)</f>
        <v>0</v>
      </c>
      <c r="AA357" s="1313">
        <f t="shared" si="245"/>
        <v>0</v>
      </c>
      <c r="AB357" s="1313">
        <f>IF(AND(C357&gt;$F$65,'Instrumentos Financeiros'!C357&lt;'Instrumentos Financeiros'!$F$65+'Instrumentos Financeiros'!$F$11+1),PMT(((1+'Instrumentos Financeiros'!$H$43)^(1/12)-1),$F$11,-$I$65),0)</f>
        <v>76636.661022032335</v>
      </c>
      <c r="AC357" s="1313">
        <f t="shared" si="228"/>
        <v>76306.709983949811</v>
      </c>
      <c r="AD357" s="1313">
        <f>AE356*((1+'Instrumentos Financeiros'!$H$43)^(1/12)-1)</f>
        <v>329.95103808251872</v>
      </c>
      <c r="AE357" s="1313">
        <f t="shared" si="246"/>
        <v>-5.2823452278971672E-9</v>
      </c>
      <c r="AF357" s="1313">
        <f>IF(AND(C357&gt;$F$66,'Instrumentos Financeiros'!C357&lt;'Instrumentos Financeiros'!$F$66+'Instrumentos Financeiros'!$F$11+1),PMT(((1+'Instrumentos Financeiros'!$I$43)^(1/12)-1),$F$11,-$I$66),0)</f>
        <v>76636.661022032335</v>
      </c>
      <c r="AG357" s="1313">
        <f t="shared" si="229"/>
        <v>75325.355847362065</v>
      </c>
      <c r="AH357" s="1313">
        <f>AI356*((1+'Instrumentos Financeiros'!$I$43)^(1/12)-1)</f>
        <v>1311.3051746702749</v>
      </c>
      <c r="AI357" s="1313">
        <f t="shared" si="247"/>
        <v>227935.95299866633</v>
      </c>
      <c r="AJ357" s="1313">
        <f>IF(AND(C357&gt;$F$67,'Instrumentos Financeiros'!C357&lt;'Instrumentos Financeiros'!$F$67+'Instrumentos Financeiros'!$F$11+1),PMT(((1+'Instrumentos Financeiros'!$I$43)^(1/12)-1),$F$11,-$I$67),0)</f>
        <v>76636.661022032335</v>
      </c>
      <c r="AK357" s="1313">
        <f t="shared" si="230"/>
        <v>74356.622566025442</v>
      </c>
      <c r="AL357" s="1313">
        <f>AM356*((1+'Instrumentos Financeiros'!$I$43)^(1/12)-1)</f>
        <v>2280.0384560068942</v>
      </c>
      <c r="AM357" s="1313">
        <f t="shared" si="248"/>
        <v>452940.50074609113</v>
      </c>
      <c r="AN357" s="1313">
        <f>IF(AND(C357&gt;$F$68,'Instrumentos Financeiros'!C357&lt;'Instrumentos Financeiros'!$F$68+'Instrumentos Financeiros'!$F$11+1),PMT(((1+'Instrumentos Financeiros'!$I$43)^(1/12)-1),$F$11,-$I$68),0)</f>
        <v>76636.661022032335</v>
      </c>
      <c r="AO357" s="1313">
        <f t="shared" si="231"/>
        <v>73400.34782749704</v>
      </c>
      <c r="AP357" s="1313">
        <f>AQ356*((1+'Instrumentos Financeiros'!$I$43)^(1/12)-1)</f>
        <v>3236.3131945352875</v>
      </c>
      <c r="AQ357" s="1313">
        <f t="shared" si="249"/>
        <v>675051.3430286959</v>
      </c>
      <c r="AR357" s="1313">
        <f>IF(AND(C357&gt;$F$69,'Instrumentos Financeiros'!C357&lt;'Instrumentos Financeiros'!$F$69+'Instrumentos Financeiros'!$F$11+1),PMT(((1+'Instrumentos Financeiros'!$I$43)^(1/12)-1),$F$11,-$I$69),0)</f>
        <v>0</v>
      </c>
      <c r="AS357" s="1313">
        <f t="shared" si="232"/>
        <v>0</v>
      </c>
      <c r="AT357" s="1313">
        <f>AU356*((1+'Instrumentos Financeiros'!$I$43)^(1/12)-1)</f>
        <v>0</v>
      </c>
      <c r="AU357" s="1313">
        <f t="shared" si="250"/>
        <v>0</v>
      </c>
      <c r="AV357" s="1313">
        <f>IF(AND(C357&gt;$F$70,'Instrumentos Financeiros'!C357&lt;'Instrumentos Financeiros'!$F$70+'Instrumentos Financeiros'!$F$11+1),PMT(((1+'Instrumentos Financeiros'!$J$43)^(1/12)-1),$F$11,-$I$70),0)</f>
        <v>0</v>
      </c>
      <c r="AW357" s="1313">
        <f t="shared" si="233"/>
        <v>0</v>
      </c>
      <c r="AX357" s="1313">
        <f>AY356*((1+'Instrumentos Financeiros'!$J$43)^(1/12)-1)</f>
        <v>0</v>
      </c>
      <c r="AY357" s="1313">
        <f t="shared" si="251"/>
        <v>0</v>
      </c>
      <c r="AZ357" s="1313">
        <f>IF(AND(C357&gt;$F$71,'Instrumentos Financeiros'!C357&lt;'Instrumentos Financeiros'!$F$71+'Instrumentos Financeiros'!$F$11+1),PMT(((1+'Instrumentos Financeiros'!$J$43)^(1/12)-1),$F$11,-$I$71),0)</f>
        <v>0</v>
      </c>
      <c r="BA357" s="1313">
        <f t="shared" si="234"/>
        <v>0</v>
      </c>
      <c r="BB357" s="1313">
        <f>BC356*((1+'Instrumentos Financeiros'!$J$43)^(1/12)-1)</f>
        <v>0</v>
      </c>
      <c r="BC357" s="1313">
        <f t="shared" si="252"/>
        <v>0</v>
      </c>
      <c r="BD357" s="1313">
        <f>IF(AND(C357&gt;$F$72,'Instrumentos Financeiros'!C357&lt;'Instrumentos Financeiros'!$F$72+'Instrumentos Financeiros'!$F$11+1),PMT(((1+'Instrumentos Financeiros'!$J$43)^(1/12)-1),$F$11,-'Instrumentos Financeiros'!$G$7*$G$72),0)</f>
        <v>0</v>
      </c>
      <c r="BE357" s="1313">
        <f t="shared" si="235"/>
        <v>0</v>
      </c>
      <c r="BF357" s="1313">
        <f>BG356*((1+'Instrumentos Financeiros'!$J$43)^(1/12)-1)</f>
        <v>0</v>
      </c>
      <c r="BG357" s="1313">
        <f t="shared" si="253"/>
        <v>0</v>
      </c>
      <c r="BH357" s="1313">
        <f>IF(AND(C357&gt;$F$73,'Instrumentos Financeiros'!C357&lt;'Instrumentos Financeiros'!$F$73+'Instrumentos Financeiros'!$F$11+1),PMT(((1+'Instrumentos Financeiros'!$J$43)^(1/12)-1),$F$11,-$I$73),0)</f>
        <v>0</v>
      </c>
      <c r="BI357" s="1313">
        <f t="shared" si="236"/>
        <v>0</v>
      </c>
      <c r="BJ357" s="1313">
        <f>BK356*((1+'Instrumentos Financeiros'!$J$43)^(1/12)-1)</f>
        <v>0</v>
      </c>
      <c r="BK357" s="1313">
        <f t="shared" si="254"/>
        <v>0</v>
      </c>
      <c r="BL357" s="1313">
        <f>IF(AND(C357&gt;$F$77,'Instrumentos Financeiros'!C357&lt;'Instrumentos Financeiros'!$F$77+'Instrumentos Financeiros'!$F$12+1),PMT(((1+'Instrumentos Financeiros'!$K$43)^(1/12)-1),$F$12,-$I$77),0)</f>
        <v>368.57912678094596</v>
      </c>
      <c r="BM357" s="1313">
        <f t="shared" si="255"/>
        <v>348.47429085080358</v>
      </c>
      <c r="BN357" s="1313">
        <f>BO356*((1+'Instrumentos Financeiros'!$K$43)^(1/12)-1)</f>
        <v>20.104835930142379</v>
      </c>
      <c r="BO357" s="1313">
        <f t="shared" si="256"/>
        <v>4301.1061242060659</v>
      </c>
      <c r="BP357" s="1313">
        <f>IF(AND(C357&gt;$F$78,'Instrumentos Financeiros'!C357&lt;'Instrumentos Financeiros'!$F$78+'Instrumentos Financeiros'!$F$12+1),PMT(((1+'Instrumentos Financeiros'!$L$43)^(1/12)-1),$F$12,-$I$78),0)</f>
        <v>368.57912678094596</v>
      </c>
      <c r="BQ357" s="1313">
        <f t="shared" si="257"/>
        <v>343.99268383494808</v>
      </c>
      <c r="BR357" s="1313">
        <f>BS356*((1+'Instrumentos Financeiros'!$L$43)^(1/12)-1)</f>
        <v>24.586442945997888</v>
      </c>
      <c r="BS357" s="1313">
        <f t="shared" si="258"/>
        <v>5342.0344986219106</v>
      </c>
      <c r="BT357" s="1313">
        <f>IF(AND(C357&gt;$F$79,'Instrumentos Financeiros'!C357&lt;'Instrumentos Financeiros'!$F$79+'Instrumentos Financeiros'!$F$12+1),PMT(((1+'Instrumentos Financeiros'!$L$43)^(1/12)-1),$F$12,-$I$79),0)</f>
        <v>368.57912678094596</v>
      </c>
      <c r="BU357" s="1313">
        <f t="shared" si="259"/>
        <v>339.56871321285786</v>
      </c>
      <c r="BV357" s="1313">
        <f>BW356*((1+'Instrumentos Financeiros'!$L$43)^(1/12)-1)</f>
        <v>29.010413568088083</v>
      </c>
      <c r="BW357" s="1313">
        <f t="shared" si="260"/>
        <v>6369.575854172188</v>
      </c>
      <c r="BX357" s="1313">
        <f>IF(AND(C357&gt;$F$80,'Instrumentos Financeiros'!C357&lt;'Instrumentos Financeiros'!$F$80+'Instrumentos Financeiros'!$F$12+1),PMT(((1+'Instrumentos Financeiros'!$L$43)^(1/12)-1),$F$12,-$I$80),0)</f>
        <v>368.57912678094596</v>
      </c>
      <c r="BY357" s="1313">
        <f t="shared" si="261"/>
        <v>335.20163774285908</v>
      </c>
      <c r="BZ357" s="1313">
        <f>CA356*((1+'Instrumentos Financeiros'!$L$43)^(1/12)-1)</f>
        <v>33.377489038086878</v>
      </c>
      <c r="CA357" s="1313">
        <f t="shared" si="262"/>
        <v>7383.9023566643737</v>
      </c>
      <c r="CB357" s="1313">
        <f>IF(AND(C357&gt;$F$83,'Instrumentos Financeiros'!C357&lt;'Instrumentos Financeiros'!$F$83+'Instrumentos Financeiros'!$F$13+1),PMT(((1+'Instrumentos Financeiros'!$P$43)^(1/12)-1),$F$13,-$I$83),0)</f>
        <v>30503.390100238979</v>
      </c>
      <c r="CC357" s="1313">
        <f t="shared" si="263"/>
        <v>21138.356894550838</v>
      </c>
      <c r="CD357" s="1313">
        <f>CE356*((1+'Instrumentos Financeiros'!$P$43)^(1/12)-1)</f>
        <v>9365.0332056881434</v>
      </c>
      <c r="CE357" s="1313">
        <f t="shared" si="264"/>
        <v>2144682.5993581605</v>
      </c>
      <c r="CF357" s="1313">
        <f>IF(AND(C357&gt;$F$84,'Instrumentos Financeiros'!C357&lt;'Instrumentos Financeiros'!$F$84+'Instrumentos Financeiros'!$F$13+1),PMT(((1+'Instrumentos Financeiros'!$Q$43)^(1/12)-1),$F$13,-$I$84),0)</f>
        <v>30503.390100238979</v>
      </c>
      <c r="CG357" s="1313">
        <f t="shared" si="265"/>
        <v>20866.503816577759</v>
      </c>
      <c r="CH357" s="1313">
        <f>CI356*((1+'Instrumentos Financeiros'!$Q$43)^(1/12)-1)</f>
        <v>9636.8862836612188</v>
      </c>
      <c r="CI357" s="1313">
        <f t="shared" si="266"/>
        <v>2207825.0349919195</v>
      </c>
      <c r="CJ357" s="1313">
        <f>IF(AND(C357&gt;$F$85,'Instrumentos Financeiros'!C357&lt;'Instrumentos Financeiros'!$F$85+'Instrumentos Financeiros'!$F$13+1),PMT(((1+'Instrumentos Financeiros'!$Q$43)^(1/12)-1),$F$13,-$I$85),0)</f>
        <v>30503.390100238979</v>
      </c>
      <c r="CK357" s="1313">
        <f t="shared" si="267"/>
        <v>20598.146946771292</v>
      </c>
      <c r="CL357" s="1313">
        <f>CM356*((1+'Instrumentos Financeiros'!$Q$43)^(1/12)-1)</f>
        <v>9905.2431534676871</v>
      </c>
      <c r="CM357" s="1313">
        <f t="shared" si="268"/>
        <v>2270155.4176565958</v>
      </c>
      <c r="CN357" s="1313">
        <f>IF(AND(C357&gt;$F$86,'Instrumentos Financeiros'!C357&lt;'Instrumentos Financeiros'!$F$86+'Instrumentos Financeiros'!$F$13+1),PMT(((1+'Instrumentos Financeiros'!$Q$43)^(1/12)-1),$F$13,-$I$86),0)</f>
        <v>30503.390100238979</v>
      </c>
      <c r="CO357" s="1313">
        <f t="shared" si="269"/>
        <v>20333.241321610563</v>
      </c>
      <c r="CP357" s="1313">
        <f>CQ356*((1+'Instrumentos Financeiros'!$Q$43)^(1/12)-1)</f>
        <v>10170.148778628414</v>
      </c>
      <c r="CQ357" s="1313">
        <f t="shared" si="270"/>
        <v>2331684.1908838325</v>
      </c>
      <c r="CR357" s="1313">
        <f t="shared" si="239"/>
        <v>430034.52099620906</v>
      </c>
      <c r="CS357" s="1313">
        <f t="shared" si="239"/>
        <v>383692.52252998628</v>
      </c>
      <c r="CT357" s="1313">
        <f t="shared" si="239"/>
        <v>46341.998466222758</v>
      </c>
      <c r="CU357" s="1313">
        <f t="shared" si="239"/>
        <v>10333671.658497624</v>
      </c>
    </row>
    <row r="358" spans="3:99" x14ac:dyDescent="0.35">
      <c r="C358" s="1315">
        <f t="shared" si="240"/>
        <v>265</v>
      </c>
      <c r="D358" s="1312">
        <f>IF(AND(C358&gt;$F$59,'Instrumentos Financeiros'!C358&lt;'Instrumentos Financeiros'!$F$59+'Instrumentos Financeiros'!$F$11+1),PMT(((1+'Instrumentos Financeiros'!$G$43)^(1/12)-1),$F$11,-$I$59),0)</f>
        <v>0</v>
      </c>
      <c r="E358" s="1312">
        <f t="shared" si="237"/>
        <v>-9.3957832550876035E-12</v>
      </c>
      <c r="F358" s="1312">
        <f>G357*((1+'Instrumentos Financeiros'!$G$43)^(1/12)-1)</f>
        <v>9.3957832550876035E-12</v>
      </c>
      <c r="G358" s="1312">
        <f t="shared" si="271"/>
        <v>2.3112679809448583E-9</v>
      </c>
      <c r="H358" s="1312">
        <f>IF(AND(C358&gt;$F$60,'Instrumentos Financeiros'!C358&lt;'Instrumentos Financeiros'!$F$60+'Instrumentos Financeiros'!$F$11+1),PMT(((1+'Instrumentos Financeiros'!$G$43)^(1/12)-1),$F$11,-$I$60),0)</f>
        <v>0</v>
      </c>
      <c r="I358" s="1312">
        <f t="shared" si="223"/>
        <v>0</v>
      </c>
      <c r="J358" s="1312">
        <f>K357*((1+'Instrumentos Financeiros'!$G$43)^(1/12)-1)</f>
        <v>0</v>
      </c>
      <c r="K358" s="1312">
        <f t="shared" si="241"/>
        <v>0</v>
      </c>
      <c r="L358" s="1312">
        <f>IF(AND(C358&gt;$F$61,'Instrumentos Financeiros'!C358&lt;'Instrumentos Financeiros'!$F$61+'Instrumentos Financeiros'!$F$11+1),PMT(((1+'Instrumentos Financeiros'!$G$43)^(1/12)-1),$F$11,-$I$61),0)</f>
        <v>0</v>
      </c>
      <c r="M358" s="1312">
        <f t="shared" si="224"/>
        <v>0</v>
      </c>
      <c r="N358" s="1312">
        <f>O357*((1+'Instrumentos Financeiros'!$G$43)^(1/12)-1)</f>
        <v>0</v>
      </c>
      <c r="O358" s="1312">
        <f t="shared" si="242"/>
        <v>0</v>
      </c>
      <c r="P358" s="1312">
        <f>IF(AND(C358&gt;$F$62,'Instrumentos Financeiros'!C358&lt;'Instrumentos Financeiros'!$F$62+'Instrumentos Financeiros'!$F$11+1),PMT(((1+'Instrumentos Financeiros'!$H$43)^(1/12)-1),$F$11,-$I$62),0)</f>
        <v>0</v>
      </c>
      <c r="Q358" s="1312">
        <f t="shared" si="225"/>
        <v>0</v>
      </c>
      <c r="R358" s="1312">
        <f>S357*((1+'Instrumentos Financeiros'!$H$43)^(1/12)-1)</f>
        <v>0</v>
      </c>
      <c r="S358" s="1312">
        <f t="shared" si="243"/>
        <v>0</v>
      </c>
      <c r="T358" s="1312">
        <f>IF(AND(C358&gt;$F$63,'Instrumentos Financeiros'!C358&lt;'Instrumentos Financeiros'!$F$63+'Instrumentos Financeiros'!$F$11+1),PMT(((1+'Instrumentos Financeiros'!$H$43)^(1/12)-1),$F$11,-$I$63),0)</f>
        <v>0</v>
      </c>
      <c r="U358" s="1312">
        <f t="shared" si="226"/>
        <v>0</v>
      </c>
      <c r="V358" s="1312">
        <f>W357*((1+'Instrumentos Financeiros'!$H$43)^(1/12)-1)</f>
        <v>0</v>
      </c>
      <c r="W358" s="1312">
        <f t="shared" si="244"/>
        <v>0</v>
      </c>
      <c r="X358" s="1312">
        <f>IF(AND(C358&gt;$F$64,'Instrumentos Financeiros'!C358&lt;'Instrumentos Financeiros'!$F$64+'Instrumentos Financeiros'!$F$11+1),PMT(((1+'Instrumentos Financeiros'!$H$43)^(1/12)-1),$F$11,-$I$64),0)</f>
        <v>0</v>
      </c>
      <c r="Y358" s="1312">
        <f t="shared" si="227"/>
        <v>0</v>
      </c>
      <c r="Z358" s="1312">
        <f>AA357*((1+'Instrumentos Financeiros'!$H$43)^(1/12)-1)</f>
        <v>0</v>
      </c>
      <c r="AA358" s="1312">
        <f t="shared" si="245"/>
        <v>0</v>
      </c>
      <c r="AB358" s="1312">
        <f>IF(AND(C358&gt;$F$65,'Instrumentos Financeiros'!C358&lt;'Instrumentos Financeiros'!$F$65+'Instrumentos Financeiros'!$F$11+1),PMT(((1+'Instrumentos Financeiros'!$H$43)^(1/12)-1),$F$11,-$I$65),0)</f>
        <v>0</v>
      </c>
      <c r="AC358" s="1312">
        <f t="shared" si="228"/>
        <v>2.2840917814719452E-11</v>
      </c>
      <c r="AD358" s="1312">
        <f>AE357*((1+'Instrumentos Financeiros'!$H$43)^(1/12)-1)</f>
        <v>-2.2840917814719452E-11</v>
      </c>
      <c r="AE358" s="1312">
        <f t="shared" si="246"/>
        <v>-5.3051861457118866E-9</v>
      </c>
      <c r="AF358" s="1312">
        <f>IF(AND(C358&gt;$F$66,'Instrumentos Financeiros'!C358&lt;'Instrumentos Financeiros'!$F$66+'Instrumentos Financeiros'!$F$11+1),PMT(((1+'Instrumentos Financeiros'!$I$43)^(1/12)-1),$F$11,-$I$66),0)</f>
        <v>76636.661022032335</v>
      </c>
      <c r="AG358" s="1312">
        <f t="shared" si="229"/>
        <v>75651.063499559372</v>
      </c>
      <c r="AH358" s="1312">
        <f>AI357*((1+'Instrumentos Financeiros'!$I$43)^(1/12)-1)</f>
        <v>985.5975224729566</v>
      </c>
      <c r="AI358" s="1312">
        <f t="shared" si="247"/>
        <v>152284.88949910697</v>
      </c>
      <c r="AJ358" s="1312">
        <f>IF(AND(C358&gt;$F$67,'Instrumentos Financeiros'!C358&lt;'Instrumentos Financeiros'!$F$67+'Instrumentos Financeiros'!$F$11+1),PMT(((1+'Instrumentos Financeiros'!$I$43)^(1/12)-1),$F$11,-$I$67),0)</f>
        <v>76636.661022032335</v>
      </c>
      <c r="AK358" s="1312">
        <f t="shared" si="230"/>
        <v>74678.141405051952</v>
      </c>
      <c r="AL358" s="1312">
        <f>AM357*((1+'Instrumentos Financeiros'!$I$43)^(1/12)-1)</f>
        <v>1958.5196169803883</v>
      </c>
      <c r="AM358" s="1312">
        <f t="shared" si="248"/>
        <v>378262.35934103921</v>
      </c>
      <c r="AN358" s="1312">
        <f>IF(AND(C358&gt;$F$68,'Instrumentos Financeiros'!C358&lt;'Instrumentos Financeiros'!$F$68+'Instrumentos Financeiros'!$F$11+1),PMT(((1+'Instrumentos Financeiros'!$I$43)^(1/12)-1),$F$11,-$I$68),0)</f>
        <v>76636.661022032335</v>
      </c>
      <c r="AO358" s="1312">
        <f t="shared" si="231"/>
        <v>73717.731724226396</v>
      </c>
      <c r="AP358" s="1312">
        <f>AQ357*((1+'Instrumentos Financeiros'!$I$43)^(1/12)-1)</f>
        <v>2918.9292978059393</v>
      </c>
      <c r="AQ358" s="1312">
        <f t="shared" si="249"/>
        <v>601333.61130446952</v>
      </c>
      <c r="AR358" s="1312">
        <f>IF(AND(C358&gt;$F$69,'Instrumentos Financeiros'!C358&lt;'Instrumentos Financeiros'!$F$69+'Instrumentos Financeiros'!$F$11+1),PMT(((1+'Instrumentos Financeiros'!$I$43)^(1/12)-1),$F$11,-$I$69),0)</f>
        <v>0</v>
      </c>
      <c r="AS358" s="1312">
        <f t="shared" si="232"/>
        <v>0</v>
      </c>
      <c r="AT358" s="1312">
        <f>AU357*((1+'Instrumentos Financeiros'!$I$43)^(1/12)-1)</f>
        <v>0</v>
      </c>
      <c r="AU358" s="1312">
        <f t="shared" si="250"/>
        <v>0</v>
      </c>
      <c r="AV358" s="1312">
        <f>IF(AND(C358&gt;$F$70,'Instrumentos Financeiros'!C358&lt;'Instrumentos Financeiros'!$F$70+'Instrumentos Financeiros'!$F$11+1),PMT(((1+'Instrumentos Financeiros'!$J$43)^(1/12)-1),$F$11,-$I$70),0)</f>
        <v>0</v>
      </c>
      <c r="AW358" s="1312">
        <f t="shared" si="233"/>
        <v>0</v>
      </c>
      <c r="AX358" s="1312">
        <f>AY357*((1+'Instrumentos Financeiros'!$J$43)^(1/12)-1)</f>
        <v>0</v>
      </c>
      <c r="AY358" s="1312">
        <f t="shared" si="251"/>
        <v>0</v>
      </c>
      <c r="AZ358" s="1312">
        <f>IF(AND(C358&gt;$F$71,'Instrumentos Financeiros'!C358&lt;'Instrumentos Financeiros'!$F$71+'Instrumentos Financeiros'!$F$11+1),PMT(((1+'Instrumentos Financeiros'!$J$43)^(1/12)-1),$F$11,-$I$71),0)</f>
        <v>0</v>
      </c>
      <c r="BA358" s="1312">
        <f t="shared" si="234"/>
        <v>0</v>
      </c>
      <c r="BB358" s="1312">
        <f>BC357*((1+'Instrumentos Financeiros'!$J$43)^(1/12)-1)</f>
        <v>0</v>
      </c>
      <c r="BC358" s="1312">
        <f t="shared" si="252"/>
        <v>0</v>
      </c>
      <c r="BD358" s="1312">
        <f>IF(AND(C358&gt;$F$72,'Instrumentos Financeiros'!C358&lt;'Instrumentos Financeiros'!$F$72+'Instrumentos Financeiros'!$F$11+1),PMT(((1+'Instrumentos Financeiros'!$J$43)^(1/12)-1),$F$11,-'Instrumentos Financeiros'!$G$7*$G$72),0)</f>
        <v>0</v>
      </c>
      <c r="BE358" s="1312">
        <f t="shared" si="235"/>
        <v>0</v>
      </c>
      <c r="BF358" s="1312">
        <f>BG357*((1+'Instrumentos Financeiros'!$J$43)^(1/12)-1)</f>
        <v>0</v>
      </c>
      <c r="BG358" s="1312">
        <f t="shared" si="253"/>
        <v>0</v>
      </c>
      <c r="BH358" s="1312">
        <f>IF(AND(C358&gt;$F$73,'Instrumentos Financeiros'!C358&lt;'Instrumentos Financeiros'!$F$73+'Instrumentos Financeiros'!$F$11+1),PMT(((1+'Instrumentos Financeiros'!$J$43)^(1/12)-1),$F$11,-$I$73),0)</f>
        <v>0</v>
      </c>
      <c r="BI358" s="1312">
        <f t="shared" si="236"/>
        <v>0</v>
      </c>
      <c r="BJ358" s="1312">
        <f>BK357*((1+'Instrumentos Financeiros'!$J$43)^(1/12)-1)</f>
        <v>0</v>
      </c>
      <c r="BK358" s="1312">
        <f t="shared" si="254"/>
        <v>0</v>
      </c>
      <c r="BL358" s="1312">
        <f>IF(AND(C358&gt;$F$77,'Instrumentos Financeiros'!C358&lt;'Instrumentos Financeiros'!$F$77+'Instrumentos Financeiros'!$F$12+1),PMT(((1+'Instrumentos Financeiros'!$K$43)^(1/12)-1),$F$12,-$I$77),0)</f>
        <v>368.57912678094596</v>
      </c>
      <c r="BM358" s="1312">
        <f t="shared" si="255"/>
        <v>349.98109744796238</v>
      </c>
      <c r="BN358" s="1312">
        <f>BO357*((1+'Instrumentos Financeiros'!$K$43)^(1/12)-1)</f>
        <v>18.598029332983565</v>
      </c>
      <c r="BO358" s="1312">
        <f t="shared" si="256"/>
        <v>3951.1250267581036</v>
      </c>
      <c r="BP358" s="1312">
        <f>IF(AND(C358&gt;$F$78,'Instrumentos Financeiros'!C358&lt;'Instrumentos Financeiros'!$F$78+'Instrumentos Financeiros'!$F$12+1),PMT(((1+'Instrumentos Financeiros'!$L$43)^(1/12)-1),$F$12,-$I$78),0)</f>
        <v>368.57912678094596</v>
      </c>
      <c r="BQ358" s="1312">
        <f t="shared" si="257"/>
        <v>345.48011191496903</v>
      </c>
      <c r="BR358" s="1312">
        <f>BS357*((1+'Instrumentos Financeiros'!$L$43)^(1/12)-1)</f>
        <v>23.099014865976955</v>
      </c>
      <c r="BS358" s="1312">
        <f t="shared" si="258"/>
        <v>4996.5543867069418</v>
      </c>
      <c r="BT358" s="1312">
        <f>IF(AND(C358&gt;$F$79,'Instrumentos Financeiros'!C358&lt;'Instrumentos Financeiros'!$F$79+'Instrumentos Financeiros'!$F$12+1),PMT(((1+'Instrumentos Financeiros'!$L$43)^(1/12)-1),$F$12,-$I$79),0)</f>
        <v>368.57912678094596</v>
      </c>
      <c r="BU358" s="1312">
        <f t="shared" si="259"/>
        <v>341.03701199613005</v>
      </c>
      <c r="BV358" s="1312">
        <f>BW357*((1+'Instrumentos Financeiros'!$L$43)^(1/12)-1)</f>
        <v>27.542114784815922</v>
      </c>
      <c r="BW358" s="1312">
        <f t="shared" si="260"/>
        <v>6028.5388421760581</v>
      </c>
      <c r="BX358" s="1312">
        <f>IF(AND(C358&gt;$F$80,'Instrumentos Financeiros'!C358&lt;'Instrumentos Financeiros'!$F$80+'Instrumentos Financeiros'!$F$12+1),PMT(((1+'Instrumentos Financeiros'!$L$43)^(1/12)-1),$F$12,-$I$80),0)</f>
        <v>368.57912678094596</v>
      </c>
      <c r="BY358" s="1312">
        <f t="shared" si="261"/>
        <v>336.65105324463457</v>
      </c>
      <c r="BZ358" s="1312">
        <f>CA357*((1+'Instrumentos Financeiros'!$L$43)^(1/12)-1)</f>
        <v>31.928073536311377</v>
      </c>
      <c r="CA358" s="1312">
        <f t="shared" si="262"/>
        <v>7047.2513034197391</v>
      </c>
      <c r="CB358" s="1312">
        <f>IF(AND(C358&gt;$F$83,'Instrumentos Financeiros'!C358&lt;'Instrumentos Financeiros'!$F$83+'Instrumentos Financeiros'!$F$13+1),PMT(((1+'Instrumentos Financeiros'!$P$43)^(1/12)-1),$F$13,-$I$83),0)</f>
        <v>30503.390100238979</v>
      </c>
      <c r="CC358" s="1312">
        <f t="shared" si="263"/>
        <v>21229.75937805698</v>
      </c>
      <c r="CD358" s="1312">
        <f>CE357*((1+'Instrumentos Financeiros'!$P$43)^(1/12)-1)</f>
        <v>9273.630722181997</v>
      </c>
      <c r="CE358" s="1312">
        <f t="shared" si="264"/>
        <v>2123452.8399801035</v>
      </c>
      <c r="CF358" s="1312">
        <f>IF(AND(C358&gt;$F$84,'Instrumentos Financeiros'!C358&lt;'Instrumentos Financeiros'!$F$84+'Instrumentos Financeiros'!$F$13+1),PMT(((1+'Instrumentos Financeiros'!$Q$43)^(1/12)-1),$F$13,-$I$84),0)</f>
        <v>30503.390100238979</v>
      </c>
      <c r="CG358" s="1312">
        <f t="shared" si="265"/>
        <v>20956.730804438739</v>
      </c>
      <c r="CH358" s="1312">
        <f>CI357*((1+'Instrumentos Financeiros'!$Q$43)^(1/12)-1)</f>
        <v>9546.6592958002402</v>
      </c>
      <c r="CI358" s="1312">
        <f t="shared" si="266"/>
        <v>2186868.3041874808</v>
      </c>
      <c r="CJ358" s="1312">
        <f>IF(AND(C358&gt;$F$85,'Instrumentos Financeiros'!C358&lt;'Instrumentos Financeiros'!$F$85+'Instrumentos Financeiros'!$F$13+1),PMT(((1+'Instrumentos Financeiros'!$Q$43)^(1/12)-1),$F$13,-$I$85),0)</f>
        <v>30503.390100238979</v>
      </c>
      <c r="CK358" s="1312">
        <f t="shared" si="267"/>
        <v>20687.213556628973</v>
      </c>
      <c r="CL358" s="1312">
        <f>CM357*((1+'Instrumentos Financeiros'!$Q$43)^(1/12)-1)</f>
        <v>9816.176543610005</v>
      </c>
      <c r="CM358" s="1312">
        <f t="shared" si="268"/>
        <v>2249468.2040999667</v>
      </c>
      <c r="CN358" s="1312">
        <f>IF(AND(C358&gt;$F$86,'Instrumentos Financeiros'!C358&lt;'Instrumentos Financeiros'!$F$86+'Instrumentos Financeiros'!$F$13+1),PMT(((1+'Instrumentos Financeiros'!$Q$43)^(1/12)-1),$F$13,-$I$86),0)</f>
        <v>30503.390100238979</v>
      </c>
      <c r="CO358" s="1312">
        <f t="shared" si="269"/>
        <v>20421.162476684076</v>
      </c>
      <c r="CP358" s="1312">
        <f>CQ357*((1+'Instrumentos Financeiros'!$Q$43)^(1/12)-1)</f>
        <v>10082.227623554903</v>
      </c>
      <c r="CQ358" s="1312">
        <f t="shared" si="270"/>
        <v>2311263.0284071486</v>
      </c>
      <c r="CR358" s="1312">
        <f t="shared" si="239"/>
        <v>353397.85997417668</v>
      </c>
      <c r="CS358" s="1312">
        <f t="shared" si="239"/>
        <v>308714.9521192502</v>
      </c>
      <c r="CT358" s="1312">
        <f t="shared" si="239"/>
        <v>44682.90785492651</v>
      </c>
      <c r="CU358" s="1312">
        <f t="shared" si="239"/>
        <v>10024956.706378374</v>
      </c>
    </row>
    <row r="359" spans="3:99" x14ac:dyDescent="0.35">
      <c r="C359" s="1315">
        <f t="shared" si="240"/>
        <v>266</v>
      </c>
      <c r="D359" s="1312">
        <f>IF(AND(C359&gt;$F$59,'Instrumentos Financeiros'!C359&lt;'Instrumentos Financeiros'!$F$59+'Instrumentos Financeiros'!$F$11+1),PMT(((1+'Instrumentos Financeiros'!$G$43)^(1/12)-1),$F$11,-$I$59),0)</f>
        <v>0</v>
      </c>
      <c r="E359" s="1312">
        <f t="shared" si="237"/>
        <v>-9.4341349685603084E-12</v>
      </c>
      <c r="F359" s="1312">
        <f>G358*((1+'Instrumentos Financeiros'!$G$43)^(1/12)-1)</f>
        <v>9.4341349685603084E-12</v>
      </c>
      <c r="G359" s="1312">
        <f t="shared" si="271"/>
        <v>2.3207021159134188E-9</v>
      </c>
      <c r="H359" s="1312">
        <f>IF(AND(C359&gt;$F$60,'Instrumentos Financeiros'!C359&lt;'Instrumentos Financeiros'!$F$60+'Instrumentos Financeiros'!$F$11+1),PMT(((1+'Instrumentos Financeiros'!$G$43)^(1/12)-1),$F$11,-$I$60),0)</f>
        <v>0</v>
      </c>
      <c r="I359" s="1312">
        <f t="shared" si="223"/>
        <v>0</v>
      </c>
      <c r="J359" s="1312">
        <f>K358*((1+'Instrumentos Financeiros'!$G$43)^(1/12)-1)</f>
        <v>0</v>
      </c>
      <c r="K359" s="1312">
        <f t="shared" si="241"/>
        <v>0</v>
      </c>
      <c r="L359" s="1312">
        <f>IF(AND(C359&gt;$F$61,'Instrumentos Financeiros'!C359&lt;'Instrumentos Financeiros'!$F$61+'Instrumentos Financeiros'!$F$11+1),PMT(((1+'Instrumentos Financeiros'!$G$43)^(1/12)-1),$F$11,-$I$61),0)</f>
        <v>0</v>
      </c>
      <c r="M359" s="1312">
        <f t="shared" si="224"/>
        <v>0</v>
      </c>
      <c r="N359" s="1312">
        <f>O358*((1+'Instrumentos Financeiros'!$G$43)^(1/12)-1)</f>
        <v>0</v>
      </c>
      <c r="O359" s="1312">
        <f t="shared" si="242"/>
        <v>0</v>
      </c>
      <c r="P359" s="1312">
        <f>IF(AND(C359&gt;$F$62,'Instrumentos Financeiros'!C359&lt;'Instrumentos Financeiros'!$F$62+'Instrumentos Financeiros'!$F$11+1),PMT(((1+'Instrumentos Financeiros'!$H$43)^(1/12)-1),$F$11,-$I$62),0)</f>
        <v>0</v>
      </c>
      <c r="Q359" s="1312">
        <f t="shared" si="225"/>
        <v>0</v>
      </c>
      <c r="R359" s="1312">
        <f>S358*((1+'Instrumentos Financeiros'!$H$43)^(1/12)-1)</f>
        <v>0</v>
      </c>
      <c r="S359" s="1312">
        <f t="shared" si="243"/>
        <v>0</v>
      </c>
      <c r="T359" s="1312">
        <f>IF(AND(C359&gt;$F$63,'Instrumentos Financeiros'!C359&lt;'Instrumentos Financeiros'!$F$63+'Instrumentos Financeiros'!$F$11+1),PMT(((1+'Instrumentos Financeiros'!$H$43)^(1/12)-1),$F$11,-$I$63),0)</f>
        <v>0</v>
      </c>
      <c r="U359" s="1312">
        <f t="shared" si="226"/>
        <v>0</v>
      </c>
      <c r="V359" s="1312">
        <f>W358*((1+'Instrumentos Financeiros'!$H$43)^(1/12)-1)</f>
        <v>0</v>
      </c>
      <c r="W359" s="1312">
        <f t="shared" si="244"/>
        <v>0</v>
      </c>
      <c r="X359" s="1312">
        <f>IF(AND(C359&gt;$F$64,'Instrumentos Financeiros'!C359&lt;'Instrumentos Financeiros'!$F$64+'Instrumentos Financeiros'!$F$11+1),PMT(((1+'Instrumentos Financeiros'!$H$43)^(1/12)-1),$F$11,-$I$64),0)</f>
        <v>0</v>
      </c>
      <c r="Y359" s="1312">
        <f t="shared" si="227"/>
        <v>0</v>
      </c>
      <c r="Z359" s="1312">
        <f>AA358*((1+'Instrumentos Financeiros'!$H$43)^(1/12)-1)</f>
        <v>0</v>
      </c>
      <c r="AA359" s="1312">
        <f t="shared" si="245"/>
        <v>0</v>
      </c>
      <c r="AB359" s="1312">
        <f>IF(AND(C359&gt;$F$65,'Instrumentos Financeiros'!C359&lt;'Instrumentos Financeiros'!$F$65+'Instrumentos Financeiros'!$F$11+1),PMT(((1+'Instrumentos Financeiros'!$H$43)^(1/12)-1),$F$11,-$I$65),0)</f>
        <v>0</v>
      </c>
      <c r="AC359" s="1312">
        <f t="shared" si="228"/>
        <v>2.2939682190032055E-11</v>
      </c>
      <c r="AD359" s="1312">
        <f>AE358*((1+'Instrumentos Financeiros'!$H$43)^(1/12)-1)</f>
        <v>-2.2939682190032055E-11</v>
      </c>
      <c r="AE359" s="1312">
        <f t="shared" si="246"/>
        <v>-5.328125827901919E-9</v>
      </c>
      <c r="AF359" s="1312">
        <f>IF(AND(C359&gt;$F$66,'Instrumentos Financeiros'!C359&lt;'Instrumentos Financeiros'!$F$66+'Instrumentos Financeiros'!$F$11+1),PMT(((1+'Instrumentos Financeiros'!$I$43)^(1/12)-1),$F$11,-$I$66),0)</f>
        <v>76636.661022032335</v>
      </c>
      <c r="AG359" s="1312">
        <f t="shared" si="229"/>
        <v>75978.179515162439</v>
      </c>
      <c r="AH359" s="1312">
        <f>AI358*((1+'Instrumentos Financeiros'!$I$43)^(1/12)-1)</f>
        <v>658.48150686989686</v>
      </c>
      <c r="AI359" s="1312">
        <f t="shared" si="247"/>
        <v>76306.709983944529</v>
      </c>
      <c r="AJ359" s="1312">
        <f>IF(AND(C359&gt;$F$67,'Instrumentos Financeiros'!C359&lt;'Instrumentos Financeiros'!$F$67+'Instrumentos Financeiros'!$F$11+1),PMT(((1+'Instrumentos Financeiros'!$I$43)^(1/12)-1),$F$11,-$I$67),0)</f>
        <v>76636.661022032335</v>
      </c>
      <c r="AK359" s="1312">
        <f t="shared" si="230"/>
        <v>75001.050495010801</v>
      </c>
      <c r="AL359" s="1312">
        <f>AM358*((1+'Instrumentos Financeiros'!$I$43)^(1/12)-1)</f>
        <v>1635.6105270215307</v>
      </c>
      <c r="AM359" s="1312">
        <f t="shared" si="248"/>
        <v>303261.30884602841</v>
      </c>
      <c r="AN359" s="1312">
        <f>IF(AND(C359&gt;$F$68,'Instrumentos Financeiros'!C359&lt;'Instrumentos Financeiros'!$F$68+'Instrumentos Financeiros'!$F$11+1),PMT(((1+'Instrumentos Financeiros'!$I$43)^(1/12)-1),$F$11,-$I$68),0)</f>
        <v>76636.661022032335</v>
      </c>
      <c r="AO359" s="1312">
        <f t="shared" si="231"/>
        <v>74036.487992352952</v>
      </c>
      <c r="AP359" s="1312">
        <f>AQ358*((1+'Instrumentos Financeiros'!$I$43)^(1/12)-1)</f>
        <v>2600.1730296793889</v>
      </c>
      <c r="AQ359" s="1312">
        <f t="shared" si="249"/>
        <v>527297.1233121166</v>
      </c>
      <c r="AR359" s="1312">
        <f>IF(AND(C359&gt;$F$69,'Instrumentos Financeiros'!C359&lt;'Instrumentos Financeiros'!$F$69+'Instrumentos Financeiros'!$F$11+1),PMT(((1+'Instrumentos Financeiros'!$I$43)^(1/12)-1),$F$11,-$I$69),0)</f>
        <v>0</v>
      </c>
      <c r="AS359" s="1312">
        <f t="shared" si="232"/>
        <v>0</v>
      </c>
      <c r="AT359" s="1312">
        <f>AU358*((1+'Instrumentos Financeiros'!$I$43)^(1/12)-1)</f>
        <v>0</v>
      </c>
      <c r="AU359" s="1312">
        <f t="shared" si="250"/>
        <v>0</v>
      </c>
      <c r="AV359" s="1312">
        <f>IF(AND(C359&gt;$F$70,'Instrumentos Financeiros'!C359&lt;'Instrumentos Financeiros'!$F$70+'Instrumentos Financeiros'!$F$11+1),PMT(((1+'Instrumentos Financeiros'!$J$43)^(1/12)-1),$F$11,-$I$70),0)</f>
        <v>0</v>
      </c>
      <c r="AW359" s="1312">
        <f t="shared" si="233"/>
        <v>0</v>
      </c>
      <c r="AX359" s="1312">
        <f>AY358*((1+'Instrumentos Financeiros'!$J$43)^(1/12)-1)</f>
        <v>0</v>
      </c>
      <c r="AY359" s="1312">
        <f t="shared" si="251"/>
        <v>0</v>
      </c>
      <c r="AZ359" s="1312">
        <f>IF(AND(C359&gt;$F$71,'Instrumentos Financeiros'!C359&lt;'Instrumentos Financeiros'!$F$71+'Instrumentos Financeiros'!$F$11+1),PMT(((1+'Instrumentos Financeiros'!$J$43)^(1/12)-1),$F$11,-$I$71),0)</f>
        <v>0</v>
      </c>
      <c r="BA359" s="1312">
        <f t="shared" si="234"/>
        <v>0</v>
      </c>
      <c r="BB359" s="1312">
        <f>BC358*((1+'Instrumentos Financeiros'!$J$43)^(1/12)-1)</f>
        <v>0</v>
      </c>
      <c r="BC359" s="1312">
        <f t="shared" si="252"/>
        <v>0</v>
      </c>
      <c r="BD359" s="1312">
        <f>IF(AND(C359&gt;$F$72,'Instrumentos Financeiros'!C359&lt;'Instrumentos Financeiros'!$F$72+'Instrumentos Financeiros'!$F$11+1),PMT(((1+'Instrumentos Financeiros'!$J$43)^(1/12)-1),$F$11,-'Instrumentos Financeiros'!$G$7*$G$72),0)</f>
        <v>0</v>
      </c>
      <c r="BE359" s="1312">
        <f t="shared" si="235"/>
        <v>0</v>
      </c>
      <c r="BF359" s="1312">
        <f>BG358*((1+'Instrumentos Financeiros'!$J$43)^(1/12)-1)</f>
        <v>0</v>
      </c>
      <c r="BG359" s="1312">
        <f t="shared" si="253"/>
        <v>0</v>
      </c>
      <c r="BH359" s="1312">
        <f>IF(AND(C359&gt;$F$73,'Instrumentos Financeiros'!C359&lt;'Instrumentos Financeiros'!$F$73+'Instrumentos Financeiros'!$F$11+1),PMT(((1+'Instrumentos Financeiros'!$J$43)^(1/12)-1),$F$11,-$I$73),0)</f>
        <v>0</v>
      </c>
      <c r="BI359" s="1312">
        <f t="shared" si="236"/>
        <v>0</v>
      </c>
      <c r="BJ359" s="1312">
        <f>BK358*((1+'Instrumentos Financeiros'!$J$43)^(1/12)-1)</f>
        <v>0</v>
      </c>
      <c r="BK359" s="1312">
        <f t="shared" si="254"/>
        <v>0</v>
      </c>
      <c r="BL359" s="1312">
        <f>IF(AND(C359&gt;$F$77,'Instrumentos Financeiros'!C359&lt;'Instrumentos Financeiros'!$F$77+'Instrumentos Financeiros'!$F$12+1),PMT(((1+'Instrumentos Financeiros'!$K$43)^(1/12)-1),$F$12,-$I$77),0)</f>
        <v>368.57912678094596</v>
      </c>
      <c r="BM359" s="1312">
        <f t="shared" si="255"/>
        <v>351.4944194931208</v>
      </c>
      <c r="BN359" s="1312">
        <f>BO358*((1+'Instrumentos Financeiros'!$K$43)^(1/12)-1)</f>
        <v>17.084707287825132</v>
      </c>
      <c r="BO359" s="1312">
        <f t="shared" si="256"/>
        <v>3599.6306072649827</v>
      </c>
      <c r="BP359" s="1312">
        <f>IF(AND(C359&gt;$F$78,'Instrumentos Financeiros'!C359&lt;'Instrumentos Financeiros'!$F$78+'Instrumentos Financeiros'!$F$12+1),PMT(((1+'Instrumentos Financeiros'!$L$43)^(1/12)-1),$F$12,-$I$78),0)</f>
        <v>368.57912678094596</v>
      </c>
      <c r="BQ359" s="1312">
        <f t="shared" si="257"/>
        <v>346.97397165007214</v>
      </c>
      <c r="BR359" s="1312">
        <f>BS358*((1+'Instrumentos Financeiros'!$L$43)^(1/12)-1)</f>
        <v>21.605155130873801</v>
      </c>
      <c r="BS359" s="1312">
        <f t="shared" si="258"/>
        <v>4649.5804150568692</v>
      </c>
      <c r="BT359" s="1312">
        <f>IF(AND(C359&gt;$F$79,'Instrumentos Financeiros'!C359&lt;'Instrumentos Financeiros'!$F$79+'Instrumentos Financeiros'!$F$12+1),PMT(((1+'Instrumentos Financeiros'!$L$43)^(1/12)-1),$F$12,-$I$79),0)</f>
        <v>368.57912678094596</v>
      </c>
      <c r="BU359" s="1312">
        <f t="shared" si="259"/>
        <v>342.51165971919869</v>
      </c>
      <c r="BV359" s="1312">
        <f>BW358*((1+'Instrumentos Financeiros'!$L$43)^(1/12)-1)</f>
        <v>26.067467061747273</v>
      </c>
      <c r="BW359" s="1312">
        <f t="shared" si="260"/>
        <v>5686.027182456859</v>
      </c>
      <c r="BX359" s="1312">
        <f>IF(AND(C359&gt;$F$80,'Instrumentos Financeiros'!C359&lt;'Instrumentos Financeiros'!$F$80+'Instrumentos Financeiros'!$F$12+1),PMT(((1+'Instrumentos Financeiros'!$L$43)^(1/12)-1),$F$12,-$I$80),0)</f>
        <v>368.57912678094596</v>
      </c>
      <c r="BY359" s="1312">
        <f t="shared" si="261"/>
        <v>338.10673603469343</v>
      </c>
      <c r="BZ359" s="1312">
        <f>CA358*((1+'Instrumentos Financeiros'!$L$43)^(1/12)-1)</f>
        <v>30.472390746252518</v>
      </c>
      <c r="CA359" s="1312">
        <f t="shared" si="262"/>
        <v>6709.1445673850458</v>
      </c>
      <c r="CB359" s="1312">
        <f>IF(AND(C359&gt;$F$83,'Instrumentos Financeiros'!C359&lt;'Instrumentos Financeiros'!$F$83+'Instrumentos Financeiros'!$F$13+1),PMT(((1+'Instrumentos Financeiros'!$P$43)^(1/12)-1),$F$13,-$I$83),0)</f>
        <v>30503.390100238979</v>
      </c>
      <c r="CC359" s="1312">
        <f t="shared" si="263"/>
        <v>21321.557086888955</v>
      </c>
      <c r="CD359" s="1312">
        <f>CE358*((1+'Instrumentos Financeiros'!$P$43)^(1/12)-1)</f>
        <v>9181.8330133500222</v>
      </c>
      <c r="CE359" s="1312">
        <f t="shared" si="264"/>
        <v>2102131.2828932144</v>
      </c>
      <c r="CF359" s="1312">
        <f>IF(AND(C359&gt;$F$84,'Instrumentos Financeiros'!C359&lt;'Instrumentos Financeiros'!$F$84+'Instrumentos Financeiros'!$F$13+1),PMT(((1+'Instrumentos Financeiros'!$Q$43)^(1/12)-1),$F$13,-$I$84),0)</f>
        <v>30503.390100238979</v>
      </c>
      <c r="CG359" s="1312">
        <f t="shared" si="265"/>
        <v>21047.347934769678</v>
      </c>
      <c r="CH359" s="1312">
        <f>CI358*((1+'Instrumentos Financeiros'!$Q$43)^(1/12)-1)</f>
        <v>9456.0421654693</v>
      </c>
      <c r="CI359" s="1312">
        <f t="shared" si="266"/>
        <v>2165820.9562527114</v>
      </c>
      <c r="CJ359" s="1312">
        <f>IF(AND(C359&gt;$F$85,'Instrumentos Financeiros'!C359&lt;'Instrumentos Financeiros'!$F$85+'Instrumentos Financeiros'!$F$13+1),PMT(((1+'Instrumentos Financeiros'!$Q$43)^(1/12)-1),$F$13,-$I$85),0)</f>
        <v>30503.390100238979</v>
      </c>
      <c r="CK359" s="1312">
        <f t="shared" si="267"/>
        <v>20776.665291469602</v>
      </c>
      <c r="CL359" s="1312">
        <f>CM358*((1+'Instrumentos Financeiros'!$Q$43)^(1/12)-1)</f>
        <v>9726.724808769377</v>
      </c>
      <c r="CM359" s="1312">
        <f t="shared" si="268"/>
        <v>2228691.5388084971</v>
      </c>
      <c r="CN359" s="1312">
        <f>IF(AND(C359&gt;$F$86,'Instrumentos Financeiros'!C359&lt;'Instrumentos Financeiros'!$F$86+'Instrumentos Financeiros'!$F$13+1),PMT(((1+'Instrumentos Financeiros'!$Q$43)^(1/12)-1),$F$13,-$I$86),0)</f>
        <v>30503.390100238979</v>
      </c>
      <c r="CO359" s="1312">
        <f t="shared" si="269"/>
        <v>20509.463803781669</v>
      </c>
      <c r="CP359" s="1312">
        <f>CQ358*((1+'Instrumentos Financeiros'!$Q$43)^(1/12)-1)</f>
        <v>9993.9262964573081</v>
      </c>
      <c r="CQ359" s="1312">
        <f t="shared" si="270"/>
        <v>2290753.5646033669</v>
      </c>
      <c r="CR359" s="1312">
        <f t="shared" si="239"/>
        <v>353397.85997417668</v>
      </c>
      <c r="CS359" s="1312">
        <f t="shared" si="239"/>
        <v>310049.8389063332</v>
      </c>
      <c r="CT359" s="1312">
        <f t="shared" si="239"/>
        <v>43348.021067843503</v>
      </c>
      <c r="CU359" s="1312">
        <f t="shared" si="239"/>
        <v>9714906.8674720414</v>
      </c>
    </row>
    <row r="360" spans="3:99" x14ac:dyDescent="0.35">
      <c r="C360" s="1315">
        <f t="shared" si="240"/>
        <v>267</v>
      </c>
      <c r="D360" s="1312">
        <f>IF(AND(C360&gt;$F$59,'Instrumentos Financeiros'!C360&lt;'Instrumentos Financeiros'!$F$59+'Instrumentos Financeiros'!$F$11+1),PMT(((1+'Instrumentos Financeiros'!$G$43)^(1/12)-1),$F$11,-$I$59),0)</f>
        <v>0</v>
      </c>
      <c r="E360" s="1312">
        <f t="shared" si="237"/>
        <v>-9.4726432260790367E-12</v>
      </c>
      <c r="F360" s="1312">
        <f>G359*((1+'Instrumentos Financeiros'!$G$43)^(1/12)-1)</f>
        <v>9.4726432260790367E-12</v>
      </c>
      <c r="G360" s="1312">
        <f t="shared" si="271"/>
        <v>2.3301747591394978E-9</v>
      </c>
      <c r="H360" s="1312">
        <f>IF(AND(C360&gt;$F$60,'Instrumentos Financeiros'!C360&lt;'Instrumentos Financeiros'!$F$60+'Instrumentos Financeiros'!$F$11+1),PMT(((1+'Instrumentos Financeiros'!$G$43)^(1/12)-1),$F$11,-$I$60),0)</f>
        <v>0</v>
      </c>
      <c r="I360" s="1312">
        <f t="shared" si="223"/>
        <v>0</v>
      </c>
      <c r="J360" s="1312">
        <f>K359*((1+'Instrumentos Financeiros'!$G$43)^(1/12)-1)</f>
        <v>0</v>
      </c>
      <c r="K360" s="1312">
        <f t="shared" si="241"/>
        <v>0</v>
      </c>
      <c r="L360" s="1312">
        <f>IF(AND(C360&gt;$F$61,'Instrumentos Financeiros'!C360&lt;'Instrumentos Financeiros'!$F$61+'Instrumentos Financeiros'!$F$11+1),PMT(((1+'Instrumentos Financeiros'!$G$43)^(1/12)-1),$F$11,-$I$61),0)</f>
        <v>0</v>
      </c>
      <c r="M360" s="1312">
        <f t="shared" si="224"/>
        <v>0</v>
      </c>
      <c r="N360" s="1312">
        <f>O359*((1+'Instrumentos Financeiros'!$G$43)^(1/12)-1)</f>
        <v>0</v>
      </c>
      <c r="O360" s="1312">
        <f t="shared" si="242"/>
        <v>0</v>
      </c>
      <c r="P360" s="1312">
        <f>IF(AND(C360&gt;$F$62,'Instrumentos Financeiros'!C360&lt;'Instrumentos Financeiros'!$F$62+'Instrumentos Financeiros'!$F$11+1),PMT(((1+'Instrumentos Financeiros'!$H$43)^(1/12)-1),$F$11,-$I$62),0)</f>
        <v>0</v>
      </c>
      <c r="Q360" s="1312">
        <f t="shared" si="225"/>
        <v>0</v>
      </c>
      <c r="R360" s="1312">
        <f>S359*((1+'Instrumentos Financeiros'!$H$43)^(1/12)-1)</f>
        <v>0</v>
      </c>
      <c r="S360" s="1312">
        <f t="shared" si="243"/>
        <v>0</v>
      </c>
      <c r="T360" s="1312">
        <f>IF(AND(C360&gt;$F$63,'Instrumentos Financeiros'!C360&lt;'Instrumentos Financeiros'!$F$63+'Instrumentos Financeiros'!$F$11+1),PMT(((1+'Instrumentos Financeiros'!$H$43)^(1/12)-1),$F$11,-$I$63),0)</f>
        <v>0</v>
      </c>
      <c r="U360" s="1312">
        <f t="shared" si="226"/>
        <v>0</v>
      </c>
      <c r="V360" s="1312">
        <f>W359*((1+'Instrumentos Financeiros'!$H$43)^(1/12)-1)</f>
        <v>0</v>
      </c>
      <c r="W360" s="1312">
        <f t="shared" si="244"/>
        <v>0</v>
      </c>
      <c r="X360" s="1312">
        <f>IF(AND(C360&gt;$F$64,'Instrumentos Financeiros'!C360&lt;'Instrumentos Financeiros'!$F$64+'Instrumentos Financeiros'!$F$11+1),PMT(((1+'Instrumentos Financeiros'!$H$43)^(1/12)-1),$F$11,-$I$64),0)</f>
        <v>0</v>
      </c>
      <c r="Y360" s="1312">
        <f t="shared" si="227"/>
        <v>0</v>
      </c>
      <c r="Z360" s="1312">
        <f>AA359*((1+'Instrumentos Financeiros'!$H$43)^(1/12)-1)</f>
        <v>0</v>
      </c>
      <c r="AA360" s="1312">
        <f t="shared" si="245"/>
        <v>0</v>
      </c>
      <c r="AB360" s="1312">
        <f>IF(AND(C360&gt;$F$65,'Instrumentos Financeiros'!C360&lt;'Instrumentos Financeiros'!$F$65+'Instrumentos Financeiros'!$F$11+1),PMT(((1+'Instrumentos Financeiros'!$H$43)^(1/12)-1),$F$11,-$I$65),0)</f>
        <v>0</v>
      </c>
      <c r="AC360" s="1312">
        <f t="shared" si="228"/>
        <v>2.3038873623570164E-11</v>
      </c>
      <c r="AD360" s="1312">
        <f>AE359*((1+'Instrumentos Financeiros'!$H$43)^(1/12)-1)</f>
        <v>-2.3038873623570164E-11</v>
      </c>
      <c r="AE360" s="1312">
        <f t="shared" si="246"/>
        <v>-5.3511647015254888E-9</v>
      </c>
      <c r="AF360" s="1312">
        <f>IF(AND(C360&gt;$F$66,'Instrumentos Financeiros'!C360&lt;'Instrumentos Financeiros'!$F$66+'Instrumentos Financeiros'!$F$11+1),PMT(((1+'Instrumentos Financeiros'!$I$43)^(1/12)-1),$F$11,-$I$66),0)</f>
        <v>76636.661022032335</v>
      </c>
      <c r="AG360" s="1312">
        <f t="shared" si="229"/>
        <v>76306.709983949811</v>
      </c>
      <c r="AH360" s="1312">
        <f>AI359*((1+'Instrumentos Financeiros'!$I$43)^(1/12)-1)</f>
        <v>329.95103808251872</v>
      </c>
      <c r="AI360" s="1312">
        <f t="shared" si="247"/>
        <v>-5.2823452278971672E-9</v>
      </c>
      <c r="AJ360" s="1312">
        <f>IF(AND(C360&gt;$F$67,'Instrumentos Financeiros'!C360&lt;'Instrumentos Financeiros'!$F$67+'Instrumentos Financeiros'!$F$11+1),PMT(((1+'Instrumentos Financeiros'!$I$43)^(1/12)-1),$F$11,-$I$67),0)</f>
        <v>76636.661022032335</v>
      </c>
      <c r="AK360" s="1312">
        <f t="shared" si="230"/>
        <v>75325.355847362065</v>
      </c>
      <c r="AL360" s="1312">
        <f>AM359*((1+'Instrumentos Financeiros'!$I$43)^(1/12)-1)</f>
        <v>1311.3051746702749</v>
      </c>
      <c r="AM360" s="1312">
        <f t="shared" si="248"/>
        <v>227935.95299866633</v>
      </c>
      <c r="AN360" s="1312">
        <f>IF(AND(C360&gt;$F$68,'Instrumentos Financeiros'!C360&lt;'Instrumentos Financeiros'!$F$68+'Instrumentos Financeiros'!$F$11+1),PMT(((1+'Instrumentos Financeiros'!$I$43)^(1/12)-1),$F$11,-$I$68),0)</f>
        <v>76636.661022032335</v>
      </c>
      <c r="AO360" s="1312">
        <f t="shared" si="231"/>
        <v>74356.622566025442</v>
      </c>
      <c r="AP360" s="1312">
        <f>AQ359*((1+'Instrumentos Financeiros'!$I$43)^(1/12)-1)</f>
        <v>2280.0384560068942</v>
      </c>
      <c r="AQ360" s="1312">
        <f t="shared" si="249"/>
        <v>452940.50074609113</v>
      </c>
      <c r="AR360" s="1312">
        <f>IF(AND(C360&gt;$F$69,'Instrumentos Financeiros'!C360&lt;'Instrumentos Financeiros'!$F$69+'Instrumentos Financeiros'!$F$11+1),PMT(((1+'Instrumentos Financeiros'!$I$43)^(1/12)-1),$F$11,-$I$69),0)</f>
        <v>0</v>
      </c>
      <c r="AS360" s="1312">
        <f t="shared" si="232"/>
        <v>0</v>
      </c>
      <c r="AT360" s="1312">
        <f>AU359*((1+'Instrumentos Financeiros'!$I$43)^(1/12)-1)</f>
        <v>0</v>
      </c>
      <c r="AU360" s="1312">
        <f t="shared" si="250"/>
        <v>0</v>
      </c>
      <c r="AV360" s="1312">
        <f>IF(AND(C360&gt;$F$70,'Instrumentos Financeiros'!C360&lt;'Instrumentos Financeiros'!$F$70+'Instrumentos Financeiros'!$F$11+1),PMT(((1+'Instrumentos Financeiros'!$J$43)^(1/12)-1),$F$11,-$I$70),0)</f>
        <v>0</v>
      </c>
      <c r="AW360" s="1312">
        <f t="shared" si="233"/>
        <v>0</v>
      </c>
      <c r="AX360" s="1312">
        <f>AY359*((1+'Instrumentos Financeiros'!$J$43)^(1/12)-1)</f>
        <v>0</v>
      </c>
      <c r="AY360" s="1312">
        <f t="shared" si="251"/>
        <v>0</v>
      </c>
      <c r="AZ360" s="1312">
        <f>IF(AND(C360&gt;$F$71,'Instrumentos Financeiros'!C360&lt;'Instrumentos Financeiros'!$F$71+'Instrumentos Financeiros'!$F$11+1),PMT(((1+'Instrumentos Financeiros'!$J$43)^(1/12)-1),$F$11,-$I$71),0)</f>
        <v>0</v>
      </c>
      <c r="BA360" s="1312">
        <f t="shared" si="234"/>
        <v>0</v>
      </c>
      <c r="BB360" s="1312">
        <f>BC359*((1+'Instrumentos Financeiros'!$J$43)^(1/12)-1)</f>
        <v>0</v>
      </c>
      <c r="BC360" s="1312">
        <f t="shared" si="252"/>
        <v>0</v>
      </c>
      <c r="BD360" s="1312">
        <f>IF(AND(C360&gt;$F$72,'Instrumentos Financeiros'!C360&lt;'Instrumentos Financeiros'!$F$72+'Instrumentos Financeiros'!$F$11+1),PMT(((1+'Instrumentos Financeiros'!$J$43)^(1/12)-1),$F$11,-'Instrumentos Financeiros'!$G$7*$G$72),0)</f>
        <v>0</v>
      </c>
      <c r="BE360" s="1312">
        <f t="shared" si="235"/>
        <v>0</v>
      </c>
      <c r="BF360" s="1312">
        <f>BG359*((1+'Instrumentos Financeiros'!$J$43)^(1/12)-1)</f>
        <v>0</v>
      </c>
      <c r="BG360" s="1312">
        <f t="shared" si="253"/>
        <v>0</v>
      </c>
      <c r="BH360" s="1312">
        <f>IF(AND(C360&gt;$F$73,'Instrumentos Financeiros'!C360&lt;'Instrumentos Financeiros'!$F$73+'Instrumentos Financeiros'!$F$11+1),PMT(((1+'Instrumentos Financeiros'!$J$43)^(1/12)-1),$F$11,-$I$73),0)</f>
        <v>0</v>
      </c>
      <c r="BI360" s="1312">
        <f t="shared" si="236"/>
        <v>0</v>
      </c>
      <c r="BJ360" s="1312">
        <f>BK359*((1+'Instrumentos Financeiros'!$J$43)^(1/12)-1)</f>
        <v>0</v>
      </c>
      <c r="BK360" s="1312">
        <f t="shared" si="254"/>
        <v>0</v>
      </c>
      <c r="BL360" s="1312">
        <f>IF(AND(C360&gt;$F$77,'Instrumentos Financeiros'!C360&lt;'Instrumentos Financeiros'!$F$77+'Instrumentos Financeiros'!$F$12+1),PMT(((1+'Instrumentos Financeiros'!$K$43)^(1/12)-1),$F$12,-$I$77),0)</f>
        <v>368.57912678094596</v>
      </c>
      <c r="BM360" s="1312">
        <f t="shared" si="255"/>
        <v>353.01428515914637</v>
      </c>
      <c r="BN360" s="1312">
        <f>BO359*((1+'Instrumentos Financeiros'!$K$43)^(1/12)-1)</f>
        <v>15.564841621799566</v>
      </c>
      <c r="BO360" s="1312">
        <f t="shared" si="256"/>
        <v>3246.6163221058364</v>
      </c>
      <c r="BP360" s="1312">
        <f>IF(AND(C360&gt;$F$78,'Instrumentos Financeiros'!C360&lt;'Instrumentos Financeiros'!$F$78+'Instrumentos Financeiros'!$F$12+1),PMT(((1+'Instrumentos Financeiros'!$L$43)^(1/12)-1),$F$12,-$I$78),0)</f>
        <v>368.57912678094596</v>
      </c>
      <c r="BQ360" s="1312">
        <f t="shared" si="257"/>
        <v>348.47429085080358</v>
      </c>
      <c r="BR360" s="1312">
        <f>BS359*((1+'Instrumentos Financeiros'!$L$43)^(1/12)-1)</f>
        <v>20.104835930142379</v>
      </c>
      <c r="BS360" s="1312">
        <f t="shared" si="258"/>
        <v>4301.1061242060659</v>
      </c>
      <c r="BT360" s="1312">
        <f>IF(AND(C360&gt;$F$79,'Instrumentos Financeiros'!C360&lt;'Instrumentos Financeiros'!$F$79+'Instrumentos Financeiros'!$F$12+1),PMT(((1+'Instrumentos Financeiros'!$L$43)^(1/12)-1),$F$12,-$I$79),0)</f>
        <v>368.57912678094596</v>
      </c>
      <c r="BU360" s="1312">
        <f t="shared" si="259"/>
        <v>343.99268383494808</v>
      </c>
      <c r="BV360" s="1312">
        <f>BW359*((1+'Instrumentos Financeiros'!$L$43)^(1/12)-1)</f>
        <v>24.586442945997888</v>
      </c>
      <c r="BW360" s="1312">
        <f t="shared" si="260"/>
        <v>5342.0344986219106</v>
      </c>
      <c r="BX360" s="1312">
        <f>IF(AND(C360&gt;$F$80,'Instrumentos Financeiros'!C360&lt;'Instrumentos Financeiros'!$F$80+'Instrumentos Financeiros'!$F$12+1),PMT(((1+'Instrumentos Financeiros'!$L$43)^(1/12)-1),$F$12,-$I$80),0)</f>
        <v>368.57912678094596</v>
      </c>
      <c r="BY360" s="1312">
        <f t="shared" si="261"/>
        <v>339.56871321285786</v>
      </c>
      <c r="BZ360" s="1312">
        <f>CA359*((1+'Instrumentos Financeiros'!$L$43)^(1/12)-1)</f>
        <v>29.010413568088083</v>
      </c>
      <c r="CA360" s="1312">
        <f t="shared" si="262"/>
        <v>6369.575854172188</v>
      </c>
      <c r="CB360" s="1312">
        <f>IF(AND(C360&gt;$F$83,'Instrumentos Financeiros'!C360&lt;'Instrumentos Financeiros'!$F$83+'Instrumentos Financeiros'!$F$13+1),PMT(((1+'Instrumentos Financeiros'!$P$43)^(1/12)-1),$F$13,-$I$83),0)</f>
        <v>30503.390100238979</v>
      </c>
      <c r="CC360" s="1312">
        <f t="shared" si="263"/>
        <v>21413.751730005337</v>
      </c>
      <c r="CD360" s="1312">
        <f>CE359*((1+'Instrumentos Financeiros'!$P$43)^(1/12)-1)</f>
        <v>9089.6383702336443</v>
      </c>
      <c r="CE360" s="1312">
        <f t="shared" si="264"/>
        <v>2080717.5311632091</v>
      </c>
      <c r="CF360" s="1312">
        <f>IF(AND(C360&gt;$F$84,'Instrumentos Financeiros'!C360&lt;'Instrumentos Financeiros'!$F$84+'Instrumentos Financeiros'!$F$13+1),PMT(((1+'Instrumentos Financeiros'!$Q$43)^(1/12)-1),$F$13,-$I$84),0)</f>
        <v>30503.390100238979</v>
      </c>
      <c r="CG360" s="1312">
        <f t="shared" si="265"/>
        <v>21138.356894550838</v>
      </c>
      <c r="CH360" s="1312">
        <f>CI359*((1+'Instrumentos Financeiros'!$Q$43)^(1/12)-1)</f>
        <v>9365.0332056881434</v>
      </c>
      <c r="CI360" s="1312">
        <f t="shared" si="266"/>
        <v>2144682.5993581605</v>
      </c>
      <c r="CJ360" s="1312">
        <f>IF(AND(C360&gt;$F$85,'Instrumentos Financeiros'!C360&lt;'Instrumentos Financeiros'!$F$85+'Instrumentos Financeiros'!$F$13+1),PMT(((1+'Instrumentos Financeiros'!$Q$43)^(1/12)-1),$F$13,-$I$85),0)</f>
        <v>30503.390100238979</v>
      </c>
      <c r="CK360" s="1312">
        <f t="shared" si="267"/>
        <v>20866.503816577759</v>
      </c>
      <c r="CL360" s="1312">
        <f>CM359*((1+'Instrumentos Financeiros'!$Q$43)^(1/12)-1)</f>
        <v>9636.8862836612188</v>
      </c>
      <c r="CM360" s="1312">
        <f t="shared" si="268"/>
        <v>2207825.0349919195</v>
      </c>
      <c r="CN360" s="1312">
        <f>IF(AND(C360&gt;$F$86,'Instrumentos Financeiros'!C360&lt;'Instrumentos Financeiros'!$F$86+'Instrumentos Financeiros'!$F$13+1),PMT(((1+'Instrumentos Financeiros'!$Q$43)^(1/12)-1),$F$13,-$I$86),0)</f>
        <v>30503.390100238979</v>
      </c>
      <c r="CO360" s="1312">
        <f t="shared" si="269"/>
        <v>20598.146946771292</v>
      </c>
      <c r="CP360" s="1312">
        <f>CQ359*((1+'Instrumentos Financeiros'!$Q$43)^(1/12)-1)</f>
        <v>9905.2431534676871</v>
      </c>
      <c r="CQ360" s="1312">
        <f t="shared" si="270"/>
        <v>2270155.4176565958</v>
      </c>
      <c r="CR360" s="1312">
        <f t="shared" si="239"/>
        <v>353397.85997417668</v>
      </c>
      <c r="CS360" s="1312">
        <f t="shared" si="239"/>
        <v>311390.49775830033</v>
      </c>
      <c r="CT360" s="1312">
        <f t="shared" si="239"/>
        <v>42007.362215876397</v>
      </c>
      <c r="CU360" s="1312">
        <f t="shared" si="239"/>
        <v>9403516.3697137423</v>
      </c>
    </row>
    <row r="361" spans="3:99" x14ac:dyDescent="0.35">
      <c r="C361" s="1315">
        <f t="shared" si="240"/>
        <v>268</v>
      </c>
      <c r="D361" s="1312">
        <f>IF(AND(C361&gt;$F$59,'Instrumentos Financeiros'!C361&lt;'Instrumentos Financeiros'!$F$59+'Instrumentos Financeiros'!$F$11+1),PMT(((1+'Instrumentos Financeiros'!$G$43)^(1/12)-1),$F$11,-$I$59),0)</f>
        <v>0</v>
      </c>
      <c r="E361" s="1312">
        <f t="shared" si="237"/>
        <v>-9.5113086666253616E-12</v>
      </c>
      <c r="F361" s="1312">
        <f>G360*((1+'Instrumentos Financeiros'!$G$43)^(1/12)-1)</f>
        <v>9.5113086666253616E-12</v>
      </c>
      <c r="G361" s="1312">
        <f t="shared" si="271"/>
        <v>2.3396860678061233E-9</v>
      </c>
      <c r="H361" s="1312">
        <f>IF(AND(C361&gt;$F$60,'Instrumentos Financeiros'!C361&lt;'Instrumentos Financeiros'!$F$60+'Instrumentos Financeiros'!$F$11+1),PMT(((1+'Instrumentos Financeiros'!$G$43)^(1/12)-1),$F$11,-$I$60),0)</f>
        <v>0</v>
      </c>
      <c r="I361" s="1312">
        <f t="shared" si="223"/>
        <v>0</v>
      </c>
      <c r="J361" s="1312">
        <f>K360*((1+'Instrumentos Financeiros'!$G$43)^(1/12)-1)</f>
        <v>0</v>
      </c>
      <c r="K361" s="1312">
        <f t="shared" si="241"/>
        <v>0</v>
      </c>
      <c r="L361" s="1312">
        <f>IF(AND(C361&gt;$F$61,'Instrumentos Financeiros'!C361&lt;'Instrumentos Financeiros'!$F$61+'Instrumentos Financeiros'!$F$11+1),PMT(((1+'Instrumentos Financeiros'!$G$43)^(1/12)-1),$F$11,-$I$61),0)</f>
        <v>0</v>
      </c>
      <c r="M361" s="1312">
        <f t="shared" si="224"/>
        <v>0</v>
      </c>
      <c r="N361" s="1312">
        <f>O360*((1+'Instrumentos Financeiros'!$G$43)^(1/12)-1)</f>
        <v>0</v>
      </c>
      <c r="O361" s="1312">
        <f t="shared" si="242"/>
        <v>0</v>
      </c>
      <c r="P361" s="1312">
        <f>IF(AND(C361&gt;$F$62,'Instrumentos Financeiros'!C361&lt;'Instrumentos Financeiros'!$F$62+'Instrumentos Financeiros'!$F$11+1),PMT(((1+'Instrumentos Financeiros'!$H$43)^(1/12)-1),$F$11,-$I$62),0)</f>
        <v>0</v>
      </c>
      <c r="Q361" s="1312">
        <f t="shared" si="225"/>
        <v>0</v>
      </c>
      <c r="R361" s="1312">
        <f>S360*((1+'Instrumentos Financeiros'!$H$43)^(1/12)-1)</f>
        <v>0</v>
      </c>
      <c r="S361" s="1312">
        <f t="shared" si="243"/>
        <v>0</v>
      </c>
      <c r="T361" s="1312">
        <f>IF(AND(C361&gt;$F$63,'Instrumentos Financeiros'!C361&lt;'Instrumentos Financeiros'!$F$63+'Instrumentos Financeiros'!$F$11+1),PMT(((1+'Instrumentos Financeiros'!$H$43)^(1/12)-1),$F$11,-$I$63),0)</f>
        <v>0</v>
      </c>
      <c r="U361" s="1312">
        <f t="shared" si="226"/>
        <v>0</v>
      </c>
      <c r="V361" s="1312">
        <f>W360*((1+'Instrumentos Financeiros'!$H$43)^(1/12)-1)</f>
        <v>0</v>
      </c>
      <c r="W361" s="1312">
        <f t="shared" si="244"/>
        <v>0</v>
      </c>
      <c r="X361" s="1312">
        <f>IF(AND(C361&gt;$F$64,'Instrumentos Financeiros'!C361&lt;'Instrumentos Financeiros'!$F$64+'Instrumentos Financeiros'!$F$11+1),PMT(((1+'Instrumentos Financeiros'!$H$43)^(1/12)-1),$F$11,-$I$64),0)</f>
        <v>0</v>
      </c>
      <c r="Y361" s="1312">
        <f t="shared" si="227"/>
        <v>0</v>
      </c>
      <c r="Z361" s="1312">
        <f>AA360*((1+'Instrumentos Financeiros'!$H$43)^(1/12)-1)</f>
        <v>0</v>
      </c>
      <c r="AA361" s="1312">
        <f t="shared" si="245"/>
        <v>0</v>
      </c>
      <c r="AB361" s="1312">
        <f>IF(AND(C361&gt;$F$65,'Instrumentos Financeiros'!C361&lt;'Instrumentos Financeiros'!$F$65+'Instrumentos Financeiros'!$F$11+1),PMT(((1+'Instrumentos Financeiros'!$H$43)^(1/12)-1),$F$11,-$I$65),0)</f>
        <v>0</v>
      </c>
      <c r="AC361" s="1312">
        <f t="shared" si="228"/>
        <v>2.3138493961938157E-11</v>
      </c>
      <c r="AD361" s="1312">
        <f>AE360*((1+'Instrumentos Financeiros'!$H$43)^(1/12)-1)</f>
        <v>-2.3138493961938157E-11</v>
      </c>
      <c r="AE361" s="1312">
        <f t="shared" si="246"/>
        <v>-5.3743031954874267E-9</v>
      </c>
      <c r="AF361" s="1312">
        <f>IF(AND(C361&gt;$F$66,'Instrumentos Financeiros'!C361&lt;'Instrumentos Financeiros'!$F$66+'Instrumentos Financeiros'!$F$11+1),PMT(((1+'Instrumentos Financeiros'!$I$43)^(1/12)-1),$F$11,-$I$66),0)</f>
        <v>0</v>
      </c>
      <c r="AG361" s="1312">
        <f t="shared" si="229"/>
        <v>2.2840917814719452E-11</v>
      </c>
      <c r="AH361" s="1312">
        <f>AI360*((1+'Instrumentos Financeiros'!$I$43)^(1/12)-1)</f>
        <v>-2.2840917814719452E-11</v>
      </c>
      <c r="AI361" s="1312">
        <f t="shared" si="247"/>
        <v>-5.3051861457118866E-9</v>
      </c>
      <c r="AJ361" s="1312">
        <f>IF(AND(C361&gt;$F$67,'Instrumentos Financeiros'!C361&lt;'Instrumentos Financeiros'!$F$67+'Instrumentos Financeiros'!$F$11+1),PMT(((1+'Instrumentos Financeiros'!$I$43)^(1/12)-1),$F$11,-$I$67),0)</f>
        <v>76636.661022032335</v>
      </c>
      <c r="AK361" s="1312">
        <f t="shared" si="230"/>
        <v>75651.063499559372</v>
      </c>
      <c r="AL361" s="1312">
        <f>AM360*((1+'Instrumentos Financeiros'!$I$43)^(1/12)-1)</f>
        <v>985.5975224729566</v>
      </c>
      <c r="AM361" s="1312">
        <f t="shared" si="248"/>
        <v>152284.88949910697</v>
      </c>
      <c r="AN361" s="1312">
        <f>IF(AND(C361&gt;$F$68,'Instrumentos Financeiros'!C361&lt;'Instrumentos Financeiros'!$F$68+'Instrumentos Financeiros'!$F$11+1),PMT(((1+'Instrumentos Financeiros'!$I$43)^(1/12)-1),$F$11,-$I$68),0)</f>
        <v>76636.661022032335</v>
      </c>
      <c r="AO361" s="1312">
        <f t="shared" si="231"/>
        <v>74678.141405051952</v>
      </c>
      <c r="AP361" s="1312">
        <f>AQ360*((1+'Instrumentos Financeiros'!$I$43)^(1/12)-1)</f>
        <v>1958.5196169803883</v>
      </c>
      <c r="AQ361" s="1312">
        <f t="shared" si="249"/>
        <v>378262.35934103921</v>
      </c>
      <c r="AR361" s="1312">
        <f>IF(AND(C361&gt;$F$69,'Instrumentos Financeiros'!C361&lt;'Instrumentos Financeiros'!$F$69+'Instrumentos Financeiros'!$F$11+1),PMT(((1+'Instrumentos Financeiros'!$I$43)^(1/12)-1),$F$11,-$I$69),0)</f>
        <v>0</v>
      </c>
      <c r="AS361" s="1312">
        <f t="shared" si="232"/>
        <v>0</v>
      </c>
      <c r="AT361" s="1312">
        <f>AU360*((1+'Instrumentos Financeiros'!$I$43)^(1/12)-1)</f>
        <v>0</v>
      </c>
      <c r="AU361" s="1312">
        <f t="shared" si="250"/>
        <v>0</v>
      </c>
      <c r="AV361" s="1312">
        <f>IF(AND(C361&gt;$F$70,'Instrumentos Financeiros'!C361&lt;'Instrumentos Financeiros'!$F$70+'Instrumentos Financeiros'!$F$11+1),PMT(((1+'Instrumentos Financeiros'!$J$43)^(1/12)-1),$F$11,-$I$70),0)</f>
        <v>0</v>
      </c>
      <c r="AW361" s="1312">
        <f t="shared" si="233"/>
        <v>0</v>
      </c>
      <c r="AX361" s="1312">
        <f>AY360*((1+'Instrumentos Financeiros'!$J$43)^(1/12)-1)</f>
        <v>0</v>
      </c>
      <c r="AY361" s="1312">
        <f t="shared" si="251"/>
        <v>0</v>
      </c>
      <c r="AZ361" s="1312">
        <f>IF(AND(C361&gt;$F$71,'Instrumentos Financeiros'!C361&lt;'Instrumentos Financeiros'!$F$71+'Instrumentos Financeiros'!$F$11+1),PMT(((1+'Instrumentos Financeiros'!$J$43)^(1/12)-1),$F$11,-$I$71),0)</f>
        <v>0</v>
      </c>
      <c r="BA361" s="1312">
        <f t="shared" si="234"/>
        <v>0</v>
      </c>
      <c r="BB361" s="1312">
        <f>BC360*((1+'Instrumentos Financeiros'!$J$43)^(1/12)-1)</f>
        <v>0</v>
      </c>
      <c r="BC361" s="1312">
        <f t="shared" si="252"/>
        <v>0</v>
      </c>
      <c r="BD361" s="1312">
        <f>IF(AND(C361&gt;$F$72,'Instrumentos Financeiros'!C361&lt;'Instrumentos Financeiros'!$F$72+'Instrumentos Financeiros'!$F$11+1),PMT(((1+'Instrumentos Financeiros'!$J$43)^(1/12)-1),$F$11,-'Instrumentos Financeiros'!$G$7*$G$72),0)</f>
        <v>0</v>
      </c>
      <c r="BE361" s="1312">
        <f t="shared" si="235"/>
        <v>0</v>
      </c>
      <c r="BF361" s="1312">
        <f>BG360*((1+'Instrumentos Financeiros'!$J$43)^(1/12)-1)</f>
        <v>0</v>
      </c>
      <c r="BG361" s="1312">
        <f t="shared" si="253"/>
        <v>0</v>
      </c>
      <c r="BH361" s="1312">
        <f>IF(AND(C361&gt;$F$73,'Instrumentos Financeiros'!C361&lt;'Instrumentos Financeiros'!$F$73+'Instrumentos Financeiros'!$F$11+1),PMT(((1+'Instrumentos Financeiros'!$J$43)^(1/12)-1),$F$11,-$I$73),0)</f>
        <v>0</v>
      </c>
      <c r="BI361" s="1312">
        <f t="shared" si="236"/>
        <v>0</v>
      </c>
      <c r="BJ361" s="1312">
        <f>BK360*((1+'Instrumentos Financeiros'!$J$43)^(1/12)-1)</f>
        <v>0</v>
      </c>
      <c r="BK361" s="1312">
        <f t="shared" si="254"/>
        <v>0</v>
      </c>
      <c r="BL361" s="1312">
        <f>IF(AND(C361&gt;$F$77,'Instrumentos Financeiros'!C361&lt;'Instrumentos Financeiros'!$F$77+'Instrumentos Financeiros'!$F$12+1),PMT(((1+'Instrumentos Financeiros'!$K$43)^(1/12)-1),$F$12,-$I$77),0)</f>
        <v>368.57912678094596</v>
      </c>
      <c r="BM361" s="1312">
        <f t="shared" si="255"/>
        <v>354.54072274072638</v>
      </c>
      <c r="BN361" s="1312">
        <f>BO360*((1+'Instrumentos Financeiros'!$K$43)^(1/12)-1)</f>
        <v>14.038404040219568</v>
      </c>
      <c r="BO361" s="1312">
        <f t="shared" si="256"/>
        <v>2892.0755993651101</v>
      </c>
      <c r="BP361" s="1312">
        <f>IF(AND(C361&gt;$F$78,'Instrumentos Financeiros'!C361&lt;'Instrumentos Financeiros'!$F$78+'Instrumentos Financeiros'!$F$12+1),PMT(((1+'Instrumentos Financeiros'!$L$43)^(1/12)-1),$F$12,-$I$78),0)</f>
        <v>368.57912678094596</v>
      </c>
      <c r="BQ361" s="1312">
        <f t="shared" si="257"/>
        <v>349.98109744796238</v>
      </c>
      <c r="BR361" s="1312">
        <f>BS360*((1+'Instrumentos Financeiros'!$L$43)^(1/12)-1)</f>
        <v>18.598029332983565</v>
      </c>
      <c r="BS361" s="1312">
        <f t="shared" si="258"/>
        <v>3951.1250267581036</v>
      </c>
      <c r="BT361" s="1312">
        <f>IF(AND(C361&gt;$F$79,'Instrumentos Financeiros'!C361&lt;'Instrumentos Financeiros'!$F$79+'Instrumentos Financeiros'!$F$12+1),PMT(((1+'Instrumentos Financeiros'!$L$43)^(1/12)-1),$F$12,-$I$79),0)</f>
        <v>368.57912678094596</v>
      </c>
      <c r="BU361" s="1312">
        <f t="shared" si="259"/>
        <v>345.48011191496903</v>
      </c>
      <c r="BV361" s="1312">
        <f>BW360*((1+'Instrumentos Financeiros'!$L$43)^(1/12)-1)</f>
        <v>23.099014865976955</v>
      </c>
      <c r="BW361" s="1312">
        <f t="shared" si="260"/>
        <v>4996.5543867069418</v>
      </c>
      <c r="BX361" s="1312">
        <f>IF(AND(C361&gt;$F$80,'Instrumentos Financeiros'!C361&lt;'Instrumentos Financeiros'!$F$80+'Instrumentos Financeiros'!$F$12+1),PMT(((1+'Instrumentos Financeiros'!$L$43)^(1/12)-1),$F$12,-$I$80),0)</f>
        <v>368.57912678094596</v>
      </c>
      <c r="BY361" s="1312">
        <f t="shared" si="261"/>
        <v>341.03701199613005</v>
      </c>
      <c r="BZ361" s="1312">
        <f>CA360*((1+'Instrumentos Financeiros'!$L$43)^(1/12)-1)</f>
        <v>27.542114784815922</v>
      </c>
      <c r="CA361" s="1312">
        <f t="shared" si="262"/>
        <v>6028.5388421760581</v>
      </c>
      <c r="CB361" s="1312">
        <f>IF(AND(C361&gt;$F$83,'Instrumentos Financeiros'!C361&lt;'Instrumentos Financeiros'!$F$83+'Instrumentos Financeiros'!$F$13+1),PMT(((1+'Instrumentos Financeiros'!$P$43)^(1/12)-1),$F$13,-$I$83),0)</f>
        <v>30503.390100238979</v>
      </c>
      <c r="CC361" s="1312">
        <f t="shared" si="263"/>
        <v>21506.345023754249</v>
      </c>
      <c r="CD361" s="1312">
        <f>CE360*((1+'Instrumentos Financeiros'!$P$43)^(1/12)-1)</f>
        <v>8997.0450764847301</v>
      </c>
      <c r="CE361" s="1312">
        <f t="shared" si="264"/>
        <v>2059211.1861394548</v>
      </c>
      <c r="CF361" s="1312">
        <f>IF(AND(C361&gt;$F$84,'Instrumentos Financeiros'!C361&lt;'Instrumentos Financeiros'!$F$84+'Instrumentos Financeiros'!$F$13+1),PMT(((1+'Instrumentos Financeiros'!$Q$43)^(1/12)-1),$F$13,-$I$84),0)</f>
        <v>30503.390100238979</v>
      </c>
      <c r="CG361" s="1312">
        <f t="shared" si="265"/>
        <v>21229.75937805698</v>
      </c>
      <c r="CH361" s="1312">
        <f>CI360*((1+'Instrumentos Financeiros'!$Q$43)^(1/12)-1)</f>
        <v>9273.630722181997</v>
      </c>
      <c r="CI361" s="1312">
        <f t="shared" si="266"/>
        <v>2123452.8399801035</v>
      </c>
      <c r="CJ361" s="1312">
        <f>IF(AND(C361&gt;$F$85,'Instrumentos Financeiros'!C361&lt;'Instrumentos Financeiros'!$F$85+'Instrumentos Financeiros'!$F$13+1),PMT(((1+'Instrumentos Financeiros'!$Q$43)^(1/12)-1),$F$13,-$I$85),0)</f>
        <v>30503.390100238979</v>
      </c>
      <c r="CK361" s="1312">
        <f t="shared" si="267"/>
        <v>20956.730804438739</v>
      </c>
      <c r="CL361" s="1312">
        <f>CM360*((1+'Instrumentos Financeiros'!$Q$43)^(1/12)-1)</f>
        <v>9546.6592958002402</v>
      </c>
      <c r="CM361" s="1312">
        <f t="shared" si="268"/>
        <v>2186868.3041874808</v>
      </c>
      <c r="CN361" s="1312">
        <f>IF(AND(C361&gt;$F$86,'Instrumentos Financeiros'!C361&lt;'Instrumentos Financeiros'!$F$86+'Instrumentos Financeiros'!$F$13+1),PMT(((1+'Instrumentos Financeiros'!$Q$43)^(1/12)-1),$F$13,-$I$86),0)</f>
        <v>30503.390100238979</v>
      </c>
      <c r="CO361" s="1312">
        <f t="shared" si="269"/>
        <v>20687.213556628973</v>
      </c>
      <c r="CP361" s="1312">
        <f>CQ360*((1+'Instrumentos Financeiros'!$Q$43)^(1/12)-1)</f>
        <v>9816.176543610005</v>
      </c>
      <c r="CQ361" s="1312">
        <f t="shared" si="270"/>
        <v>2249468.2040999667</v>
      </c>
      <c r="CR361" s="1312">
        <f t="shared" si="239"/>
        <v>276761.19895214436</v>
      </c>
      <c r="CS361" s="1312">
        <f t="shared" si="239"/>
        <v>236100.29261159012</v>
      </c>
      <c r="CT361" s="1312">
        <f t="shared" si="239"/>
        <v>40660.906340554277</v>
      </c>
      <c r="CU361" s="1312">
        <f t="shared" si="239"/>
        <v>9167416.0771021489</v>
      </c>
    </row>
    <row r="362" spans="3:99" x14ac:dyDescent="0.35">
      <c r="C362" s="1315">
        <f t="shared" si="240"/>
        <v>269</v>
      </c>
      <c r="D362" s="1312">
        <f>IF(AND(C362&gt;$F$59,'Instrumentos Financeiros'!C362&lt;'Instrumentos Financeiros'!$F$59+'Instrumentos Financeiros'!$F$11+1),PMT(((1+'Instrumentos Financeiros'!$G$43)^(1/12)-1),$F$11,-$I$59),0)</f>
        <v>0</v>
      </c>
      <c r="E362" s="1312">
        <f t="shared" si="237"/>
        <v>-9.5501319317890571E-12</v>
      </c>
      <c r="F362" s="1312">
        <f>G361*((1+'Instrumentos Financeiros'!$G$43)^(1/12)-1)</f>
        <v>9.5501319317890571E-12</v>
      </c>
      <c r="G362" s="1312">
        <f t="shared" si="271"/>
        <v>2.3492361997379124E-9</v>
      </c>
      <c r="H362" s="1312">
        <f>IF(AND(C362&gt;$F$60,'Instrumentos Financeiros'!C362&lt;'Instrumentos Financeiros'!$F$60+'Instrumentos Financeiros'!$F$11+1),PMT(((1+'Instrumentos Financeiros'!$G$43)^(1/12)-1),$F$11,-$I$60),0)</f>
        <v>0</v>
      </c>
      <c r="I362" s="1312">
        <f t="shared" si="223"/>
        <v>0</v>
      </c>
      <c r="J362" s="1312">
        <f>K361*((1+'Instrumentos Financeiros'!$G$43)^(1/12)-1)</f>
        <v>0</v>
      </c>
      <c r="K362" s="1312">
        <f t="shared" si="241"/>
        <v>0</v>
      </c>
      <c r="L362" s="1312">
        <f>IF(AND(C362&gt;$F$61,'Instrumentos Financeiros'!C362&lt;'Instrumentos Financeiros'!$F$61+'Instrumentos Financeiros'!$F$11+1),PMT(((1+'Instrumentos Financeiros'!$G$43)^(1/12)-1),$F$11,-$I$61),0)</f>
        <v>0</v>
      </c>
      <c r="M362" s="1312">
        <f t="shared" si="224"/>
        <v>0</v>
      </c>
      <c r="N362" s="1312">
        <f>O361*((1+'Instrumentos Financeiros'!$G$43)^(1/12)-1)</f>
        <v>0</v>
      </c>
      <c r="O362" s="1312">
        <f t="shared" si="242"/>
        <v>0</v>
      </c>
      <c r="P362" s="1312">
        <f>IF(AND(C362&gt;$F$62,'Instrumentos Financeiros'!C362&lt;'Instrumentos Financeiros'!$F$62+'Instrumentos Financeiros'!$F$11+1),PMT(((1+'Instrumentos Financeiros'!$H$43)^(1/12)-1),$F$11,-$I$62),0)</f>
        <v>0</v>
      </c>
      <c r="Q362" s="1312">
        <f t="shared" si="225"/>
        <v>0</v>
      </c>
      <c r="R362" s="1312">
        <f>S361*((1+'Instrumentos Financeiros'!$H$43)^(1/12)-1)</f>
        <v>0</v>
      </c>
      <c r="S362" s="1312">
        <f t="shared" si="243"/>
        <v>0</v>
      </c>
      <c r="T362" s="1312">
        <f>IF(AND(C362&gt;$F$63,'Instrumentos Financeiros'!C362&lt;'Instrumentos Financeiros'!$F$63+'Instrumentos Financeiros'!$F$11+1),PMT(((1+'Instrumentos Financeiros'!$H$43)^(1/12)-1),$F$11,-$I$63),0)</f>
        <v>0</v>
      </c>
      <c r="U362" s="1312">
        <f t="shared" si="226"/>
        <v>0</v>
      </c>
      <c r="V362" s="1312">
        <f>W361*((1+'Instrumentos Financeiros'!$H$43)^(1/12)-1)</f>
        <v>0</v>
      </c>
      <c r="W362" s="1312">
        <f t="shared" si="244"/>
        <v>0</v>
      </c>
      <c r="X362" s="1312">
        <f>IF(AND(C362&gt;$F$64,'Instrumentos Financeiros'!C362&lt;'Instrumentos Financeiros'!$F$64+'Instrumentos Financeiros'!$F$11+1),PMT(((1+'Instrumentos Financeiros'!$H$43)^(1/12)-1),$F$11,-$I$64),0)</f>
        <v>0</v>
      </c>
      <c r="Y362" s="1312">
        <f t="shared" si="227"/>
        <v>0</v>
      </c>
      <c r="Z362" s="1312">
        <f>AA361*((1+'Instrumentos Financeiros'!$H$43)^(1/12)-1)</f>
        <v>0</v>
      </c>
      <c r="AA362" s="1312">
        <f t="shared" si="245"/>
        <v>0</v>
      </c>
      <c r="AB362" s="1312">
        <f>IF(AND(C362&gt;$F$65,'Instrumentos Financeiros'!C362&lt;'Instrumentos Financeiros'!$F$65+'Instrumentos Financeiros'!$F$11+1),PMT(((1+'Instrumentos Financeiros'!$H$43)^(1/12)-1),$F$11,-$I$65),0)</f>
        <v>0</v>
      </c>
      <c r="AC362" s="1312">
        <f t="shared" si="228"/>
        <v>2.323854505972515E-11</v>
      </c>
      <c r="AD362" s="1312">
        <f>AE361*((1+'Instrumentos Financeiros'!$H$43)^(1/12)-1)</f>
        <v>-2.323854505972515E-11</v>
      </c>
      <c r="AE362" s="1312">
        <f t="shared" si="246"/>
        <v>-5.3975417405471521E-9</v>
      </c>
      <c r="AF362" s="1312">
        <f>IF(AND(C362&gt;$F$66,'Instrumentos Financeiros'!C362&lt;'Instrumentos Financeiros'!$F$66+'Instrumentos Financeiros'!$F$11+1),PMT(((1+'Instrumentos Financeiros'!$I$43)^(1/12)-1),$F$11,-$I$66),0)</f>
        <v>0</v>
      </c>
      <c r="AG362" s="1312">
        <f t="shared" si="229"/>
        <v>2.2939682190032055E-11</v>
      </c>
      <c r="AH362" s="1312">
        <f>AI361*((1+'Instrumentos Financeiros'!$I$43)^(1/12)-1)</f>
        <v>-2.2939682190032055E-11</v>
      </c>
      <c r="AI362" s="1312">
        <f t="shared" si="247"/>
        <v>-5.328125827901919E-9</v>
      </c>
      <c r="AJ362" s="1312">
        <f>IF(AND(C362&gt;$F$67,'Instrumentos Financeiros'!C362&lt;'Instrumentos Financeiros'!$F$67+'Instrumentos Financeiros'!$F$11+1),PMT(((1+'Instrumentos Financeiros'!$I$43)^(1/12)-1),$F$11,-$I$67),0)</f>
        <v>76636.661022032335</v>
      </c>
      <c r="AK362" s="1312">
        <f t="shared" si="230"/>
        <v>75978.179515162439</v>
      </c>
      <c r="AL362" s="1312">
        <f>AM361*((1+'Instrumentos Financeiros'!$I$43)^(1/12)-1)</f>
        <v>658.48150686989686</v>
      </c>
      <c r="AM362" s="1312">
        <f t="shared" si="248"/>
        <v>76306.709983944529</v>
      </c>
      <c r="AN362" s="1312">
        <f>IF(AND(C362&gt;$F$68,'Instrumentos Financeiros'!C362&lt;'Instrumentos Financeiros'!$F$68+'Instrumentos Financeiros'!$F$11+1),PMT(((1+'Instrumentos Financeiros'!$I$43)^(1/12)-1),$F$11,-$I$68),0)</f>
        <v>76636.661022032335</v>
      </c>
      <c r="AO362" s="1312">
        <f t="shared" si="231"/>
        <v>75001.050495010801</v>
      </c>
      <c r="AP362" s="1312">
        <f>AQ361*((1+'Instrumentos Financeiros'!$I$43)^(1/12)-1)</f>
        <v>1635.6105270215307</v>
      </c>
      <c r="AQ362" s="1312">
        <f t="shared" si="249"/>
        <v>303261.30884602841</v>
      </c>
      <c r="AR362" s="1312">
        <f>IF(AND(C362&gt;$F$69,'Instrumentos Financeiros'!C362&lt;'Instrumentos Financeiros'!$F$69+'Instrumentos Financeiros'!$F$11+1),PMT(((1+'Instrumentos Financeiros'!$I$43)^(1/12)-1),$F$11,-$I$69),0)</f>
        <v>0</v>
      </c>
      <c r="AS362" s="1312">
        <f t="shared" si="232"/>
        <v>0</v>
      </c>
      <c r="AT362" s="1312">
        <f>AU361*((1+'Instrumentos Financeiros'!$I$43)^(1/12)-1)</f>
        <v>0</v>
      </c>
      <c r="AU362" s="1312">
        <f t="shared" si="250"/>
        <v>0</v>
      </c>
      <c r="AV362" s="1312">
        <f>IF(AND(C362&gt;$F$70,'Instrumentos Financeiros'!C362&lt;'Instrumentos Financeiros'!$F$70+'Instrumentos Financeiros'!$F$11+1),PMT(((1+'Instrumentos Financeiros'!$J$43)^(1/12)-1),$F$11,-$I$70),0)</f>
        <v>0</v>
      </c>
      <c r="AW362" s="1312">
        <f t="shared" si="233"/>
        <v>0</v>
      </c>
      <c r="AX362" s="1312">
        <f>AY361*((1+'Instrumentos Financeiros'!$J$43)^(1/12)-1)</f>
        <v>0</v>
      </c>
      <c r="AY362" s="1312">
        <f t="shared" si="251"/>
        <v>0</v>
      </c>
      <c r="AZ362" s="1312">
        <f>IF(AND(C362&gt;$F$71,'Instrumentos Financeiros'!C362&lt;'Instrumentos Financeiros'!$F$71+'Instrumentos Financeiros'!$F$11+1),PMT(((1+'Instrumentos Financeiros'!$J$43)^(1/12)-1),$F$11,-$I$71),0)</f>
        <v>0</v>
      </c>
      <c r="BA362" s="1312">
        <f t="shared" si="234"/>
        <v>0</v>
      </c>
      <c r="BB362" s="1312">
        <f>BC361*((1+'Instrumentos Financeiros'!$J$43)^(1/12)-1)</f>
        <v>0</v>
      </c>
      <c r="BC362" s="1312">
        <f t="shared" si="252"/>
        <v>0</v>
      </c>
      <c r="BD362" s="1312">
        <f>IF(AND(C362&gt;$F$72,'Instrumentos Financeiros'!C362&lt;'Instrumentos Financeiros'!$F$72+'Instrumentos Financeiros'!$F$11+1),PMT(((1+'Instrumentos Financeiros'!$J$43)^(1/12)-1),$F$11,-'Instrumentos Financeiros'!$G$7*$G$72),0)</f>
        <v>0</v>
      </c>
      <c r="BE362" s="1312">
        <f t="shared" si="235"/>
        <v>0</v>
      </c>
      <c r="BF362" s="1312">
        <f>BG361*((1+'Instrumentos Financeiros'!$J$43)^(1/12)-1)</f>
        <v>0</v>
      </c>
      <c r="BG362" s="1312">
        <f t="shared" si="253"/>
        <v>0</v>
      </c>
      <c r="BH362" s="1312">
        <f>IF(AND(C362&gt;$F$73,'Instrumentos Financeiros'!C362&lt;'Instrumentos Financeiros'!$F$73+'Instrumentos Financeiros'!$F$11+1),PMT(((1+'Instrumentos Financeiros'!$J$43)^(1/12)-1),$F$11,-$I$73),0)</f>
        <v>0</v>
      </c>
      <c r="BI362" s="1312">
        <f t="shared" si="236"/>
        <v>0</v>
      </c>
      <c r="BJ362" s="1312">
        <f>BK361*((1+'Instrumentos Financeiros'!$J$43)^(1/12)-1)</f>
        <v>0</v>
      </c>
      <c r="BK362" s="1312">
        <f t="shared" si="254"/>
        <v>0</v>
      </c>
      <c r="BL362" s="1312">
        <f>IF(AND(C362&gt;$F$77,'Instrumentos Financeiros'!C362&lt;'Instrumentos Financeiros'!$F$77+'Instrumentos Financeiros'!$F$12+1),PMT(((1+'Instrumentos Financeiros'!$K$43)^(1/12)-1),$F$12,-$I$77),0)</f>
        <v>368.57912678094596</v>
      </c>
      <c r="BM362" s="1312">
        <f t="shared" si="255"/>
        <v>356.07376065489467</v>
      </c>
      <c r="BN362" s="1312">
        <f>BO361*((1+'Instrumentos Financeiros'!$K$43)^(1/12)-1)</f>
        <v>12.505366126051301</v>
      </c>
      <c r="BO362" s="1312">
        <f t="shared" si="256"/>
        <v>2536.0018387102155</v>
      </c>
      <c r="BP362" s="1312">
        <f>IF(AND(C362&gt;$F$78,'Instrumentos Financeiros'!C362&lt;'Instrumentos Financeiros'!$F$78+'Instrumentos Financeiros'!$F$12+1),PMT(((1+'Instrumentos Financeiros'!$L$43)^(1/12)-1),$F$12,-$I$78),0)</f>
        <v>368.57912678094596</v>
      </c>
      <c r="BQ362" s="1312">
        <f t="shared" si="257"/>
        <v>351.4944194931208</v>
      </c>
      <c r="BR362" s="1312">
        <f>BS361*((1+'Instrumentos Financeiros'!$L$43)^(1/12)-1)</f>
        <v>17.084707287825132</v>
      </c>
      <c r="BS362" s="1312">
        <f t="shared" si="258"/>
        <v>3599.6306072649827</v>
      </c>
      <c r="BT362" s="1312">
        <f>IF(AND(C362&gt;$F$79,'Instrumentos Financeiros'!C362&lt;'Instrumentos Financeiros'!$F$79+'Instrumentos Financeiros'!$F$12+1),PMT(((1+'Instrumentos Financeiros'!$L$43)^(1/12)-1),$F$12,-$I$79),0)</f>
        <v>368.57912678094596</v>
      </c>
      <c r="BU362" s="1312">
        <f t="shared" si="259"/>
        <v>346.97397165007214</v>
      </c>
      <c r="BV362" s="1312">
        <f>BW361*((1+'Instrumentos Financeiros'!$L$43)^(1/12)-1)</f>
        <v>21.605155130873801</v>
      </c>
      <c r="BW362" s="1312">
        <f t="shared" si="260"/>
        <v>4649.5804150568692</v>
      </c>
      <c r="BX362" s="1312">
        <f>IF(AND(C362&gt;$F$80,'Instrumentos Financeiros'!C362&lt;'Instrumentos Financeiros'!$F$80+'Instrumentos Financeiros'!$F$12+1),PMT(((1+'Instrumentos Financeiros'!$L$43)^(1/12)-1),$F$12,-$I$80),0)</f>
        <v>368.57912678094596</v>
      </c>
      <c r="BY362" s="1312">
        <f t="shared" si="261"/>
        <v>342.51165971919869</v>
      </c>
      <c r="BZ362" s="1312">
        <f>CA361*((1+'Instrumentos Financeiros'!$L$43)^(1/12)-1)</f>
        <v>26.067467061747273</v>
      </c>
      <c r="CA362" s="1312">
        <f t="shared" si="262"/>
        <v>5686.027182456859</v>
      </c>
      <c r="CB362" s="1312">
        <f>IF(AND(C362&gt;$F$83,'Instrumentos Financeiros'!C362&lt;'Instrumentos Financeiros'!$F$83+'Instrumentos Financeiros'!$F$13+1),PMT(((1+'Instrumentos Financeiros'!$P$43)^(1/12)-1),$F$13,-$I$83),0)</f>
        <v>30503.390100238979</v>
      </c>
      <c r="CC362" s="1312">
        <f t="shared" si="263"/>
        <v>21599.338691905341</v>
      </c>
      <c r="CD362" s="1312">
        <f>CE361*((1+'Instrumentos Financeiros'!$P$43)^(1/12)-1)</f>
        <v>8904.0514083336384</v>
      </c>
      <c r="CE362" s="1312">
        <f t="shared" si="264"/>
        <v>2037611.8474475495</v>
      </c>
      <c r="CF362" s="1312">
        <f>IF(AND(C362&gt;$F$84,'Instrumentos Financeiros'!C362&lt;'Instrumentos Financeiros'!$F$84+'Instrumentos Financeiros'!$F$13+1),PMT(((1+'Instrumentos Financeiros'!$Q$43)^(1/12)-1),$F$13,-$I$84),0)</f>
        <v>30503.390100238979</v>
      </c>
      <c r="CG362" s="1312">
        <f t="shared" si="265"/>
        <v>21321.557086888955</v>
      </c>
      <c r="CH362" s="1312">
        <f>CI361*((1+'Instrumentos Financeiros'!$Q$43)^(1/12)-1)</f>
        <v>9181.8330133500222</v>
      </c>
      <c r="CI362" s="1312">
        <f t="shared" si="266"/>
        <v>2102131.2828932144</v>
      </c>
      <c r="CJ362" s="1312">
        <f>IF(AND(C362&gt;$F$85,'Instrumentos Financeiros'!C362&lt;'Instrumentos Financeiros'!$F$85+'Instrumentos Financeiros'!$F$13+1),PMT(((1+'Instrumentos Financeiros'!$Q$43)^(1/12)-1),$F$13,-$I$85),0)</f>
        <v>30503.390100238979</v>
      </c>
      <c r="CK362" s="1312">
        <f t="shared" si="267"/>
        <v>21047.347934769678</v>
      </c>
      <c r="CL362" s="1312">
        <f>CM361*((1+'Instrumentos Financeiros'!$Q$43)^(1/12)-1)</f>
        <v>9456.0421654693</v>
      </c>
      <c r="CM362" s="1312">
        <f t="shared" si="268"/>
        <v>2165820.9562527114</v>
      </c>
      <c r="CN362" s="1312">
        <f>IF(AND(C362&gt;$F$86,'Instrumentos Financeiros'!C362&lt;'Instrumentos Financeiros'!$F$86+'Instrumentos Financeiros'!$F$13+1),PMT(((1+'Instrumentos Financeiros'!$Q$43)^(1/12)-1),$F$13,-$I$86),0)</f>
        <v>30503.390100238979</v>
      </c>
      <c r="CO362" s="1312">
        <f t="shared" si="269"/>
        <v>20776.665291469602</v>
      </c>
      <c r="CP362" s="1312">
        <f>CQ361*((1+'Instrumentos Financeiros'!$Q$43)^(1/12)-1)</f>
        <v>9726.724808769377</v>
      </c>
      <c r="CQ362" s="1312">
        <f t="shared" si="270"/>
        <v>2228691.5388084971</v>
      </c>
      <c r="CR362" s="1312">
        <f t="shared" si="239"/>
        <v>276761.19895214436</v>
      </c>
      <c r="CS362" s="1312">
        <f t="shared" si="239"/>
        <v>237121.19282672415</v>
      </c>
      <c r="CT362" s="1312">
        <f t="shared" si="239"/>
        <v>39640.00612542023</v>
      </c>
      <c r="CU362" s="1312">
        <f t="shared" si="239"/>
        <v>8930294.8842754252</v>
      </c>
    </row>
    <row r="363" spans="3:99" x14ac:dyDescent="0.35">
      <c r="C363" s="1315">
        <f t="shared" si="240"/>
        <v>270</v>
      </c>
      <c r="D363" s="1312">
        <f>IF(AND(C363&gt;$F$59,'Instrumentos Financeiros'!C363&lt;'Instrumentos Financeiros'!$F$59+'Instrumentos Financeiros'!$F$11+1),PMT(((1+'Instrumentos Financeiros'!$G$43)^(1/12)-1),$F$11,-$I$59),0)</f>
        <v>0</v>
      </c>
      <c r="E363" s="1312">
        <f t="shared" si="237"/>
        <v>-9.5891136657787366E-12</v>
      </c>
      <c r="F363" s="1312">
        <f>G362*((1+'Instrumentos Financeiros'!$G$43)^(1/12)-1)</f>
        <v>9.5891136657787366E-12</v>
      </c>
      <c r="G363" s="1312">
        <f t="shared" si="271"/>
        <v>2.3588253134036913E-9</v>
      </c>
      <c r="H363" s="1312">
        <f>IF(AND(C363&gt;$F$60,'Instrumentos Financeiros'!C363&lt;'Instrumentos Financeiros'!$F$60+'Instrumentos Financeiros'!$F$11+1),PMT(((1+'Instrumentos Financeiros'!$G$43)^(1/12)-1),$F$11,-$I$60),0)</f>
        <v>0</v>
      </c>
      <c r="I363" s="1312">
        <f t="shared" si="223"/>
        <v>0</v>
      </c>
      <c r="J363" s="1312">
        <f>K362*((1+'Instrumentos Financeiros'!$G$43)^(1/12)-1)</f>
        <v>0</v>
      </c>
      <c r="K363" s="1312">
        <f t="shared" si="241"/>
        <v>0</v>
      </c>
      <c r="L363" s="1312">
        <f>IF(AND(C363&gt;$F$61,'Instrumentos Financeiros'!C363&lt;'Instrumentos Financeiros'!$F$61+'Instrumentos Financeiros'!$F$11+1),PMT(((1+'Instrumentos Financeiros'!$G$43)^(1/12)-1),$F$11,-$I$61),0)</f>
        <v>0</v>
      </c>
      <c r="M363" s="1312">
        <f t="shared" si="224"/>
        <v>0</v>
      </c>
      <c r="N363" s="1312">
        <f>O362*((1+'Instrumentos Financeiros'!$G$43)^(1/12)-1)</f>
        <v>0</v>
      </c>
      <c r="O363" s="1312">
        <f t="shared" si="242"/>
        <v>0</v>
      </c>
      <c r="P363" s="1312">
        <f>IF(AND(C363&gt;$F$62,'Instrumentos Financeiros'!C363&lt;'Instrumentos Financeiros'!$F$62+'Instrumentos Financeiros'!$F$11+1),PMT(((1+'Instrumentos Financeiros'!$H$43)^(1/12)-1),$F$11,-$I$62),0)</f>
        <v>0</v>
      </c>
      <c r="Q363" s="1312">
        <f t="shared" si="225"/>
        <v>0</v>
      </c>
      <c r="R363" s="1312">
        <f>S362*((1+'Instrumentos Financeiros'!$H$43)^(1/12)-1)</f>
        <v>0</v>
      </c>
      <c r="S363" s="1312">
        <f t="shared" si="243"/>
        <v>0</v>
      </c>
      <c r="T363" s="1312">
        <f>IF(AND(C363&gt;$F$63,'Instrumentos Financeiros'!C363&lt;'Instrumentos Financeiros'!$F$63+'Instrumentos Financeiros'!$F$11+1),PMT(((1+'Instrumentos Financeiros'!$H$43)^(1/12)-1),$F$11,-$I$63),0)</f>
        <v>0</v>
      </c>
      <c r="U363" s="1312">
        <f t="shared" si="226"/>
        <v>0</v>
      </c>
      <c r="V363" s="1312">
        <f>W362*((1+'Instrumentos Financeiros'!$H$43)^(1/12)-1)</f>
        <v>0</v>
      </c>
      <c r="W363" s="1312">
        <f t="shared" si="244"/>
        <v>0</v>
      </c>
      <c r="X363" s="1312">
        <f>IF(AND(C363&gt;$F$64,'Instrumentos Financeiros'!C363&lt;'Instrumentos Financeiros'!$F$64+'Instrumentos Financeiros'!$F$11+1),PMT(((1+'Instrumentos Financeiros'!$H$43)^(1/12)-1),$F$11,-$I$64),0)</f>
        <v>0</v>
      </c>
      <c r="Y363" s="1312">
        <f t="shared" si="227"/>
        <v>0</v>
      </c>
      <c r="Z363" s="1312">
        <f>AA362*((1+'Instrumentos Financeiros'!$H$43)^(1/12)-1)</f>
        <v>0</v>
      </c>
      <c r="AA363" s="1312">
        <f t="shared" si="245"/>
        <v>0</v>
      </c>
      <c r="AB363" s="1312">
        <f>IF(AND(C363&gt;$F$65,'Instrumentos Financeiros'!C363&lt;'Instrumentos Financeiros'!$F$65+'Instrumentos Financeiros'!$F$11+1),PMT(((1+'Instrumentos Financeiros'!$H$43)^(1/12)-1),$F$11,-$I$65),0)</f>
        <v>0</v>
      </c>
      <c r="AC363" s="1312">
        <f t="shared" si="228"/>
        <v>2.3339028779539531E-11</v>
      </c>
      <c r="AD363" s="1312">
        <f>AE362*((1+'Instrumentos Financeiros'!$H$43)^(1/12)-1)</f>
        <v>-2.3339028779539531E-11</v>
      </c>
      <c r="AE363" s="1312">
        <f t="shared" si="246"/>
        <v>-5.4208807693266914E-9</v>
      </c>
      <c r="AF363" s="1312">
        <f>IF(AND(C363&gt;$F$66,'Instrumentos Financeiros'!C363&lt;'Instrumentos Financeiros'!$F$66+'Instrumentos Financeiros'!$F$11+1),PMT(((1+'Instrumentos Financeiros'!$I$43)^(1/12)-1),$F$11,-$I$66),0)</f>
        <v>0</v>
      </c>
      <c r="AG363" s="1312">
        <f t="shared" si="229"/>
        <v>2.3038873623570164E-11</v>
      </c>
      <c r="AH363" s="1312">
        <f>AI362*((1+'Instrumentos Financeiros'!$I$43)^(1/12)-1)</f>
        <v>-2.3038873623570164E-11</v>
      </c>
      <c r="AI363" s="1312">
        <f t="shared" si="247"/>
        <v>-5.3511647015254888E-9</v>
      </c>
      <c r="AJ363" s="1312">
        <f>IF(AND(C363&gt;$F$67,'Instrumentos Financeiros'!C363&lt;'Instrumentos Financeiros'!$F$67+'Instrumentos Financeiros'!$F$11+1),PMT(((1+'Instrumentos Financeiros'!$I$43)^(1/12)-1),$F$11,-$I$67),0)</f>
        <v>76636.661022032335</v>
      </c>
      <c r="AK363" s="1312">
        <f t="shared" si="230"/>
        <v>76306.709983949811</v>
      </c>
      <c r="AL363" s="1312">
        <f>AM362*((1+'Instrumentos Financeiros'!$I$43)^(1/12)-1)</f>
        <v>329.95103808251872</v>
      </c>
      <c r="AM363" s="1312">
        <f t="shared" si="248"/>
        <v>-5.2823452278971672E-9</v>
      </c>
      <c r="AN363" s="1312">
        <f>IF(AND(C363&gt;$F$68,'Instrumentos Financeiros'!C363&lt;'Instrumentos Financeiros'!$F$68+'Instrumentos Financeiros'!$F$11+1),PMT(((1+'Instrumentos Financeiros'!$I$43)^(1/12)-1),$F$11,-$I$68),0)</f>
        <v>76636.661022032335</v>
      </c>
      <c r="AO363" s="1312">
        <f t="shared" si="231"/>
        <v>75325.355847362065</v>
      </c>
      <c r="AP363" s="1312">
        <f>AQ362*((1+'Instrumentos Financeiros'!$I$43)^(1/12)-1)</f>
        <v>1311.3051746702749</v>
      </c>
      <c r="AQ363" s="1312">
        <f t="shared" si="249"/>
        <v>227935.95299866633</v>
      </c>
      <c r="AR363" s="1312">
        <f>IF(AND(C363&gt;$F$69,'Instrumentos Financeiros'!C363&lt;'Instrumentos Financeiros'!$F$69+'Instrumentos Financeiros'!$F$11+1),PMT(((1+'Instrumentos Financeiros'!$I$43)^(1/12)-1),$F$11,-$I$69),0)</f>
        <v>0</v>
      </c>
      <c r="AS363" s="1312">
        <f t="shared" si="232"/>
        <v>0</v>
      </c>
      <c r="AT363" s="1312">
        <f>AU362*((1+'Instrumentos Financeiros'!$I$43)^(1/12)-1)</f>
        <v>0</v>
      </c>
      <c r="AU363" s="1312">
        <f t="shared" si="250"/>
        <v>0</v>
      </c>
      <c r="AV363" s="1312">
        <f>IF(AND(C363&gt;$F$70,'Instrumentos Financeiros'!C363&lt;'Instrumentos Financeiros'!$F$70+'Instrumentos Financeiros'!$F$11+1),PMT(((1+'Instrumentos Financeiros'!$J$43)^(1/12)-1),$F$11,-$I$70),0)</f>
        <v>0</v>
      </c>
      <c r="AW363" s="1312">
        <f t="shared" si="233"/>
        <v>0</v>
      </c>
      <c r="AX363" s="1312">
        <f>AY362*((1+'Instrumentos Financeiros'!$J$43)^(1/12)-1)</f>
        <v>0</v>
      </c>
      <c r="AY363" s="1312">
        <f t="shared" si="251"/>
        <v>0</v>
      </c>
      <c r="AZ363" s="1312">
        <f>IF(AND(C363&gt;$F$71,'Instrumentos Financeiros'!C363&lt;'Instrumentos Financeiros'!$F$71+'Instrumentos Financeiros'!$F$11+1),PMT(((1+'Instrumentos Financeiros'!$J$43)^(1/12)-1),$F$11,-$I$71),0)</f>
        <v>0</v>
      </c>
      <c r="BA363" s="1312">
        <f t="shared" si="234"/>
        <v>0</v>
      </c>
      <c r="BB363" s="1312">
        <f>BC362*((1+'Instrumentos Financeiros'!$J$43)^(1/12)-1)</f>
        <v>0</v>
      </c>
      <c r="BC363" s="1312">
        <f t="shared" si="252"/>
        <v>0</v>
      </c>
      <c r="BD363" s="1312">
        <f>IF(AND(C363&gt;$F$72,'Instrumentos Financeiros'!C363&lt;'Instrumentos Financeiros'!$F$72+'Instrumentos Financeiros'!$F$11+1),PMT(((1+'Instrumentos Financeiros'!$J$43)^(1/12)-1),$F$11,-'Instrumentos Financeiros'!$G$7*$G$72),0)</f>
        <v>0</v>
      </c>
      <c r="BE363" s="1312">
        <f t="shared" si="235"/>
        <v>0</v>
      </c>
      <c r="BF363" s="1312">
        <f>BG362*((1+'Instrumentos Financeiros'!$J$43)^(1/12)-1)</f>
        <v>0</v>
      </c>
      <c r="BG363" s="1312">
        <f t="shared" si="253"/>
        <v>0</v>
      </c>
      <c r="BH363" s="1312">
        <f>IF(AND(C363&gt;$F$73,'Instrumentos Financeiros'!C363&lt;'Instrumentos Financeiros'!$F$73+'Instrumentos Financeiros'!$F$11+1),PMT(((1+'Instrumentos Financeiros'!$J$43)^(1/12)-1),$F$11,-$I$73),0)</f>
        <v>0</v>
      </c>
      <c r="BI363" s="1312">
        <f t="shared" si="236"/>
        <v>0</v>
      </c>
      <c r="BJ363" s="1312">
        <f>BK362*((1+'Instrumentos Financeiros'!$J$43)^(1/12)-1)</f>
        <v>0</v>
      </c>
      <c r="BK363" s="1312">
        <f t="shared" si="254"/>
        <v>0</v>
      </c>
      <c r="BL363" s="1312">
        <f>IF(AND(C363&gt;$F$77,'Instrumentos Financeiros'!C363&lt;'Instrumentos Financeiros'!$F$77+'Instrumentos Financeiros'!$F$12+1),PMT(((1+'Instrumentos Financeiros'!$K$43)^(1/12)-1),$F$12,-$I$77),0)</f>
        <v>368.57912678094596</v>
      </c>
      <c r="BM363" s="1312">
        <f t="shared" si="255"/>
        <v>357.61342744156059</v>
      </c>
      <c r="BN363" s="1312">
        <f>BO362*((1+'Instrumentos Financeiros'!$K$43)^(1/12)-1)</f>
        <v>10.965699339385374</v>
      </c>
      <c r="BO363" s="1312">
        <f t="shared" si="256"/>
        <v>2178.3884112686546</v>
      </c>
      <c r="BP363" s="1312">
        <f>IF(AND(C363&gt;$F$78,'Instrumentos Financeiros'!C363&lt;'Instrumentos Financeiros'!$F$78+'Instrumentos Financeiros'!$F$12+1),PMT(((1+'Instrumentos Financeiros'!$L$43)^(1/12)-1),$F$12,-$I$78),0)</f>
        <v>368.57912678094596</v>
      </c>
      <c r="BQ363" s="1312">
        <f t="shared" si="257"/>
        <v>353.01428515914637</v>
      </c>
      <c r="BR363" s="1312">
        <f>BS362*((1+'Instrumentos Financeiros'!$L$43)^(1/12)-1)</f>
        <v>15.564841621799566</v>
      </c>
      <c r="BS363" s="1312">
        <f t="shared" si="258"/>
        <v>3246.6163221058364</v>
      </c>
      <c r="BT363" s="1312">
        <f>IF(AND(C363&gt;$F$79,'Instrumentos Financeiros'!C363&lt;'Instrumentos Financeiros'!$F$79+'Instrumentos Financeiros'!$F$12+1),PMT(((1+'Instrumentos Financeiros'!$L$43)^(1/12)-1),$F$12,-$I$79),0)</f>
        <v>368.57912678094596</v>
      </c>
      <c r="BU363" s="1312">
        <f t="shared" si="259"/>
        <v>348.47429085080358</v>
      </c>
      <c r="BV363" s="1312">
        <f>BW362*((1+'Instrumentos Financeiros'!$L$43)^(1/12)-1)</f>
        <v>20.104835930142379</v>
      </c>
      <c r="BW363" s="1312">
        <f t="shared" si="260"/>
        <v>4301.1061242060659</v>
      </c>
      <c r="BX363" s="1312">
        <f>IF(AND(C363&gt;$F$80,'Instrumentos Financeiros'!C363&lt;'Instrumentos Financeiros'!$F$80+'Instrumentos Financeiros'!$F$12+1),PMT(((1+'Instrumentos Financeiros'!$L$43)^(1/12)-1),$F$12,-$I$80),0)</f>
        <v>368.57912678094596</v>
      </c>
      <c r="BY363" s="1312">
        <f t="shared" si="261"/>
        <v>343.99268383494808</v>
      </c>
      <c r="BZ363" s="1312">
        <f>CA362*((1+'Instrumentos Financeiros'!$L$43)^(1/12)-1)</f>
        <v>24.586442945997888</v>
      </c>
      <c r="CA363" s="1312">
        <f t="shared" si="262"/>
        <v>5342.0344986219106</v>
      </c>
      <c r="CB363" s="1312">
        <f>IF(AND(C363&gt;$F$83,'Instrumentos Financeiros'!C363&lt;'Instrumentos Financeiros'!$F$83+'Instrumentos Financeiros'!$F$13+1),PMT(((1+'Instrumentos Financeiros'!$P$43)^(1/12)-1),$F$13,-$I$83),0)</f>
        <v>30503.390100238979</v>
      </c>
      <c r="CC363" s="1312">
        <f t="shared" si="263"/>
        <v>21692.73446568185</v>
      </c>
      <c r="CD363" s="1312">
        <f>CE362*((1+'Instrumentos Financeiros'!$P$43)^(1/12)-1)</f>
        <v>8810.6556345571298</v>
      </c>
      <c r="CE363" s="1312">
        <f t="shared" si="264"/>
        <v>2015919.1129818675</v>
      </c>
      <c r="CF363" s="1312">
        <f>IF(AND(C363&gt;$F$84,'Instrumentos Financeiros'!C363&lt;'Instrumentos Financeiros'!$F$84+'Instrumentos Financeiros'!$F$13+1),PMT(((1+'Instrumentos Financeiros'!$Q$43)^(1/12)-1),$F$13,-$I$84),0)</f>
        <v>30503.390100238979</v>
      </c>
      <c r="CG363" s="1312">
        <f t="shared" si="265"/>
        <v>21413.751730005337</v>
      </c>
      <c r="CH363" s="1312">
        <f>CI362*((1+'Instrumentos Financeiros'!$Q$43)^(1/12)-1)</f>
        <v>9089.6383702336443</v>
      </c>
      <c r="CI363" s="1312">
        <f t="shared" si="266"/>
        <v>2080717.5311632091</v>
      </c>
      <c r="CJ363" s="1312">
        <f>IF(AND(C363&gt;$F$85,'Instrumentos Financeiros'!C363&lt;'Instrumentos Financeiros'!$F$85+'Instrumentos Financeiros'!$F$13+1),PMT(((1+'Instrumentos Financeiros'!$Q$43)^(1/12)-1),$F$13,-$I$85),0)</f>
        <v>30503.390100238979</v>
      </c>
      <c r="CK363" s="1312">
        <f t="shared" si="267"/>
        <v>21138.356894550838</v>
      </c>
      <c r="CL363" s="1312">
        <f>CM362*((1+'Instrumentos Financeiros'!$Q$43)^(1/12)-1)</f>
        <v>9365.0332056881434</v>
      </c>
      <c r="CM363" s="1312">
        <f t="shared" si="268"/>
        <v>2144682.5993581605</v>
      </c>
      <c r="CN363" s="1312">
        <f>IF(AND(C363&gt;$F$86,'Instrumentos Financeiros'!C363&lt;'Instrumentos Financeiros'!$F$86+'Instrumentos Financeiros'!$F$13+1),PMT(((1+'Instrumentos Financeiros'!$Q$43)^(1/12)-1),$F$13,-$I$86),0)</f>
        <v>30503.390100238979</v>
      </c>
      <c r="CO363" s="1312">
        <f t="shared" si="269"/>
        <v>20866.503816577759</v>
      </c>
      <c r="CP363" s="1312">
        <f>CQ362*((1+'Instrumentos Financeiros'!$Q$43)^(1/12)-1)</f>
        <v>9636.8862836612188</v>
      </c>
      <c r="CQ363" s="1312">
        <f t="shared" si="270"/>
        <v>2207825.0349919195</v>
      </c>
      <c r="CR363" s="1312">
        <f t="shared" si="239"/>
        <v>276761.19895214436</v>
      </c>
      <c r="CS363" s="1312">
        <f t="shared" si="239"/>
        <v>238146.50742541419</v>
      </c>
      <c r="CT363" s="1312">
        <f t="shared" si="239"/>
        <v>38614.691526730217</v>
      </c>
      <c r="CU363" s="1312">
        <f t="shared" si="239"/>
        <v>8692148.3768500127</v>
      </c>
    </row>
    <row r="364" spans="3:99" x14ac:dyDescent="0.35">
      <c r="C364" s="1315">
        <f t="shared" si="240"/>
        <v>271</v>
      </c>
      <c r="D364" s="1312">
        <f>IF(AND(C364&gt;$F$59,'Instrumentos Financeiros'!C364&lt;'Instrumentos Financeiros'!$F$59+'Instrumentos Financeiros'!$F$11+1),PMT(((1+'Instrumentos Financeiros'!$G$43)^(1/12)-1),$F$11,-$I$59),0)</f>
        <v>0</v>
      </c>
      <c r="E364" s="1312">
        <f t="shared" si="237"/>
        <v>-9.6282545154325444E-12</v>
      </c>
      <c r="F364" s="1312">
        <f>G363*((1+'Instrumentos Financeiros'!$G$43)^(1/12)-1)</f>
        <v>9.6282545154325444E-12</v>
      </c>
      <c r="G364" s="1312">
        <f t="shared" si="271"/>
        <v>2.3684535679191238E-9</v>
      </c>
      <c r="H364" s="1312">
        <f>IF(AND(C364&gt;$F$60,'Instrumentos Financeiros'!C364&lt;'Instrumentos Financeiros'!$F$60+'Instrumentos Financeiros'!$F$11+1),PMT(((1+'Instrumentos Financeiros'!$G$43)^(1/12)-1),$F$11,-$I$60),0)</f>
        <v>0</v>
      </c>
      <c r="I364" s="1312">
        <f t="shared" si="223"/>
        <v>0</v>
      </c>
      <c r="J364" s="1312">
        <f>K363*((1+'Instrumentos Financeiros'!$G$43)^(1/12)-1)</f>
        <v>0</v>
      </c>
      <c r="K364" s="1312">
        <f t="shared" si="241"/>
        <v>0</v>
      </c>
      <c r="L364" s="1312">
        <f>IF(AND(C364&gt;$F$61,'Instrumentos Financeiros'!C364&lt;'Instrumentos Financeiros'!$F$61+'Instrumentos Financeiros'!$F$11+1),PMT(((1+'Instrumentos Financeiros'!$G$43)^(1/12)-1),$F$11,-$I$61),0)</f>
        <v>0</v>
      </c>
      <c r="M364" s="1312">
        <f t="shared" si="224"/>
        <v>0</v>
      </c>
      <c r="N364" s="1312">
        <f>O363*((1+'Instrumentos Financeiros'!$G$43)^(1/12)-1)</f>
        <v>0</v>
      </c>
      <c r="O364" s="1312">
        <f t="shared" si="242"/>
        <v>0</v>
      </c>
      <c r="P364" s="1312">
        <f>IF(AND(C364&gt;$F$62,'Instrumentos Financeiros'!C364&lt;'Instrumentos Financeiros'!$F$62+'Instrumentos Financeiros'!$F$11+1),PMT(((1+'Instrumentos Financeiros'!$H$43)^(1/12)-1),$F$11,-$I$62),0)</f>
        <v>0</v>
      </c>
      <c r="Q364" s="1312">
        <f t="shared" si="225"/>
        <v>0</v>
      </c>
      <c r="R364" s="1312">
        <f>S363*((1+'Instrumentos Financeiros'!$H$43)^(1/12)-1)</f>
        <v>0</v>
      </c>
      <c r="S364" s="1312">
        <f t="shared" si="243"/>
        <v>0</v>
      </c>
      <c r="T364" s="1312">
        <f>IF(AND(C364&gt;$F$63,'Instrumentos Financeiros'!C364&lt;'Instrumentos Financeiros'!$F$63+'Instrumentos Financeiros'!$F$11+1),PMT(((1+'Instrumentos Financeiros'!$H$43)^(1/12)-1),$F$11,-$I$63),0)</f>
        <v>0</v>
      </c>
      <c r="U364" s="1312">
        <f t="shared" si="226"/>
        <v>0</v>
      </c>
      <c r="V364" s="1312">
        <f>W363*((1+'Instrumentos Financeiros'!$H$43)^(1/12)-1)</f>
        <v>0</v>
      </c>
      <c r="W364" s="1312">
        <f t="shared" si="244"/>
        <v>0</v>
      </c>
      <c r="X364" s="1312">
        <f>IF(AND(C364&gt;$F$64,'Instrumentos Financeiros'!C364&lt;'Instrumentos Financeiros'!$F$64+'Instrumentos Financeiros'!$F$11+1),PMT(((1+'Instrumentos Financeiros'!$H$43)^(1/12)-1),$F$11,-$I$64),0)</f>
        <v>0</v>
      </c>
      <c r="Y364" s="1312">
        <f t="shared" si="227"/>
        <v>0</v>
      </c>
      <c r="Z364" s="1312">
        <f>AA363*((1+'Instrumentos Financeiros'!$H$43)^(1/12)-1)</f>
        <v>0</v>
      </c>
      <c r="AA364" s="1312">
        <f t="shared" si="245"/>
        <v>0</v>
      </c>
      <c r="AB364" s="1312">
        <f>IF(AND(C364&gt;$F$65,'Instrumentos Financeiros'!C364&lt;'Instrumentos Financeiros'!$F$65+'Instrumentos Financeiros'!$F$11+1),PMT(((1+'Instrumentos Financeiros'!$H$43)^(1/12)-1),$F$11,-$I$65),0)</f>
        <v>0</v>
      </c>
      <c r="AC364" s="1312">
        <f t="shared" si="228"/>
        <v>2.3439946992043609E-11</v>
      </c>
      <c r="AD364" s="1312">
        <f>AE363*((1+'Instrumentos Financeiros'!$H$43)^(1/12)-1)</f>
        <v>-2.3439946992043609E-11</v>
      </c>
      <c r="AE364" s="1312">
        <f t="shared" si="246"/>
        <v>-5.4443207163187352E-9</v>
      </c>
      <c r="AF364" s="1312">
        <f>IF(AND(C364&gt;$F$66,'Instrumentos Financeiros'!C364&lt;'Instrumentos Financeiros'!$F$66+'Instrumentos Financeiros'!$F$11+1),PMT(((1+'Instrumentos Financeiros'!$I$43)^(1/12)-1),$F$11,-$I$66),0)</f>
        <v>0</v>
      </c>
      <c r="AG364" s="1312">
        <f t="shared" si="229"/>
        <v>2.3138493961938157E-11</v>
      </c>
      <c r="AH364" s="1312">
        <f>AI363*((1+'Instrumentos Financeiros'!$I$43)^(1/12)-1)</f>
        <v>-2.3138493961938157E-11</v>
      </c>
      <c r="AI364" s="1312">
        <f t="shared" si="247"/>
        <v>-5.3743031954874267E-9</v>
      </c>
      <c r="AJ364" s="1312">
        <f>IF(AND(C364&gt;$F$67,'Instrumentos Financeiros'!C364&lt;'Instrumentos Financeiros'!$F$67+'Instrumentos Financeiros'!$F$11+1),PMT(((1+'Instrumentos Financeiros'!$I$43)^(1/12)-1),$F$11,-$I$67),0)</f>
        <v>0</v>
      </c>
      <c r="AK364" s="1312">
        <f t="shared" si="230"/>
        <v>2.2840917814719452E-11</v>
      </c>
      <c r="AL364" s="1312">
        <f>AM363*((1+'Instrumentos Financeiros'!$I$43)^(1/12)-1)</f>
        <v>-2.2840917814719452E-11</v>
      </c>
      <c r="AM364" s="1312">
        <f t="shared" si="248"/>
        <v>-5.3051861457118866E-9</v>
      </c>
      <c r="AN364" s="1312">
        <f>IF(AND(C364&gt;$F$68,'Instrumentos Financeiros'!C364&lt;'Instrumentos Financeiros'!$F$68+'Instrumentos Financeiros'!$F$11+1),PMT(((1+'Instrumentos Financeiros'!$I$43)^(1/12)-1),$F$11,-$I$68),0)</f>
        <v>76636.661022032335</v>
      </c>
      <c r="AO364" s="1312">
        <f t="shared" si="231"/>
        <v>75651.063499559372</v>
      </c>
      <c r="AP364" s="1312">
        <f>AQ363*((1+'Instrumentos Financeiros'!$I$43)^(1/12)-1)</f>
        <v>985.5975224729566</v>
      </c>
      <c r="AQ364" s="1312">
        <f t="shared" si="249"/>
        <v>152284.88949910697</v>
      </c>
      <c r="AR364" s="1312">
        <f>IF(AND(C364&gt;$F$69,'Instrumentos Financeiros'!C364&lt;'Instrumentos Financeiros'!$F$69+'Instrumentos Financeiros'!$F$11+1),PMT(((1+'Instrumentos Financeiros'!$I$43)^(1/12)-1),$F$11,-$I$69),0)</f>
        <v>0</v>
      </c>
      <c r="AS364" s="1312">
        <f t="shared" si="232"/>
        <v>0</v>
      </c>
      <c r="AT364" s="1312">
        <f>AU363*((1+'Instrumentos Financeiros'!$I$43)^(1/12)-1)</f>
        <v>0</v>
      </c>
      <c r="AU364" s="1312">
        <f t="shared" si="250"/>
        <v>0</v>
      </c>
      <c r="AV364" s="1312">
        <f>IF(AND(C364&gt;$F$70,'Instrumentos Financeiros'!C364&lt;'Instrumentos Financeiros'!$F$70+'Instrumentos Financeiros'!$F$11+1),PMT(((1+'Instrumentos Financeiros'!$J$43)^(1/12)-1),$F$11,-$I$70),0)</f>
        <v>0</v>
      </c>
      <c r="AW364" s="1312">
        <f t="shared" si="233"/>
        <v>0</v>
      </c>
      <c r="AX364" s="1312">
        <f>AY363*((1+'Instrumentos Financeiros'!$J$43)^(1/12)-1)</f>
        <v>0</v>
      </c>
      <c r="AY364" s="1312">
        <f t="shared" si="251"/>
        <v>0</v>
      </c>
      <c r="AZ364" s="1312">
        <f>IF(AND(C364&gt;$F$71,'Instrumentos Financeiros'!C364&lt;'Instrumentos Financeiros'!$F$71+'Instrumentos Financeiros'!$F$11+1),PMT(((1+'Instrumentos Financeiros'!$J$43)^(1/12)-1),$F$11,-$I$71),0)</f>
        <v>0</v>
      </c>
      <c r="BA364" s="1312">
        <f t="shared" si="234"/>
        <v>0</v>
      </c>
      <c r="BB364" s="1312">
        <f>BC363*((1+'Instrumentos Financeiros'!$J$43)^(1/12)-1)</f>
        <v>0</v>
      </c>
      <c r="BC364" s="1312">
        <f t="shared" si="252"/>
        <v>0</v>
      </c>
      <c r="BD364" s="1312">
        <f>IF(AND(C364&gt;$F$72,'Instrumentos Financeiros'!C364&lt;'Instrumentos Financeiros'!$F$72+'Instrumentos Financeiros'!$F$11+1),PMT(((1+'Instrumentos Financeiros'!$J$43)^(1/12)-1),$F$11,-'Instrumentos Financeiros'!$G$7*$G$72),0)</f>
        <v>0</v>
      </c>
      <c r="BE364" s="1312">
        <f t="shared" si="235"/>
        <v>0</v>
      </c>
      <c r="BF364" s="1312">
        <f>BG363*((1+'Instrumentos Financeiros'!$J$43)^(1/12)-1)</f>
        <v>0</v>
      </c>
      <c r="BG364" s="1312">
        <f t="shared" si="253"/>
        <v>0</v>
      </c>
      <c r="BH364" s="1312">
        <f>IF(AND(C364&gt;$F$73,'Instrumentos Financeiros'!C364&lt;'Instrumentos Financeiros'!$F$73+'Instrumentos Financeiros'!$F$11+1),PMT(((1+'Instrumentos Financeiros'!$J$43)^(1/12)-1),$F$11,-$I$73),0)</f>
        <v>0</v>
      </c>
      <c r="BI364" s="1312">
        <f t="shared" si="236"/>
        <v>0</v>
      </c>
      <c r="BJ364" s="1312">
        <f>BK363*((1+'Instrumentos Financeiros'!$J$43)^(1/12)-1)</f>
        <v>0</v>
      </c>
      <c r="BK364" s="1312">
        <f t="shared" si="254"/>
        <v>0</v>
      </c>
      <c r="BL364" s="1312">
        <f>IF(AND(C364&gt;$F$77,'Instrumentos Financeiros'!C364&lt;'Instrumentos Financeiros'!$F$77+'Instrumentos Financeiros'!$F$12+1),PMT(((1+'Instrumentos Financeiros'!$K$43)^(1/12)-1),$F$12,-$I$77),0)</f>
        <v>368.57912678094596</v>
      </c>
      <c r="BM364" s="1312">
        <f t="shared" si="255"/>
        <v>359.15975176404044</v>
      </c>
      <c r="BN364" s="1312">
        <f>BO363*((1+'Instrumentos Financeiros'!$K$43)^(1/12)-1)</f>
        <v>9.4193750169055104</v>
      </c>
      <c r="BO364" s="1312">
        <f t="shared" si="256"/>
        <v>1819.2286595046141</v>
      </c>
      <c r="BP364" s="1312">
        <f>IF(AND(C364&gt;$F$78,'Instrumentos Financeiros'!C364&lt;'Instrumentos Financeiros'!$F$78+'Instrumentos Financeiros'!$F$12+1),PMT(((1+'Instrumentos Financeiros'!$L$43)^(1/12)-1),$F$12,-$I$78),0)</f>
        <v>368.57912678094596</v>
      </c>
      <c r="BQ364" s="1312">
        <f t="shared" si="257"/>
        <v>354.54072274072638</v>
      </c>
      <c r="BR364" s="1312">
        <f>BS363*((1+'Instrumentos Financeiros'!$L$43)^(1/12)-1)</f>
        <v>14.038404040219568</v>
      </c>
      <c r="BS364" s="1312">
        <f t="shared" si="258"/>
        <v>2892.0755993651101</v>
      </c>
      <c r="BT364" s="1312">
        <f>IF(AND(C364&gt;$F$79,'Instrumentos Financeiros'!C364&lt;'Instrumentos Financeiros'!$F$79+'Instrumentos Financeiros'!$F$12+1),PMT(((1+'Instrumentos Financeiros'!$L$43)^(1/12)-1),$F$12,-$I$79),0)</f>
        <v>368.57912678094596</v>
      </c>
      <c r="BU364" s="1312">
        <f t="shared" si="259"/>
        <v>349.98109744796238</v>
      </c>
      <c r="BV364" s="1312">
        <f>BW363*((1+'Instrumentos Financeiros'!$L$43)^(1/12)-1)</f>
        <v>18.598029332983565</v>
      </c>
      <c r="BW364" s="1312">
        <f t="shared" si="260"/>
        <v>3951.1250267581036</v>
      </c>
      <c r="BX364" s="1312">
        <f>IF(AND(C364&gt;$F$80,'Instrumentos Financeiros'!C364&lt;'Instrumentos Financeiros'!$F$80+'Instrumentos Financeiros'!$F$12+1),PMT(((1+'Instrumentos Financeiros'!$L$43)^(1/12)-1),$F$12,-$I$80),0)</f>
        <v>368.57912678094596</v>
      </c>
      <c r="BY364" s="1312">
        <f t="shared" si="261"/>
        <v>345.48011191496903</v>
      </c>
      <c r="BZ364" s="1312">
        <f>CA363*((1+'Instrumentos Financeiros'!$L$43)^(1/12)-1)</f>
        <v>23.099014865976955</v>
      </c>
      <c r="CA364" s="1312">
        <f t="shared" si="262"/>
        <v>4996.5543867069418</v>
      </c>
      <c r="CB364" s="1312">
        <f>IF(AND(C364&gt;$F$83,'Instrumentos Financeiros'!C364&lt;'Instrumentos Financeiros'!$F$83+'Instrumentos Financeiros'!$F$13+1),PMT(((1+'Instrumentos Financeiros'!$P$43)^(1/12)-1),$F$13,-$I$83),0)</f>
        <v>30503.390100238979</v>
      </c>
      <c r="CC364" s="1312">
        <f t="shared" si="263"/>
        <v>21786.534083792838</v>
      </c>
      <c r="CD364" s="1312">
        <f>CE363*((1+'Instrumentos Financeiros'!$P$43)^(1/12)-1)</f>
        <v>8716.8560164461396</v>
      </c>
      <c r="CE364" s="1312">
        <f t="shared" si="264"/>
        <v>1994132.5788980746</v>
      </c>
      <c r="CF364" s="1312">
        <f>IF(AND(C364&gt;$F$84,'Instrumentos Financeiros'!C364&lt;'Instrumentos Financeiros'!$F$84+'Instrumentos Financeiros'!$F$13+1),PMT(((1+'Instrumentos Financeiros'!$Q$43)^(1/12)-1),$F$13,-$I$84),0)</f>
        <v>30503.390100238979</v>
      </c>
      <c r="CG364" s="1312">
        <f t="shared" si="265"/>
        <v>21506.345023754249</v>
      </c>
      <c r="CH364" s="1312">
        <f>CI363*((1+'Instrumentos Financeiros'!$Q$43)^(1/12)-1)</f>
        <v>8997.0450764847301</v>
      </c>
      <c r="CI364" s="1312">
        <f t="shared" si="266"/>
        <v>2059211.1861394548</v>
      </c>
      <c r="CJ364" s="1312">
        <f>IF(AND(C364&gt;$F$85,'Instrumentos Financeiros'!C364&lt;'Instrumentos Financeiros'!$F$85+'Instrumentos Financeiros'!$F$13+1),PMT(((1+'Instrumentos Financeiros'!$Q$43)^(1/12)-1),$F$13,-$I$85),0)</f>
        <v>30503.390100238979</v>
      </c>
      <c r="CK364" s="1312">
        <f t="shared" si="267"/>
        <v>21229.75937805698</v>
      </c>
      <c r="CL364" s="1312">
        <f>CM363*((1+'Instrumentos Financeiros'!$Q$43)^(1/12)-1)</f>
        <v>9273.630722181997</v>
      </c>
      <c r="CM364" s="1312">
        <f t="shared" si="268"/>
        <v>2123452.8399801035</v>
      </c>
      <c r="CN364" s="1312">
        <f>IF(AND(C364&gt;$F$86,'Instrumentos Financeiros'!C364&lt;'Instrumentos Financeiros'!$F$86+'Instrumentos Financeiros'!$F$13+1),PMT(((1+'Instrumentos Financeiros'!$Q$43)^(1/12)-1),$F$13,-$I$86),0)</f>
        <v>30503.390100238979</v>
      </c>
      <c r="CO364" s="1312">
        <f t="shared" si="269"/>
        <v>20956.730804438739</v>
      </c>
      <c r="CP364" s="1312">
        <f>CQ363*((1+'Instrumentos Financeiros'!$Q$43)^(1/12)-1)</f>
        <v>9546.6592958002402</v>
      </c>
      <c r="CQ364" s="1312">
        <f t="shared" si="270"/>
        <v>2186868.3041874808</v>
      </c>
      <c r="CR364" s="1312">
        <f t="shared" si="239"/>
        <v>200124.53793011204</v>
      </c>
      <c r="CS364" s="1312">
        <f t="shared" si="239"/>
        <v>162539.59447346992</v>
      </c>
      <c r="CT364" s="1312">
        <f t="shared" si="239"/>
        <v>37584.943456642082</v>
      </c>
      <c r="CU364" s="1312">
        <f t="shared" si="239"/>
        <v>8529608.7823765408</v>
      </c>
    </row>
    <row r="365" spans="3:99" x14ac:dyDescent="0.35">
      <c r="C365" s="1315">
        <f t="shared" si="240"/>
        <v>272</v>
      </c>
      <c r="D365" s="1312">
        <f>IF(AND(C365&gt;$F$59,'Instrumentos Financeiros'!C365&lt;'Instrumentos Financeiros'!$F$59+'Instrumentos Financeiros'!$F$11+1),PMT(((1+'Instrumentos Financeiros'!$G$43)^(1/12)-1),$F$11,-$I$59),0)</f>
        <v>0</v>
      </c>
      <c r="E365" s="1312">
        <f t="shared" si="237"/>
        <v>-9.6675551302288902E-12</v>
      </c>
      <c r="F365" s="1312">
        <f>G364*((1+'Instrumentos Financeiros'!$G$43)^(1/12)-1)</f>
        <v>9.6675551302288902E-12</v>
      </c>
      <c r="G365" s="1312">
        <f t="shared" si="271"/>
        <v>2.3781211230493526E-9</v>
      </c>
      <c r="H365" s="1312">
        <f>IF(AND(C365&gt;$F$60,'Instrumentos Financeiros'!C365&lt;'Instrumentos Financeiros'!$F$60+'Instrumentos Financeiros'!$F$11+1),PMT(((1+'Instrumentos Financeiros'!$G$43)^(1/12)-1),$F$11,-$I$60),0)</f>
        <v>0</v>
      </c>
      <c r="I365" s="1312">
        <f t="shared" si="223"/>
        <v>0</v>
      </c>
      <c r="J365" s="1312">
        <f>K364*((1+'Instrumentos Financeiros'!$G$43)^(1/12)-1)</f>
        <v>0</v>
      </c>
      <c r="K365" s="1312">
        <f t="shared" si="241"/>
        <v>0</v>
      </c>
      <c r="L365" s="1312">
        <f>IF(AND(C365&gt;$F$61,'Instrumentos Financeiros'!C365&lt;'Instrumentos Financeiros'!$F$61+'Instrumentos Financeiros'!$F$11+1),PMT(((1+'Instrumentos Financeiros'!$G$43)^(1/12)-1),$F$11,-$I$61),0)</f>
        <v>0</v>
      </c>
      <c r="M365" s="1312">
        <f t="shared" si="224"/>
        <v>0</v>
      </c>
      <c r="N365" s="1312">
        <f>O364*((1+'Instrumentos Financeiros'!$G$43)^(1/12)-1)</f>
        <v>0</v>
      </c>
      <c r="O365" s="1312">
        <f t="shared" si="242"/>
        <v>0</v>
      </c>
      <c r="P365" s="1312">
        <f>IF(AND(C365&gt;$F$62,'Instrumentos Financeiros'!C365&lt;'Instrumentos Financeiros'!$F$62+'Instrumentos Financeiros'!$F$11+1),PMT(((1+'Instrumentos Financeiros'!$H$43)^(1/12)-1),$F$11,-$I$62),0)</f>
        <v>0</v>
      </c>
      <c r="Q365" s="1312">
        <f t="shared" si="225"/>
        <v>0</v>
      </c>
      <c r="R365" s="1312">
        <f>S364*((1+'Instrumentos Financeiros'!$H$43)^(1/12)-1)</f>
        <v>0</v>
      </c>
      <c r="S365" s="1312">
        <f t="shared" si="243"/>
        <v>0</v>
      </c>
      <c r="T365" s="1312">
        <f>IF(AND(C365&gt;$F$63,'Instrumentos Financeiros'!C365&lt;'Instrumentos Financeiros'!$F$63+'Instrumentos Financeiros'!$F$11+1),PMT(((1+'Instrumentos Financeiros'!$H$43)^(1/12)-1),$F$11,-$I$63),0)</f>
        <v>0</v>
      </c>
      <c r="U365" s="1312">
        <f t="shared" si="226"/>
        <v>0</v>
      </c>
      <c r="V365" s="1312">
        <f>W364*((1+'Instrumentos Financeiros'!$H$43)^(1/12)-1)</f>
        <v>0</v>
      </c>
      <c r="W365" s="1312">
        <f t="shared" si="244"/>
        <v>0</v>
      </c>
      <c r="X365" s="1312">
        <f>IF(AND(C365&gt;$F$64,'Instrumentos Financeiros'!C365&lt;'Instrumentos Financeiros'!$F$64+'Instrumentos Financeiros'!$F$11+1),PMT(((1+'Instrumentos Financeiros'!$H$43)^(1/12)-1),$F$11,-$I$64),0)</f>
        <v>0</v>
      </c>
      <c r="Y365" s="1312">
        <f t="shared" si="227"/>
        <v>0</v>
      </c>
      <c r="Z365" s="1312">
        <f>AA364*((1+'Instrumentos Financeiros'!$H$43)^(1/12)-1)</f>
        <v>0</v>
      </c>
      <c r="AA365" s="1312">
        <f t="shared" si="245"/>
        <v>0</v>
      </c>
      <c r="AB365" s="1312">
        <f>IF(AND(C365&gt;$F$65,'Instrumentos Financeiros'!C365&lt;'Instrumentos Financeiros'!$F$65+'Instrumentos Financeiros'!$F$11+1),PMT(((1+'Instrumentos Financeiros'!$H$43)^(1/12)-1),$F$11,-$I$65),0)</f>
        <v>0</v>
      </c>
      <c r="AC365" s="1312">
        <f t="shared" si="228"/>
        <v>2.3541301575988471E-11</v>
      </c>
      <c r="AD365" s="1312">
        <f>AE364*((1+'Instrumentos Financeiros'!$H$43)^(1/12)-1)</f>
        <v>-2.3541301575988471E-11</v>
      </c>
      <c r="AE365" s="1312">
        <f t="shared" si="246"/>
        <v>-5.4678620178947237E-9</v>
      </c>
      <c r="AF365" s="1312">
        <f>IF(AND(C365&gt;$F$66,'Instrumentos Financeiros'!C365&lt;'Instrumentos Financeiros'!$F$66+'Instrumentos Financeiros'!$F$11+1),PMT(((1+'Instrumentos Financeiros'!$I$43)^(1/12)-1),$F$11,-$I$66),0)</f>
        <v>0</v>
      </c>
      <c r="AG365" s="1312">
        <f t="shared" si="229"/>
        <v>2.323854505972515E-11</v>
      </c>
      <c r="AH365" s="1312">
        <f>AI364*((1+'Instrumentos Financeiros'!$I$43)^(1/12)-1)</f>
        <v>-2.323854505972515E-11</v>
      </c>
      <c r="AI365" s="1312">
        <f t="shared" si="247"/>
        <v>-5.3975417405471521E-9</v>
      </c>
      <c r="AJ365" s="1312">
        <f>IF(AND(C365&gt;$F$67,'Instrumentos Financeiros'!C365&lt;'Instrumentos Financeiros'!$F$67+'Instrumentos Financeiros'!$F$11+1),PMT(((1+'Instrumentos Financeiros'!$I$43)^(1/12)-1),$F$11,-$I$67),0)</f>
        <v>0</v>
      </c>
      <c r="AK365" s="1312">
        <f t="shared" si="230"/>
        <v>2.2939682190032055E-11</v>
      </c>
      <c r="AL365" s="1312">
        <f>AM364*((1+'Instrumentos Financeiros'!$I$43)^(1/12)-1)</f>
        <v>-2.2939682190032055E-11</v>
      </c>
      <c r="AM365" s="1312">
        <f t="shared" si="248"/>
        <v>-5.328125827901919E-9</v>
      </c>
      <c r="AN365" s="1312">
        <f>IF(AND(C365&gt;$F$68,'Instrumentos Financeiros'!C365&lt;'Instrumentos Financeiros'!$F$68+'Instrumentos Financeiros'!$F$11+1),PMT(((1+'Instrumentos Financeiros'!$I$43)^(1/12)-1),$F$11,-$I$68),0)</f>
        <v>76636.661022032335</v>
      </c>
      <c r="AO365" s="1312">
        <f t="shared" si="231"/>
        <v>75978.179515162439</v>
      </c>
      <c r="AP365" s="1312">
        <f>AQ364*((1+'Instrumentos Financeiros'!$I$43)^(1/12)-1)</f>
        <v>658.48150686989686</v>
      </c>
      <c r="AQ365" s="1312">
        <f t="shared" si="249"/>
        <v>76306.709983944529</v>
      </c>
      <c r="AR365" s="1312">
        <f>IF(AND(C365&gt;$F$69,'Instrumentos Financeiros'!C365&lt;'Instrumentos Financeiros'!$F$69+'Instrumentos Financeiros'!$F$11+1),PMT(((1+'Instrumentos Financeiros'!$I$43)^(1/12)-1),$F$11,-$I$69),0)</f>
        <v>0</v>
      </c>
      <c r="AS365" s="1312">
        <f t="shared" si="232"/>
        <v>0</v>
      </c>
      <c r="AT365" s="1312">
        <f>AU364*((1+'Instrumentos Financeiros'!$I$43)^(1/12)-1)</f>
        <v>0</v>
      </c>
      <c r="AU365" s="1312">
        <f t="shared" si="250"/>
        <v>0</v>
      </c>
      <c r="AV365" s="1312">
        <f>IF(AND(C365&gt;$F$70,'Instrumentos Financeiros'!C365&lt;'Instrumentos Financeiros'!$F$70+'Instrumentos Financeiros'!$F$11+1),PMT(((1+'Instrumentos Financeiros'!$J$43)^(1/12)-1),$F$11,-$I$70),0)</f>
        <v>0</v>
      </c>
      <c r="AW365" s="1312">
        <f t="shared" si="233"/>
        <v>0</v>
      </c>
      <c r="AX365" s="1312">
        <f>AY364*((1+'Instrumentos Financeiros'!$J$43)^(1/12)-1)</f>
        <v>0</v>
      </c>
      <c r="AY365" s="1312">
        <f t="shared" si="251"/>
        <v>0</v>
      </c>
      <c r="AZ365" s="1312">
        <f>IF(AND(C365&gt;$F$71,'Instrumentos Financeiros'!C365&lt;'Instrumentos Financeiros'!$F$71+'Instrumentos Financeiros'!$F$11+1),PMT(((1+'Instrumentos Financeiros'!$J$43)^(1/12)-1),$F$11,-$I$71),0)</f>
        <v>0</v>
      </c>
      <c r="BA365" s="1312">
        <f t="shared" si="234"/>
        <v>0</v>
      </c>
      <c r="BB365" s="1312">
        <f>BC364*((1+'Instrumentos Financeiros'!$J$43)^(1/12)-1)</f>
        <v>0</v>
      </c>
      <c r="BC365" s="1312">
        <f t="shared" si="252"/>
        <v>0</v>
      </c>
      <c r="BD365" s="1312">
        <f>IF(AND(C365&gt;$F$72,'Instrumentos Financeiros'!C365&lt;'Instrumentos Financeiros'!$F$72+'Instrumentos Financeiros'!$F$11+1),PMT(((1+'Instrumentos Financeiros'!$J$43)^(1/12)-1),$F$11,-'Instrumentos Financeiros'!$G$7*$G$72),0)</f>
        <v>0</v>
      </c>
      <c r="BE365" s="1312">
        <f t="shared" si="235"/>
        <v>0</v>
      </c>
      <c r="BF365" s="1312">
        <f>BG364*((1+'Instrumentos Financeiros'!$J$43)^(1/12)-1)</f>
        <v>0</v>
      </c>
      <c r="BG365" s="1312">
        <f t="shared" si="253"/>
        <v>0</v>
      </c>
      <c r="BH365" s="1312">
        <f>IF(AND(C365&gt;$F$73,'Instrumentos Financeiros'!C365&lt;'Instrumentos Financeiros'!$F$73+'Instrumentos Financeiros'!$F$11+1),PMT(((1+'Instrumentos Financeiros'!$J$43)^(1/12)-1),$F$11,-$I$73),0)</f>
        <v>0</v>
      </c>
      <c r="BI365" s="1312">
        <f t="shared" si="236"/>
        <v>0</v>
      </c>
      <c r="BJ365" s="1312">
        <f>BK364*((1+'Instrumentos Financeiros'!$J$43)^(1/12)-1)</f>
        <v>0</v>
      </c>
      <c r="BK365" s="1312">
        <f t="shared" si="254"/>
        <v>0</v>
      </c>
      <c r="BL365" s="1312">
        <f>IF(AND(C365&gt;$F$77,'Instrumentos Financeiros'!C365&lt;'Instrumentos Financeiros'!$F$77+'Instrumentos Financeiros'!$F$12+1),PMT(((1+'Instrumentos Financeiros'!$K$43)^(1/12)-1),$F$12,-$I$77),0)</f>
        <v>368.57912678094596</v>
      </c>
      <c r="BM365" s="1312">
        <f t="shared" si="255"/>
        <v>360.71276240959099</v>
      </c>
      <c r="BN365" s="1312">
        <f>BO364*((1+'Instrumentos Financeiros'!$K$43)^(1/12)-1)</f>
        <v>7.866364371354952</v>
      </c>
      <c r="BO365" s="1312">
        <f t="shared" si="256"/>
        <v>1458.5158970950231</v>
      </c>
      <c r="BP365" s="1312">
        <f>IF(AND(C365&gt;$F$78,'Instrumentos Financeiros'!C365&lt;'Instrumentos Financeiros'!$F$78+'Instrumentos Financeiros'!$F$12+1),PMT(((1+'Instrumentos Financeiros'!$L$43)^(1/12)-1),$F$12,-$I$78),0)</f>
        <v>368.57912678094596</v>
      </c>
      <c r="BQ365" s="1312">
        <f t="shared" si="257"/>
        <v>356.07376065489467</v>
      </c>
      <c r="BR365" s="1312">
        <f>BS364*((1+'Instrumentos Financeiros'!$L$43)^(1/12)-1)</f>
        <v>12.505366126051301</v>
      </c>
      <c r="BS365" s="1312">
        <f t="shared" si="258"/>
        <v>2536.0018387102155</v>
      </c>
      <c r="BT365" s="1312">
        <f>IF(AND(C365&gt;$F$79,'Instrumentos Financeiros'!C365&lt;'Instrumentos Financeiros'!$F$79+'Instrumentos Financeiros'!$F$12+1),PMT(((1+'Instrumentos Financeiros'!$L$43)^(1/12)-1),$F$12,-$I$79),0)</f>
        <v>368.57912678094596</v>
      </c>
      <c r="BU365" s="1312">
        <f t="shared" si="259"/>
        <v>351.4944194931208</v>
      </c>
      <c r="BV365" s="1312">
        <f>BW364*((1+'Instrumentos Financeiros'!$L$43)^(1/12)-1)</f>
        <v>17.084707287825132</v>
      </c>
      <c r="BW365" s="1312">
        <f t="shared" si="260"/>
        <v>3599.6306072649827</v>
      </c>
      <c r="BX365" s="1312">
        <f>IF(AND(C365&gt;$F$80,'Instrumentos Financeiros'!C365&lt;'Instrumentos Financeiros'!$F$80+'Instrumentos Financeiros'!$F$12+1),PMT(((1+'Instrumentos Financeiros'!$L$43)^(1/12)-1),$F$12,-$I$80),0)</f>
        <v>368.57912678094596</v>
      </c>
      <c r="BY365" s="1312">
        <f t="shared" si="261"/>
        <v>346.97397165007214</v>
      </c>
      <c r="BZ365" s="1312">
        <f>CA364*((1+'Instrumentos Financeiros'!$L$43)^(1/12)-1)</f>
        <v>21.605155130873801</v>
      </c>
      <c r="CA365" s="1312">
        <f t="shared" si="262"/>
        <v>4649.5804150568692</v>
      </c>
      <c r="CB365" s="1312">
        <f>IF(AND(C365&gt;$F$83,'Instrumentos Financeiros'!C365&lt;'Instrumentos Financeiros'!$F$83+'Instrumentos Financeiros'!$F$13+1),PMT(((1+'Instrumentos Financeiros'!$P$43)^(1/12)-1),$F$13,-$I$83),0)</f>
        <v>30503.390100238979</v>
      </c>
      <c r="CC365" s="1312">
        <f t="shared" si="263"/>
        <v>21880.73929246558</v>
      </c>
      <c r="CD365" s="1312">
        <f>CE364*((1+'Instrumentos Financeiros'!$P$43)^(1/12)-1)</f>
        <v>8622.6508077733997</v>
      </c>
      <c r="CE365" s="1312">
        <f t="shared" si="264"/>
        <v>1972251.839605609</v>
      </c>
      <c r="CF365" s="1312">
        <f>IF(AND(C365&gt;$F$84,'Instrumentos Financeiros'!C365&lt;'Instrumentos Financeiros'!$F$84+'Instrumentos Financeiros'!$F$13+1),PMT(((1+'Instrumentos Financeiros'!$Q$43)^(1/12)-1),$F$13,-$I$84),0)</f>
        <v>30503.390100238979</v>
      </c>
      <c r="CG365" s="1312">
        <f t="shared" si="265"/>
        <v>21599.338691905341</v>
      </c>
      <c r="CH365" s="1312">
        <f>CI364*((1+'Instrumentos Financeiros'!$Q$43)^(1/12)-1)</f>
        <v>8904.0514083336384</v>
      </c>
      <c r="CI365" s="1312">
        <f t="shared" si="266"/>
        <v>2037611.8474475495</v>
      </c>
      <c r="CJ365" s="1312">
        <f>IF(AND(C365&gt;$F$85,'Instrumentos Financeiros'!C365&lt;'Instrumentos Financeiros'!$F$85+'Instrumentos Financeiros'!$F$13+1),PMT(((1+'Instrumentos Financeiros'!$Q$43)^(1/12)-1),$F$13,-$I$85),0)</f>
        <v>30503.390100238979</v>
      </c>
      <c r="CK365" s="1312">
        <f t="shared" si="267"/>
        <v>21321.557086888955</v>
      </c>
      <c r="CL365" s="1312">
        <f>CM364*((1+'Instrumentos Financeiros'!$Q$43)^(1/12)-1)</f>
        <v>9181.8330133500222</v>
      </c>
      <c r="CM365" s="1312">
        <f t="shared" si="268"/>
        <v>2102131.2828932144</v>
      </c>
      <c r="CN365" s="1312">
        <f>IF(AND(C365&gt;$F$86,'Instrumentos Financeiros'!C365&lt;'Instrumentos Financeiros'!$F$86+'Instrumentos Financeiros'!$F$13+1),PMT(((1+'Instrumentos Financeiros'!$Q$43)^(1/12)-1),$F$13,-$I$86),0)</f>
        <v>30503.390100238979</v>
      </c>
      <c r="CO365" s="1312">
        <f t="shared" si="269"/>
        <v>21047.347934769678</v>
      </c>
      <c r="CP365" s="1312">
        <f>CQ364*((1+'Instrumentos Financeiros'!$Q$43)^(1/12)-1)</f>
        <v>9456.0421654693</v>
      </c>
      <c r="CQ365" s="1312">
        <f t="shared" si="270"/>
        <v>2165820.9562527114</v>
      </c>
      <c r="CR365" s="1312">
        <f t="shared" si="239"/>
        <v>200124.53793011204</v>
      </c>
      <c r="CS365" s="1312">
        <f t="shared" si="239"/>
        <v>163242.41743539972</v>
      </c>
      <c r="CT365" s="1312">
        <f t="shared" si="239"/>
        <v>36882.120494712297</v>
      </c>
      <c r="CU365" s="1312">
        <f t="shared" si="239"/>
        <v>8366366.3649411425</v>
      </c>
    </row>
    <row r="366" spans="3:99" x14ac:dyDescent="0.35">
      <c r="C366" s="1315">
        <f t="shared" si="240"/>
        <v>273</v>
      </c>
      <c r="D366" s="1312">
        <f>IF(AND(C366&gt;$F$59,'Instrumentos Financeiros'!C366&lt;'Instrumentos Financeiros'!$F$59+'Instrumentos Financeiros'!$F$11+1),PMT(((1+'Instrumentos Financeiros'!$G$43)^(1/12)-1),$F$11,-$I$59),0)</f>
        <v>0</v>
      </c>
      <c r="E366" s="1312">
        <f t="shared" si="237"/>
        <v>-9.7070161622972234E-12</v>
      </c>
      <c r="F366" s="1312">
        <f>G365*((1+'Instrumentos Financeiros'!$G$43)^(1/12)-1)</f>
        <v>9.7070161622972234E-12</v>
      </c>
      <c r="G366" s="1312">
        <f t="shared" si="271"/>
        <v>2.3878281392116497E-9</v>
      </c>
      <c r="H366" s="1312">
        <f>IF(AND(C366&gt;$F$60,'Instrumentos Financeiros'!C366&lt;'Instrumentos Financeiros'!$F$60+'Instrumentos Financeiros'!$F$11+1),PMT(((1+'Instrumentos Financeiros'!$G$43)^(1/12)-1),$F$11,-$I$60),0)</f>
        <v>0</v>
      </c>
      <c r="I366" s="1312">
        <f t="shared" si="223"/>
        <v>0</v>
      </c>
      <c r="J366" s="1312">
        <f>K365*((1+'Instrumentos Financeiros'!$G$43)^(1/12)-1)</f>
        <v>0</v>
      </c>
      <c r="K366" s="1312">
        <f t="shared" si="241"/>
        <v>0</v>
      </c>
      <c r="L366" s="1312">
        <f>IF(AND(C366&gt;$F$61,'Instrumentos Financeiros'!C366&lt;'Instrumentos Financeiros'!$F$61+'Instrumentos Financeiros'!$F$11+1),PMT(((1+'Instrumentos Financeiros'!$G$43)^(1/12)-1),$F$11,-$I$61),0)</f>
        <v>0</v>
      </c>
      <c r="M366" s="1312">
        <f t="shared" si="224"/>
        <v>0</v>
      </c>
      <c r="N366" s="1312">
        <f>O365*((1+'Instrumentos Financeiros'!$G$43)^(1/12)-1)</f>
        <v>0</v>
      </c>
      <c r="O366" s="1312">
        <f t="shared" si="242"/>
        <v>0</v>
      </c>
      <c r="P366" s="1312">
        <f>IF(AND(C366&gt;$F$62,'Instrumentos Financeiros'!C366&lt;'Instrumentos Financeiros'!$F$62+'Instrumentos Financeiros'!$F$11+1),PMT(((1+'Instrumentos Financeiros'!$H$43)^(1/12)-1),$F$11,-$I$62),0)</f>
        <v>0</v>
      </c>
      <c r="Q366" s="1312">
        <f t="shared" si="225"/>
        <v>0</v>
      </c>
      <c r="R366" s="1312">
        <f>S365*((1+'Instrumentos Financeiros'!$H$43)^(1/12)-1)</f>
        <v>0</v>
      </c>
      <c r="S366" s="1312">
        <f t="shared" si="243"/>
        <v>0</v>
      </c>
      <c r="T366" s="1312">
        <f>IF(AND(C366&gt;$F$63,'Instrumentos Financeiros'!C366&lt;'Instrumentos Financeiros'!$F$63+'Instrumentos Financeiros'!$F$11+1),PMT(((1+'Instrumentos Financeiros'!$H$43)^(1/12)-1),$F$11,-$I$63),0)</f>
        <v>0</v>
      </c>
      <c r="U366" s="1312">
        <f t="shared" si="226"/>
        <v>0</v>
      </c>
      <c r="V366" s="1312">
        <f>W365*((1+'Instrumentos Financeiros'!$H$43)^(1/12)-1)</f>
        <v>0</v>
      </c>
      <c r="W366" s="1312">
        <f t="shared" si="244"/>
        <v>0</v>
      </c>
      <c r="X366" s="1312">
        <f>IF(AND(C366&gt;$F$64,'Instrumentos Financeiros'!C366&lt;'Instrumentos Financeiros'!$F$64+'Instrumentos Financeiros'!$F$11+1),PMT(((1+'Instrumentos Financeiros'!$H$43)^(1/12)-1),$F$11,-$I$64),0)</f>
        <v>0</v>
      </c>
      <c r="Y366" s="1312">
        <f t="shared" si="227"/>
        <v>0</v>
      </c>
      <c r="Z366" s="1312">
        <f>AA365*((1+'Instrumentos Financeiros'!$H$43)^(1/12)-1)</f>
        <v>0</v>
      </c>
      <c r="AA366" s="1312">
        <f t="shared" si="245"/>
        <v>0</v>
      </c>
      <c r="AB366" s="1312">
        <f>IF(AND(C366&gt;$F$65,'Instrumentos Financeiros'!C366&lt;'Instrumentos Financeiros'!$F$65+'Instrumentos Financeiros'!$F$11+1),PMT(((1+'Instrumentos Financeiros'!$H$43)^(1/12)-1),$F$11,-$I$65),0)</f>
        <v>0</v>
      </c>
      <c r="AC366" s="1312">
        <f t="shared" si="228"/>
        <v>2.364309441824894E-11</v>
      </c>
      <c r="AD366" s="1312">
        <f>AE365*((1+'Instrumentos Financeiros'!$H$43)^(1/12)-1)</f>
        <v>-2.364309441824894E-11</v>
      </c>
      <c r="AE366" s="1312">
        <f t="shared" si="246"/>
        <v>-5.4915051123129729E-9</v>
      </c>
      <c r="AF366" s="1312">
        <f>IF(AND(C366&gt;$F$66,'Instrumentos Financeiros'!C366&lt;'Instrumentos Financeiros'!$F$66+'Instrumentos Financeiros'!$F$11+1),PMT(((1+'Instrumentos Financeiros'!$I$43)^(1/12)-1),$F$11,-$I$66),0)</f>
        <v>0</v>
      </c>
      <c r="AG366" s="1312">
        <f t="shared" si="229"/>
        <v>2.3339028779539531E-11</v>
      </c>
      <c r="AH366" s="1312">
        <f>AI365*((1+'Instrumentos Financeiros'!$I$43)^(1/12)-1)</f>
        <v>-2.3339028779539531E-11</v>
      </c>
      <c r="AI366" s="1312">
        <f t="shared" si="247"/>
        <v>-5.4208807693266914E-9</v>
      </c>
      <c r="AJ366" s="1312">
        <f>IF(AND(C366&gt;$F$67,'Instrumentos Financeiros'!C366&lt;'Instrumentos Financeiros'!$F$67+'Instrumentos Financeiros'!$F$11+1),PMT(((1+'Instrumentos Financeiros'!$I$43)^(1/12)-1),$F$11,-$I$67),0)</f>
        <v>0</v>
      </c>
      <c r="AK366" s="1312">
        <f t="shared" si="230"/>
        <v>2.3038873623570164E-11</v>
      </c>
      <c r="AL366" s="1312">
        <f>AM365*((1+'Instrumentos Financeiros'!$I$43)^(1/12)-1)</f>
        <v>-2.3038873623570164E-11</v>
      </c>
      <c r="AM366" s="1312">
        <f t="shared" si="248"/>
        <v>-5.3511647015254888E-9</v>
      </c>
      <c r="AN366" s="1312">
        <f>IF(AND(C366&gt;$F$68,'Instrumentos Financeiros'!C366&lt;'Instrumentos Financeiros'!$F$68+'Instrumentos Financeiros'!$F$11+1),PMT(((1+'Instrumentos Financeiros'!$I$43)^(1/12)-1),$F$11,-$I$68),0)</f>
        <v>76636.661022032335</v>
      </c>
      <c r="AO366" s="1312">
        <f t="shared" si="231"/>
        <v>76306.709983949811</v>
      </c>
      <c r="AP366" s="1312">
        <f>AQ365*((1+'Instrumentos Financeiros'!$I$43)^(1/12)-1)</f>
        <v>329.95103808251872</v>
      </c>
      <c r="AQ366" s="1312">
        <f t="shared" si="249"/>
        <v>-5.2823452278971672E-9</v>
      </c>
      <c r="AR366" s="1312">
        <f>IF(AND(C366&gt;$F$69,'Instrumentos Financeiros'!C366&lt;'Instrumentos Financeiros'!$F$69+'Instrumentos Financeiros'!$F$11+1),PMT(((1+'Instrumentos Financeiros'!$I$43)^(1/12)-1),$F$11,-$I$69),0)</f>
        <v>0</v>
      </c>
      <c r="AS366" s="1312">
        <f t="shared" si="232"/>
        <v>0</v>
      </c>
      <c r="AT366" s="1312">
        <f>AU365*((1+'Instrumentos Financeiros'!$I$43)^(1/12)-1)</f>
        <v>0</v>
      </c>
      <c r="AU366" s="1312">
        <f t="shared" si="250"/>
        <v>0</v>
      </c>
      <c r="AV366" s="1312">
        <f>IF(AND(C366&gt;$F$70,'Instrumentos Financeiros'!C366&lt;'Instrumentos Financeiros'!$F$70+'Instrumentos Financeiros'!$F$11+1),PMT(((1+'Instrumentos Financeiros'!$J$43)^(1/12)-1),$F$11,-$I$70),0)</f>
        <v>0</v>
      </c>
      <c r="AW366" s="1312">
        <f t="shared" si="233"/>
        <v>0</v>
      </c>
      <c r="AX366" s="1312">
        <f>AY365*((1+'Instrumentos Financeiros'!$J$43)^(1/12)-1)</f>
        <v>0</v>
      </c>
      <c r="AY366" s="1312">
        <f t="shared" si="251"/>
        <v>0</v>
      </c>
      <c r="AZ366" s="1312">
        <f>IF(AND(C366&gt;$F$71,'Instrumentos Financeiros'!C366&lt;'Instrumentos Financeiros'!$F$71+'Instrumentos Financeiros'!$F$11+1),PMT(((1+'Instrumentos Financeiros'!$J$43)^(1/12)-1),$F$11,-$I$71),0)</f>
        <v>0</v>
      </c>
      <c r="BA366" s="1312">
        <f t="shared" si="234"/>
        <v>0</v>
      </c>
      <c r="BB366" s="1312">
        <f>BC365*((1+'Instrumentos Financeiros'!$J$43)^(1/12)-1)</f>
        <v>0</v>
      </c>
      <c r="BC366" s="1312">
        <f t="shared" si="252"/>
        <v>0</v>
      </c>
      <c r="BD366" s="1312">
        <f>IF(AND(C366&gt;$F$72,'Instrumentos Financeiros'!C366&lt;'Instrumentos Financeiros'!$F$72+'Instrumentos Financeiros'!$F$11+1),PMT(((1+'Instrumentos Financeiros'!$J$43)^(1/12)-1),$F$11,-'Instrumentos Financeiros'!$G$7*$G$72),0)</f>
        <v>0</v>
      </c>
      <c r="BE366" s="1312">
        <f t="shared" si="235"/>
        <v>0</v>
      </c>
      <c r="BF366" s="1312">
        <f>BG365*((1+'Instrumentos Financeiros'!$J$43)^(1/12)-1)</f>
        <v>0</v>
      </c>
      <c r="BG366" s="1312">
        <f t="shared" si="253"/>
        <v>0</v>
      </c>
      <c r="BH366" s="1312">
        <f>IF(AND(C366&gt;$F$73,'Instrumentos Financeiros'!C366&lt;'Instrumentos Financeiros'!$F$73+'Instrumentos Financeiros'!$F$11+1),PMT(((1+'Instrumentos Financeiros'!$J$43)^(1/12)-1),$F$11,-$I$73),0)</f>
        <v>0</v>
      </c>
      <c r="BI366" s="1312">
        <f t="shared" si="236"/>
        <v>0</v>
      </c>
      <c r="BJ366" s="1312">
        <f>BK365*((1+'Instrumentos Financeiros'!$J$43)^(1/12)-1)</f>
        <v>0</v>
      </c>
      <c r="BK366" s="1312">
        <f t="shared" si="254"/>
        <v>0</v>
      </c>
      <c r="BL366" s="1312">
        <f>IF(AND(C366&gt;$F$77,'Instrumentos Financeiros'!C366&lt;'Instrumentos Financeiros'!$F$77+'Instrumentos Financeiros'!$F$12+1),PMT(((1+'Instrumentos Financeiros'!$K$43)^(1/12)-1),$F$12,-$I$77),0)</f>
        <v>368.57912678094596</v>
      </c>
      <c r="BM366" s="1312">
        <f t="shared" si="255"/>
        <v>362.27248828994544</v>
      </c>
      <c r="BN366" s="1312">
        <f>BO365*((1+'Instrumentos Financeiros'!$K$43)^(1/12)-1)</f>
        <v>6.3066384910005286</v>
      </c>
      <c r="BO366" s="1312">
        <f t="shared" si="256"/>
        <v>1096.2434088050777</v>
      </c>
      <c r="BP366" s="1312">
        <f>IF(AND(C366&gt;$F$78,'Instrumentos Financeiros'!C366&lt;'Instrumentos Financeiros'!$F$78+'Instrumentos Financeiros'!$F$12+1),PMT(((1+'Instrumentos Financeiros'!$L$43)^(1/12)-1),$F$12,-$I$78),0)</f>
        <v>368.57912678094596</v>
      </c>
      <c r="BQ366" s="1312">
        <f t="shared" si="257"/>
        <v>357.61342744156059</v>
      </c>
      <c r="BR366" s="1312">
        <f>BS365*((1+'Instrumentos Financeiros'!$L$43)^(1/12)-1)</f>
        <v>10.965699339385374</v>
      </c>
      <c r="BS366" s="1312">
        <f t="shared" si="258"/>
        <v>2178.3884112686546</v>
      </c>
      <c r="BT366" s="1312">
        <f>IF(AND(C366&gt;$F$79,'Instrumentos Financeiros'!C366&lt;'Instrumentos Financeiros'!$F$79+'Instrumentos Financeiros'!$F$12+1),PMT(((1+'Instrumentos Financeiros'!$L$43)^(1/12)-1),$F$12,-$I$79),0)</f>
        <v>368.57912678094596</v>
      </c>
      <c r="BU366" s="1312">
        <f t="shared" si="259"/>
        <v>353.01428515914637</v>
      </c>
      <c r="BV366" s="1312">
        <f>BW365*((1+'Instrumentos Financeiros'!$L$43)^(1/12)-1)</f>
        <v>15.564841621799566</v>
      </c>
      <c r="BW366" s="1312">
        <f t="shared" si="260"/>
        <v>3246.6163221058364</v>
      </c>
      <c r="BX366" s="1312">
        <f>IF(AND(C366&gt;$F$80,'Instrumentos Financeiros'!C366&lt;'Instrumentos Financeiros'!$F$80+'Instrumentos Financeiros'!$F$12+1),PMT(((1+'Instrumentos Financeiros'!$L$43)^(1/12)-1),$F$12,-$I$80),0)</f>
        <v>368.57912678094596</v>
      </c>
      <c r="BY366" s="1312">
        <f t="shared" si="261"/>
        <v>348.47429085080358</v>
      </c>
      <c r="BZ366" s="1312">
        <f>CA365*((1+'Instrumentos Financeiros'!$L$43)^(1/12)-1)</f>
        <v>20.104835930142379</v>
      </c>
      <c r="CA366" s="1312">
        <f t="shared" si="262"/>
        <v>4301.1061242060659</v>
      </c>
      <c r="CB366" s="1312">
        <f>IF(AND(C366&gt;$F$83,'Instrumentos Financeiros'!C366&lt;'Instrumentos Financeiros'!$F$83+'Instrumentos Financeiros'!$F$13+1),PMT(((1+'Instrumentos Financeiros'!$P$43)^(1/12)-1),$F$13,-$I$83),0)</f>
        <v>30503.390100238979</v>
      </c>
      <c r="CC366" s="1312">
        <f t="shared" si="263"/>
        <v>21975.351845478035</v>
      </c>
      <c r="CD366" s="1312">
        <f>CE365*((1+'Instrumentos Financeiros'!$P$43)^(1/12)-1)</f>
        <v>8528.0382547609443</v>
      </c>
      <c r="CE366" s="1312">
        <f t="shared" si="264"/>
        <v>1950276.487760131</v>
      </c>
      <c r="CF366" s="1312">
        <f>IF(AND(C366&gt;$F$84,'Instrumentos Financeiros'!C366&lt;'Instrumentos Financeiros'!$F$84+'Instrumentos Financeiros'!$F$13+1),PMT(((1+'Instrumentos Financeiros'!$Q$43)^(1/12)-1),$F$13,-$I$84),0)</f>
        <v>30503.390100238979</v>
      </c>
      <c r="CG366" s="1312">
        <f t="shared" si="265"/>
        <v>21692.73446568185</v>
      </c>
      <c r="CH366" s="1312">
        <f>CI365*((1+'Instrumentos Financeiros'!$Q$43)^(1/12)-1)</f>
        <v>8810.6556345571298</v>
      </c>
      <c r="CI366" s="1312">
        <f t="shared" si="266"/>
        <v>2015919.1129818675</v>
      </c>
      <c r="CJ366" s="1312">
        <f>IF(AND(C366&gt;$F$85,'Instrumentos Financeiros'!C366&lt;'Instrumentos Financeiros'!$F$85+'Instrumentos Financeiros'!$F$13+1),PMT(((1+'Instrumentos Financeiros'!$Q$43)^(1/12)-1),$F$13,-$I$85),0)</f>
        <v>30503.390100238979</v>
      </c>
      <c r="CK366" s="1312">
        <f t="shared" si="267"/>
        <v>21413.751730005337</v>
      </c>
      <c r="CL366" s="1312">
        <f>CM365*((1+'Instrumentos Financeiros'!$Q$43)^(1/12)-1)</f>
        <v>9089.6383702336443</v>
      </c>
      <c r="CM366" s="1312">
        <f t="shared" si="268"/>
        <v>2080717.5311632091</v>
      </c>
      <c r="CN366" s="1312">
        <f>IF(AND(C366&gt;$F$86,'Instrumentos Financeiros'!C366&lt;'Instrumentos Financeiros'!$F$86+'Instrumentos Financeiros'!$F$13+1),PMT(((1+'Instrumentos Financeiros'!$Q$43)^(1/12)-1),$F$13,-$I$86),0)</f>
        <v>30503.390100238979</v>
      </c>
      <c r="CO366" s="1312">
        <f t="shared" si="269"/>
        <v>21138.356894550838</v>
      </c>
      <c r="CP366" s="1312">
        <f>CQ365*((1+'Instrumentos Financeiros'!$Q$43)^(1/12)-1)</f>
        <v>9365.0332056881434</v>
      </c>
      <c r="CQ366" s="1312">
        <f t="shared" si="270"/>
        <v>2144682.5993581605</v>
      </c>
      <c r="CR366" s="1312">
        <f t="shared" si="239"/>
        <v>200124.53793011204</v>
      </c>
      <c r="CS366" s="1312">
        <f t="shared" si="239"/>
        <v>163948.27941140739</v>
      </c>
      <c r="CT366" s="1312">
        <f t="shared" si="239"/>
        <v>36176.25851870465</v>
      </c>
      <c r="CU366" s="1312">
        <f t="shared" si="239"/>
        <v>8202418.0855297353</v>
      </c>
    </row>
    <row r="367" spans="3:99" x14ac:dyDescent="0.35">
      <c r="C367" s="1315">
        <f t="shared" si="240"/>
        <v>274</v>
      </c>
      <c r="D367" s="1312">
        <f>IF(AND(C367&gt;$F$59,'Instrumentos Financeiros'!C367&lt;'Instrumentos Financeiros'!$F$59+'Instrumentos Financeiros'!$F$11+1),PMT(((1+'Instrumentos Financeiros'!$G$43)^(1/12)-1),$F$11,-$I$59),0)</f>
        <v>0</v>
      </c>
      <c r="E367" s="1312">
        <f t="shared" si="237"/>
        <v>-9.7466382664288571E-12</v>
      </c>
      <c r="F367" s="1312">
        <f>G366*((1+'Instrumentos Financeiros'!$G$43)^(1/12)-1)</f>
        <v>9.7466382664288571E-12</v>
      </c>
      <c r="G367" s="1312">
        <f t="shared" si="271"/>
        <v>2.3975747774780787E-9</v>
      </c>
      <c r="H367" s="1312">
        <f>IF(AND(C367&gt;$F$60,'Instrumentos Financeiros'!C367&lt;'Instrumentos Financeiros'!$F$60+'Instrumentos Financeiros'!$F$11+1),PMT(((1+'Instrumentos Financeiros'!$G$43)^(1/12)-1),$F$11,-$I$60),0)</f>
        <v>0</v>
      </c>
      <c r="I367" s="1312">
        <f t="shared" si="223"/>
        <v>0</v>
      </c>
      <c r="J367" s="1312">
        <f>K366*((1+'Instrumentos Financeiros'!$G$43)^(1/12)-1)</f>
        <v>0</v>
      </c>
      <c r="K367" s="1312">
        <f t="shared" si="241"/>
        <v>0</v>
      </c>
      <c r="L367" s="1312">
        <f>IF(AND(C367&gt;$F$61,'Instrumentos Financeiros'!C367&lt;'Instrumentos Financeiros'!$F$61+'Instrumentos Financeiros'!$F$11+1),PMT(((1+'Instrumentos Financeiros'!$G$43)^(1/12)-1),$F$11,-$I$61),0)</f>
        <v>0</v>
      </c>
      <c r="M367" s="1312">
        <f t="shared" si="224"/>
        <v>0</v>
      </c>
      <c r="N367" s="1312">
        <f>O366*((1+'Instrumentos Financeiros'!$G$43)^(1/12)-1)</f>
        <v>0</v>
      </c>
      <c r="O367" s="1312">
        <f t="shared" si="242"/>
        <v>0</v>
      </c>
      <c r="P367" s="1312">
        <f>IF(AND(C367&gt;$F$62,'Instrumentos Financeiros'!C367&lt;'Instrumentos Financeiros'!$F$62+'Instrumentos Financeiros'!$F$11+1),PMT(((1+'Instrumentos Financeiros'!$H$43)^(1/12)-1),$F$11,-$I$62),0)</f>
        <v>0</v>
      </c>
      <c r="Q367" s="1312">
        <f t="shared" si="225"/>
        <v>0</v>
      </c>
      <c r="R367" s="1312">
        <f>S366*((1+'Instrumentos Financeiros'!$H$43)^(1/12)-1)</f>
        <v>0</v>
      </c>
      <c r="S367" s="1312">
        <f t="shared" si="243"/>
        <v>0</v>
      </c>
      <c r="T367" s="1312">
        <f>IF(AND(C367&gt;$F$63,'Instrumentos Financeiros'!C367&lt;'Instrumentos Financeiros'!$F$63+'Instrumentos Financeiros'!$F$11+1),PMT(((1+'Instrumentos Financeiros'!$H$43)^(1/12)-1),$F$11,-$I$63),0)</f>
        <v>0</v>
      </c>
      <c r="U367" s="1312">
        <f t="shared" si="226"/>
        <v>0</v>
      </c>
      <c r="V367" s="1312">
        <f>W366*((1+'Instrumentos Financeiros'!$H$43)^(1/12)-1)</f>
        <v>0</v>
      </c>
      <c r="W367" s="1312">
        <f t="shared" si="244"/>
        <v>0</v>
      </c>
      <c r="X367" s="1312">
        <f>IF(AND(C367&gt;$F$64,'Instrumentos Financeiros'!C367&lt;'Instrumentos Financeiros'!$F$64+'Instrumentos Financeiros'!$F$11+1),PMT(((1+'Instrumentos Financeiros'!$H$43)^(1/12)-1),$F$11,-$I$64),0)</f>
        <v>0</v>
      </c>
      <c r="Y367" s="1312">
        <f t="shared" si="227"/>
        <v>0</v>
      </c>
      <c r="Z367" s="1312">
        <f>AA366*((1+'Instrumentos Financeiros'!$H$43)^(1/12)-1)</f>
        <v>0</v>
      </c>
      <c r="AA367" s="1312">
        <f t="shared" si="245"/>
        <v>0</v>
      </c>
      <c r="AB367" s="1312">
        <f>IF(AND(C367&gt;$F$65,'Instrumentos Financeiros'!C367&lt;'Instrumentos Financeiros'!$F$65+'Instrumentos Financeiros'!$F$11+1),PMT(((1+'Instrumentos Financeiros'!$H$43)^(1/12)-1),$F$11,-$I$65),0)</f>
        <v>0</v>
      </c>
      <c r="AC367" s="1312">
        <f t="shared" si="228"/>
        <v>2.3745327413858706E-11</v>
      </c>
      <c r="AD367" s="1312">
        <f>AE366*((1+'Instrumentos Financeiros'!$H$43)^(1/12)-1)</f>
        <v>-2.3745327413858706E-11</v>
      </c>
      <c r="AE367" s="1312">
        <f t="shared" si="246"/>
        <v>-5.5152504397268317E-9</v>
      </c>
      <c r="AF367" s="1312">
        <f>IF(AND(C367&gt;$F$66,'Instrumentos Financeiros'!C367&lt;'Instrumentos Financeiros'!$F$66+'Instrumentos Financeiros'!$F$11+1),PMT(((1+'Instrumentos Financeiros'!$I$43)^(1/12)-1),$F$11,-$I$66),0)</f>
        <v>0</v>
      </c>
      <c r="AG367" s="1312">
        <f t="shared" si="229"/>
        <v>2.3439946992043609E-11</v>
      </c>
      <c r="AH367" s="1312">
        <f>AI366*((1+'Instrumentos Financeiros'!$I$43)^(1/12)-1)</f>
        <v>-2.3439946992043609E-11</v>
      </c>
      <c r="AI367" s="1312">
        <f t="shared" si="247"/>
        <v>-5.4443207163187352E-9</v>
      </c>
      <c r="AJ367" s="1312">
        <f>IF(AND(C367&gt;$F$67,'Instrumentos Financeiros'!C367&lt;'Instrumentos Financeiros'!$F$67+'Instrumentos Financeiros'!$F$11+1),PMT(((1+'Instrumentos Financeiros'!$I$43)^(1/12)-1),$F$11,-$I$67),0)</f>
        <v>0</v>
      </c>
      <c r="AK367" s="1312">
        <f t="shared" si="230"/>
        <v>2.3138493961938157E-11</v>
      </c>
      <c r="AL367" s="1312">
        <f>AM366*((1+'Instrumentos Financeiros'!$I$43)^(1/12)-1)</f>
        <v>-2.3138493961938157E-11</v>
      </c>
      <c r="AM367" s="1312">
        <f t="shared" si="248"/>
        <v>-5.3743031954874267E-9</v>
      </c>
      <c r="AN367" s="1312">
        <f>IF(AND(C367&gt;$F$68,'Instrumentos Financeiros'!C367&lt;'Instrumentos Financeiros'!$F$68+'Instrumentos Financeiros'!$F$11+1),PMT(((1+'Instrumentos Financeiros'!$I$43)^(1/12)-1),$F$11,-$I$68),0)</f>
        <v>0</v>
      </c>
      <c r="AO367" s="1312">
        <f t="shared" si="231"/>
        <v>2.2840917814719452E-11</v>
      </c>
      <c r="AP367" s="1312">
        <f>AQ366*((1+'Instrumentos Financeiros'!$I$43)^(1/12)-1)</f>
        <v>-2.2840917814719452E-11</v>
      </c>
      <c r="AQ367" s="1312">
        <f t="shared" si="249"/>
        <v>-5.3051861457118866E-9</v>
      </c>
      <c r="AR367" s="1312">
        <f>IF(AND(C367&gt;$F$69,'Instrumentos Financeiros'!C367&lt;'Instrumentos Financeiros'!$F$69+'Instrumentos Financeiros'!$F$11+1),PMT(((1+'Instrumentos Financeiros'!$I$43)^(1/12)-1),$F$11,-$I$69),0)</f>
        <v>0</v>
      </c>
      <c r="AS367" s="1312">
        <f t="shared" si="232"/>
        <v>0</v>
      </c>
      <c r="AT367" s="1312">
        <f>AU366*((1+'Instrumentos Financeiros'!$I$43)^(1/12)-1)</f>
        <v>0</v>
      </c>
      <c r="AU367" s="1312">
        <f t="shared" si="250"/>
        <v>0</v>
      </c>
      <c r="AV367" s="1312">
        <f>IF(AND(C367&gt;$F$70,'Instrumentos Financeiros'!C367&lt;'Instrumentos Financeiros'!$F$70+'Instrumentos Financeiros'!$F$11+1),PMT(((1+'Instrumentos Financeiros'!$J$43)^(1/12)-1),$F$11,-$I$70),0)</f>
        <v>0</v>
      </c>
      <c r="AW367" s="1312">
        <f t="shared" si="233"/>
        <v>0</v>
      </c>
      <c r="AX367" s="1312">
        <f>AY366*((1+'Instrumentos Financeiros'!$J$43)^(1/12)-1)</f>
        <v>0</v>
      </c>
      <c r="AY367" s="1312">
        <f t="shared" si="251"/>
        <v>0</v>
      </c>
      <c r="AZ367" s="1312">
        <f>IF(AND(C367&gt;$F$71,'Instrumentos Financeiros'!C367&lt;'Instrumentos Financeiros'!$F$71+'Instrumentos Financeiros'!$F$11+1),PMT(((1+'Instrumentos Financeiros'!$J$43)^(1/12)-1),$F$11,-$I$71),0)</f>
        <v>0</v>
      </c>
      <c r="BA367" s="1312">
        <f t="shared" si="234"/>
        <v>0</v>
      </c>
      <c r="BB367" s="1312">
        <f>BC366*((1+'Instrumentos Financeiros'!$J$43)^(1/12)-1)</f>
        <v>0</v>
      </c>
      <c r="BC367" s="1312">
        <f t="shared" si="252"/>
        <v>0</v>
      </c>
      <c r="BD367" s="1312">
        <f>IF(AND(C367&gt;$F$72,'Instrumentos Financeiros'!C367&lt;'Instrumentos Financeiros'!$F$72+'Instrumentos Financeiros'!$F$11+1),PMT(((1+'Instrumentos Financeiros'!$J$43)^(1/12)-1),$F$11,-'Instrumentos Financeiros'!$G$7*$G$72),0)</f>
        <v>0</v>
      </c>
      <c r="BE367" s="1312">
        <f t="shared" si="235"/>
        <v>0</v>
      </c>
      <c r="BF367" s="1312">
        <f>BG366*((1+'Instrumentos Financeiros'!$J$43)^(1/12)-1)</f>
        <v>0</v>
      </c>
      <c r="BG367" s="1312">
        <f t="shared" si="253"/>
        <v>0</v>
      </c>
      <c r="BH367" s="1312">
        <f>IF(AND(C367&gt;$F$73,'Instrumentos Financeiros'!C367&lt;'Instrumentos Financeiros'!$F$73+'Instrumentos Financeiros'!$F$11+1),PMT(((1+'Instrumentos Financeiros'!$J$43)^(1/12)-1),$F$11,-$I$73),0)</f>
        <v>0</v>
      </c>
      <c r="BI367" s="1312">
        <f t="shared" si="236"/>
        <v>0</v>
      </c>
      <c r="BJ367" s="1312">
        <f>BK366*((1+'Instrumentos Financeiros'!$J$43)^(1/12)-1)</f>
        <v>0</v>
      </c>
      <c r="BK367" s="1312">
        <f t="shared" si="254"/>
        <v>0</v>
      </c>
      <c r="BL367" s="1312">
        <f>IF(AND(C367&gt;$F$77,'Instrumentos Financeiros'!C367&lt;'Instrumentos Financeiros'!$F$77+'Instrumentos Financeiros'!$F$12+1),PMT(((1+'Instrumentos Financeiros'!$K$43)^(1/12)-1),$F$12,-$I$77),0)</f>
        <v>368.57912678094596</v>
      </c>
      <c r="BM367" s="1312">
        <f t="shared" si="255"/>
        <v>363.8389584418515</v>
      </c>
      <c r="BN367" s="1312">
        <f>BO366*((1+'Instrumentos Financeiros'!$K$43)^(1/12)-1)</f>
        <v>4.7401683390944251</v>
      </c>
      <c r="BO367" s="1312">
        <f t="shared" si="256"/>
        <v>732.40445036322626</v>
      </c>
      <c r="BP367" s="1312">
        <f>IF(AND(C367&gt;$F$78,'Instrumentos Financeiros'!C367&lt;'Instrumentos Financeiros'!$F$78+'Instrumentos Financeiros'!$F$12+1),PMT(((1+'Instrumentos Financeiros'!$L$43)^(1/12)-1),$F$12,-$I$78),0)</f>
        <v>368.57912678094596</v>
      </c>
      <c r="BQ367" s="1312">
        <f t="shared" si="257"/>
        <v>359.15975176404044</v>
      </c>
      <c r="BR367" s="1312">
        <f>BS366*((1+'Instrumentos Financeiros'!$L$43)^(1/12)-1)</f>
        <v>9.4193750169055104</v>
      </c>
      <c r="BS367" s="1312">
        <f t="shared" si="258"/>
        <v>1819.2286595046141</v>
      </c>
      <c r="BT367" s="1312">
        <f>IF(AND(C367&gt;$F$79,'Instrumentos Financeiros'!C367&lt;'Instrumentos Financeiros'!$F$79+'Instrumentos Financeiros'!$F$12+1),PMT(((1+'Instrumentos Financeiros'!$L$43)^(1/12)-1),$F$12,-$I$79),0)</f>
        <v>368.57912678094596</v>
      </c>
      <c r="BU367" s="1312">
        <f t="shared" si="259"/>
        <v>354.54072274072638</v>
      </c>
      <c r="BV367" s="1312">
        <f>BW366*((1+'Instrumentos Financeiros'!$L$43)^(1/12)-1)</f>
        <v>14.038404040219568</v>
      </c>
      <c r="BW367" s="1312">
        <f t="shared" si="260"/>
        <v>2892.0755993651101</v>
      </c>
      <c r="BX367" s="1312">
        <f>IF(AND(C367&gt;$F$80,'Instrumentos Financeiros'!C367&lt;'Instrumentos Financeiros'!$F$80+'Instrumentos Financeiros'!$F$12+1),PMT(((1+'Instrumentos Financeiros'!$L$43)^(1/12)-1),$F$12,-$I$80),0)</f>
        <v>368.57912678094596</v>
      </c>
      <c r="BY367" s="1312">
        <f t="shared" si="261"/>
        <v>349.98109744796238</v>
      </c>
      <c r="BZ367" s="1312">
        <f>CA366*((1+'Instrumentos Financeiros'!$L$43)^(1/12)-1)</f>
        <v>18.598029332983565</v>
      </c>
      <c r="CA367" s="1312">
        <f t="shared" si="262"/>
        <v>3951.1250267581036</v>
      </c>
      <c r="CB367" s="1312">
        <f>IF(AND(C367&gt;$F$83,'Instrumentos Financeiros'!C367&lt;'Instrumentos Financeiros'!$F$83+'Instrumentos Financeiros'!$F$13+1),PMT(((1+'Instrumentos Financeiros'!$P$43)^(1/12)-1),$F$13,-$I$83),0)</f>
        <v>30503.390100238979</v>
      </c>
      <c r="CC367" s="1312">
        <f t="shared" si="263"/>
        <v>22070.373504191528</v>
      </c>
      <c r="CD367" s="1312">
        <f>CE366*((1+'Instrumentos Financeiros'!$P$43)^(1/12)-1)</f>
        <v>8433.0165960474496</v>
      </c>
      <c r="CE367" s="1312">
        <f t="shared" si="264"/>
        <v>1928206.1142559394</v>
      </c>
      <c r="CF367" s="1312">
        <f>IF(AND(C367&gt;$F$84,'Instrumentos Financeiros'!C367&lt;'Instrumentos Financeiros'!$F$84+'Instrumentos Financeiros'!$F$13+1),PMT(((1+'Instrumentos Financeiros'!$Q$43)^(1/12)-1),$F$13,-$I$84),0)</f>
        <v>30503.390100238979</v>
      </c>
      <c r="CG367" s="1312">
        <f t="shared" si="265"/>
        <v>21786.534083792838</v>
      </c>
      <c r="CH367" s="1312">
        <f>CI366*((1+'Instrumentos Financeiros'!$Q$43)^(1/12)-1)</f>
        <v>8716.8560164461396</v>
      </c>
      <c r="CI367" s="1312">
        <f t="shared" si="266"/>
        <v>1994132.5788980746</v>
      </c>
      <c r="CJ367" s="1312">
        <f>IF(AND(C367&gt;$F$85,'Instrumentos Financeiros'!C367&lt;'Instrumentos Financeiros'!$F$85+'Instrumentos Financeiros'!$F$13+1),PMT(((1+'Instrumentos Financeiros'!$Q$43)^(1/12)-1),$F$13,-$I$85),0)</f>
        <v>30503.390100238979</v>
      </c>
      <c r="CK367" s="1312">
        <f t="shared" si="267"/>
        <v>21506.345023754249</v>
      </c>
      <c r="CL367" s="1312">
        <f>CM366*((1+'Instrumentos Financeiros'!$Q$43)^(1/12)-1)</f>
        <v>8997.0450764847301</v>
      </c>
      <c r="CM367" s="1312">
        <f t="shared" si="268"/>
        <v>2059211.1861394548</v>
      </c>
      <c r="CN367" s="1312">
        <f>IF(AND(C367&gt;$F$86,'Instrumentos Financeiros'!C367&lt;'Instrumentos Financeiros'!$F$86+'Instrumentos Financeiros'!$F$13+1),PMT(((1+'Instrumentos Financeiros'!$Q$43)^(1/12)-1),$F$13,-$I$86),0)</f>
        <v>30503.390100238979</v>
      </c>
      <c r="CO367" s="1312">
        <f t="shared" si="269"/>
        <v>21229.75937805698</v>
      </c>
      <c r="CP367" s="1312">
        <f>CQ366*((1+'Instrumentos Financeiros'!$Q$43)^(1/12)-1)</f>
        <v>9273.630722181997</v>
      </c>
      <c r="CQ367" s="1312">
        <f t="shared" si="270"/>
        <v>2123452.8399801035</v>
      </c>
      <c r="CR367" s="1312">
        <f t="shared" si="239"/>
        <v>123487.87690807969</v>
      </c>
      <c r="CS367" s="1312">
        <f t="shared" si="239"/>
        <v>88020.53252019026</v>
      </c>
      <c r="CT367" s="1312">
        <f t="shared" si="239"/>
        <v>35467.34438788944</v>
      </c>
      <c r="CU367" s="1312">
        <f t="shared" si="239"/>
        <v>8114397.5530095436</v>
      </c>
    </row>
    <row r="368" spans="3:99" x14ac:dyDescent="0.35">
      <c r="C368" s="1315">
        <f t="shared" si="240"/>
        <v>275</v>
      </c>
      <c r="D368" s="1312">
        <f>IF(AND(C368&gt;$F$59,'Instrumentos Financeiros'!C368&lt;'Instrumentos Financeiros'!$F$59+'Instrumentos Financeiros'!$F$11+1),PMT(((1+'Instrumentos Financeiros'!$G$43)^(1/12)-1),$F$11,-$I$59),0)</f>
        <v>0</v>
      </c>
      <c r="E368" s="1312">
        <f t="shared" si="237"/>
        <v>-9.7864221000878316E-12</v>
      </c>
      <c r="F368" s="1312">
        <f>G367*((1+'Instrumentos Financeiros'!$G$43)^(1/12)-1)</f>
        <v>9.7864221000878316E-12</v>
      </c>
      <c r="G368" s="1312">
        <f t="shared" si="271"/>
        <v>2.4073611995781667E-9</v>
      </c>
      <c r="H368" s="1312">
        <f>IF(AND(C368&gt;$F$60,'Instrumentos Financeiros'!C368&lt;'Instrumentos Financeiros'!$F$60+'Instrumentos Financeiros'!$F$11+1),PMT(((1+'Instrumentos Financeiros'!$G$43)^(1/12)-1),$F$11,-$I$60),0)</f>
        <v>0</v>
      </c>
      <c r="I368" s="1312">
        <f t="shared" si="223"/>
        <v>0</v>
      </c>
      <c r="J368" s="1312">
        <f>K367*((1+'Instrumentos Financeiros'!$G$43)^(1/12)-1)</f>
        <v>0</v>
      </c>
      <c r="K368" s="1312">
        <f t="shared" si="241"/>
        <v>0</v>
      </c>
      <c r="L368" s="1312">
        <f>IF(AND(C368&gt;$F$61,'Instrumentos Financeiros'!C368&lt;'Instrumentos Financeiros'!$F$61+'Instrumentos Financeiros'!$F$11+1),PMT(((1+'Instrumentos Financeiros'!$G$43)^(1/12)-1),$F$11,-$I$61),0)</f>
        <v>0</v>
      </c>
      <c r="M368" s="1312">
        <f t="shared" si="224"/>
        <v>0</v>
      </c>
      <c r="N368" s="1312">
        <f>O367*((1+'Instrumentos Financeiros'!$G$43)^(1/12)-1)</f>
        <v>0</v>
      </c>
      <c r="O368" s="1312">
        <f t="shared" si="242"/>
        <v>0</v>
      </c>
      <c r="P368" s="1312">
        <f>IF(AND(C368&gt;$F$62,'Instrumentos Financeiros'!C368&lt;'Instrumentos Financeiros'!$F$62+'Instrumentos Financeiros'!$F$11+1),PMT(((1+'Instrumentos Financeiros'!$H$43)^(1/12)-1),$F$11,-$I$62),0)</f>
        <v>0</v>
      </c>
      <c r="Q368" s="1312">
        <f t="shared" si="225"/>
        <v>0</v>
      </c>
      <c r="R368" s="1312">
        <f>S367*((1+'Instrumentos Financeiros'!$H$43)^(1/12)-1)</f>
        <v>0</v>
      </c>
      <c r="S368" s="1312">
        <f t="shared" si="243"/>
        <v>0</v>
      </c>
      <c r="T368" s="1312">
        <f>IF(AND(C368&gt;$F$63,'Instrumentos Financeiros'!C368&lt;'Instrumentos Financeiros'!$F$63+'Instrumentos Financeiros'!$F$11+1),PMT(((1+'Instrumentos Financeiros'!$H$43)^(1/12)-1),$F$11,-$I$63),0)</f>
        <v>0</v>
      </c>
      <c r="U368" s="1312">
        <f t="shared" si="226"/>
        <v>0</v>
      </c>
      <c r="V368" s="1312">
        <f>W367*((1+'Instrumentos Financeiros'!$H$43)^(1/12)-1)</f>
        <v>0</v>
      </c>
      <c r="W368" s="1312">
        <f t="shared" si="244"/>
        <v>0</v>
      </c>
      <c r="X368" s="1312">
        <f>IF(AND(C368&gt;$F$64,'Instrumentos Financeiros'!C368&lt;'Instrumentos Financeiros'!$F$64+'Instrumentos Financeiros'!$F$11+1),PMT(((1+'Instrumentos Financeiros'!$H$43)^(1/12)-1),$F$11,-$I$64),0)</f>
        <v>0</v>
      </c>
      <c r="Y368" s="1312">
        <f t="shared" si="227"/>
        <v>0</v>
      </c>
      <c r="Z368" s="1312">
        <f>AA367*((1+'Instrumentos Financeiros'!$H$43)^(1/12)-1)</f>
        <v>0</v>
      </c>
      <c r="AA368" s="1312">
        <f t="shared" si="245"/>
        <v>0</v>
      </c>
      <c r="AB368" s="1312">
        <f>IF(AND(C368&gt;$F$65,'Instrumentos Financeiros'!C368&lt;'Instrumentos Financeiros'!$F$65+'Instrumentos Financeiros'!$F$11+1),PMT(((1+'Instrumentos Financeiros'!$H$43)^(1/12)-1),$F$11,-$I$65),0)</f>
        <v>0</v>
      </c>
      <c r="AC368" s="1312">
        <f t="shared" si="228"/>
        <v>2.3848002466045607E-11</v>
      </c>
      <c r="AD368" s="1312">
        <f>AE367*((1+'Instrumentos Financeiros'!$H$43)^(1/12)-1)</f>
        <v>-2.3848002466045607E-11</v>
      </c>
      <c r="AE368" s="1312">
        <f t="shared" si="246"/>
        <v>-5.5390984421928774E-9</v>
      </c>
      <c r="AF368" s="1312">
        <f>IF(AND(C368&gt;$F$66,'Instrumentos Financeiros'!C368&lt;'Instrumentos Financeiros'!$F$66+'Instrumentos Financeiros'!$F$11+1),PMT(((1+'Instrumentos Financeiros'!$I$43)^(1/12)-1),$F$11,-$I$66),0)</f>
        <v>0</v>
      </c>
      <c r="AG368" s="1312">
        <f t="shared" si="229"/>
        <v>2.3541301575988471E-11</v>
      </c>
      <c r="AH368" s="1312">
        <f>AI367*((1+'Instrumentos Financeiros'!$I$43)^(1/12)-1)</f>
        <v>-2.3541301575988471E-11</v>
      </c>
      <c r="AI368" s="1312">
        <f t="shared" si="247"/>
        <v>-5.4678620178947237E-9</v>
      </c>
      <c r="AJ368" s="1312">
        <f>IF(AND(C368&gt;$F$67,'Instrumentos Financeiros'!C368&lt;'Instrumentos Financeiros'!$F$67+'Instrumentos Financeiros'!$F$11+1),PMT(((1+'Instrumentos Financeiros'!$I$43)^(1/12)-1),$F$11,-$I$67),0)</f>
        <v>0</v>
      </c>
      <c r="AK368" s="1312">
        <f t="shared" si="230"/>
        <v>2.323854505972515E-11</v>
      </c>
      <c r="AL368" s="1312">
        <f>AM367*((1+'Instrumentos Financeiros'!$I$43)^(1/12)-1)</f>
        <v>-2.323854505972515E-11</v>
      </c>
      <c r="AM368" s="1312">
        <f t="shared" si="248"/>
        <v>-5.3975417405471521E-9</v>
      </c>
      <c r="AN368" s="1312">
        <f>IF(AND(C368&gt;$F$68,'Instrumentos Financeiros'!C368&lt;'Instrumentos Financeiros'!$F$68+'Instrumentos Financeiros'!$F$11+1),PMT(((1+'Instrumentos Financeiros'!$I$43)^(1/12)-1),$F$11,-$I$68),0)</f>
        <v>0</v>
      </c>
      <c r="AO368" s="1312">
        <f t="shared" si="231"/>
        <v>2.2939682190032055E-11</v>
      </c>
      <c r="AP368" s="1312">
        <f>AQ367*((1+'Instrumentos Financeiros'!$I$43)^(1/12)-1)</f>
        <v>-2.2939682190032055E-11</v>
      </c>
      <c r="AQ368" s="1312">
        <f t="shared" si="249"/>
        <v>-5.328125827901919E-9</v>
      </c>
      <c r="AR368" s="1312">
        <f>IF(AND(C368&gt;$F$69,'Instrumentos Financeiros'!C368&lt;'Instrumentos Financeiros'!$F$69+'Instrumentos Financeiros'!$F$11+1),PMT(((1+'Instrumentos Financeiros'!$I$43)^(1/12)-1),$F$11,-$I$69),0)</f>
        <v>0</v>
      </c>
      <c r="AS368" s="1312">
        <f t="shared" si="232"/>
        <v>0</v>
      </c>
      <c r="AT368" s="1312">
        <f>AU367*((1+'Instrumentos Financeiros'!$I$43)^(1/12)-1)</f>
        <v>0</v>
      </c>
      <c r="AU368" s="1312">
        <f t="shared" si="250"/>
        <v>0</v>
      </c>
      <c r="AV368" s="1312">
        <f>IF(AND(C368&gt;$F$70,'Instrumentos Financeiros'!C368&lt;'Instrumentos Financeiros'!$F$70+'Instrumentos Financeiros'!$F$11+1),PMT(((1+'Instrumentos Financeiros'!$J$43)^(1/12)-1),$F$11,-$I$70),0)</f>
        <v>0</v>
      </c>
      <c r="AW368" s="1312">
        <f t="shared" si="233"/>
        <v>0</v>
      </c>
      <c r="AX368" s="1312">
        <f>AY367*((1+'Instrumentos Financeiros'!$J$43)^(1/12)-1)</f>
        <v>0</v>
      </c>
      <c r="AY368" s="1312">
        <f t="shared" si="251"/>
        <v>0</v>
      </c>
      <c r="AZ368" s="1312">
        <f>IF(AND(C368&gt;$F$71,'Instrumentos Financeiros'!C368&lt;'Instrumentos Financeiros'!$F$71+'Instrumentos Financeiros'!$F$11+1),PMT(((1+'Instrumentos Financeiros'!$J$43)^(1/12)-1),$F$11,-$I$71),0)</f>
        <v>0</v>
      </c>
      <c r="BA368" s="1312">
        <f t="shared" si="234"/>
        <v>0</v>
      </c>
      <c r="BB368" s="1312">
        <f>BC367*((1+'Instrumentos Financeiros'!$J$43)^(1/12)-1)</f>
        <v>0</v>
      </c>
      <c r="BC368" s="1312">
        <f t="shared" si="252"/>
        <v>0</v>
      </c>
      <c r="BD368" s="1312">
        <f>IF(AND(C368&gt;$F$72,'Instrumentos Financeiros'!C368&lt;'Instrumentos Financeiros'!$F$72+'Instrumentos Financeiros'!$F$11+1),PMT(((1+'Instrumentos Financeiros'!$J$43)^(1/12)-1),$F$11,-'Instrumentos Financeiros'!$G$7*$G$72),0)</f>
        <v>0</v>
      </c>
      <c r="BE368" s="1312">
        <f t="shared" si="235"/>
        <v>0</v>
      </c>
      <c r="BF368" s="1312">
        <f>BG367*((1+'Instrumentos Financeiros'!$J$43)^(1/12)-1)</f>
        <v>0</v>
      </c>
      <c r="BG368" s="1312">
        <f t="shared" si="253"/>
        <v>0</v>
      </c>
      <c r="BH368" s="1312">
        <f>IF(AND(C368&gt;$F$73,'Instrumentos Financeiros'!C368&lt;'Instrumentos Financeiros'!$F$73+'Instrumentos Financeiros'!$F$11+1),PMT(((1+'Instrumentos Financeiros'!$J$43)^(1/12)-1),$F$11,-$I$73),0)</f>
        <v>0</v>
      </c>
      <c r="BI368" s="1312">
        <f t="shared" si="236"/>
        <v>0</v>
      </c>
      <c r="BJ368" s="1312">
        <f>BK367*((1+'Instrumentos Financeiros'!$J$43)^(1/12)-1)</f>
        <v>0</v>
      </c>
      <c r="BK368" s="1312">
        <f t="shared" si="254"/>
        <v>0</v>
      </c>
      <c r="BL368" s="1312">
        <f>IF(AND(C368&gt;$F$77,'Instrumentos Financeiros'!C368&lt;'Instrumentos Financeiros'!$F$77+'Instrumentos Financeiros'!$F$12+1),PMT(((1+'Instrumentos Financeiros'!$K$43)^(1/12)-1),$F$12,-$I$77),0)</f>
        <v>368.57912678094596</v>
      </c>
      <c r="BM368" s="1312">
        <f t="shared" si="255"/>
        <v>365.41220202761235</v>
      </c>
      <c r="BN368" s="1312">
        <f>BO367*((1+'Instrumentos Financeiros'!$K$43)^(1/12)-1)</f>
        <v>3.1669247533336127</v>
      </c>
      <c r="BO368" s="1312">
        <f t="shared" si="256"/>
        <v>366.99224833561391</v>
      </c>
      <c r="BP368" s="1312">
        <f>IF(AND(C368&gt;$F$78,'Instrumentos Financeiros'!C368&lt;'Instrumentos Financeiros'!$F$78+'Instrumentos Financeiros'!$F$12+1),PMT(((1+'Instrumentos Financeiros'!$L$43)^(1/12)-1),$F$12,-$I$78),0)</f>
        <v>368.57912678094596</v>
      </c>
      <c r="BQ368" s="1312">
        <f t="shared" si="257"/>
        <v>360.71276240959099</v>
      </c>
      <c r="BR368" s="1312">
        <f>BS367*((1+'Instrumentos Financeiros'!$L$43)^(1/12)-1)</f>
        <v>7.866364371354952</v>
      </c>
      <c r="BS368" s="1312">
        <f t="shared" si="258"/>
        <v>1458.5158970950231</v>
      </c>
      <c r="BT368" s="1312">
        <f>IF(AND(C368&gt;$F$79,'Instrumentos Financeiros'!C368&lt;'Instrumentos Financeiros'!$F$79+'Instrumentos Financeiros'!$F$12+1),PMT(((1+'Instrumentos Financeiros'!$L$43)^(1/12)-1),$F$12,-$I$79),0)</f>
        <v>368.57912678094596</v>
      </c>
      <c r="BU368" s="1312">
        <f t="shared" si="259"/>
        <v>356.07376065489467</v>
      </c>
      <c r="BV368" s="1312">
        <f>BW367*((1+'Instrumentos Financeiros'!$L$43)^(1/12)-1)</f>
        <v>12.505366126051301</v>
      </c>
      <c r="BW368" s="1312">
        <f t="shared" si="260"/>
        <v>2536.0018387102155</v>
      </c>
      <c r="BX368" s="1312">
        <f>IF(AND(C368&gt;$F$80,'Instrumentos Financeiros'!C368&lt;'Instrumentos Financeiros'!$F$80+'Instrumentos Financeiros'!$F$12+1),PMT(((1+'Instrumentos Financeiros'!$L$43)^(1/12)-1),$F$12,-$I$80),0)</f>
        <v>368.57912678094596</v>
      </c>
      <c r="BY368" s="1312">
        <f t="shared" si="261"/>
        <v>351.4944194931208</v>
      </c>
      <c r="BZ368" s="1312">
        <f>CA367*((1+'Instrumentos Financeiros'!$L$43)^(1/12)-1)</f>
        <v>17.084707287825132</v>
      </c>
      <c r="CA368" s="1312">
        <f t="shared" si="262"/>
        <v>3599.6306072649827</v>
      </c>
      <c r="CB368" s="1312">
        <f>IF(AND(C368&gt;$F$83,'Instrumentos Financeiros'!C368&lt;'Instrumentos Financeiros'!$F$83+'Instrumentos Financeiros'!$F$13+1),PMT(((1+'Instrumentos Financeiros'!$P$43)^(1/12)-1),$F$13,-$I$83),0)</f>
        <v>30503.390100238979</v>
      </c>
      <c r="CC368" s="1312">
        <f t="shared" si="263"/>
        <v>22165.806037583534</v>
      </c>
      <c r="CD368" s="1312">
        <f>CE367*((1+'Instrumentos Financeiros'!$P$43)^(1/12)-1)</f>
        <v>8337.5840626554436</v>
      </c>
      <c r="CE368" s="1312">
        <f t="shared" si="264"/>
        <v>1906040.3082183558</v>
      </c>
      <c r="CF368" s="1312">
        <f>IF(AND(C368&gt;$F$84,'Instrumentos Financeiros'!C368&lt;'Instrumentos Financeiros'!$F$84+'Instrumentos Financeiros'!$F$13+1),PMT(((1+'Instrumentos Financeiros'!$Q$43)^(1/12)-1),$F$13,-$I$84),0)</f>
        <v>30503.390100238979</v>
      </c>
      <c r="CG368" s="1312">
        <f t="shared" si="265"/>
        <v>21880.73929246558</v>
      </c>
      <c r="CH368" s="1312">
        <f>CI367*((1+'Instrumentos Financeiros'!$Q$43)^(1/12)-1)</f>
        <v>8622.6508077733997</v>
      </c>
      <c r="CI368" s="1312">
        <f t="shared" si="266"/>
        <v>1972251.839605609</v>
      </c>
      <c r="CJ368" s="1312">
        <f>IF(AND(C368&gt;$F$85,'Instrumentos Financeiros'!C368&lt;'Instrumentos Financeiros'!$F$85+'Instrumentos Financeiros'!$F$13+1),PMT(((1+'Instrumentos Financeiros'!$Q$43)^(1/12)-1),$F$13,-$I$85),0)</f>
        <v>30503.390100238979</v>
      </c>
      <c r="CK368" s="1312">
        <f t="shared" si="267"/>
        <v>21599.338691905341</v>
      </c>
      <c r="CL368" s="1312">
        <f>CM367*((1+'Instrumentos Financeiros'!$Q$43)^(1/12)-1)</f>
        <v>8904.0514083336384</v>
      </c>
      <c r="CM368" s="1312">
        <f t="shared" si="268"/>
        <v>2037611.8474475495</v>
      </c>
      <c r="CN368" s="1312">
        <f>IF(AND(C368&gt;$F$86,'Instrumentos Financeiros'!C368&lt;'Instrumentos Financeiros'!$F$86+'Instrumentos Financeiros'!$F$13+1),PMT(((1+'Instrumentos Financeiros'!$Q$43)^(1/12)-1),$F$13,-$I$86),0)</f>
        <v>30503.390100238979</v>
      </c>
      <c r="CO368" s="1312">
        <f t="shared" si="269"/>
        <v>21321.557086888955</v>
      </c>
      <c r="CP368" s="1312">
        <f>CQ367*((1+'Instrumentos Financeiros'!$Q$43)^(1/12)-1)</f>
        <v>9181.8330133500222</v>
      </c>
      <c r="CQ368" s="1312">
        <f t="shared" si="270"/>
        <v>2102131.2828932144</v>
      </c>
      <c r="CR368" s="1312">
        <f t="shared" si="239"/>
        <v>123487.87690807969</v>
      </c>
      <c r="CS368" s="1312">
        <f t="shared" si="239"/>
        <v>88401.134253428725</v>
      </c>
      <c r="CT368" s="1312">
        <f t="shared" si="239"/>
        <v>35086.742654650981</v>
      </c>
      <c r="CU368" s="1312">
        <f t="shared" si="239"/>
        <v>8025996.4187561143</v>
      </c>
    </row>
    <row r="369" spans="3:99" x14ac:dyDescent="0.35">
      <c r="C369" s="1316">
        <f t="shared" si="240"/>
        <v>276</v>
      </c>
      <c r="D369" s="1313">
        <f>IF(AND(C369&gt;$F$59,'Instrumentos Financeiros'!C369&lt;'Instrumentos Financeiros'!$F$59+'Instrumentos Financeiros'!$F$11+1),PMT(((1+'Instrumentos Financeiros'!$G$43)^(1/12)-1),$F$11,-$I$59),0)</f>
        <v>0</v>
      </c>
      <c r="E369" s="1313">
        <f t="shared" si="237"/>
        <v>-9.8263683234218247E-12</v>
      </c>
      <c r="F369" s="1313">
        <f>G368*((1+'Instrumentos Financeiros'!$G$43)^(1/12)-1)</f>
        <v>9.8263683234218247E-12</v>
      </c>
      <c r="G369" s="1313">
        <f t="shared" si="271"/>
        <v>2.4171875679015885E-9</v>
      </c>
      <c r="H369" s="1313">
        <f>IF(AND(C369&gt;$F$60,'Instrumentos Financeiros'!C369&lt;'Instrumentos Financeiros'!$F$60+'Instrumentos Financeiros'!$F$11+1),PMT(((1+'Instrumentos Financeiros'!$G$43)^(1/12)-1),$F$11,-$I$60),0)</f>
        <v>0</v>
      </c>
      <c r="I369" s="1313">
        <f t="shared" si="223"/>
        <v>0</v>
      </c>
      <c r="J369" s="1313">
        <f>K368*((1+'Instrumentos Financeiros'!$G$43)^(1/12)-1)</f>
        <v>0</v>
      </c>
      <c r="K369" s="1313">
        <f t="shared" si="241"/>
        <v>0</v>
      </c>
      <c r="L369" s="1313">
        <f>IF(AND(C369&gt;$F$61,'Instrumentos Financeiros'!C369&lt;'Instrumentos Financeiros'!$F$61+'Instrumentos Financeiros'!$F$11+1),PMT(((1+'Instrumentos Financeiros'!$G$43)^(1/12)-1),$F$11,-$I$61),0)</f>
        <v>0</v>
      </c>
      <c r="M369" s="1313">
        <f t="shared" si="224"/>
        <v>0</v>
      </c>
      <c r="N369" s="1313">
        <f>O368*((1+'Instrumentos Financeiros'!$G$43)^(1/12)-1)</f>
        <v>0</v>
      </c>
      <c r="O369" s="1313">
        <f t="shared" si="242"/>
        <v>0</v>
      </c>
      <c r="P369" s="1313">
        <f>IF(AND(C369&gt;$F$62,'Instrumentos Financeiros'!C369&lt;'Instrumentos Financeiros'!$F$62+'Instrumentos Financeiros'!$F$11+1),PMT(((1+'Instrumentos Financeiros'!$H$43)^(1/12)-1),$F$11,-$I$62),0)</f>
        <v>0</v>
      </c>
      <c r="Q369" s="1313">
        <f t="shared" si="225"/>
        <v>0</v>
      </c>
      <c r="R369" s="1313">
        <f>S368*((1+'Instrumentos Financeiros'!$H$43)^(1/12)-1)</f>
        <v>0</v>
      </c>
      <c r="S369" s="1313">
        <f t="shared" si="243"/>
        <v>0</v>
      </c>
      <c r="T369" s="1313">
        <f>IF(AND(C369&gt;$F$63,'Instrumentos Financeiros'!C369&lt;'Instrumentos Financeiros'!$F$63+'Instrumentos Financeiros'!$F$11+1),PMT(((1+'Instrumentos Financeiros'!$H$43)^(1/12)-1),$F$11,-$I$63),0)</f>
        <v>0</v>
      </c>
      <c r="U369" s="1313">
        <f t="shared" si="226"/>
        <v>0</v>
      </c>
      <c r="V369" s="1313">
        <f>W368*((1+'Instrumentos Financeiros'!$H$43)^(1/12)-1)</f>
        <v>0</v>
      </c>
      <c r="W369" s="1313">
        <f t="shared" si="244"/>
        <v>0</v>
      </c>
      <c r="X369" s="1313">
        <f>IF(AND(C369&gt;$F$64,'Instrumentos Financeiros'!C369&lt;'Instrumentos Financeiros'!$F$64+'Instrumentos Financeiros'!$F$11+1),PMT(((1+'Instrumentos Financeiros'!$H$43)^(1/12)-1),$F$11,-$I$64),0)</f>
        <v>0</v>
      </c>
      <c r="Y369" s="1313">
        <f t="shared" si="227"/>
        <v>0</v>
      </c>
      <c r="Z369" s="1313">
        <f>AA368*((1+'Instrumentos Financeiros'!$H$43)^(1/12)-1)</f>
        <v>0</v>
      </c>
      <c r="AA369" s="1313">
        <f t="shared" si="245"/>
        <v>0</v>
      </c>
      <c r="AB369" s="1313">
        <f>IF(AND(C369&gt;$F$65,'Instrumentos Financeiros'!C369&lt;'Instrumentos Financeiros'!$F$65+'Instrumentos Financeiros'!$F$11+1),PMT(((1+'Instrumentos Financeiros'!$H$43)^(1/12)-1),$F$11,-$I$65),0)</f>
        <v>0</v>
      </c>
      <c r="AC369" s="1313">
        <f t="shared" si="228"/>
        <v>2.395112148626705E-11</v>
      </c>
      <c r="AD369" s="1313">
        <f>AE368*((1+'Instrumentos Financeiros'!$H$43)^(1/12)-1)</f>
        <v>-2.395112148626705E-11</v>
      </c>
      <c r="AE369" s="1313">
        <f t="shared" si="246"/>
        <v>-5.5630495636791445E-9</v>
      </c>
      <c r="AF369" s="1313">
        <f>IF(AND(C369&gt;$F$66,'Instrumentos Financeiros'!C369&lt;'Instrumentos Financeiros'!$F$66+'Instrumentos Financeiros'!$F$11+1),PMT(((1+'Instrumentos Financeiros'!$I$43)^(1/12)-1),$F$11,-$I$66),0)</f>
        <v>0</v>
      </c>
      <c r="AG369" s="1313">
        <f t="shared" si="229"/>
        <v>2.364309441824894E-11</v>
      </c>
      <c r="AH369" s="1313">
        <f>AI368*((1+'Instrumentos Financeiros'!$I$43)^(1/12)-1)</f>
        <v>-2.364309441824894E-11</v>
      </c>
      <c r="AI369" s="1313">
        <f t="shared" si="247"/>
        <v>-5.4915051123129729E-9</v>
      </c>
      <c r="AJ369" s="1313">
        <f>IF(AND(C369&gt;$F$67,'Instrumentos Financeiros'!C369&lt;'Instrumentos Financeiros'!$F$67+'Instrumentos Financeiros'!$F$11+1),PMT(((1+'Instrumentos Financeiros'!$I$43)^(1/12)-1),$F$11,-$I$67),0)</f>
        <v>0</v>
      </c>
      <c r="AK369" s="1313">
        <f t="shared" si="230"/>
        <v>2.3339028779539531E-11</v>
      </c>
      <c r="AL369" s="1313">
        <f>AM368*((1+'Instrumentos Financeiros'!$I$43)^(1/12)-1)</f>
        <v>-2.3339028779539531E-11</v>
      </c>
      <c r="AM369" s="1313">
        <f t="shared" si="248"/>
        <v>-5.4208807693266914E-9</v>
      </c>
      <c r="AN369" s="1313">
        <f>IF(AND(C369&gt;$F$68,'Instrumentos Financeiros'!C369&lt;'Instrumentos Financeiros'!$F$68+'Instrumentos Financeiros'!$F$11+1),PMT(((1+'Instrumentos Financeiros'!$I$43)^(1/12)-1),$F$11,-$I$68),0)</f>
        <v>0</v>
      </c>
      <c r="AO369" s="1313">
        <f t="shared" si="231"/>
        <v>2.3038873623570164E-11</v>
      </c>
      <c r="AP369" s="1313">
        <f>AQ368*((1+'Instrumentos Financeiros'!$I$43)^(1/12)-1)</f>
        <v>-2.3038873623570164E-11</v>
      </c>
      <c r="AQ369" s="1313">
        <f t="shared" si="249"/>
        <v>-5.3511647015254888E-9</v>
      </c>
      <c r="AR369" s="1313">
        <f>IF(AND(C369&gt;$F$69,'Instrumentos Financeiros'!C369&lt;'Instrumentos Financeiros'!$F$69+'Instrumentos Financeiros'!$F$11+1),PMT(((1+'Instrumentos Financeiros'!$I$43)^(1/12)-1),$F$11,-$I$69),0)</f>
        <v>0</v>
      </c>
      <c r="AS369" s="1313">
        <f t="shared" si="232"/>
        <v>0</v>
      </c>
      <c r="AT369" s="1313">
        <f>AU368*((1+'Instrumentos Financeiros'!$I$43)^(1/12)-1)</f>
        <v>0</v>
      </c>
      <c r="AU369" s="1313">
        <f t="shared" si="250"/>
        <v>0</v>
      </c>
      <c r="AV369" s="1313">
        <f>IF(AND(C369&gt;$F$70,'Instrumentos Financeiros'!C369&lt;'Instrumentos Financeiros'!$F$70+'Instrumentos Financeiros'!$F$11+1),PMT(((1+'Instrumentos Financeiros'!$J$43)^(1/12)-1),$F$11,-$I$70),0)</f>
        <v>0</v>
      </c>
      <c r="AW369" s="1313">
        <f t="shared" si="233"/>
        <v>0</v>
      </c>
      <c r="AX369" s="1313">
        <f>AY368*((1+'Instrumentos Financeiros'!$J$43)^(1/12)-1)</f>
        <v>0</v>
      </c>
      <c r="AY369" s="1313">
        <f t="shared" si="251"/>
        <v>0</v>
      </c>
      <c r="AZ369" s="1313">
        <f>IF(AND(C369&gt;$F$71,'Instrumentos Financeiros'!C369&lt;'Instrumentos Financeiros'!$F$71+'Instrumentos Financeiros'!$F$11+1),PMT(((1+'Instrumentos Financeiros'!$J$43)^(1/12)-1),$F$11,-$I$71),0)</f>
        <v>0</v>
      </c>
      <c r="BA369" s="1313">
        <f t="shared" si="234"/>
        <v>0</v>
      </c>
      <c r="BB369" s="1313">
        <f>BC368*((1+'Instrumentos Financeiros'!$J$43)^(1/12)-1)</f>
        <v>0</v>
      </c>
      <c r="BC369" s="1313">
        <f t="shared" si="252"/>
        <v>0</v>
      </c>
      <c r="BD369" s="1313">
        <f>IF(AND(C369&gt;$F$72,'Instrumentos Financeiros'!C369&lt;'Instrumentos Financeiros'!$F$72+'Instrumentos Financeiros'!$F$11+1),PMT(((1+'Instrumentos Financeiros'!$J$43)^(1/12)-1),$F$11,-'Instrumentos Financeiros'!$G$7*$G$72),0)</f>
        <v>0</v>
      </c>
      <c r="BE369" s="1313">
        <f t="shared" si="235"/>
        <v>0</v>
      </c>
      <c r="BF369" s="1313">
        <f>BG368*((1+'Instrumentos Financeiros'!$J$43)^(1/12)-1)</f>
        <v>0</v>
      </c>
      <c r="BG369" s="1313">
        <f t="shared" si="253"/>
        <v>0</v>
      </c>
      <c r="BH369" s="1313">
        <f>IF(AND(C369&gt;$F$73,'Instrumentos Financeiros'!C369&lt;'Instrumentos Financeiros'!$F$73+'Instrumentos Financeiros'!$F$11+1),PMT(((1+'Instrumentos Financeiros'!$J$43)^(1/12)-1),$F$11,-$I$73),0)</f>
        <v>0</v>
      </c>
      <c r="BI369" s="1313">
        <f t="shared" si="236"/>
        <v>0</v>
      </c>
      <c r="BJ369" s="1313">
        <f>BK368*((1+'Instrumentos Financeiros'!$J$43)^(1/12)-1)</f>
        <v>0</v>
      </c>
      <c r="BK369" s="1313">
        <f t="shared" si="254"/>
        <v>0</v>
      </c>
      <c r="BL369" s="1313">
        <f>IF(AND(C369&gt;$F$77,'Instrumentos Financeiros'!C369&lt;'Instrumentos Financeiros'!$F$77+'Instrumentos Financeiros'!$F$12+1),PMT(((1+'Instrumentos Financeiros'!$K$43)^(1/12)-1),$F$12,-$I$77),0)</f>
        <v>368.57912678094596</v>
      </c>
      <c r="BM369" s="1313">
        <f t="shared" si="255"/>
        <v>366.99224833562903</v>
      </c>
      <c r="BN369" s="1313">
        <f>BO368*((1+'Instrumentos Financeiros'!$K$43)^(1/12)-1)</f>
        <v>1.5868784453169504</v>
      </c>
      <c r="BO369" s="1313">
        <f t="shared" si="256"/>
        <v>-1.5120349416974932E-11</v>
      </c>
      <c r="BP369" s="1313">
        <f>IF(AND(C369&gt;$F$78,'Instrumentos Financeiros'!C369&lt;'Instrumentos Financeiros'!$F$78+'Instrumentos Financeiros'!$F$12+1),PMT(((1+'Instrumentos Financeiros'!$L$43)^(1/12)-1),$F$12,-$I$78),0)</f>
        <v>368.57912678094596</v>
      </c>
      <c r="BQ369" s="1313">
        <f t="shared" si="257"/>
        <v>362.27248828994544</v>
      </c>
      <c r="BR369" s="1313">
        <f>BS368*((1+'Instrumentos Financeiros'!$L$43)^(1/12)-1)</f>
        <v>6.3066384910005286</v>
      </c>
      <c r="BS369" s="1313">
        <f t="shared" si="258"/>
        <v>1096.2434088050777</v>
      </c>
      <c r="BT369" s="1313">
        <f>IF(AND(C369&gt;$F$79,'Instrumentos Financeiros'!C369&lt;'Instrumentos Financeiros'!$F$79+'Instrumentos Financeiros'!$F$12+1),PMT(((1+'Instrumentos Financeiros'!$L$43)^(1/12)-1),$F$12,-$I$79),0)</f>
        <v>368.57912678094596</v>
      </c>
      <c r="BU369" s="1313">
        <f t="shared" si="259"/>
        <v>357.61342744156059</v>
      </c>
      <c r="BV369" s="1313">
        <f>BW368*((1+'Instrumentos Financeiros'!$L$43)^(1/12)-1)</f>
        <v>10.965699339385374</v>
      </c>
      <c r="BW369" s="1313">
        <f t="shared" si="260"/>
        <v>2178.3884112686546</v>
      </c>
      <c r="BX369" s="1313">
        <f>IF(AND(C369&gt;$F$80,'Instrumentos Financeiros'!C369&lt;'Instrumentos Financeiros'!$F$80+'Instrumentos Financeiros'!$F$12+1),PMT(((1+'Instrumentos Financeiros'!$L$43)^(1/12)-1),$F$12,-$I$80),0)</f>
        <v>368.57912678094596</v>
      </c>
      <c r="BY369" s="1313">
        <f t="shared" si="261"/>
        <v>353.01428515914637</v>
      </c>
      <c r="BZ369" s="1313">
        <f>CA368*((1+'Instrumentos Financeiros'!$L$43)^(1/12)-1)</f>
        <v>15.564841621799566</v>
      </c>
      <c r="CA369" s="1313">
        <f t="shared" si="262"/>
        <v>3246.6163221058364</v>
      </c>
      <c r="CB369" s="1313">
        <f>IF(AND(C369&gt;$F$83,'Instrumentos Financeiros'!C369&lt;'Instrumentos Financeiros'!$F$83+'Instrumentos Financeiros'!$F$13+1),PMT(((1+'Instrumentos Financeiros'!$P$43)^(1/12)-1),$F$13,-$I$83),0)</f>
        <v>30503.390100238979</v>
      </c>
      <c r="CC369" s="1313">
        <f t="shared" si="263"/>
        <v>22261.651222280598</v>
      </c>
      <c r="CD369" s="1313">
        <f>CE368*((1+'Instrumentos Financeiros'!$P$43)^(1/12)-1)</f>
        <v>8241.7388779583798</v>
      </c>
      <c r="CE369" s="1313">
        <f t="shared" si="264"/>
        <v>1883778.6569960751</v>
      </c>
      <c r="CF369" s="1313">
        <f>IF(AND(C369&gt;$F$84,'Instrumentos Financeiros'!C369&lt;'Instrumentos Financeiros'!$F$84+'Instrumentos Financeiros'!$F$13+1),PMT(((1+'Instrumentos Financeiros'!$Q$43)^(1/12)-1),$F$13,-$I$84),0)</f>
        <v>30503.390100238979</v>
      </c>
      <c r="CG369" s="1313">
        <f t="shared" si="265"/>
        <v>21975.351845478035</v>
      </c>
      <c r="CH369" s="1313">
        <f>CI368*((1+'Instrumentos Financeiros'!$Q$43)^(1/12)-1)</f>
        <v>8528.0382547609443</v>
      </c>
      <c r="CI369" s="1313">
        <f t="shared" si="266"/>
        <v>1950276.487760131</v>
      </c>
      <c r="CJ369" s="1313">
        <f>IF(AND(C369&gt;$F$85,'Instrumentos Financeiros'!C369&lt;'Instrumentos Financeiros'!$F$85+'Instrumentos Financeiros'!$F$13+1),PMT(((1+'Instrumentos Financeiros'!$Q$43)^(1/12)-1),$F$13,-$I$85),0)</f>
        <v>30503.390100238979</v>
      </c>
      <c r="CK369" s="1313">
        <f t="shared" si="267"/>
        <v>21692.73446568185</v>
      </c>
      <c r="CL369" s="1313">
        <f>CM368*((1+'Instrumentos Financeiros'!$Q$43)^(1/12)-1)</f>
        <v>8810.6556345571298</v>
      </c>
      <c r="CM369" s="1313">
        <f t="shared" si="268"/>
        <v>2015919.1129818675</v>
      </c>
      <c r="CN369" s="1313">
        <f>IF(AND(C369&gt;$F$86,'Instrumentos Financeiros'!C369&lt;'Instrumentos Financeiros'!$F$86+'Instrumentos Financeiros'!$F$13+1),PMT(((1+'Instrumentos Financeiros'!$Q$43)^(1/12)-1),$F$13,-$I$86),0)</f>
        <v>30503.390100238979</v>
      </c>
      <c r="CO369" s="1313">
        <f t="shared" si="269"/>
        <v>21413.751730005337</v>
      </c>
      <c r="CP369" s="1313">
        <f>CQ368*((1+'Instrumentos Financeiros'!$Q$43)^(1/12)-1)</f>
        <v>9089.6383702336443</v>
      </c>
      <c r="CQ369" s="1313">
        <f t="shared" si="270"/>
        <v>2080717.5311632091</v>
      </c>
      <c r="CR369" s="1313">
        <f t="shared" si="239"/>
        <v>123487.87690807969</v>
      </c>
      <c r="CS369" s="1313">
        <f t="shared" si="239"/>
        <v>88783.381712672184</v>
      </c>
      <c r="CT369" s="1313">
        <f t="shared" si="239"/>
        <v>34704.495195407515</v>
      </c>
      <c r="CU369" s="1313">
        <f t="shared" si="239"/>
        <v>7937213.0370434429</v>
      </c>
    </row>
    <row r="370" spans="3:99" x14ac:dyDescent="0.35">
      <c r="C370" s="1315">
        <f t="shared" si="240"/>
        <v>277</v>
      </c>
      <c r="D370" s="1312">
        <f>IF(AND(C370&gt;$F$59,'Instrumentos Financeiros'!C370&lt;'Instrumentos Financeiros'!$F$59+'Instrumentos Financeiros'!$F$11+1),PMT(((1+'Instrumentos Financeiros'!$G$43)^(1/12)-1),$F$11,-$I$59),0)</f>
        <v>0</v>
      </c>
      <c r="E370" s="1312">
        <f t="shared" si="237"/>
        <v>-9.8664775992731049E-12</v>
      </c>
      <c r="F370" s="1312">
        <f>G369*((1+'Instrumentos Financeiros'!$G$43)^(1/12)-1)</f>
        <v>9.8664775992731049E-12</v>
      </c>
      <c r="G370" s="1312">
        <f t="shared" si="271"/>
        <v>2.4270540455008615E-9</v>
      </c>
      <c r="H370" s="1312">
        <f>IF(AND(C370&gt;$F$60,'Instrumentos Financeiros'!C370&lt;'Instrumentos Financeiros'!$F$60+'Instrumentos Financeiros'!$F$11+1),PMT(((1+'Instrumentos Financeiros'!$G$43)^(1/12)-1),$F$11,-$I$60),0)</f>
        <v>0</v>
      </c>
      <c r="I370" s="1312">
        <f t="shared" si="223"/>
        <v>0</v>
      </c>
      <c r="J370" s="1312">
        <f>K369*((1+'Instrumentos Financeiros'!$G$43)^(1/12)-1)</f>
        <v>0</v>
      </c>
      <c r="K370" s="1312">
        <f t="shared" si="241"/>
        <v>0</v>
      </c>
      <c r="L370" s="1312">
        <f>IF(AND(C370&gt;$F$61,'Instrumentos Financeiros'!C370&lt;'Instrumentos Financeiros'!$F$61+'Instrumentos Financeiros'!$F$11+1),PMT(((1+'Instrumentos Financeiros'!$G$43)^(1/12)-1),$F$11,-$I$61),0)</f>
        <v>0</v>
      </c>
      <c r="M370" s="1312">
        <f t="shared" si="224"/>
        <v>0</v>
      </c>
      <c r="N370" s="1312">
        <f>O369*((1+'Instrumentos Financeiros'!$G$43)^(1/12)-1)</f>
        <v>0</v>
      </c>
      <c r="O370" s="1312">
        <f t="shared" si="242"/>
        <v>0</v>
      </c>
      <c r="P370" s="1312">
        <f>IF(AND(C370&gt;$F$62,'Instrumentos Financeiros'!C370&lt;'Instrumentos Financeiros'!$F$62+'Instrumentos Financeiros'!$F$11+1),PMT(((1+'Instrumentos Financeiros'!$H$43)^(1/12)-1),$F$11,-$I$62),0)</f>
        <v>0</v>
      </c>
      <c r="Q370" s="1312">
        <f t="shared" si="225"/>
        <v>0</v>
      </c>
      <c r="R370" s="1312">
        <f>S369*((1+'Instrumentos Financeiros'!$H$43)^(1/12)-1)</f>
        <v>0</v>
      </c>
      <c r="S370" s="1312">
        <f t="shared" si="243"/>
        <v>0</v>
      </c>
      <c r="T370" s="1312">
        <f>IF(AND(C370&gt;$F$63,'Instrumentos Financeiros'!C370&lt;'Instrumentos Financeiros'!$F$63+'Instrumentos Financeiros'!$F$11+1),PMT(((1+'Instrumentos Financeiros'!$H$43)^(1/12)-1),$F$11,-$I$63),0)</f>
        <v>0</v>
      </c>
      <c r="U370" s="1312">
        <f t="shared" si="226"/>
        <v>0</v>
      </c>
      <c r="V370" s="1312">
        <f>W369*((1+'Instrumentos Financeiros'!$H$43)^(1/12)-1)</f>
        <v>0</v>
      </c>
      <c r="W370" s="1312">
        <f t="shared" si="244"/>
        <v>0</v>
      </c>
      <c r="X370" s="1312">
        <f>IF(AND(C370&gt;$F$64,'Instrumentos Financeiros'!C370&lt;'Instrumentos Financeiros'!$F$64+'Instrumentos Financeiros'!$F$11+1),PMT(((1+'Instrumentos Financeiros'!$H$43)^(1/12)-1),$F$11,-$I$64),0)</f>
        <v>0</v>
      </c>
      <c r="Y370" s="1312">
        <f t="shared" si="227"/>
        <v>0</v>
      </c>
      <c r="Z370" s="1312">
        <f>AA369*((1+'Instrumentos Financeiros'!$H$43)^(1/12)-1)</f>
        <v>0</v>
      </c>
      <c r="AA370" s="1312">
        <f t="shared" si="245"/>
        <v>0</v>
      </c>
      <c r="AB370" s="1312">
        <f>IF(AND(C370&gt;$F$65,'Instrumentos Financeiros'!C370&lt;'Instrumentos Financeiros'!$F$65+'Instrumentos Financeiros'!$F$11+1),PMT(((1+'Instrumentos Financeiros'!$H$43)^(1/12)-1),$F$11,-$I$65),0)</f>
        <v>0</v>
      </c>
      <c r="AC370" s="1312">
        <f t="shared" si="228"/>
        <v>2.4054686394245616E-11</v>
      </c>
      <c r="AD370" s="1312">
        <f>AE369*((1+'Instrumentos Financeiros'!$H$43)^(1/12)-1)</f>
        <v>-2.4054686394245616E-11</v>
      </c>
      <c r="AE370" s="1312">
        <f t="shared" si="246"/>
        <v>-5.5871042500733899E-9</v>
      </c>
      <c r="AF370" s="1312">
        <f>IF(AND(C370&gt;$F$66,'Instrumentos Financeiros'!C370&lt;'Instrumentos Financeiros'!$F$66+'Instrumentos Financeiros'!$F$11+1),PMT(((1+'Instrumentos Financeiros'!$I$43)^(1/12)-1),$F$11,-$I$66),0)</f>
        <v>0</v>
      </c>
      <c r="AG370" s="1312">
        <f t="shared" si="229"/>
        <v>2.3745327413858706E-11</v>
      </c>
      <c r="AH370" s="1312">
        <f>AI369*((1+'Instrumentos Financeiros'!$I$43)^(1/12)-1)</f>
        <v>-2.3745327413858706E-11</v>
      </c>
      <c r="AI370" s="1312">
        <f t="shared" si="247"/>
        <v>-5.5152504397268317E-9</v>
      </c>
      <c r="AJ370" s="1312">
        <f>IF(AND(C370&gt;$F$67,'Instrumentos Financeiros'!C370&lt;'Instrumentos Financeiros'!$F$67+'Instrumentos Financeiros'!$F$11+1),PMT(((1+'Instrumentos Financeiros'!$I$43)^(1/12)-1),$F$11,-$I$67),0)</f>
        <v>0</v>
      </c>
      <c r="AK370" s="1312">
        <f t="shared" si="230"/>
        <v>2.3439946992043609E-11</v>
      </c>
      <c r="AL370" s="1312">
        <f>AM369*((1+'Instrumentos Financeiros'!$I$43)^(1/12)-1)</f>
        <v>-2.3439946992043609E-11</v>
      </c>
      <c r="AM370" s="1312">
        <f t="shared" si="248"/>
        <v>-5.4443207163187352E-9</v>
      </c>
      <c r="AN370" s="1312">
        <f>IF(AND(C370&gt;$F$68,'Instrumentos Financeiros'!C370&lt;'Instrumentos Financeiros'!$F$68+'Instrumentos Financeiros'!$F$11+1),PMT(((1+'Instrumentos Financeiros'!$I$43)^(1/12)-1),$F$11,-$I$68),0)</f>
        <v>0</v>
      </c>
      <c r="AO370" s="1312">
        <f t="shared" si="231"/>
        <v>2.3138493961938157E-11</v>
      </c>
      <c r="AP370" s="1312">
        <f>AQ369*((1+'Instrumentos Financeiros'!$I$43)^(1/12)-1)</f>
        <v>-2.3138493961938157E-11</v>
      </c>
      <c r="AQ370" s="1312">
        <f t="shared" si="249"/>
        <v>-5.3743031954874267E-9</v>
      </c>
      <c r="AR370" s="1312">
        <f>IF(AND(C370&gt;$F$69,'Instrumentos Financeiros'!C370&lt;'Instrumentos Financeiros'!$F$69+'Instrumentos Financeiros'!$F$11+1),PMT(((1+'Instrumentos Financeiros'!$I$43)^(1/12)-1),$F$11,-$I$69),0)</f>
        <v>0</v>
      </c>
      <c r="AS370" s="1312">
        <f t="shared" si="232"/>
        <v>0</v>
      </c>
      <c r="AT370" s="1312">
        <f>AU369*((1+'Instrumentos Financeiros'!$I$43)^(1/12)-1)</f>
        <v>0</v>
      </c>
      <c r="AU370" s="1312">
        <f t="shared" si="250"/>
        <v>0</v>
      </c>
      <c r="AV370" s="1312">
        <f>IF(AND(C370&gt;$F$70,'Instrumentos Financeiros'!C370&lt;'Instrumentos Financeiros'!$F$70+'Instrumentos Financeiros'!$F$11+1),PMT(((1+'Instrumentos Financeiros'!$J$43)^(1/12)-1),$F$11,-$I$70),0)</f>
        <v>0</v>
      </c>
      <c r="AW370" s="1312">
        <f t="shared" si="233"/>
        <v>0</v>
      </c>
      <c r="AX370" s="1312">
        <f>AY369*((1+'Instrumentos Financeiros'!$J$43)^(1/12)-1)</f>
        <v>0</v>
      </c>
      <c r="AY370" s="1312">
        <f t="shared" si="251"/>
        <v>0</v>
      </c>
      <c r="AZ370" s="1312">
        <f>IF(AND(C370&gt;$F$71,'Instrumentos Financeiros'!C370&lt;'Instrumentos Financeiros'!$F$71+'Instrumentos Financeiros'!$F$11+1),PMT(((1+'Instrumentos Financeiros'!$J$43)^(1/12)-1),$F$11,-$I$71),0)</f>
        <v>0</v>
      </c>
      <c r="BA370" s="1312">
        <f t="shared" si="234"/>
        <v>0</v>
      </c>
      <c r="BB370" s="1312">
        <f>BC369*((1+'Instrumentos Financeiros'!$J$43)^(1/12)-1)</f>
        <v>0</v>
      </c>
      <c r="BC370" s="1312">
        <f t="shared" si="252"/>
        <v>0</v>
      </c>
      <c r="BD370" s="1312">
        <f>IF(AND(C370&gt;$F$72,'Instrumentos Financeiros'!C370&lt;'Instrumentos Financeiros'!$F$72+'Instrumentos Financeiros'!$F$11+1),PMT(((1+'Instrumentos Financeiros'!$J$43)^(1/12)-1),$F$11,-'Instrumentos Financeiros'!$G$7*$G$72),0)</f>
        <v>0</v>
      </c>
      <c r="BE370" s="1312">
        <f t="shared" si="235"/>
        <v>0</v>
      </c>
      <c r="BF370" s="1312">
        <f>BG369*((1+'Instrumentos Financeiros'!$J$43)^(1/12)-1)</f>
        <v>0</v>
      </c>
      <c r="BG370" s="1312">
        <f t="shared" si="253"/>
        <v>0</v>
      </c>
      <c r="BH370" s="1312">
        <f>IF(AND(C370&gt;$F$73,'Instrumentos Financeiros'!C370&lt;'Instrumentos Financeiros'!$F$73+'Instrumentos Financeiros'!$F$11+1),PMT(((1+'Instrumentos Financeiros'!$J$43)^(1/12)-1),$F$11,-$I$73),0)</f>
        <v>0</v>
      </c>
      <c r="BI370" s="1312">
        <f t="shared" si="236"/>
        <v>0</v>
      </c>
      <c r="BJ370" s="1312">
        <f>BK369*((1+'Instrumentos Financeiros'!$J$43)^(1/12)-1)</f>
        <v>0</v>
      </c>
      <c r="BK370" s="1312">
        <f t="shared" si="254"/>
        <v>0</v>
      </c>
      <c r="BL370" s="1312">
        <f>IF(AND(C370&gt;$F$77,'Instrumentos Financeiros'!C370&lt;'Instrumentos Financeiros'!$F$77+'Instrumentos Financeiros'!$F$12+1),PMT(((1+'Instrumentos Financeiros'!$K$43)^(1/12)-1),$F$12,-$I$77),0)</f>
        <v>0</v>
      </c>
      <c r="BM370" s="1312">
        <f t="shared" si="255"/>
        <v>6.5380554178669229E-14</v>
      </c>
      <c r="BN370" s="1312">
        <f>BO369*((1+'Instrumentos Financeiros'!$K$43)^(1/12)-1)</f>
        <v>-6.5380554178669229E-14</v>
      </c>
      <c r="BO370" s="1312">
        <f t="shared" si="256"/>
        <v>-1.51857299711536E-11</v>
      </c>
      <c r="BP370" s="1312">
        <f>IF(AND(C370&gt;$F$78,'Instrumentos Financeiros'!C370&lt;'Instrumentos Financeiros'!$F$78+'Instrumentos Financeiros'!$F$12+1),PMT(((1+'Instrumentos Financeiros'!$L$43)^(1/12)-1),$F$12,-$I$78),0)</f>
        <v>368.57912678094596</v>
      </c>
      <c r="BQ370" s="1312">
        <f t="shared" si="257"/>
        <v>363.8389584418515</v>
      </c>
      <c r="BR370" s="1312">
        <f>BS369*((1+'Instrumentos Financeiros'!$L$43)^(1/12)-1)</f>
        <v>4.7401683390944251</v>
      </c>
      <c r="BS370" s="1312">
        <f t="shared" si="258"/>
        <v>732.40445036322626</v>
      </c>
      <c r="BT370" s="1312">
        <f>IF(AND(C370&gt;$F$79,'Instrumentos Financeiros'!C370&lt;'Instrumentos Financeiros'!$F$79+'Instrumentos Financeiros'!$F$12+1),PMT(((1+'Instrumentos Financeiros'!$L$43)^(1/12)-1),$F$12,-$I$79),0)</f>
        <v>368.57912678094596</v>
      </c>
      <c r="BU370" s="1312">
        <f t="shared" si="259"/>
        <v>359.15975176404044</v>
      </c>
      <c r="BV370" s="1312">
        <f>BW369*((1+'Instrumentos Financeiros'!$L$43)^(1/12)-1)</f>
        <v>9.4193750169055104</v>
      </c>
      <c r="BW370" s="1312">
        <f t="shared" si="260"/>
        <v>1819.2286595046141</v>
      </c>
      <c r="BX370" s="1312">
        <f>IF(AND(C370&gt;$F$80,'Instrumentos Financeiros'!C370&lt;'Instrumentos Financeiros'!$F$80+'Instrumentos Financeiros'!$F$12+1),PMT(((1+'Instrumentos Financeiros'!$L$43)^(1/12)-1),$F$12,-$I$80),0)</f>
        <v>368.57912678094596</v>
      </c>
      <c r="BY370" s="1312">
        <f t="shared" si="261"/>
        <v>354.54072274072638</v>
      </c>
      <c r="BZ370" s="1312">
        <f>CA369*((1+'Instrumentos Financeiros'!$L$43)^(1/12)-1)</f>
        <v>14.038404040219568</v>
      </c>
      <c r="CA370" s="1312">
        <f t="shared" si="262"/>
        <v>2892.0755993651101</v>
      </c>
      <c r="CB370" s="1312">
        <f>IF(AND(C370&gt;$F$83,'Instrumentos Financeiros'!C370&lt;'Instrumentos Financeiros'!$F$83+'Instrumentos Financeiros'!$F$13+1),PMT(((1+'Instrumentos Financeiros'!$P$43)^(1/12)-1),$F$13,-$I$83),0)</f>
        <v>30503.390100238979</v>
      </c>
      <c r="CC370" s="1312">
        <f t="shared" si="263"/>
        <v>22357.910842591424</v>
      </c>
      <c r="CD370" s="1312">
        <f>CE369*((1+'Instrumentos Financeiros'!$P$43)^(1/12)-1)</f>
        <v>8145.4792576475575</v>
      </c>
      <c r="CE370" s="1312">
        <f t="shared" si="264"/>
        <v>1861420.7461534836</v>
      </c>
      <c r="CF370" s="1312">
        <f>IF(AND(C370&gt;$F$84,'Instrumentos Financeiros'!C370&lt;'Instrumentos Financeiros'!$F$84+'Instrumentos Financeiros'!$F$13+1),PMT(((1+'Instrumentos Financeiros'!$Q$43)^(1/12)-1),$F$13,-$I$84),0)</f>
        <v>30503.390100238979</v>
      </c>
      <c r="CG370" s="1312">
        <f t="shared" si="265"/>
        <v>22070.373504191528</v>
      </c>
      <c r="CH370" s="1312">
        <f>CI369*((1+'Instrumentos Financeiros'!$Q$43)^(1/12)-1)</f>
        <v>8433.0165960474496</v>
      </c>
      <c r="CI370" s="1312">
        <f t="shared" si="266"/>
        <v>1928206.1142559394</v>
      </c>
      <c r="CJ370" s="1312">
        <f>IF(AND(C370&gt;$F$85,'Instrumentos Financeiros'!C370&lt;'Instrumentos Financeiros'!$F$85+'Instrumentos Financeiros'!$F$13+1),PMT(((1+'Instrumentos Financeiros'!$Q$43)^(1/12)-1),$F$13,-$I$85),0)</f>
        <v>30503.390100238979</v>
      </c>
      <c r="CK370" s="1312">
        <f t="shared" si="267"/>
        <v>21786.534083792838</v>
      </c>
      <c r="CL370" s="1312">
        <f>CM369*((1+'Instrumentos Financeiros'!$Q$43)^(1/12)-1)</f>
        <v>8716.8560164461396</v>
      </c>
      <c r="CM370" s="1312">
        <f t="shared" si="268"/>
        <v>1994132.5788980746</v>
      </c>
      <c r="CN370" s="1312">
        <f>IF(AND(C370&gt;$F$86,'Instrumentos Financeiros'!C370&lt;'Instrumentos Financeiros'!$F$86+'Instrumentos Financeiros'!$F$13+1),PMT(((1+'Instrumentos Financeiros'!$Q$43)^(1/12)-1),$F$13,-$I$86),0)</f>
        <v>30503.390100238979</v>
      </c>
      <c r="CO370" s="1312">
        <f t="shared" si="269"/>
        <v>21506.345023754249</v>
      </c>
      <c r="CP370" s="1312">
        <f>CQ369*((1+'Instrumentos Financeiros'!$Q$43)^(1/12)-1)</f>
        <v>8997.0450764847301</v>
      </c>
      <c r="CQ370" s="1312">
        <f t="shared" si="270"/>
        <v>2059211.1861394548</v>
      </c>
      <c r="CR370" s="1312">
        <f t="shared" si="239"/>
        <v>123119.29778129875</v>
      </c>
      <c r="CS370" s="1312">
        <f t="shared" si="239"/>
        <v>88798.702887276741</v>
      </c>
      <c r="CT370" s="1312">
        <f t="shared" si="239"/>
        <v>34320.594894022011</v>
      </c>
      <c r="CU370" s="1312">
        <f t="shared" si="239"/>
        <v>7848414.3341561668</v>
      </c>
    </row>
    <row r="371" spans="3:99" x14ac:dyDescent="0.35">
      <c r="C371" s="1315">
        <f t="shared" si="240"/>
        <v>278</v>
      </c>
      <c r="D371" s="1312">
        <f>IF(AND(C371&gt;$F$59,'Instrumentos Financeiros'!C371&lt;'Instrumentos Financeiros'!$F$59+'Instrumentos Financeiros'!$F$11+1),PMT(((1+'Instrumentos Financeiros'!$G$43)^(1/12)-1),$F$11,-$I$59),0)</f>
        <v>0</v>
      </c>
      <c r="E371" s="1312">
        <f t="shared" si="237"/>
        <v>-9.9067505931895291E-12</v>
      </c>
      <c r="F371" s="1312">
        <f>G370*((1+'Instrumentos Financeiros'!$G$43)^(1/12)-1)</f>
        <v>9.9067505931895291E-12</v>
      </c>
      <c r="G371" s="1312">
        <f t="shared" si="271"/>
        <v>2.4369607960940512E-9</v>
      </c>
      <c r="H371" s="1312">
        <f>IF(AND(C371&gt;$F$60,'Instrumentos Financeiros'!C371&lt;'Instrumentos Financeiros'!$F$60+'Instrumentos Financeiros'!$F$11+1),PMT(((1+'Instrumentos Financeiros'!$G$43)^(1/12)-1),$F$11,-$I$60),0)</f>
        <v>0</v>
      </c>
      <c r="I371" s="1312">
        <f t="shared" si="223"/>
        <v>0</v>
      </c>
      <c r="J371" s="1312">
        <f>K370*((1+'Instrumentos Financeiros'!$G$43)^(1/12)-1)</f>
        <v>0</v>
      </c>
      <c r="K371" s="1312">
        <f t="shared" si="241"/>
        <v>0</v>
      </c>
      <c r="L371" s="1312">
        <f>IF(AND(C371&gt;$F$61,'Instrumentos Financeiros'!C371&lt;'Instrumentos Financeiros'!$F$61+'Instrumentos Financeiros'!$F$11+1),PMT(((1+'Instrumentos Financeiros'!$G$43)^(1/12)-1),$F$11,-$I$61),0)</f>
        <v>0</v>
      </c>
      <c r="M371" s="1312">
        <f t="shared" si="224"/>
        <v>0</v>
      </c>
      <c r="N371" s="1312">
        <f>O370*((1+'Instrumentos Financeiros'!$G$43)^(1/12)-1)</f>
        <v>0</v>
      </c>
      <c r="O371" s="1312">
        <f t="shared" si="242"/>
        <v>0</v>
      </c>
      <c r="P371" s="1312">
        <f>IF(AND(C371&gt;$F$62,'Instrumentos Financeiros'!C371&lt;'Instrumentos Financeiros'!$F$62+'Instrumentos Financeiros'!$F$11+1),PMT(((1+'Instrumentos Financeiros'!$H$43)^(1/12)-1),$F$11,-$I$62),0)</f>
        <v>0</v>
      </c>
      <c r="Q371" s="1312">
        <f t="shared" si="225"/>
        <v>0</v>
      </c>
      <c r="R371" s="1312">
        <f>S370*((1+'Instrumentos Financeiros'!$H$43)^(1/12)-1)</f>
        <v>0</v>
      </c>
      <c r="S371" s="1312">
        <f t="shared" si="243"/>
        <v>0</v>
      </c>
      <c r="T371" s="1312">
        <f>IF(AND(C371&gt;$F$63,'Instrumentos Financeiros'!C371&lt;'Instrumentos Financeiros'!$F$63+'Instrumentos Financeiros'!$F$11+1),PMT(((1+'Instrumentos Financeiros'!$H$43)^(1/12)-1),$F$11,-$I$63),0)</f>
        <v>0</v>
      </c>
      <c r="U371" s="1312">
        <f t="shared" si="226"/>
        <v>0</v>
      </c>
      <c r="V371" s="1312">
        <f>W370*((1+'Instrumentos Financeiros'!$H$43)^(1/12)-1)</f>
        <v>0</v>
      </c>
      <c r="W371" s="1312">
        <f t="shared" si="244"/>
        <v>0</v>
      </c>
      <c r="X371" s="1312">
        <f>IF(AND(C371&gt;$F$64,'Instrumentos Financeiros'!C371&lt;'Instrumentos Financeiros'!$F$64+'Instrumentos Financeiros'!$F$11+1),PMT(((1+'Instrumentos Financeiros'!$H$43)^(1/12)-1),$F$11,-$I$64),0)</f>
        <v>0</v>
      </c>
      <c r="Y371" s="1312">
        <f t="shared" si="227"/>
        <v>0</v>
      </c>
      <c r="Z371" s="1312">
        <f>AA370*((1+'Instrumentos Financeiros'!$H$43)^(1/12)-1)</f>
        <v>0</v>
      </c>
      <c r="AA371" s="1312">
        <f t="shared" si="245"/>
        <v>0</v>
      </c>
      <c r="AB371" s="1312">
        <f>IF(AND(C371&gt;$F$65,'Instrumentos Financeiros'!C371&lt;'Instrumentos Financeiros'!$F$65+'Instrumentos Financeiros'!$F$11+1),PMT(((1+'Instrumentos Financeiros'!$H$43)^(1/12)-1),$F$11,-$I$65),0)</f>
        <v>0</v>
      </c>
      <c r="AC371" s="1312">
        <f t="shared" si="228"/>
        <v>2.4158699118004781E-11</v>
      </c>
      <c r="AD371" s="1312">
        <f>AE370*((1+'Instrumentos Financeiros'!$H$43)^(1/12)-1)</f>
        <v>-2.4158699118004781E-11</v>
      </c>
      <c r="AE371" s="1312">
        <f t="shared" si="246"/>
        <v>-5.6112629491913946E-9</v>
      </c>
      <c r="AF371" s="1312">
        <f>IF(AND(C371&gt;$F$66,'Instrumentos Financeiros'!C371&lt;'Instrumentos Financeiros'!$F$66+'Instrumentos Financeiros'!$F$11+1),PMT(((1+'Instrumentos Financeiros'!$I$43)^(1/12)-1),$F$11,-$I$66),0)</f>
        <v>0</v>
      </c>
      <c r="AG371" s="1312">
        <f t="shared" si="229"/>
        <v>2.3848002466045607E-11</v>
      </c>
      <c r="AH371" s="1312">
        <f>AI370*((1+'Instrumentos Financeiros'!$I$43)^(1/12)-1)</f>
        <v>-2.3848002466045607E-11</v>
      </c>
      <c r="AI371" s="1312">
        <f t="shared" si="247"/>
        <v>-5.5390984421928774E-9</v>
      </c>
      <c r="AJ371" s="1312">
        <f>IF(AND(C371&gt;$F$67,'Instrumentos Financeiros'!C371&lt;'Instrumentos Financeiros'!$F$67+'Instrumentos Financeiros'!$F$11+1),PMT(((1+'Instrumentos Financeiros'!$I$43)^(1/12)-1),$F$11,-$I$67),0)</f>
        <v>0</v>
      </c>
      <c r="AK371" s="1312">
        <f t="shared" si="230"/>
        <v>2.3541301575988471E-11</v>
      </c>
      <c r="AL371" s="1312">
        <f>AM370*((1+'Instrumentos Financeiros'!$I$43)^(1/12)-1)</f>
        <v>-2.3541301575988471E-11</v>
      </c>
      <c r="AM371" s="1312">
        <f t="shared" si="248"/>
        <v>-5.4678620178947237E-9</v>
      </c>
      <c r="AN371" s="1312">
        <f>IF(AND(C371&gt;$F$68,'Instrumentos Financeiros'!C371&lt;'Instrumentos Financeiros'!$F$68+'Instrumentos Financeiros'!$F$11+1),PMT(((1+'Instrumentos Financeiros'!$I$43)^(1/12)-1),$F$11,-$I$68),0)</f>
        <v>0</v>
      </c>
      <c r="AO371" s="1312">
        <f t="shared" si="231"/>
        <v>2.323854505972515E-11</v>
      </c>
      <c r="AP371" s="1312">
        <f>AQ370*((1+'Instrumentos Financeiros'!$I$43)^(1/12)-1)</f>
        <v>-2.323854505972515E-11</v>
      </c>
      <c r="AQ371" s="1312">
        <f t="shared" si="249"/>
        <v>-5.3975417405471521E-9</v>
      </c>
      <c r="AR371" s="1312">
        <f>IF(AND(C371&gt;$F$69,'Instrumentos Financeiros'!C371&lt;'Instrumentos Financeiros'!$F$69+'Instrumentos Financeiros'!$F$11+1),PMT(((1+'Instrumentos Financeiros'!$I$43)^(1/12)-1),$F$11,-$I$69),0)</f>
        <v>0</v>
      </c>
      <c r="AS371" s="1312">
        <f t="shared" si="232"/>
        <v>0</v>
      </c>
      <c r="AT371" s="1312">
        <f>AU370*((1+'Instrumentos Financeiros'!$I$43)^(1/12)-1)</f>
        <v>0</v>
      </c>
      <c r="AU371" s="1312">
        <f t="shared" si="250"/>
        <v>0</v>
      </c>
      <c r="AV371" s="1312">
        <f>IF(AND(C371&gt;$F$70,'Instrumentos Financeiros'!C371&lt;'Instrumentos Financeiros'!$F$70+'Instrumentos Financeiros'!$F$11+1),PMT(((1+'Instrumentos Financeiros'!$J$43)^(1/12)-1),$F$11,-$I$70),0)</f>
        <v>0</v>
      </c>
      <c r="AW371" s="1312">
        <f t="shared" si="233"/>
        <v>0</v>
      </c>
      <c r="AX371" s="1312">
        <f>AY370*((1+'Instrumentos Financeiros'!$J$43)^(1/12)-1)</f>
        <v>0</v>
      </c>
      <c r="AY371" s="1312">
        <f t="shared" si="251"/>
        <v>0</v>
      </c>
      <c r="AZ371" s="1312">
        <f>IF(AND(C371&gt;$F$71,'Instrumentos Financeiros'!C371&lt;'Instrumentos Financeiros'!$F$71+'Instrumentos Financeiros'!$F$11+1),PMT(((1+'Instrumentos Financeiros'!$J$43)^(1/12)-1),$F$11,-$I$71),0)</f>
        <v>0</v>
      </c>
      <c r="BA371" s="1312">
        <f t="shared" si="234"/>
        <v>0</v>
      </c>
      <c r="BB371" s="1312">
        <f>BC370*((1+'Instrumentos Financeiros'!$J$43)^(1/12)-1)</f>
        <v>0</v>
      </c>
      <c r="BC371" s="1312">
        <f t="shared" si="252"/>
        <v>0</v>
      </c>
      <c r="BD371" s="1312">
        <f>IF(AND(C371&gt;$F$72,'Instrumentos Financeiros'!C371&lt;'Instrumentos Financeiros'!$F$72+'Instrumentos Financeiros'!$F$11+1),PMT(((1+'Instrumentos Financeiros'!$J$43)^(1/12)-1),$F$11,-'Instrumentos Financeiros'!$G$7*$G$72),0)</f>
        <v>0</v>
      </c>
      <c r="BE371" s="1312">
        <f t="shared" si="235"/>
        <v>0</v>
      </c>
      <c r="BF371" s="1312">
        <f>BG370*((1+'Instrumentos Financeiros'!$J$43)^(1/12)-1)</f>
        <v>0</v>
      </c>
      <c r="BG371" s="1312">
        <f t="shared" si="253"/>
        <v>0</v>
      </c>
      <c r="BH371" s="1312">
        <f>IF(AND(C371&gt;$F$73,'Instrumentos Financeiros'!C371&lt;'Instrumentos Financeiros'!$F$73+'Instrumentos Financeiros'!$F$11+1),PMT(((1+'Instrumentos Financeiros'!$J$43)^(1/12)-1),$F$11,-$I$73),0)</f>
        <v>0</v>
      </c>
      <c r="BI371" s="1312">
        <f t="shared" si="236"/>
        <v>0</v>
      </c>
      <c r="BJ371" s="1312">
        <f>BK370*((1+'Instrumentos Financeiros'!$J$43)^(1/12)-1)</f>
        <v>0</v>
      </c>
      <c r="BK371" s="1312">
        <f t="shared" si="254"/>
        <v>0</v>
      </c>
      <c r="BL371" s="1312">
        <f>IF(AND(C371&gt;$F$77,'Instrumentos Financeiros'!C371&lt;'Instrumentos Financeiros'!$F$77+'Instrumentos Financeiros'!$F$12+1),PMT(((1+'Instrumentos Financeiros'!$K$43)^(1/12)-1),$F$12,-$I$77),0)</f>
        <v>0</v>
      </c>
      <c r="BM371" s="1312">
        <f t="shared" si="255"/>
        <v>6.5663260401047318E-14</v>
      </c>
      <c r="BN371" s="1312">
        <f>BO370*((1+'Instrumentos Financeiros'!$K$43)^(1/12)-1)</f>
        <v>-6.5663260401047318E-14</v>
      </c>
      <c r="BO371" s="1312">
        <f t="shared" si="256"/>
        <v>-1.5251393231554648E-11</v>
      </c>
      <c r="BP371" s="1312">
        <f>IF(AND(C371&gt;$F$78,'Instrumentos Financeiros'!C371&lt;'Instrumentos Financeiros'!$F$78+'Instrumentos Financeiros'!$F$12+1),PMT(((1+'Instrumentos Financeiros'!$L$43)^(1/12)-1),$F$12,-$I$78),0)</f>
        <v>368.57912678094596</v>
      </c>
      <c r="BQ371" s="1312">
        <f t="shared" si="257"/>
        <v>365.41220202761235</v>
      </c>
      <c r="BR371" s="1312">
        <f>BS370*((1+'Instrumentos Financeiros'!$L$43)^(1/12)-1)</f>
        <v>3.1669247533336127</v>
      </c>
      <c r="BS371" s="1312">
        <f t="shared" si="258"/>
        <v>366.99224833561391</v>
      </c>
      <c r="BT371" s="1312">
        <f>IF(AND(C371&gt;$F$79,'Instrumentos Financeiros'!C371&lt;'Instrumentos Financeiros'!$F$79+'Instrumentos Financeiros'!$F$12+1),PMT(((1+'Instrumentos Financeiros'!$L$43)^(1/12)-1),$F$12,-$I$79),0)</f>
        <v>368.57912678094596</v>
      </c>
      <c r="BU371" s="1312">
        <f t="shared" si="259"/>
        <v>360.71276240959099</v>
      </c>
      <c r="BV371" s="1312">
        <f>BW370*((1+'Instrumentos Financeiros'!$L$43)^(1/12)-1)</f>
        <v>7.866364371354952</v>
      </c>
      <c r="BW371" s="1312">
        <f t="shared" si="260"/>
        <v>1458.5158970950231</v>
      </c>
      <c r="BX371" s="1312">
        <f>IF(AND(C371&gt;$F$80,'Instrumentos Financeiros'!C371&lt;'Instrumentos Financeiros'!$F$80+'Instrumentos Financeiros'!$F$12+1),PMT(((1+'Instrumentos Financeiros'!$L$43)^(1/12)-1),$F$12,-$I$80),0)</f>
        <v>368.57912678094596</v>
      </c>
      <c r="BY371" s="1312">
        <f t="shared" si="261"/>
        <v>356.07376065489467</v>
      </c>
      <c r="BZ371" s="1312">
        <f>CA370*((1+'Instrumentos Financeiros'!$L$43)^(1/12)-1)</f>
        <v>12.505366126051301</v>
      </c>
      <c r="CA371" s="1312">
        <f t="shared" si="262"/>
        <v>2536.0018387102155</v>
      </c>
      <c r="CB371" s="1312">
        <f>IF(AND(C371&gt;$F$83,'Instrumentos Financeiros'!C371&lt;'Instrumentos Financeiros'!$F$83+'Instrumentos Financeiros'!$F$13+1),PMT(((1+'Instrumentos Financeiros'!$P$43)^(1/12)-1),$F$13,-$I$83),0)</f>
        <v>30503.390100238979</v>
      </c>
      <c r="CC371" s="1312">
        <f t="shared" si="263"/>
        <v>22454.586690540069</v>
      </c>
      <c r="CD371" s="1312">
        <f>CE370*((1+'Instrumentos Financeiros'!$P$43)^(1/12)-1)</f>
        <v>8048.8034096989086</v>
      </c>
      <c r="CE371" s="1312">
        <f t="shared" si="264"/>
        <v>1838966.1594629437</v>
      </c>
      <c r="CF371" s="1312">
        <f>IF(AND(C371&gt;$F$84,'Instrumentos Financeiros'!C371&lt;'Instrumentos Financeiros'!$F$84+'Instrumentos Financeiros'!$F$13+1),PMT(((1+'Instrumentos Financeiros'!$Q$43)^(1/12)-1),$F$13,-$I$84),0)</f>
        <v>30503.390100238979</v>
      </c>
      <c r="CG371" s="1312">
        <f t="shared" si="265"/>
        <v>22165.806037583534</v>
      </c>
      <c r="CH371" s="1312">
        <f>CI370*((1+'Instrumentos Financeiros'!$Q$43)^(1/12)-1)</f>
        <v>8337.5840626554436</v>
      </c>
      <c r="CI371" s="1312">
        <f t="shared" si="266"/>
        <v>1906040.3082183558</v>
      </c>
      <c r="CJ371" s="1312">
        <f>IF(AND(C371&gt;$F$85,'Instrumentos Financeiros'!C371&lt;'Instrumentos Financeiros'!$F$85+'Instrumentos Financeiros'!$F$13+1),PMT(((1+'Instrumentos Financeiros'!$Q$43)^(1/12)-1),$F$13,-$I$85),0)</f>
        <v>30503.390100238979</v>
      </c>
      <c r="CK371" s="1312">
        <f t="shared" si="267"/>
        <v>21880.73929246558</v>
      </c>
      <c r="CL371" s="1312">
        <f>CM370*((1+'Instrumentos Financeiros'!$Q$43)^(1/12)-1)</f>
        <v>8622.6508077733997</v>
      </c>
      <c r="CM371" s="1312">
        <f t="shared" si="268"/>
        <v>1972251.839605609</v>
      </c>
      <c r="CN371" s="1312">
        <f>IF(AND(C371&gt;$F$86,'Instrumentos Financeiros'!C371&lt;'Instrumentos Financeiros'!$F$86+'Instrumentos Financeiros'!$F$13+1),PMT(((1+'Instrumentos Financeiros'!$Q$43)^(1/12)-1),$F$13,-$I$86),0)</f>
        <v>30503.390100238979</v>
      </c>
      <c r="CO371" s="1312">
        <f t="shared" si="269"/>
        <v>21599.338691905341</v>
      </c>
      <c r="CP371" s="1312">
        <f>CQ370*((1+'Instrumentos Financeiros'!$Q$43)^(1/12)-1)</f>
        <v>8904.0514083336384</v>
      </c>
      <c r="CQ371" s="1312">
        <f t="shared" si="270"/>
        <v>2037611.8474475495</v>
      </c>
      <c r="CR371" s="1312">
        <f t="shared" si="239"/>
        <v>123119.29778129875</v>
      </c>
      <c r="CS371" s="1312">
        <f t="shared" si="239"/>
        <v>89182.669437586708</v>
      </c>
      <c r="CT371" s="1312">
        <f t="shared" si="239"/>
        <v>33936.628343712044</v>
      </c>
      <c r="CU371" s="1312">
        <f t="shared" si="239"/>
        <v>7759231.6647185795</v>
      </c>
    </row>
    <row r="372" spans="3:99" x14ac:dyDescent="0.35">
      <c r="C372" s="1315">
        <f t="shared" si="240"/>
        <v>279</v>
      </c>
      <c r="D372" s="1312">
        <f>IF(AND(C372&gt;$F$59,'Instrumentos Financeiros'!C372&lt;'Instrumentos Financeiros'!$F$59+'Instrumentos Financeiros'!$F$11+1),PMT(((1+'Instrumentos Financeiros'!$G$43)^(1/12)-1),$F$11,-$I$59),0)</f>
        <v>0</v>
      </c>
      <c r="E372" s="1312">
        <f t="shared" si="237"/>
        <v>-9.9471879734355912E-12</v>
      </c>
      <c r="F372" s="1312">
        <f>G371*((1+'Instrumentos Financeiros'!$G$43)^(1/12)-1)</f>
        <v>9.9471879734355912E-12</v>
      </c>
      <c r="G372" s="1312">
        <f t="shared" si="271"/>
        <v>2.4469079840674868E-9</v>
      </c>
      <c r="H372" s="1312">
        <f>IF(AND(C372&gt;$F$60,'Instrumentos Financeiros'!C372&lt;'Instrumentos Financeiros'!$F$60+'Instrumentos Financeiros'!$F$11+1),PMT(((1+'Instrumentos Financeiros'!$G$43)^(1/12)-1),$F$11,-$I$60),0)</f>
        <v>0</v>
      </c>
      <c r="I372" s="1312">
        <f t="shared" si="223"/>
        <v>0</v>
      </c>
      <c r="J372" s="1312">
        <f>K371*((1+'Instrumentos Financeiros'!$G$43)^(1/12)-1)</f>
        <v>0</v>
      </c>
      <c r="K372" s="1312">
        <f t="shared" si="241"/>
        <v>0</v>
      </c>
      <c r="L372" s="1312">
        <f>IF(AND(C372&gt;$F$61,'Instrumentos Financeiros'!C372&lt;'Instrumentos Financeiros'!$F$61+'Instrumentos Financeiros'!$F$11+1),PMT(((1+'Instrumentos Financeiros'!$G$43)^(1/12)-1),$F$11,-$I$61),0)</f>
        <v>0</v>
      </c>
      <c r="M372" s="1312">
        <f t="shared" si="224"/>
        <v>0</v>
      </c>
      <c r="N372" s="1312">
        <f>O371*((1+'Instrumentos Financeiros'!$G$43)^(1/12)-1)</f>
        <v>0</v>
      </c>
      <c r="O372" s="1312">
        <f t="shared" si="242"/>
        <v>0</v>
      </c>
      <c r="P372" s="1312">
        <f>IF(AND(C372&gt;$F$62,'Instrumentos Financeiros'!C372&lt;'Instrumentos Financeiros'!$F$62+'Instrumentos Financeiros'!$F$11+1),PMT(((1+'Instrumentos Financeiros'!$H$43)^(1/12)-1),$F$11,-$I$62),0)</f>
        <v>0</v>
      </c>
      <c r="Q372" s="1312">
        <f t="shared" si="225"/>
        <v>0</v>
      </c>
      <c r="R372" s="1312">
        <f>S371*((1+'Instrumentos Financeiros'!$H$43)^(1/12)-1)</f>
        <v>0</v>
      </c>
      <c r="S372" s="1312">
        <f t="shared" si="243"/>
        <v>0</v>
      </c>
      <c r="T372" s="1312">
        <f>IF(AND(C372&gt;$F$63,'Instrumentos Financeiros'!C372&lt;'Instrumentos Financeiros'!$F$63+'Instrumentos Financeiros'!$F$11+1),PMT(((1+'Instrumentos Financeiros'!$H$43)^(1/12)-1),$F$11,-$I$63),0)</f>
        <v>0</v>
      </c>
      <c r="U372" s="1312">
        <f t="shared" si="226"/>
        <v>0</v>
      </c>
      <c r="V372" s="1312">
        <f>W371*((1+'Instrumentos Financeiros'!$H$43)^(1/12)-1)</f>
        <v>0</v>
      </c>
      <c r="W372" s="1312">
        <f t="shared" si="244"/>
        <v>0</v>
      </c>
      <c r="X372" s="1312">
        <f>IF(AND(C372&gt;$F$64,'Instrumentos Financeiros'!C372&lt;'Instrumentos Financeiros'!$F$64+'Instrumentos Financeiros'!$F$11+1),PMT(((1+'Instrumentos Financeiros'!$H$43)^(1/12)-1),$F$11,-$I$64),0)</f>
        <v>0</v>
      </c>
      <c r="Y372" s="1312">
        <f t="shared" si="227"/>
        <v>0</v>
      </c>
      <c r="Z372" s="1312">
        <f>AA371*((1+'Instrumentos Financeiros'!$H$43)^(1/12)-1)</f>
        <v>0</v>
      </c>
      <c r="AA372" s="1312">
        <f t="shared" si="245"/>
        <v>0</v>
      </c>
      <c r="AB372" s="1312">
        <f>IF(AND(C372&gt;$F$65,'Instrumentos Financeiros'!C372&lt;'Instrumentos Financeiros'!$F$65+'Instrumentos Financeiros'!$F$11+1),PMT(((1+'Instrumentos Financeiros'!$H$43)^(1/12)-1),$F$11,-$I$65),0)</f>
        <v>0</v>
      </c>
      <c r="AC372" s="1312">
        <f t="shared" si="228"/>
        <v>2.4263161593904818E-11</v>
      </c>
      <c r="AD372" s="1312">
        <f>AE371*((1+'Instrumentos Financeiros'!$H$43)^(1/12)-1)</f>
        <v>-2.4263161593904818E-11</v>
      </c>
      <c r="AE372" s="1312">
        <f t="shared" si="246"/>
        <v>-5.6355261107852998E-9</v>
      </c>
      <c r="AF372" s="1312">
        <f>IF(AND(C372&gt;$F$66,'Instrumentos Financeiros'!C372&lt;'Instrumentos Financeiros'!$F$66+'Instrumentos Financeiros'!$F$11+1),PMT(((1+'Instrumentos Financeiros'!$I$43)^(1/12)-1),$F$11,-$I$66),0)</f>
        <v>0</v>
      </c>
      <c r="AG372" s="1312">
        <f t="shared" si="229"/>
        <v>2.395112148626705E-11</v>
      </c>
      <c r="AH372" s="1312">
        <f>AI371*((1+'Instrumentos Financeiros'!$I$43)^(1/12)-1)</f>
        <v>-2.395112148626705E-11</v>
      </c>
      <c r="AI372" s="1312">
        <f t="shared" si="247"/>
        <v>-5.5630495636791445E-9</v>
      </c>
      <c r="AJ372" s="1312">
        <f>IF(AND(C372&gt;$F$67,'Instrumentos Financeiros'!C372&lt;'Instrumentos Financeiros'!$F$67+'Instrumentos Financeiros'!$F$11+1),PMT(((1+'Instrumentos Financeiros'!$I$43)^(1/12)-1),$F$11,-$I$67),0)</f>
        <v>0</v>
      </c>
      <c r="AK372" s="1312">
        <f t="shared" si="230"/>
        <v>2.364309441824894E-11</v>
      </c>
      <c r="AL372" s="1312">
        <f>AM371*((1+'Instrumentos Financeiros'!$I$43)^(1/12)-1)</f>
        <v>-2.364309441824894E-11</v>
      </c>
      <c r="AM372" s="1312">
        <f t="shared" si="248"/>
        <v>-5.4915051123129729E-9</v>
      </c>
      <c r="AN372" s="1312">
        <f>IF(AND(C372&gt;$F$68,'Instrumentos Financeiros'!C372&lt;'Instrumentos Financeiros'!$F$68+'Instrumentos Financeiros'!$F$11+1),PMT(((1+'Instrumentos Financeiros'!$I$43)^(1/12)-1),$F$11,-$I$68),0)</f>
        <v>0</v>
      </c>
      <c r="AO372" s="1312">
        <f t="shared" si="231"/>
        <v>2.3339028779539531E-11</v>
      </c>
      <c r="AP372" s="1312">
        <f>AQ371*((1+'Instrumentos Financeiros'!$I$43)^(1/12)-1)</f>
        <v>-2.3339028779539531E-11</v>
      </c>
      <c r="AQ372" s="1312">
        <f t="shared" si="249"/>
        <v>-5.4208807693266914E-9</v>
      </c>
      <c r="AR372" s="1312">
        <f>IF(AND(C372&gt;$F$69,'Instrumentos Financeiros'!C372&lt;'Instrumentos Financeiros'!$F$69+'Instrumentos Financeiros'!$F$11+1),PMT(((1+'Instrumentos Financeiros'!$I$43)^(1/12)-1),$F$11,-$I$69),0)</f>
        <v>0</v>
      </c>
      <c r="AS372" s="1312">
        <f t="shared" si="232"/>
        <v>0</v>
      </c>
      <c r="AT372" s="1312">
        <f>AU371*((1+'Instrumentos Financeiros'!$I$43)^(1/12)-1)</f>
        <v>0</v>
      </c>
      <c r="AU372" s="1312">
        <f t="shared" si="250"/>
        <v>0</v>
      </c>
      <c r="AV372" s="1312">
        <f>IF(AND(C372&gt;$F$70,'Instrumentos Financeiros'!C372&lt;'Instrumentos Financeiros'!$F$70+'Instrumentos Financeiros'!$F$11+1),PMT(((1+'Instrumentos Financeiros'!$J$43)^(1/12)-1),$F$11,-$I$70),0)</f>
        <v>0</v>
      </c>
      <c r="AW372" s="1312">
        <f t="shared" si="233"/>
        <v>0</v>
      </c>
      <c r="AX372" s="1312">
        <f>AY371*((1+'Instrumentos Financeiros'!$J$43)^(1/12)-1)</f>
        <v>0</v>
      </c>
      <c r="AY372" s="1312">
        <f t="shared" si="251"/>
        <v>0</v>
      </c>
      <c r="AZ372" s="1312">
        <f>IF(AND(C372&gt;$F$71,'Instrumentos Financeiros'!C372&lt;'Instrumentos Financeiros'!$F$71+'Instrumentos Financeiros'!$F$11+1),PMT(((1+'Instrumentos Financeiros'!$J$43)^(1/12)-1),$F$11,-$I$71),0)</f>
        <v>0</v>
      </c>
      <c r="BA372" s="1312">
        <f t="shared" si="234"/>
        <v>0</v>
      </c>
      <c r="BB372" s="1312">
        <f>BC371*((1+'Instrumentos Financeiros'!$J$43)^(1/12)-1)</f>
        <v>0</v>
      </c>
      <c r="BC372" s="1312">
        <f t="shared" si="252"/>
        <v>0</v>
      </c>
      <c r="BD372" s="1312">
        <f>IF(AND(C372&gt;$F$72,'Instrumentos Financeiros'!C372&lt;'Instrumentos Financeiros'!$F$72+'Instrumentos Financeiros'!$F$11+1),PMT(((1+'Instrumentos Financeiros'!$J$43)^(1/12)-1),$F$11,-'Instrumentos Financeiros'!$G$7*$G$72),0)</f>
        <v>0</v>
      </c>
      <c r="BE372" s="1312">
        <f t="shared" si="235"/>
        <v>0</v>
      </c>
      <c r="BF372" s="1312">
        <f>BG371*((1+'Instrumentos Financeiros'!$J$43)^(1/12)-1)</f>
        <v>0</v>
      </c>
      <c r="BG372" s="1312">
        <f t="shared" si="253"/>
        <v>0</v>
      </c>
      <c r="BH372" s="1312">
        <f>IF(AND(C372&gt;$F$73,'Instrumentos Financeiros'!C372&lt;'Instrumentos Financeiros'!$F$73+'Instrumentos Financeiros'!$F$11+1),PMT(((1+'Instrumentos Financeiros'!$J$43)^(1/12)-1),$F$11,-$I$73),0)</f>
        <v>0</v>
      </c>
      <c r="BI372" s="1312">
        <f t="shared" si="236"/>
        <v>0</v>
      </c>
      <c r="BJ372" s="1312">
        <f>BK371*((1+'Instrumentos Financeiros'!$J$43)^(1/12)-1)</f>
        <v>0</v>
      </c>
      <c r="BK372" s="1312">
        <f t="shared" si="254"/>
        <v>0</v>
      </c>
      <c r="BL372" s="1312">
        <f>IF(AND(C372&gt;$F$77,'Instrumentos Financeiros'!C372&lt;'Instrumentos Financeiros'!$F$77+'Instrumentos Financeiros'!$F$12+1),PMT(((1+'Instrumentos Financeiros'!$K$43)^(1/12)-1),$F$12,-$I$77),0)</f>
        <v>0</v>
      </c>
      <c r="BM372" s="1312">
        <f t="shared" si="255"/>
        <v>6.5947189048184211E-14</v>
      </c>
      <c r="BN372" s="1312">
        <f>BO371*((1+'Instrumentos Financeiros'!$K$43)^(1/12)-1)</f>
        <v>-6.5947189048184211E-14</v>
      </c>
      <c r="BO372" s="1312">
        <f t="shared" si="256"/>
        <v>-1.5317340420602831E-11</v>
      </c>
      <c r="BP372" s="1312">
        <f>IF(AND(C372&gt;$F$78,'Instrumentos Financeiros'!C372&lt;'Instrumentos Financeiros'!$F$78+'Instrumentos Financeiros'!$F$12+1),PMT(((1+'Instrumentos Financeiros'!$L$43)^(1/12)-1),$F$12,-$I$78),0)</f>
        <v>368.57912678094596</v>
      </c>
      <c r="BQ372" s="1312">
        <f t="shared" si="257"/>
        <v>366.99224833562903</v>
      </c>
      <c r="BR372" s="1312">
        <f>BS371*((1+'Instrumentos Financeiros'!$L$43)^(1/12)-1)</f>
        <v>1.5868784453169504</v>
      </c>
      <c r="BS372" s="1312">
        <f t="shared" si="258"/>
        <v>-1.5120349416974932E-11</v>
      </c>
      <c r="BT372" s="1312">
        <f>IF(AND(C372&gt;$F$79,'Instrumentos Financeiros'!C372&lt;'Instrumentos Financeiros'!$F$79+'Instrumentos Financeiros'!$F$12+1),PMT(((1+'Instrumentos Financeiros'!$L$43)^(1/12)-1),$F$12,-$I$79),0)</f>
        <v>368.57912678094596</v>
      </c>
      <c r="BU372" s="1312">
        <f t="shared" si="259"/>
        <v>362.27248828994544</v>
      </c>
      <c r="BV372" s="1312">
        <f>BW371*((1+'Instrumentos Financeiros'!$L$43)^(1/12)-1)</f>
        <v>6.3066384910005286</v>
      </c>
      <c r="BW372" s="1312">
        <f t="shared" si="260"/>
        <v>1096.2434088050777</v>
      </c>
      <c r="BX372" s="1312">
        <f>IF(AND(C372&gt;$F$80,'Instrumentos Financeiros'!C372&lt;'Instrumentos Financeiros'!$F$80+'Instrumentos Financeiros'!$F$12+1),PMT(((1+'Instrumentos Financeiros'!$L$43)^(1/12)-1),$F$12,-$I$80),0)</f>
        <v>368.57912678094596</v>
      </c>
      <c r="BY372" s="1312">
        <f t="shared" si="261"/>
        <v>357.61342744156059</v>
      </c>
      <c r="BZ372" s="1312">
        <f>CA371*((1+'Instrumentos Financeiros'!$L$43)^(1/12)-1)</f>
        <v>10.965699339385374</v>
      </c>
      <c r="CA372" s="1312">
        <f t="shared" si="262"/>
        <v>2178.3884112686546</v>
      </c>
      <c r="CB372" s="1312">
        <f>IF(AND(C372&gt;$F$83,'Instrumentos Financeiros'!C372&lt;'Instrumentos Financeiros'!$F$83+'Instrumentos Financeiros'!$F$13+1),PMT(((1+'Instrumentos Financeiros'!$P$43)^(1/12)-1),$F$13,-$I$83),0)</f>
        <v>30503.390100238979</v>
      </c>
      <c r="CC372" s="1312">
        <f t="shared" si="263"/>
        <v>22551.680565899347</v>
      </c>
      <c r="CD372" s="1312">
        <f>CE371*((1+'Instrumentos Financeiros'!$P$43)^(1/12)-1)</f>
        <v>7951.7095343396322</v>
      </c>
      <c r="CE372" s="1312">
        <f t="shared" si="264"/>
        <v>1816414.4788970444</v>
      </c>
      <c r="CF372" s="1312">
        <f>IF(AND(C372&gt;$F$84,'Instrumentos Financeiros'!C372&lt;'Instrumentos Financeiros'!$F$84+'Instrumentos Financeiros'!$F$13+1),PMT(((1+'Instrumentos Financeiros'!$Q$43)^(1/12)-1),$F$13,-$I$84),0)</f>
        <v>30503.390100238979</v>
      </c>
      <c r="CG372" s="1312">
        <f t="shared" si="265"/>
        <v>22261.651222280598</v>
      </c>
      <c r="CH372" s="1312">
        <f>CI371*((1+'Instrumentos Financeiros'!$Q$43)^(1/12)-1)</f>
        <v>8241.7388779583798</v>
      </c>
      <c r="CI372" s="1312">
        <f t="shared" si="266"/>
        <v>1883778.6569960751</v>
      </c>
      <c r="CJ372" s="1312">
        <f>IF(AND(C372&gt;$F$85,'Instrumentos Financeiros'!C372&lt;'Instrumentos Financeiros'!$F$85+'Instrumentos Financeiros'!$F$13+1),PMT(((1+'Instrumentos Financeiros'!$Q$43)^(1/12)-1),$F$13,-$I$85),0)</f>
        <v>30503.390100238979</v>
      </c>
      <c r="CK372" s="1312">
        <f t="shared" si="267"/>
        <v>21975.351845478035</v>
      </c>
      <c r="CL372" s="1312">
        <f>CM371*((1+'Instrumentos Financeiros'!$Q$43)^(1/12)-1)</f>
        <v>8528.0382547609443</v>
      </c>
      <c r="CM372" s="1312">
        <f t="shared" si="268"/>
        <v>1950276.487760131</v>
      </c>
      <c r="CN372" s="1312">
        <f>IF(AND(C372&gt;$F$86,'Instrumentos Financeiros'!C372&lt;'Instrumentos Financeiros'!$F$86+'Instrumentos Financeiros'!$F$13+1),PMT(((1+'Instrumentos Financeiros'!$Q$43)^(1/12)-1),$F$13,-$I$86),0)</f>
        <v>30503.390100238979</v>
      </c>
      <c r="CO372" s="1312">
        <f t="shared" si="269"/>
        <v>21692.73446568185</v>
      </c>
      <c r="CP372" s="1312">
        <f>CQ371*((1+'Instrumentos Financeiros'!$Q$43)^(1/12)-1)</f>
        <v>8810.6556345571298</v>
      </c>
      <c r="CQ372" s="1312">
        <f t="shared" si="270"/>
        <v>2015919.1129818675</v>
      </c>
      <c r="CR372" s="1312">
        <f t="shared" si="239"/>
        <v>123119.29778129875</v>
      </c>
      <c r="CS372" s="1312">
        <f t="shared" si="239"/>
        <v>89568.296263407057</v>
      </c>
      <c r="CT372" s="1312">
        <f t="shared" si="239"/>
        <v>33551.001517891702</v>
      </c>
      <c r="CU372" s="1312">
        <f t="shared" si="239"/>
        <v>7669663.3684551716</v>
      </c>
    </row>
    <row r="373" spans="3:99" x14ac:dyDescent="0.35">
      <c r="C373" s="1315">
        <f t="shared" si="240"/>
        <v>280</v>
      </c>
      <c r="D373" s="1312">
        <f>IF(AND(C373&gt;$F$59,'Instrumentos Financeiros'!C373&lt;'Instrumentos Financeiros'!$F$59+'Instrumentos Financeiros'!$F$11+1),PMT(((1+'Instrumentos Financeiros'!$G$43)^(1/12)-1),$F$11,-$I$59),0)</f>
        <v>0</v>
      </c>
      <c r="E373" s="1312">
        <f t="shared" si="237"/>
        <v>-9.9877904110035055E-12</v>
      </c>
      <c r="F373" s="1312">
        <f>G372*((1+'Instrumentos Financeiros'!$G$43)^(1/12)-1)</f>
        <v>9.9877904110035055E-12</v>
      </c>
      <c r="G373" s="1312">
        <f t="shared" si="271"/>
        <v>2.4568957744784903E-9</v>
      </c>
      <c r="H373" s="1312">
        <f>IF(AND(C373&gt;$F$60,'Instrumentos Financeiros'!C373&lt;'Instrumentos Financeiros'!$F$60+'Instrumentos Financeiros'!$F$11+1),PMT(((1+'Instrumentos Financeiros'!$G$43)^(1/12)-1),$F$11,-$I$60),0)</f>
        <v>0</v>
      </c>
      <c r="I373" s="1312">
        <f t="shared" si="223"/>
        <v>0</v>
      </c>
      <c r="J373" s="1312">
        <f>K372*((1+'Instrumentos Financeiros'!$G$43)^(1/12)-1)</f>
        <v>0</v>
      </c>
      <c r="K373" s="1312">
        <f t="shared" si="241"/>
        <v>0</v>
      </c>
      <c r="L373" s="1312">
        <f>IF(AND(C373&gt;$F$61,'Instrumentos Financeiros'!C373&lt;'Instrumentos Financeiros'!$F$61+'Instrumentos Financeiros'!$F$11+1),PMT(((1+'Instrumentos Financeiros'!$G$43)^(1/12)-1),$F$11,-$I$61),0)</f>
        <v>0</v>
      </c>
      <c r="M373" s="1312">
        <f t="shared" si="224"/>
        <v>0</v>
      </c>
      <c r="N373" s="1312">
        <f>O372*((1+'Instrumentos Financeiros'!$G$43)^(1/12)-1)</f>
        <v>0</v>
      </c>
      <c r="O373" s="1312">
        <f t="shared" si="242"/>
        <v>0</v>
      </c>
      <c r="P373" s="1312">
        <f>IF(AND(C373&gt;$F$62,'Instrumentos Financeiros'!C373&lt;'Instrumentos Financeiros'!$F$62+'Instrumentos Financeiros'!$F$11+1),PMT(((1+'Instrumentos Financeiros'!$H$43)^(1/12)-1),$F$11,-$I$62),0)</f>
        <v>0</v>
      </c>
      <c r="Q373" s="1312">
        <f t="shared" si="225"/>
        <v>0</v>
      </c>
      <c r="R373" s="1312">
        <f>S372*((1+'Instrumentos Financeiros'!$H$43)^(1/12)-1)</f>
        <v>0</v>
      </c>
      <c r="S373" s="1312">
        <f t="shared" si="243"/>
        <v>0</v>
      </c>
      <c r="T373" s="1312">
        <f>IF(AND(C373&gt;$F$63,'Instrumentos Financeiros'!C373&lt;'Instrumentos Financeiros'!$F$63+'Instrumentos Financeiros'!$F$11+1),PMT(((1+'Instrumentos Financeiros'!$H$43)^(1/12)-1),$F$11,-$I$63),0)</f>
        <v>0</v>
      </c>
      <c r="U373" s="1312">
        <f t="shared" si="226"/>
        <v>0</v>
      </c>
      <c r="V373" s="1312">
        <f>W372*((1+'Instrumentos Financeiros'!$H$43)^(1/12)-1)</f>
        <v>0</v>
      </c>
      <c r="W373" s="1312">
        <f t="shared" si="244"/>
        <v>0</v>
      </c>
      <c r="X373" s="1312">
        <f>IF(AND(C373&gt;$F$64,'Instrumentos Financeiros'!C373&lt;'Instrumentos Financeiros'!$F$64+'Instrumentos Financeiros'!$F$11+1),PMT(((1+'Instrumentos Financeiros'!$H$43)^(1/12)-1),$F$11,-$I$64),0)</f>
        <v>0</v>
      </c>
      <c r="Y373" s="1312">
        <f t="shared" si="227"/>
        <v>0</v>
      </c>
      <c r="Z373" s="1312">
        <f>AA372*((1+'Instrumentos Financeiros'!$H$43)^(1/12)-1)</f>
        <v>0</v>
      </c>
      <c r="AA373" s="1312">
        <f t="shared" si="245"/>
        <v>0</v>
      </c>
      <c r="AB373" s="1312">
        <f>IF(AND(C373&gt;$F$65,'Instrumentos Financeiros'!C373&lt;'Instrumentos Financeiros'!$F$65+'Instrumentos Financeiros'!$F$11+1),PMT(((1+'Instrumentos Financeiros'!$H$43)^(1/12)-1),$F$11,-$I$65),0)</f>
        <v>0</v>
      </c>
      <c r="AC373" s="1312">
        <f t="shared" si="228"/>
        <v>2.4368075766678841E-11</v>
      </c>
      <c r="AD373" s="1312">
        <f>AE372*((1+'Instrumentos Financeiros'!$H$43)^(1/12)-1)</f>
        <v>-2.4368075766678841E-11</v>
      </c>
      <c r="AE373" s="1312">
        <f t="shared" si="246"/>
        <v>-5.6598941865519789E-9</v>
      </c>
      <c r="AF373" s="1312">
        <f>IF(AND(C373&gt;$F$66,'Instrumentos Financeiros'!C373&lt;'Instrumentos Financeiros'!$F$66+'Instrumentos Financeiros'!$F$11+1),PMT(((1+'Instrumentos Financeiros'!$I$43)^(1/12)-1),$F$11,-$I$66),0)</f>
        <v>0</v>
      </c>
      <c r="AG373" s="1312">
        <f t="shared" si="229"/>
        <v>2.4054686394245616E-11</v>
      </c>
      <c r="AH373" s="1312">
        <f>AI372*((1+'Instrumentos Financeiros'!$I$43)^(1/12)-1)</f>
        <v>-2.4054686394245616E-11</v>
      </c>
      <c r="AI373" s="1312">
        <f t="shared" si="247"/>
        <v>-5.5871042500733899E-9</v>
      </c>
      <c r="AJ373" s="1312">
        <f>IF(AND(C373&gt;$F$67,'Instrumentos Financeiros'!C373&lt;'Instrumentos Financeiros'!$F$67+'Instrumentos Financeiros'!$F$11+1),PMT(((1+'Instrumentos Financeiros'!$I$43)^(1/12)-1),$F$11,-$I$67),0)</f>
        <v>0</v>
      </c>
      <c r="AK373" s="1312">
        <f t="shared" si="230"/>
        <v>2.3745327413858706E-11</v>
      </c>
      <c r="AL373" s="1312">
        <f>AM372*((1+'Instrumentos Financeiros'!$I$43)^(1/12)-1)</f>
        <v>-2.3745327413858706E-11</v>
      </c>
      <c r="AM373" s="1312">
        <f t="shared" si="248"/>
        <v>-5.5152504397268317E-9</v>
      </c>
      <c r="AN373" s="1312">
        <f>IF(AND(C373&gt;$F$68,'Instrumentos Financeiros'!C373&lt;'Instrumentos Financeiros'!$F$68+'Instrumentos Financeiros'!$F$11+1),PMT(((1+'Instrumentos Financeiros'!$I$43)^(1/12)-1),$F$11,-$I$68),0)</f>
        <v>0</v>
      </c>
      <c r="AO373" s="1312">
        <f t="shared" si="231"/>
        <v>2.3439946992043609E-11</v>
      </c>
      <c r="AP373" s="1312">
        <f>AQ372*((1+'Instrumentos Financeiros'!$I$43)^(1/12)-1)</f>
        <v>-2.3439946992043609E-11</v>
      </c>
      <c r="AQ373" s="1312">
        <f t="shared" si="249"/>
        <v>-5.4443207163187352E-9</v>
      </c>
      <c r="AR373" s="1312">
        <f>IF(AND(C373&gt;$F$69,'Instrumentos Financeiros'!C373&lt;'Instrumentos Financeiros'!$F$69+'Instrumentos Financeiros'!$F$11+1),PMT(((1+'Instrumentos Financeiros'!$I$43)^(1/12)-1),$F$11,-$I$69),0)</f>
        <v>0</v>
      </c>
      <c r="AS373" s="1312">
        <f t="shared" si="232"/>
        <v>0</v>
      </c>
      <c r="AT373" s="1312">
        <f>AU372*((1+'Instrumentos Financeiros'!$I$43)^(1/12)-1)</f>
        <v>0</v>
      </c>
      <c r="AU373" s="1312">
        <f t="shared" si="250"/>
        <v>0</v>
      </c>
      <c r="AV373" s="1312">
        <f>IF(AND(C373&gt;$F$70,'Instrumentos Financeiros'!C373&lt;'Instrumentos Financeiros'!$F$70+'Instrumentos Financeiros'!$F$11+1),PMT(((1+'Instrumentos Financeiros'!$J$43)^(1/12)-1),$F$11,-$I$70),0)</f>
        <v>0</v>
      </c>
      <c r="AW373" s="1312">
        <f t="shared" si="233"/>
        <v>0</v>
      </c>
      <c r="AX373" s="1312">
        <f>AY372*((1+'Instrumentos Financeiros'!$J$43)^(1/12)-1)</f>
        <v>0</v>
      </c>
      <c r="AY373" s="1312">
        <f t="shared" si="251"/>
        <v>0</v>
      </c>
      <c r="AZ373" s="1312">
        <f>IF(AND(C373&gt;$F$71,'Instrumentos Financeiros'!C373&lt;'Instrumentos Financeiros'!$F$71+'Instrumentos Financeiros'!$F$11+1),PMT(((1+'Instrumentos Financeiros'!$J$43)^(1/12)-1),$F$11,-$I$71),0)</f>
        <v>0</v>
      </c>
      <c r="BA373" s="1312">
        <f t="shared" si="234"/>
        <v>0</v>
      </c>
      <c r="BB373" s="1312">
        <f>BC372*((1+'Instrumentos Financeiros'!$J$43)^(1/12)-1)</f>
        <v>0</v>
      </c>
      <c r="BC373" s="1312">
        <f t="shared" si="252"/>
        <v>0</v>
      </c>
      <c r="BD373" s="1312">
        <f>IF(AND(C373&gt;$F$72,'Instrumentos Financeiros'!C373&lt;'Instrumentos Financeiros'!$F$72+'Instrumentos Financeiros'!$F$11+1),PMT(((1+'Instrumentos Financeiros'!$J$43)^(1/12)-1),$F$11,-'Instrumentos Financeiros'!$G$7*$G$72),0)</f>
        <v>0</v>
      </c>
      <c r="BE373" s="1312">
        <f t="shared" si="235"/>
        <v>0</v>
      </c>
      <c r="BF373" s="1312">
        <f>BG372*((1+'Instrumentos Financeiros'!$J$43)^(1/12)-1)</f>
        <v>0</v>
      </c>
      <c r="BG373" s="1312">
        <f t="shared" si="253"/>
        <v>0</v>
      </c>
      <c r="BH373" s="1312">
        <f>IF(AND(C373&gt;$F$73,'Instrumentos Financeiros'!C373&lt;'Instrumentos Financeiros'!$F$73+'Instrumentos Financeiros'!$F$11+1),PMT(((1+'Instrumentos Financeiros'!$J$43)^(1/12)-1),$F$11,-$I$73),0)</f>
        <v>0</v>
      </c>
      <c r="BI373" s="1312">
        <f t="shared" si="236"/>
        <v>0</v>
      </c>
      <c r="BJ373" s="1312">
        <f>BK372*((1+'Instrumentos Financeiros'!$J$43)^(1/12)-1)</f>
        <v>0</v>
      </c>
      <c r="BK373" s="1312">
        <f t="shared" si="254"/>
        <v>0</v>
      </c>
      <c r="BL373" s="1312">
        <f>IF(AND(C373&gt;$F$77,'Instrumentos Financeiros'!C373&lt;'Instrumentos Financeiros'!$F$77+'Instrumentos Financeiros'!$F$12+1),PMT(((1+'Instrumentos Financeiros'!$K$43)^(1/12)-1),$F$12,-$I$77),0)</f>
        <v>0</v>
      </c>
      <c r="BM373" s="1312">
        <f t="shared" si="255"/>
        <v>6.6232345405857752E-14</v>
      </c>
      <c r="BN373" s="1312">
        <f>BO372*((1+'Instrumentos Financeiros'!$K$43)^(1/12)-1)</f>
        <v>-6.6232345405857752E-14</v>
      </c>
      <c r="BO373" s="1312">
        <f t="shared" si="256"/>
        <v>-1.538357276600869E-11</v>
      </c>
      <c r="BP373" s="1312">
        <f>IF(AND(C373&gt;$F$78,'Instrumentos Financeiros'!C373&lt;'Instrumentos Financeiros'!$F$78+'Instrumentos Financeiros'!$F$12+1),PMT(((1+'Instrumentos Financeiros'!$L$43)^(1/12)-1),$F$12,-$I$78),0)</f>
        <v>0</v>
      </c>
      <c r="BQ373" s="1312">
        <f t="shared" si="257"/>
        <v>6.5380554178669229E-14</v>
      </c>
      <c r="BR373" s="1312">
        <f>BS372*((1+'Instrumentos Financeiros'!$L$43)^(1/12)-1)</f>
        <v>-6.5380554178669229E-14</v>
      </c>
      <c r="BS373" s="1312">
        <f t="shared" si="258"/>
        <v>-1.51857299711536E-11</v>
      </c>
      <c r="BT373" s="1312">
        <f>IF(AND(C373&gt;$F$79,'Instrumentos Financeiros'!C373&lt;'Instrumentos Financeiros'!$F$79+'Instrumentos Financeiros'!$F$12+1),PMT(((1+'Instrumentos Financeiros'!$L$43)^(1/12)-1),$F$12,-$I$79),0)</f>
        <v>368.57912678094596</v>
      </c>
      <c r="BU373" s="1312">
        <f t="shared" si="259"/>
        <v>363.8389584418515</v>
      </c>
      <c r="BV373" s="1312">
        <f>BW372*((1+'Instrumentos Financeiros'!$L$43)^(1/12)-1)</f>
        <v>4.7401683390944251</v>
      </c>
      <c r="BW373" s="1312">
        <f t="shared" si="260"/>
        <v>732.40445036322626</v>
      </c>
      <c r="BX373" s="1312">
        <f>IF(AND(C373&gt;$F$80,'Instrumentos Financeiros'!C373&lt;'Instrumentos Financeiros'!$F$80+'Instrumentos Financeiros'!$F$12+1),PMT(((1+'Instrumentos Financeiros'!$L$43)^(1/12)-1),$F$12,-$I$80),0)</f>
        <v>368.57912678094596</v>
      </c>
      <c r="BY373" s="1312">
        <f t="shared" si="261"/>
        <v>359.15975176404044</v>
      </c>
      <c r="BZ373" s="1312">
        <f>CA372*((1+'Instrumentos Financeiros'!$L$43)^(1/12)-1)</f>
        <v>9.4193750169055104</v>
      </c>
      <c r="CA373" s="1312">
        <f t="shared" si="262"/>
        <v>1819.2286595046141</v>
      </c>
      <c r="CB373" s="1312">
        <f>IF(AND(C373&gt;$F$83,'Instrumentos Financeiros'!C373&lt;'Instrumentos Financeiros'!$F$83+'Instrumentos Financeiros'!$F$13+1),PMT(((1+'Instrumentos Financeiros'!$P$43)^(1/12)-1),$F$13,-$I$83),0)</f>
        <v>30503.390100238979</v>
      </c>
      <c r="CC373" s="1312">
        <f t="shared" si="263"/>
        <v>22649.194276224291</v>
      </c>
      <c r="CD373" s="1312">
        <f>CE372*((1+'Instrumentos Financeiros'!$P$43)^(1/12)-1)</f>
        <v>7854.1958240146887</v>
      </c>
      <c r="CE373" s="1312">
        <f t="shared" si="264"/>
        <v>1793765.2846208201</v>
      </c>
      <c r="CF373" s="1312">
        <f>IF(AND(C373&gt;$F$84,'Instrumentos Financeiros'!C373&lt;'Instrumentos Financeiros'!$F$84+'Instrumentos Financeiros'!$F$13+1),PMT(((1+'Instrumentos Financeiros'!$Q$43)^(1/12)-1),$F$13,-$I$84),0)</f>
        <v>30503.390100238979</v>
      </c>
      <c r="CG373" s="1312">
        <f t="shared" si="265"/>
        <v>22357.910842591424</v>
      </c>
      <c r="CH373" s="1312">
        <f>CI372*((1+'Instrumentos Financeiros'!$Q$43)^(1/12)-1)</f>
        <v>8145.4792576475575</v>
      </c>
      <c r="CI373" s="1312">
        <f t="shared" si="266"/>
        <v>1861420.7461534836</v>
      </c>
      <c r="CJ373" s="1312">
        <f>IF(AND(C373&gt;$F$85,'Instrumentos Financeiros'!C373&lt;'Instrumentos Financeiros'!$F$85+'Instrumentos Financeiros'!$F$13+1),PMT(((1+'Instrumentos Financeiros'!$Q$43)^(1/12)-1),$F$13,-$I$85),0)</f>
        <v>30503.390100238979</v>
      </c>
      <c r="CK373" s="1312">
        <f t="shared" si="267"/>
        <v>22070.373504191528</v>
      </c>
      <c r="CL373" s="1312">
        <f>CM372*((1+'Instrumentos Financeiros'!$Q$43)^(1/12)-1)</f>
        <v>8433.0165960474496</v>
      </c>
      <c r="CM373" s="1312">
        <f t="shared" si="268"/>
        <v>1928206.1142559394</v>
      </c>
      <c r="CN373" s="1312">
        <f>IF(AND(C373&gt;$F$86,'Instrumentos Financeiros'!C373&lt;'Instrumentos Financeiros'!$F$86+'Instrumentos Financeiros'!$F$13+1),PMT(((1+'Instrumentos Financeiros'!$Q$43)^(1/12)-1),$F$13,-$I$86),0)</f>
        <v>30503.390100238979</v>
      </c>
      <c r="CO373" s="1312">
        <f t="shared" si="269"/>
        <v>21786.534083792838</v>
      </c>
      <c r="CP373" s="1312">
        <f>CQ372*((1+'Instrumentos Financeiros'!$Q$43)^(1/12)-1)</f>
        <v>8716.8560164461396</v>
      </c>
      <c r="CQ373" s="1312">
        <f t="shared" si="270"/>
        <v>1994132.5788980746</v>
      </c>
      <c r="CR373" s="1312">
        <f t="shared" si="239"/>
        <v>122750.7186545178</v>
      </c>
      <c r="CS373" s="1312">
        <f t="shared" si="239"/>
        <v>89587.01141700607</v>
      </c>
      <c r="CT373" s="1312">
        <f t="shared" si="239"/>
        <v>33163.70723751175</v>
      </c>
      <c r="CU373" s="1312">
        <f t="shared" si="239"/>
        <v>7580076.3570381664</v>
      </c>
    </row>
    <row r="374" spans="3:99" x14ac:dyDescent="0.35">
      <c r="C374" s="1315">
        <f t="shared" si="240"/>
        <v>281</v>
      </c>
      <c r="D374" s="1312">
        <f>IF(AND(C374&gt;$F$59,'Instrumentos Financeiros'!C374&lt;'Instrumentos Financeiros'!$F$59+'Instrumentos Financeiros'!$F$11+1),PMT(((1+'Instrumentos Financeiros'!$G$43)^(1/12)-1),$F$11,-$I$59),0)</f>
        <v>0</v>
      </c>
      <c r="E374" s="1312">
        <f t="shared" si="237"/>
        <v>-1.0028558579624341E-11</v>
      </c>
      <c r="F374" s="1312">
        <f>G373*((1+'Instrumentos Financeiros'!$G$43)^(1/12)-1)</f>
        <v>1.0028558579624341E-11</v>
      </c>
      <c r="G374" s="1312">
        <f t="shared" si="271"/>
        <v>2.4669243330581145E-9</v>
      </c>
      <c r="H374" s="1312">
        <f>IF(AND(C374&gt;$F$60,'Instrumentos Financeiros'!C374&lt;'Instrumentos Financeiros'!$F$60+'Instrumentos Financeiros'!$F$11+1),PMT(((1+'Instrumentos Financeiros'!$G$43)^(1/12)-1),$F$11,-$I$60),0)</f>
        <v>0</v>
      </c>
      <c r="I374" s="1312">
        <f t="shared" si="223"/>
        <v>0</v>
      </c>
      <c r="J374" s="1312">
        <f>K373*((1+'Instrumentos Financeiros'!$G$43)^(1/12)-1)</f>
        <v>0</v>
      </c>
      <c r="K374" s="1312">
        <f t="shared" si="241"/>
        <v>0</v>
      </c>
      <c r="L374" s="1312">
        <f>IF(AND(C374&gt;$F$61,'Instrumentos Financeiros'!C374&lt;'Instrumentos Financeiros'!$F$61+'Instrumentos Financeiros'!$F$11+1),PMT(((1+'Instrumentos Financeiros'!$G$43)^(1/12)-1),$F$11,-$I$61),0)</f>
        <v>0</v>
      </c>
      <c r="M374" s="1312">
        <f t="shared" si="224"/>
        <v>0</v>
      </c>
      <c r="N374" s="1312">
        <f>O373*((1+'Instrumentos Financeiros'!$G$43)^(1/12)-1)</f>
        <v>0</v>
      </c>
      <c r="O374" s="1312">
        <f t="shared" si="242"/>
        <v>0</v>
      </c>
      <c r="P374" s="1312">
        <f>IF(AND(C374&gt;$F$62,'Instrumentos Financeiros'!C374&lt;'Instrumentos Financeiros'!$F$62+'Instrumentos Financeiros'!$F$11+1),PMT(((1+'Instrumentos Financeiros'!$H$43)^(1/12)-1),$F$11,-$I$62),0)</f>
        <v>0</v>
      </c>
      <c r="Q374" s="1312">
        <f t="shared" si="225"/>
        <v>0</v>
      </c>
      <c r="R374" s="1312">
        <f>S373*((1+'Instrumentos Financeiros'!$H$43)^(1/12)-1)</f>
        <v>0</v>
      </c>
      <c r="S374" s="1312">
        <f t="shared" si="243"/>
        <v>0</v>
      </c>
      <c r="T374" s="1312">
        <f>IF(AND(C374&gt;$F$63,'Instrumentos Financeiros'!C374&lt;'Instrumentos Financeiros'!$F$63+'Instrumentos Financeiros'!$F$11+1),PMT(((1+'Instrumentos Financeiros'!$H$43)^(1/12)-1),$F$11,-$I$63),0)</f>
        <v>0</v>
      </c>
      <c r="U374" s="1312">
        <f t="shared" si="226"/>
        <v>0</v>
      </c>
      <c r="V374" s="1312">
        <f>W373*((1+'Instrumentos Financeiros'!$H$43)^(1/12)-1)</f>
        <v>0</v>
      </c>
      <c r="W374" s="1312">
        <f t="shared" si="244"/>
        <v>0</v>
      </c>
      <c r="X374" s="1312">
        <f>IF(AND(C374&gt;$F$64,'Instrumentos Financeiros'!C374&lt;'Instrumentos Financeiros'!$F$64+'Instrumentos Financeiros'!$F$11+1),PMT(((1+'Instrumentos Financeiros'!$H$43)^(1/12)-1),$F$11,-$I$64),0)</f>
        <v>0</v>
      </c>
      <c r="Y374" s="1312">
        <f t="shared" si="227"/>
        <v>0</v>
      </c>
      <c r="Z374" s="1312">
        <f>AA373*((1+'Instrumentos Financeiros'!$H$43)^(1/12)-1)</f>
        <v>0</v>
      </c>
      <c r="AA374" s="1312">
        <f t="shared" si="245"/>
        <v>0</v>
      </c>
      <c r="AB374" s="1312">
        <f>IF(AND(C374&gt;$F$65,'Instrumentos Financeiros'!C374&lt;'Instrumentos Financeiros'!$F$65+'Instrumentos Financeiros'!$F$11+1),PMT(((1+'Instrumentos Financeiros'!$H$43)^(1/12)-1),$F$11,-$I$65),0)</f>
        <v>0</v>
      </c>
      <c r="AC374" s="1312">
        <f t="shared" si="228"/>
        <v>2.4473443589469013E-11</v>
      </c>
      <c r="AD374" s="1312">
        <f>AE373*((1+'Instrumentos Financeiros'!$H$43)^(1/12)-1)</f>
        <v>-2.4473443589469013E-11</v>
      </c>
      <c r="AE374" s="1312">
        <f t="shared" si="246"/>
        <v>-5.6843676301414478E-9</v>
      </c>
      <c r="AF374" s="1312">
        <f>IF(AND(C374&gt;$F$66,'Instrumentos Financeiros'!C374&lt;'Instrumentos Financeiros'!$F$66+'Instrumentos Financeiros'!$F$11+1),PMT(((1+'Instrumentos Financeiros'!$I$43)^(1/12)-1),$F$11,-$I$66),0)</f>
        <v>0</v>
      </c>
      <c r="AG374" s="1312">
        <f t="shared" si="229"/>
        <v>2.4158699118004781E-11</v>
      </c>
      <c r="AH374" s="1312">
        <f>AI373*((1+'Instrumentos Financeiros'!$I$43)^(1/12)-1)</f>
        <v>-2.4158699118004781E-11</v>
      </c>
      <c r="AI374" s="1312">
        <f t="shared" si="247"/>
        <v>-5.6112629491913946E-9</v>
      </c>
      <c r="AJ374" s="1312">
        <f>IF(AND(C374&gt;$F$67,'Instrumentos Financeiros'!C374&lt;'Instrumentos Financeiros'!$F$67+'Instrumentos Financeiros'!$F$11+1),PMT(((1+'Instrumentos Financeiros'!$I$43)^(1/12)-1),$F$11,-$I$67),0)</f>
        <v>0</v>
      </c>
      <c r="AK374" s="1312">
        <f t="shared" si="230"/>
        <v>2.3848002466045607E-11</v>
      </c>
      <c r="AL374" s="1312">
        <f>AM373*((1+'Instrumentos Financeiros'!$I$43)^(1/12)-1)</f>
        <v>-2.3848002466045607E-11</v>
      </c>
      <c r="AM374" s="1312">
        <f t="shared" si="248"/>
        <v>-5.5390984421928774E-9</v>
      </c>
      <c r="AN374" s="1312">
        <f>IF(AND(C374&gt;$F$68,'Instrumentos Financeiros'!C374&lt;'Instrumentos Financeiros'!$F$68+'Instrumentos Financeiros'!$F$11+1),PMT(((1+'Instrumentos Financeiros'!$I$43)^(1/12)-1),$F$11,-$I$68),0)</f>
        <v>0</v>
      </c>
      <c r="AO374" s="1312">
        <f t="shared" si="231"/>
        <v>2.3541301575988471E-11</v>
      </c>
      <c r="AP374" s="1312">
        <f>AQ373*((1+'Instrumentos Financeiros'!$I$43)^(1/12)-1)</f>
        <v>-2.3541301575988471E-11</v>
      </c>
      <c r="AQ374" s="1312">
        <f t="shared" si="249"/>
        <v>-5.4678620178947237E-9</v>
      </c>
      <c r="AR374" s="1312">
        <f>IF(AND(C374&gt;$F$69,'Instrumentos Financeiros'!C374&lt;'Instrumentos Financeiros'!$F$69+'Instrumentos Financeiros'!$F$11+1),PMT(((1+'Instrumentos Financeiros'!$I$43)^(1/12)-1),$F$11,-$I$69),0)</f>
        <v>0</v>
      </c>
      <c r="AS374" s="1312">
        <f t="shared" si="232"/>
        <v>0</v>
      </c>
      <c r="AT374" s="1312">
        <f>AU373*((1+'Instrumentos Financeiros'!$I$43)^(1/12)-1)</f>
        <v>0</v>
      </c>
      <c r="AU374" s="1312">
        <f t="shared" si="250"/>
        <v>0</v>
      </c>
      <c r="AV374" s="1312">
        <f>IF(AND(C374&gt;$F$70,'Instrumentos Financeiros'!C374&lt;'Instrumentos Financeiros'!$F$70+'Instrumentos Financeiros'!$F$11+1),PMT(((1+'Instrumentos Financeiros'!$J$43)^(1/12)-1),$F$11,-$I$70),0)</f>
        <v>0</v>
      </c>
      <c r="AW374" s="1312">
        <f t="shared" si="233"/>
        <v>0</v>
      </c>
      <c r="AX374" s="1312">
        <f>AY373*((1+'Instrumentos Financeiros'!$J$43)^(1/12)-1)</f>
        <v>0</v>
      </c>
      <c r="AY374" s="1312">
        <f t="shared" si="251"/>
        <v>0</v>
      </c>
      <c r="AZ374" s="1312">
        <f>IF(AND(C374&gt;$F$71,'Instrumentos Financeiros'!C374&lt;'Instrumentos Financeiros'!$F$71+'Instrumentos Financeiros'!$F$11+1),PMT(((1+'Instrumentos Financeiros'!$J$43)^(1/12)-1),$F$11,-$I$71),0)</f>
        <v>0</v>
      </c>
      <c r="BA374" s="1312">
        <f t="shared" si="234"/>
        <v>0</v>
      </c>
      <c r="BB374" s="1312">
        <f>BC373*((1+'Instrumentos Financeiros'!$J$43)^(1/12)-1)</f>
        <v>0</v>
      </c>
      <c r="BC374" s="1312">
        <f t="shared" si="252"/>
        <v>0</v>
      </c>
      <c r="BD374" s="1312">
        <f>IF(AND(C374&gt;$F$72,'Instrumentos Financeiros'!C374&lt;'Instrumentos Financeiros'!$F$72+'Instrumentos Financeiros'!$F$11+1),PMT(((1+'Instrumentos Financeiros'!$J$43)^(1/12)-1),$F$11,-'Instrumentos Financeiros'!$G$7*$G$72),0)</f>
        <v>0</v>
      </c>
      <c r="BE374" s="1312">
        <f t="shared" si="235"/>
        <v>0</v>
      </c>
      <c r="BF374" s="1312">
        <f>BG373*((1+'Instrumentos Financeiros'!$J$43)^(1/12)-1)</f>
        <v>0</v>
      </c>
      <c r="BG374" s="1312">
        <f t="shared" si="253"/>
        <v>0</v>
      </c>
      <c r="BH374" s="1312">
        <f>IF(AND(C374&gt;$F$73,'Instrumentos Financeiros'!C374&lt;'Instrumentos Financeiros'!$F$73+'Instrumentos Financeiros'!$F$11+1),PMT(((1+'Instrumentos Financeiros'!$J$43)^(1/12)-1),$F$11,-$I$73),0)</f>
        <v>0</v>
      </c>
      <c r="BI374" s="1312">
        <f t="shared" si="236"/>
        <v>0</v>
      </c>
      <c r="BJ374" s="1312">
        <f>BK373*((1+'Instrumentos Financeiros'!$J$43)^(1/12)-1)</f>
        <v>0</v>
      </c>
      <c r="BK374" s="1312">
        <f t="shared" si="254"/>
        <v>0</v>
      </c>
      <c r="BL374" s="1312">
        <f>IF(AND(C374&gt;$F$77,'Instrumentos Financeiros'!C374&lt;'Instrumentos Financeiros'!$F$77+'Instrumentos Financeiros'!$F$12+1),PMT(((1+'Instrumentos Financeiros'!$K$43)^(1/12)-1),$F$12,-$I$77),0)</f>
        <v>0</v>
      </c>
      <c r="BM374" s="1312">
        <f t="shared" si="255"/>
        <v>6.6518734782701559E-14</v>
      </c>
      <c r="BN374" s="1312">
        <f>BO373*((1+'Instrumentos Financeiros'!$K$43)^(1/12)-1)</f>
        <v>-6.6518734782701559E-14</v>
      </c>
      <c r="BO374" s="1312">
        <f t="shared" si="256"/>
        <v>-1.5450091500791392E-11</v>
      </c>
      <c r="BP374" s="1312">
        <f>IF(AND(C374&gt;$F$78,'Instrumentos Financeiros'!C374&lt;'Instrumentos Financeiros'!$F$78+'Instrumentos Financeiros'!$F$12+1),PMT(((1+'Instrumentos Financeiros'!$L$43)^(1/12)-1),$F$12,-$I$78),0)</f>
        <v>0</v>
      </c>
      <c r="BQ374" s="1312">
        <f t="shared" si="257"/>
        <v>6.5663260401047318E-14</v>
      </c>
      <c r="BR374" s="1312">
        <f>BS373*((1+'Instrumentos Financeiros'!$L$43)^(1/12)-1)</f>
        <v>-6.5663260401047318E-14</v>
      </c>
      <c r="BS374" s="1312">
        <f t="shared" si="258"/>
        <v>-1.5251393231554648E-11</v>
      </c>
      <c r="BT374" s="1312">
        <f>IF(AND(C374&gt;$F$79,'Instrumentos Financeiros'!C374&lt;'Instrumentos Financeiros'!$F$79+'Instrumentos Financeiros'!$F$12+1),PMT(((1+'Instrumentos Financeiros'!$L$43)^(1/12)-1),$F$12,-$I$79),0)</f>
        <v>368.57912678094596</v>
      </c>
      <c r="BU374" s="1312">
        <f t="shared" si="259"/>
        <v>365.41220202761235</v>
      </c>
      <c r="BV374" s="1312">
        <f>BW373*((1+'Instrumentos Financeiros'!$L$43)^(1/12)-1)</f>
        <v>3.1669247533336127</v>
      </c>
      <c r="BW374" s="1312">
        <f t="shared" si="260"/>
        <v>366.99224833561391</v>
      </c>
      <c r="BX374" s="1312">
        <f>IF(AND(C374&gt;$F$80,'Instrumentos Financeiros'!C374&lt;'Instrumentos Financeiros'!$F$80+'Instrumentos Financeiros'!$F$12+1),PMT(((1+'Instrumentos Financeiros'!$L$43)^(1/12)-1),$F$12,-$I$80),0)</f>
        <v>368.57912678094596</v>
      </c>
      <c r="BY374" s="1312">
        <f t="shared" si="261"/>
        <v>360.71276240959099</v>
      </c>
      <c r="BZ374" s="1312">
        <f>CA373*((1+'Instrumentos Financeiros'!$L$43)^(1/12)-1)</f>
        <v>7.866364371354952</v>
      </c>
      <c r="CA374" s="1312">
        <f t="shared" si="262"/>
        <v>1458.5158970950231</v>
      </c>
      <c r="CB374" s="1312">
        <f>IF(AND(C374&gt;$F$83,'Instrumentos Financeiros'!C374&lt;'Instrumentos Financeiros'!$F$83+'Instrumentos Financeiros'!$F$13+1),PMT(((1+'Instrumentos Financeiros'!$P$43)^(1/12)-1),$F$13,-$I$83),0)</f>
        <v>30503.390100238979</v>
      </c>
      <c r="CC374" s="1312">
        <f t="shared" si="263"/>
        <v>22747.129636885827</v>
      </c>
      <c r="CD374" s="1312">
        <f>CE373*((1+'Instrumentos Financeiros'!$P$43)^(1/12)-1)</f>
        <v>7756.2604633531528</v>
      </c>
      <c r="CE374" s="1312">
        <f t="shared" si="264"/>
        <v>1771018.1549839342</v>
      </c>
      <c r="CF374" s="1312">
        <f>IF(AND(C374&gt;$F$84,'Instrumentos Financeiros'!C374&lt;'Instrumentos Financeiros'!$F$84+'Instrumentos Financeiros'!$F$13+1),PMT(((1+'Instrumentos Financeiros'!$Q$43)^(1/12)-1),$F$13,-$I$84),0)</f>
        <v>30503.390100238979</v>
      </c>
      <c r="CG374" s="1312">
        <f t="shared" si="265"/>
        <v>22454.586690540069</v>
      </c>
      <c r="CH374" s="1312">
        <f>CI373*((1+'Instrumentos Financeiros'!$Q$43)^(1/12)-1)</f>
        <v>8048.8034096989086</v>
      </c>
      <c r="CI374" s="1312">
        <f t="shared" si="266"/>
        <v>1838966.1594629437</v>
      </c>
      <c r="CJ374" s="1312">
        <f>IF(AND(C374&gt;$F$85,'Instrumentos Financeiros'!C374&lt;'Instrumentos Financeiros'!$F$85+'Instrumentos Financeiros'!$F$13+1),PMT(((1+'Instrumentos Financeiros'!$Q$43)^(1/12)-1),$F$13,-$I$85),0)</f>
        <v>30503.390100238979</v>
      </c>
      <c r="CK374" s="1312">
        <f t="shared" si="267"/>
        <v>22165.806037583534</v>
      </c>
      <c r="CL374" s="1312">
        <f>CM373*((1+'Instrumentos Financeiros'!$Q$43)^(1/12)-1)</f>
        <v>8337.5840626554436</v>
      </c>
      <c r="CM374" s="1312">
        <f t="shared" si="268"/>
        <v>1906040.3082183558</v>
      </c>
      <c r="CN374" s="1312">
        <f>IF(AND(C374&gt;$F$86,'Instrumentos Financeiros'!C374&lt;'Instrumentos Financeiros'!$F$86+'Instrumentos Financeiros'!$F$13+1),PMT(((1+'Instrumentos Financeiros'!$Q$43)^(1/12)-1),$F$13,-$I$86),0)</f>
        <v>30503.390100238979</v>
      </c>
      <c r="CO374" s="1312">
        <f t="shared" si="269"/>
        <v>21880.73929246558</v>
      </c>
      <c r="CP374" s="1312">
        <f>CQ373*((1+'Instrumentos Financeiros'!$Q$43)^(1/12)-1)</f>
        <v>8622.6508077733997</v>
      </c>
      <c r="CQ374" s="1312">
        <f t="shared" si="270"/>
        <v>1972251.839605609</v>
      </c>
      <c r="CR374" s="1312">
        <f t="shared" si="239"/>
        <v>122750.7186545178</v>
      </c>
      <c r="CS374" s="1312">
        <f t="shared" si="239"/>
        <v>89974.386621912301</v>
      </c>
      <c r="CT374" s="1312">
        <f t="shared" si="239"/>
        <v>32776.332032605511</v>
      </c>
      <c r="CU374" s="1312">
        <f t="shared" si="239"/>
        <v>7490101.9704162534</v>
      </c>
    </row>
    <row r="375" spans="3:99" x14ac:dyDescent="0.35">
      <c r="C375" s="1315">
        <f t="shared" si="240"/>
        <v>282</v>
      </c>
      <c r="D375" s="1312">
        <f>IF(AND(C375&gt;$F$59,'Instrumentos Financeiros'!C375&lt;'Instrumentos Financeiros'!$F$59+'Instrumentos Financeiros'!$F$11+1),PMT(((1+'Instrumentos Financeiros'!$G$43)^(1/12)-1),$F$11,-$I$59),0)</f>
        <v>0</v>
      </c>
      <c r="E375" s="1312">
        <f t="shared" si="237"/>
        <v>-1.0069493155779206E-11</v>
      </c>
      <c r="F375" s="1312">
        <f>G374*((1+'Instrumentos Financeiros'!$G$43)^(1/12)-1)</f>
        <v>1.0069493155779206E-11</v>
      </c>
      <c r="G375" s="1312">
        <f t="shared" si="271"/>
        <v>2.4769938262138939E-9</v>
      </c>
      <c r="H375" s="1312">
        <f>IF(AND(C375&gt;$F$60,'Instrumentos Financeiros'!C375&lt;'Instrumentos Financeiros'!$F$60+'Instrumentos Financeiros'!$F$11+1),PMT(((1+'Instrumentos Financeiros'!$G$43)^(1/12)-1),$F$11,-$I$60),0)</f>
        <v>0</v>
      </c>
      <c r="I375" s="1312">
        <f t="shared" si="223"/>
        <v>0</v>
      </c>
      <c r="J375" s="1312">
        <f>K374*((1+'Instrumentos Financeiros'!$G$43)^(1/12)-1)</f>
        <v>0</v>
      </c>
      <c r="K375" s="1312">
        <f t="shared" si="241"/>
        <v>0</v>
      </c>
      <c r="L375" s="1312">
        <f>IF(AND(C375&gt;$F$61,'Instrumentos Financeiros'!C375&lt;'Instrumentos Financeiros'!$F$61+'Instrumentos Financeiros'!$F$11+1),PMT(((1+'Instrumentos Financeiros'!$G$43)^(1/12)-1),$F$11,-$I$61),0)</f>
        <v>0</v>
      </c>
      <c r="M375" s="1312">
        <f t="shared" si="224"/>
        <v>0</v>
      </c>
      <c r="N375" s="1312">
        <f>O374*((1+'Instrumentos Financeiros'!$G$43)^(1/12)-1)</f>
        <v>0</v>
      </c>
      <c r="O375" s="1312">
        <f t="shared" si="242"/>
        <v>0</v>
      </c>
      <c r="P375" s="1312">
        <f>IF(AND(C375&gt;$F$62,'Instrumentos Financeiros'!C375&lt;'Instrumentos Financeiros'!$F$62+'Instrumentos Financeiros'!$F$11+1),PMT(((1+'Instrumentos Financeiros'!$H$43)^(1/12)-1),$F$11,-$I$62),0)</f>
        <v>0</v>
      </c>
      <c r="Q375" s="1312">
        <f t="shared" si="225"/>
        <v>0</v>
      </c>
      <c r="R375" s="1312">
        <f>S374*((1+'Instrumentos Financeiros'!$H$43)^(1/12)-1)</f>
        <v>0</v>
      </c>
      <c r="S375" s="1312">
        <f t="shared" si="243"/>
        <v>0</v>
      </c>
      <c r="T375" s="1312">
        <f>IF(AND(C375&gt;$F$63,'Instrumentos Financeiros'!C375&lt;'Instrumentos Financeiros'!$F$63+'Instrumentos Financeiros'!$F$11+1),PMT(((1+'Instrumentos Financeiros'!$H$43)^(1/12)-1),$F$11,-$I$63),0)</f>
        <v>0</v>
      </c>
      <c r="U375" s="1312">
        <f t="shared" si="226"/>
        <v>0</v>
      </c>
      <c r="V375" s="1312">
        <f>W374*((1+'Instrumentos Financeiros'!$H$43)^(1/12)-1)</f>
        <v>0</v>
      </c>
      <c r="W375" s="1312">
        <f t="shared" si="244"/>
        <v>0</v>
      </c>
      <c r="X375" s="1312">
        <f>IF(AND(C375&gt;$F$64,'Instrumentos Financeiros'!C375&lt;'Instrumentos Financeiros'!$F$64+'Instrumentos Financeiros'!$F$11+1),PMT(((1+'Instrumentos Financeiros'!$H$43)^(1/12)-1),$F$11,-$I$64),0)</f>
        <v>0</v>
      </c>
      <c r="Y375" s="1312">
        <f t="shared" si="227"/>
        <v>0</v>
      </c>
      <c r="Z375" s="1312">
        <f>AA374*((1+'Instrumentos Financeiros'!$H$43)^(1/12)-1)</f>
        <v>0</v>
      </c>
      <c r="AA375" s="1312">
        <f t="shared" si="245"/>
        <v>0</v>
      </c>
      <c r="AB375" s="1312">
        <f>IF(AND(C375&gt;$F$65,'Instrumentos Financeiros'!C375&lt;'Instrumentos Financeiros'!$F$65+'Instrumentos Financeiros'!$F$11+1),PMT(((1+'Instrumentos Financeiros'!$H$43)^(1/12)-1),$F$11,-$I$65),0)</f>
        <v>0</v>
      </c>
      <c r="AC375" s="1312">
        <f t="shared" si="228"/>
        <v>2.4579267023862898E-11</v>
      </c>
      <c r="AD375" s="1312">
        <f>AE374*((1+'Instrumentos Financeiros'!$H$43)^(1/12)-1)</f>
        <v>-2.4579267023862898E-11</v>
      </c>
      <c r="AE375" s="1312">
        <f t="shared" si="246"/>
        <v>-5.7089468971653104E-9</v>
      </c>
      <c r="AF375" s="1312">
        <f>IF(AND(C375&gt;$F$66,'Instrumentos Financeiros'!C375&lt;'Instrumentos Financeiros'!$F$66+'Instrumentos Financeiros'!$F$11+1),PMT(((1+'Instrumentos Financeiros'!$I$43)^(1/12)-1),$F$11,-$I$66),0)</f>
        <v>0</v>
      </c>
      <c r="AG375" s="1312">
        <f t="shared" si="229"/>
        <v>2.4263161593904818E-11</v>
      </c>
      <c r="AH375" s="1312">
        <f>AI374*((1+'Instrumentos Financeiros'!$I$43)^(1/12)-1)</f>
        <v>-2.4263161593904818E-11</v>
      </c>
      <c r="AI375" s="1312">
        <f t="shared" si="247"/>
        <v>-5.6355261107852998E-9</v>
      </c>
      <c r="AJ375" s="1312">
        <f>IF(AND(C375&gt;$F$67,'Instrumentos Financeiros'!C375&lt;'Instrumentos Financeiros'!$F$67+'Instrumentos Financeiros'!$F$11+1),PMT(((1+'Instrumentos Financeiros'!$I$43)^(1/12)-1),$F$11,-$I$67),0)</f>
        <v>0</v>
      </c>
      <c r="AK375" s="1312">
        <f t="shared" si="230"/>
        <v>2.395112148626705E-11</v>
      </c>
      <c r="AL375" s="1312">
        <f>AM374*((1+'Instrumentos Financeiros'!$I$43)^(1/12)-1)</f>
        <v>-2.395112148626705E-11</v>
      </c>
      <c r="AM375" s="1312">
        <f t="shared" si="248"/>
        <v>-5.5630495636791445E-9</v>
      </c>
      <c r="AN375" s="1312">
        <f>IF(AND(C375&gt;$F$68,'Instrumentos Financeiros'!C375&lt;'Instrumentos Financeiros'!$F$68+'Instrumentos Financeiros'!$F$11+1),PMT(((1+'Instrumentos Financeiros'!$I$43)^(1/12)-1),$F$11,-$I$68),0)</f>
        <v>0</v>
      </c>
      <c r="AO375" s="1312">
        <f t="shared" si="231"/>
        <v>2.364309441824894E-11</v>
      </c>
      <c r="AP375" s="1312">
        <f>AQ374*((1+'Instrumentos Financeiros'!$I$43)^(1/12)-1)</f>
        <v>-2.364309441824894E-11</v>
      </c>
      <c r="AQ375" s="1312">
        <f t="shared" si="249"/>
        <v>-5.4915051123129729E-9</v>
      </c>
      <c r="AR375" s="1312">
        <f>IF(AND(C375&gt;$F$69,'Instrumentos Financeiros'!C375&lt;'Instrumentos Financeiros'!$F$69+'Instrumentos Financeiros'!$F$11+1),PMT(((1+'Instrumentos Financeiros'!$I$43)^(1/12)-1),$F$11,-$I$69),0)</f>
        <v>0</v>
      </c>
      <c r="AS375" s="1312">
        <f t="shared" si="232"/>
        <v>0</v>
      </c>
      <c r="AT375" s="1312">
        <f>AU374*((1+'Instrumentos Financeiros'!$I$43)^(1/12)-1)</f>
        <v>0</v>
      </c>
      <c r="AU375" s="1312">
        <f t="shared" si="250"/>
        <v>0</v>
      </c>
      <c r="AV375" s="1312">
        <f>IF(AND(C375&gt;$F$70,'Instrumentos Financeiros'!C375&lt;'Instrumentos Financeiros'!$F$70+'Instrumentos Financeiros'!$F$11+1),PMT(((1+'Instrumentos Financeiros'!$J$43)^(1/12)-1),$F$11,-$I$70),0)</f>
        <v>0</v>
      </c>
      <c r="AW375" s="1312">
        <f t="shared" si="233"/>
        <v>0</v>
      </c>
      <c r="AX375" s="1312">
        <f>AY374*((1+'Instrumentos Financeiros'!$J$43)^(1/12)-1)</f>
        <v>0</v>
      </c>
      <c r="AY375" s="1312">
        <f t="shared" si="251"/>
        <v>0</v>
      </c>
      <c r="AZ375" s="1312">
        <f>IF(AND(C375&gt;$F$71,'Instrumentos Financeiros'!C375&lt;'Instrumentos Financeiros'!$F$71+'Instrumentos Financeiros'!$F$11+1),PMT(((1+'Instrumentos Financeiros'!$J$43)^(1/12)-1),$F$11,-$I$71),0)</f>
        <v>0</v>
      </c>
      <c r="BA375" s="1312">
        <f t="shared" si="234"/>
        <v>0</v>
      </c>
      <c r="BB375" s="1312">
        <f>BC374*((1+'Instrumentos Financeiros'!$J$43)^(1/12)-1)</f>
        <v>0</v>
      </c>
      <c r="BC375" s="1312">
        <f t="shared" si="252"/>
        <v>0</v>
      </c>
      <c r="BD375" s="1312">
        <f>IF(AND(C375&gt;$F$72,'Instrumentos Financeiros'!C375&lt;'Instrumentos Financeiros'!$F$72+'Instrumentos Financeiros'!$F$11+1),PMT(((1+'Instrumentos Financeiros'!$J$43)^(1/12)-1),$F$11,-'Instrumentos Financeiros'!$G$7*$G$72),0)</f>
        <v>0</v>
      </c>
      <c r="BE375" s="1312">
        <f t="shared" si="235"/>
        <v>0</v>
      </c>
      <c r="BF375" s="1312">
        <f>BG374*((1+'Instrumentos Financeiros'!$J$43)^(1/12)-1)</f>
        <v>0</v>
      </c>
      <c r="BG375" s="1312">
        <f t="shared" si="253"/>
        <v>0</v>
      </c>
      <c r="BH375" s="1312">
        <f>IF(AND(C375&gt;$F$73,'Instrumentos Financeiros'!C375&lt;'Instrumentos Financeiros'!$F$73+'Instrumentos Financeiros'!$F$11+1),PMT(((1+'Instrumentos Financeiros'!$J$43)^(1/12)-1),$F$11,-$I$73),0)</f>
        <v>0</v>
      </c>
      <c r="BI375" s="1312">
        <f t="shared" si="236"/>
        <v>0</v>
      </c>
      <c r="BJ375" s="1312">
        <f>BK374*((1+'Instrumentos Financeiros'!$J$43)^(1/12)-1)</f>
        <v>0</v>
      </c>
      <c r="BK375" s="1312">
        <f t="shared" si="254"/>
        <v>0</v>
      </c>
      <c r="BL375" s="1312">
        <f>IF(AND(C375&gt;$F$77,'Instrumentos Financeiros'!C375&lt;'Instrumentos Financeiros'!$F$77+'Instrumentos Financeiros'!$F$12+1),PMT(((1+'Instrumentos Financeiros'!$K$43)^(1/12)-1),$F$12,-$I$77),0)</f>
        <v>0</v>
      </c>
      <c r="BM375" s="1312">
        <f t="shared" si="255"/>
        <v>6.6806362510303839E-14</v>
      </c>
      <c r="BN375" s="1312">
        <f>BO374*((1+'Instrumentos Financeiros'!$K$43)^(1/12)-1)</f>
        <v>-6.6806362510303839E-14</v>
      </c>
      <c r="BO375" s="1312">
        <f t="shared" si="256"/>
        <v>-1.5516897863301697E-11</v>
      </c>
      <c r="BP375" s="1312">
        <f>IF(AND(C375&gt;$F$78,'Instrumentos Financeiros'!C375&lt;'Instrumentos Financeiros'!$F$78+'Instrumentos Financeiros'!$F$12+1),PMT(((1+'Instrumentos Financeiros'!$L$43)^(1/12)-1),$F$12,-$I$78),0)</f>
        <v>0</v>
      </c>
      <c r="BQ375" s="1312">
        <f t="shared" si="257"/>
        <v>6.5947189048184211E-14</v>
      </c>
      <c r="BR375" s="1312">
        <f>BS374*((1+'Instrumentos Financeiros'!$L$43)^(1/12)-1)</f>
        <v>-6.5947189048184211E-14</v>
      </c>
      <c r="BS375" s="1312">
        <f t="shared" si="258"/>
        <v>-1.5317340420602831E-11</v>
      </c>
      <c r="BT375" s="1312">
        <f>IF(AND(C375&gt;$F$79,'Instrumentos Financeiros'!C375&lt;'Instrumentos Financeiros'!$F$79+'Instrumentos Financeiros'!$F$12+1),PMT(((1+'Instrumentos Financeiros'!$L$43)^(1/12)-1),$F$12,-$I$79),0)</f>
        <v>368.57912678094596</v>
      </c>
      <c r="BU375" s="1312">
        <f t="shared" si="259"/>
        <v>366.99224833562903</v>
      </c>
      <c r="BV375" s="1312">
        <f>BW374*((1+'Instrumentos Financeiros'!$L$43)^(1/12)-1)</f>
        <v>1.5868784453169504</v>
      </c>
      <c r="BW375" s="1312">
        <f t="shared" si="260"/>
        <v>-1.5120349416974932E-11</v>
      </c>
      <c r="BX375" s="1312">
        <f>IF(AND(C375&gt;$F$80,'Instrumentos Financeiros'!C375&lt;'Instrumentos Financeiros'!$F$80+'Instrumentos Financeiros'!$F$12+1),PMT(((1+'Instrumentos Financeiros'!$L$43)^(1/12)-1),$F$12,-$I$80),0)</f>
        <v>368.57912678094596</v>
      </c>
      <c r="BY375" s="1312">
        <f t="shared" si="261"/>
        <v>362.27248828994544</v>
      </c>
      <c r="BZ375" s="1312">
        <f>CA374*((1+'Instrumentos Financeiros'!$L$43)^(1/12)-1)</f>
        <v>6.3066384910005286</v>
      </c>
      <c r="CA375" s="1312">
        <f t="shared" si="262"/>
        <v>1096.2434088050777</v>
      </c>
      <c r="CB375" s="1312">
        <f>IF(AND(C375&gt;$F$83,'Instrumentos Financeiros'!C375&lt;'Instrumentos Financeiros'!$F$83+'Instrumentos Financeiros'!$F$13+1),PMT(((1+'Instrumentos Financeiros'!$P$43)^(1/12)-1),$F$13,-$I$83),0)</f>
        <v>30503.390100238979</v>
      </c>
      <c r="CC375" s="1312">
        <f t="shared" si="263"/>
        <v>22845.488471104563</v>
      </c>
      <c r="CD375" s="1312">
        <f>CE374*((1+'Instrumentos Financeiros'!$P$43)^(1/12)-1)</f>
        <v>7657.9016291344151</v>
      </c>
      <c r="CE375" s="1312">
        <f t="shared" si="264"/>
        <v>1748172.6665128297</v>
      </c>
      <c r="CF375" s="1312">
        <f>IF(AND(C375&gt;$F$84,'Instrumentos Financeiros'!C375&lt;'Instrumentos Financeiros'!$F$84+'Instrumentos Financeiros'!$F$13+1),PMT(((1+'Instrumentos Financeiros'!$Q$43)^(1/12)-1),$F$13,-$I$84),0)</f>
        <v>30503.390100238979</v>
      </c>
      <c r="CG375" s="1312">
        <f t="shared" si="265"/>
        <v>22551.680565899347</v>
      </c>
      <c r="CH375" s="1312">
        <f>CI374*((1+'Instrumentos Financeiros'!$Q$43)^(1/12)-1)</f>
        <v>7951.7095343396322</v>
      </c>
      <c r="CI375" s="1312">
        <f t="shared" si="266"/>
        <v>1816414.4788970444</v>
      </c>
      <c r="CJ375" s="1312">
        <f>IF(AND(C375&gt;$F$85,'Instrumentos Financeiros'!C375&lt;'Instrumentos Financeiros'!$F$85+'Instrumentos Financeiros'!$F$13+1),PMT(((1+'Instrumentos Financeiros'!$Q$43)^(1/12)-1),$F$13,-$I$85),0)</f>
        <v>30503.390100238979</v>
      </c>
      <c r="CK375" s="1312">
        <f t="shared" si="267"/>
        <v>22261.651222280598</v>
      </c>
      <c r="CL375" s="1312">
        <f>CM374*((1+'Instrumentos Financeiros'!$Q$43)^(1/12)-1)</f>
        <v>8241.7388779583798</v>
      </c>
      <c r="CM375" s="1312">
        <f t="shared" si="268"/>
        <v>1883778.6569960751</v>
      </c>
      <c r="CN375" s="1312">
        <f>IF(AND(C375&gt;$F$86,'Instrumentos Financeiros'!C375&lt;'Instrumentos Financeiros'!$F$86+'Instrumentos Financeiros'!$F$13+1),PMT(((1+'Instrumentos Financeiros'!$Q$43)^(1/12)-1),$F$13,-$I$86),0)</f>
        <v>30503.390100238979</v>
      </c>
      <c r="CO375" s="1312">
        <f t="shared" si="269"/>
        <v>21975.351845478035</v>
      </c>
      <c r="CP375" s="1312">
        <f>CQ374*((1+'Instrumentos Financeiros'!$Q$43)^(1/12)-1)</f>
        <v>8528.0382547609443</v>
      </c>
      <c r="CQ375" s="1312">
        <f t="shared" si="270"/>
        <v>1950276.487760131</v>
      </c>
      <c r="CR375" s="1312">
        <f t="shared" si="239"/>
        <v>122750.7186545178</v>
      </c>
      <c r="CS375" s="1312">
        <f t="shared" si="239"/>
        <v>90363.436841388204</v>
      </c>
      <c r="CT375" s="1312">
        <f t="shared" si="239"/>
        <v>32387.281813129604</v>
      </c>
      <c r="CU375" s="1312">
        <f t="shared" si="239"/>
        <v>7399738.5335748652</v>
      </c>
    </row>
    <row r="376" spans="3:99" x14ac:dyDescent="0.35">
      <c r="C376" s="1315">
        <f t="shared" si="240"/>
        <v>283</v>
      </c>
      <c r="D376" s="1312">
        <f>IF(AND(C376&gt;$F$59,'Instrumentos Financeiros'!C376&lt;'Instrumentos Financeiros'!$F$59+'Instrumentos Financeiros'!$F$11+1),PMT(((1+'Instrumentos Financeiros'!$G$43)^(1/12)-1),$F$11,-$I$59),0)</f>
        <v>0</v>
      </c>
      <c r="E376" s="1312">
        <f t="shared" si="237"/>
        <v>-1.0110594818710469E-11</v>
      </c>
      <c r="F376" s="1312">
        <f>G375*((1+'Instrumentos Financeiros'!$G$43)^(1/12)-1)</f>
        <v>1.0110594818710469E-11</v>
      </c>
      <c r="G376" s="1312">
        <f t="shared" si="271"/>
        <v>2.4871044210326044E-9</v>
      </c>
      <c r="H376" s="1312">
        <f>IF(AND(C376&gt;$F$60,'Instrumentos Financeiros'!C376&lt;'Instrumentos Financeiros'!$F$60+'Instrumentos Financeiros'!$F$11+1),PMT(((1+'Instrumentos Financeiros'!$G$43)^(1/12)-1),$F$11,-$I$60),0)</f>
        <v>0</v>
      </c>
      <c r="I376" s="1312">
        <f t="shared" si="223"/>
        <v>0</v>
      </c>
      <c r="J376" s="1312">
        <f>K375*((1+'Instrumentos Financeiros'!$G$43)^(1/12)-1)</f>
        <v>0</v>
      </c>
      <c r="K376" s="1312">
        <f t="shared" si="241"/>
        <v>0</v>
      </c>
      <c r="L376" s="1312">
        <f>IF(AND(C376&gt;$F$61,'Instrumentos Financeiros'!C376&lt;'Instrumentos Financeiros'!$F$61+'Instrumentos Financeiros'!$F$11+1),PMT(((1+'Instrumentos Financeiros'!$G$43)^(1/12)-1),$F$11,-$I$61),0)</f>
        <v>0</v>
      </c>
      <c r="M376" s="1312">
        <f t="shared" si="224"/>
        <v>0</v>
      </c>
      <c r="N376" s="1312">
        <f>O375*((1+'Instrumentos Financeiros'!$G$43)^(1/12)-1)</f>
        <v>0</v>
      </c>
      <c r="O376" s="1312">
        <f t="shared" si="242"/>
        <v>0</v>
      </c>
      <c r="P376" s="1312">
        <f>IF(AND(C376&gt;$F$62,'Instrumentos Financeiros'!C376&lt;'Instrumentos Financeiros'!$F$62+'Instrumentos Financeiros'!$F$11+1),PMT(((1+'Instrumentos Financeiros'!$H$43)^(1/12)-1),$F$11,-$I$62),0)</f>
        <v>0</v>
      </c>
      <c r="Q376" s="1312">
        <f t="shared" si="225"/>
        <v>0</v>
      </c>
      <c r="R376" s="1312">
        <f>S375*((1+'Instrumentos Financeiros'!$H$43)^(1/12)-1)</f>
        <v>0</v>
      </c>
      <c r="S376" s="1312">
        <f t="shared" si="243"/>
        <v>0</v>
      </c>
      <c r="T376" s="1312">
        <f>IF(AND(C376&gt;$F$63,'Instrumentos Financeiros'!C376&lt;'Instrumentos Financeiros'!$F$63+'Instrumentos Financeiros'!$F$11+1),PMT(((1+'Instrumentos Financeiros'!$H$43)^(1/12)-1),$F$11,-$I$63),0)</f>
        <v>0</v>
      </c>
      <c r="U376" s="1312">
        <f t="shared" si="226"/>
        <v>0</v>
      </c>
      <c r="V376" s="1312">
        <f>W375*((1+'Instrumentos Financeiros'!$H$43)^(1/12)-1)</f>
        <v>0</v>
      </c>
      <c r="W376" s="1312">
        <f t="shared" si="244"/>
        <v>0</v>
      </c>
      <c r="X376" s="1312">
        <f>IF(AND(C376&gt;$F$64,'Instrumentos Financeiros'!C376&lt;'Instrumentos Financeiros'!$F$64+'Instrumentos Financeiros'!$F$11+1),PMT(((1+'Instrumentos Financeiros'!$H$43)^(1/12)-1),$F$11,-$I$64),0)</f>
        <v>0</v>
      </c>
      <c r="Y376" s="1312">
        <f t="shared" si="227"/>
        <v>0</v>
      </c>
      <c r="Z376" s="1312">
        <f>AA375*((1+'Instrumentos Financeiros'!$H$43)^(1/12)-1)</f>
        <v>0</v>
      </c>
      <c r="AA376" s="1312">
        <f t="shared" si="245"/>
        <v>0</v>
      </c>
      <c r="AB376" s="1312">
        <f>IF(AND(C376&gt;$F$65,'Instrumentos Financeiros'!C376&lt;'Instrumentos Financeiros'!$F$65+'Instrumentos Financeiros'!$F$11+1),PMT(((1+'Instrumentos Financeiros'!$H$43)^(1/12)-1),$F$11,-$I$65),0)</f>
        <v>0</v>
      </c>
      <c r="AC376" s="1312">
        <f t="shared" si="228"/>
        <v>2.4685548039929995E-11</v>
      </c>
      <c r="AD376" s="1312">
        <f>AE375*((1+'Instrumentos Financeiros'!$H$43)^(1/12)-1)</f>
        <v>-2.4685548039929995E-11</v>
      </c>
      <c r="AE376" s="1312">
        <f t="shared" si="246"/>
        <v>-5.7336324452052407E-9</v>
      </c>
      <c r="AF376" s="1312">
        <f>IF(AND(C376&gt;$F$66,'Instrumentos Financeiros'!C376&lt;'Instrumentos Financeiros'!$F$66+'Instrumentos Financeiros'!$F$11+1),PMT(((1+'Instrumentos Financeiros'!$I$43)^(1/12)-1),$F$11,-$I$66),0)</f>
        <v>0</v>
      </c>
      <c r="AG376" s="1312">
        <f t="shared" si="229"/>
        <v>2.4368075766678841E-11</v>
      </c>
      <c r="AH376" s="1312">
        <f>AI375*((1+'Instrumentos Financeiros'!$I$43)^(1/12)-1)</f>
        <v>-2.4368075766678841E-11</v>
      </c>
      <c r="AI376" s="1312">
        <f t="shared" si="247"/>
        <v>-5.6598941865519789E-9</v>
      </c>
      <c r="AJ376" s="1312">
        <f>IF(AND(C376&gt;$F$67,'Instrumentos Financeiros'!C376&lt;'Instrumentos Financeiros'!$F$67+'Instrumentos Financeiros'!$F$11+1),PMT(((1+'Instrumentos Financeiros'!$I$43)^(1/12)-1),$F$11,-$I$67),0)</f>
        <v>0</v>
      </c>
      <c r="AK376" s="1312">
        <f t="shared" si="230"/>
        <v>2.4054686394245616E-11</v>
      </c>
      <c r="AL376" s="1312">
        <f>AM375*((1+'Instrumentos Financeiros'!$I$43)^(1/12)-1)</f>
        <v>-2.4054686394245616E-11</v>
      </c>
      <c r="AM376" s="1312">
        <f t="shared" si="248"/>
        <v>-5.5871042500733899E-9</v>
      </c>
      <c r="AN376" s="1312">
        <f>IF(AND(C376&gt;$F$68,'Instrumentos Financeiros'!C376&lt;'Instrumentos Financeiros'!$F$68+'Instrumentos Financeiros'!$F$11+1),PMT(((1+'Instrumentos Financeiros'!$I$43)^(1/12)-1),$F$11,-$I$68),0)</f>
        <v>0</v>
      </c>
      <c r="AO376" s="1312">
        <f t="shared" si="231"/>
        <v>2.3745327413858706E-11</v>
      </c>
      <c r="AP376" s="1312">
        <f>AQ375*((1+'Instrumentos Financeiros'!$I$43)^(1/12)-1)</f>
        <v>-2.3745327413858706E-11</v>
      </c>
      <c r="AQ376" s="1312">
        <f t="shared" si="249"/>
        <v>-5.5152504397268317E-9</v>
      </c>
      <c r="AR376" s="1312">
        <f>IF(AND(C376&gt;$F$69,'Instrumentos Financeiros'!C376&lt;'Instrumentos Financeiros'!$F$69+'Instrumentos Financeiros'!$F$11+1),PMT(((1+'Instrumentos Financeiros'!$I$43)^(1/12)-1),$F$11,-$I$69),0)</f>
        <v>0</v>
      </c>
      <c r="AS376" s="1312">
        <f t="shared" si="232"/>
        <v>0</v>
      </c>
      <c r="AT376" s="1312">
        <f>AU375*((1+'Instrumentos Financeiros'!$I$43)^(1/12)-1)</f>
        <v>0</v>
      </c>
      <c r="AU376" s="1312">
        <f t="shared" si="250"/>
        <v>0</v>
      </c>
      <c r="AV376" s="1312">
        <f>IF(AND(C376&gt;$F$70,'Instrumentos Financeiros'!C376&lt;'Instrumentos Financeiros'!$F$70+'Instrumentos Financeiros'!$F$11+1),PMT(((1+'Instrumentos Financeiros'!$J$43)^(1/12)-1),$F$11,-$I$70),0)</f>
        <v>0</v>
      </c>
      <c r="AW376" s="1312">
        <f t="shared" si="233"/>
        <v>0</v>
      </c>
      <c r="AX376" s="1312">
        <f>AY375*((1+'Instrumentos Financeiros'!$J$43)^(1/12)-1)</f>
        <v>0</v>
      </c>
      <c r="AY376" s="1312">
        <f t="shared" si="251"/>
        <v>0</v>
      </c>
      <c r="AZ376" s="1312">
        <f>IF(AND(C376&gt;$F$71,'Instrumentos Financeiros'!C376&lt;'Instrumentos Financeiros'!$F$71+'Instrumentos Financeiros'!$F$11+1),PMT(((1+'Instrumentos Financeiros'!$J$43)^(1/12)-1),$F$11,-$I$71),0)</f>
        <v>0</v>
      </c>
      <c r="BA376" s="1312">
        <f t="shared" si="234"/>
        <v>0</v>
      </c>
      <c r="BB376" s="1312">
        <f>BC375*((1+'Instrumentos Financeiros'!$J$43)^(1/12)-1)</f>
        <v>0</v>
      </c>
      <c r="BC376" s="1312">
        <f t="shared" si="252"/>
        <v>0</v>
      </c>
      <c r="BD376" s="1312">
        <f>IF(AND(C376&gt;$F$72,'Instrumentos Financeiros'!C376&lt;'Instrumentos Financeiros'!$F$72+'Instrumentos Financeiros'!$F$11+1),PMT(((1+'Instrumentos Financeiros'!$J$43)^(1/12)-1),$F$11,-'Instrumentos Financeiros'!$G$7*$G$72),0)</f>
        <v>0</v>
      </c>
      <c r="BE376" s="1312">
        <f t="shared" si="235"/>
        <v>0</v>
      </c>
      <c r="BF376" s="1312">
        <f>BG375*((1+'Instrumentos Financeiros'!$J$43)^(1/12)-1)</f>
        <v>0</v>
      </c>
      <c r="BG376" s="1312">
        <f t="shared" si="253"/>
        <v>0</v>
      </c>
      <c r="BH376" s="1312">
        <f>IF(AND(C376&gt;$F$73,'Instrumentos Financeiros'!C376&lt;'Instrumentos Financeiros'!$F$73+'Instrumentos Financeiros'!$F$11+1),PMT(((1+'Instrumentos Financeiros'!$J$43)^(1/12)-1),$F$11,-$I$73),0)</f>
        <v>0</v>
      </c>
      <c r="BI376" s="1312">
        <f t="shared" si="236"/>
        <v>0</v>
      </c>
      <c r="BJ376" s="1312">
        <f>BK375*((1+'Instrumentos Financeiros'!$J$43)^(1/12)-1)</f>
        <v>0</v>
      </c>
      <c r="BK376" s="1312">
        <f t="shared" si="254"/>
        <v>0</v>
      </c>
      <c r="BL376" s="1312">
        <f>IF(AND(C376&gt;$F$77,'Instrumentos Financeiros'!C376&lt;'Instrumentos Financeiros'!$F$77+'Instrumentos Financeiros'!$F$12+1),PMT(((1+'Instrumentos Financeiros'!$K$43)^(1/12)-1),$F$12,-$I$77),0)</f>
        <v>0</v>
      </c>
      <c r="BM376" s="1312">
        <f t="shared" si="255"/>
        <v>6.7095233943306648E-14</v>
      </c>
      <c r="BN376" s="1312">
        <f>BO375*((1+'Instrumentos Financeiros'!$K$43)^(1/12)-1)</f>
        <v>-6.7095233943306648E-14</v>
      </c>
      <c r="BO376" s="1312">
        <f t="shared" si="256"/>
        <v>-1.5583993097245005E-11</v>
      </c>
      <c r="BP376" s="1312">
        <f>IF(AND(C376&gt;$F$78,'Instrumentos Financeiros'!C376&lt;'Instrumentos Financeiros'!$F$78+'Instrumentos Financeiros'!$F$12+1),PMT(((1+'Instrumentos Financeiros'!$L$43)^(1/12)-1),$F$12,-$I$78),0)</f>
        <v>0</v>
      </c>
      <c r="BQ376" s="1312">
        <f t="shared" si="257"/>
        <v>6.6232345405857752E-14</v>
      </c>
      <c r="BR376" s="1312">
        <f>BS375*((1+'Instrumentos Financeiros'!$L$43)^(1/12)-1)</f>
        <v>-6.6232345405857752E-14</v>
      </c>
      <c r="BS376" s="1312">
        <f t="shared" si="258"/>
        <v>-1.538357276600869E-11</v>
      </c>
      <c r="BT376" s="1312">
        <f>IF(AND(C376&gt;$F$79,'Instrumentos Financeiros'!C376&lt;'Instrumentos Financeiros'!$F$79+'Instrumentos Financeiros'!$F$12+1),PMT(((1+'Instrumentos Financeiros'!$L$43)^(1/12)-1),$F$12,-$I$79),0)</f>
        <v>0</v>
      </c>
      <c r="BU376" s="1312">
        <f t="shared" si="259"/>
        <v>6.5380554178669229E-14</v>
      </c>
      <c r="BV376" s="1312">
        <f>BW375*((1+'Instrumentos Financeiros'!$L$43)^(1/12)-1)</f>
        <v>-6.5380554178669229E-14</v>
      </c>
      <c r="BW376" s="1312">
        <f t="shared" si="260"/>
        <v>-1.51857299711536E-11</v>
      </c>
      <c r="BX376" s="1312">
        <f>IF(AND(C376&gt;$F$80,'Instrumentos Financeiros'!C376&lt;'Instrumentos Financeiros'!$F$80+'Instrumentos Financeiros'!$F$12+1),PMT(((1+'Instrumentos Financeiros'!$L$43)^(1/12)-1),$F$12,-$I$80),0)</f>
        <v>368.57912678094596</v>
      </c>
      <c r="BY376" s="1312">
        <f t="shared" si="261"/>
        <v>363.8389584418515</v>
      </c>
      <c r="BZ376" s="1312">
        <f>CA375*((1+'Instrumentos Financeiros'!$L$43)^(1/12)-1)</f>
        <v>4.7401683390944251</v>
      </c>
      <c r="CA376" s="1312">
        <f t="shared" si="262"/>
        <v>732.40445036322626</v>
      </c>
      <c r="CB376" s="1312">
        <f>IF(AND(C376&gt;$F$83,'Instrumentos Financeiros'!C376&lt;'Instrumentos Financeiros'!$F$83+'Instrumentos Financeiros'!$F$13+1),PMT(((1+'Instrumentos Financeiros'!$P$43)^(1/12)-1),$F$13,-$I$83),0)</f>
        <v>30503.390100238979</v>
      </c>
      <c r="CC376" s="1312">
        <f t="shared" si="263"/>
        <v>22944.272609984739</v>
      </c>
      <c r="CD376" s="1312">
        <f>CE375*((1+'Instrumentos Financeiros'!$P$43)^(1/12)-1)</f>
        <v>7559.1174902542407</v>
      </c>
      <c r="CE376" s="1312">
        <f t="shared" si="264"/>
        <v>1725228.393902845</v>
      </c>
      <c r="CF376" s="1312">
        <f>IF(AND(C376&gt;$F$84,'Instrumentos Financeiros'!C376&lt;'Instrumentos Financeiros'!$F$84+'Instrumentos Financeiros'!$F$13+1),PMT(((1+'Instrumentos Financeiros'!$Q$43)^(1/12)-1),$F$13,-$I$84),0)</f>
        <v>30503.390100238979</v>
      </c>
      <c r="CG376" s="1312">
        <f t="shared" si="265"/>
        <v>22649.194276224291</v>
      </c>
      <c r="CH376" s="1312">
        <f>CI375*((1+'Instrumentos Financeiros'!$Q$43)^(1/12)-1)</f>
        <v>7854.1958240146887</v>
      </c>
      <c r="CI376" s="1312">
        <f t="shared" si="266"/>
        <v>1793765.2846208201</v>
      </c>
      <c r="CJ376" s="1312">
        <f>IF(AND(C376&gt;$F$85,'Instrumentos Financeiros'!C376&lt;'Instrumentos Financeiros'!$F$85+'Instrumentos Financeiros'!$F$13+1),PMT(((1+'Instrumentos Financeiros'!$Q$43)^(1/12)-1),$F$13,-$I$85),0)</f>
        <v>30503.390100238979</v>
      </c>
      <c r="CK376" s="1312">
        <f t="shared" si="267"/>
        <v>22357.910842591424</v>
      </c>
      <c r="CL376" s="1312">
        <f>CM375*((1+'Instrumentos Financeiros'!$Q$43)^(1/12)-1)</f>
        <v>8145.4792576475575</v>
      </c>
      <c r="CM376" s="1312">
        <f t="shared" si="268"/>
        <v>1861420.7461534836</v>
      </c>
      <c r="CN376" s="1312">
        <f>IF(AND(C376&gt;$F$86,'Instrumentos Financeiros'!C376&lt;'Instrumentos Financeiros'!$F$86+'Instrumentos Financeiros'!$F$13+1),PMT(((1+'Instrumentos Financeiros'!$Q$43)^(1/12)-1),$F$13,-$I$86),0)</f>
        <v>30503.390100238979</v>
      </c>
      <c r="CO376" s="1312">
        <f t="shared" si="269"/>
        <v>22070.373504191528</v>
      </c>
      <c r="CP376" s="1312">
        <f>CQ375*((1+'Instrumentos Financeiros'!$Q$43)^(1/12)-1)</f>
        <v>8433.0165960474496</v>
      </c>
      <c r="CQ376" s="1312">
        <f t="shared" si="270"/>
        <v>1928206.1142559394</v>
      </c>
      <c r="CR376" s="1312">
        <f t="shared" si="239"/>
        <v>122382.13952773686</v>
      </c>
      <c r="CS376" s="1312">
        <f t="shared" si="239"/>
        <v>90385.590191433905</v>
      </c>
      <c r="CT376" s="1312">
        <f t="shared" si="239"/>
        <v>31996.549336302945</v>
      </c>
      <c r="CU376" s="1312">
        <f t="shared" si="239"/>
        <v>7309352.943383432</v>
      </c>
    </row>
    <row r="377" spans="3:99" x14ac:dyDescent="0.35">
      <c r="C377" s="1315">
        <f t="shared" si="240"/>
        <v>284</v>
      </c>
      <c r="D377" s="1312">
        <f>IF(AND(C377&gt;$F$59,'Instrumentos Financeiros'!C377&lt;'Instrumentos Financeiros'!$F$59+'Instrumentos Financeiros'!$F$11+1),PMT(((1+'Instrumentos Financeiros'!$G$43)^(1/12)-1),$F$11,-$I$59),0)</f>
        <v>0</v>
      </c>
      <c r="E377" s="1312">
        <f t="shared" si="237"/>
        <v>-1.0151864250433029E-11</v>
      </c>
      <c r="F377" s="1312">
        <f>G376*((1+'Instrumentos Financeiros'!$G$43)^(1/12)-1)</f>
        <v>1.0151864250433029E-11</v>
      </c>
      <c r="G377" s="1312">
        <f t="shared" si="271"/>
        <v>2.4972562852830372E-9</v>
      </c>
      <c r="H377" s="1312">
        <f>IF(AND(C377&gt;$F$60,'Instrumentos Financeiros'!C377&lt;'Instrumentos Financeiros'!$F$60+'Instrumentos Financeiros'!$F$11+1),PMT(((1+'Instrumentos Financeiros'!$G$43)^(1/12)-1),$F$11,-$I$60),0)</f>
        <v>0</v>
      </c>
      <c r="I377" s="1312">
        <f t="shared" si="223"/>
        <v>0</v>
      </c>
      <c r="J377" s="1312">
        <f>K376*((1+'Instrumentos Financeiros'!$G$43)^(1/12)-1)</f>
        <v>0</v>
      </c>
      <c r="K377" s="1312">
        <f t="shared" si="241"/>
        <v>0</v>
      </c>
      <c r="L377" s="1312">
        <f>IF(AND(C377&gt;$F$61,'Instrumentos Financeiros'!C377&lt;'Instrumentos Financeiros'!$F$61+'Instrumentos Financeiros'!$F$11+1),PMT(((1+'Instrumentos Financeiros'!$G$43)^(1/12)-1),$F$11,-$I$61),0)</f>
        <v>0</v>
      </c>
      <c r="M377" s="1312">
        <f t="shared" si="224"/>
        <v>0</v>
      </c>
      <c r="N377" s="1312">
        <f>O376*((1+'Instrumentos Financeiros'!$G$43)^(1/12)-1)</f>
        <v>0</v>
      </c>
      <c r="O377" s="1312">
        <f t="shared" si="242"/>
        <v>0</v>
      </c>
      <c r="P377" s="1312">
        <f>IF(AND(C377&gt;$F$62,'Instrumentos Financeiros'!C377&lt;'Instrumentos Financeiros'!$F$62+'Instrumentos Financeiros'!$F$11+1),PMT(((1+'Instrumentos Financeiros'!$H$43)^(1/12)-1),$F$11,-$I$62),0)</f>
        <v>0</v>
      </c>
      <c r="Q377" s="1312">
        <f t="shared" si="225"/>
        <v>0</v>
      </c>
      <c r="R377" s="1312">
        <f>S376*((1+'Instrumentos Financeiros'!$H$43)^(1/12)-1)</f>
        <v>0</v>
      </c>
      <c r="S377" s="1312">
        <f t="shared" si="243"/>
        <v>0</v>
      </c>
      <c r="T377" s="1312">
        <f>IF(AND(C377&gt;$F$63,'Instrumentos Financeiros'!C377&lt;'Instrumentos Financeiros'!$F$63+'Instrumentos Financeiros'!$F$11+1),PMT(((1+'Instrumentos Financeiros'!$H$43)^(1/12)-1),$F$11,-$I$63),0)</f>
        <v>0</v>
      </c>
      <c r="U377" s="1312">
        <f t="shared" si="226"/>
        <v>0</v>
      </c>
      <c r="V377" s="1312">
        <f>W376*((1+'Instrumentos Financeiros'!$H$43)^(1/12)-1)</f>
        <v>0</v>
      </c>
      <c r="W377" s="1312">
        <f t="shared" si="244"/>
        <v>0</v>
      </c>
      <c r="X377" s="1312">
        <f>IF(AND(C377&gt;$F$64,'Instrumentos Financeiros'!C377&lt;'Instrumentos Financeiros'!$F$64+'Instrumentos Financeiros'!$F$11+1),PMT(((1+'Instrumentos Financeiros'!$H$43)^(1/12)-1),$F$11,-$I$64),0)</f>
        <v>0</v>
      </c>
      <c r="Y377" s="1312">
        <f t="shared" si="227"/>
        <v>0</v>
      </c>
      <c r="Z377" s="1312">
        <f>AA376*((1+'Instrumentos Financeiros'!$H$43)^(1/12)-1)</f>
        <v>0</v>
      </c>
      <c r="AA377" s="1312">
        <f t="shared" si="245"/>
        <v>0</v>
      </c>
      <c r="AB377" s="1312">
        <f>IF(AND(C377&gt;$F$65,'Instrumentos Financeiros'!C377&lt;'Instrumentos Financeiros'!$F$65+'Instrumentos Financeiros'!$F$11+1),PMT(((1+'Instrumentos Financeiros'!$H$43)^(1/12)-1),$F$11,-$I$65),0)</f>
        <v>0</v>
      </c>
      <c r="AC377" s="1312">
        <f t="shared" si="228"/>
        <v>2.4792288616258402E-11</v>
      </c>
      <c r="AD377" s="1312">
        <f>AE376*((1+'Instrumentos Financeiros'!$H$43)^(1/12)-1)</f>
        <v>-2.4792288616258402E-11</v>
      </c>
      <c r="AE377" s="1312">
        <f t="shared" si="246"/>
        <v>-5.7584247338214994E-9</v>
      </c>
      <c r="AF377" s="1312">
        <f>IF(AND(C377&gt;$F$66,'Instrumentos Financeiros'!C377&lt;'Instrumentos Financeiros'!$F$66+'Instrumentos Financeiros'!$F$11+1),PMT(((1+'Instrumentos Financeiros'!$I$43)^(1/12)-1),$F$11,-$I$66),0)</f>
        <v>0</v>
      </c>
      <c r="AG377" s="1312">
        <f t="shared" si="229"/>
        <v>2.4473443589469013E-11</v>
      </c>
      <c r="AH377" s="1312">
        <f>AI376*((1+'Instrumentos Financeiros'!$I$43)^(1/12)-1)</f>
        <v>-2.4473443589469013E-11</v>
      </c>
      <c r="AI377" s="1312">
        <f t="shared" si="247"/>
        <v>-5.6843676301414478E-9</v>
      </c>
      <c r="AJ377" s="1312">
        <f>IF(AND(C377&gt;$F$67,'Instrumentos Financeiros'!C377&lt;'Instrumentos Financeiros'!$F$67+'Instrumentos Financeiros'!$F$11+1),PMT(((1+'Instrumentos Financeiros'!$I$43)^(1/12)-1),$F$11,-$I$67),0)</f>
        <v>0</v>
      </c>
      <c r="AK377" s="1312">
        <f t="shared" si="230"/>
        <v>2.4158699118004781E-11</v>
      </c>
      <c r="AL377" s="1312">
        <f>AM376*((1+'Instrumentos Financeiros'!$I$43)^(1/12)-1)</f>
        <v>-2.4158699118004781E-11</v>
      </c>
      <c r="AM377" s="1312">
        <f t="shared" si="248"/>
        <v>-5.6112629491913946E-9</v>
      </c>
      <c r="AN377" s="1312">
        <f>IF(AND(C377&gt;$F$68,'Instrumentos Financeiros'!C377&lt;'Instrumentos Financeiros'!$F$68+'Instrumentos Financeiros'!$F$11+1),PMT(((1+'Instrumentos Financeiros'!$I$43)^(1/12)-1),$F$11,-$I$68),0)</f>
        <v>0</v>
      </c>
      <c r="AO377" s="1312">
        <f t="shared" si="231"/>
        <v>2.3848002466045607E-11</v>
      </c>
      <c r="AP377" s="1312">
        <f>AQ376*((1+'Instrumentos Financeiros'!$I$43)^(1/12)-1)</f>
        <v>-2.3848002466045607E-11</v>
      </c>
      <c r="AQ377" s="1312">
        <f t="shared" si="249"/>
        <v>-5.5390984421928774E-9</v>
      </c>
      <c r="AR377" s="1312">
        <f>IF(AND(C377&gt;$F$69,'Instrumentos Financeiros'!C377&lt;'Instrumentos Financeiros'!$F$69+'Instrumentos Financeiros'!$F$11+1),PMT(((1+'Instrumentos Financeiros'!$I$43)^(1/12)-1),$F$11,-$I$69),0)</f>
        <v>0</v>
      </c>
      <c r="AS377" s="1312">
        <f t="shared" si="232"/>
        <v>0</v>
      </c>
      <c r="AT377" s="1312">
        <f>AU376*((1+'Instrumentos Financeiros'!$I$43)^(1/12)-1)</f>
        <v>0</v>
      </c>
      <c r="AU377" s="1312">
        <f t="shared" si="250"/>
        <v>0</v>
      </c>
      <c r="AV377" s="1312">
        <f>IF(AND(C377&gt;$F$70,'Instrumentos Financeiros'!C377&lt;'Instrumentos Financeiros'!$F$70+'Instrumentos Financeiros'!$F$11+1),PMT(((1+'Instrumentos Financeiros'!$J$43)^(1/12)-1),$F$11,-$I$70),0)</f>
        <v>0</v>
      </c>
      <c r="AW377" s="1312">
        <f t="shared" si="233"/>
        <v>0</v>
      </c>
      <c r="AX377" s="1312">
        <f>AY376*((1+'Instrumentos Financeiros'!$J$43)^(1/12)-1)</f>
        <v>0</v>
      </c>
      <c r="AY377" s="1312">
        <f t="shared" si="251"/>
        <v>0</v>
      </c>
      <c r="AZ377" s="1312">
        <f>IF(AND(C377&gt;$F$71,'Instrumentos Financeiros'!C377&lt;'Instrumentos Financeiros'!$F$71+'Instrumentos Financeiros'!$F$11+1),PMT(((1+'Instrumentos Financeiros'!$J$43)^(1/12)-1),$F$11,-$I$71),0)</f>
        <v>0</v>
      </c>
      <c r="BA377" s="1312">
        <f t="shared" si="234"/>
        <v>0</v>
      </c>
      <c r="BB377" s="1312">
        <f>BC376*((1+'Instrumentos Financeiros'!$J$43)^(1/12)-1)</f>
        <v>0</v>
      </c>
      <c r="BC377" s="1312">
        <f t="shared" si="252"/>
        <v>0</v>
      </c>
      <c r="BD377" s="1312">
        <f>IF(AND(C377&gt;$F$72,'Instrumentos Financeiros'!C377&lt;'Instrumentos Financeiros'!$F$72+'Instrumentos Financeiros'!$F$11+1),PMT(((1+'Instrumentos Financeiros'!$J$43)^(1/12)-1),$F$11,-'Instrumentos Financeiros'!$G$7*$G$72),0)</f>
        <v>0</v>
      </c>
      <c r="BE377" s="1312">
        <f t="shared" si="235"/>
        <v>0</v>
      </c>
      <c r="BF377" s="1312">
        <f>BG376*((1+'Instrumentos Financeiros'!$J$43)^(1/12)-1)</f>
        <v>0</v>
      </c>
      <c r="BG377" s="1312">
        <f t="shared" si="253"/>
        <v>0</v>
      </c>
      <c r="BH377" s="1312">
        <f>IF(AND(C377&gt;$F$73,'Instrumentos Financeiros'!C377&lt;'Instrumentos Financeiros'!$F$73+'Instrumentos Financeiros'!$F$11+1),PMT(((1+'Instrumentos Financeiros'!$J$43)^(1/12)-1),$F$11,-$I$73),0)</f>
        <v>0</v>
      </c>
      <c r="BI377" s="1312">
        <f t="shared" si="236"/>
        <v>0</v>
      </c>
      <c r="BJ377" s="1312">
        <f>BK376*((1+'Instrumentos Financeiros'!$J$43)^(1/12)-1)</f>
        <v>0</v>
      </c>
      <c r="BK377" s="1312">
        <f t="shared" si="254"/>
        <v>0</v>
      </c>
      <c r="BL377" s="1312">
        <f>IF(AND(C377&gt;$F$77,'Instrumentos Financeiros'!C377&lt;'Instrumentos Financeiros'!$F$77+'Instrumentos Financeiros'!$F$12+1),PMT(((1+'Instrumentos Financeiros'!$K$43)^(1/12)-1),$F$12,-$I$77),0)</f>
        <v>0</v>
      </c>
      <c r="BM377" s="1312">
        <f t="shared" si="255"/>
        <v>6.7385354459505577E-14</v>
      </c>
      <c r="BN377" s="1312">
        <f>BO376*((1+'Instrumentos Financeiros'!$K$43)^(1/12)-1)</f>
        <v>-6.7385354459505577E-14</v>
      </c>
      <c r="BO377" s="1312">
        <f t="shared" si="256"/>
        <v>-1.565137845170451E-11</v>
      </c>
      <c r="BP377" s="1312">
        <f>IF(AND(C377&gt;$F$78,'Instrumentos Financeiros'!C377&lt;'Instrumentos Financeiros'!$F$78+'Instrumentos Financeiros'!$F$12+1),PMT(((1+'Instrumentos Financeiros'!$L$43)^(1/12)-1),$F$12,-$I$78),0)</f>
        <v>0</v>
      </c>
      <c r="BQ377" s="1312">
        <f t="shared" si="257"/>
        <v>6.6518734782701559E-14</v>
      </c>
      <c r="BR377" s="1312">
        <f>BS376*((1+'Instrumentos Financeiros'!$L$43)^(1/12)-1)</f>
        <v>-6.6518734782701559E-14</v>
      </c>
      <c r="BS377" s="1312">
        <f t="shared" si="258"/>
        <v>-1.5450091500791392E-11</v>
      </c>
      <c r="BT377" s="1312">
        <f>IF(AND(C377&gt;$F$79,'Instrumentos Financeiros'!C377&lt;'Instrumentos Financeiros'!$F$79+'Instrumentos Financeiros'!$F$12+1),PMT(((1+'Instrumentos Financeiros'!$L$43)^(1/12)-1),$F$12,-$I$79),0)</f>
        <v>0</v>
      </c>
      <c r="BU377" s="1312">
        <f t="shared" si="259"/>
        <v>6.5663260401047318E-14</v>
      </c>
      <c r="BV377" s="1312">
        <f>BW376*((1+'Instrumentos Financeiros'!$L$43)^(1/12)-1)</f>
        <v>-6.5663260401047318E-14</v>
      </c>
      <c r="BW377" s="1312">
        <f t="shared" si="260"/>
        <v>-1.5251393231554648E-11</v>
      </c>
      <c r="BX377" s="1312">
        <f>IF(AND(C377&gt;$F$80,'Instrumentos Financeiros'!C377&lt;'Instrumentos Financeiros'!$F$80+'Instrumentos Financeiros'!$F$12+1),PMT(((1+'Instrumentos Financeiros'!$L$43)^(1/12)-1),$F$12,-$I$80),0)</f>
        <v>368.57912678094596</v>
      </c>
      <c r="BY377" s="1312">
        <f t="shared" si="261"/>
        <v>365.41220202761235</v>
      </c>
      <c r="BZ377" s="1312">
        <f>CA376*((1+'Instrumentos Financeiros'!$L$43)^(1/12)-1)</f>
        <v>3.1669247533336127</v>
      </c>
      <c r="CA377" s="1312">
        <f t="shared" si="262"/>
        <v>366.99224833561391</v>
      </c>
      <c r="CB377" s="1312">
        <f>IF(AND(C377&gt;$F$83,'Instrumentos Financeiros'!C377&lt;'Instrumentos Financeiros'!$F$83+'Instrumentos Financeiros'!$F$13+1),PMT(((1+'Instrumentos Financeiros'!$P$43)^(1/12)-1),$F$13,-$I$83),0)</f>
        <v>30503.390100238979</v>
      </c>
      <c r="CC377" s="1312">
        <f t="shared" si="263"/>
        <v>23043.483892548298</v>
      </c>
      <c r="CD377" s="1312">
        <f>CE376*((1+'Instrumentos Financeiros'!$P$43)^(1/12)-1)</f>
        <v>7459.9062076906803</v>
      </c>
      <c r="CE377" s="1312">
        <f t="shared" si="264"/>
        <v>1702184.9100102966</v>
      </c>
      <c r="CF377" s="1312">
        <f>IF(AND(C377&gt;$F$84,'Instrumentos Financeiros'!C377&lt;'Instrumentos Financeiros'!$F$84+'Instrumentos Financeiros'!$F$13+1),PMT(((1+'Instrumentos Financeiros'!$Q$43)^(1/12)-1),$F$13,-$I$84),0)</f>
        <v>30503.390100238979</v>
      </c>
      <c r="CG377" s="1312">
        <f t="shared" si="265"/>
        <v>22747.129636885827</v>
      </c>
      <c r="CH377" s="1312">
        <f>CI376*((1+'Instrumentos Financeiros'!$Q$43)^(1/12)-1)</f>
        <v>7756.2604633531528</v>
      </c>
      <c r="CI377" s="1312">
        <f t="shared" si="266"/>
        <v>1771018.1549839342</v>
      </c>
      <c r="CJ377" s="1312">
        <f>IF(AND(C377&gt;$F$85,'Instrumentos Financeiros'!C377&lt;'Instrumentos Financeiros'!$F$85+'Instrumentos Financeiros'!$F$13+1),PMT(((1+'Instrumentos Financeiros'!$Q$43)^(1/12)-1),$F$13,-$I$85),0)</f>
        <v>30503.390100238979</v>
      </c>
      <c r="CK377" s="1312">
        <f t="shared" si="267"/>
        <v>22454.586690540069</v>
      </c>
      <c r="CL377" s="1312">
        <f>CM376*((1+'Instrumentos Financeiros'!$Q$43)^(1/12)-1)</f>
        <v>8048.8034096989086</v>
      </c>
      <c r="CM377" s="1312">
        <f t="shared" si="268"/>
        <v>1838966.1594629437</v>
      </c>
      <c r="CN377" s="1312">
        <f>IF(AND(C377&gt;$F$86,'Instrumentos Financeiros'!C377&lt;'Instrumentos Financeiros'!$F$86+'Instrumentos Financeiros'!$F$13+1),PMT(((1+'Instrumentos Financeiros'!$Q$43)^(1/12)-1),$F$13,-$I$86),0)</f>
        <v>30503.390100238979</v>
      </c>
      <c r="CO377" s="1312">
        <f t="shared" si="269"/>
        <v>22165.806037583534</v>
      </c>
      <c r="CP377" s="1312">
        <f>CQ376*((1+'Instrumentos Financeiros'!$Q$43)^(1/12)-1)</f>
        <v>8337.5840626554436</v>
      </c>
      <c r="CQ377" s="1312">
        <f t="shared" si="270"/>
        <v>1906040.3082183558</v>
      </c>
      <c r="CR377" s="1312">
        <f t="shared" si="239"/>
        <v>122382.13952773686</v>
      </c>
      <c r="CS377" s="1312">
        <f t="shared" si="239"/>
        <v>90776.418459585431</v>
      </c>
      <c r="CT377" s="1312">
        <f t="shared" si="239"/>
        <v>31605.721068151433</v>
      </c>
      <c r="CU377" s="1312">
        <f t="shared" si="239"/>
        <v>7218576.5249238461</v>
      </c>
    </row>
    <row r="378" spans="3:99" x14ac:dyDescent="0.35">
      <c r="C378" s="1315">
        <f t="shared" si="240"/>
        <v>285</v>
      </c>
      <c r="D378" s="1312">
        <f>IF(AND(C378&gt;$F$59,'Instrumentos Financeiros'!C378&lt;'Instrumentos Financeiros'!$F$59+'Instrumentos Financeiros'!$F$11+1),PMT(((1+'Instrumentos Financeiros'!$G$43)^(1/12)-1),$F$11,-$I$59),0)</f>
        <v>0</v>
      </c>
      <c r="E378" s="1312">
        <f t="shared" si="237"/>
        <v>-1.0193302135745632E-11</v>
      </c>
      <c r="F378" s="1312">
        <f>G377*((1+'Instrumentos Financeiros'!$G$43)^(1/12)-1)</f>
        <v>1.0193302135745632E-11</v>
      </c>
      <c r="G378" s="1312">
        <f t="shared" si="271"/>
        <v>2.507449587418783E-9</v>
      </c>
      <c r="H378" s="1312">
        <f>IF(AND(C378&gt;$F$60,'Instrumentos Financeiros'!C378&lt;'Instrumentos Financeiros'!$F$60+'Instrumentos Financeiros'!$F$11+1),PMT(((1+'Instrumentos Financeiros'!$G$43)^(1/12)-1),$F$11,-$I$60),0)</f>
        <v>0</v>
      </c>
      <c r="I378" s="1312">
        <f t="shared" si="223"/>
        <v>0</v>
      </c>
      <c r="J378" s="1312">
        <f>K377*((1+'Instrumentos Financeiros'!$G$43)^(1/12)-1)</f>
        <v>0</v>
      </c>
      <c r="K378" s="1312">
        <f t="shared" si="241"/>
        <v>0</v>
      </c>
      <c r="L378" s="1312">
        <f>IF(AND(C378&gt;$F$61,'Instrumentos Financeiros'!C378&lt;'Instrumentos Financeiros'!$F$61+'Instrumentos Financeiros'!$F$11+1),PMT(((1+'Instrumentos Financeiros'!$G$43)^(1/12)-1),$F$11,-$I$61),0)</f>
        <v>0</v>
      </c>
      <c r="M378" s="1312">
        <f t="shared" si="224"/>
        <v>0</v>
      </c>
      <c r="N378" s="1312">
        <f>O377*((1+'Instrumentos Financeiros'!$G$43)^(1/12)-1)</f>
        <v>0</v>
      </c>
      <c r="O378" s="1312">
        <f t="shared" si="242"/>
        <v>0</v>
      </c>
      <c r="P378" s="1312">
        <f>IF(AND(C378&gt;$F$62,'Instrumentos Financeiros'!C378&lt;'Instrumentos Financeiros'!$F$62+'Instrumentos Financeiros'!$F$11+1),PMT(((1+'Instrumentos Financeiros'!$H$43)^(1/12)-1),$F$11,-$I$62),0)</f>
        <v>0</v>
      </c>
      <c r="Q378" s="1312">
        <f t="shared" si="225"/>
        <v>0</v>
      </c>
      <c r="R378" s="1312">
        <f>S377*((1+'Instrumentos Financeiros'!$H$43)^(1/12)-1)</f>
        <v>0</v>
      </c>
      <c r="S378" s="1312">
        <f t="shared" si="243"/>
        <v>0</v>
      </c>
      <c r="T378" s="1312">
        <f>IF(AND(C378&gt;$F$63,'Instrumentos Financeiros'!C378&lt;'Instrumentos Financeiros'!$F$63+'Instrumentos Financeiros'!$F$11+1),PMT(((1+'Instrumentos Financeiros'!$H$43)^(1/12)-1),$F$11,-$I$63),0)</f>
        <v>0</v>
      </c>
      <c r="U378" s="1312">
        <f t="shared" si="226"/>
        <v>0</v>
      </c>
      <c r="V378" s="1312">
        <f>W377*((1+'Instrumentos Financeiros'!$H$43)^(1/12)-1)</f>
        <v>0</v>
      </c>
      <c r="W378" s="1312">
        <f t="shared" si="244"/>
        <v>0</v>
      </c>
      <c r="X378" s="1312">
        <f>IF(AND(C378&gt;$F$64,'Instrumentos Financeiros'!C378&lt;'Instrumentos Financeiros'!$F$64+'Instrumentos Financeiros'!$F$11+1),PMT(((1+'Instrumentos Financeiros'!$H$43)^(1/12)-1),$F$11,-$I$64),0)</f>
        <v>0</v>
      </c>
      <c r="Y378" s="1312">
        <f t="shared" si="227"/>
        <v>0</v>
      </c>
      <c r="Z378" s="1312">
        <f>AA377*((1+'Instrumentos Financeiros'!$H$43)^(1/12)-1)</f>
        <v>0</v>
      </c>
      <c r="AA378" s="1312">
        <f t="shared" si="245"/>
        <v>0</v>
      </c>
      <c r="AB378" s="1312">
        <f>IF(AND(C378&gt;$F$65,'Instrumentos Financeiros'!C378&lt;'Instrumentos Financeiros'!$F$65+'Instrumentos Financeiros'!$F$11+1),PMT(((1+'Instrumentos Financeiros'!$H$43)^(1/12)-1),$F$11,-$I$65),0)</f>
        <v>0</v>
      </c>
      <c r="AC378" s="1312">
        <f t="shared" si="228"/>
        <v>2.4899490739991652E-11</v>
      </c>
      <c r="AD378" s="1312">
        <f>AE377*((1+'Instrumentos Financeiros'!$H$43)^(1/12)-1)</f>
        <v>-2.4899490739991652E-11</v>
      </c>
      <c r="AE378" s="1312">
        <f t="shared" si="246"/>
        <v>-5.7833242245614908E-9</v>
      </c>
      <c r="AF378" s="1312">
        <f>IF(AND(C378&gt;$F$66,'Instrumentos Financeiros'!C378&lt;'Instrumentos Financeiros'!$F$66+'Instrumentos Financeiros'!$F$11+1),PMT(((1+'Instrumentos Financeiros'!$I$43)^(1/12)-1),$F$11,-$I$66),0)</f>
        <v>0</v>
      </c>
      <c r="AG378" s="1312">
        <f t="shared" si="229"/>
        <v>2.4579267023862898E-11</v>
      </c>
      <c r="AH378" s="1312">
        <f>AI377*((1+'Instrumentos Financeiros'!$I$43)^(1/12)-1)</f>
        <v>-2.4579267023862898E-11</v>
      </c>
      <c r="AI378" s="1312">
        <f t="shared" si="247"/>
        <v>-5.7089468971653104E-9</v>
      </c>
      <c r="AJ378" s="1312">
        <f>IF(AND(C378&gt;$F$67,'Instrumentos Financeiros'!C378&lt;'Instrumentos Financeiros'!$F$67+'Instrumentos Financeiros'!$F$11+1),PMT(((1+'Instrumentos Financeiros'!$I$43)^(1/12)-1),$F$11,-$I$67),0)</f>
        <v>0</v>
      </c>
      <c r="AK378" s="1312">
        <f t="shared" si="230"/>
        <v>2.4263161593904818E-11</v>
      </c>
      <c r="AL378" s="1312">
        <f>AM377*((1+'Instrumentos Financeiros'!$I$43)^(1/12)-1)</f>
        <v>-2.4263161593904818E-11</v>
      </c>
      <c r="AM378" s="1312">
        <f t="shared" si="248"/>
        <v>-5.6355261107852998E-9</v>
      </c>
      <c r="AN378" s="1312">
        <f>IF(AND(C378&gt;$F$68,'Instrumentos Financeiros'!C378&lt;'Instrumentos Financeiros'!$F$68+'Instrumentos Financeiros'!$F$11+1),PMT(((1+'Instrumentos Financeiros'!$I$43)^(1/12)-1),$F$11,-$I$68),0)</f>
        <v>0</v>
      </c>
      <c r="AO378" s="1312">
        <f t="shared" si="231"/>
        <v>2.395112148626705E-11</v>
      </c>
      <c r="AP378" s="1312">
        <f>AQ377*((1+'Instrumentos Financeiros'!$I$43)^(1/12)-1)</f>
        <v>-2.395112148626705E-11</v>
      </c>
      <c r="AQ378" s="1312">
        <f t="shared" si="249"/>
        <v>-5.5630495636791445E-9</v>
      </c>
      <c r="AR378" s="1312">
        <f>IF(AND(C378&gt;$F$69,'Instrumentos Financeiros'!C378&lt;'Instrumentos Financeiros'!$F$69+'Instrumentos Financeiros'!$F$11+1),PMT(((1+'Instrumentos Financeiros'!$I$43)^(1/12)-1),$F$11,-$I$69),0)</f>
        <v>0</v>
      </c>
      <c r="AS378" s="1312">
        <f t="shared" si="232"/>
        <v>0</v>
      </c>
      <c r="AT378" s="1312">
        <f>AU377*((1+'Instrumentos Financeiros'!$I$43)^(1/12)-1)</f>
        <v>0</v>
      </c>
      <c r="AU378" s="1312">
        <f t="shared" si="250"/>
        <v>0</v>
      </c>
      <c r="AV378" s="1312">
        <f>IF(AND(C378&gt;$F$70,'Instrumentos Financeiros'!C378&lt;'Instrumentos Financeiros'!$F$70+'Instrumentos Financeiros'!$F$11+1),PMT(((1+'Instrumentos Financeiros'!$J$43)^(1/12)-1),$F$11,-$I$70),0)</f>
        <v>0</v>
      </c>
      <c r="AW378" s="1312">
        <f t="shared" si="233"/>
        <v>0</v>
      </c>
      <c r="AX378" s="1312">
        <f>AY377*((1+'Instrumentos Financeiros'!$J$43)^(1/12)-1)</f>
        <v>0</v>
      </c>
      <c r="AY378" s="1312">
        <f t="shared" si="251"/>
        <v>0</v>
      </c>
      <c r="AZ378" s="1312">
        <f>IF(AND(C378&gt;$F$71,'Instrumentos Financeiros'!C378&lt;'Instrumentos Financeiros'!$F$71+'Instrumentos Financeiros'!$F$11+1),PMT(((1+'Instrumentos Financeiros'!$J$43)^(1/12)-1),$F$11,-$I$71),0)</f>
        <v>0</v>
      </c>
      <c r="BA378" s="1312">
        <f t="shared" si="234"/>
        <v>0</v>
      </c>
      <c r="BB378" s="1312">
        <f>BC377*((1+'Instrumentos Financeiros'!$J$43)^(1/12)-1)</f>
        <v>0</v>
      </c>
      <c r="BC378" s="1312">
        <f t="shared" si="252"/>
        <v>0</v>
      </c>
      <c r="BD378" s="1312">
        <f>IF(AND(C378&gt;$F$72,'Instrumentos Financeiros'!C378&lt;'Instrumentos Financeiros'!$F$72+'Instrumentos Financeiros'!$F$11+1),PMT(((1+'Instrumentos Financeiros'!$J$43)^(1/12)-1),$F$11,-'Instrumentos Financeiros'!$G$7*$G$72),0)</f>
        <v>0</v>
      </c>
      <c r="BE378" s="1312">
        <f t="shared" si="235"/>
        <v>0</v>
      </c>
      <c r="BF378" s="1312">
        <f>BG377*((1+'Instrumentos Financeiros'!$J$43)^(1/12)-1)</f>
        <v>0</v>
      </c>
      <c r="BG378" s="1312">
        <f t="shared" si="253"/>
        <v>0</v>
      </c>
      <c r="BH378" s="1312">
        <f>IF(AND(C378&gt;$F$73,'Instrumentos Financeiros'!C378&lt;'Instrumentos Financeiros'!$F$73+'Instrumentos Financeiros'!$F$11+1),PMT(((1+'Instrumentos Financeiros'!$J$43)^(1/12)-1),$F$11,-$I$73),0)</f>
        <v>0</v>
      </c>
      <c r="BI378" s="1312">
        <f t="shared" si="236"/>
        <v>0</v>
      </c>
      <c r="BJ378" s="1312">
        <f>BK377*((1+'Instrumentos Financeiros'!$J$43)^(1/12)-1)</f>
        <v>0</v>
      </c>
      <c r="BK378" s="1312">
        <f t="shared" si="254"/>
        <v>0</v>
      </c>
      <c r="BL378" s="1312">
        <f>IF(AND(C378&gt;$F$77,'Instrumentos Financeiros'!C378&lt;'Instrumentos Financeiros'!$F$77+'Instrumentos Financeiros'!$F$12+1),PMT(((1+'Instrumentos Financeiros'!$K$43)^(1/12)-1),$F$12,-$I$77),0)</f>
        <v>0</v>
      </c>
      <c r="BM378" s="1312">
        <f t="shared" si="255"/>
        <v>6.7676729459949841E-14</v>
      </c>
      <c r="BN378" s="1312">
        <f>BO377*((1+'Instrumentos Financeiros'!$K$43)^(1/12)-1)</f>
        <v>-6.7676729459949841E-14</v>
      </c>
      <c r="BO378" s="1312">
        <f t="shared" si="256"/>
        <v>-1.571905518116446E-11</v>
      </c>
      <c r="BP378" s="1312">
        <f>IF(AND(C378&gt;$F$78,'Instrumentos Financeiros'!C378&lt;'Instrumentos Financeiros'!$F$78+'Instrumentos Financeiros'!$F$12+1),PMT(((1+'Instrumentos Financeiros'!$L$43)^(1/12)-1),$F$12,-$I$78),0)</f>
        <v>0</v>
      </c>
      <c r="BQ378" s="1312">
        <f t="shared" si="257"/>
        <v>6.6806362510303839E-14</v>
      </c>
      <c r="BR378" s="1312">
        <f>BS377*((1+'Instrumentos Financeiros'!$L$43)^(1/12)-1)</f>
        <v>-6.6806362510303839E-14</v>
      </c>
      <c r="BS378" s="1312">
        <f t="shared" si="258"/>
        <v>-1.5516897863301697E-11</v>
      </c>
      <c r="BT378" s="1312">
        <f>IF(AND(C378&gt;$F$79,'Instrumentos Financeiros'!C378&lt;'Instrumentos Financeiros'!$F$79+'Instrumentos Financeiros'!$F$12+1),PMT(((1+'Instrumentos Financeiros'!$L$43)^(1/12)-1),$F$12,-$I$79),0)</f>
        <v>0</v>
      </c>
      <c r="BU378" s="1312">
        <f t="shared" si="259"/>
        <v>6.5947189048184211E-14</v>
      </c>
      <c r="BV378" s="1312">
        <f>BW377*((1+'Instrumentos Financeiros'!$L$43)^(1/12)-1)</f>
        <v>-6.5947189048184211E-14</v>
      </c>
      <c r="BW378" s="1312">
        <f t="shared" si="260"/>
        <v>-1.5317340420602831E-11</v>
      </c>
      <c r="BX378" s="1312">
        <f>IF(AND(C378&gt;$F$80,'Instrumentos Financeiros'!C378&lt;'Instrumentos Financeiros'!$F$80+'Instrumentos Financeiros'!$F$12+1),PMT(((1+'Instrumentos Financeiros'!$L$43)^(1/12)-1),$F$12,-$I$80),0)</f>
        <v>368.57912678094596</v>
      </c>
      <c r="BY378" s="1312">
        <f t="shared" si="261"/>
        <v>366.99224833562903</v>
      </c>
      <c r="BZ378" s="1312">
        <f>CA377*((1+'Instrumentos Financeiros'!$L$43)^(1/12)-1)</f>
        <v>1.5868784453169504</v>
      </c>
      <c r="CA378" s="1312">
        <f t="shared" si="262"/>
        <v>-1.5120349416974932E-11</v>
      </c>
      <c r="CB378" s="1312">
        <f>IF(AND(C378&gt;$F$83,'Instrumentos Financeiros'!C378&lt;'Instrumentos Financeiros'!$F$83+'Instrumentos Financeiros'!$F$13+1),PMT(((1+'Instrumentos Financeiros'!$P$43)^(1/12)-1),$F$13,-$I$83),0)</f>
        <v>30503.390100238979</v>
      </c>
      <c r="CC378" s="1312">
        <f t="shared" si="263"/>
        <v>23143.124165769146</v>
      </c>
      <c r="CD378" s="1312">
        <f>CE377*((1+'Instrumentos Financeiros'!$P$43)^(1/12)-1)</f>
        <v>7360.2659344698341</v>
      </c>
      <c r="CE378" s="1312">
        <f t="shared" si="264"/>
        <v>1679041.7858445274</v>
      </c>
      <c r="CF378" s="1312">
        <f>IF(AND(C378&gt;$F$84,'Instrumentos Financeiros'!C378&lt;'Instrumentos Financeiros'!$F$84+'Instrumentos Financeiros'!$F$13+1),PMT(((1+'Instrumentos Financeiros'!$Q$43)^(1/12)-1),$F$13,-$I$84),0)</f>
        <v>30503.390100238979</v>
      </c>
      <c r="CG378" s="1312">
        <f t="shared" si="265"/>
        <v>22845.488471104563</v>
      </c>
      <c r="CH378" s="1312">
        <f>CI377*((1+'Instrumentos Financeiros'!$Q$43)^(1/12)-1)</f>
        <v>7657.9016291344151</v>
      </c>
      <c r="CI378" s="1312">
        <f t="shared" si="266"/>
        <v>1748172.6665128297</v>
      </c>
      <c r="CJ378" s="1312">
        <f>IF(AND(C378&gt;$F$85,'Instrumentos Financeiros'!C378&lt;'Instrumentos Financeiros'!$F$85+'Instrumentos Financeiros'!$F$13+1),PMT(((1+'Instrumentos Financeiros'!$Q$43)^(1/12)-1),$F$13,-$I$85),0)</f>
        <v>30503.390100238979</v>
      </c>
      <c r="CK378" s="1312">
        <f t="shared" si="267"/>
        <v>22551.680565899347</v>
      </c>
      <c r="CL378" s="1312">
        <f>CM377*((1+'Instrumentos Financeiros'!$Q$43)^(1/12)-1)</f>
        <v>7951.7095343396322</v>
      </c>
      <c r="CM378" s="1312">
        <f t="shared" si="268"/>
        <v>1816414.4788970444</v>
      </c>
      <c r="CN378" s="1312">
        <f>IF(AND(C378&gt;$F$86,'Instrumentos Financeiros'!C378&lt;'Instrumentos Financeiros'!$F$86+'Instrumentos Financeiros'!$F$13+1),PMT(((1+'Instrumentos Financeiros'!$Q$43)^(1/12)-1),$F$13,-$I$86),0)</f>
        <v>30503.390100238979</v>
      </c>
      <c r="CO378" s="1312">
        <f t="shared" si="269"/>
        <v>22261.651222280598</v>
      </c>
      <c r="CP378" s="1312">
        <f>CQ377*((1+'Instrumentos Financeiros'!$Q$43)^(1/12)-1)</f>
        <v>8241.7388779583798</v>
      </c>
      <c r="CQ378" s="1312">
        <f t="shared" si="270"/>
        <v>1883778.6569960751</v>
      </c>
      <c r="CR378" s="1312">
        <f t="shared" si="239"/>
        <v>122382.13952773686</v>
      </c>
      <c r="CS378" s="1312">
        <f t="shared" si="239"/>
        <v>91168.936673389369</v>
      </c>
      <c r="CT378" s="1312">
        <f t="shared" si="239"/>
        <v>31213.202854347488</v>
      </c>
      <c r="CU378" s="1312">
        <f t="shared" si="239"/>
        <v>7127407.5882504564</v>
      </c>
    </row>
    <row r="379" spans="3:99" x14ac:dyDescent="0.35">
      <c r="C379" s="1315">
        <f t="shared" si="240"/>
        <v>286</v>
      </c>
      <c r="D379" s="1312">
        <f>IF(AND(C379&gt;$F$59,'Instrumentos Financeiros'!C379&lt;'Instrumentos Financeiros'!$F$59+'Instrumentos Financeiros'!$F$11+1),PMT(((1+'Instrumentos Financeiros'!$G$43)^(1/12)-1),$F$11,-$I$59),0)</f>
        <v>0</v>
      </c>
      <c r="E379" s="1312">
        <f t="shared" si="237"/>
        <v>-1.0234909162242242E-11</v>
      </c>
      <c r="F379" s="1312">
        <f>G378*((1+'Instrumentos Financeiros'!$G$43)^(1/12)-1)</f>
        <v>1.0234909162242242E-11</v>
      </c>
      <c r="G379" s="1312">
        <f t="shared" si="271"/>
        <v>2.5176844965810253E-9</v>
      </c>
      <c r="H379" s="1312">
        <f>IF(AND(C379&gt;$F$60,'Instrumentos Financeiros'!C379&lt;'Instrumentos Financeiros'!$F$60+'Instrumentos Financeiros'!$F$11+1),PMT(((1+'Instrumentos Financeiros'!$G$43)^(1/12)-1),$F$11,-$I$60),0)</f>
        <v>0</v>
      </c>
      <c r="I379" s="1312">
        <f t="shared" si="223"/>
        <v>0</v>
      </c>
      <c r="J379" s="1312">
        <f>K378*((1+'Instrumentos Financeiros'!$G$43)^(1/12)-1)</f>
        <v>0</v>
      </c>
      <c r="K379" s="1312">
        <f t="shared" si="241"/>
        <v>0</v>
      </c>
      <c r="L379" s="1312">
        <f>IF(AND(C379&gt;$F$61,'Instrumentos Financeiros'!C379&lt;'Instrumentos Financeiros'!$F$61+'Instrumentos Financeiros'!$F$11+1),PMT(((1+'Instrumentos Financeiros'!$G$43)^(1/12)-1),$F$11,-$I$61),0)</f>
        <v>0</v>
      </c>
      <c r="M379" s="1312">
        <f t="shared" si="224"/>
        <v>0</v>
      </c>
      <c r="N379" s="1312">
        <f>O378*((1+'Instrumentos Financeiros'!$G$43)^(1/12)-1)</f>
        <v>0</v>
      </c>
      <c r="O379" s="1312">
        <f t="shared" si="242"/>
        <v>0</v>
      </c>
      <c r="P379" s="1312">
        <f>IF(AND(C379&gt;$F$62,'Instrumentos Financeiros'!C379&lt;'Instrumentos Financeiros'!$F$62+'Instrumentos Financeiros'!$F$11+1),PMT(((1+'Instrumentos Financeiros'!$H$43)^(1/12)-1),$F$11,-$I$62),0)</f>
        <v>0</v>
      </c>
      <c r="Q379" s="1312">
        <f t="shared" si="225"/>
        <v>0</v>
      </c>
      <c r="R379" s="1312">
        <f>S378*((1+'Instrumentos Financeiros'!$H$43)^(1/12)-1)</f>
        <v>0</v>
      </c>
      <c r="S379" s="1312">
        <f t="shared" si="243"/>
        <v>0</v>
      </c>
      <c r="T379" s="1312">
        <f>IF(AND(C379&gt;$F$63,'Instrumentos Financeiros'!C379&lt;'Instrumentos Financeiros'!$F$63+'Instrumentos Financeiros'!$F$11+1),PMT(((1+'Instrumentos Financeiros'!$H$43)^(1/12)-1),$F$11,-$I$63),0)</f>
        <v>0</v>
      </c>
      <c r="U379" s="1312">
        <f t="shared" si="226"/>
        <v>0</v>
      </c>
      <c r="V379" s="1312">
        <f>W378*((1+'Instrumentos Financeiros'!$H$43)^(1/12)-1)</f>
        <v>0</v>
      </c>
      <c r="W379" s="1312">
        <f t="shared" si="244"/>
        <v>0</v>
      </c>
      <c r="X379" s="1312">
        <f>IF(AND(C379&gt;$F$64,'Instrumentos Financeiros'!C379&lt;'Instrumentos Financeiros'!$F$64+'Instrumentos Financeiros'!$F$11+1),PMT(((1+'Instrumentos Financeiros'!$H$43)^(1/12)-1),$F$11,-$I$64),0)</f>
        <v>0</v>
      </c>
      <c r="Y379" s="1312">
        <f t="shared" si="227"/>
        <v>0</v>
      </c>
      <c r="Z379" s="1312">
        <f>AA378*((1+'Instrumentos Financeiros'!$H$43)^(1/12)-1)</f>
        <v>0</v>
      </c>
      <c r="AA379" s="1312">
        <f t="shared" si="245"/>
        <v>0</v>
      </c>
      <c r="AB379" s="1312">
        <f>IF(AND(C379&gt;$F$65,'Instrumentos Financeiros'!C379&lt;'Instrumentos Financeiros'!$F$65+'Instrumentos Financeiros'!$F$11+1),PMT(((1+'Instrumentos Financeiros'!$H$43)^(1/12)-1),$F$11,-$I$65),0)</f>
        <v>0</v>
      </c>
      <c r="AC379" s="1312">
        <f t="shared" si="228"/>
        <v>2.5007156406865702E-11</v>
      </c>
      <c r="AD379" s="1312">
        <f>AE378*((1+'Instrumentos Financeiros'!$H$43)^(1/12)-1)</f>
        <v>-2.5007156406865702E-11</v>
      </c>
      <c r="AE379" s="1312">
        <f t="shared" si="246"/>
        <v>-5.8083313809683562E-9</v>
      </c>
      <c r="AF379" s="1312">
        <f>IF(AND(C379&gt;$F$66,'Instrumentos Financeiros'!C379&lt;'Instrumentos Financeiros'!$F$66+'Instrumentos Financeiros'!$F$11+1),PMT(((1+'Instrumentos Financeiros'!$I$43)^(1/12)-1),$F$11,-$I$66),0)</f>
        <v>0</v>
      </c>
      <c r="AG379" s="1312">
        <f t="shared" si="229"/>
        <v>2.4685548039929995E-11</v>
      </c>
      <c r="AH379" s="1312">
        <f>AI378*((1+'Instrumentos Financeiros'!$I$43)^(1/12)-1)</f>
        <v>-2.4685548039929995E-11</v>
      </c>
      <c r="AI379" s="1312">
        <f t="shared" si="247"/>
        <v>-5.7336324452052407E-9</v>
      </c>
      <c r="AJ379" s="1312">
        <f>IF(AND(C379&gt;$F$67,'Instrumentos Financeiros'!C379&lt;'Instrumentos Financeiros'!$F$67+'Instrumentos Financeiros'!$F$11+1),PMT(((1+'Instrumentos Financeiros'!$I$43)^(1/12)-1),$F$11,-$I$67),0)</f>
        <v>0</v>
      </c>
      <c r="AK379" s="1312">
        <f t="shared" si="230"/>
        <v>2.4368075766678841E-11</v>
      </c>
      <c r="AL379" s="1312">
        <f>AM378*((1+'Instrumentos Financeiros'!$I$43)^(1/12)-1)</f>
        <v>-2.4368075766678841E-11</v>
      </c>
      <c r="AM379" s="1312">
        <f t="shared" si="248"/>
        <v>-5.6598941865519789E-9</v>
      </c>
      <c r="AN379" s="1312">
        <f>IF(AND(C379&gt;$F$68,'Instrumentos Financeiros'!C379&lt;'Instrumentos Financeiros'!$F$68+'Instrumentos Financeiros'!$F$11+1),PMT(((1+'Instrumentos Financeiros'!$I$43)^(1/12)-1),$F$11,-$I$68),0)</f>
        <v>0</v>
      </c>
      <c r="AO379" s="1312">
        <f t="shared" si="231"/>
        <v>2.4054686394245616E-11</v>
      </c>
      <c r="AP379" s="1312">
        <f>AQ378*((1+'Instrumentos Financeiros'!$I$43)^(1/12)-1)</f>
        <v>-2.4054686394245616E-11</v>
      </c>
      <c r="AQ379" s="1312">
        <f t="shared" si="249"/>
        <v>-5.5871042500733899E-9</v>
      </c>
      <c r="AR379" s="1312">
        <f>IF(AND(C379&gt;$F$69,'Instrumentos Financeiros'!C379&lt;'Instrumentos Financeiros'!$F$69+'Instrumentos Financeiros'!$F$11+1),PMT(((1+'Instrumentos Financeiros'!$I$43)^(1/12)-1),$F$11,-$I$69),0)</f>
        <v>0</v>
      </c>
      <c r="AS379" s="1312">
        <f t="shared" si="232"/>
        <v>0</v>
      </c>
      <c r="AT379" s="1312">
        <f>AU378*((1+'Instrumentos Financeiros'!$I$43)^(1/12)-1)</f>
        <v>0</v>
      </c>
      <c r="AU379" s="1312">
        <f t="shared" si="250"/>
        <v>0</v>
      </c>
      <c r="AV379" s="1312">
        <f>IF(AND(C379&gt;$F$70,'Instrumentos Financeiros'!C379&lt;'Instrumentos Financeiros'!$F$70+'Instrumentos Financeiros'!$F$11+1),PMT(((1+'Instrumentos Financeiros'!$J$43)^(1/12)-1),$F$11,-$I$70),0)</f>
        <v>0</v>
      </c>
      <c r="AW379" s="1312">
        <f t="shared" si="233"/>
        <v>0</v>
      </c>
      <c r="AX379" s="1312">
        <f>AY378*((1+'Instrumentos Financeiros'!$J$43)^(1/12)-1)</f>
        <v>0</v>
      </c>
      <c r="AY379" s="1312">
        <f t="shared" si="251"/>
        <v>0</v>
      </c>
      <c r="AZ379" s="1312">
        <f>IF(AND(C379&gt;$F$71,'Instrumentos Financeiros'!C379&lt;'Instrumentos Financeiros'!$F$71+'Instrumentos Financeiros'!$F$11+1),PMT(((1+'Instrumentos Financeiros'!$J$43)^(1/12)-1),$F$11,-$I$71),0)</f>
        <v>0</v>
      </c>
      <c r="BA379" s="1312">
        <f t="shared" si="234"/>
        <v>0</v>
      </c>
      <c r="BB379" s="1312">
        <f>BC378*((1+'Instrumentos Financeiros'!$J$43)^(1/12)-1)</f>
        <v>0</v>
      </c>
      <c r="BC379" s="1312">
        <f t="shared" si="252"/>
        <v>0</v>
      </c>
      <c r="BD379" s="1312">
        <f>IF(AND(C379&gt;$F$72,'Instrumentos Financeiros'!C379&lt;'Instrumentos Financeiros'!$F$72+'Instrumentos Financeiros'!$F$11+1),PMT(((1+'Instrumentos Financeiros'!$J$43)^(1/12)-1),$F$11,-'Instrumentos Financeiros'!$G$7*$G$72),0)</f>
        <v>0</v>
      </c>
      <c r="BE379" s="1312">
        <f t="shared" si="235"/>
        <v>0</v>
      </c>
      <c r="BF379" s="1312">
        <f>BG378*((1+'Instrumentos Financeiros'!$J$43)^(1/12)-1)</f>
        <v>0</v>
      </c>
      <c r="BG379" s="1312">
        <f t="shared" si="253"/>
        <v>0</v>
      </c>
      <c r="BH379" s="1312">
        <f>IF(AND(C379&gt;$F$73,'Instrumentos Financeiros'!C379&lt;'Instrumentos Financeiros'!$F$73+'Instrumentos Financeiros'!$F$11+1),PMT(((1+'Instrumentos Financeiros'!$J$43)^(1/12)-1),$F$11,-$I$73),0)</f>
        <v>0</v>
      </c>
      <c r="BI379" s="1312">
        <f t="shared" si="236"/>
        <v>0</v>
      </c>
      <c r="BJ379" s="1312">
        <f>BK378*((1+'Instrumentos Financeiros'!$J$43)^(1/12)-1)</f>
        <v>0</v>
      </c>
      <c r="BK379" s="1312">
        <f t="shared" si="254"/>
        <v>0</v>
      </c>
      <c r="BL379" s="1312">
        <f>IF(AND(C379&gt;$F$77,'Instrumentos Financeiros'!C379&lt;'Instrumentos Financeiros'!$F$77+'Instrumentos Financeiros'!$F$12+1),PMT(((1+'Instrumentos Financeiros'!$K$43)^(1/12)-1),$F$12,-$I$77),0)</f>
        <v>0</v>
      </c>
      <c r="BM379" s="1312">
        <f t="shared" si="255"/>
        <v>6.7969364369042877E-14</v>
      </c>
      <c r="BN379" s="1312">
        <f>BO378*((1+'Instrumentos Financeiros'!$K$43)^(1/12)-1)</f>
        <v>-6.7969364369042877E-14</v>
      </c>
      <c r="BO379" s="1312">
        <f t="shared" si="256"/>
        <v>-1.5787024545533503E-11</v>
      </c>
      <c r="BP379" s="1312">
        <f>IF(AND(C379&gt;$F$78,'Instrumentos Financeiros'!C379&lt;'Instrumentos Financeiros'!$F$78+'Instrumentos Financeiros'!$F$12+1),PMT(((1+'Instrumentos Financeiros'!$L$43)^(1/12)-1),$F$12,-$I$78),0)</f>
        <v>0</v>
      </c>
      <c r="BQ379" s="1312">
        <f t="shared" si="257"/>
        <v>6.7095233943306648E-14</v>
      </c>
      <c r="BR379" s="1312">
        <f>BS378*((1+'Instrumentos Financeiros'!$L$43)^(1/12)-1)</f>
        <v>-6.7095233943306648E-14</v>
      </c>
      <c r="BS379" s="1312">
        <f t="shared" si="258"/>
        <v>-1.5583993097245005E-11</v>
      </c>
      <c r="BT379" s="1312">
        <f>IF(AND(C379&gt;$F$79,'Instrumentos Financeiros'!C379&lt;'Instrumentos Financeiros'!$F$79+'Instrumentos Financeiros'!$F$12+1),PMT(((1+'Instrumentos Financeiros'!$L$43)^(1/12)-1),$F$12,-$I$79),0)</f>
        <v>0</v>
      </c>
      <c r="BU379" s="1312">
        <f t="shared" si="259"/>
        <v>6.6232345405857752E-14</v>
      </c>
      <c r="BV379" s="1312">
        <f>BW378*((1+'Instrumentos Financeiros'!$L$43)^(1/12)-1)</f>
        <v>-6.6232345405857752E-14</v>
      </c>
      <c r="BW379" s="1312">
        <f t="shared" si="260"/>
        <v>-1.538357276600869E-11</v>
      </c>
      <c r="BX379" s="1312">
        <f>IF(AND(C379&gt;$F$80,'Instrumentos Financeiros'!C379&lt;'Instrumentos Financeiros'!$F$80+'Instrumentos Financeiros'!$F$12+1),PMT(((1+'Instrumentos Financeiros'!$L$43)^(1/12)-1),$F$12,-$I$80),0)</f>
        <v>0</v>
      </c>
      <c r="BY379" s="1312">
        <f t="shared" si="261"/>
        <v>6.5380554178669229E-14</v>
      </c>
      <c r="BZ379" s="1312">
        <f>CA378*((1+'Instrumentos Financeiros'!$L$43)^(1/12)-1)</f>
        <v>-6.5380554178669229E-14</v>
      </c>
      <c r="CA379" s="1312">
        <f t="shared" si="262"/>
        <v>-1.51857299711536E-11</v>
      </c>
      <c r="CB379" s="1312">
        <f>IF(AND(C379&gt;$F$83,'Instrumentos Financeiros'!C379&lt;'Instrumentos Financeiros'!$F$83+'Instrumentos Financeiros'!$F$13+1),PMT(((1+'Instrumentos Financeiros'!$P$43)^(1/12)-1),$F$13,-$I$83),0)</f>
        <v>30503.390100238979</v>
      </c>
      <c r="CC379" s="1312">
        <f t="shared" si="263"/>
        <v>23243.195284607515</v>
      </c>
      <c r="CD379" s="1312">
        <f>CE378*((1+'Instrumentos Financeiros'!$P$43)^(1/12)-1)</f>
        <v>7260.1948156314656</v>
      </c>
      <c r="CE379" s="1312">
        <f t="shared" si="264"/>
        <v>1655798.5905599198</v>
      </c>
      <c r="CF379" s="1312">
        <f>IF(AND(C379&gt;$F$84,'Instrumentos Financeiros'!C379&lt;'Instrumentos Financeiros'!$F$84+'Instrumentos Financeiros'!$F$13+1),PMT(((1+'Instrumentos Financeiros'!$Q$43)^(1/12)-1),$F$13,-$I$84),0)</f>
        <v>30503.390100238979</v>
      </c>
      <c r="CG379" s="1312">
        <f t="shared" si="265"/>
        <v>22944.272609984739</v>
      </c>
      <c r="CH379" s="1312">
        <f>CI378*((1+'Instrumentos Financeiros'!$Q$43)^(1/12)-1)</f>
        <v>7559.1174902542407</v>
      </c>
      <c r="CI379" s="1312">
        <f t="shared" si="266"/>
        <v>1725228.393902845</v>
      </c>
      <c r="CJ379" s="1312">
        <f>IF(AND(C379&gt;$F$85,'Instrumentos Financeiros'!C379&lt;'Instrumentos Financeiros'!$F$85+'Instrumentos Financeiros'!$F$13+1),PMT(((1+'Instrumentos Financeiros'!$Q$43)^(1/12)-1),$F$13,-$I$85),0)</f>
        <v>30503.390100238979</v>
      </c>
      <c r="CK379" s="1312">
        <f t="shared" si="267"/>
        <v>22649.194276224291</v>
      </c>
      <c r="CL379" s="1312">
        <f>CM378*((1+'Instrumentos Financeiros'!$Q$43)^(1/12)-1)</f>
        <v>7854.1958240146887</v>
      </c>
      <c r="CM379" s="1312">
        <f t="shared" si="268"/>
        <v>1793765.2846208201</v>
      </c>
      <c r="CN379" s="1312">
        <f>IF(AND(C379&gt;$F$86,'Instrumentos Financeiros'!C379&lt;'Instrumentos Financeiros'!$F$86+'Instrumentos Financeiros'!$F$13+1),PMT(((1+'Instrumentos Financeiros'!$Q$43)^(1/12)-1),$F$13,-$I$86),0)</f>
        <v>30503.390100238979</v>
      </c>
      <c r="CO379" s="1312">
        <f t="shared" si="269"/>
        <v>22357.910842591424</v>
      </c>
      <c r="CP379" s="1312">
        <f>CQ378*((1+'Instrumentos Financeiros'!$Q$43)^(1/12)-1)</f>
        <v>8145.4792576475575</v>
      </c>
      <c r="CQ379" s="1312">
        <f t="shared" si="270"/>
        <v>1861420.7461534836</v>
      </c>
      <c r="CR379" s="1312">
        <f t="shared" si="239"/>
        <v>122013.56040095592</v>
      </c>
      <c r="CS379" s="1312">
        <f t="shared" si="239"/>
        <v>91194.573013408051</v>
      </c>
      <c r="CT379" s="1312">
        <f t="shared" si="239"/>
        <v>30818.987387547866</v>
      </c>
      <c r="CU379" s="1312">
        <f t="shared" si="239"/>
        <v>7036213.0152370483</v>
      </c>
    </row>
    <row r="380" spans="3:99" x14ac:dyDescent="0.35">
      <c r="C380" s="1315">
        <f t="shared" si="240"/>
        <v>287</v>
      </c>
      <c r="D380" s="1312">
        <f>IF(AND(C380&gt;$F$59,'Instrumentos Financeiros'!C380&lt;'Instrumentos Financeiros'!$F$59+'Instrumentos Financeiros'!$F$11+1),PMT(((1+'Instrumentos Financeiros'!$G$43)^(1/12)-1),$F$11,-$I$59),0)</f>
        <v>0</v>
      </c>
      <c r="E380" s="1312">
        <f t="shared" si="237"/>
        <v>-1.027668602032344E-11</v>
      </c>
      <c r="F380" s="1312">
        <f>G379*((1+'Instrumentos Financeiros'!$G$43)^(1/12)-1)</f>
        <v>1.027668602032344E-11</v>
      </c>
      <c r="G380" s="1312">
        <f t="shared" si="271"/>
        <v>2.5279611826013485E-9</v>
      </c>
      <c r="H380" s="1312">
        <f>IF(AND(C380&gt;$F$60,'Instrumentos Financeiros'!C380&lt;'Instrumentos Financeiros'!$F$60+'Instrumentos Financeiros'!$F$11+1),PMT(((1+'Instrumentos Financeiros'!$G$43)^(1/12)-1),$F$11,-$I$60),0)</f>
        <v>0</v>
      </c>
      <c r="I380" s="1312">
        <f t="shared" si="223"/>
        <v>0</v>
      </c>
      <c r="J380" s="1312">
        <f>K379*((1+'Instrumentos Financeiros'!$G$43)^(1/12)-1)</f>
        <v>0</v>
      </c>
      <c r="K380" s="1312">
        <f t="shared" si="241"/>
        <v>0</v>
      </c>
      <c r="L380" s="1312">
        <f>IF(AND(C380&gt;$F$61,'Instrumentos Financeiros'!C380&lt;'Instrumentos Financeiros'!$F$61+'Instrumentos Financeiros'!$F$11+1),PMT(((1+'Instrumentos Financeiros'!$G$43)^(1/12)-1),$F$11,-$I$61),0)</f>
        <v>0</v>
      </c>
      <c r="M380" s="1312">
        <f t="shared" si="224"/>
        <v>0</v>
      </c>
      <c r="N380" s="1312">
        <f>O379*((1+'Instrumentos Financeiros'!$G$43)^(1/12)-1)</f>
        <v>0</v>
      </c>
      <c r="O380" s="1312">
        <f t="shared" si="242"/>
        <v>0</v>
      </c>
      <c r="P380" s="1312">
        <f>IF(AND(C380&gt;$F$62,'Instrumentos Financeiros'!C380&lt;'Instrumentos Financeiros'!$F$62+'Instrumentos Financeiros'!$F$11+1),PMT(((1+'Instrumentos Financeiros'!$H$43)^(1/12)-1),$F$11,-$I$62),0)</f>
        <v>0</v>
      </c>
      <c r="Q380" s="1312">
        <f t="shared" si="225"/>
        <v>0</v>
      </c>
      <c r="R380" s="1312">
        <f>S379*((1+'Instrumentos Financeiros'!$H$43)^(1/12)-1)</f>
        <v>0</v>
      </c>
      <c r="S380" s="1312">
        <f t="shared" si="243"/>
        <v>0</v>
      </c>
      <c r="T380" s="1312">
        <f>IF(AND(C380&gt;$F$63,'Instrumentos Financeiros'!C380&lt;'Instrumentos Financeiros'!$F$63+'Instrumentos Financeiros'!$F$11+1),PMT(((1+'Instrumentos Financeiros'!$H$43)^(1/12)-1),$F$11,-$I$63),0)</f>
        <v>0</v>
      </c>
      <c r="U380" s="1312">
        <f t="shared" si="226"/>
        <v>0</v>
      </c>
      <c r="V380" s="1312">
        <f>W379*((1+'Instrumentos Financeiros'!$H$43)^(1/12)-1)</f>
        <v>0</v>
      </c>
      <c r="W380" s="1312">
        <f t="shared" si="244"/>
        <v>0</v>
      </c>
      <c r="X380" s="1312">
        <f>IF(AND(C380&gt;$F$64,'Instrumentos Financeiros'!C380&lt;'Instrumentos Financeiros'!$F$64+'Instrumentos Financeiros'!$F$11+1),PMT(((1+'Instrumentos Financeiros'!$H$43)^(1/12)-1),$F$11,-$I$64),0)</f>
        <v>0</v>
      </c>
      <c r="Y380" s="1312">
        <f t="shared" si="227"/>
        <v>0</v>
      </c>
      <c r="Z380" s="1312">
        <f>AA379*((1+'Instrumentos Financeiros'!$H$43)^(1/12)-1)</f>
        <v>0</v>
      </c>
      <c r="AA380" s="1312">
        <f t="shared" si="245"/>
        <v>0</v>
      </c>
      <c r="AB380" s="1312">
        <f>IF(AND(C380&gt;$F$65,'Instrumentos Financeiros'!C380&lt;'Instrumentos Financeiros'!$F$65+'Instrumentos Financeiros'!$F$11+1),PMT(((1+'Instrumentos Financeiros'!$H$43)^(1/12)-1),$F$11,-$I$65),0)</f>
        <v>0</v>
      </c>
      <c r="AC380" s="1312">
        <f t="shared" si="228"/>
        <v>2.5115287621246105E-11</v>
      </c>
      <c r="AD380" s="1312">
        <f>AE379*((1+'Instrumentos Financeiros'!$H$43)^(1/12)-1)</f>
        <v>-2.5115287621246105E-11</v>
      </c>
      <c r="AE380" s="1312">
        <f t="shared" si="246"/>
        <v>-5.8334466685896023E-9</v>
      </c>
      <c r="AF380" s="1312">
        <f>IF(AND(C380&gt;$F$66,'Instrumentos Financeiros'!C380&lt;'Instrumentos Financeiros'!$F$66+'Instrumentos Financeiros'!$F$11+1),PMT(((1+'Instrumentos Financeiros'!$I$43)^(1/12)-1),$F$11,-$I$66),0)</f>
        <v>0</v>
      </c>
      <c r="AG380" s="1312">
        <f t="shared" si="229"/>
        <v>2.4792288616258402E-11</v>
      </c>
      <c r="AH380" s="1312">
        <f>AI379*((1+'Instrumentos Financeiros'!$I$43)^(1/12)-1)</f>
        <v>-2.4792288616258402E-11</v>
      </c>
      <c r="AI380" s="1312">
        <f t="shared" si="247"/>
        <v>-5.7584247338214994E-9</v>
      </c>
      <c r="AJ380" s="1312">
        <f>IF(AND(C380&gt;$F$67,'Instrumentos Financeiros'!C380&lt;'Instrumentos Financeiros'!$F$67+'Instrumentos Financeiros'!$F$11+1),PMT(((1+'Instrumentos Financeiros'!$I$43)^(1/12)-1),$F$11,-$I$67),0)</f>
        <v>0</v>
      </c>
      <c r="AK380" s="1312">
        <f t="shared" si="230"/>
        <v>2.4473443589469013E-11</v>
      </c>
      <c r="AL380" s="1312">
        <f>AM379*((1+'Instrumentos Financeiros'!$I$43)^(1/12)-1)</f>
        <v>-2.4473443589469013E-11</v>
      </c>
      <c r="AM380" s="1312">
        <f t="shared" si="248"/>
        <v>-5.6843676301414478E-9</v>
      </c>
      <c r="AN380" s="1312">
        <f>IF(AND(C380&gt;$F$68,'Instrumentos Financeiros'!C380&lt;'Instrumentos Financeiros'!$F$68+'Instrumentos Financeiros'!$F$11+1),PMT(((1+'Instrumentos Financeiros'!$I$43)^(1/12)-1),$F$11,-$I$68),0)</f>
        <v>0</v>
      </c>
      <c r="AO380" s="1312">
        <f t="shared" si="231"/>
        <v>2.4158699118004781E-11</v>
      </c>
      <c r="AP380" s="1312">
        <f>AQ379*((1+'Instrumentos Financeiros'!$I$43)^(1/12)-1)</f>
        <v>-2.4158699118004781E-11</v>
      </c>
      <c r="AQ380" s="1312">
        <f t="shared" si="249"/>
        <v>-5.6112629491913946E-9</v>
      </c>
      <c r="AR380" s="1312">
        <f>IF(AND(C380&gt;$F$69,'Instrumentos Financeiros'!C380&lt;'Instrumentos Financeiros'!$F$69+'Instrumentos Financeiros'!$F$11+1),PMT(((1+'Instrumentos Financeiros'!$I$43)^(1/12)-1),$F$11,-$I$69),0)</f>
        <v>0</v>
      </c>
      <c r="AS380" s="1312">
        <f t="shared" si="232"/>
        <v>0</v>
      </c>
      <c r="AT380" s="1312">
        <f>AU379*((1+'Instrumentos Financeiros'!$I$43)^(1/12)-1)</f>
        <v>0</v>
      </c>
      <c r="AU380" s="1312">
        <f t="shared" si="250"/>
        <v>0</v>
      </c>
      <c r="AV380" s="1312">
        <f>IF(AND(C380&gt;$F$70,'Instrumentos Financeiros'!C380&lt;'Instrumentos Financeiros'!$F$70+'Instrumentos Financeiros'!$F$11+1),PMT(((1+'Instrumentos Financeiros'!$J$43)^(1/12)-1),$F$11,-$I$70),0)</f>
        <v>0</v>
      </c>
      <c r="AW380" s="1312">
        <f t="shared" si="233"/>
        <v>0</v>
      </c>
      <c r="AX380" s="1312">
        <f>AY379*((1+'Instrumentos Financeiros'!$J$43)^(1/12)-1)</f>
        <v>0</v>
      </c>
      <c r="AY380" s="1312">
        <f t="shared" si="251"/>
        <v>0</v>
      </c>
      <c r="AZ380" s="1312">
        <f>IF(AND(C380&gt;$F$71,'Instrumentos Financeiros'!C380&lt;'Instrumentos Financeiros'!$F$71+'Instrumentos Financeiros'!$F$11+1),PMT(((1+'Instrumentos Financeiros'!$J$43)^(1/12)-1),$F$11,-$I$71),0)</f>
        <v>0</v>
      </c>
      <c r="BA380" s="1312">
        <f t="shared" si="234"/>
        <v>0</v>
      </c>
      <c r="BB380" s="1312">
        <f>BC379*((1+'Instrumentos Financeiros'!$J$43)^(1/12)-1)</f>
        <v>0</v>
      </c>
      <c r="BC380" s="1312">
        <f t="shared" si="252"/>
        <v>0</v>
      </c>
      <c r="BD380" s="1312">
        <f>IF(AND(C380&gt;$F$72,'Instrumentos Financeiros'!C380&lt;'Instrumentos Financeiros'!$F$72+'Instrumentos Financeiros'!$F$11+1),PMT(((1+'Instrumentos Financeiros'!$J$43)^(1/12)-1),$F$11,-'Instrumentos Financeiros'!$G$7*$G$72),0)</f>
        <v>0</v>
      </c>
      <c r="BE380" s="1312">
        <f t="shared" si="235"/>
        <v>0</v>
      </c>
      <c r="BF380" s="1312">
        <f>BG379*((1+'Instrumentos Financeiros'!$J$43)^(1/12)-1)</f>
        <v>0</v>
      </c>
      <c r="BG380" s="1312">
        <f t="shared" si="253"/>
        <v>0</v>
      </c>
      <c r="BH380" s="1312">
        <f>IF(AND(C380&gt;$F$73,'Instrumentos Financeiros'!C380&lt;'Instrumentos Financeiros'!$F$73+'Instrumentos Financeiros'!$F$11+1),PMT(((1+'Instrumentos Financeiros'!$J$43)^(1/12)-1),$F$11,-$I$73),0)</f>
        <v>0</v>
      </c>
      <c r="BI380" s="1312">
        <f t="shared" si="236"/>
        <v>0</v>
      </c>
      <c r="BJ380" s="1312">
        <f>BK379*((1+'Instrumentos Financeiros'!$J$43)^(1/12)-1)</f>
        <v>0</v>
      </c>
      <c r="BK380" s="1312">
        <f t="shared" si="254"/>
        <v>0</v>
      </c>
      <c r="BL380" s="1312">
        <f>IF(AND(C380&gt;$F$77,'Instrumentos Financeiros'!C380&lt;'Instrumentos Financeiros'!$F$77+'Instrumentos Financeiros'!$F$12+1),PMT(((1+'Instrumentos Financeiros'!$K$43)^(1/12)-1),$F$12,-$I$77),0)</f>
        <v>0</v>
      </c>
      <c r="BM380" s="1312">
        <f t="shared" si="255"/>
        <v>6.826326463464329E-14</v>
      </c>
      <c r="BN380" s="1312">
        <f>BO379*((1+'Instrumentos Financeiros'!$K$43)^(1/12)-1)</f>
        <v>-6.826326463464329E-14</v>
      </c>
      <c r="BO380" s="1312">
        <f t="shared" si="256"/>
        <v>-1.5855287810168148E-11</v>
      </c>
      <c r="BP380" s="1312">
        <f>IF(AND(C380&gt;$F$78,'Instrumentos Financeiros'!C380&lt;'Instrumentos Financeiros'!$F$78+'Instrumentos Financeiros'!$F$12+1),PMT(((1+'Instrumentos Financeiros'!$L$43)^(1/12)-1),$F$12,-$I$78),0)</f>
        <v>0</v>
      </c>
      <c r="BQ380" s="1312">
        <f t="shared" si="257"/>
        <v>6.7385354459505577E-14</v>
      </c>
      <c r="BR380" s="1312">
        <f>BS379*((1+'Instrumentos Financeiros'!$L$43)^(1/12)-1)</f>
        <v>-6.7385354459505577E-14</v>
      </c>
      <c r="BS380" s="1312">
        <f t="shared" si="258"/>
        <v>-1.565137845170451E-11</v>
      </c>
      <c r="BT380" s="1312">
        <f>IF(AND(C380&gt;$F$79,'Instrumentos Financeiros'!C380&lt;'Instrumentos Financeiros'!$F$79+'Instrumentos Financeiros'!$F$12+1),PMT(((1+'Instrumentos Financeiros'!$L$43)^(1/12)-1),$F$12,-$I$79),0)</f>
        <v>0</v>
      </c>
      <c r="BU380" s="1312">
        <f t="shared" si="259"/>
        <v>6.6518734782701559E-14</v>
      </c>
      <c r="BV380" s="1312">
        <f>BW379*((1+'Instrumentos Financeiros'!$L$43)^(1/12)-1)</f>
        <v>-6.6518734782701559E-14</v>
      </c>
      <c r="BW380" s="1312">
        <f t="shared" si="260"/>
        <v>-1.5450091500791392E-11</v>
      </c>
      <c r="BX380" s="1312">
        <f>IF(AND(C380&gt;$F$80,'Instrumentos Financeiros'!C380&lt;'Instrumentos Financeiros'!$F$80+'Instrumentos Financeiros'!$F$12+1),PMT(((1+'Instrumentos Financeiros'!$L$43)^(1/12)-1),$F$12,-$I$80),0)</f>
        <v>0</v>
      </c>
      <c r="BY380" s="1312">
        <f t="shared" si="261"/>
        <v>6.5663260401047318E-14</v>
      </c>
      <c r="BZ380" s="1312">
        <f>CA379*((1+'Instrumentos Financeiros'!$L$43)^(1/12)-1)</f>
        <v>-6.5663260401047318E-14</v>
      </c>
      <c r="CA380" s="1312">
        <f t="shared" si="262"/>
        <v>-1.5251393231554648E-11</v>
      </c>
      <c r="CB380" s="1312">
        <f>IF(AND(C380&gt;$F$83,'Instrumentos Financeiros'!C380&lt;'Instrumentos Financeiros'!$F$83+'Instrumentos Financeiros'!$F$13+1),PMT(((1+'Instrumentos Financeiros'!$P$43)^(1/12)-1),$F$13,-$I$83),0)</f>
        <v>30503.390100238979</v>
      </c>
      <c r="CC380" s="1312">
        <f t="shared" si="263"/>
        <v>23343.699112044505</v>
      </c>
      <c r="CD380" s="1312">
        <f>CE379*((1+'Instrumentos Financeiros'!$P$43)^(1/12)-1)</f>
        <v>7159.6909881944739</v>
      </c>
      <c r="CE380" s="1312">
        <f t="shared" si="264"/>
        <v>1632454.8914478754</v>
      </c>
      <c r="CF380" s="1312">
        <f>IF(AND(C380&gt;$F$84,'Instrumentos Financeiros'!C380&lt;'Instrumentos Financeiros'!$F$84+'Instrumentos Financeiros'!$F$13+1),PMT(((1+'Instrumentos Financeiros'!$Q$43)^(1/12)-1),$F$13,-$I$84),0)</f>
        <v>30503.390100238979</v>
      </c>
      <c r="CG380" s="1312">
        <f t="shared" si="265"/>
        <v>23043.483892548298</v>
      </c>
      <c r="CH380" s="1312">
        <f>CI379*((1+'Instrumentos Financeiros'!$Q$43)^(1/12)-1)</f>
        <v>7459.9062076906803</v>
      </c>
      <c r="CI380" s="1312">
        <f t="shared" si="266"/>
        <v>1702184.9100102966</v>
      </c>
      <c r="CJ380" s="1312">
        <f>IF(AND(C380&gt;$F$85,'Instrumentos Financeiros'!C380&lt;'Instrumentos Financeiros'!$F$85+'Instrumentos Financeiros'!$F$13+1),PMT(((1+'Instrumentos Financeiros'!$Q$43)^(1/12)-1),$F$13,-$I$85),0)</f>
        <v>30503.390100238979</v>
      </c>
      <c r="CK380" s="1312">
        <f t="shared" si="267"/>
        <v>22747.129636885827</v>
      </c>
      <c r="CL380" s="1312">
        <f>CM379*((1+'Instrumentos Financeiros'!$Q$43)^(1/12)-1)</f>
        <v>7756.2604633531528</v>
      </c>
      <c r="CM380" s="1312">
        <f t="shared" si="268"/>
        <v>1771018.1549839342</v>
      </c>
      <c r="CN380" s="1312">
        <f>IF(AND(C380&gt;$F$86,'Instrumentos Financeiros'!C380&lt;'Instrumentos Financeiros'!$F$86+'Instrumentos Financeiros'!$F$13+1),PMT(((1+'Instrumentos Financeiros'!$Q$43)^(1/12)-1),$F$13,-$I$86),0)</f>
        <v>30503.390100238979</v>
      </c>
      <c r="CO380" s="1312">
        <f t="shared" si="269"/>
        <v>22454.586690540069</v>
      </c>
      <c r="CP380" s="1312">
        <f>CQ379*((1+'Instrumentos Financeiros'!$Q$43)^(1/12)-1)</f>
        <v>8048.8034096989086</v>
      </c>
      <c r="CQ380" s="1312">
        <f t="shared" si="270"/>
        <v>1838966.1594629437</v>
      </c>
      <c r="CR380" s="1312">
        <f t="shared" si="239"/>
        <v>122013.56040095592</v>
      </c>
      <c r="CS380" s="1312">
        <f t="shared" si="239"/>
        <v>91588.899332018802</v>
      </c>
      <c r="CT380" s="1312">
        <f t="shared" si="239"/>
        <v>30424.66106893713</v>
      </c>
      <c r="CU380" s="1312">
        <f t="shared" si="239"/>
        <v>6944624.1159050297</v>
      </c>
    </row>
    <row r="381" spans="3:99" x14ac:dyDescent="0.35">
      <c r="C381" s="1316">
        <f t="shared" si="240"/>
        <v>288</v>
      </c>
      <c r="D381" s="1313">
        <f>IF(AND(C381&gt;$F$59,'Instrumentos Financeiros'!C381&lt;'Instrumentos Financeiros'!$F$59+'Instrumentos Financeiros'!$F$11+1),PMT(((1+'Instrumentos Financeiros'!$G$43)^(1/12)-1),$F$11,-$I$59),0)</f>
        <v>0</v>
      </c>
      <c r="E381" s="1313">
        <f t="shared" si="237"/>
        <v>-1.0318633403207882E-11</v>
      </c>
      <c r="F381" s="1313">
        <f>G380*((1+'Instrumentos Financeiros'!$G$43)^(1/12)-1)</f>
        <v>1.0318633403207882E-11</v>
      </c>
      <c r="G381" s="1313">
        <f t="shared" si="271"/>
        <v>2.5382798160045564E-9</v>
      </c>
      <c r="H381" s="1313">
        <f>IF(AND(C381&gt;$F$60,'Instrumentos Financeiros'!C381&lt;'Instrumentos Financeiros'!$F$60+'Instrumentos Financeiros'!$F$11+1),PMT(((1+'Instrumentos Financeiros'!$G$43)^(1/12)-1),$F$11,-$I$60),0)</f>
        <v>0</v>
      </c>
      <c r="I381" s="1313">
        <f t="shared" si="223"/>
        <v>0</v>
      </c>
      <c r="J381" s="1313">
        <f>K380*((1+'Instrumentos Financeiros'!$G$43)^(1/12)-1)</f>
        <v>0</v>
      </c>
      <c r="K381" s="1313">
        <f t="shared" si="241"/>
        <v>0</v>
      </c>
      <c r="L381" s="1313">
        <f>IF(AND(C381&gt;$F$61,'Instrumentos Financeiros'!C381&lt;'Instrumentos Financeiros'!$F$61+'Instrumentos Financeiros'!$F$11+1),PMT(((1+'Instrumentos Financeiros'!$G$43)^(1/12)-1),$F$11,-$I$61),0)</f>
        <v>0</v>
      </c>
      <c r="M381" s="1313">
        <f t="shared" si="224"/>
        <v>0</v>
      </c>
      <c r="N381" s="1313">
        <f>O380*((1+'Instrumentos Financeiros'!$G$43)^(1/12)-1)</f>
        <v>0</v>
      </c>
      <c r="O381" s="1313">
        <f t="shared" si="242"/>
        <v>0</v>
      </c>
      <c r="P381" s="1313">
        <f>IF(AND(C381&gt;$F$62,'Instrumentos Financeiros'!C381&lt;'Instrumentos Financeiros'!$F$62+'Instrumentos Financeiros'!$F$11+1),PMT(((1+'Instrumentos Financeiros'!$H$43)^(1/12)-1),$F$11,-$I$62),0)</f>
        <v>0</v>
      </c>
      <c r="Q381" s="1313">
        <f t="shared" si="225"/>
        <v>0</v>
      </c>
      <c r="R381" s="1313">
        <f>S380*((1+'Instrumentos Financeiros'!$H$43)^(1/12)-1)</f>
        <v>0</v>
      </c>
      <c r="S381" s="1313">
        <f t="shared" si="243"/>
        <v>0</v>
      </c>
      <c r="T381" s="1313">
        <f>IF(AND(C381&gt;$F$63,'Instrumentos Financeiros'!C381&lt;'Instrumentos Financeiros'!$F$63+'Instrumentos Financeiros'!$F$11+1),PMT(((1+'Instrumentos Financeiros'!$H$43)^(1/12)-1),$F$11,-$I$63),0)</f>
        <v>0</v>
      </c>
      <c r="U381" s="1313">
        <f t="shared" si="226"/>
        <v>0</v>
      </c>
      <c r="V381" s="1313">
        <f>W380*((1+'Instrumentos Financeiros'!$H$43)^(1/12)-1)</f>
        <v>0</v>
      </c>
      <c r="W381" s="1313">
        <f t="shared" si="244"/>
        <v>0</v>
      </c>
      <c r="X381" s="1313">
        <f>IF(AND(C381&gt;$F$64,'Instrumentos Financeiros'!C381&lt;'Instrumentos Financeiros'!$F$64+'Instrumentos Financeiros'!$F$11+1),PMT(((1+'Instrumentos Financeiros'!$H$43)^(1/12)-1),$F$11,-$I$64),0)</f>
        <v>0</v>
      </c>
      <c r="Y381" s="1313">
        <f t="shared" si="227"/>
        <v>0</v>
      </c>
      <c r="Z381" s="1313">
        <f>AA380*((1+'Instrumentos Financeiros'!$H$43)^(1/12)-1)</f>
        <v>0</v>
      </c>
      <c r="AA381" s="1313">
        <f t="shared" si="245"/>
        <v>0</v>
      </c>
      <c r="AB381" s="1313">
        <f>IF(AND(C381&gt;$F$65,'Instrumentos Financeiros'!C381&lt;'Instrumentos Financeiros'!$F$65+'Instrumentos Financeiros'!$F$11+1),PMT(((1+'Instrumentos Financeiros'!$H$43)^(1/12)-1),$F$11,-$I$65),0)</f>
        <v>0</v>
      </c>
      <c r="AC381" s="1313">
        <f t="shared" si="228"/>
        <v>2.5223886396165306E-11</v>
      </c>
      <c r="AD381" s="1313">
        <f>AE380*((1+'Instrumentos Financeiros'!$H$43)^(1/12)-1)</f>
        <v>-2.5223886396165306E-11</v>
      </c>
      <c r="AE381" s="1313">
        <f t="shared" si="246"/>
        <v>-5.8586705549857672E-9</v>
      </c>
      <c r="AF381" s="1313">
        <f>IF(AND(C381&gt;$F$66,'Instrumentos Financeiros'!C381&lt;'Instrumentos Financeiros'!$F$66+'Instrumentos Financeiros'!$F$11+1),PMT(((1+'Instrumentos Financeiros'!$I$43)^(1/12)-1),$F$11,-$I$66),0)</f>
        <v>0</v>
      </c>
      <c r="AG381" s="1313">
        <f t="shared" si="229"/>
        <v>2.4899490739991652E-11</v>
      </c>
      <c r="AH381" s="1313">
        <f>AI380*((1+'Instrumentos Financeiros'!$I$43)^(1/12)-1)</f>
        <v>-2.4899490739991652E-11</v>
      </c>
      <c r="AI381" s="1313">
        <f t="shared" si="247"/>
        <v>-5.7833242245614908E-9</v>
      </c>
      <c r="AJ381" s="1313">
        <f>IF(AND(C381&gt;$F$67,'Instrumentos Financeiros'!C381&lt;'Instrumentos Financeiros'!$F$67+'Instrumentos Financeiros'!$F$11+1),PMT(((1+'Instrumentos Financeiros'!$I$43)^(1/12)-1),$F$11,-$I$67),0)</f>
        <v>0</v>
      </c>
      <c r="AK381" s="1313">
        <f t="shared" si="230"/>
        <v>2.4579267023862898E-11</v>
      </c>
      <c r="AL381" s="1313">
        <f>AM380*((1+'Instrumentos Financeiros'!$I$43)^(1/12)-1)</f>
        <v>-2.4579267023862898E-11</v>
      </c>
      <c r="AM381" s="1313">
        <f t="shared" si="248"/>
        <v>-5.7089468971653104E-9</v>
      </c>
      <c r="AN381" s="1313">
        <f>IF(AND(C381&gt;$F$68,'Instrumentos Financeiros'!C381&lt;'Instrumentos Financeiros'!$F$68+'Instrumentos Financeiros'!$F$11+1),PMT(((1+'Instrumentos Financeiros'!$I$43)^(1/12)-1),$F$11,-$I$68),0)</f>
        <v>0</v>
      </c>
      <c r="AO381" s="1313">
        <f t="shared" si="231"/>
        <v>2.4263161593904818E-11</v>
      </c>
      <c r="AP381" s="1313">
        <f>AQ380*((1+'Instrumentos Financeiros'!$I$43)^(1/12)-1)</f>
        <v>-2.4263161593904818E-11</v>
      </c>
      <c r="AQ381" s="1313">
        <f t="shared" si="249"/>
        <v>-5.6355261107852998E-9</v>
      </c>
      <c r="AR381" s="1313">
        <f>IF(AND(C381&gt;$F$69,'Instrumentos Financeiros'!C381&lt;'Instrumentos Financeiros'!$F$69+'Instrumentos Financeiros'!$F$11+1),PMT(((1+'Instrumentos Financeiros'!$I$43)^(1/12)-1),$F$11,-$I$69),0)</f>
        <v>0</v>
      </c>
      <c r="AS381" s="1313">
        <f t="shared" si="232"/>
        <v>0</v>
      </c>
      <c r="AT381" s="1313">
        <f>AU380*((1+'Instrumentos Financeiros'!$I$43)^(1/12)-1)</f>
        <v>0</v>
      </c>
      <c r="AU381" s="1313">
        <f t="shared" si="250"/>
        <v>0</v>
      </c>
      <c r="AV381" s="1313">
        <f>IF(AND(C381&gt;$F$70,'Instrumentos Financeiros'!C381&lt;'Instrumentos Financeiros'!$F$70+'Instrumentos Financeiros'!$F$11+1),PMT(((1+'Instrumentos Financeiros'!$J$43)^(1/12)-1),$F$11,-$I$70),0)</f>
        <v>0</v>
      </c>
      <c r="AW381" s="1313">
        <f t="shared" si="233"/>
        <v>0</v>
      </c>
      <c r="AX381" s="1313">
        <f>AY380*((1+'Instrumentos Financeiros'!$J$43)^(1/12)-1)</f>
        <v>0</v>
      </c>
      <c r="AY381" s="1313">
        <f t="shared" si="251"/>
        <v>0</v>
      </c>
      <c r="AZ381" s="1313">
        <f>IF(AND(C381&gt;$F$71,'Instrumentos Financeiros'!C381&lt;'Instrumentos Financeiros'!$F$71+'Instrumentos Financeiros'!$F$11+1),PMT(((1+'Instrumentos Financeiros'!$J$43)^(1/12)-1),$F$11,-$I$71),0)</f>
        <v>0</v>
      </c>
      <c r="BA381" s="1313">
        <f t="shared" si="234"/>
        <v>0</v>
      </c>
      <c r="BB381" s="1313">
        <f>BC380*((1+'Instrumentos Financeiros'!$J$43)^(1/12)-1)</f>
        <v>0</v>
      </c>
      <c r="BC381" s="1313">
        <f t="shared" si="252"/>
        <v>0</v>
      </c>
      <c r="BD381" s="1313">
        <f>IF(AND(C381&gt;$F$72,'Instrumentos Financeiros'!C381&lt;'Instrumentos Financeiros'!$F$72+'Instrumentos Financeiros'!$F$11+1),PMT(((1+'Instrumentos Financeiros'!$J$43)^(1/12)-1),$F$11,-'Instrumentos Financeiros'!$G$7*$G$72),0)</f>
        <v>0</v>
      </c>
      <c r="BE381" s="1313">
        <f t="shared" si="235"/>
        <v>0</v>
      </c>
      <c r="BF381" s="1313">
        <f>BG380*((1+'Instrumentos Financeiros'!$J$43)^(1/12)-1)</f>
        <v>0</v>
      </c>
      <c r="BG381" s="1313">
        <f t="shared" si="253"/>
        <v>0</v>
      </c>
      <c r="BH381" s="1313">
        <f>IF(AND(C381&gt;$F$73,'Instrumentos Financeiros'!C381&lt;'Instrumentos Financeiros'!$F$73+'Instrumentos Financeiros'!$F$11+1),PMT(((1+'Instrumentos Financeiros'!$J$43)^(1/12)-1),$F$11,-$I$73),0)</f>
        <v>0</v>
      </c>
      <c r="BI381" s="1313">
        <f t="shared" si="236"/>
        <v>0</v>
      </c>
      <c r="BJ381" s="1313">
        <f>BK380*((1+'Instrumentos Financeiros'!$J$43)^(1/12)-1)</f>
        <v>0</v>
      </c>
      <c r="BK381" s="1313">
        <f t="shared" si="254"/>
        <v>0</v>
      </c>
      <c r="BL381" s="1313">
        <f>IF(AND(C381&gt;$F$77,'Instrumentos Financeiros'!C381&lt;'Instrumentos Financeiros'!$F$77+'Instrumentos Financeiros'!$F$12+1),PMT(((1+'Instrumentos Financeiros'!$K$43)^(1/12)-1),$F$12,-$I$77),0)</f>
        <v>0</v>
      </c>
      <c r="BM381" s="1313">
        <f t="shared" si="255"/>
        <v>6.8558435728166286E-14</v>
      </c>
      <c r="BN381" s="1313">
        <f>BO380*((1+'Instrumentos Financeiros'!$K$43)^(1/12)-1)</f>
        <v>-6.8558435728166286E-14</v>
      </c>
      <c r="BO381" s="1313">
        <f t="shared" si="256"/>
        <v>-1.5923846245896315E-11</v>
      </c>
      <c r="BP381" s="1313">
        <f>IF(AND(C381&gt;$F$78,'Instrumentos Financeiros'!C381&lt;'Instrumentos Financeiros'!$F$78+'Instrumentos Financeiros'!$F$12+1),PMT(((1+'Instrumentos Financeiros'!$L$43)^(1/12)-1),$F$12,-$I$78),0)</f>
        <v>0</v>
      </c>
      <c r="BQ381" s="1313">
        <f t="shared" si="257"/>
        <v>6.7676729459949841E-14</v>
      </c>
      <c r="BR381" s="1313">
        <f>BS380*((1+'Instrumentos Financeiros'!$L$43)^(1/12)-1)</f>
        <v>-6.7676729459949841E-14</v>
      </c>
      <c r="BS381" s="1313">
        <f t="shared" si="258"/>
        <v>-1.571905518116446E-11</v>
      </c>
      <c r="BT381" s="1313">
        <f>IF(AND(C381&gt;$F$79,'Instrumentos Financeiros'!C381&lt;'Instrumentos Financeiros'!$F$79+'Instrumentos Financeiros'!$F$12+1),PMT(((1+'Instrumentos Financeiros'!$L$43)^(1/12)-1),$F$12,-$I$79),0)</f>
        <v>0</v>
      </c>
      <c r="BU381" s="1313">
        <f t="shared" si="259"/>
        <v>6.6806362510303839E-14</v>
      </c>
      <c r="BV381" s="1313">
        <f>BW380*((1+'Instrumentos Financeiros'!$L$43)^(1/12)-1)</f>
        <v>-6.6806362510303839E-14</v>
      </c>
      <c r="BW381" s="1313">
        <f t="shared" si="260"/>
        <v>-1.5516897863301697E-11</v>
      </c>
      <c r="BX381" s="1313">
        <f>IF(AND(C381&gt;$F$80,'Instrumentos Financeiros'!C381&lt;'Instrumentos Financeiros'!$F$80+'Instrumentos Financeiros'!$F$12+1),PMT(((1+'Instrumentos Financeiros'!$L$43)^(1/12)-1),$F$12,-$I$80),0)</f>
        <v>0</v>
      </c>
      <c r="BY381" s="1313">
        <f t="shared" si="261"/>
        <v>6.5947189048184211E-14</v>
      </c>
      <c r="BZ381" s="1313">
        <f>CA380*((1+'Instrumentos Financeiros'!$L$43)^(1/12)-1)</f>
        <v>-6.5947189048184211E-14</v>
      </c>
      <c r="CA381" s="1313">
        <f t="shared" si="262"/>
        <v>-1.5317340420602831E-11</v>
      </c>
      <c r="CB381" s="1313">
        <f>IF(AND(C381&gt;$F$83,'Instrumentos Financeiros'!C381&lt;'Instrumentos Financeiros'!$F$83+'Instrumentos Financeiros'!$F$13+1),PMT(((1+'Instrumentos Financeiros'!$P$43)^(1/12)-1),$F$13,-$I$83),0)</f>
        <v>30503.390100238979</v>
      </c>
      <c r="CC381" s="1313">
        <f t="shared" si="263"/>
        <v>23444.637519116775</v>
      </c>
      <c r="CD381" s="1313">
        <f>CE380*((1+'Instrumentos Financeiros'!$P$43)^(1/12)-1)</f>
        <v>7058.752581122204</v>
      </c>
      <c r="CE381" s="1313">
        <f t="shared" si="264"/>
        <v>1609010.2539287587</v>
      </c>
      <c r="CF381" s="1313">
        <f>IF(AND(C381&gt;$F$84,'Instrumentos Financeiros'!C381&lt;'Instrumentos Financeiros'!$F$84+'Instrumentos Financeiros'!$F$13+1),PMT(((1+'Instrumentos Financeiros'!$Q$43)^(1/12)-1),$F$13,-$I$84),0)</f>
        <v>30503.390100238979</v>
      </c>
      <c r="CG381" s="1313">
        <f t="shared" si="265"/>
        <v>23143.124165769146</v>
      </c>
      <c r="CH381" s="1313">
        <f>CI380*((1+'Instrumentos Financeiros'!$Q$43)^(1/12)-1)</f>
        <v>7360.2659344698341</v>
      </c>
      <c r="CI381" s="1313">
        <f t="shared" si="266"/>
        <v>1679041.7858445274</v>
      </c>
      <c r="CJ381" s="1313">
        <f>IF(AND(C381&gt;$F$85,'Instrumentos Financeiros'!C381&lt;'Instrumentos Financeiros'!$F$85+'Instrumentos Financeiros'!$F$13+1),PMT(((1+'Instrumentos Financeiros'!$Q$43)^(1/12)-1),$F$13,-$I$85),0)</f>
        <v>30503.390100238979</v>
      </c>
      <c r="CK381" s="1313">
        <f t="shared" si="267"/>
        <v>22845.488471104563</v>
      </c>
      <c r="CL381" s="1313">
        <f>CM380*((1+'Instrumentos Financeiros'!$Q$43)^(1/12)-1)</f>
        <v>7657.9016291344151</v>
      </c>
      <c r="CM381" s="1313">
        <f t="shared" si="268"/>
        <v>1748172.6665128297</v>
      </c>
      <c r="CN381" s="1313">
        <f>IF(AND(C381&gt;$F$86,'Instrumentos Financeiros'!C381&lt;'Instrumentos Financeiros'!$F$86+'Instrumentos Financeiros'!$F$13+1),PMT(((1+'Instrumentos Financeiros'!$Q$43)^(1/12)-1),$F$13,-$I$86),0)</f>
        <v>30503.390100238979</v>
      </c>
      <c r="CO381" s="1313">
        <f t="shared" si="269"/>
        <v>22551.680565899347</v>
      </c>
      <c r="CP381" s="1313">
        <f>CQ380*((1+'Instrumentos Financeiros'!$Q$43)^(1/12)-1)</f>
        <v>7951.7095343396322</v>
      </c>
      <c r="CQ381" s="1313">
        <f t="shared" si="270"/>
        <v>1816414.4788970444</v>
      </c>
      <c r="CR381" s="1313">
        <f t="shared" si="239"/>
        <v>122013.56040095592</v>
      </c>
      <c r="CS381" s="1313">
        <f t="shared" si="239"/>
        <v>91984.930721889919</v>
      </c>
      <c r="CT381" s="1313">
        <f t="shared" si="239"/>
        <v>30028.629679065998</v>
      </c>
      <c r="CU381" s="1313">
        <f t="shared" si="239"/>
        <v>6852639.1851831395</v>
      </c>
    </row>
    <row r="382" spans="3:99" x14ac:dyDescent="0.35">
      <c r="C382" s="1315">
        <f t="shared" si="240"/>
        <v>289</v>
      </c>
      <c r="D382" s="1312">
        <f>IF(AND(C382&gt;$F$59,'Instrumentos Financeiros'!C382&lt;'Instrumentos Financeiros'!$F$59+'Instrumentos Financeiros'!$F$11+1),PMT(((1+'Instrumentos Financeiros'!$G$43)^(1/12)-1),$F$11,-$I$59),0)</f>
        <v>0</v>
      </c>
      <c r="E382" s="1312">
        <f t="shared" si="237"/>
        <v>-1.0360752006943811E-11</v>
      </c>
      <c r="F382" s="1312">
        <f>G381*((1+'Instrumentos Financeiros'!$G$43)^(1/12)-1)</f>
        <v>1.0360752006943811E-11</v>
      </c>
      <c r="G382" s="1312">
        <f t="shared" si="271"/>
        <v>2.5486405680115003E-9</v>
      </c>
      <c r="H382" s="1312">
        <f>IF(AND(C382&gt;$F$60,'Instrumentos Financeiros'!C382&lt;'Instrumentos Financeiros'!$F$60+'Instrumentos Financeiros'!$F$11+1),PMT(((1+'Instrumentos Financeiros'!$G$43)^(1/12)-1),$F$11,-$I$60),0)</f>
        <v>0</v>
      </c>
      <c r="I382" s="1312">
        <f t="shared" si="223"/>
        <v>0</v>
      </c>
      <c r="J382" s="1312">
        <f>K381*((1+'Instrumentos Financeiros'!$G$43)^(1/12)-1)</f>
        <v>0</v>
      </c>
      <c r="K382" s="1312">
        <f t="shared" si="241"/>
        <v>0</v>
      </c>
      <c r="L382" s="1312">
        <f>IF(AND(C382&gt;$F$61,'Instrumentos Financeiros'!C382&lt;'Instrumentos Financeiros'!$F$61+'Instrumentos Financeiros'!$F$11+1),PMT(((1+'Instrumentos Financeiros'!$G$43)^(1/12)-1),$F$11,-$I$61),0)</f>
        <v>0</v>
      </c>
      <c r="M382" s="1312">
        <f t="shared" si="224"/>
        <v>0</v>
      </c>
      <c r="N382" s="1312">
        <f>O381*((1+'Instrumentos Financeiros'!$G$43)^(1/12)-1)</f>
        <v>0</v>
      </c>
      <c r="O382" s="1312">
        <f t="shared" si="242"/>
        <v>0</v>
      </c>
      <c r="P382" s="1312">
        <f>IF(AND(C382&gt;$F$62,'Instrumentos Financeiros'!C382&lt;'Instrumentos Financeiros'!$F$62+'Instrumentos Financeiros'!$F$11+1),PMT(((1+'Instrumentos Financeiros'!$H$43)^(1/12)-1),$F$11,-$I$62),0)</f>
        <v>0</v>
      </c>
      <c r="Q382" s="1312">
        <f t="shared" si="225"/>
        <v>0</v>
      </c>
      <c r="R382" s="1312">
        <f>S381*((1+'Instrumentos Financeiros'!$H$43)^(1/12)-1)</f>
        <v>0</v>
      </c>
      <c r="S382" s="1312">
        <f t="shared" si="243"/>
        <v>0</v>
      </c>
      <c r="T382" s="1312">
        <f>IF(AND(C382&gt;$F$63,'Instrumentos Financeiros'!C382&lt;'Instrumentos Financeiros'!$F$63+'Instrumentos Financeiros'!$F$11+1),PMT(((1+'Instrumentos Financeiros'!$H$43)^(1/12)-1),$F$11,-$I$63),0)</f>
        <v>0</v>
      </c>
      <c r="U382" s="1312">
        <f t="shared" si="226"/>
        <v>0</v>
      </c>
      <c r="V382" s="1312">
        <f>W381*((1+'Instrumentos Financeiros'!$H$43)^(1/12)-1)</f>
        <v>0</v>
      </c>
      <c r="W382" s="1312">
        <f t="shared" si="244"/>
        <v>0</v>
      </c>
      <c r="X382" s="1312">
        <f>IF(AND(C382&gt;$F$64,'Instrumentos Financeiros'!C382&lt;'Instrumentos Financeiros'!$F$64+'Instrumentos Financeiros'!$F$11+1),PMT(((1+'Instrumentos Financeiros'!$H$43)^(1/12)-1),$F$11,-$I$64),0)</f>
        <v>0</v>
      </c>
      <c r="Y382" s="1312">
        <f t="shared" si="227"/>
        <v>0</v>
      </c>
      <c r="Z382" s="1312">
        <f>AA381*((1+'Instrumentos Financeiros'!$H$43)^(1/12)-1)</f>
        <v>0</v>
      </c>
      <c r="AA382" s="1312">
        <f t="shared" si="245"/>
        <v>0</v>
      </c>
      <c r="AB382" s="1312">
        <f>IF(AND(C382&gt;$F$65,'Instrumentos Financeiros'!C382&lt;'Instrumentos Financeiros'!$F$65+'Instrumentos Financeiros'!$F$11+1),PMT(((1+'Instrumentos Financeiros'!$H$43)^(1/12)-1),$F$11,-$I$65),0)</f>
        <v>0</v>
      </c>
      <c r="AC382" s="1312">
        <f t="shared" si="228"/>
        <v>2.5332954753360123E-11</v>
      </c>
      <c r="AD382" s="1312">
        <f>AE381*((1+'Instrumentos Financeiros'!$H$43)^(1/12)-1)</f>
        <v>-2.5332954753360123E-11</v>
      </c>
      <c r="AE382" s="1312">
        <f t="shared" si="246"/>
        <v>-5.8840035097391272E-9</v>
      </c>
      <c r="AF382" s="1312">
        <f>IF(AND(C382&gt;$F$66,'Instrumentos Financeiros'!C382&lt;'Instrumentos Financeiros'!$F$66+'Instrumentos Financeiros'!$F$11+1),PMT(((1+'Instrumentos Financeiros'!$I$43)^(1/12)-1),$F$11,-$I$66),0)</f>
        <v>0</v>
      </c>
      <c r="AG382" s="1312">
        <f t="shared" si="229"/>
        <v>2.5007156406865702E-11</v>
      </c>
      <c r="AH382" s="1312">
        <f>AI381*((1+'Instrumentos Financeiros'!$I$43)^(1/12)-1)</f>
        <v>-2.5007156406865702E-11</v>
      </c>
      <c r="AI382" s="1312">
        <f t="shared" si="247"/>
        <v>-5.8083313809683562E-9</v>
      </c>
      <c r="AJ382" s="1312">
        <f>IF(AND(C382&gt;$F$67,'Instrumentos Financeiros'!C382&lt;'Instrumentos Financeiros'!$F$67+'Instrumentos Financeiros'!$F$11+1),PMT(((1+'Instrumentos Financeiros'!$I$43)^(1/12)-1),$F$11,-$I$67),0)</f>
        <v>0</v>
      </c>
      <c r="AK382" s="1312">
        <f t="shared" si="230"/>
        <v>2.4685548039929995E-11</v>
      </c>
      <c r="AL382" s="1312">
        <f>AM381*((1+'Instrumentos Financeiros'!$I$43)^(1/12)-1)</f>
        <v>-2.4685548039929995E-11</v>
      </c>
      <c r="AM382" s="1312">
        <f t="shared" si="248"/>
        <v>-5.7336324452052407E-9</v>
      </c>
      <c r="AN382" s="1312">
        <f>IF(AND(C382&gt;$F$68,'Instrumentos Financeiros'!C382&lt;'Instrumentos Financeiros'!$F$68+'Instrumentos Financeiros'!$F$11+1),PMT(((1+'Instrumentos Financeiros'!$I$43)^(1/12)-1),$F$11,-$I$68),0)</f>
        <v>0</v>
      </c>
      <c r="AO382" s="1312">
        <f t="shared" si="231"/>
        <v>2.4368075766678841E-11</v>
      </c>
      <c r="AP382" s="1312">
        <f>AQ381*((1+'Instrumentos Financeiros'!$I$43)^(1/12)-1)</f>
        <v>-2.4368075766678841E-11</v>
      </c>
      <c r="AQ382" s="1312">
        <f t="shared" si="249"/>
        <v>-5.6598941865519789E-9</v>
      </c>
      <c r="AR382" s="1312">
        <f>IF(AND(C382&gt;$F$69,'Instrumentos Financeiros'!C382&lt;'Instrumentos Financeiros'!$F$69+'Instrumentos Financeiros'!$F$11+1),PMT(((1+'Instrumentos Financeiros'!$I$43)^(1/12)-1),$F$11,-$I$69),0)</f>
        <v>0</v>
      </c>
      <c r="AS382" s="1312">
        <f t="shared" si="232"/>
        <v>0</v>
      </c>
      <c r="AT382" s="1312">
        <f>AU381*((1+'Instrumentos Financeiros'!$I$43)^(1/12)-1)</f>
        <v>0</v>
      </c>
      <c r="AU382" s="1312">
        <f t="shared" si="250"/>
        <v>0</v>
      </c>
      <c r="AV382" s="1312">
        <f>IF(AND(C382&gt;$F$70,'Instrumentos Financeiros'!C382&lt;'Instrumentos Financeiros'!$F$70+'Instrumentos Financeiros'!$F$11+1),PMT(((1+'Instrumentos Financeiros'!$J$43)^(1/12)-1),$F$11,-$I$70),0)</f>
        <v>0</v>
      </c>
      <c r="AW382" s="1312">
        <f t="shared" si="233"/>
        <v>0</v>
      </c>
      <c r="AX382" s="1312">
        <f>AY381*((1+'Instrumentos Financeiros'!$J$43)^(1/12)-1)</f>
        <v>0</v>
      </c>
      <c r="AY382" s="1312">
        <f t="shared" si="251"/>
        <v>0</v>
      </c>
      <c r="AZ382" s="1312">
        <f>IF(AND(C382&gt;$F$71,'Instrumentos Financeiros'!C382&lt;'Instrumentos Financeiros'!$F$71+'Instrumentos Financeiros'!$F$11+1),PMT(((1+'Instrumentos Financeiros'!$J$43)^(1/12)-1),$F$11,-$I$71),0)</f>
        <v>0</v>
      </c>
      <c r="BA382" s="1312">
        <f t="shared" si="234"/>
        <v>0</v>
      </c>
      <c r="BB382" s="1312">
        <f>BC381*((1+'Instrumentos Financeiros'!$J$43)^(1/12)-1)</f>
        <v>0</v>
      </c>
      <c r="BC382" s="1312">
        <f t="shared" si="252"/>
        <v>0</v>
      </c>
      <c r="BD382" s="1312">
        <f>IF(AND(C382&gt;$F$72,'Instrumentos Financeiros'!C382&lt;'Instrumentos Financeiros'!$F$72+'Instrumentos Financeiros'!$F$11+1),PMT(((1+'Instrumentos Financeiros'!$J$43)^(1/12)-1),$F$11,-'Instrumentos Financeiros'!$G$7*$G$72),0)</f>
        <v>0</v>
      </c>
      <c r="BE382" s="1312">
        <f t="shared" si="235"/>
        <v>0</v>
      </c>
      <c r="BF382" s="1312">
        <f>BG381*((1+'Instrumentos Financeiros'!$J$43)^(1/12)-1)</f>
        <v>0</v>
      </c>
      <c r="BG382" s="1312">
        <f t="shared" si="253"/>
        <v>0</v>
      </c>
      <c r="BH382" s="1312">
        <f>IF(AND(C382&gt;$F$73,'Instrumentos Financeiros'!C382&lt;'Instrumentos Financeiros'!$F$73+'Instrumentos Financeiros'!$F$11+1),PMT(((1+'Instrumentos Financeiros'!$J$43)^(1/12)-1),$F$11,-$I$73),0)</f>
        <v>0</v>
      </c>
      <c r="BI382" s="1312">
        <f t="shared" si="236"/>
        <v>0</v>
      </c>
      <c r="BJ382" s="1312">
        <f>BK381*((1+'Instrumentos Financeiros'!$J$43)^(1/12)-1)</f>
        <v>0</v>
      </c>
      <c r="BK382" s="1312">
        <f t="shared" si="254"/>
        <v>0</v>
      </c>
      <c r="BL382" s="1312">
        <f>IF(AND(C382&gt;$F$77,'Instrumentos Financeiros'!C382&lt;'Instrumentos Financeiros'!$F$77+'Instrumentos Financeiros'!$F$12+1),PMT(((1+'Instrumentos Financeiros'!$K$43)^(1/12)-1),$F$12,-$I$77),0)</f>
        <v>0</v>
      </c>
      <c r="BM382" s="1312">
        <f t="shared" si="255"/>
        <v>6.8854883144685511E-14</v>
      </c>
      <c r="BN382" s="1312">
        <f>BO381*((1+'Instrumentos Financeiros'!$K$43)^(1/12)-1)</f>
        <v>-6.8854883144685511E-14</v>
      </c>
      <c r="BO382" s="1312">
        <f t="shared" si="256"/>
        <v>-1.5992701129041002E-11</v>
      </c>
      <c r="BP382" s="1312">
        <f>IF(AND(C382&gt;$F$78,'Instrumentos Financeiros'!C382&lt;'Instrumentos Financeiros'!$F$78+'Instrumentos Financeiros'!$F$12+1),PMT(((1+'Instrumentos Financeiros'!$L$43)^(1/12)-1),$F$12,-$I$78),0)</f>
        <v>0</v>
      </c>
      <c r="BQ382" s="1312">
        <f t="shared" si="257"/>
        <v>6.7969364369042877E-14</v>
      </c>
      <c r="BR382" s="1312">
        <f>BS381*((1+'Instrumentos Financeiros'!$L$43)^(1/12)-1)</f>
        <v>-6.7969364369042877E-14</v>
      </c>
      <c r="BS382" s="1312">
        <f t="shared" si="258"/>
        <v>-1.5787024545533503E-11</v>
      </c>
      <c r="BT382" s="1312">
        <f>IF(AND(C382&gt;$F$79,'Instrumentos Financeiros'!C382&lt;'Instrumentos Financeiros'!$F$79+'Instrumentos Financeiros'!$F$12+1),PMT(((1+'Instrumentos Financeiros'!$L$43)^(1/12)-1),$F$12,-$I$79),0)</f>
        <v>0</v>
      </c>
      <c r="BU382" s="1312">
        <f t="shared" si="259"/>
        <v>6.7095233943306648E-14</v>
      </c>
      <c r="BV382" s="1312">
        <f>BW381*((1+'Instrumentos Financeiros'!$L$43)^(1/12)-1)</f>
        <v>-6.7095233943306648E-14</v>
      </c>
      <c r="BW382" s="1312">
        <f t="shared" si="260"/>
        <v>-1.5583993097245005E-11</v>
      </c>
      <c r="BX382" s="1312">
        <f>IF(AND(C382&gt;$F$80,'Instrumentos Financeiros'!C382&lt;'Instrumentos Financeiros'!$F$80+'Instrumentos Financeiros'!$F$12+1),PMT(((1+'Instrumentos Financeiros'!$L$43)^(1/12)-1),$F$12,-$I$80),0)</f>
        <v>0</v>
      </c>
      <c r="BY382" s="1312">
        <f t="shared" si="261"/>
        <v>6.6232345405857752E-14</v>
      </c>
      <c r="BZ382" s="1312">
        <f>CA381*((1+'Instrumentos Financeiros'!$L$43)^(1/12)-1)</f>
        <v>-6.6232345405857752E-14</v>
      </c>
      <c r="CA382" s="1312">
        <f t="shared" si="262"/>
        <v>-1.538357276600869E-11</v>
      </c>
      <c r="CB382" s="1312">
        <f>IF(AND(C382&gt;$F$83,'Instrumentos Financeiros'!C382&lt;'Instrumentos Financeiros'!$F$83+'Instrumentos Financeiros'!$F$13+1),PMT(((1+'Instrumentos Financeiros'!$P$43)^(1/12)-1),$F$13,-$I$83),0)</f>
        <v>30503.390100238979</v>
      </c>
      <c r="CC382" s="1312">
        <f t="shared" si="263"/>
        <v>23546.012384951362</v>
      </c>
      <c r="CD382" s="1312">
        <f>CE381*((1+'Instrumentos Financeiros'!$P$43)^(1/12)-1)</f>
        <v>6957.3777152876191</v>
      </c>
      <c r="CE382" s="1312">
        <f t="shared" si="264"/>
        <v>1585464.2415438073</v>
      </c>
      <c r="CF382" s="1312">
        <f>IF(AND(C382&gt;$F$84,'Instrumentos Financeiros'!C382&lt;'Instrumentos Financeiros'!$F$84+'Instrumentos Financeiros'!$F$13+1),PMT(((1+'Instrumentos Financeiros'!$Q$43)^(1/12)-1),$F$13,-$I$84),0)</f>
        <v>30503.390100238979</v>
      </c>
      <c r="CG382" s="1312">
        <f t="shared" si="265"/>
        <v>23243.195284607515</v>
      </c>
      <c r="CH382" s="1312">
        <f>CI381*((1+'Instrumentos Financeiros'!$Q$43)^(1/12)-1)</f>
        <v>7260.1948156314656</v>
      </c>
      <c r="CI382" s="1312">
        <f t="shared" si="266"/>
        <v>1655798.5905599198</v>
      </c>
      <c r="CJ382" s="1312">
        <f>IF(AND(C382&gt;$F$85,'Instrumentos Financeiros'!C382&lt;'Instrumentos Financeiros'!$F$85+'Instrumentos Financeiros'!$F$13+1),PMT(((1+'Instrumentos Financeiros'!$Q$43)^(1/12)-1),$F$13,-$I$85),0)</f>
        <v>30503.390100238979</v>
      </c>
      <c r="CK382" s="1312">
        <f t="shared" si="267"/>
        <v>22944.272609984739</v>
      </c>
      <c r="CL382" s="1312">
        <f>CM381*((1+'Instrumentos Financeiros'!$Q$43)^(1/12)-1)</f>
        <v>7559.1174902542407</v>
      </c>
      <c r="CM382" s="1312">
        <f t="shared" si="268"/>
        <v>1725228.393902845</v>
      </c>
      <c r="CN382" s="1312">
        <f>IF(AND(C382&gt;$F$86,'Instrumentos Financeiros'!C382&lt;'Instrumentos Financeiros'!$F$86+'Instrumentos Financeiros'!$F$13+1),PMT(((1+'Instrumentos Financeiros'!$Q$43)^(1/12)-1),$F$13,-$I$86),0)</f>
        <v>30503.390100238979</v>
      </c>
      <c r="CO382" s="1312">
        <f t="shared" si="269"/>
        <v>22649.194276224291</v>
      </c>
      <c r="CP382" s="1312">
        <f>CQ381*((1+'Instrumentos Financeiros'!$Q$43)^(1/12)-1)</f>
        <v>7854.1958240146887</v>
      </c>
      <c r="CQ382" s="1312">
        <f t="shared" si="270"/>
        <v>1793765.2846208201</v>
      </c>
      <c r="CR382" s="1312">
        <f t="shared" si="239"/>
        <v>122013.56040095592</v>
      </c>
      <c r="CS382" s="1312">
        <f t="shared" si="239"/>
        <v>92382.674555767997</v>
      </c>
      <c r="CT382" s="1312">
        <f t="shared" si="239"/>
        <v>29630.885845187924</v>
      </c>
      <c r="CU382" s="1312">
        <f t="shared" si="239"/>
        <v>6760256.5106273722</v>
      </c>
    </row>
    <row r="383" spans="3:99" x14ac:dyDescent="0.35">
      <c r="C383" s="1315">
        <f t="shared" si="240"/>
        <v>290</v>
      </c>
      <c r="D383" s="1312">
        <f>IF(AND(C383&gt;$F$59,'Instrumentos Financeiros'!C383&lt;'Instrumentos Financeiros'!$F$59+'Instrumentos Financeiros'!$F$11+1),PMT(((1+'Instrumentos Financeiros'!$G$43)^(1/12)-1),$F$11,-$I$59),0)</f>
        <v>0</v>
      </c>
      <c r="E383" s="1312">
        <f t="shared" si="237"/>
        <v>-1.0403042530420597E-11</v>
      </c>
      <c r="F383" s="1312">
        <f>G382*((1+'Instrumentos Financeiros'!$G$43)^(1/12)-1)</f>
        <v>1.0403042530420597E-11</v>
      </c>
      <c r="G383" s="1312">
        <f t="shared" si="271"/>
        <v>2.5590436105419208E-9</v>
      </c>
      <c r="H383" s="1312">
        <f>IF(AND(C383&gt;$F$60,'Instrumentos Financeiros'!C383&lt;'Instrumentos Financeiros'!$F$60+'Instrumentos Financeiros'!$F$11+1),PMT(((1+'Instrumentos Financeiros'!$G$43)^(1/12)-1),$F$11,-$I$60),0)</f>
        <v>0</v>
      </c>
      <c r="I383" s="1312">
        <f t="shared" si="223"/>
        <v>0</v>
      </c>
      <c r="J383" s="1312">
        <f>K382*((1+'Instrumentos Financeiros'!$G$43)^(1/12)-1)</f>
        <v>0</v>
      </c>
      <c r="K383" s="1312">
        <f t="shared" si="241"/>
        <v>0</v>
      </c>
      <c r="L383" s="1312">
        <f>IF(AND(C383&gt;$F$61,'Instrumentos Financeiros'!C383&lt;'Instrumentos Financeiros'!$F$61+'Instrumentos Financeiros'!$F$11+1),PMT(((1+'Instrumentos Financeiros'!$G$43)^(1/12)-1),$F$11,-$I$61),0)</f>
        <v>0</v>
      </c>
      <c r="M383" s="1312">
        <f t="shared" si="224"/>
        <v>0</v>
      </c>
      <c r="N383" s="1312">
        <f>O382*((1+'Instrumentos Financeiros'!$G$43)^(1/12)-1)</f>
        <v>0</v>
      </c>
      <c r="O383" s="1312">
        <f t="shared" si="242"/>
        <v>0</v>
      </c>
      <c r="P383" s="1312">
        <f>IF(AND(C383&gt;$F$62,'Instrumentos Financeiros'!C383&lt;'Instrumentos Financeiros'!$F$62+'Instrumentos Financeiros'!$F$11+1),PMT(((1+'Instrumentos Financeiros'!$H$43)^(1/12)-1),$F$11,-$I$62),0)</f>
        <v>0</v>
      </c>
      <c r="Q383" s="1312">
        <f t="shared" si="225"/>
        <v>0</v>
      </c>
      <c r="R383" s="1312">
        <f>S382*((1+'Instrumentos Financeiros'!$H$43)^(1/12)-1)</f>
        <v>0</v>
      </c>
      <c r="S383" s="1312">
        <f t="shared" si="243"/>
        <v>0</v>
      </c>
      <c r="T383" s="1312">
        <f>IF(AND(C383&gt;$F$63,'Instrumentos Financeiros'!C383&lt;'Instrumentos Financeiros'!$F$63+'Instrumentos Financeiros'!$F$11+1),PMT(((1+'Instrumentos Financeiros'!$H$43)^(1/12)-1),$F$11,-$I$63),0)</f>
        <v>0</v>
      </c>
      <c r="U383" s="1312">
        <f t="shared" si="226"/>
        <v>0</v>
      </c>
      <c r="V383" s="1312">
        <f>W382*((1+'Instrumentos Financeiros'!$H$43)^(1/12)-1)</f>
        <v>0</v>
      </c>
      <c r="W383" s="1312">
        <f t="shared" si="244"/>
        <v>0</v>
      </c>
      <c r="X383" s="1312">
        <f>IF(AND(C383&gt;$F$64,'Instrumentos Financeiros'!C383&lt;'Instrumentos Financeiros'!$F$64+'Instrumentos Financeiros'!$F$11+1),PMT(((1+'Instrumentos Financeiros'!$H$43)^(1/12)-1),$F$11,-$I$64),0)</f>
        <v>0</v>
      </c>
      <c r="Y383" s="1312">
        <f t="shared" si="227"/>
        <v>0</v>
      </c>
      <c r="Z383" s="1312">
        <f>AA382*((1+'Instrumentos Financeiros'!$H$43)^(1/12)-1)</f>
        <v>0</v>
      </c>
      <c r="AA383" s="1312">
        <f t="shared" si="245"/>
        <v>0</v>
      </c>
      <c r="AB383" s="1312">
        <f>IF(AND(C383&gt;$F$65,'Instrumentos Financeiros'!C383&lt;'Instrumentos Financeiros'!$F$65+'Instrumentos Financeiros'!$F$11+1),PMT(((1+'Instrumentos Financeiros'!$H$43)^(1/12)-1),$F$11,-$I$65),0)</f>
        <v>0</v>
      </c>
      <c r="AC383" s="1312">
        <f t="shared" si="228"/>
        <v>2.5442494723309388E-11</v>
      </c>
      <c r="AD383" s="1312">
        <f>AE382*((1+'Instrumentos Financeiros'!$H$43)^(1/12)-1)</f>
        <v>-2.5442494723309388E-11</v>
      </c>
      <c r="AE383" s="1312">
        <f t="shared" si="246"/>
        <v>-5.9094460044624368E-9</v>
      </c>
      <c r="AF383" s="1312">
        <f>IF(AND(C383&gt;$F$66,'Instrumentos Financeiros'!C383&lt;'Instrumentos Financeiros'!$F$66+'Instrumentos Financeiros'!$F$11+1),PMT(((1+'Instrumentos Financeiros'!$I$43)^(1/12)-1),$F$11,-$I$66),0)</f>
        <v>0</v>
      </c>
      <c r="AG383" s="1312">
        <f t="shared" si="229"/>
        <v>2.5115287621246105E-11</v>
      </c>
      <c r="AH383" s="1312">
        <f>AI382*((1+'Instrumentos Financeiros'!$I$43)^(1/12)-1)</f>
        <v>-2.5115287621246105E-11</v>
      </c>
      <c r="AI383" s="1312">
        <f t="shared" si="247"/>
        <v>-5.8334466685896023E-9</v>
      </c>
      <c r="AJ383" s="1312">
        <f>IF(AND(C383&gt;$F$67,'Instrumentos Financeiros'!C383&lt;'Instrumentos Financeiros'!$F$67+'Instrumentos Financeiros'!$F$11+1),PMT(((1+'Instrumentos Financeiros'!$I$43)^(1/12)-1),$F$11,-$I$67),0)</f>
        <v>0</v>
      </c>
      <c r="AK383" s="1312">
        <f t="shared" si="230"/>
        <v>2.4792288616258402E-11</v>
      </c>
      <c r="AL383" s="1312">
        <f>AM382*((1+'Instrumentos Financeiros'!$I$43)^(1/12)-1)</f>
        <v>-2.4792288616258402E-11</v>
      </c>
      <c r="AM383" s="1312">
        <f t="shared" si="248"/>
        <v>-5.7584247338214994E-9</v>
      </c>
      <c r="AN383" s="1312">
        <f>IF(AND(C383&gt;$F$68,'Instrumentos Financeiros'!C383&lt;'Instrumentos Financeiros'!$F$68+'Instrumentos Financeiros'!$F$11+1),PMT(((1+'Instrumentos Financeiros'!$I$43)^(1/12)-1),$F$11,-$I$68),0)</f>
        <v>0</v>
      </c>
      <c r="AO383" s="1312">
        <f t="shared" si="231"/>
        <v>2.4473443589469013E-11</v>
      </c>
      <c r="AP383" s="1312">
        <f>AQ382*((1+'Instrumentos Financeiros'!$I$43)^(1/12)-1)</f>
        <v>-2.4473443589469013E-11</v>
      </c>
      <c r="AQ383" s="1312">
        <f t="shared" si="249"/>
        <v>-5.6843676301414478E-9</v>
      </c>
      <c r="AR383" s="1312">
        <f>IF(AND(C383&gt;$F$69,'Instrumentos Financeiros'!C383&lt;'Instrumentos Financeiros'!$F$69+'Instrumentos Financeiros'!$F$11+1),PMT(((1+'Instrumentos Financeiros'!$I$43)^(1/12)-1),$F$11,-$I$69),0)</f>
        <v>0</v>
      </c>
      <c r="AS383" s="1312">
        <f t="shared" si="232"/>
        <v>0</v>
      </c>
      <c r="AT383" s="1312">
        <f>AU382*((1+'Instrumentos Financeiros'!$I$43)^(1/12)-1)</f>
        <v>0</v>
      </c>
      <c r="AU383" s="1312">
        <f t="shared" si="250"/>
        <v>0</v>
      </c>
      <c r="AV383" s="1312">
        <f>IF(AND(C383&gt;$F$70,'Instrumentos Financeiros'!C383&lt;'Instrumentos Financeiros'!$F$70+'Instrumentos Financeiros'!$F$11+1),PMT(((1+'Instrumentos Financeiros'!$J$43)^(1/12)-1),$F$11,-$I$70),0)</f>
        <v>0</v>
      </c>
      <c r="AW383" s="1312">
        <f t="shared" si="233"/>
        <v>0</v>
      </c>
      <c r="AX383" s="1312">
        <f>AY382*((1+'Instrumentos Financeiros'!$J$43)^(1/12)-1)</f>
        <v>0</v>
      </c>
      <c r="AY383" s="1312">
        <f t="shared" si="251"/>
        <v>0</v>
      </c>
      <c r="AZ383" s="1312">
        <f>IF(AND(C383&gt;$F$71,'Instrumentos Financeiros'!C383&lt;'Instrumentos Financeiros'!$F$71+'Instrumentos Financeiros'!$F$11+1),PMT(((1+'Instrumentos Financeiros'!$J$43)^(1/12)-1),$F$11,-$I$71),0)</f>
        <v>0</v>
      </c>
      <c r="BA383" s="1312">
        <f t="shared" si="234"/>
        <v>0</v>
      </c>
      <c r="BB383" s="1312">
        <f>BC382*((1+'Instrumentos Financeiros'!$J$43)^(1/12)-1)</f>
        <v>0</v>
      </c>
      <c r="BC383" s="1312">
        <f t="shared" si="252"/>
        <v>0</v>
      </c>
      <c r="BD383" s="1312">
        <f>IF(AND(C383&gt;$F$72,'Instrumentos Financeiros'!C383&lt;'Instrumentos Financeiros'!$F$72+'Instrumentos Financeiros'!$F$11+1),PMT(((1+'Instrumentos Financeiros'!$J$43)^(1/12)-1),$F$11,-'Instrumentos Financeiros'!$G$7*$G$72),0)</f>
        <v>0</v>
      </c>
      <c r="BE383" s="1312">
        <f t="shared" si="235"/>
        <v>0</v>
      </c>
      <c r="BF383" s="1312">
        <f>BG382*((1+'Instrumentos Financeiros'!$J$43)^(1/12)-1)</f>
        <v>0</v>
      </c>
      <c r="BG383" s="1312">
        <f t="shared" si="253"/>
        <v>0</v>
      </c>
      <c r="BH383" s="1312">
        <f>IF(AND(C383&gt;$F$73,'Instrumentos Financeiros'!C383&lt;'Instrumentos Financeiros'!$F$73+'Instrumentos Financeiros'!$F$11+1),PMT(((1+'Instrumentos Financeiros'!$J$43)^(1/12)-1),$F$11,-$I$73),0)</f>
        <v>0</v>
      </c>
      <c r="BI383" s="1312">
        <f t="shared" si="236"/>
        <v>0</v>
      </c>
      <c r="BJ383" s="1312">
        <f>BK382*((1+'Instrumentos Financeiros'!$J$43)^(1/12)-1)</f>
        <v>0</v>
      </c>
      <c r="BK383" s="1312">
        <f t="shared" si="254"/>
        <v>0</v>
      </c>
      <c r="BL383" s="1312">
        <f>IF(AND(C383&gt;$F$77,'Instrumentos Financeiros'!C383&lt;'Instrumentos Financeiros'!$F$77+'Instrumentos Financeiros'!$F$12+1),PMT(((1+'Instrumentos Financeiros'!$K$43)^(1/12)-1),$F$12,-$I$77),0)</f>
        <v>0</v>
      </c>
      <c r="BM383" s="1312">
        <f t="shared" si="255"/>
        <v>6.9152612403035408E-14</v>
      </c>
      <c r="BN383" s="1312">
        <f>BO382*((1+'Instrumentos Financeiros'!$K$43)^(1/12)-1)</f>
        <v>-6.9152612403035408E-14</v>
      </c>
      <c r="BO383" s="1312">
        <f t="shared" si="256"/>
        <v>-1.6061853741444038E-11</v>
      </c>
      <c r="BP383" s="1312">
        <f>IF(AND(C383&gt;$F$78,'Instrumentos Financeiros'!C383&lt;'Instrumentos Financeiros'!$F$78+'Instrumentos Financeiros'!$F$12+1),PMT(((1+'Instrumentos Financeiros'!$L$43)^(1/12)-1),$F$12,-$I$78),0)</f>
        <v>0</v>
      </c>
      <c r="BQ383" s="1312">
        <f t="shared" si="257"/>
        <v>6.826326463464329E-14</v>
      </c>
      <c r="BR383" s="1312">
        <f>BS382*((1+'Instrumentos Financeiros'!$L$43)^(1/12)-1)</f>
        <v>-6.826326463464329E-14</v>
      </c>
      <c r="BS383" s="1312">
        <f t="shared" si="258"/>
        <v>-1.5855287810168148E-11</v>
      </c>
      <c r="BT383" s="1312">
        <f>IF(AND(C383&gt;$F$79,'Instrumentos Financeiros'!C383&lt;'Instrumentos Financeiros'!$F$79+'Instrumentos Financeiros'!$F$12+1),PMT(((1+'Instrumentos Financeiros'!$L$43)^(1/12)-1),$F$12,-$I$79),0)</f>
        <v>0</v>
      </c>
      <c r="BU383" s="1312">
        <f t="shared" si="259"/>
        <v>6.7385354459505577E-14</v>
      </c>
      <c r="BV383" s="1312">
        <f>BW382*((1+'Instrumentos Financeiros'!$L$43)^(1/12)-1)</f>
        <v>-6.7385354459505577E-14</v>
      </c>
      <c r="BW383" s="1312">
        <f t="shared" si="260"/>
        <v>-1.565137845170451E-11</v>
      </c>
      <c r="BX383" s="1312">
        <f>IF(AND(C383&gt;$F$80,'Instrumentos Financeiros'!C383&lt;'Instrumentos Financeiros'!$F$80+'Instrumentos Financeiros'!$F$12+1),PMT(((1+'Instrumentos Financeiros'!$L$43)^(1/12)-1),$F$12,-$I$80),0)</f>
        <v>0</v>
      </c>
      <c r="BY383" s="1312">
        <f t="shared" si="261"/>
        <v>6.6518734782701559E-14</v>
      </c>
      <c r="BZ383" s="1312">
        <f>CA382*((1+'Instrumentos Financeiros'!$L$43)^(1/12)-1)</f>
        <v>-6.6518734782701559E-14</v>
      </c>
      <c r="CA383" s="1312">
        <f t="shared" si="262"/>
        <v>-1.5450091500791392E-11</v>
      </c>
      <c r="CB383" s="1312">
        <f>IF(AND(C383&gt;$F$83,'Instrumentos Financeiros'!C383&lt;'Instrumentos Financeiros'!$F$83+'Instrumentos Financeiros'!$F$13+1),PMT(((1+'Instrumentos Financeiros'!$P$43)^(1/12)-1),$F$13,-$I$83),0)</f>
        <v>30503.390100238979</v>
      </c>
      <c r="CC383" s="1312">
        <f t="shared" si="263"/>
        <v>23647.825596800663</v>
      </c>
      <c r="CD383" s="1312">
        <f>CE382*((1+'Instrumentos Financeiros'!$P$43)^(1/12)-1)</f>
        <v>6855.5645034383178</v>
      </c>
      <c r="CE383" s="1312">
        <f t="shared" si="264"/>
        <v>1561816.4159470065</v>
      </c>
      <c r="CF383" s="1312">
        <f>IF(AND(C383&gt;$F$84,'Instrumentos Financeiros'!C383&lt;'Instrumentos Financeiros'!$F$84+'Instrumentos Financeiros'!$F$13+1),PMT(((1+'Instrumentos Financeiros'!$Q$43)^(1/12)-1),$F$13,-$I$84),0)</f>
        <v>30503.390100238979</v>
      </c>
      <c r="CG383" s="1312">
        <f t="shared" si="265"/>
        <v>23343.699112044505</v>
      </c>
      <c r="CH383" s="1312">
        <f>CI382*((1+'Instrumentos Financeiros'!$Q$43)^(1/12)-1)</f>
        <v>7159.6909881944739</v>
      </c>
      <c r="CI383" s="1312">
        <f t="shared" si="266"/>
        <v>1632454.8914478754</v>
      </c>
      <c r="CJ383" s="1312">
        <f>IF(AND(C383&gt;$F$85,'Instrumentos Financeiros'!C383&lt;'Instrumentos Financeiros'!$F$85+'Instrumentos Financeiros'!$F$13+1),PMT(((1+'Instrumentos Financeiros'!$Q$43)^(1/12)-1),$F$13,-$I$85),0)</f>
        <v>30503.390100238979</v>
      </c>
      <c r="CK383" s="1312">
        <f t="shared" si="267"/>
        <v>23043.483892548298</v>
      </c>
      <c r="CL383" s="1312">
        <f>CM382*((1+'Instrumentos Financeiros'!$Q$43)^(1/12)-1)</f>
        <v>7459.9062076906803</v>
      </c>
      <c r="CM383" s="1312">
        <f t="shared" si="268"/>
        <v>1702184.9100102966</v>
      </c>
      <c r="CN383" s="1312">
        <f>IF(AND(C383&gt;$F$86,'Instrumentos Financeiros'!C383&lt;'Instrumentos Financeiros'!$F$86+'Instrumentos Financeiros'!$F$13+1),PMT(((1+'Instrumentos Financeiros'!$Q$43)^(1/12)-1),$F$13,-$I$86),0)</f>
        <v>30503.390100238979</v>
      </c>
      <c r="CO383" s="1312">
        <f t="shared" si="269"/>
        <v>22747.129636885827</v>
      </c>
      <c r="CP383" s="1312">
        <f>CQ382*((1+'Instrumentos Financeiros'!$Q$43)^(1/12)-1)</f>
        <v>7756.2604633531528</v>
      </c>
      <c r="CQ383" s="1312">
        <f t="shared" si="270"/>
        <v>1771018.1549839342</v>
      </c>
      <c r="CR383" s="1312">
        <f t="shared" si="239"/>
        <v>122013.56040095592</v>
      </c>
      <c r="CS383" s="1312">
        <f t="shared" si="239"/>
        <v>92782.138238279382</v>
      </c>
      <c r="CT383" s="1312">
        <f t="shared" si="239"/>
        <v>29231.422162676536</v>
      </c>
      <c r="CU383" s="1312">
        <f t="shared" si="239"/>
        <v>6667474.3723890921</v>
      </c>
    </row>
    <row r="384" spans="3:99" x14ac:dyDescent="0.35">
      <c r="C384" s="1315">
        <f t="shared" si="240"/>
        <v>291</v>
      </c>
      <c r="D384" s="1312">
        <f>IF(AND(C384&gt;$F$59,'Instrumentos Financeiros'!C384&lt;'Instrumentos Financeiros'!$F$59+'Instrumentos Financeiros'!$F$11+1),PMT(((1+'Instrumentos Financeiros'!$G$43)^(1/12)-1),$F$11,-$I$59),0)</f>
        <v>0</v>
      </c>
      <c r="E384" s="1312">
        <f t="shared" si="237"/>
        <v>-1.0445505675380335E-11</v>
      </c>
      <c r="F384" s="1312">
        <f>G383*((1+'Instrumentos Financeiros'!$G$43)^(1/12)-1)</f>
        <v>1.0445505675380335E-11</v>
      </c>
      <c r="G384" s="1312">
        <f t="shared" si="271"/>
        <v>2.5694891162173012E-9</v>
      </c>
      <c r="H384" s="1312">
        <f>IF(AND(C384&gt;$F$60,'Instrumentos Financeiros'!C384&lt;'Instrumentos Financeiros'!$F$60+'Instrumentos Financeiros'!$F$11+1),PMT(((1+'Instrumentos Financeiros'!$G$43)^(1/12)-1),$F$11,-$I$60),0)</f>
        <v>0</v>
      </c>
      <c r="I384" s="1312">
        <f t="shared" si="223"/>
        <v>0</v>
      </c>
      <c r="J384" s="1312">
        <f>K383*((1+'Instrumentos Financeiros'!$G$43)^(1/12)-1)</f>
        <v>0</v>
      </c>
      <c r="K384" s="1312">
        <f t="shared" si="241"/>
        <v>0</v>
      </c>
      <c r="L384" s="1312">
        <f>IF(AND(C384&gt;$F$61,'Instrumentos Financeiros'!C384&lt;'Instrumentos Financeiros'!$F$61+'Instrumentos Financeiros'!$F$11+1),PMT(((1+'Instrumentos Financeiros'!$G$43)^(1/12)-1),$F$11,-$I$61),0)</f>
        <v>0</v>
      </c>
      <c r="M384" s="1312">
        <f t="shared" si="224"/>
        <v>0</v>
      </c>
      <c r="N384" s="1312">
        <f>O383*((1+'Instrumentos Financeiros'!$G$43)^(1/12)-1)</f>
        <v>0</v>
      </c>
      <c r="O384" s="1312">
        <f t="shared" si="242"/>
        <v>0</v>
      </c>
      <c r="P384" s="1312">
        <f>IF(AND(C384&gt;$F$62,'Instrumentos Financeiros'!C384&lt;'Instrumentos Financeiros'!$F$62+'Instrumentos Financeiros'!$F$11+1),PMT(((1+'Instrumentos Financeiros'!$H$43)^(1/12)-1),$F$11,-$I$62),0)</f>
        <v>0</v>
      </c>
      <c r="Q384" s="1312">
        <f t="shared" si="225"/>
        <v>0</v>
      </c>
      <c r="R384" s="1312">
        <f>S383*((1+'Instrumentos Financeiros'!$H$43)^(1/12)-1)</f>
        <v>0</v>
      </c>
      <c r="S384" s="1312">
        <f t="shared" si="243"/>
        <v>0</v>
      </c>
      <c r="T384" s="1312">
        <f>IF(AND(C384&gt;$F$63,'Instrumentos Financeiros'!C384&lt;'Instrumentos Financeiros'!$F$63+'Instrumentos Financeiros'!$F$11+1),PMT(((1+'Instrumentos Financeiros'!$H$43)^(1/12)-1),$F$11,-$I$63),0)</f>
        <v>0</v>
      </c>
      <c r="U384" s="1312">
        <f t="shared" si="226"/>
        <v>0</v>
      </c>
      <c r="V384" s="1312">
        <f>W383*((1+'Instrumentos Financeiros'!$H$43)^(1/12)-1)</f>
        <v>0</v>
      </c>
      <c r="W384" s="1312">
        <f t="shared" si="244"/>
        <v>0</v>
      </c>
      <c r="X384" s="1312">
        <f>IF(AND(C384&gt;$F$64,'Instrumentos Financeiros'!C384&lt;'Instrumentos Financeiros'!$F$64+'Instrumentos Financeiros'!$F$11+1),PMT(((1+'Instrumentos Financeiros'!$H$43)^(1/12)-1),$F$11,-$I$64),0)</f>
        <v>0</v>
      </c>
      <c r="Y384" s="1312">
        <f t="shared" si="227"/>
        <v>0</v>
      </c>
      <c r="Z384" s="1312">
        <f>AA383*((1+'Instrumentos Financeiros'!$H$43)^(1/12)-1)</f>
        <v>0</v>
      </c>
      <c r="AA384" s="1312">
        <f t="shared" si="245"/>
        <v>0</v>
      </c>
      <c r="AB384" s="1312">
        <f>IF(AND(C384&gt;$F$65,'Instrumentos Financeiros'!C384&lt;'Instrumentos Financeiros'!$F$65+'Instrumentos Financeiros'!$F$11+1),PMT(((1+'Instrumentos Financeiros'!$H$43)^(1/12)-1),$F$11,-$I$65),0)</f>
        <v>0</v>
      </c>
      <c r="AC384" s="1312">
        <f t="shared" si="228"/>
        <v>2.5552508345271749E-11</v>
      </c>
      <c r="AD384" s="1312">
        <f>AE383*((1+'Instrumentos Financeiros'!$H$43)^(1/12)-1)</f>
        <v>-2.5552508345271749E-11</v>
      </c>
      <c r="AE384" s="1312">
        <f t="shared" si="246"/>
        <v>-5.9349985128077083E-9</v>
      </c>
      <c r="AF384" s="1312">
        <f>IF(AND(C384&gt;$F$66,'Instrumentos Financeiros'!C384&lt;'Instrumentos Financeiros'!$F$66+'Instrumentos Financeiros'!$F$11+1),PMT(((1+'Instrumentos Financeiros'!$I$43)^(1/12)-1),$F$11,-$I$66),0)</f>
        <v>0</v>
      </c>
      <c r="AG384" s="1312">
        <f t="shared" si="229"/>
        <v>2.5223886396165306E-11</v>
      </c>
      <c r="AH384" s="1312">
        <f>AI383*((1+'Instrumentos Financeiros'!$I$43)^(1/12)-1)</f>
        <v>-2.5223886396165306E-11</v>
      </c>
      <c r="AI384" s="1312">
        <f t="shared" si="247"/>
        <v>-5.8586705549857672E-9</v>
      </c>
      <c r="AJ384" s="1312">
        <f>IF(AND(C384&gt;$F$67,'Instrumentos Financeiros'!C384&lt;'Instrumentos Financeiros'!$F$67+'Instrumentos Financeiros'!$F$11+1),PMT(((1+'Instrumentos Financeiros'!$I$43)^(1/12)-1),$F$11,-$I$67),0)</f>
        <v>0</v>
      </c>
      <c r="AK384" s="1312">
        <f t="shared" si="230"/>
        <v>2.4899490739991652E-11</v>
      </c>
      <c r="AL384" s="1312">
        <f>AM383*((1+'Instrumentos Financeiros'!$I$43)^(1/12)-1)</f>
        <v>-2.4899490739991652E-11</v>
      </c>
      <c r="AM384" s="1312">
        <f t="shared" si="248"/>
        <v>-5.7833242245614908E-9</v>
      </c>
      <c r="AN384" s="1312">
        <f>IF(AND(C384&gt;$F$68,'Instrumentos Financeiros'!C384&lt;'Instrumentos Financeiros'!$F$68+'Instrumentos Financeiros'!$F$11+1),PMT(((1+'Instrumentos Financeiros'!$I$43)^(1/12)-1),$F$11,-$I$68),0)</f>
        <v>0</v>
      </c>
      <c r="AO384" s="1312">
        <f t="shared" si="231"/>
        <v>2.4579267023862898E-11</v>
      </c>
      <c r="AP384" s="1312">
        <f>AQ383*((1+'Instrumentos Financeiros'!$I$43)^(1/12)-1)</f>
        <v>-2.4579267023862898E-11</v>
      </c>
      <c r="AQ384" s="1312">
        <f t="shared" si="249"/>
        <v>-5.7089468971653104E-9</v>
      </c>
      <c r="AR384" s="1312">
        <f>IF(AND(C384&gt;$F$69,'Instrumentos Financeiros'!C384&lt;'Instrumentos Financeiros'!$F$69+'Instrumentos Financeiros'!$F$11+1),PMT(((1+'Instrumentos Financeiros'!$I$43)^(1/12)-1),$F$11,-$I$69),0)</f>
        <v>0</v>
      </c>
      <c r="AS384" s="1312">
        <f t="shared" si="232"/>
        <v>0</v>
      </c>
      <c r="AT384" s="1312">
        <f>AU383*((1+'Instrumentos Financeiros'!$I$43)^(1/12)-1)</f>
        <v>0</v>
      </c>
      <c r="AU384" s="1312">
        <f t="shared" si="250"/>
        <v>0</v>
      </c>
      <c r="AV384" s="1312">
        <f>IF(AND(C384&gt;$F$70,'Instrumentos Financeiros'!C384&lt;'Instrumentos Financeiros'!$F$70+'Instrumentos Financeiros'!$F$11+1),PMT(((1+'Instrumentos Financeiros'!$J$43)^(1/12)-1),$F$11,-$I$70),0)</f>
        <v>0</v>
      </c>
      <c r="AW384" s="1312">
        <f t="shared" si="233"/>
        <v>0</v>
      </c>
      <c r="AX384" s="1312">
        <f>AY383*((1+'Instrumentos Financeiros'!$J$43)^(1/12)-1)</f>
        <v>0</v>
      </c>
      <c r="AY384" s="1312">
        <f t="shared" si="251"/>
        <v>0</v>
      </c>
      <c r="AZ384" s="1312">
        <f>IF(AND(C384&gt;$F$71,'Instrumentos Financeiros'!C384&lt;'Instrumentos Financeiros'!$F$71+'Instrumentos Financeiros'!$F$11+1),PMT(((1+'Instrumentos Financeiros'!$J$43)^(1/12)-1),$F$11,-$I$71),0)</f>
        <v>0</v>
      </c>
      <c r="BA384" s="1312">
        <f t="shared" si="234"/>
        <v>0</v>
      </c>
      <c r="BB384" s="1312">
        <f>BC383*((1+'Instrumentos Financeiros'!$J$43)^(1/12)-1)</f>
        <v>0</v>
      </c>
      <c r="BC384" s="1312">
        <f t="shared" si="252"/>
        <v>0</v>
      </c>
      <c r="BD384" s="1312">
        <f>IF(AND(C384&gt;$F$72,'Instrumentos Financeiros'!C384&lt;'Instrumentos Financeiros'!$F$72+'Instrumentos Financeiros'!$F$11+1),PMT(((1+'Instrumentos Financeiros'!$J$43)^(1/12)-1),$F$11,-'Instrumentos Financeiros'!$G$7*$G$72),0)</f>
        <v>0</v>
      </c>
      <c r="BE384" s="1312">
        <f t="shared" si="235"/>
        <v>0</v>
      </c>
      <c r="BF384" s="1312">
        <f>BG383*((1+'Instrumentos Financeiros'!$J$43)^(1/12)-1)</f>
        <v>0</v>
      </c>
      <c r="BG384" s="1312">
        <f t="shared" si="253"/>
        <v>0</v>
      </c>
      <c r="BH384" s="1312">
        <f>IF(AND(C384&gt;$F$73,'Instrumentos Financeiros'!C384&lt;'Instrumentos Financeiros'!$F$73+'Instrumentos Financeiros'!$F$11+1),PMT(((1+'Instrumentos Financeiros'!$J$43)^(1/12)-1),$F$11,-$I$73),0)</f>
        <v>0</v>
      </c>
      <c r="BI384" s="1312">
        <f t="shared" si="236"/>
        <v>0</v>
      </c>
      <c r="BJ384" s="1312">
        <f>BK383*((1+'Instrumentos Financeiros'!$J$43)^(1/12)-1)</f>
        <v>0</v>
      </c>
      <c r="BK384" s="1312">
        <f t="shared" si="254"/>
        <v>0</v>
      </c>
      <c r="BL384" s="1312">
        <f>IF(AND(C384&gt;$F$77,'Instrumentos Financeiros'!C384&lt;'Instrumentos Financeiros'!$F$77+'Instrumentos Financeiros'!$F$12+1),PMT(((1+'Instrumentos Financeiros'!$K$43)^(1/12)-1),$F$12,-$I$77),0)</f>
        <v>0</v>
      </c>
      <c r="BM384" s="1312">
        <f t="shared" si="255"/>
        <v>6.9451629045913863E-14</v>
      </c>
      <c r="BN384" s="1312">
        <f>BO383*((1+'Instrumentos Financeiros'!$K$43)^(1/12)-1)</f>
        <v>-6.9451629045913863E-14</v>
      </c>
      <c r="BO384" s="1312">
        <f t="shared" si="256"/>
        <v>-1.6131305370489951E-11</v>
      </c>
      <c r="BP384" s="1312">
        <f>IF(AND(C384&gt;$F$78,'Instrumentos Financeiros'!C384&lt;'Instrumentos Financeiros'!$F$78+'Instrumentos Financeiros'!$F$12+1),PMT(((1+'Instrumentos Financeiros'!$L$43)^(1/12)-1),$F$12,-$I$78),0)</f>
        <v>0</v>
      </c>
      <c r="BQ384" s="1312">
        <f t="shared" si="257"/>
        <v>6.8558435728166286E-14</v>
      </c>
      <c r="BR384" s="1312">
        <f>BS383*((1+'Instrumentos Financeiros'!$L$43)^(1/12)-1)</f>
        <v>-6.8558435728166286E-14</v>
      </c>
      <c r="BS384" s="1312">
        <f t="shared" si="258"/>
        <v>-1.5923846245896315E-11</v>
      </c>
      <c r="BT384" s="1312">
        <f>IF(AND(C384&gt;$F$79,'Instrumentos Financeiros'!C384&lt;'Instrumentos Financeiros'!$F$79+'Instrumentos Financeiros'!$F$12+1),PMT(((1+'Instrumentos Financeiros'!$L$43)^(1/12)-1),$F$12,-$I$79),0)</f>
        <v>0</v>
      </c>
      <c r="BU384" s="1312">
        <f t="shared" si="259"/>
        <v>6.7676729459949841E-14</v>
      </c>
      <c r="BV384" s="1312">
        <f>BW383*((1+'Instrumentos Financeiros'!$L$43)^(1/12)-1)</f>
        <v>-6.7676729459949841E-14</v>
      </c>
      <c r="BW384" s="1312">
        <f t="shared" si="260"/>
        <v>-1.571905518116446E-11</v>
      </c>
      <c r="BX384" s="1312">
        <f>IF(AND(C384&gt;$F$80,'Instrumentos Financeiros'!C384&lt;'Instrumentos Financeiros'!$F$80+'Instrumentos Financeiros'!$F$12+1),PMT(((1+'Instrumentos Financeiros'!$L$43)^(1/12)-1),$F$12,-$I$80),0)</f>
        <v>0</v>
      </c>
      <c r="BY384" s="1312">
        <f t="shared" si="261"/>
        <v>6.6806362510303839E-14</v>
      </c>
      <c r="BZ384" s="1312">
        <f>CA383*((1+'Instrumentos Financeiros'!$L$43)^(1/12)-1)</f>
        <v>-6.6806362510303839E-14</v>
      </c>
      <c r="CA384" s="1312">
        <f t="shared" si="262"/>
        <v>-1.5516897863301697E-11</v>
      </c>
      <c r="CB384" s="1312">
        <f>IF(AND(C384&gt;$F$83,'Instrumentos Financeiros'!C384&lt;'Instrumentos Financeiros'!$F$83+'Instrumentos Financeiros'!$F$13+1),PMT(((1+'Instrumentos Financeiros'!$P$43)^(1/12)-1),$F$13,-$I$83),0)</f>
        <v>30503.390100238979</v>
      </c>
      <c r="CC384" s="1312">
        <f t="shared" si="263"/>
        <v>23750.07905007758</v>
      </c>
      <c r="CD384" s="1312">
        <f>CE383*((1+'Instrumentos Financeiros'!$P$43)^(1/12)-1)</f>
        <v>6753.3110501613983</v>
      </c>
      <c r="CE384" s="1312">
        <f t="shared" si="264"/>
        <v>1538066.336896929</v>
      </c>
      <c r="CF384" s="1312">
        <f>IF(AND(C384&gt;$F$84,'Instrumentos Financeiros'!C384&lt;'Instrumentos Financeiros'!$F$84+'Instrumentos Financeiros'!$F$13+1),PMT(((1+'Instrumentos Financeiros'!$Q$43)^(1/12)-1),$F$13,-$I$84),0)</f>
        <v>30503.390100238979</v>
      </c>
      <c r="CG384" s="1312">
        <f t="shared" si="265"/>
        <v>23444.637519116775</v>
      </c>
      <c r="CH384" s="1312">
        <f>CI383*((1+'Instrumentos Financeiros'!$Q$43)^(1/12)-1)</f>
        <v>7058.752581122204</v>
      </c>
      <c r="CI384" s="1312">
        <f t="shared" si="266"/>
        <v>1609010.2539287587</v>
      </c>
      <c r="CJ384" s="1312">
        <f>IF(AND(C384&gt;$F$85,'Instrumentos Financeiros'!C384&lt;'Instrumentos Financeiros'!$F$85+'Instrumentos Financeiros'!$F$13+1),PMT(((1+'Instrumentos Financeiros'!$Q$43)^(1/12)-1),$F$13,-$I$85),0)</f>
        <v>30503.390100238979</v>
      </c>
      <c r="CK384" s="1312">
        <f t="shared" si="267"/>
        <v>23143.124165769146</v>
      </c>
      <c r="CL384" s="1312">
        <f>CM383*((1+'Instrumentos Financeiros'!$Q$43)^(1/12)-1)</f>
        <v>7360.2659344698341</v>
      </c>
      <c r="CM384" s="1312">
        <f t="shared" si="268"/>
        <v>1679041.7858445274</v>
      </c>
      <c r="CN384" s="1312">
        <f>IF(AND(C384&gt;$F$86,'Instrumentos Financeiros'!C384&lt;'Instrumentos Financeiros'!$F$86+'Instrumentos Financeiros'!$F$13+1),PMT(((1+'Instrumentos Financeiros'!$Q$43)^(1/12)-1),$F$13,-$I$86),0)</f>
        <v>30503.390100238979</v>
      </c>
      <c r="CO384" s="1312">
        <f t="shared" si="269"/>
        <v>22845.488471104563</v>
      </c>
      <c r="CP384" s="1312">
        <f>CQ383*((1+'Instrumentos Financeiros'!$Q$43)^(1/12)-1)</f>
        <v>7657.9016291344151</v>
      </c>
      <c r="CQ384" s="1312">
        <f t="shared" si="270"/>
        <v>1748172.6665128297</v>
      </c>
      <c r="CR384" s="1312">
        <f t="shared" si="239"/>
        <v>122013.56040095592</v>
      </c>
      <c r="CS384" s="1312">
        <f t="shared" si="239"/>
        <v>93183.329206068156</v>
      </c>
      <c r="CT384" s="1312">
        <f t="shared" si="239"/>
        <v>28830.231194887761</v>
      </c>
      <c r="CU384" s="1312">
        <f t="shared" si="239"/>
        <v>6574291.0431830231</v>
      </c>
    </row>
    <row r="385" spans="3:99" x14ac:dyDescent="0.35">
      <c r="C385" s="1315">
        <f t="shared" si="240"/>
        <v>292</v>
      </c>
      <c r="D385" s="1312">
        <f>IF(AND(C385&gt;$F$59,'Instrumentos Financeiros'!C385&lt;'Instrumentos Financeiros'!$F$59+'Instrumentos Financeiros'!$F$11+1),PMT(((1+'Instrumentos Financeiros'!$G$43)^(1/12)-1),$F$11,-$I$59),0)</f>
        <v>0</v>
      </c>
      <c r="E385" s="1312">
        <f t="shared" si="237"/>
        <v>-1.0488142146429492E-11</v>
      </c>
      <c r="F385" s="1312">
        <f>G384*((1+'Instrumentos Financeiros'!$G$43)^(1/12)-1)</f>
        <v>1.0488142146429492E-11</v>
      </c>
      <c r="G385" s="1312">
        <f t="shared" si="271"/>
        <v>2.5799772583637307E-9</v>
      </c>
      <c r="H385" s="1312">
        <f>IF(AND(C385&gt;$F$60,'Instrumentos Financeiros'!C385&lt;'Instrumentos Financeiros'!$F$60+'Instrumentos Financeiros'!$F$11+1),PMT(((1+'Instrumentos Financeiros'!$G$43)^(1/12)-1),$F$11,-$I$60),0)</f>
        <v>0</v>
      </c>
      <c r="I385" s="1312">
        <f t="shared" si="223"/>
        <v>0</v>
      </c>
      <c r="J385" s="1312">
        <f>K384*((1+'Instrumentos Financeiros'!$G$43)^(1/12)-1)</f>
        <v>0</v>
      </c>
      <c r="K385" s="1312">
        <f t="shared" si="241"/>
        <v>0</v>
      </c>
      <c r="L385" s="1312">
        <f>IF(AND(C385&gt;$F$61,'Instrumentos Financeiros'!C385&lt;'Instrumentos Financeiros'!$F$61+'Instrumentos Financeiros'!$F$11+1),PMT(((1+'Instrumentos Financeiros'!$G$43)^(1/12)-1),$F$11,-$I$61),0)</f>
        <v>0</v>
      </c>
      <c r="M385" s="1312">
        <f t="shared" si="224"/>
        <v>0</v>
      </c>
      <c r="N385" s="1312">
        <f>O384*((1+'Instrumentos Financeiros'!$G$43)^(1/12)-1)</f>
        <v>0</v>
      </c>
      <c r="O385" s="1312">
        <f t="shared" si="242"/>
        <v>0</v>
      </c>
      <c r="P385" s="1312">
        <f>IF(AND(C385&gt;$F$62,'Instrumentos Financeiros'!C385&lt;'Instrumentos Financeiros'!$F$62+'Instrumentos Financeiros'!$F$11+1),PMT(((1+'Instrumentos Financeiros'!$H$43)^(1/12)-1),$F$11,-$I$62),0)</f>
        <v>0</v>
      </c>
      <c r="Q385" s="1312">
        <f t="shared" si="225"/>
        <v>0</v>
      </c>
      <c r="R385" s="1312">
        <f>S384*((1+'Instrumentos Financeiros'!$H$43)^(1/12)-1)</f>
        <v>0</v>
      </c>
      <c r="S385" s="1312">
        <f t="shared" si="243"/>
        <v>0</v>
      </c>
      <c r="T385" s="1312">
        <f>IF(AND(C385&gt;$F$63,'Instrumentos Financeiros'!C385&lt;'Instrumentos Financeiros'!$F$63+'Instrumentos Financeiros'!$F$11+1),PMT(((1+'Instrumentos Financeiros'!$H$43)^(1/12)-1),$F$11,-$I$63),0)</f>
        <v>0</v>
      </c>
      <c r="U385" s="1312">
        <f t="shared" si="226"/>
        <v>0</v>
      </c>
      <c r="V385" s="1312">
        <f>W384*((1+'Instrumentos Financeiros'!$H$43)^(1/12)-1)</f>
        <v>0</v>
      </c>
      <c r="W385" s="1312">
        <f t="shared" si="244"/>
        <v>0</v>
      </c>
      <c r="X385" s="1312">
        <f>IF(AND(C385&gt;$F$64,'Instrumentos Financeiros'!C385&lt;'Instrumentos Financeiros'!$F$64+'Instrumentos Financeiros'!$F$11+1),PMT(((1+'Instrumentos Financeiros'!$H$43)^(1/12)-1),$F$11,-$I$64),0)</f>
        <v>0</v>
      </c>
      <c r="Y385" s="1312">
        <f t="shared" si="227"/>
        <v>0</v>
      </c>
      <c r="Z385" s="1312">
        <f>AA384*((1+'Instrumentos Financeiros'!$H$43)^(1/12)-1)</f>
        <v>0</v>
      </c>
      <c r="AA385" s="1312">
        <f t="shared" si="245"/>
        <v>0</v>
      </c>
      <c r="AB385" s="1312">
        <f>IF(AND(C385&gt;$F$65,'Instrumentos Financeiros'!C385&lt;'Instrumentos Financeiros'!$F$65+'Instrumentos Financeiros'!$F$11+1),PMT(((1+'Instrumentos Financeiros'!$H$43)^(1/12)-1),$F$11,-$I$65),0)</f>
        <v>0</v>
      </c>
      <c r="AC385" s="1312">
        <f t="shared" si="228"/>
        <v>2.5662997667323616E-11</v>
      </c>
      <c r="AD385" s="1312">
        <f>AE384*((1+'Instrumentos Financeiros'!$H$43)^(1/12)-1)</f>
        <v>-2.5662997667323616E-11</v>
      </c>
      <c r="AE385" s="1312">
        <f t="shared" si="246"/>
        <v>-5.9606615104750323E-9</v>
      </c>
      <c r="AF385" s="1312">
        <f>IF(AND(C385&gt;$F$66,'Instrumentos Financeiros'!C385&lt;'Instrumentos Financeiros'!$F$66+'Instrumentos Financeiros'!$F$11+1),PMT(((1+'Instrumentos Financeiros'!$I$43)^(1/12)-1),$F$11,-$I$66),0)</f>
        <v>0</v>
      </c>
      <c r="AG385" s="1312">
        <f t="shared" si="229"/>
        <v>2.5332954753360123E-11</v>
      </c>
      <c r="AH385" s="1312">
        <f>AI384*((1+'Instrumentos Financeiros'!$I$43)^(1/12)-1)</f>
        <v>-2.5332954753360123E-11</v>
      </c>
      <c r="AI385" s="1312">
        <f t="shared" si="247"/>
        <v>-5.8840035097391272E-9</v>
      </c>
      <c r="AJ385" s="1312">
        <f>IF(AND(C385&gt;$F$67,'Instrumentos Financeiros'!C385&lt;'Instrumentos Financeiros'!$F$67+'Instrumentos Financeiros'!$F$11+1),PMT(((1+'Instrumentos Financeiros'!$I$43)^(1/12)-1),$F$11,-$I$67),0)</f>
        <v>0</v>
      </c>
      <c r="AK385" s="1312">
        <f t="shared" si="230"/>
        <v>2.5007156406865702E-11</v>
      </c>
      <c r="AL385" s="1312">
        <f>AM384*((1+'Instrumentos Financeiros'!$I$43)^(1/12)-1)</f>
        <v>-2.5007156406865702E-11</v>
      </c>
      <c r="AM385" s="1312">
        <f t="shared" si="248"/>
        <v>-5.8083313809683562E-9</v>
      </c>
      <c r="AN385" s="1312">
        <f>IF(AND(C385&gt;$F$68,'Instrumentos Financeiros'!C385&lt;'Instrumentos Financeiros'!$F$68+'Instrumentos Financeiros'!$F$11+1),PMT(((1+'Instrumentos Financeiros'!$I$43)^(1/12)-1),$F$11,-$I$68),0)</f>
        <v>0</v>
      </c>
      <c r="AO385" s="1312">
        <f t="shared" si="231"/>
        <v>2.4685548039929995E-11</v>
      </c>
      <c r="AP385" s="1312">
        <f>AQ384*((1+'Instrumentos Financeiros'!$I$43)^(1/12)-1)</f>
        <v>-2.4685548039929995E-11</v>
      </c>
      <c r="AQ385" s="1312">
        <f t="shared" si="249"/>
        <v>-5.7336324452052407E-9</v>
      </c>
      <c r="AR385" s="1312">
        <f>IF(AND(C385&gt;$F$69,'Instrumentos Financeiros'!C385&lt;'Instrumentos Financeiros'!$F$69+'Instrumentos Financeiros'!$F$11+1),PMT(((1+'Instrumentos Financeiros'!$I$43)^(1/12)-1),$F$11,-$I$69),0)</f>
        <v>0</v>
      </c>
      <c r="AS385" s="1312">
        <f t="shared" si="232"/>
        <v>0</v>
      </c>
      <c r="AT385" s="1312">
        <f>AU384*((1+'Instrumentos Financeiros'!$I$43)^(1/12)-1)</f>
        <v>0</v>
      </c>
      <c r="AU385" s="1312">
        <f t="shared" si="250"/>
        <v>0</v>
      </c>
      <c r="AV385" s="1312">
        <f>IF(AND(C385&gt;$F$70,'Instrumentos Financeiros'!C385&lt;'Instrumentos Financeiros'!$F$70+'Instrumentos Financeiros'!$F$11+1),PMT(((1+'Instrumentos Financeiros'!$J$43)^(1/12)-1),$F$11,-$I$70),0)</f>
        <v>0</v>
      </c>
      <c r="AW385" s="1312">
        <f t="shared" si="233"/>
        <v>0</v>
      </c>
      <c r="AX385" s="1312">
        <f>AY384*((1+'Instrumentos Financeiros'!$J$43)^(1/12)-1)</f>
        <v>0</v>
      </c>
      <c r="AY385" s="1312">
        <f t="shared" si="251"/>
        <v>0</v>
      </c>
      <c r="AZ385" s="1312">
        <f>IF(AND(C385&gt;$F$71,'Instrumentos Financeiros'!C385&lt;'Instrumentos Financeiros'!$F$71+'Instrumentos Financeiros'!$F$11+1),PMT(((1+'Instrumentos Financeiros'!$J$43)^(1/12)-1),$F$11,-$I$71),0)</f>
        <v>0</v>
      </c>
      <c r="BA385" s="1312">
        <f t="shared" si="234"/>
        <v>0</v>
      </c>
      <c r="BB385" s="1312">
        <f>BC384*((1+'Instrumentos Financeiros'!$J$43)^(1/12)-1)</f>
        <v>0</v>
      </c>
      <c r="BC385" s="1312">
        <f t="shared" si="252"/>
        <v>0</v>
      </c>
      <c r="BD385" s="1312">
        <f>IF(AND(C385&gt;$F$72,'Instrumentos Financeiros'!C385&lt;'Instrumentos Financeiros'!$F$72+'Instrumentos Financeiros'!$F$11+1),PMT(((1+'Instrumentos Financeiros'!$J$43)^(1/12)-1),$F$11,-'Instrumentos Financeiros'!$G$7*$G$72),0)</f>
        <v>0</v>
      </c>
      <c r="BE385" s="1312">
        <f t="shared" si="235"/>
        <v>0</v>
      </c>
      <c r="BF385" s="1312">
        <f>BG384*((1+'Instrumentos Financeiros'!$J$43)^(1/12)-1)</f>
        <v>0</v>
      </c>
      <c r="BG385" s="1312">
        <f t="shared" si="253"/>
        <v>0</v>
      </c>
      <c r="BH385" s="1312">
        <f>IF(AND(C385&gt;$F$73,'Instrumentos Financeiros'!C385&lt;'Instrumentos Financeiros'!$F$73+'Instrumentos Financeiros'!$F$11+1),PMT(((1+'Instrumentos Financeiros'!$J$43)^(1/12)-1),$F$11,-$I$73),0)</f>
        <v>0</v>
      </c>
      <c r="BI385" s="1312">
        <f t="shared" si="236"/>
        <v>0</v>
      </c>
      <c r="BJ385" s="1312">
        <f>BK384*((1+'Instrumentos Financeiros'!$J$43)^(1/12)-1)</f>
        <v>0</v>
      </c>
      <c r="BK385" s="1312">
        <f t="shared" si="254"/>
        <v>0</v>
      </c>
      <c r="BL385" s="1312">
        <f>IF(AND(C385&gt;$F$77,'Instrumentos Financeiros'!C385&lt;'Instrumentos Financeiros'!$F$77+'Instrumentos Financeiros'!$F$12+1),PMT(((1+'Instrumentos Financeiros'!$K$43)^(1/12)-1),$F$12,-$I$77),0)</f>
        <v>0</v>
      </c>
      <c r="BM385" s="1312">
        <f t="shared" si="255"/>
        <v>6.9751938639985508E-14</v>
      </c>
      <c r="BN385" s="1312">
        <f>BO384*((1+'Instrumentos Financeiros'!$K$43)^(1/12)-1)</f>
        <v>-6.9751938639985508E-14</v>
      </c>
      <c r="BO385" s="1312">
        <f t="shared" si="256"/>
        <v>-1.6201057309129937E-11</v>
      </c>
      <c r="BP385" s="1312">
        <f>IF(AND(C385&gt;$F$78,'Instrumentos Financeiros'!C385&lt;'Instrumentos Financeiros'!$F$78+'Instrumentos Financeiros'!$F$12+1),PMT(((1+'Instrumentos Financeiros'!$L$43)^(1/12)-1),$F$12,-$I$78),0)</f>
        <v>0</v>
      </c>
      <c r="BQ385" s="1312">
        <f t="shared" si="257"/>
        <v>6.8854883144685511E-14</v>
      </c>
      <c r="BR385" s="1312">
        <f>BS384*((1+'Instrumentos Financeiros'!$L$43)^(1/12)-1)</f>
        <v>-6.8854883144685511E-14</v>
      </c>
      <c r="BS385" s="1312">
        <f t="shared" si="258"/>
        <v>-1.5992701129041002E-11</v>
      </c>
      <c r="BT385" s="1312">
        <f>IF(AND(C385&gt;$F$79,'Instrumentos Financeiros'!C385&lt;'Instrumentos Financeiros'!$F$79+'Instrumentos Financeiros'!$F$12+1),PMT(((1+'Instrumentos Financeiros'!$L$43)^(1/12)-1),$F$12,-$I$79),0)</f>
        <v>0</v>
      </c>
      <c r="BU385" s="1312">
        <f t="shared" si="259"/>
        <v>6.7969364369042877E-14</v>
      </c>
      <c r="BV385" s="1312">
        <f>BW384*((1+'Instrumentos Financeiros'!$L$43)^(1/12)-1)</f>
        <v>-6.7969364369042877E-14</v>
      </c>
      <c r="BW385" s="1312">
        <f t="shared" si="260"/>
        <v>-1.5787024545533503E-11</v>
      </c>
      <c r="BX385" s="1312">
        <f>IF(AND(C385&gt;$F$80,'Instrumentos Financeiros'!C385&lt;'Instrumentos Financeiros'!$F$80+'Instrumentos Financeiros'!$F$12+1),PMT(((1+'Instrumentos Financeiros'!$L$43)^(1/12)-1),$F$12,-$I$80),0)</f>
        <v>0</v>
      </c>
      <c r="BY385" s="1312">
        <f t="shared" si="261"/>
        <v>6.7095233943306648E-14</v>
      </c>
      <c r="BZ385" s="1312">
        <f>CA384*((1+'Instrumentos Financeiros'!$L$43)^(1/12)-1)</f>
        <v>-6.7095233943306648E-14</v>
      </c>
      <c r="CA385" s="1312">
        <f t="shared" si="262"/>
        <v>-1.5583993097245005E-11</v>
      </c>
      <c r="CB385" s="1312">
        <f>IF(AND(C385&gt;$F$83,'Instrumentos Financeiros'!C385&lt;'Instrumentos Financeiros'!$F$83+'Instrumentos Financeiros'!$F$13+1),PMT(((1+'Instrumentos Financeiros'!$P$43)^(1/12)-1),$F$13,-$I$83),0)</f>
        <v>30503.390100238979</v>
      </c>
      <c r="CC385" s="1312">
        <f t="shared" si="263"/>
        <v>23852.774648390809</v>
      </c>
      <c r="CD385" s="1312">
        <f>CE384*((1+'Instrumentos Financeiros'!$P$43)^(1/12)-1)</f>
        <v>6650.6154518481717</v>
      </c>
      <c r="CE385" s="1312">
        <f t="shared" si="264"/>
        <v>1514213.5622485382</v>
      </c>
      <c r="CF385" s="1312">
        <f>IF(AND(C385&gt;$F$84,'Instrumentos Financeiros'!C385&lt;'Instrumentos Financeiros'!$F$84+'Instrumentos Financeiros'!$F$13+1),PMT(((1+'Instrumentos Financeiros'!$Q$43)^(1/12)-1),$F$13,-$I$84),0)</f>
        <v>30503.390100238979</v>
      </c>
      <c r="CG385" s="1312">
        <f t="shared" si="265"/>
        <v>23546.012384951362</v>
      </c>
      <c r="CH385" s="1312">
        <f>CI384*((1+'Instrumentos Financeiros'!$Q$43)^(1/12)-1)</f>
        <v>6957.3777152876191</v>
      </c>
      <c r="CI385" s="1312">
        <f t="shared" si="266"/>
        <v>1585464.2415438073</v>
      </c>
      <c r="CJ385" s="1312">
        <f>IF(AND(C385&gt;$F$85,'Instrumentos Financeiros'!C385&lt;'Instrumentos Financeiros'!$F$85+'Instrumentos Financeiros'!$F$13+1),PMT(((1+'Instrumentos Financeiros'!$Q$43)^(1/12)-1),$F$13,-$I$85),0)</f>
        <v>30503.390100238979</v>
      </c>
      <c r="CK385" s="1312">
        <f t="shared" si="267"/>
        <v>23243.195284607515</v>
      </c>
      <c r="CL385" s="1312">
        <f>CM384*((1+'Instrumentos Financeiros'!$Q$43)^(1/12)-1)</f>
        <v>7260.1948156314656</v>
      </c>
      <c r="CM385" s="1312">
        <f t="shared" si="268"/>
        <v>1655798.5905599198</v>
      </c>
      <c r="CN385" s="1312">
        <f>IF(AND(C385&gt;$F$86,'Instrumentos Financeiros'!C385&lt;'Instrumentos Financeiros'!$F$86+'Instrumentos Financeiros'!$F$13+1),PMT(((1+'Instrumentos Financeiros'!$Q$43)^(1/12)-1),$F$13,-$I$86),0)</f>
        <v>30503.390100238979</v>
      </c>
      <c r="CO385" s="1312">
        <f t="shared" si="269"/>
        <v>22944.272609984739</v>
      </c>
      <c r="CP385" s="1312">
        <f>CQ384*((1+'Instrumentos Financeiros'!$Q$43)^(1/12)-1)</f>
        <v>7559.1174902542407</v>
      </c>
      <c r="CQ385" s="1312">
        <f t="shared" si="270"/>
        <v>1725228.393902845</v>
      </c>
      <c r="CR385" s="1312">
        <f t="shared" si="239"/>
        <v>122013.56040095592</v>
      </c>
      <c r="CS385" s="1312">
        <f t="shared" si="239"/>
        <v>93586.254927934511</v>
      </c>
      <c r="CT385" s="1312">
        <f t="shared" si="239"/>
        <v>28427.305473021406</v>
      </c>
      <c r="CU385" s="1312">
        <f t="shared" si="239"/>
        <v>6480704.788255089</v>
      </c>
    </row>
    <row r="386" spans="3:99" x14ac:dyDescent="0.35">
      <c r="C386" s="1315">
        <f t="shared" si="240"/>
        <v>293</v>
      </c>
      <c r="D386" s="1312">
        <f>IF(AND(C386&gt;$F$59,'Instrumentos Financeiros'!C386&lt;'Instrumentos Financeiros'!$F$59+'Instrumentos Financeiros'!$F$11+1),PMT(((1+'Instrumentos Financeiros'!$G$43)^(1/12)-1),$F$11,-$I$59),0)</f>
        <v>0</v>
      </c>
      <c r="E386" s="1312">
        <f t="shared" si="237"/>
        <v>-1.0530952651050601E-11</v>
      </c>
      <c r="F386" s="1312">
        <f>G385*((1+'Instrumentos Financeiros'!$G$43)^(1/12)-1)</f>
        <v>1.0530952651050601E-11</v>
      </c>
      <c r="G386" s="1312">
        <f t="shared" si="271"/>
        <v>2.5905082110147811E-9</v>
      </c>
      <c r="H386" s="1312">
        <f>IF(AND(C386&gt;$F$60,'Instrumentos Financeiros'!C386&lt;'Instrumentos Financeiros'!$F$60+'Instrumentos Financeiros'!$F$11+1),PMT(((1+'Instrumentos Financeiros'!$G$43)^(1/12)-1),$F$11,-$I$60),0)</f>
        <v>0</v>
      </c>
      <c r="I386" s="1312">
        <f t="shared" si="223"/>
        <v>0</v>
      </c>
      <c r="J386" s="1312">
        <f>K385*((1+'Instrumentos Financeiros'!$G$43)^(1/12)-1)</f>
        <v>0</v>
      </c>
      <c r="K386" s="1312">
        <f t="shared" si="241"/>
        <v>0</v>
      </c>
      <c r="L386" s="1312">
        <f>IF(AND(C386&gt;$F$61,'Instrumentos Financeiros'!C386&lt;'Instrumentos Financeiros'!$F$61+'Instrumentos Financeiros'!$F$11+1),PMT(((1+'Instrumentos Financeiros'!$G$43)^(1/12)-1),$F$11,-$I$61),0)</f>
        <v>0</v>
      </c>
      <c r="M386" s="1312">
        <f t="shared" si="224"/>
        <v>0</v>
      </c>
      <c r="N386" s="1312">
        <f>O385*((1+'Instrumentos Financeiros'!$G$43)^(1/12)-1)</f>
        <v>0</v>
      </c>
      <c r="O386" s="1312">
        <f t="shared" si="242"/>
        <v>0</v>
      </c>
      <c r="P386" s="1312">
        <f>IF(AND(C386&gt;$F$62,'Instrumentos Financeiros'!C386&lt;'Instrumentos Financeiros'!$F$62+'Instrumentos Financeiros'!$F$11+1),PMT(((1+'Instrumentos Financeiros'!$H$43)^(1/12)-1),$F$11,-$I$62),0)</f>
        <v>0</v>
      </c>
      <c r="Q386" s="1312">
        <f t="shared" si="225"/>
        <v>0</v>
      </c>
      <c r="R386" s="1312">
        <f>S385*((1+'Instrumentos Financeiros'!$H$43)^(1/12)-1)</f>
        <v>0</v>
      </c>
      <c r="S386" s="1312">
        <f t="shared" si="243"/>
        <v>0</v>
      </c>
      <c r="T386" s="1312">
        <f>IF(AND(C386&gt;$F$63,'Instrumentos Financeiros'!C386&lt;'Instrumentos Financeiros'!$F$63+'Instrumentos Financeiros'!$F$11+1),PMT(((1+'Instrumentos Financeiros'!$H$43)^(1/12)-1),$F$11,-$I$63),0)</f>
        <v>0</v>
      </c>
      <c r="U386" s="1312">
        <f t="shared" si="226"/>
        <v>0</v>
      </c>
      <c r="V386" s="1312">
        <f>W385*((1+'Instrumentos Financeiros'!$H$43)^(1/12)-1)</f>
        <v>0</v>
      </c>
      <c r="W386" s="1312">
        <f t="shared" si="244"/>
        <v>0</v>
      </c>
      <c r="X386" s="1312">
        <f>IF(AND(C386&gt;$F$64,'Instrumentos Financeiros'!C386&lt;'Instrumentos Financeiros'!$F$64+'Instrumentos Financeiros'!$F$11+1),PMT(((1+'Instrumentos Financeiros'!$H$43)^(1/12)-1),$F$11,-$I$64),0)</f>
        <v>0</v>
      </c>
      <c r="Y386" s="1312">
        <f t="shared" si="227"/>
        <v>0</v>
      </c>
      <c r="Z386" s="1312">
        <f>AA385*((1+'Instrumentos Financeiros'!$H$43)^(1/12)-1)</f>
        <v>0</v>
      </c>
      <c r="AA386" s="1312">
        <f t="shared" si="245"/>
        <v>0</v>
      </c>
      <c r="AB386" s="1312">
        <f>IF(AND(C386&gt;$F$65,'Instrumentos Financeiros'!C386&lt;'Instrumentos Financeiros'!$F$65+'Instrumentos Financeiros'!$F$11+1),PMT(((1+'Instrumentos Financeiros'!$H$43)^(1/12)-1),$F$11,-$I$65),0)</f>
        <v>0</v>
      </c>
      <c r="AC386" s="1312">
        <f t="shared" si="228"/>
        <v>2.5773964746397323E-11</v>
      </c>
      <c r="AD386" s="1312">
        <f>AE385*((1+'Instrumentos Financeiros'!$H$43)^(1/12)-1)</f>
        <v>-2.5773964746397323E-11</v>
      </c>
      <c r="AE386" s="1312">
        <f t="shared" si="246"/>
        <v>-5.9864354752214297E-9</v>
      </c>
      <c r="AF386" s="1312">
        <f>IF(AND(C386&gt;$F$66,'Instrumentos Financeiros'!C386&lt;'Instrumentos Financeiros'!$F$66+'Instrumentos Financeiros'!$F$11+1),PMT(((1+'Instrumentos Financeiros'!$I$43)^(1/12)-1),$F$11,-$I$66),0)</f>
        <v>0</v>
      </c>
      <c r="AG386" s="1312">
        <f t="shared" si="229"/>
        <v>2.5442494723309388E-11</v>
      </c>
      <c r="AH386" s="1312">
        <f>AI385*((1+'Instrumentos Financeiros'!$I$43)^(1/12)-1)</f>
        <v>-2.5442494723309388E-11</v>
      </c>
      <c r="AI386" s="1312">
        <f t="shared" si="247"/>
        <v>-5.9094460044624368E-9</v>
      </c>
      <c r="AJ386" s="1312">
        <f>IF(AND(C386&gt;$F$67,'Instrumentos Financeiros'!C386&lt;'Instrumentos Financeiros'!$F$67+'Instrumentos Financeiros'!$F$11+1),PMT(((1+'Instrumentos Financeiros'!$I$43)^(1/12)-1),$F$11,-$I$67),0)</f>
        <v>0</v>
      </c>
      <c r="AK386" s="1312">
        <f t="shared" si="230"/>
        <v>2.5115287621246105E-11</v>
      </c>
      <c r="AL386" s="1312">
        <f>AM385*((1+'Instrumentos Financeiros'!$I$43)^(1/12)-1)</f>
        <v>-2.5115287621246105E-11</v>
      </c>
      <c r="AM386" s="1312">
        <f t="shared" si="248"/>
        <v>-5.8334466685896023E-9</v>
      </c>
      <c r="AN386" s="1312">
        <f>IF(AND(C386&gt;$F$68,'Instrumentos Financeiros'!C386&lt;'Instrumentos Financeiros'!$F$68+'Instrumentos Financeiros'!$F$11+1),PMT(((1+'Instrumentos Financeiros'!$I$43)^(1/12)-1),$F$11,-$I$68),0)</f>
        <v>0</v>
      </c>
      <c r="AO386" s="1312">
        <f t="shared" si="231"/>
        <v>2.4792288616258402E-11</v>
      </c>
      <c r="AP386" s="1312">
        <f>AQ385*((1+'Instrumentos Financeiros'!$I$43)^(1/12)-1)</f>
        <v>-2.4792288616258402E-11</v>
      </c>
      <c r="AQ386" s="1312">
        <f t="shared" si="249"/>
        <v>-5.7584247338214994E-9</v>
      </c>
      <c r="AR386" s="1312">
        <f>IF(AND(C386&gt;$F$69,'Instrumentos Financeiros'!C386&lt;'Instrumentos Financeiros'!$F$69+'Instrumentos Financeiros'!$F$11+1),PMT(((1+'Instrumentos Financeiros'!$I$43)^(1/12)-1),$F$11,-$I$69),0)</f>
        <v>0</v>
      </c>
      <c r="AS386" s="1312">
        <f t="shared" si="232"/>
        <v>0</v>
      </c>
      <c r="AT386" s="1312">
        <f>AU385*((1+'Instrumentos Financeiros'!$I$43)^(1/12)-1)</f>
        <v>0</v>
      </c>
      <c r="AU386" s="1312">
        <f t="shared" si="250"/>
        <v>0</v>
      </c>
      <c r="AV386" s="1312">
        <f>IF(AND(C386&gt;$F$70,'Instrumentos Financeiros'!C386&lt;'Instrumentos Financeiros'!$F$70+'Instrumentos Financeiros'!$F$11+1),PMT(((1+'Instrumentos Financeiros'!$J$43)^(1/12)-1),$F$11,-$I$70),0)</f>
        <v>0</v>
      </c>
      <c r="AW386" s="1312">
        <f t="shared" si="233"/>
        <v>0</v>
      </c>
      <c r="AX386" s="1312">
        <f>AY385*((1+'Instrumentos Financeiros'!$J$43)^(1/12)-1)</f>
        <v>0</v>
      </c>
      <c r="AY386" s="1312">
        <f t="shared" si="251"/>
        <v>0</v>
      </c>
      <c r="AZ386" s="1312">
        <f>IF(AND(C386&gt;$F$71,'Instrumentos Financeiros'!C386&lt;'Instrumentos Financeiros'!$F$71+'Instrumentos Financeiros'!$F$11+1),PMT(((1+'Instrumentos Financeiros'!$J$43)^(1/12)-1),$F$11,-$I$71),0)</f>
        <v>0</v>
      </c>
      <c r="BA386" s="1312">
        <f t="shared" si="234"/>
        <v>0</v>
      </c>
      <c r="BB386" s="1312">
        <f>BC385*((1+'Instrumentos Financeiros'!$J$43)^(1/12)-1)</f>
        <v>0</v>
      </c>
      <c r="BC386" s="1312">
        <f t="shared" si="252"/>
        <v>0</v>
      </c>
      <c r="BD386" s="1312">
        <f>IF(AND(C386&gt;$F$72,'Instrumentos Financeiros'!C386&lt;'Instrumentos Financeiros'!$F$72+'Instrumentos Financeiros'!$F$11+1),PMT(((1+'Instrumentos Financeiros'!$J$43)^(1/12)-1),$F$11,-'Instrumentos Financeiros'!$G$7*$G$72),0)</f>
        <v>0</v>
      </c>
      <c r="BE386" s="1312">
        <f t="shared" si="235"/>
        <v>0</v>
      </c>
      <c r="BF386" s="1312">
        <f>BG385*((1+'Instrumentos Financeiros'!$J$43)^(1/12)-1)</f>
        <v>0</v>
      </c>
      <c r="BG386" s="1312">
        <f t="shared" si="253"/>
        <v>0</v>
      </c>
      <c r="BH386" s="1312">
        <f>IF(AND(C386&gt;$F$73,'Instrumentos Financeiros'!C386&lt;'Instrumentos Financeiros'!$F$73+'Instrumentos Financeiros'!$F$11+1),PMT(((1+'Instrumentos Financeiros'!$J$43)^(1/12)-1),$F$11,-$I$73),0)</f>
        <v>0</v>
      </c>
      <c r="BI386" s="1312">
        <f t="shared" si="236"/>
        <v>0</v>
      </c>
      <c r="BJ386" s="1312">
        <f>BK385*((1+'Instrumentos Financeiros'!$J$43)^(1/12)-1)</f>
        <v>0</v>
      </c>
      <c r="BK386" s="1312">
        <f t="shared" si="254"/>
        <v>0</v>
      </c>
      <c r="BL386" s="1312">
        <f>IF(AND(C386&gt;$F$77,'Instrumentos Financeiros'!C386&lt;'Instrumentos Financeiros'!$F$77+'Instrumentos Financeiros'!$F$12+1),PMT(((1+'Instrumentos Financeiros'!$K$43)^(1/12)-1),$F$12,-$I$77),0)</f>
        <v>0</v>
      </c>
      <c r="BM386" s="1312">
        <f t="shared" si="255"/>
        <v>7.0053546775985264E-14</v>
      </c>
      <c r="BN386" s="1312">
        <f>BO385*((1+'Instrumentos Financeiros'!$K$43)^(1/12)-1)</f>
        <v>-7.0053546775985264E-14</v>
      </c>
      <c r="BO386" s="1312">
        <f t="shared" si="256"/>
        <v>-1.6271110855905923E-11</v>
      </c>
      <c r="BP386" s="1312">
        <f>IF(AND(C386&gt;$F$78,'Instrumentos Financeiros'!C386&lt;'Instrumentos Financeiros'!$F$78+'Instrumentos Financeiros'!$F$12+1),PMT(((1+'Instrumentos Financeiros'!$L$43)^(1/12)-1),$F$12,-$I$78),0)</f>
        <v>0</v>
      </c>
      <c r="BQ386" s="1312">
        <f t="shared" si="257"/>
        <v>6.9152612403035408E-14</v>
      </c>
      <c r="BR386" s="1312">
        <f>BS385*((1+'Instrumentos Financeiros'!$L$43)^(1/12)-1)</f>
        <v>-6.9152612403035408E-14</v>
      </c>
      <c r="BS386" s="1312">
        <f t="shared" si="258"/>
        <v>-1.6061853741444038E-11</v>
      </c>
      <c r="BT386" s="1312">
        <f>IF(AND(C386&gt;$F$79,'Instrumentos Financeiros'!C386&lt;'Instrumentos Financeiros'!$F$79+'Instrumentos Financeiros'!$F$12+1),PMT(((1+'Instrumentos Financeiros'!$L$43)^(1/12)-1),$F$12,-$I$79),0)</f>
        <v>0</v>
      </c>
      <c r="BU386" s="1312">
        <f t="shared" si="259"/>
        <v>6.826326463464329E-14</v>
      </c>
      <c r="BV386" s="1312">
        <f>BW385*((1+'Instrumentos Financeiros'!$L$43)^(1/12)-1)</f>
        <v>-6.826326463464329E-14</v>
      </c>
      <c r="BW386" s="1312">
        <f t="shared" si="260"/>
        <v>-1.5855287810168148E-11</v>
      </c>
      <c r="BX386" s="1312">
        <f>IF(AND(C386&gt;$F$80,'Instrumentos Financeiros'!C386&lt;'Instrumentos Financeiros'!$F$80+'Instrumentos Financeiros'!$F$12+1),PMT(((1+'Instrumentos Financeiros'!$L$43)^(1/12)-1),$F$12,-$I$80),0)</f>
        <v>0</v>
      </c>
      <c r="BY386" s="1312">
        <f t="shared" si="261"/>
        <v>6.7385354459505577E-14</v>
      </c>
      <c r="BZ386" s="1312">
        <f>CA385*((1+'Instrumentos Financeiros'!$L$43)^(1/12)-1)</f>
        <v>-6.7385354459505577E-14</v>
      </c>
      <c r="CA386" s="1312">
        <f t="shared" si="262"/>
        <v>-1.565137845170451E-11</v>
      </c>
      <c r="CB386" s="1312">
        <f>IF(AND(C386&gt;$F$83,'Instrumentos Financeiros'!C386&lt;'Instrumentos Financeiros'!$F$83+'Instrumentos Financeiros'!$F$13+1),PMT(((1+'Instrumentos Financeiros'!$P$43)^(1/12)-1),$F$13,-$I$83),0)</f>
        <v>30503.390100238979</v>
      </c>
      <c r="CC386" s="1312">
        <f t="shared" si="263"/>
        <v>23955.914303580252</v>
      </c>
      <c r="CD386" s="1312">
        <f>CE385*((1+'Instrumentos Financeiros'!$P$43)^(1/12)-1)</f>
        <v>6547.4757966587285</v>
      </c>
      <c r="CE386" s="1312">
        <f t="shared" si="264"/>
        <v>1490257.6479449579</v>
      </c>
      <c r="CF386" s="1312">
        <f>IF(AND(C386&gt;$F$84,'Instrumentos Financeiros'!C386&lt;'Instrumentos Financeiros'!$F$84+'Instrumentos Financeiros'!$F$13+1),PMT(((1+'Instrumentos Financeiros'!$Q$43)^(1/12)-1),$F$13,-$I$84),0)</f>
        <v>30503.390100238979</v>
      </c>
      <c r="CG386" s="1312">
        <f t="shared" si="265"/>
        <v>23647.825596800663</v>
      </c>
      <c r="CH386" s="1312">
        <f>CI385*((1+'Instrumentos Financeiros'!$Q$43)^(1/12)-1)</f>
        <v>6855.5645034383178</v>
      </c>
      <c r="CI386" s="1312">
        <f t="shared" si="266"/>
        <v>1561816.4159470065</v>
      </c>
      <c r="CJ386" s="1312">
        <f>IF(AND(C386&gt;$F$85,'Instrumentos Financeiros'!C386&lt;'Instrumentos Financeiros'!$F$85+'Instrumentos Financeiros'!$F$13+1),PMT(((1+'Instrumentos Financeiros'!$Q$43)^(1/12)-1),$F$13,-$I$85),0)</f>
        <v>30503.390100238979</v>
      </c>
      <c r="CK386" s="1312">
        <f t="shared" si="267"/>
        <v>23343.699112044505</v>
      </c>
      <c r="CL386" s="1312">
        <f>CM385*((1+'Instrumentos Financeiros'!$Q$43)^(1/12)-1)</f>
        <v>7159.6909881944739</v>
      </c>
      <c r="CM386" s="1312">
        <f t="shared" si="268"/>
        <v>1632454.8914478754</v>
      </c>
      <c r="CN386" s="1312">
        <f>IF(AND(C386&gt;$F$86,'Instrumentos Financeiros'!C386&lt;'Instrumentos Financeiros'!$F$86+'Instrumentos Financeiros'!$F$13+1),PMT(((1+'Instrumentos Financeiros'!$Q$43)^(1/12)-1),$F$13,-$I$86),0)</f>
        <v>30503.390100238979</v>
      </c>
      <c r="CO386" s="1312">
        <f t="shared" si="269"/>
        <v>23043.483892548298</v>
      </c>
      <c r="CP386" s="1312">
        <f>CQ385*((1+'Instrumentos Financeiros'!$Q$43)^(1/12)-1)</f>
        <v>7459.9062076906803</v>
      </c>
      <c r="CQ386" s="1312">
        <f t="shared" si="270"/>
        <v>1702184.9100102966</v>
      </c>
      <c r="CR386" s="1312">
        <f t="shared" si="239"/>
        <v>122013.56040095592</v>
      </c>
      <c r="CS386" s="1312">
        <f t="shared" si="239"/>
        <v>93990.922904973821</v>
      </c>
      <c r="CT386" s="1312">
        <f t="shared" si="239"/>
        <v>28022.637495982111</v>
      </c>
      <c r="CU386" s="1312">
        <f t="shared" si="239"/>
        <v>6386713.865350116</v>
      </c>
    </row>
    <row r="387" spans="3:99" x14ac:dyDescent="0.35">
      <c r="C387" s="1315">
        <f t="shared" si="240"/>
        <v>294</v>
      </c>
      <c r="D387" s="1312">
        <f>IF(AND(C387&gt;$F$59,'Instrumentos Financeiros'!C387&lt;'Instrumentos Financeiros'!$F$59+'Instrumentos Financeiros'!$F$11+1),PMT(((1+'Instrumentos Financeiros'!$G$43)^(1/12)-1),$F$11,-$I$59),0)</f>
        <v>0</v>
      </c>
      <c r="E387" s="1312">
        <f t="shared" si="237"/>
        <v>-1.0573937899613995E-11</v>
      </c>
      <c r="F387" s="1312">
        <f>G386*((1+'Instrumentos Financeiros'!$G$43)^(1/12)-1)</f>
        <v>1.0573937899613995E-11</v>
      </c>
      <c r="G387" s="1312">
        <f t="shared" si="271"/>
        <v>2.6010821489143951E-9</v>
      </c>
      <c r="H387" s="1312">
        <f>IF(AND(C387&gt;$F$60,'Instrumentos Financeiros'!C387&lt;'Instrumentos Financeiros'!$F$60+'Instrumentos Financeiros'!$F$11+1),PMT(((1+'Instrumentos Financeiros'!$G$43)^(1/12)-1),$F$11,-$I$60),0)</f>
        <v>0</v>
      </c>
      <c r="I387" s="1312">
        <f t="shared" si="223"/>
        <v>0</v>
      </c>
      <c r="J387" s="1312">
        <f>K386*((1+'Instrumentos Financeiros'!$G$43)^(1/12)-1)</f>
        <v>0</v>
      </c>
      <c r="K387" s="1312">
        <f t="shared" si="241"/>
        <v>0</v>
      </c>
      <c r="L387" s="1312">
        <f>IF(AND(C387&gt;$F$61,'Instrumentos Financeiros'!C387&lt;'Instrumentos Financeiros'!$F$61+'Instrumentos Financeiros'!$F$11+1),PMT(((1+'Instrumentos Financeiros'!$G$43)^(1/12)-1),$F$11,-$I$61),0)</f>
        <v>0</v>
      </c>
      <c r="M387" s="1312">
        <f t="shared" si="224"/>
        <v>0</v>
      </c>
      <c r="N387" s="1312">
        <f>O386*((1+'Instrumentos Financeiros'!$G$43)^(1/12)-1)</f>
        <v>0</v>
      </c>
      <c r="O387" s="1312">
        <f t="shared" si="242"/>
        <v>0</v>
      </c>
      <c r="P387" s="1312">
        <f>IF(AND(C387&gt;$F$62,'Instrumentos Financeiros'!C387&lt;'Instrumentos Financeiros'!$F$62+'Instrumentos Financeiros'!$F$11+1),PMT(((1+'Instrumentos Financeiros'!$H$43)^(1/12)-1),$F$11,-$I$62),0)</f>
        <v>0</v>
      </c>
      <c r="Q387" s="1312">
        <f t="shared" si="225"/>
        <v>0</v>
      </c>
      <c r="R387" s="1312">
        <f>S386*((1+'Instrumentos Financeiros'!$H$43)^(1/12)-1)</f>
        <v>0</v>
      </c>
      <c r="S387" s="1312">
        <f t="shared" si="243"/>
        <v>0</v>
      </c>
      <c r="T387" s="1312">
        <f>IF(AND(C387&gt;$F$63,'Instrumentos Financeiros'!C387&lt;'Instrumentos Financeiros'!$F$63+'Instrumentos Financeiros'!$F$11+1),PMT(((1+'Instrumentos Financeiros'!$H$43)^(1/12)-1),$F$11,-$I$63),0)</f>
        <v>0</v>
      </c>
      <c r="U387" s="1312">
        <f t="shared" si="226"/>
        <v>0</v>
      </c>
      <c r="V387" s="1312">
        <f>W386*((1+'Instrumentos Financeiros'!$H$43)^(1/12)-1)</f>
        <v>0</v>
      </c>
      <c r="W387" s="1312">
        <f t="shared" si="244"/>
        <v>0</v>
      </c>
      <c r="X387" s="1312">
        <f>IF(AND(C387&gt;$F$64,'Instrumentos Financeiros'!C387&lt;'Instrumentos Financeiros'!$F$64+'Instrumentos Financeiros'!$F$11+1),PMT(((1+'Instrumentos Financeiros'!$H$43)^(1/12)-1),$F$11,-$I$64),0)</f>
        <v>0</v>
      </c>
      <c r="Y387" s="1312">
        <f t="shared" si="227"/>
        <v>0</v>
      </c>
      <c r="Z387" s="1312">
        <f>AA386*((1+'Instrumentos Financeiros'!$H$43)^(1/12)-1)</f>
        <v>0</v>
      </c>
      <c r="AA387" s="1312">
        <f t="shared" si="245"/>
        <v>0</v>
      </c>
      <c r="AB387" s="1312">
        <f>IF(AND(C387&gt;$F$65,'Instrumentos Financeiros'!C387&lt;'Instrumentos Financeiros'!$F$65+'Instrumentos Financeiros'!$F$11+1),PMT(((1+'Instrumentos Financeiros'!$H$43)^(1/12)-1),$F$11,-$I$65),0)</f>
        <v>0</v>
      </c>
      <c r="AC387" s="1312">
        <f t="shared" si="228"/>
        <v>2.5885411648319389E-11</v>
      </c>
      <c r="AD387" s="1312">
        <f>AE386*((1+'Instrumentos Financeiros'!$H$43)^(1/12)-1)</f>
        <v>-2.5885411648319389E-11</v>
      </c>
      <c r="AE387" s="1312">
        <f t="shared" si="246"/>
        <v>-6.0123208868697494E-9</v>
      </c>
      <c r="AF387" s="1312">
        <f>IF(AND(C387&gt;$F$66,'Instrumentos Financeiros'!C387&lt;'Instrumentos Financeiros'!$F$66+'Instrumentos Financeiros'!$F$11+1),PMT(((1+'Instrumentos Financeiros'!$I$43)^(1/12)-1),$F$11,-$I$66),0)</f>
        <v>0</v>
      </c>
      <c r="AG387" s="1312">
        <f t="shared" si="229"/>
        <v>2.5552508345271749E-11</v>
      </c>
      <c r="AH387" s="1312">
        <f>AI386*((1+'Instrumentos Financeiros'!$I$43)^(1/12)-1)</f>
        <v>-2.5552508345271749E-11</v>
      </c>
      <c r="AI387" s="1312">
        <f t="shared" si="247"/>
        <v>-5.9349985128077083E-9</v>
      </c>
      <c r="AJ387" s="1312">
        <f>IF(AND(C387&gt;$F$67,'Instrumentos Financeiros'!C387&lt;'Instrumentos Financeiros'!$F$67+'Instrumentos Financeiros'!$F$11+1),PMT(((1+'Instrumentos Financeiros'!$I$43)^(1/12)-1),$F$11,-$I$67),0)</f>
        <v>0</v>
      </c>
      <c r="AK387" s="1312">
        <f t="shared" si="230"/>
        <v>2.5223886396165306E-11</v>
      </c>
      <c r="AL387" s="1312">
        <f>AM386*((1+'Instrumentos Financeiros'!$I$43)^(1/12)-1)</f>
        <v>-2.5223886396165306E-11</v>
      </c>
      <c r="AM387" s="1312">
        <f t="shared" si="248"/>
        <v>-5.8586705549857672E-9</v>
      </c>
      <c r="AN387" s="1312">
        <f>IF(AND(C387&gt;$F$68,'Instrumentos Financeiros'!C387&lt;'Instrumentos Financeiros'!$F$68+'Instrumentos Financeiros'!$F$11+1),PMT(((1+'Instrumentos Financeiros'!$I$43)^(1/12)-1),$F$11,-$I$68),0)</f>
        <v>0</v>
      </c>
      <c r="AO387" s="1312">
        <f t="shared" si="231"/>
        <v>2.4899490739991652E-11</v>
      </c>
      <c r="AP387" s="1312">
        <f>AQ386*((1+'Instrumentos Financeiros'!$I$43)^(1/12)-1)</f>
        <v>-2.4899490739991652E-11</v>
      </c>
      <c r="AQ387" s="1312">
        <f t="shared" si="249"/>
        <v>-5.7833242245614908E-9</v>
      </c>
      <c r="AR387" s="1312">
        <f>IF(AND(C387&gt;$F$69,'Instrumentos Financeiros'!C387&lt;'Instrumentos Financeiros'!$F$69+'Instrumentos Financeiros'!$F$11+1),PMT(((1+'Instrumentos Financeiros'!$I$43)^(1/12)-1),$F$11,-$I$69),0)</f>
        <v>0</v>
      </c>
      <c r="AS387" s="1312">
        <f t="shared" si="232"/>
        <v>0</v>
      </c>
      <c r="AT387" s="1312">
        <f>AU386*((1+'Instrumentos Financeiros'!$I$43)^(1/12)-1)</f>
        <v>0</v>
      </c>
      <c r="AU387" s="1312">
        <f t="shared" si="250"/>
        <v>0</v>
      </c>
      <c r="AV387" s="1312">
        <f>IF(AND(C387&gt;$F$70,'Instrumentos Financeiros'!C387&lt;'Instrumentos Financeiros'!$F$70+'Instrumentos Financeiros'!$F$11+1),PMT(((1+'Instrumentos Financeiros'!$J$43)^(1/12)-1),$F$11,-$I$70),0)</f>
        <v>0</v>
      </c>
      <c r="AW387" s="1312">
        <f t="shared" si="233"/>
        <v>0</v>
      </c>
      <c r="AX387" s="1312">
        <f>AY386*((1+'Instrumentos Financeiros'!$J$43)^(1/12)-1)</f>
        <v>0</v>
      </c>
      <c r="AY387" s="1312">
        <f t="shared" si="251"/>
        <v>0</v>
      </c>
      <c r="AZ387" s="1312">
        <f>IF(AND(C387&gt;$F$71,'Instrumentos Financeiros'!C387&lt;'Instrumentos Financeiros'!$F$71+'Instrumentos Financeiros'!$F$11+1),PMT(((1+'Instrumentos Financeiros'!$J$43)^(1/12)-1),$F$11,-$I$71),0)</f>
        <v>0</v>
      </c>
      <c r="BA387" s="1312">
        <f t="shared" si="234"/>
        <v>0</v>
      </c>
      <c r="BB387" s="1312">
        <f>BC386*((1+'Instrumentos Financeiros'!$J$43)^(1/12)-1)</f>
        <v>0</v>
      </c>
      <c r="BC387" s="1312">
        <f t="shared" si="252"/>
        <v>0</v>
      </c>
      <c r="BD387" s="1312">
        <f>IF(AND(C387&gt;$F$72,'Instrumentos Financeiros'!C387&lt;'Instrumentos Financeiros'!$F$72+'Instrumentos Financeiros'!$F$11+1),PMT(((1+'Instrumentos Financeiros'!$J$43)^(1/12)-1),$F$11,-'Instrumentos Financeiros'!$G$7*$G$72),0)</f>
        <v>0</v>
      </c>
      <c r="BE387" s="1312">
        <f t="shared" si="235"/>
        <v>0</v>
      </c>
      <c r="BF387" s="1312">
        <f>BG386*((1+'Instrumentos Financeiros'!$J$43)^(1/12)-1)</f>
        <v>0</v>
      </c>
      <c r="BG387" s="1312">
        <f t="shared" si="253"/>
        <v>0</v>
      </c>
      <c r="BH387" s="1312">
        <f>IF(AND(C387&gt;$F$73,'Instrumentos Financeiros'!C387&lt;'Instrumentos Financeiros'!$F$73+'Instrumentos Financeiros'!$F$11+1),PMT(((1+'Instrumentos Financeiros'!$J$43)^(1/12)-1),$F$11,-$I$73),0)</f>
        <v>0</v>
      </c>
      <c r="BI387" s="1312">
        <f t="shared" si="236"/>
        <v>0</v>
      </c>
      <c r="BJ387" s="1312">
        <f>BK386*((1+'Instrumentos Financeiros'!$J$43)^(1/12)-1)</f>
        <v>0</v>
      </c>
      <c r="BK387" s="1312">
        <f t="shared" si="254"/>
        <v>0</v>
      </c>
      <c r="BL387" s="1312">
        <f>IF(AND(C387&gt;$F$77,'Instrumentos Financeiros'!C387&lt;'Instrumentos Financeiros'!$F$77+'Instrumentos Financeiros'!$F$12+1),PMT(((1+'Instrumentos Financeiros'!$K$43)^(1/12)-1),$F$12,-$I$77),0)</f>
        <v>0</v>
      </c>
      <c r="BM387" s="1312">
        <f t="shared" si="255"/>
        <v>7.035645906882245E-14</v>
      </c>
      <c r="BN387" s="1312">
        <f>BO386*((1+'Instrumentos Financeiros'!$K$43)^(1/12)-1)</f>
        <v>-7.035645906882245E-14</v>
      </c>
      <c r="BO387" s="1312">
        <f t="shared" si="256"/>
        <v>-1.6341467314974747E-11</v>
      </c>
      <c r="BP387" s="1312">
        <f>IF(AND(C387&gt;$F$78,'Instrumentos Financeiros'!C387&lt;'Instrumentos Financeiros'!$F$78+'Instrumentos Financeiros'!$F$12+1),PMT(((1+'Instrumentos Financeiros'!$L$43)^(1/12)-1),$F$12,-$I$78),0)</f>
        <v>0</v>
      </c>
      <c r="BQ387" s="1312">
        <f t="shared" si="257"/>
        <v>6.9451629045913863E-14</v>
      </c>
      <c r="BR387" s="1312">
        <f>BS386*((1+'Instrumentos Financeiros'!$L$43)^(1/12)-1)</f>
        <v>-6.9451629045913863E-14</v>
      </c>
      <c r="BS387" s="1312">
        <f t="shared" si="258"/>
        <v>-1.6131305370489951E-11</v>
      </c>
      <c r="BT387" s="1312">
        <f>IF(AND(C387&gt;$F$79,'Instrumentos Financeiros'!C387&lt;'Instrumentos Financeiros'!$F$79+'Instrumentos Financeiros'!$F$12+1),PMT(((1+'Instrumentos Financeiros'!$L$43)^(1/12)-1),$F$12,-$I$79),0)</f>
        <v>0</v>
      </c>
      <c r="BU387" s="1312">
        <f t="shared" si="259"/>
        <v>6.8558435728166286E-14</v>
      </c>
      <c r="BV387" s="1312">
        <f>BW386*((1+'Instrumentos Financeiros'!$L$43)^(1/12)-1)</f>
        <v>-6.8558435728166286E-14</v>
      </c>
      <c r="BW387" s="1312">
        <f t="shared" si="260"/>
        <v>-1.5923846245896315E-11</v>
      </c>
      <c r="BX387" s="1312">
        <f>IF(AND(C387&gt;$F$80,'Instrumentos Financeiros'!C387&lt;'Instrumentos Financeiros'!$F$80+'Instrumentos Financeiros'!$F$12+1),PMT(((1+'Instrumentos Financeiros'!$L$43)^(1/12)-1),$F$12,-$I$80),0)</f>
        <v>0</v>
      </c>
      <c r="BY387" s="1312">
        <f t="shared" si="261"/>
        <v>6.7676729459949841E-14</v>
      </c>
      <c r="BZ387" s="1312">
        <f>CA386*((1+'Instrumentos Financeiros'!$L$43)^(1/12)-1)</f>
        <v>-6.7676729459949841E-14</v>
      </c>
      <c r="CA387" s="1312">
        <f t="shared" si="262"/>
        <v>-1.571905518116446E-11</v>
      </c>
      <c r="CB387" s="1312">
        <f>IF(AND(C387&gt;$F$83,'Instrumentos Financeiros'!C387&lt;'Instrumentos Financeiros'!$F$83+'Instrumentos Financeiros'!$F$13+1),PMT(((1+'Instrumentos Financeiros'!$P$43)^(1/12)-1),$F$13,-$I$83),0)</f>
        <v>30503.390100238979</v>
      </c>
      <c r="CC387" s="1312">
        <f t="shared" si="263"/>
        <v>24059.499935752639</v>
      </c>
      <c r="CD387" s="1312">
        <f>CE386*((1+'Instrumentos Financeiros'!$P$43)^(1/12)-1)</f>
        <v>6443.8901644863381</v>
      </c>
      <c r="CE387" s="1312">
        <f t="shared" si="264"/>
        <v>1466198.1480092052</v>
      </c>
      <c r="CF387" s="1312">
        <f>IF(AND(C387&gt;$F$84,'Instrumentos Financeiros'!C387&lt;'Instrumentos Financeiros'!$F$84+'Instrumentos Financeiros'!$F$13+1),PMT(((1+'Instrumentos Financeiros'!$Q$43)^(1/12)-1),$F$13,-$I$84),0)</f>
        <v>30503.390100238979</v>
      </c>
      <c r="CG387" s="1312">
        <f t="shared" si="265"/>
        <v>23750.07905007758</v>
      </c>
      <c r="CH387" s="1312">
        <f>CI386*((1+'Instrumentos Financeiros'!$Q$43)^(1/12)-1)</f>
        <v>6753.3110501613983</v>
      </c>
      <c r="CI387" s="1312">
        <f t="shared" si="266"/>
        <v>1538066.336896929</v>
      </c>
      <c r="CJ387" s="1312">
        <f>IF(AND(C387&gt;$F$85,'Instrumentos Financeiros'!C387&lt;'Instrumentos Financeiros'!$F$85+'Instrumentos Financeiros'!$F$13+1),PMT(((1+'Instrumentos Financeiros'!$Q$43)^(1/12)-1),$F$13,-$I$85),0)</f>
        <v>30503.390100238979</v>
      </c>
      <c r="CK387" s="1312">
        <f t="shared" si="267"/>
        <v>23444.637519116775</v>
      </c>
      <c r="CL387" s="1312">
        <f>CM386*((1+'Instrumentos Financeiros'!$Q$43)^(1/12)-1)</f>
        <v>7058.752581122204</v>
      </c>
      <c r="CM387" s="1312">
        <f t="shared" si="268"/>
        <v>1609010.2539287587</v>
      </c>
      <c r="CN387" s="1312">
        <f>IF(AND(C387&gt;$F$86,'Instrumentos Financeiros'!C387&lt;'Instrumentos Financeiros'!$F$86+'Instrumentos Financeiros'!$F$13+1),PMT(((1+'Instrumentos Financeiros'!$Q$43)^(1/12)-1),$F$13,-$I$86),0)</f>
        <v>30503.390100238979</v>
      </c>
      <c r="CO387" s="1312">
        <f t="shared" si="269"/>
        <v>23143.124165769146</v>
      </c>
      <c r="CP387" s="1312">
        <f>CQ386*((1+'Instrumentos Financeiros'!$Q$43)^(1/12)-1)</f>
        <v>7360.2659344698341</v>
      </c>
      <c r="CQ387" s="1312">
        <f t="shared" si="270"/>
        <v>1679041.7858445274</v>
      </c>
      <c r="CR387" s="1312">
        <f t="shared" si="239"/>
        <v>122013.56040095592</v>
      </c>
      <c r="CS387" s="1312">
        <f t="shared" si="239"/>
        <v>94397.340670716221</v>
      </c>
      <c r="CT387" s="1312">
        <f t="shared" si="239"/>
        <v>27616.219730239682</v>
      </c>
      <c r="CU387" s="1312">
        <f t="shared" si="239"/>
        <v>6292316.5246793991</v>
      </c>
    </row>
    <row r="388" spans="3:99" x14ac:dyDescent="0.35">
      <c r="C388" s="1315">
        <f t="shared" si="240"/>
        <v>295</v>
      </c>
      <c r="D388" s="1312">
        <f>IF(AND(C388&gt;$F$59,'Instrumentos Financeiros'!C388&lt;'Instrumentos Financeiros'!$F$59+'Instrumentos Financeiros'!$F$11+1),PMT(((1+'Instrumentos Financeiros'!$G$43)^(1/12)-1),$F$11,-$I$59),0)</f>
        <v>0</v>
      </c>
      <c r="E388" s="1312">
        <f t="shared" si="237"/>
        <v>-1.0617098605389597E-11</v>
      </c>
      <c r="F388" s="1312">
        <f>G387*((1+'Instrumentos Financeiros'!$G$43)^(1/12)-1)</f>
        <v>1.0617098605389597E-11</v>
      </c>
      <c r="G388" s="1312">
        <f t="shared" si="271"/>
        <v>2.6116992475197847E-9</v>
      </c>
      <c r="H388" s="1312">
        <f>IF(AND(C388&gt;$F$60,'Instrumentos Financeiros'!C388&lt;'Instrumentos Financeiros'!$F$60+'Instrumentos Financeiros'!$F$11+1),PMT(((1+'Instrumentos Financeiros'!$G$43)^(1/12)-1),$F$11,-$I$60),0)</f>
        <v>0</v>
      </c>
      <c r="I388" s="1312">
        <f t="shared" si="223"/>
        <v>0</v>
      </c>
      <c r="J388" s="1312">
        <f>K387*((1+'Instrumentos Financeiros'!$G$43)^(1/12)-1)</f>
        <v>0</v>
      </c>
      <c r="K388" s="1312">
        <f t="shared" si="241"/>
        <v>0</v>
      </c>
      <c r="L388" s="1312">
        <f>IF(AND(C388&gt;$F$61,'Instrumentos Financeiros'!C388&lt;'Instrumentos Financeiros'!$F$61+'Instrumentos Financeiros'!$F$11+1),PMT(((1+'Instrumentos Financeiros'!$G$43)^(1/12)-1),$F$11,-$I$61),0)</f>
        <v>0</v>
      </c>
      <c r="M388" s="1312">
        <f t="shared" si="224"/>
        <v>0</v>
      </c>
      <c r="N388" s="1312">
        <f>O387*((1+'Instrumentos Financeiros'!$G$43)^(1/12)-1)</f>
        <v>0</v>
      </c>
      <c r="O388" s="1312">
        <f t="shared" si="242"/>
        <v>0</v>
      </c>
      <c r="P388" s="1312">
        <f>IF(AND(C388&gt;$F$62,'Instrumentos Financeiros'!C388&lt;'Instrumentos Financeiros'!$F$62+'Instrumentos Financeiros'!$F$11+1),PMT(((1+'Instrumentos Financeiros'!$H$43)^(1/12)-1),$F$11,-$I$62),0)</f>
        <v>0</v>
      </c>
      <c r="Q388" s="1312">
        <f t="shared" si="225"/>
        <v>0</v>
      </c>
      <c r="R388" s="1312">
        <f>S387*((1+'Instrumentos Financeiros'!$H$43)^(1/12)-1)</f>
        <v>0</v>
      </c>
      <c r="S388" s="1312">
        <f t="shared" si="243"/>
        <v>0</v>
      </c>
      <c r="T388" s="1312">
        <f>IF(AND(C388&gt;$F$63,'Instrumentos Financeiros'!C388&lt;'Instrumentos Financeiros'!$F$63+'Instrumentos Financeiros'!$F$11+1),PMT(((1+'Instrumentos Financeiros'!$H$43)^(1/12)-1),$F$11,-$I$63),0)</f>
        <v>0</v>
      </c>
      <c r="U388" s="1312">
        <f t="shared" si="226"/>
        <v>0</v>
      </c>
      <c r="V388" s="1312">
        <f>W387*((1+'Instrumentos Financeiros'!$H$43)^(1/12)-1)</f>
        <v>0</v>
      </c>
      <c r="W388" s="1312">
        <f t="shared" si="244"/>
        <v>0</v>
      </c>
      <c r="X388" s="1312">
        <f>IF(AND(C388&gt;$F$64,'Instrumentos Financeiros'!C388&lt;'Instrumentos Financeiros'!$F$64+'Instrumentos Financeiros'!$F$11+1),PMT(((1+'Instrumentos Financeiros'!$H$43)^(1/12)-1),$F$11,-$I$64),0)</f>
        <v>0</v>
      </c>
      <c r="Y388" s="1312">
        <f t="shared" si="227"/>
        <v>0</v>
      </c>
      <c r="Z388" s="1312">
        <f>AA387*((1+'Instrumentos Financeiros'!$H$43)^(1/12)-1)</f>
        <v>0</v>
      </c>
      <c r="AA388" s="1312">
        <f t="shared" si="245"/>
        <v>0</v>
      </c>
      <c r="AB388" s="1312">
        <f>IF(AND(C388&gt;$F$65,'Instrumentos Financeiros'!C388&lt;'Instrumentos Financeiros'!$F$65+'Instrumentos Financeiros'!$F$11+1),PMT(((1+'Instrumentos Financeiros'!$H$43)^(1/12)-1),$F$11,-$I$65),0)</f>
        <v>0</v>
      </c>
      <c r="AC388" s="1312">
        <f t="shared" si="228"/>
        <v>2.599734044784899E-11</v>
      </c>
      <c r="AD388" s="1312">
        <f>AE387*((1+'Instrumentos Financeiros'!$H$43)^(1/12)-1)</f>
        <v>-2.599734044784899E-11</v>
      </c>
      <c r="AE388" s="1312">
        <f t="shared" si="246"/>
        <v>-6.0383182273175981E-9</v>
      </c>
      <c r="AF388" s="1312">
        <f>IF(AND(C388&gt;$F$66,'Instrumentos Financeiros'!C388&lt;'Instrumentos Financeiros'!$F$66+'Instrumentos Financeiros'!$F$11+1),PMT(((1+'Instrumentos Financeiros'!$I$43)^(1/12)-1),$F$11,-$I$66),0)</f>
        <v>0</v>
      </c>
      <c r="AG388" s="1312">
        <f t="shared" si="229"/>
        <v>2.5662997667323616E-11</v>
      </c>
      <c r="AH388" s="1312">
        <f>AI387*((1+'Instrumentos Financeiros'!$I$43)^(1/12)-1)</f>
        <v>-2.5662997667323616E-11</v>
      </c>
      <c r="AI388" s="1312">
        <f t="shared" si="247"/>
        <v>-5.9606615104750323E-9</v>
      </c>
      <c r="AJ388" s="1312">
        <f>IF(AND(C388&gt;$F$67,'Instrumentos Financeiros'!C388&lt;'Instrumentos Financeiros'!$F$67+'Instrumentos Financeiros'!$F$11+1),PMT(((1+'Instrumentos Financeiros'!$I$43)^(1/12)-1),$F$11,-$I$67),0)</f>
        <v>0</v>
      </c>
      <c r="AK388" s="1312">
        <f t="shared" si="230"/>
        <v>2.5332954753360123E-11</v>
      </c>
      <c r="AL388" s="1312">
        <f>AM387*((1+'Instrumentos Financeiros'!$I$43)^(1/12)-1)</f>
        <v>-2.5332954753360123E-11</v>
      </c>
      <c r="AM388" s="1312">
        <f t="shared" si="248"/>
        <v>-5.8840035097391272E-9</v>
      </c>
      <c r="AN388" s="1312">
        <f>IF(AND(C388&gt;$F$68,'Instrumentos Financeiros'!C388&lt;'Instrumentos Financeiros'!$F$68+'Instrumentos Financeiros'!$F$11+1),PMT(((1+'Instrumentos Financeiros'!$I$43)^(1/12)-1),$F$11,-$I$68),0)</f>
        <v>0</v>
      </c>
      <c r="AO388" s="1312">
        <f t="shared" si="231"/>
        <v>2.5007156406865702E-11</v>
      </c>
      <c r="AP388" s="1312">
        <f>AQ387*((1+'Instrumentos Financeiros'!$I$43)^(1/12)-1)</f>
        <v>-2.5007156406865702E-11</v>
      </c>
      <c r="AQ388" s="1312">
        <f t="shared" si="249"/>
        <v>-5.8083313809683562E-9</v>
      </c>
      <c r="AR388" s="1312">
        <f>IF(AND(C388&gt;$F$69,'Instrumentos Financeiros'!C388&lt;'Instrumentos Financeiros'!$F$69+'Instrumentos Financeiros'!$F$11+1),PMT(((1+'Instrumentos Financeiros'!$I$43)^(1/12)-1),$F$11,-$I$69),0)</f>
        <v>0</v>
      </c>
      <c r="AS388" s="1312">
        <f t="shared" si="232"/>
        <v>0</v>
      </c>
      <c r="AT388" s="1312">
        <f>AU387*((1+'Instrumentos Financeiros'!$I$43)^(1/12)-1)</f>
        <v>0</v>
      </c>
      <c r="AU388" s="1312">
        <f t="shared" si="250"/>
        <v>0</v>
      </c>
      <c r="AV388" s="1312">
        <f>IF(AND(C388&gt;$F$70,'Instrumentos Financeiros'!C388&lt;'Instrumentos Financeiros'!$F$70+'Instrumentos Financeiros'!$F$11+1),PMT(((1+'Instrumentos Financeiros'!$J$43)^(1/12)-1),$F$11,-$I$70),0)</f>
        <v>0</v>
      </c>
      <c r="AW388" s="1312">
        <f t="shared" si="233"/>
        <v>0</v>
      </c>
      <c r="AX388" s="1312">
        <f>AY387*((1+'Instrumentos Financeiros'!$J$43)^(1/12)-1)</f>
        <v>0</v>
      </c>
      <c r="AY388" s="1312">
        <f t="shared" si="251"/>
        <v>0</v>
      </c>
      <c r="AZ388" s="1312">
        <f>IF(AND(C388&gt;$F$71,'Instrumentos Financeiros'!C388&lt;'Instrumentos Financeiros'!$F$71+'Instrumentos Financeiros'!$F$11+1),PMT(((1+'Instrumentos Financeiros'!$J$43)^(1/12)-1),$F$11,-$I$71),0)</f>
        <v>0</v>
      </c>
      <c r="BA388" s="1312">
        <f t="shared" si="234"/>
        <v>0</v>
      </c>
      <c r="BB388" s="1312">
        <f>BC387*((1+'Instrumentos Financeiros'!$J$43)^(1/12)-1)</f>
        <v>0</v>
      </c>
      <c r="BC388" s="1312">
        <f t="shared" si="252"/>
        <v>0</v>
      </c>
      <c r="BD388" s="1312">
        <f>IF(AND(C388&gt;$F$72,'Instrumentos Financeiros'!C388&lt;'Instrumentos Financeiros'!$F$72+'Instrumentos Financeiros'!$F$11+1),PMT(((1+'Instrumentos Financeiros'!$J$43)^(1/12)-1),$F$11,-'Instrumentos Financeiros'!$G$7*$G$72),0)</f>
        <v>0</v>
      </c>
      <c r="BE388" s="1312">
        <f t="shared" si="235"/>
        <v>0</v>
      </c>
      <c r="BF388" s="1312">
        <f>BG387*((1+'Instrumentos Financeiros'!$J$43)^(1/12)-1)</f>
        <v>0</v>
      </c>
      <c r="BG388" s="1312">
        <f t="shared" si="253"/>
        <v>0</v>
      </c>
      <c r="BH388" s="1312">
        <f>IF(AND(C388&gt;$F$73,'Instrumentos Financeiros'!C388&lt;'Instrumentos Financeiros'!$F$73+'Instrumentos Financeiros'!$F$11+1),PMT(((1+'Instrumentos Financeiros'!$J$43)^(1/12)-1),$F$11,-$I$73),0)</f>
        <v>0</v>
      </c>
      <c r="BI388" s="1312">
        <f t="shared" si="236"/>
        <v>0</v>
      </c>
      <c r="BJ388" s="1312">
        <f>BK387*((1+'Instrumentos Financeiros'!$J$43)^(1/12)-1)</f>
        <v>0</v>
      </c>
      <c r="BK388" s="1312">
        <f t="shared" si="254"/>
        <v>0</v>
      </c>
      <c r="BL388" s="1312">
        <f>IF(AND(C388&gt;$F$77,'Instrumentos Financeiros'!C388&lt;'Instrumentos Financeiros'!$F$77+'Instrumentos Financeiros'!$F$12+1),PMT(((1+'Instrumentos Financeiros'!$K$43)^(1/12)-1),$F$12,-$I$77),0)</f>
        <v>0</v>
      </c>
      <c r="BM388" s="1312">
        <f t="shared" si="255"/>
        <v>7.0660681157685327E-14</v>
      </c>
      <c r="BN388" s="1312">
        <f>BO387*((1+'Instrumentos Financeiros'!$K$43)^(1/12)-1)</f>
        <v>-7.0660681157685327E-14</v>
      </c>
      <c r="BO388" s="1312">
        <f t="shared" si="256"/>
        <v>-1.6412127996132432E-11</v>
      </c>
      <c r="BP388" s="1312">
        <f>IF(AND(C388&gt;$F$78,'Instrumentos Financeiros'!C388&lt;'Instrumentos Financeiros'!$F$78+'Instrumentos Financeiros'!$F$12+1),PMT(((1+'Instrumentos Financeiros'!$L$43)^(1/12)-1),$F$12,-$I$78),0)</f>
        <v>0</v>
      </c>
      <c r="BQ388" s="1312">
        <f t="shared" si="257"/>
        <v>6.9751938639985508E-14</v>
      </c>
      <c r="BR388" s="1312">
        <f>BS387*((1+'Instrumentos Financeiros'!$L$43)^(1/12)-1)</f>
        <v>-6.9751938639985508E-14</v>
      </c>
      <c r="BS388" s="1312">
        <f t="shared" si="258"/>
        <v>-1.6201057309129937E-11</v>
      </c>
      <c r="BT388" s="1312">
        <f>IF(AND(C388&gt;$F$79,'Instrumentos Financeiros'!C388&lt;'Instrumentos Financeiros'!$F$79+'Instrumentos Financeiros'!$F$12+1),PMT(((1+'Instrumentos Financeiros'!$L$43)^(1/12)-1),$F$12,-$I$79),0)</f>
        <v>0</v>
      </c>
      <c r="BU388" s="1312">
        <f t="shared" si="259"/>
        <v>6.8854883144685511E-14</v>
      </c>
      <c r="BV388" s="1312">
        <f>BW387*((1+'Instrumentos Financeiros'!$L$43)^(1/12)-1)</f>
        <v>-6.8854883144685511E-14</v>
      </c>
      <c r="BW388" s="1312">
        <f t="shared" si="260"/>
        <v>-1.5992701129041002E-11</v>
      </c>
      <c r="BX388" s="1312">
        <f>IF(AND(C388&gt;$F$80,'Instrumentos Financeiros'!C388&lt;'Instrumentos Financeiros'!$F$80+'Instrumentos Financeiros'!$F$12+1),PMT(((1+'Instrumentos Financeiros'!$L$43)^(1/12)-1),$F$12,-$I$80),0)</f>
        <v>0</v>
      </c>
      <c r="BY388" s="1312">
        <f t="shared" si="261"/>
        <v>6.7969364369042877E-14</v>
      </c>
      <c r="BZ388" s="1312">
        <f>CA387*((1+'Instrumentos Financeiros'!$L$43)^(1/12)-1)</f>
        <v>-6.7969364369042877E-14</v>
      </c>
      <c r="CA388" s="1312">
        <f t="shared" si="262"/>
        <v>-1.5787024545533503E-11</v>
      </c>
      <c r="CB388" s="1312">
        <f>IF(AND(C388&gt;$F$83,'Instrumentos Financeiros'!C388&lt;'Instrumentos Financeiros'!$F$83+'Instrumentos Financeiros'!$F$13+1),PMT(((1+'Instrumentos Financeiros'!$P$43)^(1/12)-1),$F$13,-$I$83),0)</f>
        <v>30503.390100238979</v>
      </c>
      <c r="CC388" s="1312">
        <f t="shared" si="263"/>
        <v>24163.533473317271</v>
      </c>
      <c r="CD388" s="1312">
        <f>CE387*((1+'Instrumentos Financeiros'!$P$43)^(1/12)-1)</f>
        <v>6339.856626921709</v>
      </c>
      <c r="CE388" s="1312">
        <f t="shared" si="264"/>
        <v>1442034.614535888</v>
      </c>
      <c r="CF388" s="1312">
        <f>IF(AND(C388&gt;$F$84,'Instrumentos Financeiros'!C388&lt;'Instrumentos Financeiros'!$F$84+'Instrumentos Financeiros'!$F$13+1),PMT(((1+'Instrumentos Financeiros'!$Q$43)^(1/12)-1),$F$13,-$I$84),0)</f>
        <v>30503.390100238979</v>
      </c>
      <c r="CG388" s="1312">
        <f t="shared" si="265"/>
        <v>23852.774648390809</v>
      </c>
      <c r="CH388" s="1312">
        <f>CI387*((1+'Instrumentos Financeiros'!$Q$43)^(1/12)-1)</f>
        <v>6650.6154518481717</v>
      </c>
      <c r="CI388" s="1312">
        <f t="shared" si="266"/>
        <v>1514213.5622485382</v>
      </c>
      <c r="CJ388" s="1312">
        <f>IF(AND(C388&gt;$F$85,'Instrumentos Financeiros'!C388&lt;'Instrumentos Financeiros'!$F$85+'Instrumentos Financeiros'!$F$13+1),PMT(((1+'Instrumentos Financeiros'!$Q$43)^(1/12)-1),$F$13,-$I$85),0)</f>
        <v>30503.390100238979</v>
      </c>
      <c r="CK388" s="1312">
        <f t="shared" si="267"/>
        <v>23546.012384951362</v>
      </c>
      <c r="CL388" s="1312">
        <f>CM387*((1+'Instrumentos Financeiros'!$Q$43)^(1/12)-1)</f>
        <v>6957.3777152876191</v>
      </c>
      <c r="CM388" s="1312">
        <f t="shared" si="268"/>
        <v>1585464.2415438073</v>
      </c>
      <c r="CN388" s="1312">
        <f>IF(AND(C388&gt;$F$86,'Instrumentos Financeiros'!C388&lt;'Instrumentos Financeiros'!$F$86+'Instrumentos Financeiros'!$F$13+1),PMT(((1+'Instrumentos Financeiros'!$Q$43)^(1/12)-1),$F$13,-$I$86),0)</f>
        <v>30503.390100238979</v>
      </c>
      <c r="CO388" s="1312">
        <f t="shared" si="269"/>
        <v>23243.195284607515</v>
      </c>
      <c r="CP388" s="1312">
        <f>CQ387*((1+'Instrumentos Financeiros'!$Q$43)^(1/12)-1)</f>
        <v>7260.1948156314656</v>
      </c>
      <c r="CQ388" s="1312">
        <f t="shared" si="270"/>
        <v>1655798.5905599198</v>
      </c>
      <c r="CR388" s="1312">
        <f t="shared" si="239"/>
        <v>122013.56040095592</v>
      </c>
      <c r="CS388" s="1312">
        <f t="shared" si="239"/>
        <v>94805.515791267055</v>
      </c>
      <c r="CT388" s="1312">
        <f t="shared" si="239"/>
        <v>27208.044609688874</v>
      </c>
      <c r="CU388" s="1312">
        <f t="shared" si="239"/>
        <v>6197511.0088881329</v>
      </c>
    </row>
    <row r="389" spans="3:99" x14ac:dyDescent="0.35">
      <c r="C389" s="1315">
        <f t="shared" si="240"/>
        <v>296</v>
      </c>
      <c r="D389" s="1312">
        <f>IF(AND(C389&gt;$F$59,'Instrumentos Financeiros'!C389&lt;'Instrumentos Financeiros'!$F$59+'Instrumentos Financeiros'!$F$11+1),PMT(((1+'Instrumentos Financeiros'!$G$43)^(1/12)-1),$F$11,-$I$59),0)</f>
        <v>0</v>
      </c>
      <c r="E389" s="1312">
        <f t="shared" si="237"/>
        <v>-1.0660435484558759E-11</v>
      </c>
      <c r="F389" s="1312">
        <f>G388*((1+'Instrumentos Financeiros'!$G$43)^(1/12)-1)</f>
        <v>1.0660435484558759E-11</v>
      </c>
      <c r="G389" s="1312">
        <f t="shared" si="271"/>
        <v>2.6223596830043434E-9</v>
      </c>
      <c r="H389" s="1312">
        <f>IF(AND(C389&gt;$F$60,'Instrumentos Financeiros'!C389&lt;'Instrumentos Financeiros'!$F$60+'Instrumentos Financeiros'!$F$11+1),PMT(((1+'Instrumentos Financeiros'!$G$43)^(1/12)-1),$F$11,-$I$60),0)</f>
        <v>0</v>
      </c>
      <c r="I389" s="1312">
        <f t="shared" si="223"/>
        <v>0</v>
      </c>
      <c r="J389" s="1312">
        <f>K388*((1+'Instrumentos Financeiros'!$G$43)^(1/12)-1)</f>
        <v>0</v>
      </c>
      <c r="K389" s="1312">
        <f t="shared" si="241"/>
        <v>0</v>
      </c>
      <c r="L389" s="1312">
        <f>IF(AND(C389&gt;$F$61,'Instrumentos Financeiros'!C389&lt;'Instrumentos Financeiros'!$F$61+'Instrumentos Financeiros'!$F$11+1),PMT(((1+'Instrumentos Financeiros'!$G$43)^(1/12)-1),$F$11,-$I$61),0)</f>
        <v>0</v>
      </c>
      <c r="M389" s="1312">
        <f t="shared" si="224"/>
        <v>0</v>
      </c>
      <c r="N389" s="1312">
        <f>O388*((1+'Instrumentos Financeiros'!$G$43)^(1/12)-1)</f>
        <v>0</v>
      </c>
      <c r="O389" s="1312">
        <f t="shared" si="242"/>
        <v>0</v>
      </c>
      <c r="P389" s="1312">
        <f>IF(AND(C389&gt;$F$62,'Instrumentos Financeiros'!C389&lt;'Instrumentos Financeiros'!$F$62+'Instrumentos Financeiros'!$F$11+1),PMT(((1+'Instrumentos Financeiros'!$H$43)^(1/12)-1),$F$11,-$I$62),0)</f>
        <v>0</v>
      </c>
      <c r="Q389" s="1312">
        <f t="shared" si="225"/>
        <v>0</v>
      </c>
      <c r="R389" s="1312">
        <f>S388*((1+'Instrumentos Financeiros'!$H$43)^(1/12)-1)</f>
        <v>0</v>
      </c>
      <c r="S389" s="1312">
        <f t="shared" si="243"/>
        <v>0</v>
      </c>
      <c r="T389" s="1312">
        <f>IF(AND(C389&gt;$F$63,'Instrumentos Financeiros'!C389&lt;'Instrumentos Financeiros'!$F$63+'Instrumentos Financeiros'!$F$11+1),PMT(((1+'Instrumentos Financeiros'!$H$43)^(1/12)-1),$F$11,-$I$63),0)</f>
        <v>0</v>
      </c>
      <c r="U389" s="1312">
        <f t="shared" si="226"/>
        <v>0</v>
      </c>
      <c r="V389" s="1312">
        <f>W388*((1+'Instrumentos Financeiros'!$H$43)^(1/12)-1)</f>
        <v>0</v>
      </c>
      <c r="W389" s="1312">
        <f t="shared" si="244"/>
        <v>0</v>
      </c>
      <c r="X389" s="1312">
        <f>IF(AND(C389&gt;$F$64,'Instrumentos Financeiros'!C389&lt;'Instrumentos Financeiros'!$F$64+'Instrumentos Financeiros'!$F$11+1),PMT(((1+'Instrumentos Financeiros'!$H$43)^(1/12)-1),$F$11,-$I$64),0)</f>
        <v>0</v>
      </c>
      <c r="Y389" s="1312">
        <f t="shared" si="227"/>
        <v>0</v>
      </c>
      <c r="Z389" s="1312">
        <f>AA388*((1+'Instrumentos Financeiros'!$H$43)^(1/12)-1)</f>
        <v>0</v>
      </c>
      <c r="AA389" s="1312">
        <f t="shared" si="245"/>
        <v>0</v>
      </c>
      <c r="AB389" s="1312">
        <f>IF(AND(C389&gt;$F$65,'Instrumentos Financeiros'!C389&lt;'Instrumentos Financeiros'!$F$65+'Instrumentos Financeiros'!$F$11+1),PMT(((1+'Instrumentos Financeiros'!$H$43)^(1/12)-1),$F$11,-$I$65),0)</f>
        <v>0</v>
      </c>
      <c r="AC389" s="1312">
        <f t="shared" si="228"/>
        <v>2.6109753228716584E-11</v>
      </c>
      <c r="AD389" s="1312">
        <f>AE388*((1+'Instrumentos Financeiros'!$H$43)^(1/12)-1)</f>
        <v>-2.6109753228716584E-11</v>
      </c>
      <c r="AE389" s="1312">
        <f t="shared" si="246"/>
        <v>-6.0644279805463148E-9</v>
      </c>
      <c r="AF389" s="1312">
        <f>IF(AND(C389&gt;$F$66,'Instrumentos Financeiros'!C389&lt;'Instrumentos Financeiros'!$F$66+'Instrumentos Financeiros'!$F$11+1),PMT(((1+'Instrumentos Financeiros'!$I$43)^(1/12)-1),$F$11,-$I$66),0)</f>
        <v>0</v>
      </c>
      <c r="AG389" s="1312">
        <f t="shared" si="229"/>
        <v>2.5773964746397323E-11</v>
      </c>
      <c r="AH389" s="1312">
        <f>AI388*((1+'Instrumentos Financeiros'!$I$43)^(1/12)-1)</f>
        <v>-2.5773964746397323E-11</v>
      </c>
      <c r="AI389" s="1312">
        <f t="shared" si="247"/>
        <v>-5.9864354752214297E-9</v>
      </c>
      <c r="AJ389" s="1312">
        <f>IF(AND(C389&gt;$F$67,'Instrumentos Financeiros'!C389&lt;'Instrumentos Financeiros'!$F$67+'Instrumentos Financeiros'!$F$11+1),PMT(((1+'Instrumentos Financeiros'!$I$43)^(1/12)-1),$F$11,-$I$67),0)</f>
        <v>0</v>
      </c>
      <c r="AK389" s="1312">
        <f t="shared" si="230"/>
        <v>2.5442494723309388E-11</v>
      </c>
      <c r="AL389" s="1312">
        <f>AM388*((1+'Instrumentos Financeiros'!$I$43)^(1/12)-1)</f>
        <v>-2.5442494723309388E-11</v>
      </c>
      <c r="AM389" s="1312">
        <f t="shared" si="248"/>
        <v>-5.9094460044624368E-9</v>
      </c>
      <c r="AN389" s="1312">
        <f>IF(AND(C389&gt;$F$68,'Instrumentos Financeiros'!C389&lt;'Instrumentos Financeiros'!$F$68+'Instrumentos Financeiros'!$F$11+1),PMT(((1+'Instrumentos Financeiros'!$I$43)^(1/12)-1),$F$11,-$I$68),0)</f>
        <v>0</v>
      </c>
      <c r="AO389" s="1312">
        <f t="shared" si="231"/>
        <v>2.5115287621246105E-11</v>
      </c>
      <c r="AP389" s="1312">
        <f>AQ388*((1+'Instrumentos Financeiros'!$I$43)^(1/12)-1)</f>
        <v>-2.5115287621246105E-11</v>
      </c>
      <c r="AQ389" s="1312">
        <f t="shared" si="249"/>
        <v>-5.8334466685896023E-9</v>
      </c>
      <c r="AR389" s="1312">
        <f>IF(AND(C389&gt;$F$69,'Instrumentos Financeiros'!C389&lt;'Instrumentos Financeiros'!$F$69+'Instrumentos Financeiros'!$F$11+1),PMT(((1+'Instrumentos Financeiros'!$I$43)^(1/12)-1),$F$11,-$I$69),0)</f>
        <v>0</v>
      </c>
      <c r="AS389" s="1312">
        <f t="shared" si="232"/>
        <v>0</v>
      </c>
      <c r="AT389" s="1312">
        <f>AU388*((1+'Instrumentos Financeiros'!$I$43)^(1/12)-1)</f>
        <v>0</v>
      </c>
      <c r="AU389" s="1312">
        <f t="shared" si="250"/>
        <v>0</v>
      </c>
      <c r="AV389" s="1312">
        <f>IF(AND(C389&gt;$F$70,'Instrumentos Financeiros'!C389&lt;'Instrumentos Financeiros'!$F$70+'Instrumentos Financeiros'!$F$11+1),PMT(((1+'Instrumentos Financeiros'!$J$43)^(1/12)-1),$F$11,-$I$70),0)</f>
        <v>0</v>
      </c>
      <c r="AW389" s="1312">
        <f t="shared" si="233"/>
        <v>0</v>
      </c>
      <c r="AX389" s="1312">
        <f>AY388*((1+'Instrumentos Financeiros'!$J$43)^(1/12)-1)</f>
        <v>0</v>
      </c>
      <c r="AY389" s="1312">
        <f t="shared" si="251"/>
        <v>0</v>
      </c>
      <c r="AZ389" s="1312">
        <f>IF(AND(C389&gt;$F$71,'Instrumentos Financeiros'!C389&lt;'Instrumentos Financeiros'!$F$71+'Instrumentos Financeiros'!$F$11+1),PMT(((1+'Instrumentos Financeiros'!$J$43)^(1/12)-1),$F$11,-$I$71),0)</f>
        <v>0</v>
      </c>
      <c r="BA389" s="1312">
        <f t="shared" si="234"/>
        <v>0</v>
      </c>
      <c r="BB389" s="1312">
        <f>BC388*((1+'Instrumentos Financeiros'!$J$43)^(1/12)-1)</f>
        <v>0</v>
      </c>
      <c r="BC389" s="1312">
        <f t="shared" si="252"/>
        <v>0</v>
      </c>
      <c r="BD389" s="1312">
        <f>IF(AND(C389&gt;$F$72,'Instrumentos Financeiros'!C389&lt;'Instrumentos Financeiros'!$F$72+'Instrumentos Financeiros'!$F$11+1),PMT(((1+'Instrumentos Financeiros'!$J$43)^(1/12)-1),$F$11,-'Instrumentos Financeiros'!$G$7*$G$72),0)</f>
        <v>0</v>
      </c>
      <c r="BE389" s="1312">
        <f t="shared" si="235"/>
        <v>0</v>
      </c>
      <c r="BF389" s="1312">
        <f>BG388*((1+'Instrumentos Financeiros'!$J$43)^(1/12)-1)</f>
        <v>0</v>
      </c>
      <c r="BG389" s="1312">
        <f t="shared" si="253"/>
        <v>0</v>
      </c>
      <c r="BH389" s="1312">
        <f>IF(AND(C389&gt;$F$73,'Instrumentos Financeiros'!C389&lt;'Instrumentos Financeiros'!$F$73+'Instrumentos Financeiros'!$F$11+1),PMT(((1+'Instrumentos Financeiros'!$J$43)^(1/12)-1),$F$11,-$I$73),0)</f>
        <v>0</v>
      </c>
      <c r="BI389" s="1312">
        <f t="shared" si="236"/>
        <v>0</v>
      </c>
      <c r="BJ389" s="1312">
        <f>BK388*((1+'Instrumentos Financeiros'!$J$43)^(1/12)-1)</f>
        <v>0</v>
      </c>
      <c r="BK389" s="1312">
        <f t="shared" si="254"/>
        <v>0</v>
      </c>
      <c r="BL389" s="1312">
        <f>IF(AND(C389&gt;$F$77,'Instrumentos Financeiros'!C389&lt;'Instrumentos Financeiros'!$F$77+'Instrumentos Financeiros'!$F$12+1),PMT(((1+'Instrumentos Financeiros'!$K$43)^(1/12)-1),$F$12,-$I$77),0)</f>
        <v>0</v>
      </c>
      <c r="BM389" s="1312">
        <f t="shared" si="255"/>
        <v>7.0966218706146024E-14</v>
      </c>
      <c r="BN389" s="1312">
        <f>BO388*((1+'Instrumentos Financeiros'!$K$43)^(1/12)-1)</f>
        <v>-7.0966218706146024E-14</v>
      </c>
      <c r="BO389" s="1312">
        <f t="shared" si="256"/>
        <v>-1.6483094214838577E-11</v>
      </c>
      <c r="BP389" s="1312">
        <f>IF(AND(C389&gt;$F$78,'Instrumentos Financeiros'!C389&lt;'Instrumentos Financeiros'!$F$78+'Instrumentos Financeiros'!$F$12+1),PMT(((1+'Instrumentos Financeiros'!$L$43)^(1/12)-1),$F$12,-$I$78),0)</f>
        <v>0</v>
      </c>
      <c r="BQ389" s="1312">
        <f t="shared" si="257"/>
        <v>7.0053546775985264E-14</v>
      </c>
      <c r="BR389" s="1312">
        <f>BS388*((1+'Instrumentos Financeiros'!$L$43)^(1/12)-1)</f>
        <v>-7.0053546775985264E-14</v>
      </c>
      <c r="BS389" s="1312">
        <f t="shared" si="258"/>
        <v>-1.6271110855905923E-11</v>
      </c>
      <c r="BT389" s="1312">
        <f>IF(AND(C389&gt;$F$79,'Instrumentos Financeiros'!C389&lt;'Instrumentos Financeiros'!$F$79+'Instrumentos Financeiros'!$F$12+1),PMT(((1+'Instrumentos Financeiros'!$L$43)^(1/12)-1),$F$12,-$I$79),0)</f>
        <v>0</v>
      </c>
      <c r="BU389" s="1312">
        <f t="shared" si="259"/>
        <v>6.9152612403035408E-14</v>
      </c>
      <c r="BV389" s="1312">
        <f>BW388*((1+'Instrumentos Financeiros'!$L$43)^(1/12)-1)</f>
        <v>-6.9152612403035408E-14</v>
      </c>
      <c r="BW389" s="1312">
        <f t="shared" si="260"/>
        <v>-1.6061853741444038E-11</v>
      </c>
      <c r="BX389" s="1312">
        <f>IF(AND(C389&gt;$F$80,'Instrumentos Financeiros'!C389&lt;'Instrumentos Financeiros'!$F$80+'Instrumentos Financeiros'!$F$12+1),PMT(((1+'Instrumentos Financeiros'!$L$43)^(1/12)-1),$F$12,-$I$80),0)</f>
        <v>0</v>
      </c>
      <c r="BY389" s="1312">
        <f t="shared" si="261"/>
        <v>6.826326463464329E-14</v>
      </c>
      <c r="BZ389" s="1312">
        <f>CA388*((1+'Instrumentos Financeiros'!$L$43)^(1/12)-1)</f>
        <v>-6.826326463464329E-14</v>
      </c>
      <c r="CA389" s="1312">
        <f t="shared" si="262"/>
        <v>-1.5855287810168148E-11</v>
      </c>
      <c r="CB389" s="1312">
        <f>IF(AND(C389&gt;$F$83,'Instrumentos Financeiros'!C389&lt;'Instrumentos Financeiros'!$F$83+'Instrumentos Financeiros'!$F$13+1),PMT(((1+'Instrumentos Financeiros'!$P$43)^(1/12)-1),$F$13,-$I$83),0)</f>
        <v>30503.390100238979</v>
      </c>
      <c r="CC389" s="1312">
        <f t="shared" si="263"/>
        <v>24268.016853021887</v>
      </c>
      <c r="CD389" s="1312">
        <f>CE388*((1+'Instrumentos Financeiros'!$P$43)^(1/12)-1)</f>
        <v>6235.3732472170905</v>
      </c>
      <c r="CE389" s="1312">
        <f t="shared" si="264"/>
        <v>1417766.597682866</v>
      </c>
      <c r="CF389" s="1312">
        <f>IF(AND(C389&gt;$F$84,'Instrumentos Financeiros'!C389&lt;'Instrumentos Financeiros'!$F$84+'Instrumentos Financeiros'!$F$13+1),PMT(((1+'Instrumentos Financeiros'!$Q$43)^(1/12)-1),$F$13,-$I$84),0)</f>
        <v>30503.390100238979</v>
      </c>
      <c r="CG389" s="1312">
        <f t="shared" si="265"/>
        <v>23955.914303580252</v>
      </c>
      <c r="CH389" s="1312">
        <f>CI388*((1+'Instrumentos Financeiros'!$Q$43)^(1/12)-1)</f>
        <v>6547.4757966587285</v>
      </c>
      <c r="CI389" s="1312">
        <f t="shared" si="266"/>
        <v>1490257.6479449579</v>
      </c>
      <c r="CJ389" s="1312">
        <f>IF(AND(C389&gt;$F$85,'Instrumentos Financeiros'!C389&lt;'Instrumentos Financeiros'!$F$85+'Instrumentos Financeiros'!$F$13+1),PMT(((1+'Instrumentos Financeiros'!$Q$43)^(1/12)-1),$F$13,-$I$85),0)</f>
        <v>30503.390100238979</v>
      </c>
      <c r="CK389" s="1312">
        <f t="shared" si="267"/>
        <v>23647.825596800663</v>
      </c>
      <c r="CL389" s="1312">
        <f>CM388*((1+'Instrumentos Financeiros'!$Q$43)^(1/12)-1)</f>
        <v>6855.5645034383178</v>
      </c>
      <c r="CM389" s="1312">
        <f t="shared" si="268"/>
        <v>1561816.4159470065</v>
      </c>
      <c r="CN389" s="1312">
        <f>IF(AND(C389&gt;$F$86,'Instrumentos Financeiros'!C389&lt;'Instrumentos Financeiros'!$F$86+'Instrumentos Financeiros'!$F$13+1),PMT(((1+'Instrumentos Financeiros'!$Q$43)^(1/12)-1),$F$13,-$I$86),0)</f>
        <v>30503.390100238979</v>
      </c>
      <c r="CO389" s="1312">
        <f t="shared" si="269"/>
        <v>23343.699112044505</v>
      </c>
      <c r="CP389" s="1312">
        <f>CQ388*((1+'Instrumentos Financeiros'!$Q$43)^(1/12)-1)</f>
        <v>7159.6909881944739</v>
      </c>
      <c r="CQ389" s="1312">
        <f t="shared" si="270"/>
        <v>1632454.8914478754</v>
      </c>
      <c r="CR389" s="1312">
        <f t="shared" si="239"/>
        <v>122013.56040095592</v>
      </c>
      <c r="CS389" s="1312">
        <f t="shared" si="239"/>
        <v>95215.455865447395</v>
      </c>
      <c r="CT389" s="1312">
        <f t="shared" si="239"/>
        <v>26798.104535508519</v>
      </c>
      <c r="CU389" s="1312">
        <f t="shared" si="239"/>
        <v>6102295.5530226845</v>
      </c>
    </row>
    <row r="390" spans="3:99" x14ac:dyDescent="0.35">
      <c r="C390" s="1315">
        <f t="shared" si="240"/>
        <v>297</v>
      </c>
      <c r="D390" s="1312">
        <f>IF(AND(C390&gt;$F$59,'Instrumentos Financeiros'!C390&lt;'Instrumentos Financeiros'!$F$59+'Instrumentos Financeiros'!$F$11+1),PMT(((1+'Instrumentos Financeiros'!$G$43)^(1/12)-1),$F$11,-$I$59),0)</f>
        <v>0</v>
      </c>
      <c r="E390" s="1312">
        <f t="shared" si="237"/>
        <v>-1.0703949256226138E-11</v>
      </c>
      <c r="F390" s="1312">
        <f>G389*((1+'Instrumentos Financeiros'!$G$43)^(1/12)-1)</f>
        <v>1.0703949256226138E-11</v>
      </c>
      <c r="G390" s="1312">
        <f t="shared" si="271"/>
        <v>2.6330636322605695E-9</v>
      </c>
      <c r="H390" s="1312">
        <f>IF(AND(C390&gt;$F$60,'Instrumentos Financeiros'!C390&lt;'Instrumentos Financeiros'!$F$60+'Instrumentos Financeiros'!$F$11+1),PMT(((1+'Instrumentos Financeiros'!$G$43)^(1/12)-1),$F$11,-$I$60),0)</f>
        <v>0</v>
      </c>
      <c r="I390" s="1312">
        <f t="shared" si="223"/>
        <v>0</v>
      </c>
      <c r="J390" s="1312">
        <f>K389*((1+'Instrumentos Financeiros'!$G$43)^(1/12)-1)</f>
        <v>0</v>
      </c>
      <c r="K390" s="1312">
        <f t="shared" si="241"/>
        <v>0</v>
      </c>
      <c r="L390" s="1312">
        <f>IF(AND(C390&gt;$F$61,'Instrumentos Financeiros'!C390&lt;'Instrumentos Financeiros'!$F$61+'Instrumentos Financeiros'!$F$11+1),PMT(((1+'Instrumentos Financeiros'!$G$43)^(1/12)-1),$F$11,-$I$61),0)</f>
        <v>0</v>
      </c>
      <c r="M390" s="1312">
        <f t="shared" si="224"/>
        <v>0</v>
      </c>
      <c r="N390" s="1312">
        <f>O389*((1+'Instrumentos Financeiros'!$G$43)^(1/12)-1)</f>
        <v>0</v>
      </c>
      <c r="O390" s="1312">
        <f t="shared" si="242"/>
        <v>0</v>
      </c>
      <c r="P390" s="1312">
        <f>IF(AND(C390&gt;$F$62,'Instrumentos Financeiros'!C390&lt;'Instrumentos Financeiros'!$F$62+'Instrumentos Financeiros'!$F$11+1),PMT(((1+'Instrumentos Financeiros'!$H$43)^(1/12)-1),$F$11,-$I$62),0)</f>
        <v>0</v>
      </c>
      <c r="Q390" s="1312">
        <f t="shared" si="225"/>
        <v>0</v>
      </c>
      <c r="R390" s="1312">
        <f>S389*((1+'Instrumentos Financeiros'!$H$43)^(1/12)-1)</f>
        <v>0</v>
      </c>
      <c r="S390" s="1312">
        <f t="shared" si="243"/>
        <v>0</v>
      </c>
      <c r="T390" s="1312">
        <f>IF(AND(C390&gt;$F$63,'Instrumentos Financeiros'!C390&lt;'Instrumentos Financeiros'!$F$63+'Instrumentos Financeiros'!$F$11+1),PMT(((1+'Instrumentos Financeiros'!$H$43)^(1/12)-1),$F$11,-$I$63),0)</f>
        <v>0</v>
      </c>
      <c r="U390" s="1312">
        <f t="shared" si="226"/>
        <v>0</v>
      </c>
      <c r="V390" s="1312">
        <f>W389*((1+'Instrumentos Financeiros'!$H$43)^(1/12)-1)</f>
        <v>0</v>
      </c>
      <c r="W390" s="1312">
        <f t="shared" si="244"/>
        <v>0</v>
      </c>
      <c r="X390" s="1312">
        <f>IF(AND(C390&gt;$F$64,'Instrumentos Financeiros'!C390&lt;'Instrumentos Financeiros'!$F$64+'Instrumentos Financeiros'!$F$11+1),PMT(((1+'Instrumentos Financeiros'!$H$43)^(1/12)-1),$F$11,-$I$64),0)</f>
        <v>0</v>
      </c>
      <c r="Y390" s="1312">
        <f t="shared" si="227"/>
        <v>0</v>
      </c>
      <c r="Z390" s="1312">
        <f>AA389*((1+'Instrumentos Financeiros'!$H$43)^(1/12)-1)</f>
        <v>0</v>
      </c>
      <c r="AA390" s="1312">
        <f t="shared" si="245"/>
        <v>0</v>
      </c>
      <c r="AB390" s="1312">
        <f>IF(AND(C390&gt;$F$65,'Instrumentos Financeiros'!C390&lt;'Instrumentos Financeiros'!$F$65+'Instrumentos Financeiros'!$F$11+1),PMT(((1+'Instrumentos Financeiros'!$H$43)^(1/12)-1),$F$11,-$I$65),0)</f>
        <v>0</v>
      </c>
      <c r="AC390" s="1312">
        <f t="shared" si="228"/>
        <v>2.6222652083662712E-11</v>
      </c>
      <c r="AD390" s="1312">
        <f>AE389*((1+'Instrumentos Financeiros'!$H$43)^(1/12)-1)</f>
        <v>-2.6222652083662712E-11</v>
      </c>
      <c r="AE390" s="1312">
        <f t="shared" si="246"/>
        <v>-6.0906506326299773E-9</v>
      </c>
      <c r="AF390" s="1312">
        <f>IF(AND(C390&gt;$F$66,'Instrumentos Financeiros'!C390&lt;'Instrumentos Financeiros'!$F$66+'Instrumentos Financeiros'!$F$11+1),PMT(((1+'Instrumentos Financeiros'!$I$43)^(1/12)-1),$F$11,-$I$66),0)</f>
        <v>0</v>
      </c>
      <c r="AG390" s="1312">
        <f t="shared" si="229"/>
        <v>2.5885411648319389E-11</v>
      </c>
      <c r="AH390" s="1312">
        <f>AI389*((1+'Instrumentos Financeiros'!$I$43)^(1/12)-1)</f>
        <v>-2.5885411648319389E-11</v>
      </c>
      <c r="AI390" s="1312">
        <f t="shared" si="247"/>
        <v>-6.0123208868697494E-9</v>
      </c>
      <c r="AJ390" s="1312">
        <f>IF(AND(C390&gt;$F$67,'Instrumentos Financeiros'!C390&lt;'Instrumentos Financeiros'!$F$67+'Instrumentos Financeiros'!$F$11+1),PMT(((1+'Instrumentos Financeiros'!$I$43)^(1/12)-1),$F$11,-$I$67),0)</f>
        <v>0</v>
      </c>
      <c r="AK390" s="1312">
        <f t="shared" si="230"/>
        <v>2.5552508345271749E-11</v>
      </c>
      <c r="AL390" s="1312">
        <f>AM389*((1+'Instrumentos Financeiros'!$I$43)^(1/12)-1)</f>
        <v>-2.5552508345271749E-11</v>
      </c>
      <c r="AM390" s="1312">
        <f t="shared" si="248"/>
        <v>-5.9349985128077083E-9</v>
      </c>
      <c r="AN390" s="1312">
        <f>IF(AND(C390&gt;$F$68,'Instrumentos Financeiros'!C390&lt;'Instrumentos Financeiros'!$F$68+'Instrumentos Financeiros'!$F$11+1),PMT(((1+'Instrumentos Financeiros'!$I$43)^(1/12)-1),$F$11,-$I$68),0)</f>
        <v>0</v>
      </c>
      <c r="AO390" s="1312">
        <f t="shared" si="231"/>
        <v>2.5223886396165306E-11</v>
      </c>
      <c r="AP390" s="1312">
        <f>AQ389*((1+'Instrumentos Financeiros'!$I$43)^(1/12)-1)</f>
        <v>-2.5223886396165306E-11</v>
      </c>
      <c r="AQ390" s="1312">
        <f t="shared" si="249"/>
        <v>-5.8586705549857672E-9</v>
      </c>
      <c r="AR390" s="1312">
        <f>IF(AND(C390&gt;$F$69,'Instrumentos Financeiros'!C390&lt;'Instrumentos Financeiros'!$F$69+'Instrumentos Financeiros'!$F$11+1),PMT(((1+'Instrumentos Financeiros'!$I$43)^(1/12)-1),$F$11,-$I$69),0)</f>
        <v>0</v>
      </c>
      <c r="AS390" s="1312">
        <f t="shared" si="232"/>
        <v>0</v>
      </c>
      <c r="AT390" s="1312">
        <f>AU389*((1+'Instrumentos Financeiros'!$I$43)^(1/12)-1)</f>
        <v>0</v>
      </c>
      <c r="AU390" s="1312">
        <f t="shared" si="250"/>
        <v>0</v>
      </c>
      <c r="AV390" s="1312">
        <f>IF(AND(C390&gt;$F$70,'Instrumentos Financeiros'!C390&lt;'Instrumentos Financeiros'!$F$70+'Instrumentos Financeiros'!$F$11+1),PMT(((1+'Instrumentos Financeiros'!$J$43)^(1/12)-1),$F$11,-$I$70),0)</f>
        <v>0</v>
      </c>
      <c r="AW390" s="1312">
        <f t="shared" si="233"/>
        <v>0</v>
      </c>
      <c r="AX390" s="1312">
        <f>AY389*((1+'Instrumentos Financeiros'!$J$43)^(1/12)-1)</f>
        <v>0</v>
      </c>
      <c r="AY390" s="1312">
        <f t="shared" si="251"/>
        <v>0</v>
      </c>
      <c r="AZ390" s="1312">
        <f>IF(AND(C390&gt;$F$71,'Instrumentos Financeiros'!C390&lt;'Instrumentos Financeiros'!$F$71+'Instrumentos Financeiros'!$F$11+1),PMT(((1+'Instrumentos Financeiros'!$J$43)^(1/12)-1),$F$11,-$I$71),0)</f>
        <v>0</v>
      </c>
      <c r="BA390" s="1312">
        <f t="shared" si="234"/>
        <v>0</v>
      </c>
      <c r="BB390" s="1312">
        <f>BC389*((1+'Instrumentos Financeiros'!$J$43)^(1/12)-1)</f>
        <v>0</v>
      </c>
      <c r="BC390" s="1312">
        <f t="shared" si="252"/>
        <v>0</v>
      </c>
      <c r="BD390" s="1312">
        <f>IF(AND(C390&gt;$F$72,'Instrumentos Financeiros'!C390&lt;'Instrumentos Financeiros'!$F$72+'Instrumentos Financeiros'!$F$11+1),PMT(((1+'Instrumentos Financeiros'!$J$43)^(1/12)-1),$F$11,-'Instrumentos Financeiros'!$G$7*$G$72),0)</f>
        <v>0</v>
      </c>
      <c r="BE390" s="1312">
        <f t="shared" si="235"/>
        <v>0</v>
      </c>
      <c r="BF390" s="1312">
        <f>BG389*((1+'Instrumentos Financeiros'!$J$43)^(1/12)-1)</f>
        <v>0</v>
      </c>
      <c r="BG390" s="1312">
        <f t="shared" si="253"/>
        <v>0</v>
      </c>
      <c r="BH390" s="1312">
        <f>IF(AND(C390&gt;$F$73,'Instrumentos Financeiros'!C390&lt;'Instrumentos Financeiros'!$F$73+'Instrumentos Financeiros'!$F$11+1),PMT(((1+'Instrumentos Financeiros'!$J$43)^(1/12)-1),$F$11,-$I$73),0)</f>
        <v>0</v>
      </c>
      <c r="BI390" s="1312">
        <f t="shared" si="236"/>
        <v>0</v>
      </c>
      <c r="BJ390" s="1312">
        <f>BK389*((1+'Instrumentos Financeiros'!$J$43)^(1/12)-1)</f>
        <v>0</v>
      </c>
      <c r="BK390" s="1312">
        <f t="shared" si="254"/>
        <v>0</v>
      </c>
      <c r="BL390" s="1312">
        <f>IF(AND(C390&gt;$F$77,'Instrumentos Financeiros'!C390&lt;'Instrumentos Financeiros'!$F$77+'Instrumentos Financeiros'!$F$12+1),PMT(((1+'Instrumentos Financeiros'!$K$43)^(1/12)-1),$F$12,-$I$77),0)</f>
        <v>0</v>
      </c>
      <c r="BM390" s="1312">
        <f t="shared" si="255"/>
        <v>7.1273077402266066E-14</v>
      </c>
      <c r="BN390" s="1312">
        <f>BO389*((1+'Instrumentos Financeiros'!$K$43)^(1/12)-1)</f>
        <v>-7.1273077402266066E-14</v>
      </c>
      <c r="BO390" s="1312">
        <f t="shared" si="256"/>
        <v>-1.6554367292240843E-11</v>
      </c>
      <c r="BP390" s="1312">
        <f>IF(AND(C390&gt;$F$78,'Instrumentos Financeiros'!C390&lt;'Instrumentos Financeiros'!$F$78+'Instrumentos Financeiros'!$F$12+1),PMT(((1+'Instrumentos Financeiros'!$L$43)^(1/12)-1),$F$12,-$I$78),0)</f>
        <v>0</v>
      </c>
      <c r="BQ390" s="1312">
        <f t="shared" si="257"/>
        <v>7.035645906882245E-14</v>
      </c>
      <c r="BR390" s="1312">
        <f>BS389*((1+'Instrumentos Financeiros'!$L$43)^(1/12)-1)</f>
        <v>-7.035645906882245E-14</v>
      </c>
      <c r="BS390" s="1312">
        <f t="shared" si="258"/>
        <v>-1.6341467314974747E-11</v>
      </c>
      <c r="BT390" s="1312">
        <f>IF(AND(C390&gt;$F$79,'Instrumentos Financeiros'!C390&lt;'Instrumentos Financeiros'!$F$79+'Instrumentos Financeiros'!$F$12+1),PMT(((1+'Instrumentos Financeiros'!$L$43)^(1/12)-1),$F$12,-$I$79),0)</f>
        <v>0</v>
      </c>
      <c r="BU390" s="1312">
        <f t="shared" si="259"/>
        <v>6.9451629045913863E-14</v>
      </c>
      <c r="BV390" s="1312">
        <f>BW389*((1+'Instrumentos Financeiros'!$L$43)^(1/12)-1)</f>
        <v>-6.9451629045913863E-14</v>
      </c>
      <c r="BW390" s="1312">
        <f t="shared" si="260"/>
        <v>-1.6131305370489951E-11</v>
      </c>
      <c r="BX390" s="1312">
        <f>IF(AND(C390&gt;$F$80,'Instrumentos Financeiros'!C390&lt;'Instrumentos Financeiros'!$F$80+'Instrumentos Financeiros'!$F$12+1),PMT(((1+'Instrumentos Financeiros'!$L$43)^(1/12)-1),$F$12,-$I$80),0)</f>
        <v>0</v>
      </c>
      <c r="BY390" s="1312">
        <f t="shared" si="261"/>
        <v>6.8558435728166286E-14</v>
      </c>
      <c r="BZ390" s="1312">
        <f>CA389*((1+'Instrumentos Financeiros'!$L$43)^(1/12)-1)</f>
        <v>-6.8558435728166286E-14</v>
      </c>
      <c r="CA390" s="1312">
        <f t="shared" si="262"/>
        <v>-1.5923846245896315E-11</v>
      </c>
      <c r="CB390" s="1312">
        <f>IF(AND(C390&gt;$F$83,'Instrumentos Financeiros'!C390&lt;'Instrumentos Financeiros'!$F$83+'Instrumentos Financeiros'!$F$13+1),PMT(((1+'Instrumentos Financeiros'!$P$43)^(1/12)-1),$F$13,-$I$83),0)</f>
        <v>30503.390100238979</v>
      </c>
      <c r="CC390" s="1312">
        <f t="shared" si="263"/>
        <v>24372.95201998877</v>
      </c>
      <c r="CD390" s="1312">
        <f>CE389*((1+'Instrumentos Financeiros'!$P$43)^(1/12)-1)</f>
        <v>6130.4380802502083</v>
      </c>
      <c r="CE390" s="1312">
        <f t="shared" si="264"/>
        <v>1393393.6456628772</v>
      </c>
      <c r="CF390" s="1312">
        <f>IF(AND(C390&gt;$F$84,'Instrumentos Financeiros'!C390&lt;'Instrumentos Financeiros'!$F$84+'Instrumentos Financeiros'!$F$13+1),PMT(((1+'Instrumentos Financeiros'!$Q$43)^(1/12)-1),$F$13,-$I$84),0)</f>
        <v>30503.390100238979</v>
      </c>
      <c r="CG390" s="1312">
        <f t="shared" si="265"/>
        <v>24059.499935752639</v>
      </c>
      <c r="CH390" s="1312">
        <f>CI389*((1+'Instrumentos Financeiros'!$Q$43)^(1/12)-1)</f>
        <v>6443.8901644863381</v>
      </c>
      <c r="CI390" s="1312">
        <f t="shared" si="266"/>
        <v>1466198.1480092052</v>
      </c>
      <c r="CJ390" s="1312">
        <f>IF(AND(C390&gt;$F$85,'Instrumentos Financeiros'!C390&lt;'Instrumentos Financeiros'!$F$85+'Instrumentos Financeiros'!$F$13+1),PMT(((1+'Instrumentos Financeiros'!$Q$43)^(1/12)-1),$F$13,-$I$85),0)</f>
        <v>30503.390100238979</v>
      </c>
      <c r="CK390" s="1312">
        <f t="shared" si="267"/>
        <v>23750.07905007758</v>
      </c>
      <c r="CL390" s="1312">
        <f>CM389*((1+'Instrumentos Financeiros'!$Q$43)^(1/12)-1)</f>
        <v>6753.3110501613983</v>
      </c>
      <c r="CM390" s="1312">
        <f t="shared" si="268"/>
        <v>1538066.336896929</v>
      </c>
      <c r="CN390" s="1312">
        <f>IF(AND(C390&gt;$F$86,'Instrumentos Financeiros'!C390&lt;'Instrumentos Financeiros'!$F$86+'Instrumentos Financeiros'!$F$13+1),PMT(((1+'Instrumentos Financeiros'!$Q$43)^(1/12)-1),$F$13,-$I$86),0)</f>
        <v>30503.390100238979</v>
      </c>
      <c r="CO390" s="1312">
        <f t="shared" si="269"/>
        <v>23444.637519116775</v>
      </c>
      <c r="CP390" s="1312">
        <f>CQ389*((1+'Instrumentos Financeiros'!$Q$43)^(1/12)-1)</f>
        <v>7058.752581122204</v>
      </c>
      <c r="CQ390" s="1312">
        <f t="shared" si="270"/>
        <v>1609010.2539287587</v>
      </c>
      <c r="CR390" s="1312">
        <f t="shared" si="239"/>
        <v>122013.56040095592</v>
      </c>
      <c r="CS390" s="1312">
        <f t="shared" si="239"/>
        <v>95627.168524935856</v>
      </c>
      <c r="CT390" s="1312">
        <f t="shared" si="239"/>
        <v>26386.391876020058</v>
      </c>
      <c r="CU390" s="1312">
        <f t="shared" si="239"/>
        <v>6006668.3844977487</v>
      </c>
    </row>
    <row r="391" spans="3:99" x14ac:dyDescent="0.35">
      <c r="C391" s="1315">
        <f t="shared" si="240"/>
        <v>298</v>
      </c>
      <c r="D391" s="1312">
        <f>IF(AND(C391&gt;$F$59,'Instrumentos Financeiros'!C391&lt;'Instrumentos Financeiros'!$F$59+'Instrumentos Financeiros'!$F$11+1),PMT(((1+'Instrumentos Financeiros'!$G$43)^(1/12)-1),$F$11,-$I$59),0)</f>
        <v>0</v>
      </c>
      <c r="E391" s="1312">
        <f t="shared" si="237"/>
        <v>-1.0747640642431633E-11</v>
      </c>
      <c r="F391" s="1312">
        <f>G390*((1+'Instrumentos Financeiros'!$G$43)^(1/12)-1)</f>
        <v>1.0747640642431633E-11</v>
      </c>
      <c r="G391" s="1312">
        <f t="shared" si="271"/>
        <v>2.643811272903001E-9</v>
      </c>
      <c r="H391" s="1312">
        <f>IF(AND(C391&gt;$F$60,'Instrumentos Financeiros'!C391&lt;'Instrumentos Financeiros'!$F$60+'Instrumentos Financeiros'!$F$11+1),PMT(((1+'Instrumentos Financeiros'!$G$43)^(1/12)-1),$F$11,-$I$60),0)</f>
        <v>0</v>
      </c>
      <c r="I391" s="1312">
        <f t="shared" si="223"/>
        <v>0</v>
      </c>
      <c r="J391" s="1312">
        <f>K390*((1+'Instrumentos Financeiros'!$G$43)^(1/12)-1)</f>
        <v>0</v>
      </c>
      <c r="K391" s="1312">
        <f t="shared" si="241"/>
        <v>0</v>
      </c>
      <c r="L391" s="1312">
        <f>IF(AND(C391&gt;$F$61,'Instrumentos Financeiros'!C391&lt;'Instrumentos Financeiros'!$F$61+'Instrumentos Financeiros'!$F$11+1),PMT(((1+'Instrumentos Financeiros'!$G$43)^(1/12)-1),$F$11,-$I$61),0)</f>
        <v>0</v>
      </c>
      <c r="M391" s="1312">
        <f t="shared" si="224"/>
        <v>0</v>
      </c>
      <c r="N391" s="1312">
        <f>O390*((1+'Instrumentos Financeiros'!$G$43)^(1/12)-1)</f>
        <v>0</v>
      </c>
      <c r="O391" s="1312">
        <f t="shared" si="242"/>
        <v>0</v>
      </c>
      <c r="P391" s="1312">
        <f>IF(AND(C391&gt;$F$62,'Instrumentos Financeiros'!C391&lt;'Instrumentos Financeiros'!$F$62+'Instrumentos Financeiros'!$F$11+1),PMT(((1+'Instrumentos Financeiros'!$H$43)^(1/12)-1),$F$11,-$I$62),0)</f>
        <v>0</v>
      </c>
      <c r="Q391" s="1312">
        <f t="shared" si="225"/>
        <v>0</v>
      </c>
      <c r="R391" s="1312">
        <f>S390*((1+'Instrumentos Financeiros'!$H$43)^(1/12)-1)</f>
        <v>0</v>
      </c>
      <c r="S391" s="1312">
        <f t="shared" si="243"/>
        <v>0</v>
      </c>
      <c r="T391" s="1312">
        <f>IF(AND(C391&gt;$F$63,'Instrumentos Financeiros'!C391&lt;'Instrumentos Financeiros'!$F$63+'Instrumentos Financeiros'!$F$11+1),PMT(((1+'Instrumentos Financeiros'!$H$43)^(1/12)-1),$F$11,-$I$63),0)</f>
        <v>0</v>
      </c>
      <c r="U391" s="1312">
        <f t="shared" si="226"/>
        <v>0</v>
      </c>
      <c r="V391" s="1312">
        <f>W390*((1+'Instrumentos Financeiros'!$H$43)^(1/12)-1)</f>
        <v>0</v>
      </c>
      <c r="W391" s="1312">
        <f t="shared" si="244"/>
        <v>0</v>
      </c>
      <c r="X391" s="1312">
        <f>IF(AND(C391&gt;$F$64,'Instrumentos Financeiros'!C391&lt;'Instrumentos Financeiros'!$F$64+'Instrumentos Financeiros'!$F$11+1),PMT(((1+'Instrumentos Financeiros'!$H$43)^(1/12)-1),$F$11,-$I$64),0)</f>
        <v>0</v>
      </c>
      <c r="Y391" s="1312">
        <f t="shared" si="227"/>
        <v>0</v>
      </c>
      <c r="Z391" s="1312">
        <f>AA390*((1+'Instrumentos Financeiros'!$H$43)^(1/12)-1)</f>
        <v>0</v>
      </c>
      <c r="AA391" s="1312">
        <f t="shared" si="245"/>
        <v>0</v>
      </c>
      <c r="AB391" s="1312">
        <f>IF(AND(C391&gt;$F$65,'Instrumentos Financeiros'!C391&lt;'Instrumentos Financeiros'!$F$65+'Instrumentos Financeiros'!$F$11+1),PMT(((1+'Instrumentos Financeiros'!$H$43)^(1/12)-1),$F$11,-$I$65),0)</f>
        <v>0</v>
      </c>
      <c r="AC391" s="1312">
        <f t="shared" si="228"/>
        <v>2.6336039114476928E-11</v>
      </c>
      <c r="AD391" s="1312">
        <f>AE390*((1+'Instrumentos Financeiros'!$H$43)^(1/12)-1)</f>
        <v>-2.6336039114476928E-11</v>
      </c>
      <c r="AE391" s="1312">
        <f t="shared" si="246"/>
        <v>-6.1169866717444543E-9</v>
      </c>
      <c r="AF391" s="1312">
        <f>IF(AND(C391&gt;$F$66,'Instrumentos Financeiros'!C391&lt;'Instrumentos Financeiros'!$F$66+'Instrumentos Financeiros'!$F$11+1),PMT(((1+'Instrumentos Financeiros'!$I$43)^(1/12)-1),$F$11,-$I$66),0)</f>
        <v>0</v>
      </c>
      <c r="AG391" s="1312">
        <f t="shared" si="229"/>
        <v>2.599734044784899E-11</v>
      </c>
      <c r="AH391" s="1312">
        <f>AI390*((1+'Instrumentos Financeiros'!$I$43)^(1/12)-1)</f>
        <v>-2.599734044784899E-11</v>
      </c>
      <c r="AI391" s="1312">
        <f t="shared" si="247"/>
        <v>-6.0383182273175981E-9</v>
      </c>
      <c r="AJ391" s="1312">
        <f>IF(AND(C391&gt;$F$67,'Instrumentos Financeiros'!C391&lt;'Instrumentos Financeiros'!$F$67+'Instrumentos Financeiros'!$F$11+1),PMT(((1+'Instrumentos Financeiros'!$I$43)^(1/12)-1),$F$11,-$I$67),0)</f>
        <v>0</v>
      </c>
      <c r="AK391" s="1312">
        <f t="shared" si="230"/>
        <v>2.5662997667323616E-11</v>
      </c>
      <c r="AL391" s="1312">
        <f>AM390*((1+'Instrumentos Financeiros'!$I$43)^(1/12)-1)</f>
        <v>-2.5662997667323616E-11</v>
      </c>
      <c r="AM391" s="1312">
        <f t="shared" si="248"/>
        <v>-5.9606615104750323E-9</v>
      </c>
      <c r="AN391" s="1312">
        <f>IF(AND(C391&gt;$F$68,'Instrumentos Financeiros'!C391&lt;'Instrumentos Financeiros'!$F$68+'Instrumentos Financeiros'!$F$11+1),PMT(((1+'Instrumentos Financeiros'!$I$43)^(1/12)-1),$F$11,-$I$68),0)</f>
        <v>0</v>
      </c>
      <c r="AO391" s="1312">
        <f t="shared" si="231"/>
        <v>2.5332954753360123E-11</v>
      </c>
      <c r="AP391" s="1312">
        <f>AQ390*((1+'Instrumentos Financeiros'!$I$43)^(1/12)-1)</f>
        <v>-2.5332954753360123E-11</v>
      </c>
      <c r="AQ391" s="1312">
        <f t="shared" si="249"/>
        <v>-5.8840035097391272E-9</v>
      </c>
      <c r="AR391" s="1312">
        <f>IF(AND(C391&gt;$F$69,'Instrumentos Financeiros'!C391&lt;'Instrumentos Financeiros'!$F$69+'Instrumentos Financeiros'!$F$11+1),PMT(((1+'Instrumentos Financeiros'!$I$43)^(1/12)-1),$F$11,-$I$69),0)</f>
        <v>0</v>
      </c>
      <c r="AS391" s="1312">
        <f t="shared" si="232"/>
        <v>0</v>
      </c>
      <c r="AT391" s="1312">
        <f>AU390*((1+'Instrumentos Financeiros'!$I$43)^(1/12)-1)</f>
        <v>0</v>
      </c>
      <c r="AU391" s="1312">
        <f t="shared" si="250"/>
        <v>0</v>
      </c>
      <c r="AV391" s="1312">
        <f>IF(AND(C391&gt;$F$70,'Instrumentos Financeiros'!C391&lt;'Instrumentos Financeiros'!$F$70+'Instrumentos Financeiros'!$F$11+1),PMT(((1+'Instrumentos Financeiros'!$J$43)^(1/12)-1),$F$11,-$I$70),0)</f>
        <v>0</v>
      </c>
      <c r="AW391" s="1312">
        <f t="shared" si="233"/>
        <v>0</v>
      </c>
      <c r="AX391" s="1312">
        <f>AY390*((1+'Instrumentos Financeiros'!$J$43)^(1/12)-1)</f>
        <v>0</v>
      </c>
      <c r="AY391" s="1312">
        <f t="shared" si="251"/>
        <v>0</v>
      </c>
      <c r="AZ391" s="1312">
        <f>IF(AND(C391&gt;$F$71,'Instrumentos Financeiros'!C391&lt;'Instrumentos Financeiros'!$F$71+'Instrumentos Financeiros'!$F$11+1),PMT(((1+'Instrumentos Financeiros'!$J$43)^(1/12)-1),$F$11,-$I$71),0)</f>
        <v>0</v>
      </c>
      <c r="BA391" s="1312">
        <f t="shared" si="234"/>
        <v>0</v>
      </c>
      <c r="BB391" s="1312">
        <f>BC390*((1+'Instrumentos Financeiros'!$J$43)^(1/12)-1)</f>
        <v>0</v>
      </c>
      <c r="BC391" s="1312">
        <f t="shared" si="252"/>
        <v>0</v>
      </c>
      <c r="BD391" s="1312">
        <f>IF(AND(C391&gt;$F$72,'Instrumentos Financeiros'!C391&lt;'Instrumentos Financeiros'!$F$72+'Instrumentos Financeiros'!$F$11+1),PMT(((1+'Instrumentos Financeiros'!$J$43)^(1/12)-1),$F$11,-'Instrumentos Financeiros'!$G$7*$G$72),0)</f>
        <v>0</v>
      </c>
      <c r="BE391" s="1312">
        <f t="shared" si="235"/>
        <v>0</v>
      </c>
      <c r="BF391" s="1312">
        <f>BG390*((1+'Instrumentos Financeiros'!$J$43)^(1/12)-1)</f>
        <v>0</v>
      </c>
      <c r="BG391" s="1312">
        <f t="shared" si="253"/>
        <v>0</v>
      </c>
      <c r="BH391" s="1312">
        <f>IF(AND(C391&gt;$F$73,'Instrumentos Financeiros'!C391&lt;'Instrumentos Financeiros'!$F$73+'Instrumentos Financeiros'!$F$11+1),PMT(((1+'Instrumentos Financeiros'!$J$43)^(1/12)-1),$F$11,-$I$73),0)</f>
        <v>0</v>
      </c>
      <c r="BI391" s="1312">
        <f t="shared" si="236"/>
        <v>0</v>
      </c>
      <c r="BJ391" s="1312">
        <f>BK390*((1+'Instrumentos Financeiros'!$J$43)^(1/12)-1)</f>
        <v>0</v>
      </c>
      <c r="BK391" s="1312">
        <f t="shared" si="254"/>
        <v>0</v>
      </c>
      <c r="BL391" s="1312">
        <f>IF(AND(C391&gt;$F$77,'Instrumentos Financeiros'!C391&lt;'Instrumentos Financeiros'!$F$77+'Instrumentos Financeiros'!$F$12+1),PMT(((1+'Instrumentos Financeiros'!$K$43)^(1/12)-1),$F$12,-$I$77),0)</f>
        <v>0</v>
      </c>
      <c r="BM391" s="1312">
        <f t="shared" si="255"/>
        <v>7.1581262958702213E-14</v>
      </c>
      <c r="BN391" s="1312">
        <f>BO390*((1+'Instrumentos Financeiros'!$K$43)^(1/12)-1)</f>
        <v>-7.1581262958702213E-14</v>
      </c>
      <c r="BO391" s="1312">
        <f t="shared" si="256"/>
        <v>-1.6625948555199545E-11</v>
      </c>
      <c r="BP391" s="1312">
        <f>IF(AND(C391&gt;$F$78,'Instrumentos Financeiros'!C391&lt;'Instrumentos Financeiros'!$F$78+'Instrumentos Financeiros'!$F$12+1),PMT(((1+'Instrumentos Financeiros'!$L$43)^(1/12)-1),$F$12,-$I$78),0)</f>
        <v>0</v>
      </c>
      <c r="BQ391" s="1312">
        <f t="shared" si="257"/>
        <v>7.0660681157685327E-14</v>
      </c>
      <c r="BR391" s="1312">
        <f>BS390*((1+'Instrumentos Financeiros'!$L$43)^(1/12)-1)</f>
        <v>-7.0660681157685327E-14</v>
      </c>
      <c r="BS391" s="1312">
        <f t="shared" si="258"/>
        <v>-1.6412127996132432E-11</v>
      </c>
      <c r="BT391" s="1312">
        <f>IF(AND(C391&gt;$F$79,'Instrumentos Financeiros'!C391&lt;'Instrumentos Financeiros'!$F$79+'Instrumentos Financeiros'!$F$12+1),PMT(((1+'Instrumentos Financeiros'!$L$43)^(1/12)-1),$F$12,-$I$79),0)</f>
        <v>0</v>
      </c>
      <c r="BU391" s="1312">
        <f t="shared" si="259"/>
        <v>6.9751938639985508E-14</v>
      </c>
      <c r="BV391" s="1312">
        <f>BW390*((1+'Instrumentos Financeiros'!$L$43)^(1/12)-1)</f>
        <v>-6.9751938639985508E-14</v>
      </c>
      <c r="BW391" s="1312">
        <f t="shared" si="260"/>
        <v>-1.6201057309129937E-11</v>
      </c>
      <c r="BX391" s="1312">
        <f>IF(AND(C391&gt;$F$80,'Instrumentos Financeiros'!C391&lt;'Instrumentos Financeiros'!$F$80+'Instrumentos Financeiros'!$F$12+1),PMT(((1+'Instrumentos Financeiros'!$L$43)^(1/12)-1),$F$12,-$I$80),0)</f>
        <v>0</v>
      </c>
      <c r="BY391" s="1312">
        <f t="shared" si="261"/>
        <v>6.8854883144685511E-14</v>
      </c>
      <c r="BZ391" s="1312">
        <f>CA390*((1+'Instrumentos Financeiros'!$L$43)^(1/12)-1)</f>
        <v>-6.8854883144685511E-14</v>
      </c>
      <c r="CA391" s="1312">
        <f t="shared" si="262"/>
        <v>-1.5992701129041002E-11</v>
      </c>
      <c r="CB391" s="1312">
        <f>IF(AND(C391&gt;$F$83,'Instrumentos Financeiros'!C391&lt;'Instrumentos Financeiros'!$F$83+'Instrumentos Financeiros'!$F$13+1),PMT(((1+'Instrumentos Financeiros'!$P$43)^(1/12)-1),$F$13,-$I$83),0)</f>
        <v>30503.390100238979</v>
      </c>
      <c r="CC391" s="1312">
        <f t="shared" si="263"/>
        <v>24478.340927750916</v>
      </c>
      <c r="CD391" s="1312">
        <f>CE390*((1+'Instrumentos Financeiros'!$P$43)^(1/12)-1)</f>
        <v>6025.049172488063</v>
      </c>
      <c r="CE391" s="1312">
        <f t="shared" si="264"/>
        <v>1368915.3047351264</v>
      </c>
      <c r="CF391" s="1312">
        <f>IF(AND(C391&gt;$F$84,'Instrumentos Financeiros'!C391&lt;'Instrumentos Financeiros'!$F$84+'Instrumentos Financeiros'!$F$13+1),PMT(((1+'Instrumentos Financeiros'!$Q$43)^(1/12)-1),$F$13,-$I$84),0)</f>
        <v>30503.390100238979</v>
      </c>
      <c r="CG391" s="1312">
        <f t="shared" si="265"/>
        <v>24163.533473317271</v>
      </c>
      <c r="CH391" s="1312">
        <f>CI390*((1+'Instrumentos Financeiros'!$Q$43)^(1/12)-1)</f>
        <v>6339.856626921709</v>
      </c>
      <c r="CI391" s="1312">
        <f t="shared" si="266"/>
        <v>1442034.614535888</v>
      </c>
      <c r="CJ391" s="1312">
        <f>IF(AND(C391&gt;$F$85,'Instrumentos Financeiros'!C391&lt;'Instrumentos Financeiros'!$F$85+'Instrumentos Financeiros'!$F$13+1),PMT(((1+'Instrumentos Financeiros'!$Q$43)^(1/12)-1),$F$13,-$I$85),0)</f>
        <v>30503.390100238979</v>
      </c>
      <c r="CK391" s="1312">
        <f t="shared" si="267"/>
        <v>23852.774648390809</v>
      </c>
      <c r="CL391" s="1312">
        <f>CM390*((1+'Instrumentos Financeiros'!$Q$43)^(1/12)-1)</f>
        <v>6650.6154518481717</v>
      </c>
      <c r="CM391" s="1312">
        <f t="shared" si="268"/>
        <v>1514213.5622485382</v>
      </c>
      <c r="CN391" s="1312">
        <f>IF(AND(C391&gt;$F$86,'Instrumentos Financeiros'!C391&lt;'Instrumentos Financeiros'!$F$86+'Instrumentos Financeiros'!$F$13+1),PMT(((1+'Instrumentos Financeiros'!$Q$43)^(1/12)-1),$F$13,-$I$86),0)</f>
        <v>30503.390100238979</v>
      </c>
      <c r="CO391" s="1312">
        <f t="shared" si="269"/>
        <v>23546.012384951362</v>
      </c>
      <c r="CP391" s="1312">
        <f>CQ390*((1+'Instrumentos Financeiros'!$Q$43)^(1/12)-1)</f>
        <v>6957.3777152876191</v>
      </c>
      <c r="CQ391" s="1312">
        <f t="shared" si="270"/>
        <v>1585464.2415438073</v>
      </c>
      <c r="CR391" s="1312">
        <f t="shared" si="239"/>
        <v>122013.56040095592</v>
      </c>
      <c r="CS391" s="1312">
        <f t="shared" si="239"/>
        <v>96040.66143441046</v>
      </c>
      <c r="CT391" s="1312">
        <f t="shared" si="239"/>
        <v>25972.898966545472</v>
      </c>
      <c r="CU391" s="1312">
        <f t="shared" si="239"/>
        <v>5910627.7230633385</v>
      </c>
    </row>
    <row r="392" spans="3:99" x14ac:dyDescent="0.35">
      <c r="C392" s="1315">
        <f t="shared" si="240"/>
        <v>299</v>
      </c>
      <c r="D392" s="1312">
        <f>IF(AND(C392&gt;$F$59,'Instrumentos Financeiros'!C392&lt;'Instrumentos Financeiros'!$F$59+'Instrumentos Financeiros'!$F$11+1),PMT(((1+'Instrumentos Financeiros'!$G$43)^(1/12)-1),$F$11,-$I$59),0)</f>
        <v>0</v>
      </c>
      <c r="E392" s="1312">
        <f t="shared" si="237"/>
        <v>-1.0791510368162369E-11</v>
      </c>
      <c r="F392" s="1312">
        <f>G391*((1+'Instrumentos Financeiros'!$G$43)^(1/12)-1)</f>
        <v>1.0791510368162369E-11</v>
      </c>
      <c r="G392" s="1312">
        <f t="shared" si="271"/>
        <v>2.6546027832711634E-9</v>
      </c>
      <c r="H392" s="1312">
        <f>IF(AND(C392&gt;$F$60,'Instrumentos Financeiros'!C392&lt;'Instrumentos Financeiros'!$F$60+'Instrumentos Financeiros'!$F$11+1),PMT(((1+'Instrumentos Financeiros'!$G$43)^(1/12)-1),$F$11,-$I$60),0)</f>
        <v>0</v>
      </c>
      <c r="I392" s="1312">
        <f t="shared" si="223"/>
        <v>0</v>
      </c>
      <c r="J392" s="1312">
        <f>K391*((1+'Instrumentos Financeiros'!$G$43)^(1/12)-1)</f>
        <v>0</v>
      </c>
      <c r="K392" s="1312">
        <f t="shared" si="241"/>
        <v>0</v>
      </c>
      <c r="L392" s="1312">
        <f>IF(AND(C392&gt;$F$61,'Instrumentos Financeiros'!C392&lt;'Instrumentos Financeiros'!$F$61+'Instrumentos Financeiros'!$F$11+1),PMT(((1+'Instrumentos Financeiros'!$G$43)^(1/12)-1),$F$11,-$I$61),0)</f>
        <v>0</v>
      </c>
      <c r="M392" s="1312">
        <f t="shared" si="224"/>
        <v>0</v>
      </c>
      <c r="N392" s="1312">
        <f>O391*((1+'Instrumentos Financeiros'!$G$43)^(1/12)-1)</f>
        <v>0</v>
      </c>
      <c r="O392" s="1312">
        <f t="shared" si="242"/>
        <v>0</v>
      </c>
      <c r="P392" s="1312">
        <f>IF(AND(C392&gt;$F$62,'Instrumentos Financeiros'!C392&lt;'Instrumentos Financeiros'!$F$62+'Instrumentos Financeiros'!$F$11+1),PMT(((1+'Instrumentos Financeiros'!$H$43)^(1/12)-1),$F$11,-$I$62),0)</f>
        <v>0</v>
      </c>
      <c r="Q392" s="1312">
        <f t="shared" si="225"/>
        <v>0</v>
      </c>
      <c r="R392" s="1312">
        <f>S391*((1+'Instrumentos Financeiros'!$H$43)^(1/12)-1)</f>
        <v>0</v>
      </c>
      <c r="S392" s="1312">
        <f t="shared" si="243"/>
        <v>0</v>
      </c>
      <c r="T392" s="1312">
        <f>IF(AND(C392&gt;$F$63,'Instrumentos Financeiros'!C392&lt;'Instrumentos Financeiros'!$F$63+'Instrumentos Financeiros'!$F$11+1),PMT(((1+'Instrumentos Financeiros'!$H$43)^(1/12)-1),$F$11,-$I$63),0)</f>
        <v>0</v>
      </c>
      <c r="U392" s="1312">
        <f t="shared" si="226"/>
        <v>0</v>
      </c>
      <c r="V392" s="1312">
        <f>W391*((1+'Instrumentos Financeiros'!$H$43)^(1/12)-1)</f>
        <v>0</v>
      </c>
      <c r="W392" s="1312">
        <f t="shared" si="244"/>
        <v>0</v>
      </c>
      <c r="X392" s="1312">
        <f>IF(AND(C392&gt;$F$64,'Instrumentos Financeiros'!C392&lt;'Instrumentos Financeiros'!$F$64+'Instrumentos Financeiros'!$F$11+1),PMT(((1+'Instrumentos Financeiros'!$H$43)^(1/12)-1),$F$11,-$I$64),0)</f>
        <v>0</v>
      </c>
      <c r="Y392" s="1312">
        <f t="shared" si="227"/>
        <v>0</v>
      </c>
      <c r="Z392" s="1312">
        <f>AA391*((1+'Instrumentos Financeiros'!$H$43)^(1/12)-1)</f>
        <v>0</v>
      </c>
      <c r="AA392" s="1312">
        <f t="shared" si="245"/>
        <v>0</v>
      </c>
      <c r="AB392" s="1312">
        <f>IF(AND(C392&gt;$F$65,'Instrumentos Financeiros'!C392&lt;'Instrumentos Financeiros'!$F$65+'Instrumentos Financeiros'!$F$11+1),PMT(((1+'Instrumentos Financeiros'!$H$43)^(1/12)-1),$F$11,-$I$65),0)</f>
        <v>0</v>
      </c>
      <c r="AC392" s="1312">
        <f t="shared" si="228"/>
        <v>2.644991643203697E-11</v>
      </c>
      <c r="AD392" s="1312">
        <f>AE391*((1+'Instrumentos Financeiros'!$H$43)^(1/12)-1)</f>
        <v>-2.644991643203697E-11</v>
      </c>
      <c r="AE392" s="1312">
        <f t="shared" si="246"/>
        <v>-6.1434365881764914E-9</v>
      </c>
      <c r="AF392" s="1312">
        <f>IF(AND(C392&gt;$F$66,'Instrumentos Financeiros'!C392&lt;'Instrumentos Financeiros'!$F$66+'Instrumentos Financeiros'!$F$11+1),PMT(((1+'Instrumentos Financeiros'!$I$43)^(1/12)-1),$F$11,-$I$66),0)</f>
        <v>0</v>
      </c>
      <c r="AG392" s="1312">
        <f t="shared" si="229"/>
        <v>2.6109753228716584E-11</v>
      </c>
      <c r="AH392" s="1312">
        <f>AI391*((1+'Instrumentos Financeiros'!$I$43)^(1/12)-1)</f>
        <v>-2.6109753228716584E-11</v>
      </c>
      <c r="AI392" s="1312">
        <f t="shared" si="247"/>
        <v>-6.0644279805463148E-9</v>
      </c>
      <c r="AJ392" s="1312">
        <f>IF(AND(C392&gt;$F$67,'Instrumentos Financeiros'!C392&lt;'Instrumentos Financeiros'!$F$67+'Instrumentos Financeiros'!$F$11+1),PMT(((1+'Instrumentos Financeiros'!$I$43)^(1/12)-1),$F$11,-$I$67),0)</f>
        <v>0</v>
      </c>
      <c r="AK392" s="1312">
        <f t="shared" si="230"/>
        <v>2.5773964746397323E-11</v>
      </c>
      <c r="AL392" s="1312">
        <f>AM391*((1+'Instrumentos Financeiros'!$I$43)^(1/12)-1)</f>
        <v>-2.5773964746397323E-11</v>
      </c>
      <c r="AM392" s="1312">
        <f t="shared" si="248"/>
        <v>-5.9864354752214297E-9</v>
      </c>
      <c r="AN392" s="1312">
        <f>IF(AND(C392&gt;$F$68,'Instrumentos Financeiros'!C392&lt;'Instrumentos Financeiros'!$F$68+'Instrumentos Financeiros'!$F$11+1),PMT(((1+'Instrumentos Financeiros'!$I$43)^(1/12)-1),$F$11,-$I$68),0)</f>
        <v>0</v>
      </c>
      <c r="AO392" s="1312">
        <f t="shared" si="231"/>
        <v>2.5442494723309388E-11</v>
      </c>
      <c r="AP392" s="1312">
        <f>AQ391*((1+'Instrumentos Financeiros'!$I$43)^(1/12)-1)</f>
        <v>-2.5442494723309388E-11</v>
      </c>
      <c r="AQ392" s="1312">
        <f t="shared" si="249"/>
        <v>-5.9094460044624368E-9</v>
      </c>
      <c r="AR392" s="1312">
        <f>IF(AND(C392&gt;$F$69,'Instrumentos Financeiros'!C392&lt;'Instrumentos Financeiros'!$F$69+'Instrumentos Financeiros'!$F$11+1),PMT(((1+'Instrumentos Financeiros'!$I$43)^(1/12)-1),$F$11,-$I$69),0)</f>
        <v>0</v>
      </c>
      <c r="AS392" s="1312">
        <f t="shared" si="232"/>
        <v>0</v>
      </c>
      <c r="AT392" s="1312">
        <f>AU391*((1+'Instrumentos Financeiros'!$I$43)^(1/12)-1)</f>
        <v>0</v>
      </c>
      <c r="AU392" s="1312">
        <f t="shared" si="250"/>
        <v>0</v>
      </c>
      <c r="AV392" s="1312">
        <f>IF(AND(C392&gt;$F$70,'Instrumentos Financeiros'!C392&lt;'Instrumentos Financeiros'!$F$70+'Instrumentos Financeiros'!$F$11+1),PMT(((1+'Instrumentos Financeiros'!$J$43)^(1/12)-1),$F$11,-$I$70),0)</f>
        <v>0</v>
      </c>
      <c r="AW392" s="1312">
        <f t="shared" si="233"/>
        <v>0</v>
      </c>
      <c r="AX392" s="1312">
        <f>AY391*((1+'Instrumentos Financeiros'!$J$43)^(1/12)-1)</f>
        <v>0</v>
      </c>
      <c r="AY392" s="1312">
        <f t="shared" si="251"/>
        <v>0</v>
      </c>
      <c r="AZ392" s="1312">
        <f>IF(AND(C392&gt;$F$71,'Instrumentos Financeiros'!C392&lt;'Instrumentos Financeiros'!$F$71+'Instrumentos Financeiros'!$F$11+1),PMT(((1+'Instrumentos Financeiros'!$J$43)^(1/12)-1),$F$11,-$I$71),0)</f>
        <v>0</v>
      </c>
      <c r="BA392" s="1312">
        <f t="shared" si="234"/>
        <v>0</v>
      </c>
      <c r="BB392" s="1312">
        <f>BC391*((1+'Instrumentos Financeiros'!$J$43)^(1/12)-1)</f>
        <v>0</v>
      </c>
      <c r="BC392" s="1312">
        <f t="shared" si="252"/>
        <v>0</v>
      </c>
      <c r="BD392" s="1312">
        <f>IF(AND(C392&gt;$F$72,'Instrumentos Financeiros'!C392&lt;'Instrumentos Financeiros'!$F$72+'Instrumentos Financeiros'!$F$11+1),PMT(((1+'Instrumentos Financeiros'!$J$43)^(1/12)-1),$F$11,-'Instrumentos Financeiros'!$G$7*$G$72),0)</f>
        <v>0</v>
      </c>
      <c r="BE392" s="1312">
        <f t="shared" si="235"/>
        <v>0</v>
      </c>
      <c r="BF392" s="1312">
        <f>BG391*((1+'Instrumentos Financeiros'!$J$43)^(1/12)-1)</f>
        <v>0</v>
      </c>
      <c r="BG392" s="1312">
        <f t="shared" si="253"/>
        <v>0</v>
      </c>
      <c r="BH392" s="1312">
        <f>IF(AND(C392&gt;$F$73,'Instrumentos Financeiros'!C392&lt;'Instrumentos Financeiros'!$F$73+'Instrumentos Financeiros'!$F$11+1),PMT(((1+'Instrumentos Financeiros'!$J$43)^(1/12)-1),$F$11,-$I$73),0)</f>
        <v>0</v>
      </c>
      <c r="BI392" s="1312">
        <f t="shared" si="236"/>
        <v>0</v>
      </c>
      <c r="BJ392" s="1312">
        <f>BK391*((1+'Instrumentos Financeiros'!$J$43)^(1/12)-1)</f>
        <v>0</v>
      </c>
      <c r="BK392" s="1312">
        <f t="shared" si="254"/>
        <v>0</v>
      </c>
      <c r="BL392" s="1312">
        <f>IF(AND(C392&gt;$F$77,'Instrumentos Financeiros'!C392&lt;'Instrumentos Financeiros'!$F$77+'Instrumentos Financeiros'!$F$12+1),PMT(((1+'Instrumentos Financeiros'!$K$43)^(1/12)-1),$F$12,-$I$77),0)</f>
        <v>0</v>
      </c>
      <c r="BM392" s="1312">
        <f t="shared" si="255"/>
        <v>7.1890781112812778E-14</v>
      </c>
      <c r="BN392" s="1312">
        <f>BO391*((1+'Instrumentos Financeiros'!$K$43)^(1/12)-1)</f>
        <v>-7.1890781112812778E-14</v>
      </c>
      <c r="BO392" s="1312">
        <f t="shared" si="256"/>
        <v>-1.6697839336312358E-11</v>
      </c>
      <c r="BP392" s="1312">
        <f>IF(AND(C392&gt;$F$78,'Instrumentos Financeiros'!C392&lt;'Instrumentos Financeiros'!$F$78+'Instrumentos Financeiros'!$F$12+1),PMT(((1+'Instrumentos Financeiros'!$L$43)^(1/12)-1),$F$12,-$I$78),0)</f>
        <v>0</v>
      </c>
      <c r="BQ392" s="1312">
        <f t="shared" si="257"/>
        <v>7.0966218706146024E-14</v>
      </c>
      <c r="BR392" s="1312">
        <f>BS391*((1+'Instrumentos Financeiros'!$L$43)^(1/12)-1)</f>
        <v>-7.0966218706146024E-14</v>
      </c>
      <c r="BS392" s="1312">
        <f t="shared" si="258"/>
        <v>-1.6483094214838577E-11</v>
      </c>
      <c r="BT392" s="1312">
        <f>IF(AND(C392&gt;$F$79,'Instrumentos Financeiros'!C392&lt;'Instrumentos Financeiros'!$F$79+'Instrumentos Financeiros'!$F$12+1),PMT(((1+'Instrumentos Financeiros'!$L$43)^(1/12)-1),$F$12,-$I$79),0)</f>
        <v>0</v>
      </c>
      <c r="BU392" s="1312">
        <f t="shared" si="259"/>
        <v>7.0053546775985264E-14</v>
      </c>
      <c r="BV392" s="1312">
        <f>BW391*((1+'Instrumentos Financeiros'!$L$43)^(1/12)-1)</f>
        <v>-7.0053546775985264E-14</v>
      </c>
      <c r="BW392" s="1312">
        <f t="shared" si="260"/>
        <v>-1.6271110855905923E-11</v>
      </c>
      <c r="BX392" s="1312">
        <f>IF(AND(C392&gt;$F$80,'Instrumentos Financeiros'!C392&lt;'Instrumentos Financeiros'!$F$80+'Instrumentos Financeiros'!$F$12+1),PMT(((1+'Instrumentos Financeiros'!$L$43)^(1/12)-1),$F$12,-$I$80),0)</f>
        <v>0</v>
      </c>
      <c r="BY392" s="1312">
        <f t="shared" si="261"/>
        <v>6.9152612403035408E-14</v>
      </c>
      <c r="BZ392" s="1312">
        <f>CA391*((1+'Instrumentos Financeiros'!$L$43)^(1/12)-1)</f>
        <v>-6.9152612403035408E-14</v>
      </c>
      <c r="CA392" s="1312">
        <f t="shared" si="262"/>
        <v>-1.6061853741444038E-11</v>
      </c>
      <c r="CB392" s="1312">
        <f>IF(AND(C392&gt;$F$83,'Instrumentos Financeiros'!C392&lt;'Instrumentos Financeiros'!$F$83+'Instrumentos Financeiros'!$F$13+1),PMT(((1+'Instrumentos Financeiros'!$P$43)^(1/12)-1),$F$13,-$I$83),0)</f>
        <v>30503.390100238979</v>
      </c>
      <c r="CC392" s="1312">
        <f t="shared" si="263"/>
        <v>24584.185538288424</v>
      </c>
      <c r="CD392" s="1312">
        <f>CE391*((1+'Instrumentos Financeiros'!$P$43)^(1/12)-1)</f>
        <v>5919.2045619505552</v>
      </c>
      <c r="CE392" s="1312">
        <f t="shared" si="264"/>
        <v>1344331.119196838</v>
      </c>
      <c r="CF392" s="1312">
        <f>IF(AND(C392&gt;$F$84,'Instrumentos Financeiros'!C392&lt;'Instrumentos Financeiros'!$F$84+'Instrumentos Financeiros'!$F$13+1),PMT(((1+'Instrumentos Financeiros'!$Q$43)^(1/12)-1),$F$13,-$I$84),0)</f>
        <v>30503.390100238979</v>
      </c>
      <c r="CG392" s="1312">
        <f t="shared" si="265"/>
        <v>24268.016853021887</v>
      </c>
      <c r="CH392" s="1312">
        <f>CI391*((1+'Instrumentos Financeiros'!$Q$43)^(1/12)-1)</f>
        <v>6235.3732472170905</v>
      </c>
      <c r="CI392" s="1312">
        <f t="shared" si="266"/>
        <v>1417766.597682866</v>
      </c>
      <c r="CJ392" s="1312">
        <f>IF(AND(C392&gt;$F$85,'Instrumentos Financeiros'!C392&lt;'Instrumentos Financeiros'!$F$85+'Instrumentos Financeiros'!$F$13+1),PMT(((1+'Instrumentos Financeiros'!$Q$43)^(1/12)-1),$F$13,-$I$85),0)</f>
        <v>30503.390100238979</v>
      </c>
      <c r="CK392" s="1312">
        <f t="shared" si="267"/>
        <v>23955.914303580252</v>
      </c>
      <c r="CL392" s="1312">
        <f>CM391*((1+'Instrumentos Financeiros'!$Q$43)^(1/12)-1)</f>
        <v>6547.4757966587285</v>
      </c>
      <c r="CM392" s="1312">
        <f t="shared" si="268"/>
        <v>1490257.6479449579</v>
      </c>
      <c r="CN392" s="1312">
        <f>IF(AND(C392&gt;$F$86,'Instrumentos Financeiros'!C392&lt;'Instrumentos Financeiros'!$F$86+'Instrumentos Financeiros'!$F$13+1),PMT(((1+'Instrumentos Financeiros'!$Q$43)^(1/12)-1),$F$13,-$I$86),0)</f>
        <v>30503.390100238979</v>
      </c>
      <c r="CO392" s="1312">
        <f t="shared" si="269"/>
        <v>23647.825596800663</v>
      </c>
      <c r="CP392" s="1312">
        <f>CQ391*((1+'Instrumentos Financeiros'!$Q$43)^(1/12)-1)</f>
        <v>6855.5645034383178</v>
      </c>
      <c r="CQ392" s="1312">
        <f t="shared" si="270"/>
        <v>1561816.4159470065</v>
      </c>
      <c r="CR392" s="1312">
        <f t="shared" si="239"/>
        <v>122013.56040095592</v>
      </c>
      <c r="CS392" s="1312">
        <f t="shared" si="239"/>
        <v>96455.942291691317</v>
      </c>
      <c r="CT392" s="1312">
        <f t="shared" si="239"/>
        <v>25557.6181092646</v>
      </c>
      <c r="CU392" s="1312">
        <f t="shared" si="239"/>
        <v>5814171.7807716466</v>
      </c>
    </row>
    <row r="393" spans="3:99" x14ac:dyDescent="0.35">
      <c r="C393" s="1316">
        <f t="shared" si="240"/>
        <v>300</v>
      </c>
      <c r="D393" s="1313">
        <f>IF(AND(C393&gt;$F$59,'Instrumentos Financeiros'!C393&lt;'Instrumentos Financeiros'!$F$59+'Instrumentos Financeiros'!$F$11+1),PMT(((1+'Instrumentos Financeiros'!$G$43)^(1/12)-1),$F$11,-$I$59),0)</f>
        <v>0</v>
      </c>
      <c r="E393" s="1313">
        <f t="shared" si="237"/>
        <v>-1.0835559161364724E-11</v>
      </c>
      <c r="F393" s="1313">
        <f>G392*((1+'Instrumentos Financeiros'!$G$43)^(1/12)-1)</f>
        <v>1.0835559161364724E-11</v>
      </c>
      <c r="G393" s="1313">
        <f t="shared" si="271"/>
        <v>2.665438342432528E-9</v>
      </c>
      <c r="H393" s="1313">
        <f>IF(AND(C393&gt;$F$60,'Instrumentos Financeiros'!C393&lt;'Instrumentos Financeiros'!$F$60+'Instrumentos Financeiros'!$F$11+1),PMT(((1+'Instrumentos Financeiros'!$G$43)^(1/12)-1),$F$11,-$I$60),0)</f>
        <v>0</v>
      </c>
      <c r="I393" s="1313">
        <f t="shared" si="223"/>
        <v>0</v>
      </c>
      <c r="J393" s="1313">
        <f>K392*((1+'Instrumentos Financeiros'!$G$43)^(1/12)-1)</f>
        <v>0</v>
      </c>
      <c r="K393" s="1313">
        <f t="shared" si="241"/>
        <v>0</v>
      </c>
      <c r="L393" s="1313">
        <f>IF(AND(C393&gt;$F$61,'Instrumentos Financeiros'!C393&lt;'Instrumentos Financeiros'!$F$61+'Instrumentos Financeiros'!$F$11+1),PMT(((1+'Instrumentos Financeiros'!$G$43)^(1/12)-1),$F$11,-$I$61),0)</f>
        <v>0</v>
      </c>
      <c r="M393" s="1313">
        <f t="shared" si="224"/>
        <v>0</v>
      </c>
      <c r="N393" s="1313">
        <f>O392*((1+'Instrumentos Financeiros'!$G$43)^(1/12)-1)</f>
        <v>0</v>
      </c>
      <c r="O393" s="1313">
        <f t="shared" si="242"/>
        <v>0</v>
      </c>
      <c r="P393" s="1313">
        <f>IF(AND(C393&gt;$F$62,'Instrumentos Financeiros'!C393&lt;'Instrumentos Financeiros'!$F$62+'Instrumentos Financeiros'!$F$11+1),PMT(((1+'Instrumentos Financeiros'!$H$43)^(1/12)-1),$F$11,-$I$62),0)</f>
        <v>0</v>
      </c>
      <c r="Q393" s="1313">
        <f t="shared" si="225"/>
        <v>0</v>
      </c>
      <c r="R393" s="1313">
        <f>S392*((1+'Instrumentos Financeiros'!$H$43)^(1/12)-1)</f>
        <v>0</v>
      </c>
      <c r="S393" s="1313">
        <f t="shared" si="243"/>
        <v>0</v>
      </c>
      <c r="T393" s="1313">
        <f>IF(AND(C393&gt;$F$63,'Instrumentos Financeiros'!C393&lt;'Instrumentos Financeiros'!$F$63+'Instrumentos Financeiros'!$F$11+1),PMT(((1+'Instrumentos Financeiros'!$H$43)^(1/12)-1),$F$11,-$I$63),0)</f>
        <v>0</v>
      </c>
      <c r="U393" s="1313">
        <f t="shared" si="226"/>
        <v>0</v>
      </c>
      <c r="V393" s="1313">
        <f>W392*((1+'Instrumentos Financeiros'!$H$43)^(1/12)-1)</f>
        <v>0</v>
      </c>
      <c r="W393" s="1313">
        <f t="shared" si="244"/>
        <v>0</v>
      </c>
      <c r="X393" s="1313">
        <f>IF(AND(C393&gt;$F$64,'Instrumentos Financeiros'!C393&lt;'Instrumentos Financeiros'!$F$64+'Instrumentos Financeiros'!$F$11+1),PMT(((1+'Instrumentos Financeiros'!$H$43)^(1/12)-1),$F$11,-$I$64),0)</f>
        <v>0</v>
      </c>
      <c r="Y393" s="1313">
        <f t="shared" si="227"/>
        <v>0</v>
      </c>
      <c r="Z393" s="1313">
        <f>AA392*((1+'Instrumentos Financeiros'!$H$43)^(1/12)-1)</f>
        <v>0</v>
      </c>
      <c r="AA393" s="1313">
        <f t="shared" si="245"/>
        <v>0</v>
      </c>
      <c r="AB393" s="1313">
        <f>IF(AND(C393&gt;$F$65,'Instrumentos Financeiros'!C393&lt;'Instrumentos Financeiros'!$F$65+'Instrumentos Financeiros'!$F$11+1),PMT(((1+'Instrumentos Financeiros'!$H$43)^(1/12)-1),$F$11,-$I$65),0)</f>
        <v>0</v>
      </c>
      <c r="AC393" s="1313">
        <f t="shared" si="228"/>
        <v>2.6564286156348014E-11</v>
      </c>
      <c r="AD393" s="1313">
        <f>AE392*((1+'Instrumentos Financeiros'!$H$43)^(1/12)-1)</f>
        <v>-2.6564286156348014E-11</v>
      </c>
      <c r="AE393" s="1313">
        <f t="shared" si="246"/>
        <v>-6.1700008743328398E-9</v>
      </c>
      <c r="AF393" s="1313">
        <f>IF(AND(C393&gt;$F$66,'Instrumentos Financeiros'!C393&lt;'Instrumentos Financeiros'!$F$66+'Instrumentos Financeiros'!$F$11+1),PMT(((1+'Instrumentos Financeiros'!$I$43)^(1/12)-1),$F$11,-$I$66),0)</f>
        <v>0</v>
      </c>
      <c r="AG393" s="1313">
        <f t="shared" si="229"/>
        <v>2.6222652083662712E-11</v>
      </c>
      <c r="AH393" s="1313">
        <f>AI392*((1+'Instrumentos Financeiros'!$I$43)^(1/12)-1)</f>
        <v>-2.6222652083662712E-11</v>
      </c>
      <c r="AI393" s="1313">
        <f t="shared" si="247"/>
        <v>-6.0906506326299773E-9</v>
      </c>
      <c r="AJ393" s="1313">
        <f>IF(AND(C393&gt;$F$67,'Instrumentos Financeiros'!C393&lt;'Instrumentos Financeiros'!$F$67+'Instrumentos Financeiros'!$F$11+1),PMT(((1+'Instrumentos Financeiros'!$I$43)^(1/12)-1),$F$11,-$I$67),0)</f>
        <v>0</v>
      </c>
      <c r="AK393" s="1313">
        <f t="shared" si="230"/>
        <v>2.5885411648319389E-11</v>
      </c>
      <c r="AL393" s="1313">
        <f>AM392*((1+'Instrumentos Financeiros'!$I$43)^(1/12)-1)</f>
        <v>-2.5885411648319389E-11</v>
      </c>
      <c r="AM393" s="1313">
        <f t="shared" si="248"/>
        <v>-6.0123208868697494E-9</v>
      </c>
      <c r="AN393" s="1313">
        <f>IF(AND(C393&gt;$F$68,'Instrumentos Financeiros'!C393&lt;'Instrumentos Financeiros'!$F$68+'Instrumentos Financeiros'!$F$11+1),PMT(((1+'Instrumentos Financeiros'!$I$43)^(1/12)-1),$F$11,-$I$68),0)</f>
        <v>0</v>
      </c>
      <c r="AO393" s="1313">
        <f t="shared" si="231"/>
        <v>2.5552508345271749E-11</v>
      </c>
      <c r="AP393" s="1313">
        <f>AQ392*((1+'Instrumentos Financeiros'!$I$43)^(1/12)-1)</f>
        <v>-2.5552508345271749E-11</v>
      </c>
      <c r="AQ393" s="1313">
        <f t="shared" si="249"/>
        <v>-5.9349985128077083E-9</v>
      </c>
      <c r="AR393" s="1313">
        <f>IF(AND(C393&gt;$F$69,'Instrumentos Financeiros'!C393&lt;'Instrumentos Financeiros'!$F$69+'Instrumentos Financeiros'!$F$11+1),PMT(((1+'Instrumentos Financeiros'!$I$43)^(1/12)-1),$F$11,-$I$69),0)</f>
        <v>0</v>
      </c>
      <c r="AS393" s="1313">
        <f t="shared" si="232"/>
        <v>0</v>
      </c>
      <c r="AT393" s="1313">
        <f>AU392*((1+'Instrumentos Financeiros'!$I$43)^(1/12)-1)</f>
        <v>0</v>
      </c>
      <c r="AU393" s="1313">
        <f t="shared" si="250"/>
        <v>0</v>
      </c>
      <c r="AV393" s="1313">
        <f>IF(AND(C393&gt;$F$70,'Instrumentos Financeiros'!C393&lt;'Instrumentos Financeiros'!$F$70+'Instrumentos Financeiros'!$F$11+1),PMT(((1+'Instrumentos Financeiros'!$J$43)^(1/12)-1),$F$11,-$I$70),0)</f>
        <v>0</v>
      </c>
      <c r="AW393" s="1313">
        <f t="shared" si="233"/>
        <v>0</v>
      </c>
      <c r="AX393" s="1313">
        <f>AY392*((1+'Instrumentos Financeiros'!$J$43)^(1/12)-1)</f>
        <v>0</v>
      </c>
      <c r="AY393" s="1313">
        <f t="shared" si="251"/>
        <v>0</v>
      </c>
      <c r="AZ393" s="1313">
        <f>IF(AND(C393&gt;$F$71,'Instrumentos Financeiros'!C393&lt;'Instrumentos Financeiros'!$F$71+'Instrumentos Financeiros'!$F$11+1),PMT(((1+'Instrumentos Financeiros'!$J$43)^(1/12)-1),$F$11,-$I$71),0)</f>
        <v>0</v>
      </c>
      <c r="BA393" s="1313">
        <f t="shared" si="234"/>
        <v>0</v>
      </c>
      <c r="BB393" s="1313">
        <f>BC392*((1+'Instrumentos Financeiros'!$J$43)^(1/12)-1)</f>
        <v>0</v>
      </c>
      <c r="BC393" s="1313">
        <f t="shared" si="252"/>
        <v>0</v>
      </c>
      <c r="BD393" s="1313">
        <f>IF(AND(C393&gt;$F$72,'Instrumentos Financeiros'!C393&lt;'Instrumentos Financeiros'!$F$72+'Instrumentos Financeiros'!$F$11+1),PMT(((1+'Instrumentos Financeiros'!$J$43)^(1/12)-1),$F$11,-'Instrumentos Financeiros'!$G$7*$G$72),0)</f>
        <v>0</v>
      </c>
      <c r="BE393" s="1313">
        <f t="shared" si="235"/>
        <v>0</v>
      </c>
      <c r="BF393" s="1313">
        <f>BG392*((1+'Instrumentos Financeiros'!$J$43)^(1/12)-1)</f>
        <v>0</v>
      </c>
      <c r="BG393" s="1313">
        <f t="shared" si="253"/>
        <v>0</v>
      </c>
      <c r="BH393" s="1313">
        <f>IF(AND(C393&gt;$F$73,'Instrumentos Financeiros'!C393&lt;'Instrumentos Financeiros'!$F$73+'Instrumentos Financeiros'!$F$11+1),PMT(((1+'Instrumentos Financeiros'!$J$43)^(1/12)-1),$F$11,-$I$73),0)</f>
        <v>0</v>
      </c>
      <c r="BI393" s="1313">
        <f t="shared" si="236"/>
        <v>0</v>
      </c>
      <c r="BJ393" s="1313">
        <f>BK392*((1+'Instrumentos Financeiros'!$J$43)^(1/12)-1)</f>
        <v>0</v>
      </c>
      <c r="BK393" s="1313">
        <f t="shared" si="254"/>
        <v>0</v>
      </c>
      <c r="BL393" s="1313">
        <f>IF(AND(C393&gt;$F$77,'Instrumentos Financeiros'!C393&lt;'Instrumentos Financeiros'!$F$77+'Instrumentos Financeiros'!$F$12+1),PMT(((1+'Instrumentos Financeiros'!$K$43)^(1/12)-1),$F$12,-$I$77),0)</f>
        <v>0</v>
      </c>
      <c r="BM393" s="1313">
        <f t="shared" si="255"/>
        <v>7.2201637626764529E-14</v>
      </c>
      <c r="BN393" s="1313">
        <f>BO392*((1+'Instrumentos Financeiros'!$K$43)^(1/12)-1)</f>
        <v>-7.2201637626764529E-14</v>
      </c>
      <c r="BO393" s="1313">
        <f t="shared" si="256"/>
        <v>-1.6770040973939121E-11</v>
      </c>
      <c r="BP393" s="1313">
        <f>IF(AND(C393&gt;$F$78,'Instrumentos Financeiros'!C393&lt;'Instrumentos Financeiros'!$F$78+'Instrumentos Financeiros'!$F$12+1),PMT(((1+'Instrumentos Financeiros'!$L$43)^(1/12)-1),$F$12,-$I$78),0)</f>
        <v>0</v>
      </c>
      <c r="BQ393" s="1313">
        <f t="shared" si="257"/>
        <v>7.1273077402266066E-14</v>
      </c>
      <c r="BR393" s="1313">
        <f>BS392*((1+'Instrumentos Financeiros'!$L$43)^(1/12)-1)</f>
        <v>-7.1273077402266066E-14</v>
      </c>
      <c r="BS393" s="1313">
        <f t="shared" si="258"/>
        <v>-1.6554367292240843E-11</v>
      </c>
      <c r="BT393" s="1313">
        <f>IF(AND(C393&gt;$F$79,'Instrumentos Financeiros'!C393&lt;'Instrumentos Financeiros'!$F$79+'Instrumentos Financeiros'!$F$12+1),PMT(((1+'Instrumentos Financeiros'!$L$43)^(1/12)-1),$F$12,-$I$79),0)</f>
        <v>0</v>
      </c>
      <c r="BU393" s="1313">
        <f t="shared" si="259"/>
        <v>7.035645906882245E-14</v>
      </c>
      <c r="BV393" s="1313">
        <f>BW392*((1+'Instrumentos Financeiros'!$L$43)^(1/12)-1)</f>
        <v>-7.035645906882245E-14</v>
      </c>
      <c r="BW393" s="1313">
        <f t="shared" si="260"/>
        <v>-1.6341467314974747E-11</v>
      </c>
      <c r="BX393" s="1313">
        <f>IF(AND(C393&gt;$F$80,'Instrumentos Financeiros'!C393&lt;'Instrumentos Financeiros'!$F$80+'Instrumentos Financeiros'!$F$12+1),PMT(((1+'Instrumentos Financeiros'!$L$43)^(1/12)-1),$F$12,-$I$80),0)</f>
        <v>0</v>
      </c>
      <c r="BY393" s="1313">
        <f t="shared" si="261"/>
        <v>6.9451629045913863E-14</v>
      </c>
      <c r="BZ393" s="1313">
        <f>CA392*((1+'Instrumentos Financeiros'!$L$43)^(1/12)-1)</f>
        <v>-6.9451629045913863E-14</v>
      </c>
      <c r="CA393" s="1313">
        <f t="shared" si="262"/>
        <v>-1.6131305370489951E-11</v>
      </c>
      <c r="CB393" s="1313">
        <f>IF(AND(C393&gt;$F$83,'Instrumentos Financeiros'!C393&lt;'Instrumentos Financeiros'!$F$83+'Instrumentos Financeiros'!$F$13+1),PMT(((1+'Instrumentos Financeiros'!$P$43)^(1/12)-1),$F$13,-$I$83),0)</f>
        <v>30503.390100238979</v>
      </c>
      <c r="CC393" s="1313">
        <f t="shared" si="263"/>
        <v>24690.487822065017</v>
      </c>
      <c r="CD393" s="1313">
        <f>CE392*((1+'Instrumentos Financeiros'!$P$43)^(1/12)-1)</f>
        <v>5812.9022781739613</v>
      </c>
      <c r="CE393" s="1313">
        <f t="shared" si="264"/>
        <v>1319640.6313747729</v>
      </c>
      <c r="CF393" s="1313">
        <f>IF(AND(C393&gt;$F$84,'Instrumentos Financeiros'!C393&lt;'Instrumentos Financeiros'!$F$84+'Instrumentos Financeiros'!$F$13+1),PMT(((1+'Instrumentos Financeiros'!$Q$43)^(1/12)-1),$F$13,-$I$84),0)</f>
        <v>30503.390100238979</v>
      </c>
      <c r="CG393" s="1313">
        <f t="shared" si="265"/>
        <v>24372.95201998877</v>
      </c>
      <c r="CH393" s="1313">
        <f>CI392*((1+'Instrumentos Financeiros'!$Q$43)^(1/12)-1)</f>
        <v>6130.4380802502083</v>
      </c>
      <c r="CI393" s="1313">
        <f t="shared" si="266"/>
        <v>1393393.6456628772</v>
      </c>
      <c r="CJ393" s="1313">
        <f>IF(AND(C393&gt;$F$85,'Instrumentos Financeiros'!C393&lt;'Instrumentos Financeiros'!$F$85+'Instrumentos Financeiros'!$F$13+1),PMT(((1+'Instrumentos Financeiros'!$Q$43)^(1/12)-1),$F$13,-$I$85),0)</f>
        <v>30503.390100238979</v>
      </c>
      <c r="CK393" s="1313">
        <f t="shared" si="267"/>
        <v>24059.499935752639</v>
      </c>
      <c r="CL393" s="1313">
        <f>CM392*((1+'Instrumentos Financeiros'!$Q$43)^(1/12)-1)</f>
        <v>6443.8901644863381</v>
      </c>
      <c r="CM393" s="1313">
        <f t="shared" si="268"/>
        <v>1466198.1480092052</v>
      </c>
      <c r="CN393" s="1313">
        <f>IF(AND(C393&gt;$F$86,'Instrumentos Financeiros'!C393&lt;'Instrumentos Financeiros'!$F$86+'Instrumentos Financeiros'!$F$13+1),PMT(((1+'Instrumentos Financeiros'!$Q$43)^(1/12)-1),$F$13,-$I$86),0)</f>
        <v>30503.390100238979</v>
      </c>
      <c r="CO393" s="1313">
        <f t="shared" si="269"/>
        <v>23750.07905007758</v>
      </c>
      <c r="CP393" s="1313">
        <f>CQ392*((1+'Instrumentos Financeiros'!$Q$43)^(1/12)-1)</f>
        <v>6753.3110501613983</v>
      </c>
      <c r="CQ393" s="1313">
        <f t="shared" si="270"/>
        <v>1538066.336896929</v>
      </c>
      <c r="CR393" s="1313">
        <f t="shared" si="239"/>
        <v>122013.56040095592</v>
      </c>
      <c r="CS393" s="1313">
        <f t="shared" si="239"/>
        <v>96873.018827884094</v>
      </c>
      <c r="CT393" s="1313">
        <f t="shared" si="239"/>
        <v>25140.541573071816</v>
      </c>
      <c r="CU393" s="1313">
        <f t="shared" si="239"/>
        <v>5717298.7619437631</v>
      </c>
    </row>
    <row r="394" spans="3:99" x14ac:dyDescent="0.35">
      <c r="C394" s="1315">
        <f t="shared" si="240"/>
        <v>301</v>
      </c>
      <c r="D394" s="1312">
        <f>IF(AND(C394&gt;$F$59,'Instrumentos Financeiros'!C394&lt;'Instrumentos Financeiros'!$F$59+'Instrumentos Financeiros'!$F$11+1),PMT(((1+'Instrumentos Financeiros'!$G$43)^(1/12)-1),$F$11,-$I$59),0)</f>
        <v>0</v>
      </c>
      <c r="E394" s="1312">
        <f t="shared" si="237"/>
        <v>-1.0879787752956401E-11</v>
      </c>
      <c r="F394" s="1312">
        <f>G393*((1+'Instrumentos Financeiros'!$G$43)^(1/12)-1)</f>
        <v>1.0879787752956401E-11</v>
      </c>
      <c r="G394" s="1312">
        <f t="shared" si="271"/>
        <v>2.6763181301854844E-9</v>
      </c>
      <c r="H394" s="1312">
        <f>IF(AND(C394&gt;$F$60,'Instrumentos Financeiros'!C394&lt;'Instrumentos Financeiros'!$F$60+'Instrumentos Financeiros'!$F$11+1),PMT(((1+'Instrumentos Financeiros'!$G$43)^(1/12)-1),$F$11,-$I$60),0)</f>
        <v>0</v>
      </c>
      <c r="I394" s="1312">
        <f t="shared" si="223"/>
        <v>0</v>
      </c>
      <c r="J394" s="1312">
        <f>K393*((1+'Instrumentos Financeiros'!$G$43)^(1/12)-1)</f>
        <v>0</v>
      </c>
      <c r="K394" s="1312">
        <f t="shared" si="241"/>
        <v>0</v>
      </c>
      <c r="L394" s="1312">
        <f>IF(AND(C394&gt;$F$61,'Instrumentos Financeiros'!C394&lt;'Instrumentos Financeiros'!$F$61+'Instrumentos Financeiros'!$F$11+1),PMT(((1+'Instrumentos Financeiros'!$G$43)^(1/12)-1),$F$11,-$I$61),0)</f>
        <v>0</v>
      </c>
      <c r="M394" s="1312">
        <f t="shared" si="224"/>
        <v>0</v>
      </c>
      <c r="N394" s="1312">
        <f>O393*((1+'Instrumentos Financeiros'!$G$43)^(1/12)-1)</f>
        <v>0</v>
      </c>
      <c r="O394" s="1312">
        <f t="shared" si="242"/>
        <v>0</v>
      </c>
      <c r="P394" s="1312">
        <f>IF(AND(C394&gt;$F$62,'Instrumentos Financeiros'!C394&lt;'Instrumentos Financeiros'!$F$62+'Instrumentos Financeiros'!$F$11+1),PMT(((1+'Instrumentos Financeiros'!$H$43)^(1/12)-1),$F$11,-$I$62),0)</f>
        <v>0</v>
      </c>
      <c r="Q394" s="1312">
        <f t="shared" si="225"/>
        <v>0</v>
      </c>
      <c r="R394" s="1312">
        <f>S393*((1+'Instrumentos Financeiros'!$H$43)^(1/12)-1)</f>
        <v>0</v>
      </c>
      <c r="S394" s="1312">
        <f t="shared" si="243"/>
        <v>0</v>
      </c>
      <c r="T394" s="1312">
        <f>IF(AND(C394&gt;$F$63,'Instrumentos Financeiros'!C394&lt;'Instrumentos Financeiros'!$F$63+'Instrumentos Financeiros'!$F$11+1),PMT(((1+'Instrumentos Financeiros'!$H$43)^(1/12)-1),$F$11,-$I$63),0)</f>
        <v>0</v>
      </c>
      <c r="U394" s="1312">
        <f t="shared" si="226"/>
        <v>0</v>
      </c>
      <c r="V394" s="1312">
        <f>W393*((1+'Instrumentos Financeiros'!$H$43)^(1/12)-1)</f>
        <v>0</v>
      </c>
      <c r="W394" s="1312">
        <f t="shared" si="244"/>
        <v>0</v>
      </c>
      <c r="X394" s="1312">
        <f>IF(AND(C394&gt;$F$64,'Instrumentos Financeiros'!C394&lt;'Instrumentos Financeiros'!$F$64+'Instrumentos Financeiros'!$F$11+1),PMT(((1+'Instrumentos Financeiros'!$H$43)^(1/12)-1),$F$11,-$I$64),0)</f>
        <v>0</v>
      </c>
      <c r="Y394" s="1312">
        <f t="shared" si="227"/>
        <v>0</v>
      </c>
      <c r="Z394" s="1312">
        <f>AA393*((1+'Instrumentos Financeiros'!$H$43)^(1/12)-1)</f>
        <v>0</v>
      </c>
      <c r="AA394" s="1312">
        <f t="shared" si="245"/>
        <v>0</v>
      </c>
      <c r="AB394" s="1312">
        <f>IF(AND(C394&gt;$F$65,'Instrumentos Financeiros'!C394&lt;'Instrumentos Financeiros'!$F$65+'Instrumentos Financeiros'!$F$11+1),PMT(((1+'Instrumentos Financeiros'!$H$43)^(1/12)-1),$F$11,-$I$65),0)</f>
        <v>0</v>
      </c>
      <c r="AC394" s="1312">
        <f t="shared" si="228"/>
        <v>2.6679150416582172E-11</v>
      </c>
      <c r="AD394" s="1312">
        <f>AE393*((1+'Instrumentos Financeiros'!$H$43)^(1/12)-1)</f>
        <v>-2.6679150416582172E-11</v>
      </c>
      <c r="AE394" s="1312">
        <f t="shared" si="246"/>
        <v>-6.1966800247494223E-9</v>
      </c>
      <c r="AF394" s="1312">
        <f>IF(AND(C394&gt;$F$66,'Instrumentos Financeiros'!C394&lt;'Instrumentos Financeiros'!$F$66+'Instrumentos Financeiros'!$F$11+1),PMT(((1+'Instrumentos Financeiros'!$I$43)^(1/12)-1),$F$11,-$I$66),0)</f>
        <v>0</v>
      </c>
      <c r="AG394" s="1312">
        <f t="shared" si="229"/>
        <v>2.6336039114476928E-11</v>
      </c>
      <c r="AH394" s="1312">
        <f>AI393*((1+'Instrumentos Financeiros'!$I$43)^(1/12)-1)</f>
        <v>-2.6336039114476928E-11</v>
      </c>
      <c r="AI394" s="1312">
        <f t="shared" si="247"/>
        <v>-6.1169866717444543E-9</v>
      </c>
      <c r="AJ394" s="1312">
        <f>IF(AND(C394&gt;$F$67,'Instrumentos Financeiros'!C394&lt;'Instrumentos Financeiros'!$F$67+'Instrumentos Financeiros'!$F$11+1),PMT(((1+'Instrumentos Financeiros'!$I$43)^(1/12)-1),$F$11,-$I$67),0)</f>
        <v>0</v>
      </c>
      <c r="AK394" s="1312">
        <f t="shared" si="230"/>
        <v>2.599734044784899E-11</v>
      </c>
      <c r="AL394" s="1312">
        <f>AM393*((1+'Instrumentos Financeiros'!$I$43)^(1/12)-1)</f>
        <v>-2.599734044784899E-11</v>
      </c>
      <c r="AM394" s="1312">
        <f t="shared" si="248"/>
        <v>-6.0383182273175981E-9</v>
      </c>
      <c r="AN394" s="1312">
        <f>IF(AND(C394&gt;$F$68,'Instrumentos Financeiros'!C394&lt;'Instrumentos Financeiros'!$F$68+'Instrumentos Financeiros'!$F$11+1),PMT(((1+'Instrumentos Financeiros'!$I$43)^(1/12)-1),$F$11,-$I$68),0)</f>
        <v>0</v>
      </c>
      <c r="AO394" s="1312">
        <f t="shared" si="231"/>
        <v>2.5662997667323616E-11</v>
      </c>
      <c r="AP394" s="1312">
        <f>AQ393*((1+'Instrumentos Financeiros'!$I$43)^(1/12)-1)</f>
        <v>-2.5662997667323616E-11</v>
      </c>
      <c r="AQ394" s="1312">
        <f t="shared" si="249"/>
        <v>-5.9606615104750323E-9</v>
      </c>
      <c r="AR394" s="1312">
        <f>IF(AND(C394&gt;$F$69,'Instrumentos Financeiros'!C394&lt;'Instrumentos Financeiros'!$F$69+'Instrumentos Financeiros'!$F$11+1),PMT(((1+'Instrumentos Financeiros'!$I$43)^(1/12)-1),$F$11,-$I$69),0)</f>
        <v>0</v>
      </c>
      <c r="AS394" s="1312">
        <f t="shared" si="232"/>
        <v>0</v>
      </c>
      <c r="AT394" s="1312">
        <f>AU393*((1+'Instrumentos Financeiros'!$I$43)^(1/12)-1)</f>
        <v>0</v>
      </c>
      <c r="AU394" s="1312">
        <f t="shared" si="250"/>
        <v>0</v>
      </c>
      <c r="AV394" s="1312">
        <f>IF(AND(C394&gt;$F$70,'Instrumentos Financeiros'!C394&lt;'Instrumentos Financeiros'!$F$70+'Instrumentos Financeiros'!$F$11+1),PMT(((1+'Instrumentos Financeiros'!$J$43)^(1/12)-1),$F$11,-$I$70),0)</f>
        <v>0</v>
      </c>
      <c r="AW394" s="1312">
        <f t="shared" si="233"/>
        <v>0</v>
      </c>
      <c r="AX394" s="1312">
        <f>AY393*((1+'Instrumentos Financeiros'!$J$43)^(1/12)-1)</f>
        <v>0</v>
      </c>
      <c r="AY394" s="1312">
        <f t="shared" si="251"/>
        <v>0</v>
      </c>
      <c r="AZ394" s="1312">
        <f>IF(AND(C394&gt;$F$71,'Instrumentos Financeiros'!C394&lt;'Instrumentos Financeiros'!$F$71+'Instrumentos Financeiros'!$F$11+1),PMT(((1+'Instrumentos Financeiros'!$J$43)^(1/12)-1),$F$11,-$I$71),0)</f>
        <v>0</v>
      </c>
      <c r="BA394" s="1312">
        <f t="shared" si="234"/>
        <v>0</v>
      </c>
      <c r="BB394" s="1312">
        <f>BC393*((1+'Instrumentos Financeiros'!$J$43)^(1/12)-1)</f>
        <v>0</v>
      </c>
      <c r="BC394" s="1312">
        <f t="shared" si="252"/>
        <v>0</v>
      </c>
      <c r="BD394" s="1312">
        <f>IF(AND(C394&gt;$F$72,'Instrumentos Financeiros'!C394&lt;'Instrumentos Financeiros'!$F$72+'Instrumentos Financeiros'!$F$11+1),PMT(((1+'Instrumentos Financeiros'!$J$43)^(1/12)-1),$F$11,-'Instrumentos Financeiros'!$G$7*$G$72),0)</f>
        <v>0</v>
      </c>
      <c r="BE394" s="1312">
        <f t="shared" si="235"/>
        <v>0</v>
      </c>
      <c r="BF394" s="1312">
        <f>BG393*((1+'Instrumentos Financeiros'!$J$43)^(1/12)-1)</f>
        <v>0</v>
      </c>
      <c r="BG394" s="1312">
        <f t="shared" si="253"/>
        <v>0</v>
      </c>
      <c r="BH394" s="1312">
        <f>IF(AND(C394&gt;$F$73,'Instrumentos Financeiros'!C394&lt;'Instrumentos Financeiros'!$F$73+'Instrumentos Financeiros'!$F$11+1),PMT(((1+'Instrumentos Financeiros'!$J$43)^(1/12)-1),$F$11,-$I$73),0)</f>
        <v>0</v>
      </c>
      <c r="BI394" s="1312">
        <f t="shared" si="236"/>
        <v>0</v>
      </c>
      <c r="BJ394" s="1312">
        <f>BK393*((1+'Instrumentos Financeiros'!$J$43)^(1/12)-1)</f>
        <v>0</v>
      </c>
      <c r="BK394" s="1312">
        <f t="shared" si="254"/>
        <v>0</v>
      </c>
      <c r="BL394" s="1312">
        <f>IF(AND(C394&gt;$F$77,'Instrumentos Financeiros'!C394&lt;'Instrumentos Financeiros'!$F$77+'Instrumentos Financeiros'!$F$12+1),PMT(((1+'Instrumentos Financeiros'!$K$43)^(1/12)-1),$F$12,-$I$77),0)</f>
        <v>0</v>
      </c>
      <c r="BM394" s="1312">
        <f t="shared" si="255"/>
        <v>7.2513838287639842E-14</v>
      </c>
      <c r="BN394" s="1312">
        <f>BO393*((1+'Instrumentos Financeiros'!$K$43)^(1/12)-1)</f>
        <v>-7.2513838287639842E-14</v>
      </c>
      <c r="BO394" s="1312">
        <f t="shared" si="256"/>
        <v>-1.6842554812226762E-11</v>
      </c>
      <c r="BP394" s="1312">
        <f>IF(AND(C394&gt;$F$78,'Instrumentos Financeiros'!C394&lt;'Instrumentos Financeiros'!$F$78+'Instrumentos Financeiros'!$F$12+1),PMT(((1+'Instrumentos Financeiros'!$L$43)^(1/12)-1),$F$12,-$I$78),0)</f>
        <v>0</v>
      </c>
      <c r="BQ394" s="1312">
        <f t="shared" si="257"/>
        <v>7.1581262958702213E-14</v>
      </c>
      <c r="BR394" s="1312">
        <f>BS393*((1+'Instrumentos Financeiros'!$L$43)^(1/12)-1)</f>
        <v>-7.1581262958702213E-14</v>
      </c>
      <c r="BS394" s="1312">
        <f t="shared" si="258"/>
        <v>-1.6625948555199545E-11</v>
      </c>
      <c r="BT394" s="1312">
        <f>IF(AND(C394&gt;$F$79,'Instrumentos Financeiros'!C394&lt;'Instrumentos Financeiros'!$F$79+'Instrumentos Financeiros'!$F$12+1),PMT(((1+'Instrumentos Financeiros'!$L$43)^(1/12)-1),$F$12,-$I$79),0)</f>
        <v>0</v>
      </c>
      <c r="BU394" s="1312">
        <f t="shared" si="259"/>
        <v>7.0660681157685327E-14</v>
      </c>
      <c r="BV394" s="1312">
        <f>BW393*((1+'Instrumentos Financeiros'!$L$43)^(1/12)-1)</f>
        <v>-7.0660681157685327E-14</v>
      </c>
      <c r="BW394" s="1312">
        <f t="shared" si="260"/>
        <v>-1.6412127996132432E-11</v>
      </c>
      <c r="BX394" s="1312">
        <f>IF(AND(C394&gt;$F$80,'Instrumentos Financeiros'!C394&lt;'Instrumentos Financeiros'!$F$80+'Instrumentos Financeiros'!$F$12+1),PMT(((1+'Instrumentos Financeiros'!$L$43)^(1/12)-1),$F$12,-$I$80),0)</f>
        <v>0</v>
      </c>
      <c r="BY394" s="1312">
        <f t="shared" si="261"/>
        <v>6.9751938639985508E-14</v>
      </c>
      <c r="BZ394" s="1312">
        <f>CA393*((1+'Instrumentos Financeiros'!$L$43)^(1/12)-1)</f>
        <v>-6.9751938639985508E-14</v>
      </c>
      <c r="CA394" s="1312">
        <f t="shared" si="262"/>
        <v>-1.6201057309129937E-11</v>
      </c>
      <c r="CB394" s="1312">
        <f>IF(AND(C394&gt;$F$83,'Instrumentos Financeiros'!C394&lt;'Instrumentos Financeiros'!$F$83+'Instrumentos Financeiros'!$F$13+1),PMT(((1+'Instrumentos Financeiros'!$P$43)^(1/12)-1),$F$13,-$I$83),0)</f>
        <v>30503.390100238979</v>
      </c>
      <c r="CC394" s="1312">
        <f t="shared" si="263"/>
        <v>24797.249758064725</v>
      </c>
      <c r="CD394" s="1312">
        <f>CE393*((1+'Instrumentos Financeiros'!$P$43)^(1/12)-1)</f>
        <v>5706.1403421742534</v>
      </c>
      <c r="CE394" s="1312">
        <f t="shared" si="264"/>
        <v>1294843.3816167081</v>
      </c>
      <c r="CF394" s="1312">
        <f>IF(AND(C394&gt;$F$84,'Instrumentos Financeiros'!C394&lt;'Instrumentos Financeiros'!$F$84+'Instrumentos Financeiros'!$F$13+1),PMT(((1+'Instrumentos Financeiros'!$Q$43)^(1/12)-1),$F$13,-$I$84),0)</f>
        <v>30503.390100238979</v>
      </c>
      <c r="CG394" s="1312">
        <f t="shared" si="265"/>
        <v>24478.340927750916</v>
      </c>
      <c r="CH394" s="1312">
        <f>CI393*((1+'Instrumentos Financeiros'!$Q$43)^(1/12)-1)</f>
        <v>6025.049172488063</v>
      </c>
      <c r="CI394" s="1312">
        <f t="shared" si="266"/>
        <v>1368915.3047351264</v>
      </c>
      <c r="CJ394" s="1312">
        <f>IF(AND(C394&gt;$F$85,'Instrumentos Financeiros'!C394&lt;'Instrumentos Financeiros'!$F$85+'Instrumentos Financeiros'!$F$13+1),PMT(((1+'Instrumentos Financeiros'!$Q$43)^(1/12)-1),$F$13,-$I$85),0)</f>
        <v>30503.390100238979</v>
      </c>
      <c r="CK394" s="1312">
        <f t="shared" si="267"/>
        <v>24163.533473317271</v>
      </c>
      <c r="CL394" s="1312">
        <f>CM393*((1+'Instrumentos Financeiros'!$Q$43)^(1/12)-1)</f>
        <v>6339.856626921709</v>
      </c>
      <c r="CM394" s="1312">
        <f t="shared" si="268"/>
        <v>1442034.614535888</v>
      </c>
      <c r="CN394" s="1312">
        <f>IF(AND(C394&gt;$F$86,'Instrumentos Financeiros'!C394&lt;'Instrumentos Financeiros'!$F$86+'Instrumentos Financeiros'!$F$13+1),PMT(((1+'Instrumentos Financeiros'!$Q$43)^(1/12)-1),$F$13,-$I$86),0)</f>
        <v>30503.390100238979</v>
      </c>
      <c r="CO394" s="1312">
        <f t="shared" si="269"/>
        <v>23852.774648390809</v>
      </c>
      <c r="CP394" s="1312">
        <f>CQ393*((1+'Instrumentos Financeiros'!$Q$43)^(1/12)-1)</f>
        <v>6650.6154518481717</v>
      </c>
      <c r="CQ394" s="1312">
        <f t="shared" si="270"/>
        <v>1514213.5622485382</v>
      </c>
      <c r="CR394" s="1312">
        <f t="shared" si="239"/>
        <v>122013.56040095592</v>
      </c>
      <c r="CS394" s="1312">
        <f t="shared" si="239"/>
        <v>97291.898807523816</v>
      </c>
      <c r="CT394" s="1312">
        <f t="shared" si="239"/>
        <v>24721.661593432102</v>
      </c>
      <c r="CU394" s="1312">
        <f t="shared" si="239"/>
        <v>5620006.8631362393</v>
      </c>
    </row>
    <row r="395" spans="3:99" x14ac:dyDescent="0.35">
      <c r="C395" s="1315">
        <f t="shared" si="240"/>
        <v>302</v>
      </c>
      <c r="D395" s="1312">
        <f>IF(AND(C395&gt;$F$59,'Instrumentos Financeiros'!C395&lt;'Instrumentos Financeiros'!$F$59+'Instrumentos Financeiros'!$F$11+1),PMT(((1+'Instrumentos Financeiros'!$G$43)^(1/12)-1),$F$11,-$I$59),0)</f>
        <v>0</v>
      </c>
      <c r="E395" s="1312">
        <f t="shared" si="237"/>
        <v>-1.0924196876838575E-11</v>
      </c>
      <c r="F395" s="1312">
        <f>G394*((1+'Instrumentos Financeiros'!$G$43)^(1/12)-1)</f>
        <v>1.0924196876838575E-11</v>
      </c>
      <c r="G395" s="1312">
        <f t="shared" si="271"/>
        <v>2.6872423270623228E-9</v>
      </c>
      <c r="H395" s="1312">
        <f>IF(AND(C395&gt;$F$60,'Instrumentos Financeiros'!C395&lt;'Instrumentos Financeiros'!$F$60+'Instrumentos Financeiros'!$F$11+1),PMT(((1+'Instrumentos Financeiros'!$G$43)^(1/12)-1),$F$11,-$I$60),0)</f>
        <v>0</v>
      </c>
      <c r="I395" s="1312">
        <f t="shared" si="223"/>
        <v>0</v>
      </c>
      <c r="J395" s="1312">
        <f>K394*((1+'Instrumentos Financeiros'!$G$43)^(1/12)-1)</f>
        <v>0</v>
      </c>
      <c r="K395" s="1312">
        <f t="shared" si="241"/>
        <v>0</v>
      </c>
      <c r="L395" s="1312">
        <f>IF(AND(C395&gt;$F$61,'Instrumentos Financeiros'!C395&lt;'Instrumentos Financeiros'!$F$61+'Instrumentos Financeiros'!$F$11+1),PMT(((1+'Instrumentos Financeiros'!$G$43)^(1/12)-1),$F$11,-$I$61),0)</f>
        <v>0</v>
      </c>
      <c r="M395" s="1312">
        <f t="shared" si="224"/>
        <v>0</v>
      </c>
      <c r="N395" s="1312">
        <f>O394*((1+'Instrumentos Financeiros'!$G$43)^(1/12)-1)</f>
        <v>0</v>
      </c>
      <c r="O395" s="1312">
        <f t="shared" si="242"/>
        <v>0</v>
      </c>
      <c r="P395" s="1312">
        <f>IF(AND(C395&gt;$F$62,'Instrumentos Financeiros'!C395&lt;'Instrumentos Financeiros'!$F$62+'Instrumentos Financeiros'!$F$11+1),PMT(((1+'Instrumentos Financeiros'!$H$43)^(1/12)-1),$F$11,-$I$62),0)</f>
        <v>0</v>
      </c>
      <c r="Q395" s="1312">
        <f t="shared" si="225"/>
        <v>0</v>
      </c>
      <c r="R395" s="1312">
        <f>S394*((1+'Instrumentos Financeiros'!$H$43)^(1/12)-1)</f>
        <v>0</v>
      </c>
      <c r="S395" s="1312">
        <f t="shared" si="243"/>
        <v>0</v>
      </c>
      <c r="T395" s="1312">
        <f>IF(AND(C395&gt;$F$63,'Instrumentos Financeiros'!C395&lt;'Instrumentos Financeiros'!$F$63+'Instrumentos Financeiros'!$F$11+1),PMT(((1+'Instrumentos Financeiros'!$H$43)^(1/12)-1),$F$11,-$I$63),0)</f>
        <v>0</v>
      </c>
      <c r="U395" s="1312">
        <f t="shared" si="226"/>
        <v>0</v>
      </c>
      <c r="V395" s="1312">
        <f>W394*((1+'Instrumentos Financeiros'!$H$43)^(1/12)-1)</f>
        <v>0</v>
      </c>
      <c r="W395" s="1312">
        <f t="shared" si="244"/>
        <v>0</v>
      </c>
      <c r="X395" s="1312">
        <f>IF(AND(C395&gt;$F$64,'Instrumentos Financeiros'!C395&lt;'Instrumentos Financeiros'!$F$64+'Instrumentos Financeiros'!$F$11+1),PMT(((1+'Instrumentos Financeiros'!$H$43)^(1/12)-1),$F$11,-$I$64),0)</f>
        <v>0</v>
      </c>
      <c r="Y395" s="1312">
        <f t="shared" si="227"/>
        <v>0</v>
      </c>
      <c r="Z395" s="1312">
        <f>AA394*((1+'Instrumentos Financeiros'!$H$43)^(1/12)-1)</f>
        <v>0</v>
      </c>
      <c r="AA395" s="1312">
        <f t="shared" si="245"/>
        <v>0</v>
      </c>
      <c r="AB395" s="1312">
        <f>IF(AND(C395&gt;$F$65,'Instrumentos Financeiros'!C395&lt;'Instrumentos Financeiros'!$F$65+'Instrumentos Financeiros'!$F$11+1),PMT(((1+'Instrumentos Financeiros'!$H$43)^(1/12)-1),$F$11,-$I$65),0)</f>
        <v>0</v>
      </c>
      <c r="AC395" s="1312">
        <f t="shared" si="228"/>
        <v>2.6794511351118116E-11</v>
      </c>
      <c r="AD395" s="1312">
        <f>AE394*((1+'Instrumentos Financeiros'!$H$43)^(1/12)-1)</f>
        <v>-2.6794511351118116E-11</v>
      </c>
      <c r="AE395" s="1312">
        <f t="shared" si="246"/>
        <v>-6.2234745361005405E-9</v>
      </c>
      <c r="AF395" s="1312">
        <f>IF(AND(C395&gt;$F$66,'Instrumentos Financeiros'!C395&lt;'Instrumentos Financeiros'!$F$66+'Instrumentos Financeiros'!$F$11+1),PMT(((1+'Instrumentos Financeiros'!$I$43)^(1/12)-1),$F$11,-$I$66),0)</f>
        <v>0</v>
      </c>
      <c r="AG395" s="1312">
        <f t="shared" si="229"/>
        <v>2.644991643203697E-11</v>
      </c>
      <c r="AH395" s="1312">
        <f>AI394*((1+'Instrumentos Financeiros'!$I$43)^(1/12)-1)</f>
        <v>-2.644991643203697E-11</v>
      </c>
      <c r="AI395" s="1312">
        <f t="shared" si="247"/>
        <v>-6.1434365881764914E-9</v>
      </c>
      <c r="AJ395" s="1312">
        <f>IF(AND(C395&gt;$F$67,'Instrumentos Financeiros'!C395&lt;'Instrumentos Financeiros'!$F$67+'Instrumentos Financeiros'!$F$11+1),PMT(((1+'Instrumentos Financeiros'!$I$43)^(1/12)-1),$F$11,-$I$67),0)</f>
        <v>0</v>
      </c>
      <c r="AK395" s="1312">
        <f t="shared" si="230"/>
        <v>2.6109753228716584E-11</v>
      </c>
      <c r="AL395" s="1312">
        <f>AM394*((1+'Instrumentos Financeiros'!$I$43)^(1/12)-1)</f>
        <v>-2.6109753228716584E-11</v>
      </c>
      <c r="AM395" s="1312">
        <f t="shared" si="248"/>
        <v>-6.0644279805463148E-9</v>
      </c>
      <c r="AN395" s="1312">
        <f>IF(AND(C395&gt;$F$68,'Instrumentos Financeiros'!C395&lt;'Instrumentos Financeiros'!$F$68+'Instrumentos Financeiros'!$F$11+1),PMT(((1+'Instrumentos Financeiros'!$I$43)^(1/12)-1),$F$11,-$I$68),0)</f>
        <v>0</v>
      </c>
      <c r="AO395" s="1312">
        <f t="shared" si="231"/>
        <v>2.5773964746397323E-11</v>
      </c>
      <c r="AP395" s="1312">
        <f>AQ394*((1+'Instrumentos Financeiros'!$I$43)^(1/12)-1)</f>
        <v>-2.5773964746397323E-11</v>
      </c>
      <c r="AQ395" s="1312">
        <f t="shared" si="249"/>
        <v>-5.9864354752214297E-9</v>
      </c>
      <c r="AR395" s="1312">
        <f>IF(AND(C395&gt;$F$69,'Instrumentos Financeiros'!C395&lt;'Instrumentos Financeiros'!$F$69+'Instrumentos Financeiros'!$F$11+1),PMT(((1+'Instrumentos Financeiros'!$I$43)^(1/12)-1),$F$11,-$I$69),0)</f>
        <v>0</v>
      </c>
      <c r="AS395" s="1312">
        <f t="shared" si="232"/>
        <v>0</v>
      </c>
      <c r="AT395" s="1312">
        <f>AU394*((1+'Instrumentos Financeiros'!$I$43)^(1/12)-1)</f>
        <v>0</v>
      </c>
      <c r="AU395" s="1312">
        <f t="shared" si="250"/>
        <v>0</v>
      </c>
      <c r="AV395" s="1312">
        <f>IF(AND(C395&gt;$F$70,'Instrumentos Financeiros'!C395&lt;'Instrumentos Financeiros'!$F$70+'Instrumentos Financeiros'!$F$11+1),PMT(((1+'Instrumentos Financeiros'!$J$43)^(1/12)-1),$F$11,-$I$70),0)</f>
        <v>0</v>
      </c>
      <c r="AW395" s="1312">
        <f t="shared" si="233"/>
        <v>0</v>
      </c>
      <c r="AX395" s="1312">
        <f>AY394*((1+'Instrumentos Financeiros'!$J$43)^(1/12)-1)</f>
        <v>0</v>
      </c>
      <c r="AY395" s="1312">
        <f t="shared" si="251"/>
        <v>0</v>
      </c>
      <c r="AZ395" s="1312">
        <f>IF(AND(C395&gt;$F$71,'Instrumentos Financeiros'!C395&lt;'Instrumentos Financeiros'!$F$71+'Instrumentos Financeiros'!$F$11+1),PMT(((1+'Instrumentos Financeiros'!$J$43)^(1/12)-1),$F$11,-$I$71),0)</f>
        <v>0</v>
      </c>
      <c r="BA395" s="1312">
        <f t="shared" si="234"/>
        <v>0</v>
      </c>
      <c r="BB395" s="1312">
        <f>BC394*((1+'Instrumentos Financeiros'!$J$43)^(1/12)-1)</f>
        <v>0</v>
      </c>
      <c r="BC395" s="1312">
        <f t="shared" si="252"/>
        <v>0</v>
      </c>
      <c r="BD395" s="1312">
        <f>IF(AND(C395&gt;$F$72,'Instrumentos Financeiros'!C395&lt;'Instrumentos Financeiros'!$F$72+'Instrumentos Financeiros'!$F$11+1),PMT(((1+'Instrumentos Financeiros'!$J$43)^(1/12)-1),$F$11,-'Instrumentos Financeiros'!$G$7*$G$72),0)</f>
        <v>0</v>
      </c>
      <c r="BE395" s="1312">
        <f t="shared" si="235"/>
        <v>0</v>
      </c>
      <c r="BF395" s="1312">
        <f>BG394*((1+'Instrumentos Financeiros'!$J$43)^(1/12)-1)</f>
        <v>0</v>
      </c>
      <c r="BG395" s="1312">
        <f t="shared" si="253"/>
        <v>0</v>
      </c>
      <c r="BH395" s="1312">
        <f>IF(AND(C395&gt;$F$73,'Instrumentos Financeiros'!C395&lt;'Instrumentos Financeiros'!$F$73+'Instrumentos Financeiros'!$F$11+1),PMT(((1+'Instrumentos Financeiros'!$J$43)^(1/12)-1),$F$11,-$I$73),0)</f>
        <v>0</v>
      </c>
      <c r="BI395" s="1312">
        <f t="shared" si="236"/>
        <v>0</v>
      </c>
      <c r="BJ395" s="1312">
        <f>BK394*((1+'Instrumentos Financeiros'!$J$43)^(1/12)-1)</f>
        <v>0</v>
      </c>
      <c r="BK395" s="1312">
        <f t="shared" si="254"/>
        <v>0</v>
      </c>
      <c r="BL395" s="1312">
        <f>IF(AND(C395&gt;$F$77,'Instrumentos Financeiros'!C395&lt;'Instrumentos Financeiros'!$F$77+'Instrumentos Financeiros'!$F$12+1),PMT(((1+'Instrumentos Financeiros'!$K$43)^(1/12)-1),$F$12,-$I$77),0)</f>
        <v>0</v>
      </c>
      <c r="BM395" s="1312">
        <f t="shared" si="255"/>
        <v>7.2827388907544556E-14</v>
      </c>
      <c r="BN395" s="1312">
        <f>BO394*((1+'Instrumentos Financeiros'!$K$43)^(1/12)-1)</f>
        <v>-7.2827388907544556E-14</v>
      </c>
      <c r="BO395" s="1312">
        <f t="shared" si="256"/>
        <v>-1.6915382201134305E-11</v>
      </c>
      <c r="BP395" s="1312">
        <f>IF(AND(C395&gt;$F$78,'Instrumentos Financeiros'!C395&lt;'Instrumentos Financeiros'!$F$78+'Instrumentos Financeiros'!$F$12+1),PMT(((1+'Instrumentos Financeiros'!$L$43)^(1/12)-1),$F$12,-$I$78),0)</f>
        <v>0</v>
      </c>
      <c r="BQ395" s="1312">
        <f t="shared" si="257"/>
        <v>7.1890781112812778E-14</v>
      </c>
      <c r="BR395" s="1312">
        <f>BS394*((1+'Instrumentos Financeiros'!$L$43)^(1/12)-1)</f>
        <v>-7.1890781112812778E-14</v>
      </c>
      <c r="BS395" s="1312">
        <f t="shared" si="258"/>
        <v>-1.6697839336312358E-11</v>
      </c>
      <c r="BT395" s="1312">
        <f>IF(AND(C395&gt;$F$79,'Instrumentos Financeiros'!C395&lt;'Instrumentos Financeiros'!$F$79+'Instrumentos Financeiros'!$F$12+1),PMT(((1+'Instrumentos Financeiros'!$L$43)^(1/12)-1),$F$12,-$I$79),0)</f>
        <v>0</v>
      </c>
      <c r="BU395" s="1312">
        <f t="shared" si="259"/>
        <v>7.0966218706146024E-14</v>
      </c>
      <c r="BV395" s="1312">
        <f>BW394*((1+'Instrumentos Financeiros'!$L$43)^(1/12)-1)</f>
        <v>-7.0966218706146024E-14</v>
      </c>
      <c r="BW395" s="1312">
        <f t="shared" si="260"/>
        <v>-1.6483094214838577E-11</v>
      </c>
      <c r="BX395" s="1312">
        <f>IF(AND(C395&gt;$F$80,'Instrumentos Financeiros'!C395&lt;'Instrumentos Financeiros'!$F$80+'Instrumentos Financeiros'!$F$12+1),PMT(((1+'Instrumentos Financeiros'!$L$43)^(1/12)-1),$F$12,-$I$80),0)</f>
        <v>0</v>
      </c>
      <c r="BY395" s="1312">
        <f t="shared" si="261"/>
        <v>7.0053546775985264E-14</v>
      </c>
      <c r="BZ395" s="1312">
        <f>CA394*((1+'Instrumentos Financeiros'!$L$43)^(1/12)-1)</f>
        <v>-7.0053546775985264E-14</v>
      </c>
      <c r="CA395" s="1312">
        <f t="shared" si="262"/>
        <v>-1.6271110855905923E-11</v>
      </c>
      <c r="CB395" s="1312">
        <f>IF(AND(C395&gt;$F$83,'Instrumentos Financeiros'!C395&lt;'Instrumentos Financeiros'!$F$83+'Instrumentos Financeiros'!$F$13+1),PMT(((1+'Instrumentos Financeiros'!$P$43)^(1/12)-1),$F$13,-$I$83),0)</f>
        <v>30503.390100238979</v>
      </c>
      <c r="CC395" s="1312">
        <f t="shared" si="263"/>
        <v>24904.473333828726</v>
      </c>
      <c r="CD395" s="1312">
        <f>CE394*((1+'Instrumentos Financeiros'!$P$43)^(1/12)-1)</f>
        <v>5598.9167664102542</v>
      </c>
      <c r="CE395" s="1312">
        <f t="shared" si="264"/>
        <v>1269938.9082828795</v>
      </c>
      <c r="CF395" s="1312">
        <f>IF(AND(C395&gt;$F$84,'Instrumentos Financeiros'!C395&lt;'Instrumentos Financeiros'!$F$84+'Instrumentos Financeiros'!$F$13+1),PMT(((1+'Instrumentos Financeiros'!$Q$43)^(1/12)-1),$F$13,-$I$84),0)</f>
        <v>30503.390100238979</v>
      </c>
      <c r="CG395" s="1312">
        <f t="shared" si="265"/>
        <v>24584.185538288424</v>
      </c>
      <c r="CH395" s="1312">
        <f>CI394*((1+'Instrumentos Financeiros'!$Q$43)^(1/12)-1)</f>
        <v>5919.2045619505552</v>
      </c>
      <c r="CI395" s="1312">
        <f t="shared" si="266"/>
        <v>1344331.119196838</v>
      </c>
      <c r="CJ395" s="1312">
        <f>IF(AND(C395&gt;$F$85,'Instrumentos Financeiros'!C395&lt;'Instrumentos Financeiros'!$F$85+'Instrumentos Financeiros'!$F$13+1),PMT(((1+'Instrumentos Financeiros'!$Q$43)^(1/12)-1),$F$13,-$I$85),0)</f>
        <v>30503.390100238979</v>
      </c>
      <c r="CK395" s="1312">
        <f t="shared" si="267"/>
        <v>24268.016853021887</v>
      </c>
      <c r="CL395" s="1312">
        <f>CM394*((1+'Instrumentos Financeiros'!$Q$43)^(1/12)-1)</f>
        <v>6235.3732472170905</v>
      </c>
      <c r="CM395" s="1312">
        <f t="shared" si="268"/>
        <v>1417766.597682866</v>
      </c>
      <c r="CN395" s="1312">
        <f>IF(AND(C395&gt;$F$86,'Instrumentos Financeiros'!C395&lt;'Instrumentos Financeiros'!$F$86+'Instrumentos Financeiros'!$F$13+1),PMT(((1+'Instrumentos Financeiros'!$Q$43)^(1/12)-1),$F$13,-$I$86),0)</f>
        <v>30503.390100238979</v>
      </c>
      <c r="CO395" s="1312">
        <f t="shared" si="269"/>
        <v>23955.914303580252</v>
      </c>
      <c r="CP395" s="1312">
        <f>CQ394*((1+'Instrumentos Financeiros'!$Q$43)^(1/12)-1)</f>
        <v>6547.4757966587285</v>
      </c>
      <c r="CQ395" s="1312">
        <f t="shared" si="270"/>
        <v>1490257.6479449579</v>
      </c>
      <c r="CR395" s="1312">
        <f t="shared" si="239"/>
        <v>122013.56040095592</v>
      </c>
      <c r="CS395" s="1312">
        <f t="shared" si="239"/>
        <v>97712.59002871938</v>
      </c>
      <c r="CT395" s="1312">
        <f t="shared" si="239"/>
        <v>24300.97037223653</v>
      </c>
      <c r="CU395" s="1312">
        <f t="shared" si="239"/>
        <v>5522294.2731075194</v>
      </c>
    </row>
    <row r="396" spans="3:99" x14ac:dyDescent="0.35">
      <c r="C396" s="1315">
        <f t="shared" si="240"/>
        <v>303</v>
      </c>
      <c r="D396" s="1312">
        <f>IF(AND(C396&gt;$F$59,'Instrumentos Financeiros'!C396&lt;'Instrumentos Financeiros'!$F$59+'Instrumentos Financeiros'!$F$11+1),PMT(((1+'Instrumentos Financeiros'!$G$43)^(1/12)-1),$F$11,-$I$59),0)</f>
        <v>0</v>
      </c>
      <c r="E396" s="1312">
        <f t="shared" si="237"/>
        <v>-1.0968787269908048E-11</v>
      </c>
      <c r="F396" s="1312">
        <f>G395*((1+'Instrumentos Financeiros'!$G$43)^(1/12)-1)</f>
        <v>1.0968787269908048E-11</v>
      </c>
      <c r="G396" s="1312">
        <f t="shared" si="271"/>
        <v>2.6982111143322308E-9</v>
      </c>
      <c r="H396" s="1312">
        <f>IF(AND(C396&gt;$F$60,'Instrumentos Financeiros'!C396&lt;'Instrumentos Financeiros'!$F$60+'Instrumentos Financeiros'!$F$11+1),PMT(((1+'Instrumentos Financeiros'!$G$43)^(1/12)-1),$F$11,-$I$60),0)</f>
        <v>0</v>
      </c>
      <c r="I396" s="1312">
        <f t="shared" si="223"/>
        <v>0</v>
      </c>
      <c r="J396" s="1312">
        <f>K395*((1+'Instrumentos Financeiros'!$G$43)^(1/12)-1)</f>
        <v>0</v>
      </c>
      <c r="K396" s="1312">
        <f t="shared" si="241"/>
        <v>0</v>
      </c>
      <c r="L396" s="1312">
        <f>IF(AND(C396&gt;$F$61,'Instrumentos Financeiros'!C396&lt;'Instrumentos Financeiros'!$F$61+'Instrumentos Financeiros'!$F$11+1),PMT(((1+'Instrumentos Financeiros'!$G$43)^(1/12)-1),$F$11,-$I$61),0)</f>
        <v>0</v>
      </c>
      <c r="M396" s="1312">
        <f t="shared" si="224"/>
        <v>0</v>
      </c>
      <c r="N396" s="1312">
        <f>O395*((1+'Instrumentos Financeiros'!$G$43)^(1/12)-1)</f>
        <v>0</v>
      </c>
      <c r="O396" s="1312">
        <f t="shared" si="242"/>
        <v>0</v>
      </c>
      <c r="P396" s="1312">
        <f>IF(AND(C396&gt;$F$62,'Instrumentos Financeiros'!C396&lt;'Instrumentos Financeiros'!$F$62+'Instrumentos Financeiros'!$F$11+1),PMT(((1+'Instrumentos Financeiros'!$H$43)^(1/12)-1),$F$11,-$I$62),0)</f>
        <v>0</v>
      </c>
      <c r="Q396" s="1312">
        <f t="shared" si="225"/>
        <v>0</v>
      </c>
      <c r="R396" s="1312">
        <f>S395*((1+'Instrumentos Financeiros'!$H$43)^(1/12)-1)</f>
        <v>0</v>
      </c>
      <c r="S396" s="1312">
        <f t="shared" si="243"/>
        <v>0</v>
      </c>
      <c r="T396" s="1312">
        <f>IF(AND(C396&gt;$F$63,'Instrumentos Financeiros'!C396&lt;'Instrumentos Financeiros'!$F$63+'Instrumentos Financeiros'!$F$11+1),PMT(((1+'Instrumentos Financeiros'!$H$43)^(1/12)-1),$F$11,-$I$63),0)</f>
        <v>0</v>
      </c>
      <c r="U396" s="1312">
        <f t="shared" si="226"/>
        <v>0</v>
      </c>
      <c r="V396" s="1312">
        <f>W395*((1+'Instrumentos Financeiros'!$H$43)^(1/12)-1)</f>
        <v>0</v>
      </c>
      <c r="W396" s="1312">
        <f t="shared" si="244"/>
        <v>0</v>
      </c>
      <c r="X396" s="1312">
        <f>IF(AND(C396&gt;$F$64,'Instrumentos Financeiros'!C396&lt;'Instrumentos Financeiros'!$F$64+'Instrumentos Financeiros'!$F$11+1),PMT(((1+'Instrumentos Financeiros'!$H$43)^(1/12)-1),$F$11,-$I$64),0)</f>
        <v>0</v>
      </c>
      <c r="Y396" s="1312">
        <f t="shared" si="227"/>
        <v>0</v>
      </c>
      <c r="Z396" s="1312">
        <f>AA395*((1+'Instrumentos Financeiros'!$H$43)^(1/12)-1)</f>
        <v>0</v>
      </c>
      <c r="AA396" s="1312">
        <f t="shared" si="245"/>
        <v>0</v>
      </c>
      <c r="AB396" s="1312">
        <f>IF(AND(C396&gt;$F$65,'Instrumentos Financeiros'!C396&lt;'Instrumentos Financeiros'!$F$65+'Instrumentos Financeiros'!$F$11+1),PMT(((1+'Instrumentos Financeiros'!$H$43)^(1/12)-1),$F$11,-$I$65),0)</f>
        <v>0</v>
      </c>
      <c r="AC396" s="1312">
        <f t="shared" si="228"/>
        <v>2.6910371107580889E-11</v>
      </c>
      <c r="AD396" s="1312">
        <f>AE395*((1+'Instrumentos Financeiros'!$H$43)^(1/12)-1)</f>
        <v>-2.6910371107580889E-11</v>
      </c>
      <c r="AE396" s="1312">
        <f t="shared" si="246"/>
        <v>-6.2503849072081213E-9</v>
      </c>
      <c r="AF396" s="1312">
        <f>IF(AND(C396&gt;$F$66,'Instrumentos Financeiros'!C396&lt;'Instrumentos Financeiros'!$F$66+'Instrumentos Financeiros'!$F$11+1),PMT(((1+'Instrumentos Financeiros'!$I$43)^(1/12)-1),$F$11,-$I$66),0)</f>
        <v>0</v>
      </c>
      <c r="AG396" s="1312">
        <f t="shared" si="229"/>
        <v>2.6564286156348014E-11</v>
      </c>
      <c r="AH396" s="1312">
        <f>AI395*((1+'Instrumentos Financeiros'!$I$43)^(1/12)-1)</f>
        <v>-2.6564286156348014E-11</v>
      </c>
      <c r="AI396" s="1312">
        <f t="shared" si="247"/>
        <v>-6.1700008743328398E-9</v>
      </c>
      <c r="AJ396" s="1312">
        <f>IF(AND(C396&gt;$F$67,'Instrumentos Financeiros'!C396&lt;'Instrumentos Financeiros'!$F$67+'Instrumentos Financeiros'!$F$11+1),PMT(((1+'Instrumentos Financeiros'!$I$43)^(1/12)-1),$F$11,-$I$67),0)</f>
        <v>0</v>
      </c>
      <c r="AK396" s="1312">
        <f t="shared" si="230"/>
        <v>2.6222652083662712E-11</v>
      </c>
      <c r="AL396" s="1312">
        <f>AM395*((1+'Instrumentos Financeiros'!$I$43)^(1/12)-1)</f>
        <v>-2.6222652083662712E-11</v>
      </c>
      <c r="AM396" s="1312">
        <f t="shared" si="248"/>
        <v>-6.0906506326299773E-9</v>
      </c>
      <c r="AN396" s="1312">
        <f>IF(AND(C396&gt;$F$68,'Instrumentos Financeiros'!C396&lt;'Instrumentos Financeiros'!$F$68+'Instrumentos Financeiros'!$F$11+1),PMT(((1+'Instrumentos Financeiros'!$I$43)^(1/12)-1),$F$11,-$I$68),0)</f>
        <v>0</v>
      </c>
      <c r="AO396" s="1312">
        <f t="shared" si="231"/>
        <v>2.5885411648319389E-11</v>
      </c>
      <c r="AP396" s="1312">
        <f>AQ395*((1+'Instrumentos Financeiros'!$I$43)^(1/12)-1)</f>
        <v>-2.5885411648319389E-11</v>
      </c>
      <c r="AQ396" s="1312">
        <f t="shared" si="249"/>
        <v>-6.0123208868697494E-9</v>
      </c>
      <c r="AR396" s="1312">
        <f>IF(AND(C396&gt;$F$69,'Instrumentos Financeiros'!C396&lt;'Instrumentos Financeiros'!$F$69+'Instrumentos Financeiros'!$F$11+1),PMT(((1+'Instrumentos Financeiros'!$I$43)^(1/12)-1),$F$11,-$I$69),0)</f>
        <v>0</v>
      </c>
      <c r="AS396" s="1312">
        <f t="shared" si="232"/>
        <v>0</v>
      </c>
      <c r="AT396" s="1312">
        <f>AU395*((1+'Instrumentos Financeiros'!$I$43)^(1/12)-1)</f>
        <v>0</v>
      </c>
      <c r="AU396" s="1312">
        <f t="shared" si="250"/>
        <v>0</v>
      </c>
      <c r="AV396" s="1312">
        <f>IF(AND(C396&gt;$F$70,'Instrumentos Financeiros'!C396&lt;'Instrumentos Financeiros'!$F$70+'Instrumentos Financeiros'!$F$11+1),PMT(((1+'Instrumentos Financeiros'!$J$43)^(1/12)-1),$F$11,-$I$70),0)</f>
        <v>0</v>
      </c>
      <c r="AW396" s="1312">
        <f t="shared" si="233"/>
        <v>0</v>
      </c>
      <c r="AX396" s="1312">
        <f>AY395*((1+'Instrumentos Financeiros'!$J$43)^(1/12)-1)</f>
        <v>0</v>
      </c>
      <c r="AY396" s="1312">
        <f t="shared" si="251"/>
        <v>0</v>
      </c>
      <c r="AZ396" s="1312">
        <f>IF(AND(C396&gt;$F$71,'Instrumentos Financeiros'!C396&lt;'Instrumentos Financeiros'!$F$71+'Instrumentos Financeiros'!$F$11+1),PMT(((1+'Instrumentos Financeiros'!$J$43)^(1/12)-1),$F$11,-$I$71),0)</f>
        <v>0</v>
      </c>
      <c r="BA396" s="1312">
        <f t="shared" si="234"/>
        <v>0</v>
      </c>
      <c r="BB396" s="1312">
        <f>BC395*((1+'Instrumentos Financeiros'!$J$43)^(1/12)-1)</f>
        <v>0</v>
      </c>
      <c r="BC396" s="1312">
        <f t="shared" si="252"/>
        <v>0</v>
      </c>
      <c r="BD396" s="1312">
        <f>IF(AND(C396&gt;$F$72,'Instrumentos Financeiros'!C396&lt;'Instrumentos Financeiros'!$F$72+'Instrumentos Financeiros'!$F$11+1),PMT(((1+'Instrumentos Financeiros'!$J$43)^(1/12)-1),$F$11,-'Instrumentos Financeiros'!$G$7*$G$72),0)</f>
        <v>0</v>
      </c>
      <c r="BE396" s="1312">
        <f t="shared" si="235"/>
        <v>0</v>
      </c>
      <c r="BF396" s="1312">
        <f>BG395*((1+'Instrumentos Financeiros'!$J$43)^(1/12)-1)</f>
        <v>0</v>
      </c>
      <c r="BG396" s="1312">
        <f t="shared" si="253"/>
        <v>0</v>
      </c>
      <c r="BH396" s="1312">
        <f>IF(AND(C396&gt;$F$73,'Instrumentos Financeiros'!C396&lt;'Instrumentos Financeiros'!$F$73+'Instrumentos Financeiros'!$F$11+1),PMT(((1+'Instrumentos Financeiros'!$J$43)^(1/12)-1),$F$11,-$I$73),0)</f>
        <v>0</v>
      </c>
      <c r="BI396" s="1312">
        <f t="shared" si="236"/>
        <v>0</v>
      </c>
      <c r="BJ396" s="1312">
        <f>BK395*((1+'Instrumentos Financeiros'!$J$43)^(1/12)-1)</f>
        <v>0</v>
      </c>
      <c r="BK396" s="1312">
        <f t="shared" si="254"/>
        <v>0</v>
      </c>
      <c r="BL396" s="1312">
        <f>IF(AND(C396&gt;$F$77,'Instrumentos Financeiros'!C396&lt;'Instrumentos Financeiros'!$F$77+'Instrumentos Financeiros'!$F$12+1),PMT(((1+'Instrumentos Financeiros'!$K$43)^(1/12)-1),$F$12,-$I$77),0)</f>
        <v>0</v>
      </c>
      <c r="BM396" s="1312">
        <f t="shared" si="255"/>
        <v>7.3142295323716066E-14</v>
      </c>
      <c r="BN396" s="1312">
        <f>BO395*((1+'Instrumentos Financeiros'!$K$43)^(1/12)-1)</f>
        <v>-7.3142295323716066E-14</v>
      </c>
      <c r="BO396" s="1312">
        <f t="shared" si="256"/>
        <v>-1.6988524496458021E-11</v>
      </c>
      <c r="BP396" s="1312">
        <f>IF(AND(C396&gt;$F$78,'Instrumentos Financeiros'!C396&lt;'Instrumentos Financeiros'!$F$78+'Instrumentos Financeiros'!$F$12+1),PMT(((1+'Instrumentos Financeiros'!$L$43)^(1/12)-1),$F$12,-$I$78),0)</f>
        <v>0</v>
      </c>
      <c r="BQ396" s="1312">
        <f t="shared" si="257"/>
        <v>7.2201637626764529E-14</v>
      </c>
      <c r="BR396" s="1312">
        <f>BS395*((1+'Instrumentos Financeiros'!$L$43)^(1/12)-1)</f>
        <v>-7.2201637626764529E-14</v>
      </c>
      <c r="BS396" s="1312">
        <f t="shared" si="258"/>
        <v>-1.6770040973939121E-11</v>
      </c>
      <c r="BT396" s="1312">
        <f>IF(AND(C396&gt;$F$79,'Instrumentos Financeiros'!C396&lt;'Instrumentos Financeiros'!$F$79+'Instrumentos Financeiros'!$F$12+1),PMT(((1+'Instrumentos Financeiros'!$L$43)^(1/12)-1),$F$12,-$I$79),0)</f>
        <v>0</v>
      </c>
      <c r="BU396" s="1312">
        <f t="shared" si="259"/>
        <v>7.1273077402266066E-14</v>
      </c>
      <c r="BV396" s="1312">
        <f>BW395*((1+'Instrumentos Financeiros'!$L$43)^(1/12)-1)</f>
        <v>-7.1273077402266066E-14</v>
      </c>
      <c r="BW396" s="1312">
        <f t="shared" si="260"/>
        <v>-1.6554367292240843E-11</v>
      </c>
      <c r="BX396" s="1312">
        <f>IF(AND(C396&gt;$F$80,'Instrumentos Financeiros'!C396&lt;'Instrumentos Financeiros'!$F$80+'Instrumentos Financeiros'!$F$12+1),PMT(((1+'Instrumentos Financeiros'!$L$43)^(1/12)-1),$F$12,-$I$80),0)</f>
        <v>0</v>
      </c>
      <c r="BY396" s="1312">
        <f t="shared" si="261"/>
        <v>7.035645906882245E-14</v>
      </c>
      <c r="BZ396" s="1312">
        <f>CA395*((1+'Instrumentos Financeiros'!$L$43)^(1/12)-1)</f>
        <v>-7.035645906882245E-14</v>
      </c>
      <c r="CA396" s="1312">
        <f t="shared" si="262"/>
        <v>-1.6341467314974747E-11</v>
      </c>
      <c r="CB396" s="1312">
        <f>IF(AND(C396&gt;$F$83,'Instrumentos Financeiros'!C396&lt;'Instrumentos Financeiros'!$F$83+'Instrumentos Financeiros'!$F$13+1),PMT(((1+'Instrumentos Financeiros'!$P$43)^(1/12)-1),$F$13,-$I$83),0)</f>
        <v>30503.390100238979</v>
      </c>
      <c r="CC396" s="1312">
        <f t="shared" si="263"/>
        <v>25012.160545492341</v>
      </c>
      <c r="CD396" s="1312">
        <f>CE395*((1+'Instrumentos Financeiros'!$P$43)^(1/12)-1)</f>
        <v>5491.2295547466392</v>
      </c>
      <c r="CE396" s="1312">
        <f t="shared" si="264"/>
        <v>1244926.7477373872</v>
      </c>
      <c r="CF396" s="1312">
        <f>IF(AND(C396&gt;$F$84,'Instrumentos Financeiros'!C396&lt;'Instrumentos Financeiros'!$F$84+'Instrumentos Financeiros'!$F$13+1),PMT(((1+'Instrumentos Financeiros'!$Q$43)^(1/12)-1),$F$13,-$I$84),0)</f>
        <v>30503.390100238979</v>
      </c>
      <c r="CG396" s="1312">
        <f t="shared" si="265"/>
        <v>24690.487822065017</v>
      </c>
      <c r="CH396" s="1312">
        <f>CI395*((1+'Instrumentos Financeiros'!$Q$43)^(1/12)-1)</f>
        <v>5812.9022781739613</v>
      </c>
      <c r="CI396" s="1312">
        <f t="shared" si="266"/>
        <v>1319640.6313747729</v>
      </c>
      <c r="CJ396" s="1312">
        <f>IF(AND(C396&gt;$F$85,'Instrumentos Financeiros'!C396&lt;'Instrumentos Financeiros'!$F$85+'Instrumentos Financeiros'!$F$13+1),PMT(((1+'Instrumentos Financeiros'!$Q$43)^(1/12)-1),$F$13,-$I$85),0)</f>
        <v>30503.390100238979</v>
      </c>
      <c r="CK396" s="1312">
        <f t="shared" si="267"/>
        <v>24372.95201998877</v>
      </c>
      <c r="CL396" s="1312">
        <f>CM395*((1+'Instrumentos Financeiros'!$Q$43)^(1/12)-1)</f>
        <v>6130.4380802502083</v>
      </c>
      <c r="CM396" s="1312">
        <f t="shared" si="268"/>
        <v>1393393.6456628772</v>
      </c>
      <c r="CN396" s="1312">
        <f>IF(AND(C396&gt;$F$86,'Instrumentos Financeiros'!C396&lt;'Instrumentos Financeiros'!$F$86+'Instrumentos Financeiros'!$F$13+1),PMT(((1+'Instrumentos Financeiros'!$Q$43)^(1/12)-1),$F$13,-$I$86),0)</f>
        <v>30503.390100238979</v>
      </c>
      <c r="CO396" s="1312">
        <f t="shared" si="269"/>
        <v>24059.499935752639</v>
      </c>
      <c r="CP396" s="1312">
        <f>CQ395*((1+'Instrumentos Financeiros'!$Q$43)^(1/12)-1)</f>
        <v>6443.8901644863381</v>
      </c>
      <c r="CQ396" s="1312">
        <f t="shared" si="270"/>
        <v>1466198.1480092052</v>
      </c>
      <c r="CR396" s="1312">
        <f t="shared" si="239"/>
        <v>122013.56040095592</v>
      </c>
      <c r="CS396" s="1312">
        <f t="shared" si="239"/>
        <v>98135.100323298873</v>
      </c>
      <c r="CT396" s="1312">
        <f t="shared" si="239"/>
        <v>23878.460077657051</v>
      </c>
      <c r="CU396" s="1312">
        <f t="shared" si="239"/>
        <v>5424159.1727842204</v>
      </c>
    </row>
    <row r="397" spans="3:99" x14ac:dyDescent="0.35">
      <c r="C397" s="1315">
        <f t="shared" si="240"/>
        <v>304</v>
      </c>
      <c r="D397" s="1312">
        <f>IF(AND(C397&gt;$F$59,'Instrumentos Financeiros'!C397&lt;'Instrumentos Financeiros'!$F$59+'Instrumentos Financeiros'!$F$11+1),PMT(((1+'Instrumentos Financeiros'!$G$43)^(1/12)-1),$F$11,-$I$59),0)</f>
        <v>0</v>
      </c>
      <c r="E397" s="1312">
        <f t="shared" si="237"/>
        <v>-1.1013559672069495E-11</v>
      </c>
      <c r="F397" s="1312">
        <f>G396*((1+'Instrumentos Financeiros'!$G$43)^(1/12)-1)</f>
        <v>1.1013559672069495E-11</v>
      </c>
      <c r="G397" s="1312">
        <f t="shared" si="271"/>
        <v>2.7092246740043001E-9</v>
      </c>
      <c r="H397" s="1312">
        <f>IF(AND(C397&gt;$F$60,'Instrumentos Financeiros'!C397&lt;'Instrumentos Financeiros'!$F$60+'Instrumentos Financeiros'!$F$11+1),PMT(((1+'Instrumentos Financeiros'!$G$43)^(1/12)-1),$F$11,-$I$60),0)</f>
        <v>0</v>
      </c>
      <c r="I397" s="1312">
        <f t="shared" si="223"/>
        <v>0</v>
      </c>
      <c r="J397" s="1312">
        <f>K396*((1+'Instrumentos Financeiros'!$G$43)^(1/12)-1)</f>
        <v>0</v>
      </c>
      <c r="K397" s="1312">
        <f t="shared" si="241"/>
        <v>0</v>
      </c>
      <c r="L397" s="1312">
        <f>IF(AND(C397&gt;$F$61,'Instrumentos Financeiros'!C397&lt;'Instrumentos Financeiros'!$F$61+'Instrumentos Financeiros'!$F$11+1),PMT(((1+'Instrumentos Financeiros'!$G$43)^(1/12)-1),$F$11,-$I$61),0)</f>
        <v>0</v>
      </c>
      <c r="M397" s="1312">
        <f t="shared" si="224"/>
        <v>0</v>
      </c>
      <c r="N397" s="1312">
        <f>O396*((1+'Instrumentos Financeiros'!$G$43)^(1/12)-1)</f>
        <v>0</v>
      </c>
      <c r="O397" s="1312">
        <f t="shared" si="242"/>
        <v>0</v>
      </c>
      <c r="P397" s="1312">
        <f>IF(AND(C397&gt;$F$62,'Instrumentos Financeiros'!C397&lt;'Instrumentos Financeiros'!$F$62+'Instrumentos Financeiros'!$F$11+1),PMT(((1+'Instrumentos Financeiros'!$H$43)^(1/12)-1),$F$11,-$I$62),0)</f>
        <v>0</v>
      </c>
      <c r="Q397" s="1312">
        <f t="shared" si="225"/>
        <v>0</v>
      </c>
      <c r="R397" s="1312">
        <f>S396*((1+'Instrumentos Financeiros'!$H$43)^(1/12)-1)</f>
        <v>0</v>
      </c>
      <c r="S397" s="1312">
        <f t="shared" si="243"/>
        <v>0</v>
      </c>
      <c r="T397" s="1312">
        <f>IF(AND(C397&gt;$F$63,'Instrumentos Financeiros'!C397&lt;'Instrumentos Financeiros'!$F$63+'Instrumentos Financeiros'!$F$11+1),PMT(((1+'Instrumentos Financeiros'!$H$43)^(1/12)-1),$F$11,-$I$63),0)</f>
        <v>0</v>
      </c>
      <c r="U397" s="1312">
        <f t="shared" si="226"/>
        <v>0</v>
      </c>
      <c r="V397" s="1312">
        <f>W396*((1+'Instrumentos Financeiros'!$H$43)^(1/12)-1)</f>
        <v>0</v>
      </c>
      <c r="W397" s="1312">
        <f t="shared" si="244"/>
        <v>0</v>
      </c>
      <c r="X397" s="1312">
        <f>IF(AND(C397&gt;$F$64,'Instrumentos Financeiros'!C397&lt;'Instrumentos Financeiros'!$F$64+'Instrumentos Financeiros'!$F$11+1),PMT(((1+'Instrumentos Financeiros'!$H$43)^(1/12)-1),$F$11,-$I$64),0)</f>
        <v>0</v>
      </c>
      <c r="Y397" s="1312">
        <f t="shared" si="227"/>
        <v>0</v>
      </c>
      <c r="Z397" s="1312">
        <f>AA396*((1+'Instrumentos Financeiros'!$H$43)^(1/12)-1)</f>
        <v>0</v>
      </c>
      <c r="AA397" s="1312">
        <f t="shared" si="245"/>
        <v>0</v>
      </c>
      <c r="AB397" s="1312">
        <f>IF(AND(C397&gt;$F$65,'Instrumentos Financeiros'!C397&lt;'Instrumentos Financeiros'!$F$65+'Instrumentos Financeiros'!$F$11+1),PMT(((1+'Instrumentos Financeiros'!$H$43)^(1/12)-1),$F$11,-$I$65),0)</f>
        <v>0</v>
      </c>
      <c r="AC397" s="1312">
        <f t="shared" si="228"/>
        <v>2.7026731842881889E-11</v>
      </c>
      <c r="AD397" s="1312">
        <f>AE396*((1+'Instrumentos Financeiros'!$H$43)^(1/12)-1)</f>
        <v>-2.7026731842881889E-11</v>
      </c>
      <c r="AE397" s="1312">
        <f t="shared" si="246"/>
        <v>-6.2774116390510034E-9</v>
      </c>
      <c r="AF397" s="1312">
        <f>IF(AND(C397&gt;$F$66,'Instrumentos Financeiros'!C397&lt;'Instrumentos Financeiros'!$F$66+'Instrumentos Financeiros'!$F$11+1),PMT(((1+'Instrumentos Financeiros'!$I$43)^(1/12)-1),$F$11,-$I$66),0)</f>
        <v>0</v>
      </c>
      <c r="AG397" s="1312">
        <f t="shared" si="229"/>
        <v>2.6679150416582172E-11</v>
      </c>
      <c r="AH397" s="1312">
        <f>AI396*((1+'Instrumentos Financeiros'!$I$43)^(1/12)-1)</f>
        <v>-2.6679150416582172E-11</v>
      </c>
      <c r="AI397" s="1312">
        <f t="shared" si="247"/>
        <v>-6.1966800247494223E-9</v>
      </c>
      <c r="AJ397" s="1312">
        <f>IF(AND(C397&gt;$F$67,'Instrumentos Financeiros'!C397&lt;'Instrumentos Financeiros'!$F$67+'Instrumentos Financeiros'!$F$11+1),PMT(((1+'Instrumentos Financeiros'!$I$43)^(1/12)-1),$F$11,-$I$67),0)</f>
        <v>0</v>
      </c>
      <c r="AK397" s="1312">
        <f t="shared" si="230"/>
        <v>2.6336039114476928E-11</v>
      </c>
      <c r="AL397" s="1312">
        <f>AM396*((1+'Instrumentos Financeiros'!$I$43)^(1/12)-1)</f>
        <v>-2.6336039114476928E-11</v>
      </c>
      <c r="AM397" s="1312">
        <f t="shared" si="248"/>
        <v>-6.1169866717444543E-9</v>
      </c>
      <c r="AN397" s="1312">
        <f>IF(AND(C397&gt;$F$68,'Instrumentos Financeiros'!C397&lt;'Instrumentos Financeiros'!$F$68+'Instrumentos Financeiros'!$F$11+1),PMT(((1+'Instrumentos Financeiros'!$I$43)^(1/12)-1),$F$11,-$I$68),0)</f>
        <v>0</v>
      </c>
      <c r="AO397" s="1312">
        <f t="shared" si="231"/>
        <v>2.599734044784899E-11</v>
      </c>
      <c r="AP397" s="1312">
        <f>AQ396*((1+'Instrumentos Financeiros'!$I$43)^(1/12)-1)</f>
        <v>-2.599734044784899E-11</v>
      </c>
      <c r="AQ397" s="1312">
        <f t="shared" si="249"/>
        <v>-6.0383182273175981E-9</v>
      </c>
      <c r="AR397" s="1312">
        <f>IF(AND(C397&gt;$F$69,'Instrumentos Financeiros'!C397&lt;'Instrumentos Financeiros'!$F$69+'Instrumentos Financeiros'!$F$11+1),PMT(((1+'Instrumentos Financeiros'!$I$43)^(1/12)-1),$F$11,-$I$69),0)</f>
        <v>0</v>
      </c>
      <c r="AS397" s="1312">
        <f t="shared" si="232"/>
        <v>0</v>
      </c>
      <c r="AT397" s="1312">
        <f>AU396*((1+'Instrumentos Financeiros'!$I$43)^(1/12)-1)</f>
        <v>0</v>
      </c>
      <c r="AU397" s="1312">
        <f t="shared" si="250"/>
        <v>0</v>
      </c>
      <c r="AV397" s="1312">
        <f>IF(AND(C397&gt;$F$70,'Instrumentos Financeiros'!C397&lt;'Instrumentos Financeiros'!$F$70+'Instrumentos Financeiros'!$F$11+1),PMT(((1+'Instrumentos Financeiros'!$J$43)^(1/12)-1),$F$11,-$I$70),0)</f>
        <v>0</v>
      </c>
      <c r="AW397" s="1312">
        <f t="shared" si="233"/>
        <v>0</v>
      </c>
      <c r="AX397" s="1312">
        <f>AY396*((1+'Instrumentos Financeiros'!$J$43)^(1/12)-1)</f>
        <v>0</v>
      </c>
      <c r="AY397" s="1312">
        <f t="shared" si="251"/>
        <v>0</v>
      </c>
      <c r="AZ397" s="1312">
        <f>IF(AND(C397&gt;$F$71,'Instrumentos Financeiros'!C397&lt;'Instrumentos Financeiros'!$F$71+'Instrumentos Financeiros'!$F$11+1),PMT(((1+'Instrumentos Financeiros'!$J$43)^(1/12)-1),$F$11,-$I$71),0)</f>
        <v>0</v>
      </c>
      <c r="BA397" s="1312">
        <f t="shared" si="234"/>
        <v>0</v>
      </c>
      <c r="BB397" s="1312">
        <f>BC396*((1+'Instrumentos Financeiros'!$J$43)^(1/12)-1)</f>
        <v>0</v>
      </c>
      <c r="BC397" s="1312">
        <f t="shared" si="252"/>
        <v>0</v>
      </c>
      <c r="BD397" s="1312">
        <f>IF(AND(C397&gt;$F$72,'Instrumentos Financeiros'!C397&lt;'Instrumentos Financeiros'!$F$72+'Instrumentos Financeiros'!$F$11+1),PMT(((1+'Instrumentos Financeiros'!$J$43)^(1/12)-1),$F$11,-'Instrumentos Financeiros'!$G$7*$G$72),0)</f>
        <v>0</v>
      </c>
      <c r="BE397" s="1312">
        <f t="shared" si="235"/>
        <v>0</v>
      </c>
      <c r="BF397" s="1312">
        <f>BG396*((1+'Instrumentos Financeiros'!$J$43)^(1/12)-1)</f>
        <v>0</v>
      </c>
      <c r="BG397" s="1312">
        <f t="shared" si="253"/>
        <v>0</v>
      </c>
      <c r="BH397" s="1312">
        <f>IF(AND(C397&gt;$F$73,'Instrumentos Financeiros'!C397&lt;'Instrumentos Financeiros'!$F$73+'Instrumentos Financeiros'!$F$11+1),PMT(((1+'Instrumentos Financeiros'!$J$43)^(1/12)-1),$F$11,-$I$73),0)</f>
        <v>0</v>
      </c>
      <c r="BI397" s="1312">
        <f t="shared" si="236"/>
        <v>0</v>
      </c>
      <c r="BJ397" s="1312">
        <f>BK396*((1+'Instrumentos Financeiros'!$J$43)^(1/12)-1)</f>
        <v>0</v>
      </c>
      <c r="BK397" s="1312">
        <f t="shared" si="254"/>
        <v>0</v>
      </c>
      <c r="BL397" s="1312">
        <f>IF(AND(C397&gt;$F$77,'Instrumentos Financeiros'!C397&lt;'Instrumentos Financeiros'!$F$77+'Instrumentos Financeiros'!$F$12+1),PMT(((1+'Instrumentos Financeiros'!$K$43)^(1/12)-1),$F$12,-$I$77),0)</f>
        <v>0</v>
      </c>
      <c r="BM397" s="1312">
        <f t="shared" si="255"/>
        <v>7.3458563398632112E-14</v>
      </c>
      <c r="BN397" s="1312">
        <f>BO396*((1+'Instrumentos Financeiros'!$K$43)^(1/12)-1)</f>
        <v>-7.3458563398632112E-14</v>
      </c>
      <c r="BO397" s="1312">
        <f t="shared" si="256"/>
        <v>-1.7061983059856655E-11</v>
      </c>
      <c r="BP397" s="1312">
        <f>IF(AND(C397&gt;$F$78,'Instrumentos Financeiros'!C397&lt;'Instrumentos Financeiros'!$F$78+'Instrumentos Financeiros'!$F$12+1),PMT(((1+'Instrumentos Financeiros'!$L$43)^(1/12)-1),$F$12,-$I$78),0)</f>
        <v>0</v>
      </c>
      <c r="BQ397" s="1312">
        <f t="shared" si="257"/>
        <v>7.2513838287639842E-14</v>
      </c>
      <c r="BR397" s="1312">
        <f>BS396*((1+'Instrumentos Financeiros'!$L$43)^(1/12)-1)</f>
        <v>-7.2513838287639842E-14</v>
      </c>
      <c r="BS397" s="1312">
        <f t="shared" si="258"/>
        <v>-1.6842554812226762E-11</v>
      </c>
      <c r="BT397" s="1312">
        <f>IF(AND(C397&gt;$F$79,'Instrumentos Financeiros'!C397&lt;'Instrumentos Financeiros'!$F$79+'Instrumentos Financeiros'!$F$12+1),PMT(((1+'Instrumentos Financeiros'!$L$43)^(1/12)-1),$F$12,-$I$79),0)</f>
        <v>0</v>
      </c>
      <c r="BU397" s="1312">
        <f t="shared" si="259"/>
        <v>7.1581262958702213E-14</v>
      </c>
      <c r="BV397" s="1312">
        <f>BW396*((1+'Instrumentos Financeiros'!$L$43)^(1/12)-1)</f>
        <v>-7.1581262958702213E-14</v>
      </c>
      <c r="BW397" s="1312">
        <f t="shared" si="260"/>
        <v>-1.6625948555199545E-11</v>
      </c>
      <c r="BX397" s="1312">
        <f>IF(AND(C397&gt;$F$80,'Instrumentos Financeiros'!C397&lt;'Instrumentos Financeiros'!$F$80+'Instrumentos Financeiros'!$F$12+1),PMT(((1+'Instrumentos Financeiros'!$L$43)^(1/12)-1),$F$12,-$I$80),0)</f>
        <v>0</v>
      </c>
      <c r="BY397" s="1312">
        <f t="shared" si="261"/>
        <v>7.0660681157685327E-14</v>
      </c>
      <c r="BZ397" s="1312">
        <f>CA396*((1+'Instrumentos Financeiros'!$L$43)^(1/12)-1)</f>
        <v>-7.0660681157685327E-14</v>
      </c>
      <c r="CA397" s="1312">
        <f t="shared" si="262"/>
        <v>-1.6412127996132432E-11</v>
      </c>
      <c r="CB397" s="1312">
        <f>IF(AND(C397&gt;$F$83,'Instrumentos Financeiros'!C397&lt;'Instrumentos Financeiros'!$F$83+'Instrumentos Financeiros'!$F$13+1),PMT(((1+'Instrumentos Financeiros'!$P$43)^(1/12)-1),$F$13,-$I$83),0)</f>
        <v>30503.390100238979</v>
      </c>
      <c r="CC397" s="1312">
        <f t="shared" si="263"/>
        <v>25120.31339782221</v>
      </c>
      <c r="CD397" s="1312">
        <f>CE396*((1+'Instrumentos Financeiros'!$P$43)^(1/12)-1)</f>
        <v>5383.0767024167681</v>
      </c>
      <c r="CE397" s="1312">
        <f t="shared" si="264"/>
        <v>1219806.434339565</v>
      </c>
      <c r="CF397" s="1312">
        <f>IF(AND(C397&gt;$F$84,'Instrumentos Financeiros'!C397&lt;'Instrumentos Financeiros'!$F$84+'Instrumentos Financeiros'!$F$13+1),PMT(((1+'Instrumentos Financeiros'!$Q$43)^(1/12)-1),$F$13,-$I$84),0)</f>
        <v>30503.390100238979</v>
      </c>
      <c r="CG397" s="1312">
        <f t="shared" si="265"/>
        <v>24797.249758064725</v>
      </c>
      <c r="CH397" s="1312">
        <f>CI396*((1+'Instrumentos Financeiros'!$Q$43)^(1/12)-1)</f>
        <v>5706.1403421742534</v>
      </c>
      <c r="CI397" s="1312">
        <f t="shared" si="266"/>
        <v>1294843.3816167081</v>
      </c>
      <c r="CJ397" s="1312">
        <f>IF(AND(C397&gt;$F$85,'Instrumentos Financeiros'!C397&lt;'Instrumentos Financeiros'!$F$85+'Instrumentos Financeiros'!$F$13+1),PMT(((1+'Instrumentos Financeiros'!$Q$43)^(1/12)-1),$F$13,-$I$85),0)</f>
        <v>30503.390100238979</v>
      </c>
      <c r="CK397" s="1312">
        <f t="shared" si="267"/>
        <v>24478.340927750916</v>
      </c>
      <c r="CL397" s="1312">
        <f>CM396*((1+'Instrumentos Financeiros'!$Q$43)^(1/12)-1)</f>
        <v>6025.049172488063</v>
      </c>
      <c r="CM397" s="1312">
        <f t="shared" si="268"/>
        <v>1368915.3047351264</v>
      </c>
      <c r="CN397" s="1312">
        <f>IF(AND(C397&gt;$F$86,'Instrumentos Financeiros'!C397&lt;'Instrumentos Financeiros'!$F$86+'Instrumentos Financeiros'!$F$13+1),PMT(((1+'Instrumentos Financeiros'!$Q$43)^(1/12)-1),$F$13,-$I$86),0)</f>
        <v>30503.390100238979</v>
      </c>
      <c r="CO397" s="1312">
        <f t="shared" si="269"/>
        <v>24163.533473317271</v>
      </c>
      <c r="CP397" s="1312">
        <f>CQ396*((1+'Instrumentos Financeiros'!$Q$43)^(1/12)-1)</f>
        <v>6339.856626921709</v>
      </c>
      <c r="CQ397" s="1312">
        <f t="shared" si="270"/>
        <v>1442034.614535888</v>
      </c>
      <c r="CR397" s="1312">
        <f t="shared" si="239"/>
        <v>122013.56040095592</v>
      </c>
      <c r="CS397" s="1312">
        <f t="shared" si="239"/>
        <v>98559.437556955207</v>
      </c>
      <c r="CT397" s="1312">
        <f t="shared" si="239"/>
        <v>23454.122844000696</v>
      </c>
      <c r="CU397" s="1312">
        <f t="shared" si="239"/>
        <v>5325599.7352272654</v>
      </c>
    </row>
    <row r="398" spans="3:99" x14ac:dyDescent="0.35">
      <c r="C398" s="1315">
        <f t="shared" si="240"/>
        <v>305</v>
      </c>
      <c r="D398" s="1312">
        <f>IF(AND(C398&gt;$F$59,'Instrumentos Financeiros'!C398&lt;'Instrumentos Financeiros'!$F$59+'Instrumentos Financeiros'!$F$11+1),PMT(((1+'Instrumentos Financeiros'!$G$43)^(1/12)-1),$F$11,-$I$59),0)</f>
        <v>0</v>
      </c>
      <c r="E398" s="1312">
        <f t="shared" si="237"/>
        <v>-1.1058514826247729E-11</v>
      </c>
      <c r="F398" s="1312">
        <f>G397*((1+'Instrumentos Financeiros'!$G$43)^(1/12)-1)</f>
        <v>1.1058514826247729E-11</v>
      </c>
      <c r="G398" s="1312">
        <f t="shared" si="271"/>
        <v>2.7202831888305477E-9</v>
      </c>
      <c r="H398" s="1312">
        <f>IF(AND(C398&gt;$F$60,'Instrumentos Financeiros'!C398&lt;'Instrumentos Financeiros'!$F$60+'Instrumentos Financeiros'!$F$11+1),PMT(((1+'Instrumentos Financeiros'!$G$43)^(1/12)-1),$F$11,-$I$60),0)</f>
        <v>0</v>
      </c>
      <c r="I398" s="1312">
        <f t="shared" si="223"/>
        <v>0</v>
      </c>
      <c r="J398" s="1312">
        <f>K397*((1+'Instrumentos Financeiros'!$G$43)^(1/12)-1)</f>
        <v>0</v>
      </c>
      <c r="K398" s="1312">
        <f t="shared" si="241"/>
        <v>0</v>
      </c>
      <c r="L398" s="1312">
        <f>IF(AND(C398&gt;$F$61,'Instrumentos Financeiros'!C398&lt;'Instrumentos Financeiros'!$F$61+'Instrumentos Financeiros'!$F$11+1),PMT(((1+'Instrumentos Financeiros'!$G$43)^(1/12)-1),$F$11,-$I$61),0)</f>
        <v>0</v>
      </c>
      <c r="M398" s="1312">
        <f t="shared" si="224"/>
        <v>0</v>
      </c>
      <c r="N398" s="1312">
        <f>O397*((1+'Instrumentos Financeiros'!$G$43)^(1/12)-1)</f>
        <v>0</v>
      </c>
      <c r="O398" s="1312">
        <f t="shared" si="242"/>
        <v>0</v>
      </c>
      <c r="P398" s="1312">
        <f>IF(AND(C398&gt;$F$62,'Instrumentos Financeiros'!C398&lt;'Instrumentos Financeiros'!$F$62+'Instrumentos Financeiros'!$F$11+1),PMT(((1+'Instrumentos Financeiros'!$H$43)^(1/12)-1),$F$11,-$I$62),0)</f>
        <v>0</v>
      </c>
      <c r="Q398" s="1312">
        <f t="shared" si="225"/>
        <v>0</v>
      </c>
      <c r="R398" s="1312">
        <f>S397*((1+'Instrumentos Financeiros'!$H$43)^(1/12)-1)</f>
        <v>0</v>
      </c>
      <c r="S398" s="1312">
        <f t="shared" si="243"/>
        <v>0</v>
      </c>
      <c r="T398" s="1312">
        <f>IF(AND(C398&gt;$F$63,'Instrumentos Financeiros'!C398&lt;'Instrumentos Financeiros'!$F$63+'Instrumentos Financeiros'!$F$11+1),PMT(((1+'Instrumentos Financeiros'!$H$43)^(1/12)-1),$F$11,-$I$63),0)</f>
        <v>0</v>
      </c>
      <c r="U398" s="1312">
        <f t="shared" si="226"/>
        <v>0</v>
      </c>
      <c r="V398" s="1312">
        <f>W397*((1+'Instrumentos Financeiros'!$H$43)^(1/12)-1)</f>
        <v>0</v>
      </c>
      <c r="W398" s="1312">
        <f t="shared" si="244"/>
        <v>0</v>
      </c>
      <c r="X398" s="1312">
        <f>IF(AND(C398&gt;$F$64,'Instrumentos Financeiros'!C398&lt;'Instrumentos Financeiros'!$F$64+'Instrumentos Financeiros'!$F$11+1),PMT(((1+'Instrumentos Financeiros'!$H$43)^(1/12)-1),$F$11,-$I$64),0)</f>
        <v>0</v>
      </c>
      <c r="Y398" s="1312">
        <f t="shared" si="227"/>
        <v>0</v>
      </c>
      <c r="Z398" s="1312">
        <f>AA397*((1+'Instrumentos Financeiros'!$H$43)^(1/12)-1)</f>
        <v>0</v>
      </c>
      <c r="AA398" s="1312">
        <f t="shared" si="245"/>
        <v>0</v>
      </c>
      <c r="AB398" s="1312">
        <f>IF(AND(C398&gt;$F$65,'Instrumentos Financeiros'!C398&lt;'Instrumentos Financeiros'!$F$65+'Instrumentos Financeiros'!$F$11+1),PMT(((1+'Instrumentos Financeiros'!$H$43)^(1/12)-1),$F$11,-$I$65),0)</f>
        <v>0</v>
      </c>
      <c r="AC398" s="1312">
        <f t="shared" si="228"/>
        <v>2.714359572325903E-11</v>
      </c>
      <c r="AD398" s="1312">
        <f>AE397*((1+'Instrumentos Financeiros'!$H$43)^(1/12)-1)</f>
        <v>-2.714359572325903E-11</v>
      </c>
      <c r="AE398" s="1312">
        <f t="shared" si="246"/>
        <v>-6.3045552347742624E-9</v>
      </c>
      <c r="AF398" s="1312">
        <f>IF(AND(C398&gt;$F$66,'Instrumentos Financeiros'!C398&lt;'Instrumentos Financeiros'!$F$66+'Instrumentos Financeiros'!$F$11+1),PMT(((1+'Instrumentos Financeiros'!$I$43)^(1/12)-1),$F$11,-$I$66),0)</f>
        <v>0</v>
      </c>
      <c r="AG398" s="1312">
        <f t="shared" si="229"/>
        <v>2.6794511351118116E-11</v>
      </c>
      <c r="AH398" s="1312">
        <f>AI397*((1+'Instrumentos Financeiros'!$I$43)^(1/12)-1)</f>
        <v>-2.6794511351118116E-11</v>
      </c>
      <c r="AI398" s="1312">
        <f t="shared" si="247"/>
        <v>-6.2234745361005405E-9</v>
      </c>
      <c r="AJ398" s="1312">
        <f>IF(AND(C398&gt;$F$67,'Instrumentos Financeiros'!C398&lt;'Instrumentos Financeiros'!$F$67+'Instrumentos Financeiros'!$F$11+1),PMT(((1+'Instrumentos Financeiros'!$I$43)^(1/12)-1),$F$11,-$I$67),0)</f>
        <v>0</v>
      </c>
      <c r="AK398" s="1312">
        <f t="shared" si="230"/>
        <v>2.644991643203697E-11</v>
      </c>
      <c r="AL398" s="1312">
        <f>AM397*((1+'Instrumentos Financeiros'!$I$43)^(1/12)-1)</f>
        <v>-2.644991643203697E-11</v>
      </c>
      <c r="AM398" s="1312">
        <f t="shared" si="248"/>
        <v>-6.1434365881764914E-9</v>
      </c>
      <c r="AN398" s="1312">
        <f>IF(AND(C398&gt;$F$68,'Instrumentos Financeiros'!C398&lt;'Instrumentos Financeiros'!$F$68+'Instrumentos Financeiros'!$F$11+1),PMT(((1+'Instrumentos Financeiros'!$I$43)^(1/12)-1),$F$11,-$I$68),0)</f>
        <v>0</v>
      </c>
      <c r="AO398" s="1312">
        <f t="shared" si="231"/>
        <v>2.6109753228716584E-11</v>
      </c>
      <c r="AP398" s="1312">
        <f>AQ397*((1+'Instrumentos Financeiros'!$I$43)^(1/12)-1)</f>
        <v>-2.6109753228716584E-11</v>
      </c>
      <c r="AQ398" s="1312">
        <f t="shared" si="249"/>
        <v>-6.0644279805463148E-9</v>
      </c>
      <c r="AR398" s="1312">
        <f>IF(AND(C398&gt;$F$69,'Instrumentos Financeiros'!C398&lt;'Instrumentos Financeiros'!$F$69+'Instrumentos Financeiros'!$F$11+1),PMT(((1+'Instrumentos Financeiros'!$I$43)^(1/12)-1),$F$11,-$I$69),0)</f>
        <v>0</v>
      </c>
      <c r="AS398" s="1312">
        <f t="shared" si="232"/>
        <v>0</v>
      </c>
      <c r="AT398" s="1312">
        <f>AU397*((1+'Instrumentos Financeiros'!$I$43)^(1/12)-1)</f>
        <v>0</v>
      </c>
      <c r="AU398" s="1312">
        <f t="shared" si="250"/>
        <v>0</v>
      </c>
      <c r="AV398" s="1312">
        <f>IF(AND(C398&gt;$F$70,'Instrumentos Financeiros'!C398&lt;'Instrumentos Financeiros'!$F$70+'Instrumentos Financeiros'!$F$11+1),PMT(((1+'Instrumentos Financeiros'!$J$43)^(1/12)-1),$F$11,-$I$70),0)</f>
        <v>0</v>
      </c>
      <c r="AW398" s="1312">
        <f t="shared" si="233"/>
        <v>0</v>
      </c>
      <c r="AX398" s="1312">
        <f>AY397*((1+'Instrumentos Financeiros'!$J$43)^(1/12)-1)</f>
        <v>0</v>
      </c>
      <c r="AY398" s="1312">
        <f t="shared" si="251"/>
        <v>0</v>
      </c>
      <c r="AZ398" s="1312">
        <f>IF(AND(C398&gt;$F$71,'Instrumentos Financeiros'!C398&lt;'Instrumentos Financeiros'!$F$71+'Instrumentos Financeiros'!$F$11+1),PMT(((1+'Instrumentos Financeiros'!$J$43)^(1/12)-1),$F$11,-$I$71),0)</f>
        <v>0</v>
      </c>
      <c r="BA398" s="1312">
        <f t="shared" si="234"/>
        <v>0</v>
      </c>
      <c r="BB398" s="1312">
        <f>BC397*((1+'Instrumentos Financeiros'!$J$43)^(1/12)-1)</f>
        <v>0</v>
      </c>
      <c r="BC398" s="1312">
        <f t="shared" si="252"/>
        <v>0</v>
      </c>
      <c r="BD398" s="1312">
        <f>IF(AND(C398&gt;$F$72,'Instrumentos Financeiros'!C398&lt;'Instrumentos Financeiros'!$F$72+'Instrumentos Financeiros'!$F$11+1),PMT(((1+'Instrumentos Financeiros'!$J$43)^(1/12)-1),$F$11,-'Instrumentos Financeiros'!$G$7*$G$72),0)</f>
        <v>0</v>
      </c>
      <c r="BE398" s="1312">
        <f t="shared" si="235"/>
        <v>0</v>
      </c>
      <c r="BF398" s="1312">
        <f>BG397*((1+'Instrumentos Financeiros'!$J$43)^(1/12)-1)</f>
        <v>0</v>
      </c>
      <c r="BG398" s="1312">
        <f t="shared" si="253"/>
        <v>0</v>
      </c>
      <c r="BH398" s="1312">
        <f>IF(AND(C398&gt;$F$73,'Instrumentos Financeiros'!C398&lt;'Instrumentos Financeiros'!$F$73+'Instrumentos Financeiros'!$F$11+1),PMT(((1+'Instrumentos Financeiros'!$J$43)^(1/12)-1),$F$11,-$I$73),0)</f>
        <v>0</v>
      </c>
      <c r="BI398" s="1312">
        <f t="shared" si="236"/>
        <v>0</v>
      </c>
      <c r="BJ398" s="1312">
        <f>BK397*((1+'Instrumentos Financeiros'!$J$43)^(1/12)-1)</f>
        <v>0</v>
      </c>
      <c r="BK398" s="1312">
        <f t="shared" si="254"/>
        <v>0</v>
      </c>
      <c r="BL398" s="1312">
        <f>IF(AND(C398&gt;$F$77,'Instrumentos Financeiros'!C398&lt;'Instrumentos Financeiros'!$F$77+'Instrumentos Financeiros'!$F$12+1),PMT(((1+'Instrumentos Financeiros'!$K$43)^(1/12)-1),$F$12,-$I$77),0)</f>
        <v>0</v>
      </c>
      <c r="BM398" s="1312">
        <f t="shared" si="255"/>
        <v>7.3776199020119776E-14</v>
      </c>
      <c r="BN398" s="1312">
        <f>BO397*((1+'Instrumentos Financeiros'!$K$43)^(1/12)-1)</f>
        <v>-7.3776199020119776E-14</v>
      </c>
      <c r="BO398" s="1312">
        <f t="shared" si="256"/>
        <v>-1.7135759258876774E-11</v>
      </c>
      <c r="BP398" s="1312">
        <f>IF(AND(C398&gt;$F$78,'Instrumentos Financeiros'!C398&lt;'Instrumentos Financeiros'!$F$78+'Instrumentos Financeiros'!$F$12+1),PMT(((1+'Instrumentos Financeiros'!$L$43)^(1/12)-1),$F$12,-$I$78),0)</f>
        <v>0</v>
      </c>
      <c r="BQ398" s="1312">
        <f t="shared" si="257"/>
        <v>7.2827388907544556E-14</v>
      </c>
      <c r="BR398" s="1312">
        <f>BS397*((1+'Instrumentos Financeiros'!$L$43)^(1/12)-1)</f>
        <v>-7.2827388907544556E-14</v>
      </c>
      <c r="BS398" s="1312">
        <f t="shared" si="258"/>
        <v>-1.6915382201134305E-11</v>
      </c>
      <c r="BT398" s="1312">
        <f>IF(AND(C398&gt;$F$79,'Instrumentos Financeiros'!C398&lt;'Instrumentos Financeiros'!$F$79+'Instrumentos Financeiros'!$F$12+1),PMT(((1+'Instrumentos Financeiros'!$L$43)^(1/12)-1),$F$12,-$I$79),0)</f>
        <v>0</v>
      </c>
      <c r="BU398" s="1312">
        <f t="shared" si="259"/>
        <v>7.1890781112812778E-14</v>
      </c>
      <c r="BV398" s="1312">
        <f>BW397*((1+'Instrumentos Financeiros'!$L$43)^(1/12)-1)</f>
        <v>-7.1890781112812778E-14</v>
      </c>
      <c r="BW398" s="1312">
        <f t="shared" si="260"/>
        <v>-1.6697839336312358E-11</v>
      </c>
      <c r="BX398" s="1312">
        <f>IF(AND(C398&gt;$F$80,'Instrumentos Financeiros'!C398&lt;'Instrumentos Financeiros'!$F$80+'Instrumentos Financeiros'!$F$12+1),PMT(((1+'Instrumentos Financeiros'!$L$43)^(1/12)-1),$F$12,-$I$80),0)</f>
        <v>0</v>
      </c>
      <c r="BY398" s="1312">
        <f t="shared" si="261"/>
        <v>7.0966218706146024E-14</v>
      </c>
      <c r="BZ398" s="1312">
        <f>CA397*((1+'Instrumentos Financeiros'!$L$43)^(1/12)-1)</f>
        <v>-7.0966218706146024E-14</v>
      </c>
      <c r="CA398" s="1312">
        <f t="shared" si="262"/>
        <v>-1.6483094214838577E-11</v>
      </c>
      <c r="CB398" s="1312">
        <f>IF(AND(C398&gt;$F$83,'Instrumentos Financeiros'!C398&lt;'Instrumentos Financeiros'!$F$83+'Instrumentos Financeiros'!$F$13+1),PMT(((1+'Instrumentos Financeiros'!$P$43)^(1/12)-1),$F$13,-$I$83),0)</f>
        <v>30503.390100238979</v>
      </c>
      <c r="CC398" s="1312">
        <f t="shared" si="263"/>
        <v>25228.933904253605</v>
      </c>
      <c r="CD398" s="1312">
        <f>CE397*((1+'Instrumentos Financeiros'!$P$43)^(1/12)-1)</f>
        <v>5274.4561959853736</v>
      </c>
      <c r="CE398" s="1312">
        <f t="shared" si="264"/>
        <v>1194577.5004353113</v>
      </c>
      <c r="CF398" s="1312">
        <f>IF(AND(C398&gt;$F$84,'Instrumentos Financeiros'!C398&lt;'Instrumentos Financeiros'!$F$84+'Instrumentos Financeiros'!$F$13+1),PMT(((1+'Instrumentos Financeiros'!$Q$43)^(1/12)-1),$F$13,-$I$84),0)</f>
        <v>30503.390100238979</v>
      </c>
      <c r="CG398" s="1312">
        <f t="shared" si="265"/>
        <v>24904.473333828726</v>
      </c>
      <c r="CH398" s="1312">
        <f>CI397*((1+'Instrumentos Financeiros'!$Q$43)^(1/12)-1)</f>
        <v>5598.9167664102542</v>
      </c>
      <c r="CI398" s="1312">
        <f t="shared" si="266"/>
        <v>1269938.9082828795</v>
      </c>
      <c r="CJ398" s="1312">
        <f>IF(AND(C398&gt;$F$85,'Instrumentos Financeiros'!C398&lt;'Instrumentos Financeiros'!$F$85+'Instrumentos Financeiros'!$F$13+1),PMT(((1+'Instrumentos Financeiros'!$Q$43)^(1/12)-1),$F$13,-$I$85),0)</f>
        <v>30503.390100238979</v>
      </c>
      <c r="CK398" s="1312">
        <f t="shared" si="267"/>
        <v>24584.185538288424</v>
      </c>
      <c r="CL398" s="1312">
        <f>CM397*((1+'Instrumentos Financeiros'!$Q$43)^(1/12)-1)</f>
        <v>5919.2045619505552</v>
      </c>
      <c r="CM398" s="1312">
        <f t="shared" si="268"/>
        <v>1344331.119196838</v>
      </c>
      <c r="CN398" s="1312">
        <f>IF(AND(C398&gt;$F$86,'Instrumentos Financeiros'!C398&lt;'Instrumentos Financeiros'!$F$86+'Instrumentos Financeiros'!$F$13+1),PMT(((1+'Instrumentos Financeiros'!$Q$43)^(1/12)-1),$F$13,-$I$86),0)</f>
        <v>30503.390100238979</v>
      </c>
      <c r="CO398" s="1312">
        <f t="shared" si="269"/>
        <v>24268.016853021887</v>
      </c>
      <c r="CP398" s="1312">
        <f>CQ397*((1+'Instrumentos Financeiros'!$Q$43)^(1/12)-1)</f>
        <v>6235.3732472170905</v>
      </c>
      <c r="CQ398" s="1312">
        <f t="shared" si="270"/>
        <v>1417766.597682866</v>
      </c>
      <c r="CR398" s="1312">
        <f t="shared" si="239"/>
        <v>122013.56040095592</v>
      </c>
      <c r="CS398" s="1312">
        <f t="shared" si="239"/>
        <v>98985.60962939274</v>
      </c>
      <c r="CT398" s="1312">
        <f t="shared" si="239"/>
        <v>23027.950771563177</v>
      </c>
      <c r="CU398" s="1312">
        <f t="shared" si="239"/>
        <v>5226614.1255978728</v>
      </c>
    </row>
    <row r="399" spans="3:99" x14ac:dyDescent="0.35">
      <c r="C399" s="1315">
        <f t="shared" si="240"/>
        <v>306</v>
      </c>
      <c r="D399" s="1312">
        <f>IF(AND(C399&gt;$F$59,'Instrumentos Financeiros'!C399&lt;'Instrumentos Financeiros'!$F$59+'Instrumentos Financeiros'!$F$11+1),PMT(((1+'Instrumentos Financeiros'!$G$43)^(1/12)-1),$F$11,-$I$59),0)</f>
        <v>0</v>
      </c>
      <c r="E399" s="1312">
        <f t="shared" si="237"/>
        <v>-1.1103653478400041E-11</v>
      </c>
      <c r="F399" s="1312">
        <f>G398*((1+'Instrumentos Financeiros'!$G$43)^(1/12)-1)</f>
        <v>1.1103653478400041E-11</v>
      </c>
      <c r="G399" s="1312">
        <f t="shared" si="271"/>
        <v>2.7313868423089477E-9</v>
      </c>
      <c r="H399" s="1312">
        <f>IF(AND(C399&gt;$F$60,'Instrumentos Financeiros'!C399&lt;'Instrumentos Financeiros'!$F$60+'Instrumentos Financeiros'!$F$11+1),PMT(((1+'Instrumentos Financeiros'!$G$43)^(1/12)-1),$F$11,-$I$60),0)</f>
        <v>0</v>
      </c>
      <c r="I399" s="1312">
        <f t="shared" si="223"/>
        <v>0</v>
      </c>
      <c r="J399" s="1312">
        <f>K398*((1+'Instrumentos Financeiros'!$G$43)^(1/12)-1)</f>
        <v>0</v>
      </c>
      <c r="K399" s="1312">
        <f t="shared" si="241"/>
        <v>0</v>
      </c>
      <c r="L399" s="1312">
        <f>IF(AND(C399&gt;$F$61,'Instrumentos Financeiros'!C399&lt;'Instrumentos Financeiros'!$F$61+'Instrumentos Financeiros'!$F$11+1),PMT(((1+'Instrumentos Financeiros'!$G$43)^(1/12)-1),$F$11,-$I$61),0)</f>
        <v>0</v>
      </c>
      <c r="M399" s="1312">
        <f t="shared" si="224"/>
        <v>0</v>
      </c>
      <c r="N399" s="1312">
        <f>O398*((1+'Instrumentos Financeiros'!$G$43)^(1/12)-1)</f>
        <v>0</v>
      </c>
      <c r="O399" s="1312">
        <f t="shared" si="242"/>
        <v>0</v>
      </c>
      <c r="P399" s="1312">
        <f>IF(AND(C399&gt;$F$62,'Instrumentos Financeiros'!C399&lt;'Instrumentos Financeiros'!$F$62+'Instrumentos Financeiros'!$F$11+1),PMT(((1+'Instrumentos Financeiros'!$H$43)^(1/12)-1),$F$11,-$I$62),0)</f>
        <v>0</v>
      </c>
      <c r="Q399" s="1312">
        <f t="shared" si="225"/>
        <v>0</v>
      </c>
      <c r="R399" s="1312">
        <f>S398*((1+'Instrumentos Financeiros'!$H$43)^(1/12)-1)</f>
        <v>0</v>
      </c>
      <c r="S399" s="1312">
        <f t="shared" si="243"/>
        <v>0</v>
      </c>
      <c r="T399" s="1312">
        <f>IF(AND(C399&gt;$F$63,'Instrumentos Financeiros'!C399&lt;'Instrumentos Financeiros'!$F$63+'Instrumentos Financeiros'!$F$11+1),PMT(((1+'Instrumentos Financeiros'!$H$43)^(1/12)-1),$F$11,-$I$63),0)</f>
        <v>0</v>
      </c>
      <c r="U399" s="1312">
        <f t="shared" si="226"/>
        <v>0</v>
      </c>
      <c r="V399" s="1312">
        <f>W398*((1+'Instrumentos Financeiros'!$H$43)^(1/12)-1)</f>
        <v>0</v>
      </c>
      <c r="W399" s="1312">
        <f t="shared" si="244"/>
        <v>0</v>
      </c>
      <c r="X399" s="1312">
        <f>IF(AND(C399&gt;$F$64,'Instrumentos Financeiros'!C399&lt;'Instrumentos Financeiros'!$F$64+'Instrumentos Financeiros'!$F$11+1),PMT(((1+'Instrumentos Financeiros'!$H$43)^(1/12)-1),$F$11,-$I$64),0)</f>
        <v>0</v>
      </c>
      <c r="Y399" s="1312">
        <f t="shared" si="227"/>
        <v>0</v>
      </c>
      <c r="Z399" s="1312">
        <f>AA398*((1+'Instrumentos Financeiros'!$H$43)^(1/12)-1)</f>
        <v>0</v>
      </c>
      <c r="AA399" s="1312">
        <f t="shared" si="245"/>
        <v>0</v>
      </c>
      <c r="AB399" s="1312">
        <f>IF(AND(C399&gt;$F$65,'Instrumentos Financeiros'!C399&lt;'Instrumentos Financeiros'!$F$65+'Instrumentos Financeiros'!$F$11+1),PMT(((1+'Instrumentos Financeiros'!$H$43)^(1/12)-1),$F$11,-$I$65),0)</f>
        <v>0</v>
      </c>
      <c r="AC399" s="1312">
        <f t="shared" si="228"/>
        <v>2.7260964924317048E-11</v>
      </c>
      <c r="AD399" s="1312">
        <f>AE398*((1+'Instrumentos Financeiros'!$H$43)^(1/12)-1)</f>
        <v>-2.7260964924317048E-11</v>
      </c>
      <c r="AE399" s="1312">
        <f t="shared" si="246"/>
        <v>-6.3318161996985797E-9</v>
      </c>
      <c r="AF399" s="1312">
        <f>IF(AND(C399&gt;$F$66,'Instrumentos Financeiros'!C399&lt;'Instrumentos Financeiros'!$F$66+'Instrumentos Financeiros'!$F$11+1),PMT(((1+'Instrumentos Financeiros'!$I$43)^(1/12)-1),$F$11,-$I$66),0)</f>
        <v>0</v>
      </c>
      <c r="AG399" s="1312">
        <f t="shared" si="229"/>
        <v>2.6910371107580889E-11</v>
      </c>
      <c r="AH399" s="1312">
        <f>AI398*((1+'Instrumentos Financeiros'!$I$43)^(1/12)-1)</f>
        <v>-2.6910371107580889E-11</v>
      </c>
      <c r="AI399" s="1312">
        <f t="shared" si="247"/>
        <v>-6.2503849072081213E-9</v>
      </c>
      <c r="AJ399" s="1312">
        <f>IF(AND(C399&gt;$F$67,'Instrumentos Financeiros'!C399&lt;'Instrumentos Financeiros'!$F$67+'Instrumentos Financeiros'!$F$11+1),PMT(((1+'Instrumentos Financeiros'!$I$43)^(1/12)-1),$F$11,-$I$67),0)</f>
        <v>0</v>
      </c>
      <c r="AK399" s="1312">
        <f t="shared" si="230"/>
        <v>2.6564286156348014E-11</v>
      </c>
      <c r="AL399" s="1312">
        <f>AM398*((1+'Instrumentos Financeiros'!$I$43)^(1/12)-1)</f>
        <v>-2.6564286156348014E-11</v>
      </c>
      <c r="AM399" s="1312">
        <f t="shared" si="248"/>
        <v>-6.1700008743328398E-9</v>
      </c>
      <c r="AN399" s="1312">
        <f>IF(AND(C399&gt;$F$68,'Instrumentos Financeiros'!C399&lt;'Instrumentos Financeiros'!$F$68+'Instrumentos Financeiros'!$F$11+1),PMT(((1+'Instrumentos Financeiros'!$I$43)^(1/12)-1),$F$11,-$I$68),0)</f>
        <v>0</v>
      </c>
      <c r="AO399" s="1312">
        <f t="shared" si="231"/>
        <v>2.6222652083662712E-11</v>
      </c>
      <c r="AP399" s="1312">
        <f>AQ398*((1+'Instrumentos Financeiros'!$I$43)^(1/12)-1)</f>
        <v>-2.6222652083662712E-11</v>
      </c>
      <c r="AQ399" s="1312">
        <f t="shared" si="249"/>
        <v>-6.0906506326299773E-9</v>
      </c>
      <c r="AR399" s="1312">
        <f>IF(AND(C399&gt;$F$69,'Instrumentos Financeiros'!C399&lt;'Instrumentos Financeiros'!$F$69+'Instrumentos Financeiros'!$F$11+1),PMT(((1+'Instrumentos Financeiros'!$I$43)^(1/12)-1),$F$11,-$I$69),0)</f>
        <v>0</v>
      </c>
      <c r="AS399" s="1312">
        <f t="shared" si="232"/>
        <v>0</v>
      </c>
      <c r="AT399" s="1312">
        <f>AU398*((1+'Instrumentos Financeiros'!$I$43)^(1/12)-1)</f>
        <v>0</v>
      </c>
      <c r="AU399" s="1312">
        <f t="shared" si="250"/>
        <v>0</v>
      </c>
      <c r="AV399" s="1312">
        <f>IF(AND(C399&gt;$F$70,'Instrumentos Financeiros'!C399&lt;'Instrumentos Financeiros'!$F$70+'Instrumentos Financeiros'!$F$11+1),PMT(((1+'Instrumentos Financeiros'!$J$43)^(1/12)-1),$F$11,-$I$70),0)</f>
        <v>0</v>
      </c>
      <c r="AW399" s="1312">
        <f t="shared" si="233"/>
        <v>0</v>
      </c>
      <c r="AX399" s="1312">
        <f>AY398*((1+'Instrumentos Financeiros'!$J$43)^(1/12)-1)</f>
        <v>0</v>
      </c>
      <c r="AY399" s="1312">
        <f t="shared" si="251"/>
        <v>0</v>
      </c>
      <c r="AZ399" s="1312">
        <f>IF(AND(C399&gt;$F$71,'Instrumentos Financeiros'!C399&lt;'Instrumentos Financeiros'!$F$71+'Instrumentos Financeiros'!$F$11+1),PMT(((1+'Instrumentos Financeiros'!$J$43)^(1/12)-1),$F$11,-$I$71),0)</f>
        <v>0</v>
      </c>
      <c r="BA399" s="1312">
        <f t="shared" si="234"/>
        <v>0</v>
      </c>
      <c r="BB399" s="1312">
        <f>BC398*((1+'Instrumentos Financeiros'!$J$43)^(1/12)-1)</f>
        <v>0</v>
      </c>
      <c r="BC399" s="1312">
        <f t="shared" si="252"/>
        <v>0</v>
      </c>
      <c r="BD399" s="1312">
        <f>IF(AND(C399&gt;$F$72,'Instrumentos Financeiros'!C399&lt;'Instrumentos Financeiros'!$F$72+'Instrumentos Financeiros'!$F$11+1),PMT(((1+'Instrumentos Financeiros'!$J$43)^(1/12)-1),$F$11,-'Instrumentos Financeiros'!$G$7*$G$72),0)</f>
        <v>0</v>
      </c>
      <c r="BE399" s="1312">
        <f t="shared" si="235"/>
        <v>0</v>
      </c>
      <c r="BF399" s="1312">
        <f>BG398*((1+'Instrumentos Financeiros'!$J$43)^(1/12)-1)</f>
        <v>0</v>
      </c>
      <c r="BG399" s="1312">
        <f t="shared" si="253"/>
        <v>0</v>
      </c>
      <c r="BH399" s="1312">
        <f>IF(AND(C399&gt;$F$73,'Instrumentos Financeiros'!C399&lt;'Instrumentos Financeiros'!$F$73+'Instrumentos Financeiros'!$F$11+1),PMT(((1+'Instrumentos Financeiros'!$J$43)^(1/12)-1),$F$11,-$I$73),0)</f>
        <v>0</v>
      </c>
      <c r="BI399" s="1312">
        <f t="shared" si="236"/>
        <v>0</v>
      </c>
      <c r="BJ399" s="1312">
        <f>BK398*((1+'Instrumentos Financeiros'!$J$43)^(1/12)-1)</f>
        <v>0</v>
      </c>
      <c r="BK399" s="1312">
        <f t="shared" si="254"/>
        <v>0</v>
      </c>
      <c r="BL399" s="1312">
        <f>IF(AND(C399&gt;$F$77,'Instrumentos Financeiros'!C399&lt;'Instrumentos Financeiros'!$F$77+'Instrumentos Financeiros'!$F$12+1),PMT(((1+'Instrumentos Financeiros'!$K$43)^(1/12)-1),$F$12,-$I$77),0)</f>
        <v>0</v>
      </c>
      <c r="BM399" s="1312">
        <f t="shared" si="255"/>
        <v>7.4095208101465207E-14</v>
      </c>
      <c r="BN399" s="1312">
        <f>BO398*((1+'Instrumentos Financeiros'!$K$43)^(1/12)-1)</f>
        <v>-7.4095208101465207E-14</v>
      </c>
      <c r="BO399" s="1312">
        <f t="shared" si="256"/>
        <v>-1.720985446697824E-11</v>
      </c>
      <c r="BP399" s="1312">
        <f>IF(AND(C399&gt;$F$78,'Instrumentos Financeiros'!C399&lt;'Instrumentos Financeiros'!$F$78+'Instrumentos Financeiros'!$F$12+1),PMT(((1+'Instrumentos Financeiros'!$L$43)^(1/12)-1),$F$12,-$I$78),0)</f>
        <v>0</v>
      </c>
      <c r="BQ399" s="1312">
        <f t="shared" si="257"/>
        <v>7.3142295323716066E-14</v>
      </c>
      <c r="BR399" s="1312">
        <f>BS398*((1+'Instrumentos Financeiros'!$L$43)^(1/12)-1)</f>
        <v>-7.3142295323716066E-14</v>
      </c>
      <c r="BS399" s="1312">
        <f t="shared" si="258"/>
        <v>-1.6988524496458021E-11</v>
      </c>
      <c r="BT399" s="1312">
        <f>IF(AND(C399&gt;$F$79,'Instrumentos Financeiros'!C399&lt;'Instrumentos Financeiros'!$F$79+'Instrumentos Financeiros'!$F$12+1),PMT(((1+'Instrumentos Financeiros'!$L$43)^(1/12)-1),$F$12,-$I$79),0)</f>
        <v>0</v>
      </c>
      <c r="BU399" s="1312">
        <f t="shared" si="259"/>
        <v>7.2201637626764529E-14</v>
      </c>
      <c r="BV399" s="1312">
        <f>BW398*((1+'Instrumentos Financeiros'!$L$43)^(1/12)-1)</f>
        <v>-7.2201637626764529E-14</v>
      </c>
      <c r="BW399" s="1312">
        <f t="shared" si="260"/>
        <v>-1.6770040973939121E-11</v>
      </c>
      <c r="BX399" s="1312">
        <f>IF(AND(C399&gt;$F$80,'Instrumentos Financeiros'!C399&lt;'Instrumentos Financeiros'!$F$80+'Instrumentos Financeiros'!$F$12+1),PMT(((1+'Instrumentos Financeiros'!$L$43)^(1/12)-1),$F$12,-$I$80),0)</f>
        <v>0</v>
      </c>
      <c r="BY399" s="1312">
        <f t="shared" si="261"/>
        <v>7.1273077402266066E-14</v>
      </c>
      <c r="BZ399" s="1312">
        <f>CA398*((1+'Instrumentos Financeiros'!$L$43)^(1/12)-1)</f>
        <v>-7.1273077402266066E-14</v>
      </c>
      <c r="CA399" s="1312">
        <f t="shared" si="262"/>
        <v>-1.6554367292240843E-11</v>
      </c>
      <c r="CB399" s="1312">
        <f>IF(AND(C399&gt;$F$83,'Instrumentos Financeiros'!C399&lt;'Instrumentos Financeiros'!$F$83+'Instrumentos Financeiros'!$F$13+1),PMT(((1+'Instrumentos Financeiros'!$P$43)^(1/12)-1),$F$13,-$I$83),0)</f>
        <v>30503.390100238979</v>
      </c>
      <c r="CC399" s="1312">
        <f t="shared" si="263"/>
        <v>25338.024086927911</v>
      </c>
      <c r="CD399" s="1312">
        <f>CE398*((1+'Instrumentos Financeiros'!$P$43)^(1/12)-1)</f>
        <v>5165.3660133110679</v>
      </c>
      <c r="CE399" s="1312">
        <f t="shared" si="264"/>
        <v>1169239.4763483834</v>
      </c>
      <c r="CF399" s="1312">
        <f>IF(AND(C399&gt;$F$84,'Instrumentos Financeiros'!C399&lt;'Instrumentos Financeiros'!$F$84+'Instrumentos Financeiros'!$F$13+1),PMT(((1+'Instrumentos Financeiros'!$Q$43)^(1/12)-1),$F$13,-$I$84),0)</f>
        <v>30503.390100238979</v>
      </c>
      <c r="CG399" s="1312">
        <f t="shared" si="265"/>
        <v>25012.160545492341</v>
      </c>
      <c r="CH399" s="1312">
        <f>CI398*((1+'Instrumentos Financeiros'!$Q$43)^(1/12)-1)</f>
        <v>5491.2295547466392</v>
      </c>
      <c r="CI399" s="1312">
        <f t="shared" si="266"/>
        <v>1244926.7477373872</v>
      </c>
      <c r="CJ399" s="1312">
        <f>IF(AND(C399&gt;$F$85,'Instrumentos Financeiros'!C399&lt;'Instrumentos Financeiros'!$F$85+'Instrumentos Financeiros'!$F$13+1),PMT(((1+'Instrumentos Financeiros'!$Q$43)^(1/12)-1),$F$13,-$I$85),0)</f>
        <v>30503.390100238979</v>
      </c>
      <c r="CK399" s="1312">
        <f t="shared" si="267"/>
        <v>24690.487822065017</v>
      </c>
      <c r="CL399" s="1312">
        <f>CM398*((1+'Instrumentos Financeiros'!$Q$43)^(1/12)-1)</f>
        <v>5812.9022781739613</v>
      </c>
      <c r="CM399" s="1312">
        <f t="shared" si="268"/>
        <v>1319640.6313747729</v>
      </c>
      <c r="CN399" s="1312">
        <f>IF(AND(C399&gt;$F$86,'Instrumentos Financeiros'!C399&lt;'Instrumentos Financeiros'!$F$86+'Instrumentos Financeiros'!$F$13+1),PMT(((1+'Instrumentos Financeiros'!$Q$43)^(1/12)-1),$F$13,-$I$86),0)</f>
        <v>30503.390100238979</v>
      </c>
      <c r="CO399" s="1312">
        <f t="shared" si="269"/>
        <v>24372.95201998877</v>
      </c>
      <c r="CP399" s="1312">
        <f>CQ398*((1+'Instrumentos Financeiros'!$Q$43)^(1/12)-1)</f>
        <v>6130.4380802502083</v>
      </c>
      <c r="CQ399" s="1312">
        <f t="shared" si="270"/>
        <v>1393393.6456628772</v>
      </c>
      <c r="CR399" s="1312">
        <f t="shared" si="239"/>
        <v>122013.56040095592</v>
      </c>
      <c r="CS399" s="1312">
        <f t="shared" si="239"/>
        <v>99413.624474474142</v>
      </c>
      <c r="CT399" s="1312">
        <f t="shared" si="239"/>
        <v>22599.935926481783</v>
      </c>
      <c r="CU399" s="1312">
        <f t="shared" si="239"/>
        <v>5127200.5011233985</v>
      </c>
    </row>
    <row r="400" spans="3:99" x14ac:dyDescent="0.35">
      <c r="C400" s="1315">
        <f t="shared" si="240"/>
        <v>307</v>
      </c>
      <c r="D400" s="1312">
        <f>IF(AND(C400&gt;$F$59,'Instrumentos Financeiros'!C400&lt;'Instrumentos Financeiros'!$F$59+'Instrumentos Financeiros'!$F$11+1),PMT(((1+'Instrumentos Financeiros'!$G$43)^(1/12)-1),$F$11,-$I$59),0)</f>
        <v>0</v>
      </c>
      <c r="E400" s="1312">
        <f t="shared" si="237"/>
        <v>-1.1148976377528565E-11</v>
      </c>
      <c r="F400" s="1312">
        <f>G399*((1+'Instrumentos Financeiros'!$G$43)^(1/12)-1)</f>
        <v>1.1148976377528565E-11</v>
      </c>
      <c r="G400" s="1312">
        <f t="shared" si="271"/>
        <v>2.7425358186864764E-9</v>
      </c>
      <c r="H400" s="1312">
        <f>IF(AND(C400&gt;$F$60,'Instrumentos Financeiros'!C400&lt;'Instrumentos Financeiros'!$F$60+'Instrumentos Financeiros'!$F$11+1),PMT(((1+'Instrumentos Financeiros'!$G$43)^(1/12)-1),$F$11,-$I$60),0)</f>
        <v>0</v>
      </c>
      <c r="I400" s="1312">
        <f t="shared" si="223"/>
        <v>0</v>
      </c>
      <c r="J400" s="1312">
        <f>K399*((1+'Instrumentos Financeiros'!$G$43)^(1/12)-1)</f>
        <v>0</v>
      </c>
      <c r="K400" s="1312">
        <f t="shared" si="241"/>
        <v>0</v>
      </c>
      <c r="L400" s="1312">
        <f>IF(AND(C400&gt;$F$61,'Instrumentos Financeiros'!C400&lt;'Instrumentos Financeiros'!$F$61+'Instrumentos Financeiros'!$F$11+1),PMT(((1+'Instrumentos Financeiros'!$G$43)^(1/12)-1),$F$11,-$I$61),0)</f>
        <v>0</v>
      </c>
      <c r="M400" s="1312">
        <f t="shared" si="224"/>
        <v>0</v>
      </c>
      <c r="N400" s="1312">
        <f>O399*((1+'Instrumentos Financeiros'!$G$43)^(1/12)-1)</f>
        <v>0</v>
      </c>
      <c r="O400" s="1312">
        <f t="shared" si="242"/>
        <v>0</v>
      </c>
      <c r="P400" s="1312">
        <f>IF(AND(C400&gt;$F$62,'Instrumentos Financeiros'!C400&lt;'Instrumentos Financeiros'!$F$62+'Instrumentos Financeiros'!$F$11+1),PMT(((1+'Instrumentos Financeiros'!$H$43)^(1/12)-1),$F$11,-$I$62),0)</f>
        <v>0</v>
      </c>
      <c r="Q400" s="1312">
        <f t="shared" si="225"/>
        <v>0</v>
      </c>
      <c r="R400" s="1312">
        <f>S399*((1+'Instrumentos Financeiros'!$H$43)^(1/12)-1)</f>
        <v>0</v>
      </c>
      <c r="S400" s="1312">
        <f t="shared" si="243"/>
        <v>0</v>
      </c>
      <c r="T400" s="1312">
        <f>IF(AND(C400&gt;$F$63,'Instrumentos Financeiros'!C400&lt;'Instrumentos Financeiros'!$F$63+'Instrumentos Financeiros'!$F$11+1),PMT(((1+'Instrumentos Financeiros'!$H$43)^(1/12)-1),$F$11,-$I$63),0)</f>
        <v>0</v>
      </c>
      <c r="U400" s="1312">
        <f t="shared" si="226"/>
        <v>0</v>
      </c>
      <c r="V400" s="1312">
        <f>W399*((1+'Instrumentos Financeiros'!$H$43)^(1/12)-1)</f>
        <v>0</v>
      </c>
      <c r="W400" s="1312">
        <f t="shared" si="244"/>
        <v>0</v>
      </c>
      <c r="X400" s="1312">
        <f>IF(AND(C400&gt;$F$64,'Instrumentos Financeiros'!C400&lt;'Instrumentos Financeiros'!$F$64+'Instrumentos Financeiros'!$F$11+1),PMT(((1+'Instrumentos Financeiros'!$H$43)^(1/12)-1),$F$11,-$I$64),0)</f>
        <v>0</v>
      </c>
      <c r="Y400" s="1312">
        <f t="shared" si="227"/>
        <v>0</v>
      </c>
      <c r="Z400" s="1312">
        <f>AA399*((1+'Instrumentos Financeiros'!$H$43)^(1/12)-1)</f>
        <v>0</v>
      </c>
      <c r="AA400" s="1312">
        <f t="shared" si="245"/>
        <v>0</v>
      </c>
      <c r="AB400" s="1312">
        <f>IF(AND(C400&gt;$F$65,'Instrumentos Financeiros'!C400&lt;'Instrumentos Financeiros'!$F$65+'Instrumentos Financeiros'!$F$11+1),PMT(((1+'Instrumentos Financeiros'!$H$43)^(1/12)-1),$F$11,-$I$65),0)</f>
        <v>0</v>
      </c>
      <c r="AC400" s="1312">
        <f t="shared" si="228"/>
        <v>2.7378841631068032E-11</v>
      </c>
      <c r="AD400" s="1312">
        <f>AE399*((1+'Instrumentos Financeiros'!$H$43)^(1/12)-1)</f>
        <v>-2.7378841631068032E-11</v>
      </c>
      <c r="AE400" s="1312">
        <f t="shared" si="246"/>
        <v>-6.3591950413296477E-9</v>
      </c>
      <c r="AF400" s="1312">
        <f>IF(AND(C400&gt;$F$66,'Instrumentos Financeiros'!C400&lt;'Instrumentos Financeiros'!$F$66+'Instrumentos Financeiros'!$F$11+1),PMT(((1+'Instrumentos Financeiros'!$I$43)^(1/12)-1),$F$11,-$I$66),0)</f>
        <v>0</v>
      </c>
      <c r="AG400" s="1312">
        <f t="shared" si="229"/>
        <v>2.7026731842881889E-11</v>
      </c>
      <c r="AH400" s="1312">
        <f>AI399*((1+'Instrumentos Financeiros'!$I$43)^(1/12)-1)</f>
        <v>-2.7026731842881889E-11</v>
      </c>
      <c r="AI400" s="1312">
        <f t="shared" si="247"/>
        <v>-6.2774116390510034E-9</v>
      </c>
      <c r="AJ400" s="1312">
        <f>IF(AND(C400&gt;$F$67,'Instrumentos Financeiros'!C400&lt;'Instrumentos Financeiros'!$F$67+'Instrumentos Financeiros'!$F$11+1),PMT(((1+'Instrumentos Financeiros'!$I$43)^(1/12)-1),$F$11,-$I$67),0)</f>
        <v>0</v>
      </c>
      <c r="AK400" s="1312">
        <f t="shared" si="230"/>
        <v>2.6679150416582172E-11</v>
      </c>
      <c r="AL400" s="1312">
        <f>AM399*((1+'Instrumentos Financeiros'!$I$43)^(1/12)-1)</f>
        <v>-2.6679150416582172E-11</v>
      </c>
      <c r="AM400" s="1312">
        <f t="shared" si="248"/>
        <v>-6.1966800247494223E-9</v>
      </c>
      <c r="AN400" s="1312">
        <f>IF(AND(C400&gt;$F$68,'Instrumentos Financeiros'!C400&lt;'Instrumentos Financeiros'!$F$68+'Instrumentos Financeiros'!$F$11+1),PMT(((1+'Instrumentos Financeiros'!$I$43)^(1/12)-1),$F$11,-$I$68),0)</f>
        <v>0</v>
      </c>
      <c r="AO400" s="1312">
        <f t="shared" si="231"/>
        <v>2.6336039114476928E-11</v>
      </c>
      <c r="AP400" s="1312">
        <f>AQ399*((1+'Instrumentos Financeiros'!$I$43)^(1/12)-1)</f>
        <v>-2.6336039114476928E-11</v>
      </c>
      <c r="AQ400" s="1312">
        <f t="shared" si="249"/>
        <v>-6.1169866717444543E-9</v>
      </c>
      <c r="AR400" s="1312">
        <f>IF(AND(C400&gt;$F$69,'Instrumentos Financeiros'!C400&lt;'Instrumentos Financeiros'!$F$69+'Instrumentos Financeiros'!$F$11+1),PMT(((1+'Instrumentos Financeiros'!$I$43)^(1/12)-1),$F$11,-$I$69),0)</f>
        <v>0</v>
      </c>
      <c r="AS400" s="1312">
        <f t="shared" si="232"/>
        <v>0</v>
      </c>
      <c r="AT400" s="1312">
        <f>AU399*((1+'Instrumentos Financeiros'!$I$43)^(1/12)-1)</f>
        <v>0</v>
      </c>
      <c r="AU400" s="1312">
        <f t="shared" si="250"/>
        <v>0</v>
      </c>
      <c r="AV400" s="1312">
        <f>IF(AND(C400&gt;$F$70,'Instrumentos Financeiros'!C400&lt;'Instrumentos Financeiros'!$F$70+'Instrumentos Financeiros'!$F$11+1),PMT(((1+'Instrumentos Financeiros'!$J$43)^(1/12)-1),$F$11,-$I$70),0)</f>
        <v>0</v>
      </c>
      <c r="AW400" s="1312">
        <f t="shared" si="233"/>
        <v>0</v>
      </c>
      <c r="AX400" s="1312">
        <f>AY399*((1+'Instrumentos Financeiros'!$J$43)^(1/12)-1)</f>
        <v>0</v>
      </c>
      <c r="AY400" s="1312">
        <f t="shared" si="251"/>
        <v>0</v>
      </c>
      <c r="AZ400" s="1312">
        <f>IF(AND(C400&gt;$F$71,'Instrumentos Financeiros'!C400&lt;'Instrumentos Financeiros'!$F$71+'Instrumentos Financeiros'!$F$11+1),PMT(((1+'Instrumentos Financeiros'!$J$43)^(1/12)-1),$F$11,-$I$71),0)</f>
        <v>0</v>
      </c>
      <c r="BA400" s="1312">
        <f t="shared" si="234"/>
        <v>0</v>
      </c>
      <c r="BB400" s="1312">
        <f>BC399*((1+'Instrumentos Financeiros'!$J$43)^(1/12)-1)</f>
        <v>0</v>
      </c>
      <c r="BC400" s="1312">
        <f t="shared" si="252"/>
        <v>0</v>
      </c>
      <c r="BD400" s="1312">
        <f>IF(AND(C400&gt;$F$72,'Instrumentos Financeiros'!C400&lt;'Instrumentos Financeiros'!$F$72+'Instrumentos Financeiros'!$F$11+1),PMT(((1+'Instrumentos Financeiros'!$J$43)^(1/12)-1),$F$11,-'Instrumentos Financeiros'!$G$7*$G$72),0)</f>
        <v>0</v>
      </c>
      <c r="BE400" s="1312">
        <f t="shared" si="235"/>
        <v>0</v>
      </c>
      <c r="BF400" s="1312">
        <f>BG399*((1+'Instrumentos Financeiros'!$J$43)^(1/12)-1)</f>
        <v>0</v>
      </c>
      <c r="BG400" s="1312">
        <f t="shared" si="253"/>
        <v>0</v>
      </c>
      <c r="BH400" s="1312">
        <f>IF(AND(C400&gt;$F$73,'Instrumentos Financeiros'!C400&lt;'Instrumentos Financeiros'!$F$73+'Instrumentos Financeiros'!$F$11+1),PMT(((1+'Instrumentos Financeiros'!$J$43)^(1/12)-1),$F$11,-$I$73),0)</f>
        <v>0</v>
      </c>
      <c r="BI400" s="1312">
        <f t="shared" si="236"/>
        <v>0</v>
      </c>
      <c r="BJ400" s="1312">
        <f>BK399*((1+'Instrumentos Financeiros'!$J$43)^(1/12)-1)</f>
        <v>0</v>
      </c>
      <c r="BK400" s="1312">
        <f t="shared" si="254"/>
        <v>0</v>
      </c>
      <c r="BL400" s="1312">
        <f>IF(AND(C400&gt;$F$77,'Instrumentos Financeiros'!C400&lt;'Instrumentos Financeiros'!$F$77+'Instrumentos Financeiros'!$F$12+1),PMT(((1+'Instrumentos Financeiros'!$K$43)^(1/12)-1),$F$12,-$I$77),0)</f>
        <v>0</v>
      </c>
      <c r="BM400" s="1312">
        <f t="shared" si="255"/>
        <v>7.4415596581523695E-14</v>
      </c>
      <c r="BN400" s="1312">
        <f>BO399*((1+'Instrumentos Financeiros'!$K$43)^(1/12)-1)</f>
        <v>-7.4415596581523695E-14</v>
      </c>
      <c r="BO400" s="1312">
        <f t="shared" si="256"/>
        <v>-1.7284270063559764E-11</v>
      </c>
      <c r="BP400" s="1312">
        <f>IF(AND(C400&gt;$F$78,'Instrumentos Financeiros'!C400&lt;'Instrumentos Financeiros'!$F$78+'Instrumentos Financeiros'!$F$12+1),PMT(((1+'Instrumentos Financeiros'!$L$43)^(1/12)-1),$F$12,-$I$78),0)</f>
        <v>0</v>
      </c>
      <c r="BQ400" s="1312">
        <f t="shared" si="257"/>
        <v>7.3458563398632112E-14</v>
      </c>
      <c r="BR400" s="1312">
        <f>BS399*((1+'Instrumentos Financeiros'!$L$43)^(1/12)-1)</f>
        <v>-7.3458563398632112E-14</v>
      </c>
      <c r="BS400" s="1312">
        <f t="shared" si="258"/>
        <v>-1.7061983059856655E-11</v>
      </c>
      <c r="BT400" s="1312">
        <f>IF(AND(C400&gt;$F$79,'Instrumentos Financeiros'!C400&lt;'Instrumentos Financeiros'!$F$79+'Instrumentos Financeiros'!$F$12+1),PMT(((1+'Instrumentos Financeiros'!$L$43)^(1/12)-1),$F$12,-$I$79),0)</f>
        <v>0</v>
      </c>
      <c r="BU400" s="1312">
        <f t="shared" si="259"/>
        <v>7.2513838287639842E-14</v>
      </c>
      <c r="BV400" s="1312">
        <f>BW399*((1+'Instrumentos Financeiros'!$L$43)^(1/12)-1)</f>
        <v>-7.2513838287639842E-14</v>
      </c>
      <c r="BW400" s="1312">
        <f t="shared" si="260"/>
        <v>-1.6842554812226762E-11</v>
      </c>
      <c r="BX400" s="1312">
        <f>IF(AND(C400&gt;$F$80,'Instrumentos Financeiros'!C400&lt;'Instrumentos Financeiros'!$F$80+'Instrumentos Financeiros'!$F$12+1),PMT(((1+'Instrumentos Financeiros'!$L$43)^(1/12)-1),$F$12,-$I$80),0)</f>
        <v>0</v>
      </c>
      <c r="BY400" s="1312">
        <f t="shared" si="261"/>
        <v>7.1581262958702213E-14</v>
      </c>
      <c r="BZ400" s="1312">
        <f>CA399*((1+'Instrumentos Financeiros'!$L$43)^(1/12)-1)</f>
        <v>-7.1581262958702213E-14</v>
      </c>
      <c r="CA400" s="1312">
        <f t="shared" si="262"/>
        <v>-1.6625948555199545E-11</v>
      </c>
      <c r="CB400" s="1312">
        <f>IF(AND(C400&gt;$F$83,'Instrumentos Financeiros'!C400&lt;'Instrumentos Financeiros'!$F$83+'Instrumentos Financeiros'!$F$13+1),PMT(((1+'Instrumentos Financeiros'!$P$43)^(1/12)-1),$F$13,-$I$83),0)</f>
        <v>30503.390100238979</v>
      </c>
      <c r="CC400" s="1312">
        <f t="shared" si="263"/>
        <v>25447.585976730275</v>
      </c>
      <c r="CD400" s="1312">
        <f>CE399*((1+'Instrumentos Financeiros'!$P$43)^(1/12)-1)</f>
        <v>5055.8041235087057</v>
      </c>
      <c r="CE400" s="1312">
        <f t="shared" si="264"/>
        <v>1143791.890371653</v>
      </c>
      <c r="CF400" s="1312">
        <f>IF(AND(C400&gt;$F$84,'Instrumentos Financeiros'!C400&lt;'Instrumentos Financeiros'!$F$84+'Instrumentos Financeiros'!$F$13+1),PMT(((1+'Instrumentos Financeiros'!$Q$43)^(1/12)-1),$F$13,-$I$84),0)</f>
        <v>30503.390100238979</v>
      </c>
      <c r="CG400" s="1312">
        <f t="shared" si="265"/>
        <v>25120.31339782221</v>
      </c>
      <c r="CH400" s="1312">
        <f>CI399*((1+'Instrumentos Financeiros'!$Q$43)^(1/12)-1)</f>
        <v>5383.0767024167681</v>
      </c>
      <c r="CI400" s="1312">
        <f t="shared" si="266"/>
        <v>1219806.434339565</v>
      </c>
      <c r="CJ400" s="1312">
        <f>IF(AND(C400&gt;$F$85,'Instrumentos Financeiros'!C400&lt;'Instrumentos Financeiros'!$F$85+'Instrumentos Financeiros'!$F$13+1),PMT(((1+'Instrumentos Financeiros'!$Q$43)^(1/12)-1),$F$13,-$I$85),0)</f>
        <v>30503.390100238979</v>
      </c>
      <c r="CK400" s="1312">
        <f t="shared" si="267"/>
        <v>24797.249758064725</v>
      </c>
      <c r="CL400" s="1312">
        <f>CM399*((1+'Instrumentos Financeiros'!$Q$43)^(1/12)-1)</f>
        <v>5706.1403421742534</v>
      </c>
      <c r="CM400" s="1312">
        <f t="shared" si="268"/>
        <v>1294843.3816167081</v>
      </c>
      <c r="CN400" s="1312">
        <f>IF(AND(C400&gt;$F$86,'Instrumentos Financeiros'!C400&lt;'Instrumentos Financeiros'!$F$86+'Instrumentos Financeiros'!$F$13+1),PMT(((1+'Instrumentos Financeiros'!$Q$43)^(1/12)-1),$F$13,-$I$86),0)</f>
        <v>30503.390100238979</v>
      </c>
      <c r="CO400" s="1312">
        <f t="shared" si="269"/>
        <v>24478.340927750916</v>
      </c>
      <c r="CP400" s="1312">
        <f>CQ399*((1+'Instrumentos Financeiros'!$Q$43)^(1/12)-1)</f>
        <v>6025.049172488063</v>
      </c>
      <c r="CQ400" s="1312">
        <f t="shared" si="270"/>
        <v>1368915.3047351264</v>
      </c>
      <c r="CR400" s="1312">
        <f t="shared" si="239"/>
        <v>122013.56040095592</v>
      </c>
      <c r="CS400" s="1312">
        <f t="shared" si="239"/>
        <v>99843.490060368233</v>
      </c>
      <c r="CT400" s="1312">
        <f t="shared" si="239"/>
        <v>22170.070340587696</v>
      </c>
      <c r="CU400" s="1312">
        <f t="shared" si="239"/>
        <v>5027357.01106303</v>
      </c>
    </row>
    <row r="401" spans="3:99" x14ac:dyDescent="0.35">
      <c r="C401" s="1315">
        <f t="shared" si="240"/>
        <v>308</v>
      </c>
      <c r="D401" s="1312">
        <f>IF(AND(C401&gt;$F$59,'Instrumentos Financeiros'!C401&lt;'Instrumentos Financeiros'!$F$59+'Instrumentos Financeiros'!$F$11+1),PMT(((1+'Instrumentos Financeiros'!$G$43)^(1/12)-1),$F$11,-$I$59),0)</f>
        <v>0</v>
      </c>
      <c r="E401" s="1312">
        <f t="shared" si="237"/>
        <v>-1.1194484275692714E-11</v>
      </c>
      <c r="F401" s="1312">
        <f>G400*((1+'Instrumentos Financeiros'!$G$43)^(1/12)-1)</f>
        <v>1.1194484275692714E-11</v>
      </c>
      <c r="G401" s="1312">
        <f t="shared" si="271"/>
        <v>2.7537303029621692E-9</v>
      </c>
      <c r="H401" s="1312">
        <f>IF(AND(C401&gt;$F$60,'Instrumentos Financeiros'!C401&lt;'Instrumentos Financeiros'!$F$60+'Instrumentos Financeiros'!$F$11+1),PMT(((1+'Instrumentos Financeiros'!$G$43)^(1/12)-1),$F$11,-$I$60),0)</f>
        <v>0</v>
      </c>
      <c r="I401" s="1312">
        <f t="shared" si="223"/>
        <v>0</v>
      </c>
      <c r="J401" s="1312">
        <f>K400*((1+'Instrumentos Financeiros'!$G$43)^(1/12)-1)</f>
        <v>0</v>
      </c>
      <c r="K401" s="1312">
        <f t="shared" si="241"/>
        <v>0</v>
      </c>
      <c r="L401" s="1312">
        <f>IF(AND(C401&gt;$F$61,'Instrumentos Financeiros'!C401&lt;'Instrumentos Financeiros'!$F$61+'Instrumentos Financeiros'!$F$11+1),PMT(((1+'Instrumentos Financeiros'!$G$43)^(1/12)-1),$F$11,-$I$61),0)</f>
        <v>0</v>
      </c>
      <c r="M401" s="1312">
        <f t="shared" si="224"/>
        <v>0</v>
      </c>
      <c r="N401" s="1312">
        <f>O400*((1+'Instrumentos Financeiros'!$G$43)^(1/12)-1)</f>
        <v>0</v>
      </c>
      <c r="O401" s="1312">
        <f t="shared" si="242"/>
        <v>0</v>
      </c>
      <c r="P401" s="1312">
        <f>IF(AND(C401&gt;$F$62,'Instrumentos Financeiros'!C401&lt;'Instrumentos Financeiros'!$F$62+'Instrumentos Financeiros'!$F$11+1),PMT(((1+'Instrumentos Financeiros'!$H$43)^(1/12)-1),$F$11,-$I$62),0)</f>
        <v>0</v>
      </c>
      <c r="Q401" s="1312">
        <f t="shared" si="225"/>
        <v>0</v>
      </c>
      <c r="R401" s="1312">
        <f>S400*((1+'Instrumentos Financeiros'!$H$43)^(1/12)-1)</f>
        <v>0</v>
      </c>
      <c r="S401" s="1312">
        <f t="shared" si="243"/>
        <v>0</v>
      </c>
      <c r="T401" s="1312">
        <f>IF(AND(C401&gt;$F$63,'Instrumentos Financeiros'!C401&lt;'Instrumentos Financeiros'!$F$63+'Instrumentos Financeiros'!$F$11+1),PMT(((1+'Instrumentos Financeiros'!$H$43)^(1/12)-1),$F$11,-$I$63),0)</f>
        <v>0</v>
      </c>
      <c r="U401" s="1312">
        <f t="shared" si="226"/>
        <v>0</v>
      </c>
      <c r="V401" s="1312">
        <f>W400*((1+'Instrumentos Financeiros'!$H$43)^(1/12)-1)</f>
        <v>0</v>
      </c>
      <c r="W401" s="1312">
        <f t="shared" si="244"/>
        <v>0</v>
      </c>
      <c r="X401" s="1312">
        <f>IF(AND(C401&gt;$F$64,'Instrumentos Financeiros'!C401&lt;'Instrumentos Financeiros'!$F$64+'Instrumentos Financeiros'!$F$11+1),PMT(((1+'Instrumentos Financeiros'!$H$43)^(1/12)-1),$F$11,-$I$64),0)</f>
        <v>0</v>
      </c>
      <c r="Y401" s="1312">
        <f t="shared" si="227"/>
        <v>0</v>
      </c>
      <c r="Z401" s="1312">
        <f>AA400*((1+'Instrumentos Financeiros'!$H$43)^(1/12)-1)</f>
        <v>0</v>
      </c>
      <c r="AA401" s="1312">
        <f t="shared" si="245"/>
        <v>0</v>
      </c>
      <c r="AB401" s="1312">
        <f>IF(AND(C401&gt;$F$65,'Instrumentos Financeiros'!C401&lt;'Instrumentos Financeiros'!$F$65+'Instrumentos Financeiros'!$F$11+1),PMT(((1+'Instrumentos Financeiros'!$H$43)^(1/12)-1),$F$11,-$I$65),0)</f>
        <v>0</v>
      </c>
      <c r="AC401" s="1312">
        <f t="shared" si="228"/>
        <v>2.749722803797207E-11</v>
      </c>
      <c r="AD401" s="1312">
        <f>AE400*((1+'Instrumentos Financeiros'!$H$43)^(1/12)-1)</f>
        <v>-2.749722803797207E-11</v>
      </c>
      <c r="AE401" s="1312">
        <f t="shared" si="246"/>
        <v>-6.38669226936762E-9</v>
      </c>
      <c r="AF401" s="1312">
        <f>IF(AND(C401&gt;$F$66,'Instrumentos Financeiros'!C401&lt;'Instrumentos Financeiros'!$F$66+'Instrumentos Financeiros'!$F$11+1),PMT(((1+'Instrumentos Financeiros'!$I$43)^(1/12)-1),$F$11,-$I$66),0)</f>
        <v>0</v>
      </c>
      <c r="AG401" s="1312">
        <f t="shared" si="229"/>
        <v>2.714359572325903E-11</v>
      </c>
      <c r="AH401" s="1312">
        <f>AI400*((1+'Instrumentos Financeiros'!$I$43)^(1/12)-1)</f>
        <v>-2.714359572325903E-11</v>
      </c>
      <c r="AI401" s="1312">
        <f t="shared" si="247"/>
        <v>-6.3045552347742624E-9</v>
      </c>
      <c r="AJ401" s="1312">
        <f>IF(AND(C401&gt;$F$67,'Instrumentos Financeiros'!C401&lt;'Instrumentos Financeiros'!$F$67+'Instrumentos Financeiros'!$F$11+1),PMT(((1+'Instrumentos Financeiros'!$I$43)^(1/12)-1),$F$11,-$I$67),0)</f>
        <v>0</v>
      </c>
      <c r="AK401" s="1312">
        <f t="shared" si="230"/>
        <v>2.6794511351118116E-11</v>
      </c>
      <c r="AL401" s="1312">
        <f>AM400*((1+'Instrumentos Financeiros'!$I$43)^(1/12)-1)</f>
        <v>-2.6794511351118116E-11</v>
      </c>
      <c r="AM401" s="1312">
        <f t="shared" si="248"/>
        <v>-6.2234745361005405E-9</v>
      </c>
      <c r="AN401" s="1312">
        <f>IF(AND(C401&gt;$F$68,'Instrumentos Financeiros'!C401&lt;'Instrumentos Financeiros'!$F$68+'Instrumentos Financeiros'!$F$11+1),PMT(((1+'Instrumentos Financeiros'!$I$43)^(1/12)-1),$F$11,-$I$68),0)</f>
        <v>0</v>
      </c>
      <c r="AO401" s="1312">
        <f t="shared" si="231"/>
        <v>2.644991643203697E-11</v>
      </c>
      <c r="AP401" s="1312">
        <f>AQ400*((1+'Instrumentos Financeiros'!$I$43)^(1/12)-1)</f>
        <v>-2.644991643203697E-11</v>
      </c>
      <c r="AQ401" s="1312">
        <f t="shared" si="249"/>
        <v>-6.1434365881764914E-9</v>
      </c>
      <c r="AR401" s="1312">
        <f>IF(AND(C401&gt;$F$69,'Instrumentos Financeiros'!C401&lt;'Instrumentos Financeiros'!$F$69+'Instrumentos Financeiros'!$F$11+1),PMT(((1+'Instrumentos Financeiros'!$I$43)^(1/12)-1),$F$11,-$I$69),0)</f>
        <v>0</v>
      </c>
      <c r="AS401" s="1312">
        <f t="shared" si="232"/>
        <v>0</v>
      </c>
      <c r="AT401" s="1312">
        <f>AU400*((1+'Instrumentos Financeiros'!$I$43)^(1/12)-1)</f>
        <v>0</v>
      </c>
      <c r="AU401" s="1312">
        <f t="shared" si="250"/>
        <v>0</v>
      </c>
      <c r="AV401" s="1312">
        <f>IF(AND(C401&gt;$F$70,'Instrumentos Financeiros'!C401&lt;'Instrumentos Financeiros'!$F$70+'Instrumentos Financeiros'!$F$11+1),PMT(((1+'Instrumentos Financeiros'!$J$43)^(1/12)-1),$F$11,-$I$70),0)</f>
        <v>0</v>
      </c>
      <c r="AW401" s="1312">
        <f t="shared" si="233"/>
        <v>0</v>
      </c>
      <c r="AX401" s="1312">
        <f>AY400*((1+'Instrumentos Financeiros'!$J$43)^(1/12)-1)</f>
        <v>0</v>
      </c>
      <c r="AY401" s="1312">
        <f t="shared" si="251"/>
        <v>0</v>
      </c>
      <c r="AZ401" s="1312">
        <f>IF(AND(C401&gt;$F$71,'Instrumentos Financeiros'!C401&lt;'Instrumentos Financeiros'!$F$71+'Instrumentos Financeiros'!$F$11+1),PMT(((1+'Instrumentos Financeiros'!$J$43)^(1/12)-1),$F$11,-$I$71),0)</f>
        <v>0</v>
      </c>
      <c r="BA401" s="1312">
        <f t="shared" si="234"/>
        <v>0</v>
      </c>
      <c r="BB401" s="1312">
        <f>BC400*((1+'Instrumentos Financeiros'!$J$43)^(1/12)-1)</f>
        <v>0</v>
      </c>
      <c r="BC401" s="1312">
        <f t="shared" si="252"/>
        <v>0</v>
      </c>
      <c r="BD401" s="1312">
        <f>IF(AND(C401&gt;$F$72,'Instrumentos Financeiros'!C401&lt;'Instrumentos Financeiros'!$F$72+'Instrumentos Financeiros'!$F$11+1),PMT(((1+'Instrumentos Financeiros'!$J$43)^(1/12)-1),$F$11,-'Instrumentos Financeiros'!$G$7*$G$72),0)</f>
        <v>0</v>
      </c>
      <c r="BE401" s="1312">
        <f t="shared" si="235"/>
        <v>0</v>
      </c>
      <c r="BF401" s="1312">
        <f>BG400*((1+'Instrumentos Financeiros'!$J$43)^(1/12)-1)</f>
        <v>0</v>
      </c>
      <c r="BG401" s="1312">
        <f t="shared" si="253"/>
        <v>0</v>
      </c>
      <c r="BH401" s="1312">
        <f>IF(AND(C401&gt;$F$73,'Instrumentos Financeiros'!C401&lt;'Instrumentos Financeiros'!$F$73+'Instrumentos Financeiros'!$F$11+1),PMT(((1+'Instrumentos Financeiros'!$J$43)^(1/12)-1),$F$11,-$I$73),0)</f>
        <v>0</v>
      </c>
      <c r="BI401" s="1312">
        <f t="shared" si="236"/>
        <v>0</v>
      </c>
      <c r="BJ401" s="1312">
        <f>BK400*((1+'Instrumentos Financeiros'!$J$43)^(1/12)-1)</f>
        <v>0</v>
      </c>
      <c r="BK401" s="1312">
        <f t="shared" si="254"/>
        <v>0</v>
      </c>
      <c r="BL401" s="1312">
        <f>IF(AND(C401&gt;$F$77,'Instrumentos Financeiros'!C401&lt;'Instrumentos Financeiros'!$F$77+'Instrumentos Financeiros'!$F$12+1),PMT(((1+'Instrumentos Financeiros'!$K$43)^(1/12)-1),$F$12,-$I$77),0)</f>
        <v>0</v>
      </c>
      <c r="BM401" s="1312">
        <f t="shared" si="255"/>
        <v>7.4737370424830134E-14</v>
      </c>
      <c r="BN401" s="1312">
        <f>BO400*((1+'Instrumentos Financeiros'!$K$43)^(1/12)-1)</f>
        <v>-7.4737370424830134E-14</v>
      </c>
      <c r="BO401" s="1312">
        <f t="shared" si="256"/>
        <v>-1.7359007433984594E-11</v>
      </c>
      <c r="BP401" s="1312">
        <f>IF(AND(C401&gt;$F$78,'Instrumentos Financeiros'!C401&lt;'Instrumentos Financeiros'!$F$78+'Instrumentos Financeiros'!$F$12+1),PMT(((1+'Instrumentos Financeiros'!$L$43)^(1/12)-1),$F$12,-$I$78),0)</f>
        <v>0</v>
      </c>
      <c r="BQ401" s="1312">
        <f t="shared" si="257"/>
        <v>7.3776199020119776E-14</v>
      </c>
      <c r="BR401" s="1312">
        <f>BS400*((1+'Instrumentos Financeiros'!$L$43)^(1/12)-1)</f>
        <v>-7.3776199020119776E-14</v>
      </c>
      <c r="BS401" s="1312">
        <f t="shared" si="258"/>
        <v>-1.7135759258876774E-11</v>
      </c>
      <c r="BT401" s="1312">
        <f>IF(AND(C401&gt;$F$79,'Instrumentos Financeiros'!C401&lt;'Instrumentos Financeiros'!$F$79+'Instrumentos Financeiros'!$F$12+1),PMT(((1+'Instrumentos Financeiros'!$L$43)^(1/12)-1),$F$12,-$I$79),0)</f>
        <v>0</v>
      </c>
      <c r="BU401" s="1312">
        <f t="shared" si="259"/>
        <v>7.2827388907544556E-14</v>
      </c>
      <c r="BV401" s="1312">
        <f>BW400*((1+'Instrumentos Financeiros'!$L$43)^(1/12)-1)</f>
        <v>-7.2827388907544556E-14</v>
      </c>
      <c r="BW401" s="1312">
        <f t="shared" si="260"/>
        <v>-1.6915382201134305E-11</v>
      </c>
      <c r="BX401" s="1312">
        <f>IF(AND(C401&gt;$F$80,'Instrumentos Financeiros'!C401&lt;'Instrumentos Financeiros'!$F$80+'Instrumentos Financeiros'!$F$12+1),PMT(((1+'Instrumentos Financeiros'!$L$43)^(1/12)-1),$F$12,-$I$80),0)</f>
        <v>0</v>
      </c>
      <c r="BY401" s="1312">
        <f t="shared" si="261"/>
        <v>7.1890781112812778E-14</v>
      </c>
      <c r="BZ401" s="1312">
        <f>CA400*((1+'Instrumentos Financeiros'!$L$43)^(1/12)-1)</f>
        <v>-7.1890781112812778E-14</v>
      </c>
      <c r="CA401" s="1312">
        <f t="shared" si="262"/>
        <v>-1.6697839336312358E-11</v>
      </c>
      <c r="CB401" s="1312">
        <f>IF(AND(C401&gt;$F$83,'Instrumentos Financeiros'!C401&lt;'Instrumentos Financeiros'!$F$83+'Instrumentos Financeiros'!$F$13+1),PMT(((1+'Instrumentos Financeiros'!$P$43)^(1/12)-1),$F$13,-$I$83),0)</f>
        <v>30503.390100238979</v>
      </c>
      <c r="CC401" s="1312">
        <f t="shared" si="263"/>
        <v>25557.62161332741</v>
      </c>
      <c r="CD401" s="1312">
        <f>CE400*((1+'Instrumentos Financeiros'!$P$43)^(1/12)-1)</f>
        <v>4945.7684869115701</v>
      </c>
      <c r="CE401" s="1312">
        <f t="shared" si="264"/>
        <v>1118234.2687583256</v>
      </c>
      <c r="CF401" s="1312">
        <f>IF(AND(C401&gt;$F$84,'Instrumentos Financeiros'!C401&lt;'Instrumentos Financeiros'!$F$84+'Instrumentos Financeiros'!$F$13+1),PMT(((1+'Instrumentos Financeiros'!$Q$43)^(1/12)-1),$F$13,-$I$84),0)</f>
        <v>30503.390100238979</v>
      </c>
      <c r="CG401" s="1312">
        <f t="shared" si="265"/>
        <v>25228.933904253605</v>
      </c>
      <c r="CH401" s="1312">
        <f>CI400*((1+'Instrumentos Financeiros'!$Q$43)^(1/12)-1)</f>
        <v>5274.4561959853736</v>
      </c>
      <c r="CI401" s="1312">
        <f t="shared" si="266"/>
        <v>1194577.5004353113</v>
      </c>
      <c r="CJ401" s="1312">
        <f>IF(AND(C401&gt;$F$85,'Instrumentos Financeiros'!C401&lt;'Instrumentos Financeiros'!$F$85+'Instrumentos Financeiros'!$F$13+1),PMT(((1+'Instrumentos Financeiros'!$Q$43)^(1/12)-1),$F$13,-$I$85),0)</f>
        <v>30503.390100238979</v>
      </c>
      <c r="CK401" s="1312">
        <f t="shared" si="267"/>
        <v>24904.473333828726</v>
      </c>
      <c r="CL401" s="1312">
        <f>CM400*((1+'Instrumentos Financeiros'!$Q$43)^(1/12)-1)</f>
        <v>5598.9167664102542</v>
      </c>
      <c r="CM401" s="1312">
        <f t="shared" si="268"/>
        <v>1269938.9082828795</v>
      </c>
      <c r="CN401" s="1312">
        <f>IF(AND(C401&gt;$F$86,'Instrumentos Financeiros'!C401&lt;'Instrumentos Financeiros'!$F$86+'Instrumentos Financeiros'!$F$13+1),PMT(((1+'Instrumentos Financeiros'!$Q$43)^(1/12)-1),$F$13,-$I$86),0)</f>
        <v>30503.390100238979</v>
      </c>
      <c r="CO401" s="1312">
        <f t="shared" si="269"/>
        <v>24584.185538288424</v>
      </c>
      <c r="CP401" s="1312">
        <f>CQ400*((1+'Instrumentos Financeiros'!$Q$43)^(1/12)-1)</f>
        <v>5919.2045619505552</v>
      </c>
      <c r="CQ401" s="1312">
        <f t="shared" si="270"/>
        <v>1344331.119196838</v>
      </c>
      <c r="CR401" s="1312">
        <f t="shared" si="239"/>
        <v>122013.56040095592</v>
      </c>
      <c r="CS401" s="1312">
        <f t="shared" si="239"/>
        <v>100275.21438969827</v>
      </c>
      <c r="CT401" s="1312">
        <f t="shared" si="239"/>
        <v>21738.346011257654</v>
      </c>
      <c r="CU401" s="1312">
        <f t="shared" si="239"/>
        <v>4927081.7966733323</v>
      </c>
    </row>
    <row r="402" spans="3:99" x14ac:dyDescent="0.35">
      <c r="C402" s="1315">
        <f t="shared" si="240"/>
        <v>309</v>
      </c>
      <c r="D402" s="1312">
        <f>IF(AND(C402&gt;$F$59,'Instrumentos Financeiros'!C402&lt;'Instrumentos Financeiros'!$F$59+'Instrumentos Financeiros'!$F$11+1),PMT(((1+'Instrumentos Financeiros'!$G$43)^(1/12)-1),$F$11,-$I$59),0)</f>
        <v>0</v>
      </c>
      <c r="E402" s="1312">
        <f t="shared" si="237"/>
        <v>-1.1240177928021657E-11</v>
      </c>
      <c r="F402" s="1312">
        <f>G401*((1+'Instrumentos Financeiros'!$G$43)^(1/12)-1)</f>
        <v>1.1240177928021657E-11</v>
      </c>
      <c r="G402" s="1312">
        <f t="shared" si="271"/>
        <v>2.764970480890191E-9</v>
      </c>
      <c r="H402" s="1312">
        <f>IF(AND(C402&gt;$F$60,'Instrumentos Financeiros'!C402&lt;'Instrumentos Financeiros'!$F$60+'Instrumentos Financeiros'!$F$11+1),PMT(((1+'Instrumentos Financeiros'!$G$43)^(1/12)-1),$F$11,-$I$60),0)</f>
        <v>0</v>
      </c>
      <c r="I402" s="1312">
        <f t="shared" si="223"/>
        <v>0</v>
      </c>
      <c r="J402" s="1312">
        <f>K401*((1+'Instrumentos Financeiros'!$G$43)^(1/12)-1)</f>
        <v>0</v>
      </c>
      <c r="K402" s="1312">
        <f t="shared" si="241"/>
        <v>0</v>
      </c>
      <c r="L402" s="1312">
        <f>IF(AND(C402&gt;$F$61,'Instrumentos Financeiros'!C402&lt;'Instrumentos Financeiros'!$F$61+'Instrumentos Financeiros'!$F$11+1),PMT(((1+'Instrumentos Financeiros'!$G$43)^(1/12)-1),$F$11,-$I$61),0)</f>
        <v>0</v>
      </c>
      <c r="M402" s="1312">
        <f t="shared" si="224"/>
        <v>0</v>
      </c>
      <c r="N402" s="1312">
        <f>O401*((1+'Instrumentos Financeiros'!$G$43)^(1/12)-1)</f>
        <v>0</v>
      </c>
      <c r="O402" s="1312">
        <f t="shared" si="242"/>
        <v>0</v>
      </c>
      <c r="P402" s="1312">
        <f>IF(AND(C402&gt;$F$62,'Instrumentos Financeiros'!C402&lt;'Instrumentos Financeiros'!$F$62+'Instrumentos Financeiros'!$F$11+1),PMT(((1+'Instrumentos Financeiros'!$H$43)^(1/12)-1),$F$11,-$I$62),0)</f>
        <v>0</v>
      </c>
      <c r="Q402" s="1312">
        <f t="shared" si="225"/>
        <v>0</v>
      </c>
      <c r="R402" s="1312">
        <f>S401*((1+'Instrumentos Financeiros'!$H$43)^(1/12)-1)</f>
        <v>0</v>
      </c>
      <c r="S402" s="1312">
        <f t="shared" si="243"/>
        <v>0</v>
      </c>
      <c r="T402" s="1312">
        <f>IF(AND(C402&gt;$F$63,'Instrumentos Financeiros'!C402&lt;'Instrumentos Financeiros'!$F$63+'Instrumentos Financeiros'!$F$11+1),PMT(((1+'Instrumentos Financeiros'!$H$43)^(1/12)-1),$F$11,-$I$63),0)</f>
        <v>0</v>
      </c>
      <c r="U402" s="1312">
        <f t="shared" si="226"/>
        <v>0</v>
      </c>
      <c r="V402" s="1312">
        <f>W401*((1+'Instrumentos Financeiros'!$H$43)^(1/12)-1)</f>
        <v>0</v>
      </c>
      <c r="W402" s="1312">
        <f t="shared" si="244"/>
        <v>0</v>
      </c>
      <c r="X402" s="1312">
        <f>IF(AND(C402&gt;$F$64,'Instrumentos Financeiros'!C402&lt;'Instrumentos Financeiros'!$F$64+'Instrumentos Financeiros'!$F$11+1),PMT(((1+'Instrumentos Financeiros'!$H$43)^(1/12)-1),$F$11,-$I$64),0)</f>
        <v>0</v>
      </c>
      <c r="Y402" s="1312">
        <f t="shared" si="227"/>
        <v>0</v>
      </c>
      <c r="Z402" s="1312">
        <f>AA401*((1+'Instrumentos Financeiros'!$H$43)^(1/12)-1)</f>
        <v>0</v>
      </c>
      <c r="AA402" s="1312">
        <f t="shared" si="245"/>
        <v>0</v>
      </c>
      <c r="AB402" s="1312">
        <f>IF(AND(C402&gt;$F$65,'Instrumentos Financeiros'!C402&lt;'Instrumentos Financeiros'!$F$65+'Instrumentos Financeiros'!$F$11+1),PMT(((1+'Instrumentos Financeiros'!$H$43)^(1/12)-1),$F$11,-$I$65),0)</f>
        <v>0</v>
      </c>
      <c r="AC402" s="1312">
        <f t="shared" si="228"/>
        <v>2.7616126348978137E-11</v>
      </c>
      <c r="AD402" s="1312">
        <f>AE401*((1+'Instrumentos Financeiros'!$H$43)^(1/12)-1)</f>
        <v>-2.7616126348978137E-11</v>
      </c>
      <c r="AE402" s="1312">
        <f t="shared" si="246"/>
        <v>-6.4143083957165985E-9</v>
      </c>
      <c r="AF402" s="1312">
        <f>IF(AND(C402&gt;$F$66,'Instrumentos Financeiros'!C402&lt;'Instrumentos Financeiros'!$F$66+'Instrumentos Financeiros'!$F$11+1),PMT(((1+'Instrumentos Financeiros'!$I$43)^(1/12)-1),$F$11,-$I$66),0)</f>
        <v>0</v>
      </c>
      <c r="AG402" s="1312">
        <f t="shared" si="229"/>
        <v>2.7260964924317048E-11</v>
      </c>
      <c r="AH402" s="1312">
        <f>AI401*((1+'Instrumentos Financeiros'!$I$43)^(1/12)-1)</f>
        <v>-2.7260964924317048E-11</v>
      </c>
      <c r="AI402" s="1312">
        <f t="shared" si="247"/>
        <v>-6.3318161996985797E-9</v>
      </c>
      <c r="AJ402" s="1312">
        <f>IF(AND(C402&gt;$F$67,'Instrumentos Financeiros'!C402&lt;'Instrumentos Financeiros'!$F$67+'Instrumentos Financeiros'!$F$11+1),PMT(((1+'Instrumentos Financeiros'!$I$43)^(1/12)-1),$F$11,-$I$67),0)</f>
        <v>0</v>
      </c>
      <c r="AK402" s="1312">
        <f t="shared" si="230"/>
        <v>2.6910371107580889E-11</v>
      </c>
      <c r="AL402" s="1312">
        <f>AM401*((1+'Instrumentos Financeiros'!$I$43)^(1/12)-1)</f>
        <v>-2.6910371107580889E-11</v>
      </c>
      <c r="AM402" s="1312">
        <f t="shared" si="248"/>
        <v>-6.2503849072081213E-9</v>
      </c>
      <c r="AN402" s="1312">
        <f>IF(AND(C402&gt;$F$68,'Instrumentos Financeiros'!C402&lt;'Instrumentos Financeiros'!$F$68+'Instrumentos Financeiros'!$F$11+1),PMT(((1+'Instrumentos Financeiros'!$I$43)^(1/12)-1),$F$11,-$I$68),0)</f>
        <v>0</v>
      </c>
      <c r="AO402" s="1312">
        <f t="shared" si="231"/>
        <v>2.6564286156348014E-11</v>
      </c>
      <c r="AP402" s="1312">
        <f>AQ401*((1+'Instrumentos Financeiros'!$I$43)^(1/12)-1)</f>
        <v>-2.6564286156348014E-11</v>
      </c>
      <c r="AQ402" s="1312">
        <f t="shared" si="249"/>
        <v>-6.1700008743328398E-9</v>
      </c>
      <c r="AR402" s="1312">
        <f>IF(AND(C402&gt;$F$69,'Instrumentos Financeiros'!C402&lt;'Instrumentos Financeiros'!$F$69+'Instrumentos Financeiros'!$F$11+1),PMT(((1+'Instrumentos Financeiros'!$I$43)^(1/12)-1),$F$11,-$I$69),0)</f>
        <v>0</v>
      </c>
      <c r="AS402" s="1312">
        <f t="shared" si="232"/>
        <v>0</v>
      </c>
      <c r="AT402" s="1312">
        <f>AU401*((1+'Instrumentos Financeiros'!$I$43)^(1/12)-1)</f>
        <v>0</v>
      </c>
      <c r="AU402" s="1312">
        <f t="shared" si="250"/>
        <v>0</v>
      </c>
      <c r="AV402" s="1312">
        <f>IF(AND(C402&gt;$F$70,'Instrumentos Financeiros'!C402&lt;'Instrumentos Financeiros'!$F$70+'Instrumentos Financeiros'!$F$11+1),PMT(((1+'Instrumentos Financeiros'!$J$43)^(1/12)-1),$F$11,-$I$70),0)</f>
        <v>0</v>
      </c>
      <c r="AW402" s="1312">
        <f t="shared" si="233"/>
        <v>0</v>
      </c>
      <c r="AX402" s="1312">
        <f>AY401*((1+'Instrumentos Financeiros'!$J$43)^(1/12)-1)</f>
        <v>0</v>
      </c>
      <c r="AY402" s="1312">
        <f t="shared" si="251"/>
        <v>0</v>
      </c>
      <c r="AZ402" s="1312">
        <f>IF(AND(C402&gt;$F$71,'Instrumentos Financeiros'!C402&lt;'Instrumentos Financeiros'!$F$71+'Instrumentos Financeiros'!$F$11+1),PMT(((1+'Instrumentos Financeiros'!$J$43)^(1/12)-1),$F$11,-$I$71),0)</f>
        <v>0</v>
      </c>
      <c r="BA402" s="1312">
        <f t="shared" si="234"/>
        <v>0</v>
      </c>
      <c r="BB402" s="1312">
        <f>BC401*((1+'Instrumentos Financeiros'!$J$43)^(1/12)-1)</f>
        <v>0</v>
      </c>
      <c r="BC402" s="1312">
        <f t="shared" si="252"/>
        <v>0</v>
      </c>
      <c r="BD402" s="1312">
        <f>IF(AND(C402&gt;$F$72,'Instrumentos Financeiros'!C402&lt;'Instrumentos Financeiros'!$F$72+'Instrumentos Financeiros'!$F$11+1),PMT(((1+'Instrumentos Financeiros'!$J$43)^(1/12)-1),$F$11,-'Instrumentos Financeiros'!$G$7*$G$72),0)</f>
        <v>0</v>
      </c>
      <c r="BE402" s="1312">
        <f t="shared" si="235"/>
        <v>0</v>
      </c>
      <c r="BF402" s="1312">
        <f>BG401*((1+'Instrumentos Financeiros'!$J$43)^(1/12)-1)</f>
        <v>0</v>
      </c>
      <c r="BG402" s="1312">
        <f t="shared" si="253"/>
        <v>0</v>
      </c>
      <c r="BH402" s="1312">
        <f>IF(AND(C402&gt;$F$73,'Instrumentos Financeiros'!C402&lt;'Instrumentos Financeiros'!$F$73+'Instrumentos Financeiros'!$F$11+1),PMT(((1+'Instrumentos Financeiros'!$J$43)^(1/12)-1),$F$11,-$I$73),0)</f>
        <v>0</v>
      </c>
      <c r="BI402" s="1312">
        <f t="shared" si="236"/>
        <v>0</v>
      </c>
      <c r="BJ402" s="1312">
        <f>BK401*((1+'Instrumentos Financeiros'!$J$43)^(1/12)-1)</f>
        <v>0</v>
      </c>
      <c r="BK402" s="1312">
        <f t="shared" si="254"/>
        <v>0</v>
      </c>
      <c r="BL402" s="1312">
        <f>IF(AND(C402&gt;$F$77,'Instrumentos Financeiros'!C402&lt;'Instrumentos Financeiros'!$F$77+'Instrumentos Financeiros'!$F$12+1),PMT(((1+'Instrumentos Financeiros'!$K$43)^(1/12)-1),$F$12,-$I$77),0)</f>
        <v>0</v>
      </c>
      <c r="BM402" s="1312">
        <f t="shared" si="255"/>
        <v>7.5060535621710174E-14</v>
      </c>
      <c r="BN402" s="1312">
        <f>BO401*((1+'Instrumentos Financeiros'!$K$43)^(1/12)-1)</f>
        <v>-7.5060535621710174E-14</v>
      </c>
      <c r="BO402" s="1312">
        <f t="shared" si="256"/>
        <v>-1.7434067969606302E-11</v>
      </c>
      <c r="BP402" s="1312">
        <f>IF(AND(C402&gt;$F$78,'Instrumentos Financeiros'!C402&lt;'Instrumentos Financeiros'!$F$78+'Instrumentos Financeiros'!$F$12+1),PMT(((1+'Instrumentos Financeiros'!$L$43)^(1/12)-1),$F$12,-$I$78),0)</f>
        <v>0</v>
      </c>
      <c r="BQ402" s="1312">
        <f t="shared" si="257"/>
        <v>7.4095208101465207E-14</v>
      </c>
      <c r="BR402" s="1312">
        <f>BS401*((1+'Instrumentos Financeiros'!$L$43)^(1/12)-1)</f>
        <v>-7.4095208101465207E-14</v>
      </c>
      <c r="BS402" s="1312">
        <f t="shared" si="258"/>
        <v>-1.720985446697824E-11</v>
      </c>
      <c r="BT402" s="1312">
        <f>IF(AND(C402&gt;$F$79,'Instrumentos Financeiros'!C402&lt;'Instrumentos Financeiros'!$F$79+'Instrumentos Financeiros'!$F$12+1),PMT(((1+'Instrumentos Financeiros'!$L$43)^(1/12)-1),$F$12,-$I$79),0)</f>
        <v>0</v>
      </c>
      <c r="BU402" s="1312">
        <f t="shared" si="259"/>
        <v>7.3142295323716066E-14</v>
      </c>
      <c r="BV402" s="1312">
        <f>BW401*((1+'Instrumentos Financeiros'!$L$43)^(1/12)-1)</f>
        <v>-7.3142295323716066E-14</v>
      </c>
      <c r="BW402" s="1312">
        <f t="shared" si="260"/>
        <v>-1.6988524496458021E-11</v>
      </c>
      <c r="BX402" s="1312">
        <f>IF(AND(C402&gt;$F$80,'Instrumentos Financeiros'!C402&lt;'Instrumentos Financeiros'!$F$80+'Instrumentos Financeiros'!$F$12+1),PMT(((1+'Instrumentos Financeiros'!$L$43)^(1/12)-1),$F$12,-$I$80),0)</f>
        <v>0</v>
      </c>
      <c r="BY402" s="1312">
        <f t="shared" si="261"/>
        <v>7.2201637626764529E-14</v>
      </c>
      <c r="BZ402" s="1312">
        <f>CA401*((1+'Instrumentos Financeiros'!$L$43)^(1/12)-1)</f>
        <v>-7.2201637626764529E-14</v>
      </c>
      <c r="CA402" s="1312">
        <f t="shared" si="262"/>
        <v>-1.6770040973939121E-11</v>
      </c>
      <c r="CB402" s="1312">
        <f>IF(AND(C402&gt;$F$83,'Instrumentos Financeiros'!C402&lt;'Instrumentos Financeiros'!$F$83+'Instrumentos Financeiros'!$F$13+1),PMT(((1+'Instrumentos Financeiros'!$P$43)^(1/12)-1),$F$13,-$I$83),0)</f>
        <v>30503.390100238979</v>
      </c>
      <c r="CC402" s="1312">
        <f t="shared" si="263"/>
        <v>25668.133045205574</v>
      </c>
      <c r="CD402" s="1312">
        <f>CE401*((1+'Instrumentos Financeiros'!$P$43)^(1/12)-1)</f>
        <v>4835.2570550334049</v>
      </c>
      <c r="CE402" s="1312">
        <f t="shared" si="264"/>
        <v>1092566.13571312</v>
      </c>
      <c r="CF402" s="1312">
        <f>IF(AND(C402&gt;$F$84,'Instrumentos Financeiros'!C402&lt;'Instrumentos Financeiros'!$F$84+'Instrumentos Financeiros'!$F$13+1),PMT(((1+'Instrumentos Financeiros'!$Q$43)^(1/12)-1),$F$13,-$I$84),0)</f>
        <v>30503.390100238979</v>
      </c>
      <c r="CG402" s="1312">
        <f t="shared" si="265"/>
        <v>25338.024086927911</v>
      </c>
      <c r="CH402" s="1312">
        <f>CI401*((1+'Instrumentos Financeiros'!$Q$43)^(1/12)-1)</f>
        <v>5165.3660133110679</v>
      </c>
      <c r="CI402" s="1312">
        <f t="shared" si="266"/>
        <v>1169239.4763483834</v>
      </c>
      <c r="CJ402" s="1312">
        <f>IF(AND(C402&gt;$F$85,'Instrumentos Financeiros'!C402&lt;'Instrumentos Financeiros'!$F$85+'Instrumentos Financeiros'!$F$13+1),PMT(((1+'Instrumentos Financeiros'!$Q$43)^(1/12)-1),$F$13,-$I$85),0)</f>
        <v>30503.390100238979</v>
      </c>
      <c r="CK402" s="1312">
        <f t="shared" si="267"/>
        <v>25012.160545492341</v>
      </c>
      <c r="CL402" s="1312">
        <f>CM401*((1+'Instrumentos Financeiros'!$Q$43)^(1/12)-1)</f>
        <v>5491.2295547466392</v>
      </c>
      <c r="CM402" s="1312">
        <f t="shared" si="268"/>
        <v>1244926.7477373872</v>
      </c>
      <c r="CN402" s="1312">
        <f>IF(AND(C402&gt;$F$86,'Instrumentos Financeiros'!C402&lt;'Instrumentos Financeiros'!$F$86+'Instrumentos Financeiros'!$F$13+1),PMT(((1+'Instrumentos Financeiros'!$Q$43)^(1/12)-1),$F$13,-$I$86),0)</f>
        <v>30503.390100238979</v>
      </c>
      <c r="CO402" s="1312">
        <f t="shared" si="269"/>
        <v>24690.487822065017</v>
      </c>
      <c r="CP402" s="1312">
        <f>CQ401*((1+'Instrumentos Financeiros'!$Q$43)^(1/12)-1)</f>
        <v>5812.9022781739613</v>
      </c>
      <c r="CQ402" s="1312">
        <f t="shared" si="270"/>
        <v>1319640.6313747729</v>
      </c>
      <c r="CR402" s="1312">
        <f t="shared" si="239"/>
        <v>122013.56040095592</v>
      </c>
      <c r="CS402" s="1312">
        <f t="shared" si="239"/>
        <v>100708.80549969093</v>
      </c>
      <c r="CT402" s="1312">
        <f t="shared" si="239"/>
        <v>21304.754901264976</v>
      </c>
      <c r="CU402" s="1312">
        <f t="shared" si="239"/>
        <v>4826372.9911736408</v>
      </c>
    </row>
    <row r="403" spans="3:99" x14ac:dyDescent="0.35">
      <c r="C403" s="1315">
        <f t="shared" si="240"/>
        <v>310</v>
      </c>
      <c r="D403" s="1312">
        <f>IF(AND(C403&gt;$F$59,'Instrumentos Financeiros'!C403&lt;'Instrumentos Financeiros'!$F$59+'Instrumentos Financeiros'!$F$11+1),PMT(((1+'Instrumentos Financeiros'!$G$43)^(1/12)-1),$F$11,-$I$59),0)</f>
        <v>0</v>
      </c>
      <c r="E403" s="1312">
        <f t="shared" si="237"/>
        <v>-1.1286058092726849E-11</v>
      </c>
      <c r="F403" s="1312">
        <f>G402*((1+'Instrumentos Financeiros'!$G$43)^(1/12)-1)</f>
        <v>1.1286058092726849E-11</v>
      </c>
      <c r="G403" s="1312">
        <f t="shared" si="271"/>
        <v>2.7762565389829177E-9</v>
      </c>
      <c r="H403" s="1312">
        <f>IF(AND(C403&gt;$F$60,'Instrumentos Financeiros'!C403&lt;'Instrumentos Financeiros'!$F$60+'Instrumentos Financeiros'!$F$11+1),PMT(((1+'Instrumentos Financeiros'!$G$43)^(1/12)-1),$F$11,-$I$60),0)</f>
        <v>0</v>
      </c>
      <c r="I403" s="1312">
        <f t="shared" si="223"/>
        <v>0</v>
      </c>
      <c r="J403" s="1312">
        <f>K402*((1+'Instrumentos Financeiros'!$G$43)^(1/12)-1)</f>
        <v>0</v>
      </c>
      <c r="K403" s="1312">
        <f t="shared" si="241"/>
        <v>0</v>
      </c>
      <c r="L403" s="1312">
        <f>IF(AND(C403&gt;$F$61,'Instrumentos Financeiros'!C403&lt;'Instrumentos Financeiros'!$F$61+'Instrumentos Financeiros'!$F$11+1),PMT(((1+'Instrumentos Financeiros'!$G$43)^(1/12)-1),$F$11,-$I$61),0)</f>
        <v>0</v>
      </c>
      <c r="M403" s="1312">
        <f t="shared" si="224"/>
        <v>0</v>
      </c>
      <c r="N403" s="1312">
        <f>O402*((1+'Instrumentos Financeiros'!$G$43)^(1/12)-1)</f>
        <v>0</v>
      </c>
      <c r="O403" s="1312">
        <f t="shared" si="242"/>
        <v>0</v>
      </c>
      <c r="P403" s="1312">
        <f>IF(AND(C403&gt;$F$62,'Instrumentos Financeiros'!C403&lt;'Instrumentos Financeiros'!$F$62+'Instrumentos Financeiros'!$F$11+1),PMT(((1+'Instrumentos Financeiros'!$H$43)^(1/12)-1),$F$11,-$I$62),0)</f>
        <v>0</v>
      </c>
      <c r="Q403" s="1312">
        <f t="shared" si="225"/>
        <v>0</v>
      </c>
      <c r="R403" s="1312">
        <f>S402*((1+'Instrumentos Financeiros'!$H$43)^(1/12)-1)</f>
        <v>0</v>
      </c>
      <c r="S403" s="1312">
        <f t="shared" si="243"/>
        <v>0</v>
      </c>
      <c r="T403" s="1312">
        <f>IF(AND(C403&gt;$F$63,'Instrumentos Financeiros'!C403&lt;'Instrumentos Financeiros'!$F$63+'Instrumentos Financeiros'!$F$11+1),PMT(((1+'Instrumentos Financeiros'!$H$43)^(1/12)-1),$F$11,-$I$63),0)</f>
        <v>0</v>
      </c>
      <c r="U403" s="1312">
        <f t="shared" si="226"/>
        <v>0</v>
      </c>
      <c r="V403" s="1312">
        <f>W402*((1+'Instrumentos Financeiros'!$H$43)^(1/12)-1)</f>
        <v>0</v>
      </c>
      <c r="W403" s="1312">
        <f t="shared" si="244"/>
        <v>0</v>
      </c>
      <c r="X403" s="1312">
        <f>IF(AND(C403&gt;$F$64,'Instrumentos Financeiros'!C403&lt;'Instrumentos Financeiros'!$F$64+'Instrumentos Financeiros'!$F$11+1),PMT(((1+'Instrumentos Financeiros'!$H$43)^(1/12)-1),$F$11,-$I$64),0)</f>
        <v>0</v>
      </c>
      <c r="Y403" s="1312">
        <f t="shared" si="227"/>
        <v>0</v>
      </c>
      <c r="Z403" s="1312">
        <f>AA402*((1+'Instrumentos Financeiros'!$H$43)^(1/12)-1)</f>
        <v>0</v>
      </c>
      <c r="AA403" s="1312">
        <f t="shared" si="245"/>
        <v>0</v>
      </c>
      <c r="AB403" s="1312">
        <f>IF(AND(C403&gt;$F$65,'Instrumentos Financeiros'!C403&lt;'Instrumentos Financeiros'!$F$65+'Instrumentos Financeiros'!$F$11+1),PMT(((1+'Instrumentos Financeiros'!$H$43)^(1/12)-1),$F$11,-$I$65),0)</f>
        <v>0</v>
      </c>
      <c r="AC403" s="1312">
        <f t="shared" si="228"/>
        <v>2.7735538777565094E-11</v>
      </c>
      <c r="AD403" s="1312">
        <f>AE402*((1+'Instrumentos Financeiros'!$H$43)^(1/12)-1)</f>
        <v>-2.7735538777565094E-11</v>
      </c>
      <c r="AE403" s="1312">
        <f t="shared" si="246"/>
        <v>-6.4420439344941634E-9</v>
      </c>
      <c r="AF403" s="1312">
        <f>IF(AND(C403&gt;$F$66,'Instrumentos Financeiros'!C403&lt;'Instrumentos Financeiros'!$F$66+'Instrumentos Financeiros'!$F$11+1),PMT(((1+'Instrumentos Financeiros'!$I$43)^(1/12)-1),$F$11,-$I$66),0)</f>
        <v>0</v>
      </c>
      <c r="AG403" s="1312">
        <f t="shared" si="229"/>
        <v>2.7378841631068032E-11</v>
      </c>
      <c r="AH403" s="1312">
        <f>AI402*((1+'Instrumentos Financeiros'!$I$43)^(1/12)-1)</f>
        <v>-2.7378841631068032E-11</v>
      </c>
      <c r="AI403" s="1312">
        <f t="shared" si="247"/>
        <v>-6.3591950413296477E-9</v>
      </c>
      <c r="AJ403" s="1312">
        <f>IF(AND(C403&gt;$F$67,'Instrumentos Financeiros'!C403&lt;'Instrumentos Financeiros'!$F$67+'Instrumentos Financeiros'!$F$11+1),PMT(((1+'Instrumentos Financeiros'!$I$43)^(1/12)-1),$F$11,-$I$67),0)</f>
        <v>0</v>
      </c>
      <c r="AK403" s="1312">
        <f t="shared" si="230"/>
        <v>2.7026731842881889E-11</v>
      </c>
      <c r="AL403" s="1312">
        <f>AM402*((1+'Instrumentos Financeiros'!$I$43)^(1/12)-1)</f>
        <v>-2.7026731842881889E-11</v>
      </c>
      <c r="AM403" s="1312">
        <f t="shared" si="248"/>
        <v>-6.2774116390510034E-9</v>
      </c>
      <c r="AN403" s="1312">
        <f>IF(AND(C403&gt;$F$68,'Instrumentos Financeiros'!C403&lt;'Instrumentos Financeiros'!$F$68+'Instrumentos Financeiros'!$F$11+1),PMT(((1+'Instrumentos Financeiros'!$I$43)^(1/12)-1),$F$11,-$I$68),0)</f>
        <v>0</v>
      </c>
      <c r="AO403" s="1312">
        <f t="shared" si="231"/>
        <v>2.6679150416582172E-11</v>
      </c>
      <c r="AP403" s="1312">
        <f>AQ402*((1+'Instrumentos Financeiros'!$I$43)^(1/12)-1)</f>
        <v>-2.6679150416582172E-11</v>
      </c>
      <c r="AQ403" s="1312">
        <f t="shared" si="249"/>
        <v>-6.1966800247494223E-9</v>
      </c>
      <c r="AR403" s="1312">
        <f>IF(AND(C403&gt;$F$69,'Instrumentos Financeiros'!C403&lt;'Instrumentos Financeiros'!$F$69+'Instrumentos Financeiros'!$F$11+1),PMT(((1+'Instrumentos Financeiros'!$I$43)^(1/12)-1),$F$11,-$I$69),0)</f>
        <v>0</v>
      </c>
      <c r="AS403" s="1312">
        <f t="shared" si="232"/>
        <v>0</v>
      </c>
      <c r="AT403" s="1312">
        <f>AU402*((1+'Instrumentos Financeiros'!$I$43)^(1/12)-1)</f>
        <v>0</v>
      </c>
      <c r="AU403" s="1312">
        <f t="shared" si="250"/>
        <v>0</v>
      </c>
      <c r="AV403" s="1312">
        <f>IF(AND(C403&gt;$F$70,'Instrumentos Financeiros'!C403&lt;'Instrumentos Financeiros'!$F$70+'Instrumentos Financeiros'!$F$11+1),PMT(((1+'Instrumentos Financeiros'!$J$43)^(1/12)-1),$F$11,-$I$70),0)</f>
        <v>0</v>
      </c>
      <c r="AW403" s="1312">
        <f t="shared" si="233"/>
        <v>0</v>
      </c>
      <c r="AX403" s="1312">
        <f>AY402*((1+'Instrumentos Financeiros'!$J$43)^(1/12)-1)</f>
        <v>0</v>
      </c>
      <c r="AY403" s="1312">
        <f t="shared" si="251"/>
        <v>0</v>
      </c>
      <c r="AZ403" s="1312">
        <f>IF(AND(C403&gt;$F$71,'Instrumentos Financeiros'!C403&lt;'Instrumentos Financeiros'!$F$71+'Instrumentos Financeiros'!$F$11+1),PMT(((1+'Instrumentos Financeiros'!$J$43)^(1/12)-1),$F$11,-$I$71),0)</f>
        <v>0</v>
      </c>
      <c r="BA403" s="1312">
        <f t="shared" si="234"/>
        <v>0</v>
      </c>
      <c r="BB403" s="1312">
        <f>BC402*((1+'Instrumentos Financeiros'!$J$43)^(1/12)-1)</f>
        <v>0</v>
      </c>
      <c r="BC403" s="1312">
        <f t="shared" si="252"/>
        <v>0</v>
      </c>
      <c r="BD403" s="1312">
        <f>IF(AND(C403&gt;$F$72,'Instrumentos Financeiros'!C403&lt;'Instrumentos Financeiros'!$F$72+'Instrumentos Financeiros'!$F$11+1),PMT(((1+'Instrumentos Financeiros'!$J$43)^(1/12)-1),$F$11,-'Instrumentos Financeiros'!$G$7*$G$72),0)</f>
        <v>0</v>
      </c>
      <c r="BE403" s="1312">
        <f t="shared" si="235"/>
        <v>0</v>
      </c>
      <c r="BF403" s="1312">
        <f>BG402*((1+'Instrumentos Financeiros'!$J$43)^(1/12)-1)</f>
        <v>0</v>
      </c>
      <c r="BG403" s="1312">
        <f t="shared" si="253"/>
        <v>0</v>
      </c>
      <c r="BH403" s="1312">
        <f>IF(AND(C403&gt;$F$73,'Instrumentos Financeiros'!C403&lt;'Instrumentos Financeiros'!$F$73+'Instrumentos Financeiros'!$F$11+1),PMT(((1+'Instrumentos Financeiros'!$J$43)^(1/12)-1),$F$11,-$I$73),0)</f>
        <v>0</v>
      </c>
      <c r="BI403" s="1312">
        <f t="shared" si="236"/>
        <v>0</v>
      </c>
      <c r="BJ403" s="1312">
        <f>BK402*((1+'Instrumentos Financeiros'!$J$43)^(1/12)-1)</f>
        <v>0</v>
      </c>
      <c r="BK403" s="1312">
        <f t="shared" si="254"/>
        <v>0</v>
      </c>
      <c r="BL403" s="1312">
        <f>IF(AND(C403&gt;$F$77,'Instrumentos Financeiros'!C403&lt;'Instrumentos Financeiros'!$F$77+'Instrumentos Financeiros'!$F$12+1),PMT(((1+'Instrumentos Financeiros'!$K$43)^(1/12)-1),$F$12,-$I$77),0)</f>
        <v>0</v>
      </c>
      <c r="BM403" s="1312">
        <f t="shared" si="255"/>
        <v>7.5385098188391716E-14</v>
      </c>
      <c r="BN403" s="1312">
        <f>BO402*((1+'Instrumentos Financeiros'!$K$43)^(1/12)-1)</f>
        <v>-7.5385098188391716E-14</v>
      </c>
      <c r="BO403" s="1312">
        <f t="shared" si="256"/>
        <v>-1.7509453067794693E-11</v>
      </c>
      <c r="BP403" s="1312">
        <f>IF(AND(C403&gt;$F$78,'Instrumentos Financeiros'!C403&lt;'Instrumentos Financeiros'!$F$78+'Instrumentos Financeiros'!$F$12+1),PMT(((1+'Instrumentos Financeiros'!$L$43)^(1/12)-1),$F$12,-$I$78),0)</f>
        <v>0</v>
      </c>
      <c r="BQ403" s="1312">
        <f t="shared" si="257"/>
        <v>7.4415596581523695E-14</v>
      </c>
      <c r="BR403" s="1312">
        <f>BS402*((1+'Instrumentos Financeiros'!$L$43)^(1/12)-1)</f>
        <v>-7.4415596581523695E-14</v>
      </c>
      <c r="BS403" s="1312">
        <f t="shared" si="258"/>
        <v>-1.7284270063559764E-11</v>
      </c>
      <c r="BT403" s="1312">
        <f>IF(AND(C403&gt;$F$79,'Instrumentos Financeiros'!C403&lt;'Instrumentos Financeiros'!$F$79+'Instrumentos Financeiros'!$F$12+1),PMT(((1+'Instrumentos Financeiros'!$L$43)^(1/12)-1),$F$12,-$I$79),0)</f>
        <v>0</v>
      </c>
      <c r="BU403" s="1312">
        <f t="shared" si="259"/>
        <v>7.3458563398632112E-14</v>
      </c>
      <c r="BV403" s="1312">
        <f>BW402*((1+'Instrumentos Financeiros'!$L$43)^(1/12)-1)</f>
        <v>-7.3458563398632112E-14</v>
      </c>
      <c r="BW403" s="1312">
        <f t="shared" si="260"/>
        <v>-1.7061983059856655E-11</v>
      </c>
      <c r="BX403" s="1312">
        <f>IF(AND(C403&gt;$F$80,'Instrumentos Financeiros'!C403&lt;'Instrumentos Financeiros'!$F$80+'Instrumentos Financeiros'!$F$12+1),PMT(((1+'Instrumentos Financeiros'!$L$43)^(1/12)-1),$F$12,-$I$80),0)</f>
        <v>0</v>
      </c>
      <c r="BY403" s="1312">
        <f t="shared" si="261"/>
        <v>7.2513838287639842E-14</v>
      </c>
      <c r="BZ403" s="1312">
        <f>CA402*((1+'Instrumentos Financeiros'!$L$43)^(1/12)-1)</f>
        <v>-7.2513838287639842E-14</v>
      </c>
      <c r="CA403" s="1312">
        <f t="shared" si="262"/>
        <v>-1.6842554812226762E-11</v>
      </c>
      <c r="CB403" s="1312">
        <f>IF(AND(C403&gt;$F$83,'Instrumentos Financeiros'!C403&lt;'Instrumentos Financeiros'!$F$83+'Instrumentos Financeiros'!$F$13+1),PMT(((1+'Instrumentos Financeiros'!$P$43)^(1/12)-1),$F$13,-$I$83),0)</f>
        <v>30503.390100238979</v>
      </c>
      <c r="CC403" s="1312">
        <f t="shared" si="263"/>
        <v>25779.122329708705</v>
      </c>
      <c r="CD403" s="1312">
        <f>CE402*((1+'Instrumentos Financeiros'!$P$43)^(1/12)-1)</f>
        <v>4724.2677705302758</v>
      </c>
      <c r="CE403" s="1312">
        <f t="shared" si="264"/>
        <v>1066787.0133834113</v>
      </c>
      <c r="CF403" s="1312">
        <f>IF(AND(C403&gt;$F$84,'Instrumentos Financeiros'!C403&lt;'Instrumentos Financeiros'!$F$84+'Instrumentos Financeiros'!$F$13+1),PMT(((1+'Instrumentos Financeiros'!$Q$43)^(1/12)-1),$F$13,-$I$84),0)</f>
        <v>30503.390100238979</v>
      </c>
      <c r="CG403" s="1312">
        <f t="shared" si="265"/>
        <v>25447.585976730275</v>
      </c>
      <c r="CH403" s="1312">
        <f>CI402*((1+'Instrumentos Financeiros'!$Q$43)^(1/12)-1)</f>
        <v>5055.8041235087057</v>
      </c>
      <c r="CI403" s="1312">
        <f t="shared" si="266"/>
        <v>1143791.890371653</v>
      </c>
      <c r="CJ403" s="1312">
        <f>IF(AND(C403&gt;$F$85,'Instrumentos Financeiros'!C403&lt;'Instrumentos Financeiros'!$F$85+'Instrumentos Financeiros'!$F$13+1),PMT(((1+'Instrumentos Financeiros'!$Q$43)^(1/12)-1),$F$13,-$I$85),0)</f>
        <v>30503.390100238979</v>
      </c>
      <c r="CK403" s="1312">
        <f t="shared" si="267"/>
        <v>25120.31339782221</v>
      </c>
      <c r="CL403" s="1312">
        <f>CM402*((1+'Instrumentos Financeiros'!$Q$43)^(1/12)-1)</f>
        <v>5383.0767024167681</v>
      </c>
      <c r="CM403" s="1312">
        <f t="shared" si="268"/>
        <v>1219806.434339565</v>
      </c>
      <c r="CN403" s="1312">
        <f>IF(AND(C403&gt;$F$86,'Instrumentos Financeiros'!C403&lt;'Instrumentos Financeiros'!$F$86+'Instrumentos Financeiros'!$F$13+1),PMT(((1+'Instrumentos Financeiros'!$Q$43)^(1/12)-1),$F$13,-$I$86),0)</f>
        <v>30503.390100238979</v>
      </c>
      <c r="CO403" s="1312">
        <f t="shared" si="269"/>
        <v>24797.249758064725</v>
      </c>
      <c r="CP403" s="1312">
        <f>CQ402*((1+'Instrumentos Financeiros'!$Q$43)^(1/12)-1)</f>
        <v>5706.1403421742534</v>
      </c>
      <c r="CQ403" s="1312">
        <f t="shared" si="270"/>
        <v>1294843.3816167081</v>
      </c>
      <c r="CR403" s="1312">
        <f t="shared" si="239"/>
        <v>122013.56040095592</v>
      </c>
      <c r="CS403" s="1312">
        <f t="shared" si="239"/>
        <v>101144.271462326</v>
      </c>
      <c r="CT403" s="1312">
        <f t="shared" si="239"/>
        <v>20869.288938629907</v>
      </c>
      <c r="CU403" s="1312">
        <f t="shared" si="239"/>
        <v>4725228.7197113149</v>
      </c>
    </row>
    <row r="404" spans="3:99" x14ac:dyDescent="0.35">
      <c r="C404" s="1315">
        <f t="shared" si="240"/>
        <v>311</v>
      </c>
      <c r="D404" s="1312">
        <f>IF(AND(C404&gt;$F$59,'Instrumentos Financeiros'!C404&lt;'Instrumentos Financeiros'!$F$59+'Instrumentos Financeiros'!$F$11+1),PMT(((1+'Instrumentos Financeiros'!$G$43)^(1/12)-1),$F$11,-$I$59),0)</f>
        <v>0</v>
      </c>
      <c r="E404" s="1312">
        <f t="shared" si="237"/>
        <v>-1.1332125531114617E-11</v>
      </c>
      <c r="F404" s="1312">
        <f>G403*((1+'Instrumentos Financeiros'!$G$43)^(1/12)-1)</f>
        <v>1.1332125531114617E-11</v>
      </c>
      <c r="G404" s="1312">
        <f t="shared" si="271"/>
        <v>2.7875886645140323E-9</v>
      </c>
      <c r="H404" s="1312">
        <f>IF(AND(C404&gt;$F$60,'Instrumentos Financeiros'!C404&lt;'Instrumentos Financeiros'!$F$60+'Instrumentos Financeiros'!$F$11+1),PMT(((1+'Instrumentos Financeiros'!$G$43)^(1/12)-1),$F$11,-$I$60),0)</f>
        <v>0</v>
      </c>
      <c r="I404" s="1312">
        <f t="shared" si="223"/>
        <v>0</v>
      </c>
      <c r="J404" s="1312">
        <f>K403*((1+'Instrumentos Financeiros'!$G$43)^(1/12)-1)</f>
        <v>0</v>
      </c>
      <c r="K404" s="1312">
        <f t="shared" si="241"/>
        <v>0</v>
      </c>
      <c r="L404" s="1312">
        <f>IF(AND(C404&gt;$F$61,'Instrumentos Financeiros'!C404&lt;'Instrumentos Financeiros'!$F$61+'Instrumentos Financeiros'!$F$11+1),PMT(((1+'Instrumentos Financeiros'!$G$43)^(1/12)-1),$F$11,-$I$61),0)</f>
        <v>0</v>
      </c>
      <c r="M404" s="1312">
        <f t="shared" si="224"/>
        <v>0</v>
      </c>
      <c r="N404" s="1312">
        <f>O403*((1+'Instrumentos Financeiros'!$G$43)^(1/12)-1)</f>
        <v>0</v>
      </c>
      <c r="O404" s="1312">
        <f t="shared" si="242"/>
        <v>0</v>
      </c>
      <c r="P404" s="1312">
        <f>IF(AND(C404&gt;$F$62,'Instrumentos Financeiros'!C404&lt;'Instrumentos Financeiros'!$F$62+'Instrumentos Financeiros'!$F$11+1),PMT(((1+'Instrumentos Financeiros'!$H$43)^(1/12)-1),$F$11,-$I$62),0)</f>
        <v>0</v>
      </c>
      <c r="Q404" s="1312">
        <f t="shared" si="225"/>
        <v>0</v>
      </c>
      <c r="R404" s="1312">
        <f>S403*((1+'Instrumentos Financeiros'!$H$43)^(1/12)-1)</f>
        <v>0</v>
      </c>
      <c r="S404" s="1312">
        <f t="shared" si="243"/>
        <v>0</v>
      </c>
      <c r="T404" s="1312">
        <f>IF(AND(C404&gt;$F$63,'Instrumentos Financeiros'!C404&lt;'Instrumentos Financeiros'!$F$63+'Instrumentos Financeiros'!$F$11+1),PMT(((1+'Instrumentos Financeiros'!$H$43)^(1/12)-1),$F$11,-$I$63),0)</f>
        <v>0</v>
      </c>
      <c r="U404" s="1312">
        <f t="shared" si="226"/>
        <v>0</v>
      </c>
      <c r="V404" s="1312">
        <f>W403*((1+'Instrumentos Financeiros'!$H$43)^(1/12)-1)</f>
        <v>0</v>
      </c>
      <c r="W404" s="1312">
        <f t="shared" si="244"/>
        <v>0</v>
      </c>
      <c r="X404" s="1312">
        <f>IF(AND(C404&gt;$F$64,'Instrumentos Financeiros'!C404&lt;'Instrumentos Financeiros'!$F$64+'Instrumentos Financeiros'!$F$11+1),PMT(((1+'Instrumentos Financeiros'!$H$43)^(1/12)-1),$F$11,-$I$64),0)</f>
        <v>0</v>
      </c>
      <c r="Y404" s="1312">
        <f t="shared" si="227"/>
        <v>0</v>
      </c>
      <c r="Z404" s="1312">
        <f>AA403*((1+'Instrumentos Financeiros'!$H$43)^(1/12)-1)</f>
        <v>0</v>
      </c>
      <c r="AA404" s="1312">
        <f t="shared" si="245"/>
        <v>0</v>
      </c>
      <c r="AB404" s="1312">
        <f>IF(AND(C404&gt;$F$65,'Instrumentos Financeiros'!C404&lt;'Instrumentos Financeiros'!$F$65+'Instrumentos Financeiros'!$F$11+1),PMT(((1+'Instrumentos Financeiros'!$H$43)^(1/12)-1),$F$11,-$I$65),0)</f>
        <v>0</v>
      </c>
      <c r="AC404" s="1312">
        <f t="shared" si="228"/>
        <v>2.7855467546782911E-11</v>
      </c>
      <c r="AD404" s="1312">
        <f>AE403*((1+'Instrumentos Financeiros'!$H$43)^(1/12)-1)</f>
        <v>-2.7855467546782911E-11</v>
      </c>
      <c r="AE404" s="1312">
        <f t="shared" si="246"/>
        <v>-6.4698994020409461E-9</v>
      </c>
      <c r="AF404" s="1312">
        <f>IF(AND(C404&gt;$F$66,'Instrumentos Financeiros'!C404&lt;'Instrumentos Financeiros'!$F$66+'Instrumentos Financeiros'!$F$11+1),PMT(((1+'Instrumentos Financeiros'!$I$43)^(1/12)-1),$F$11,-$I$66),0)</f>
        <v>0</v>
      </c>
      <c r="AG404" s="1312">
        <f t="shared" si="229"/>
        <v>2.749722803797207E-11</v>
      </c>
      <c r="AH404" s="1312">
        <f>AI403*((1+'Instrumentos Financeiros'!$I$43)^(1/12)-1)</f>
        <v>-2.749722803797207E-11</v>
      </c>
      <c r="AI404" s="1312">
        <f t="shared" si="247"/>
        <v>-6.38669226936762E-9</v>
      </c>
      <c r="AJ404" s="1312">
        <f>IF(AND(C404&gt;$F$67,'Instrumentos Financeiros'!C404&lt;'Instrumentos Financeiros'!$F$67+'Instrumentos Financeiros'!$F$11+1),PMT(((1+'Instrumentos Financeiros'!$I$43)^(1/12)-1),$F$11,-$I$67),0)</f>
        <v>0</v>
      </c>
      <c r="AK404" s="1312">
        <f t="shared" si="230"/>
        <v>2.714359572325903E-11</v>
      </c>
      <c r="AL404" s="1312">
        <f>AM403*((1+'Instrumentos Financeiros'!$I$43)^(1/12)-1)</f>
        <v>-2.714359572325903E-11</v>
      </c>
      <c r="AM404" s="1312">
        <f t="shared" si="248"/>
        <v>-6.3045552347742624E-9</v>
      </c>
      <c r="AN404" s="1312">
        <f>IF(AND(C404&gt;$F$68,'Instrumentos Financeiros'!C404&lt;'Instrumentos Financeiros'!$F$68+'Instrumentos Financeiros'!$F$11+1),PMT(((1+'Instrumentos Financeiros'!$I$43)^(1/12)-1),$F$11,-$I$68),0)</f>
        <v>0</v>
      </c>
      <c r="AO404" s="1312">
        <f t="shared" si="231"/>
        <v>2.6794511351118116E-11</v>
      </c>
      <c r="AP404" s="1312">
        <f>AQ403*((1+'Instrumentos Financeiros'!$I$43)^(1/12)-1)</f>
        <v>-2.6794511351118116E-11</v>
      </c>
      <c r="AQ404" s="1312">
        <f t="shared" si="249"/>
        <v>-6.2234745361005405E-9</v>
      </c>
      <c r="AR404" s="1312">
        <f>IF(AND(C404&gt;$F$69,'Instrumentos Financeiros'!C404&lt;'Instrumentos Financeiros'!$F$69+'Instrumentos Financeiros'!$F$11+1),PMT(((1+'Instrumentos Financeiros'!$I$43)^(1/12)-1),$F$11,-$I$69),0)</f>
        <v>0</v>
      </c>
      <c r="AS404" s="1312">
        <f t="shared" si="232"/>
        <v>0</v>
      </c>
      <c r="AT404" s="1312">
        <f>AU403*((1+'Instrumentos Financeiros'!$I$43)^(1/12)-1)</f>
        <v>0</v>
      </c>
      <c r="AU404" s="1312">
        <f t="shared" si="250"/>
        <v>0</v>
      </c>
      <c r="AV404" s="1312">
        <f>IF(AND(C404&gt;$F$70,'Instrumentos Financeiros'!C404&lt;'Instrumentos Financeiros'!$F$70+'Instrumentos Financeiros'!$F$11+1),PMT(((1+'Instrumentos Financeiros'!$J$43)^(1/12)-1),$F$11,-$I$70),0)</f>
        <v>0</v>
      </c>
      <c r="AW404" s="1312">
        <f t="shared" si="233"/>
        <v>0</v>
      </c>
      <c r="AX404" s="1312">
        <f>AY403*((1+'Instrumentos Financeiros'!$J$43)^(1/12)-1)</f>
        <v>0</v>
      </c>
      <c r="AY404" s="1312">
        <f t="shared" si="251"/>
        <v>0</v>
      </c>
      <c r="AZ404" s="1312">
        <f>IF(AND(C404&gt;$F$71,'Instrumentos Financeiros'!C404&lt;'Instrumentos Financeiros'!$F$71+'Instrumentos Financeiros'!$F$11+1),PMT(((1+'Instrumentos Financeiros'!$J$43)^(1/12)-1),$F$11,-$I$71),0)</f>
        <v>0</v>
      </c>
      <c r="BA404" s="1312">
        <f t="shared" si="234"/>
        <v>0</v>
      </c>
      <c r="BB404" s="1312">
        <f>BC403*((1+'Instrumentos Financeiros'!$J$43)^(1/12)-1)</f>
        <v>0</v>
      </c>
      <c r="BC404" s="1312">
        <f t="shared" si="252"/>
        <v>0</v>
      </c>
      <c r="BD404" s="1312">
        <f>IF(AND(C404&gt;$F$72,'Instrumentos Financeiros'!C404&lt;'Instrumentos Financeiros'!$F$72+'Instrumentos Financeiros'!$F$11+1),PMT(((1+'Instrumentos Financeiros'!$J$43)^(1/12)-1),$F$11,-'Instrumentos Financeiros'!$G$7*$G$72),0)</f>
        <v>0</v>
      </c>
      <c r="BE404" s="1312">
        <f t="shared" si="235"/>
        <v>0</v>
      </c>
      <c r="BF404" s="1312">
        <f>BG403*((1+'Instrumentos Financeiros'!$J$43)^(1/12)-1)</f>
        <v>0</v>
      </c>
      <c r="BG404" s="1312">
        <f t="shared" si="253"/>
        <v>0</v>
      </c>
      <c r="BH404" s="1312">
        <f>IF(AND(C404&gt;$F$73,'Instrumentos Financeiros'!C404&lt;'Instrumentos Financeiros'!$F$73+'Instrumentos Financeiros'!$F$11+1),PMT(((1+'Instrumentos Financeiros'!$J$43)^(1/12)-1),$F$11,-$I$73),0)</f>
        <v>0</v>
      </c>
      <c r="BI404" s="1312">
        <f t="shared" si="236"/>
        <v>0</v>
      </c>
      <c r="BJ404" s="1312">
        <f>BK403*((1+'Instrumentos Financeiros'!$J$43)^(1/12)-1)</f>
        <v>0</v>
      </c>
      <c r="BK404" s="1312">
        <f t="shared" si="254"/>
        <v>0</v>
      </c>
      <c r="BL404" s="1312">
        <f>IF(AND(C404&gt;$F$77,'Instrumentos Financeiros'!C404&lt;'Instrumentos Financeiros'!$F$77+'Instrumentos Financeiros'!$F$12+1),PMT(((1+'Instrumentos Financeiros'!$K$43)^(1/12)-1),$F$12,-$I$77),0)</f>
        <v>0</v>
      </c>
      <c r="BM404" s="1312">
        <f t="shared" si="255"/>
        <v>7.5711064167116861E-14</v>
      </c>
      <c r="BN404" s="1312">
        <f>BO403*((1+'Instrumentos Financeiros'!$K$43)^(1/12)-1)</f>
        <v>-7.5711064167116861E-14</v>
      </c>
      <c r="BO404" s="1312">
        <f t="shared" si="256"/>
        <v>-1.7585164131961811E-11</v>
      </c>
      <c r="BP404" s="1312">
        <f>IF(AND(C404&gt;$F$78,'Instrumentos Financeiros'!C404&lt;'Instrumentos Financeiros'!$F$78+'Instrumentos Financeiros'!$F$12+1),PMT(((1+'Instrumentos Financeiros'!$L$43)^(1/12)-1),$F$12,-$I$78),0)</f>
        <v>0</v>
      </c>
      <c r="BQ404" s="1312">
        <f t="shared" si="257"/>
        <v>7.4737370424830134E-14</v>
      </c>
      <c r="BR404" s="1312">
        <f>BS403*((1+'Instrumentos Financeiros'!$L$43)^(1/12)-1)</f>
        <v>-7.4737370424830134E-14</v>
      </c>
      <c r="BS404" s="1312">
        <f t="shared" si="258"/>
        <v>-1.7359007433984594E-11</v>
      </c>
      <c r="BT404" s="1312">
        <f>IF(AND(C404&gt;$F$79,'Instrumentos Financeiros'!C404&lt;'Instrumentos Financeiros'!$F$79+'Instrumentos Financeiros'!$F$12+1),PMT(((1+'Instrumentos Financeiros'!$L$43)^(1/12)-1),$F$12,-$I$79),0)</f>
        <v>0</v>
      </c>
      <c r="BU404" s="1312">
        <f t="shared" si="259"/>
        <v>7.3776199020119776E-14</v>
      </c>
      <c r="BV404" s="1312">
        <f>BW403*((1+'Instrumentos Financeiros'!$L$43)^(1/12)-1)</f>
        <v>-7.3776199020119776E-14</v>
      </c>
      <c r="BW404" s="1312">
        <f t="shared" si="260"/>
        <v>-1.7135759258876774E-11</v>
      </c>
      <c r="BX404" s="1312">
        <f>IF(AND(C404&gt;$F$80,'Instrumentos Financeiros'!C404&lt;'Instrumentos Financeiros'!$F$80+'Instrumentos Financeiros'!$F$12+1),PMT(((1+'Instrumentos Financeiros'!$L$43)^(1/12)-1),$F$12,-$I$80),0)</f>
        <v>0</v>
      </c>
      <c r="BY404" s="1312">
        <f t="shared" si="261"/>
        <v>7.2827388907544556E-14</v>
      </c>
      <c r="BZ404" s="1312">
        <f>CA403*((1+'Instrumentos Financeiros'!$L$43)^(1/12)-1)</f>
        <v>-7.2827388907544556E-14</v>
      </c>
      <c r="CA404" s="1312">
        <f t="shared" si="262"/>
        <v>-1.6915382201134305E-11</v>
      </c>
      <c r="CB404" s="1312">
        <f>IF(AND(C404&gt;$F$83,'Instrumentos Financeiros'!C404&lt;'Instrumentos Financeiros'!$F$83+'Instrumentos Financeiros'!$F$13+1),PMT(((1+'Instrumentos Financeiros'!$P$43)^(1/12)-1),$F$13,-$I$83),0)</f>
        <v>30503.390100238979</v>
      </c>
      <c r="CC404" s="1312">
        <f t="shared" si="263"/>
        <v>25890.591533076709</v>
      </c>
      <c r="CD404" s="1312">
        <f>CE403*((1+'Instrumentos Financeiros'!$P$43)^(1/12)-1)</f>
        <v>4612.7985671622719</v>
      </c>
      <c r="CE404" s="1312">
        <f t="shared" si="264"/>
        <v>1040896.4218503346</v>
      </c>
      <c r="CF404" s="1312">
        <f>IF(AND(C404&gt;$F$84,'Instrumentos Financeiros'!C404&lt;'Instrumentos Financeiros'!$F$84+'Instrumentos Financeiros'!$F$13+1),PMT(((1+'Instrumentos Financeiros'!$Q$43)^(1/12)-1),$F$13,-$I$84),0)</f>
        <v>30503.390100238979</v>
      </c>
      <c r="CG404" s="1312">
        <f t="shared" si="265"/>
        <v>25557.62161332741</v>
      </c>
      <c r="CH404" s="1312">
        <f>CI403*((1+'Instrumentos Financeiros'!$Q$43)^(1/12)-1)</f>
        <v>4945.7684869115701</v>
      </c>
      <c r="CI404" s="1312">
        <f t="shared" si="266"/>
        <v>1118234.2687583256</v>
      </c>
      <c r="CJ404" s="1312">
        <f>IF(AND(C404&gt;$F$85,'Instrumentos Financeiros'!C404&lt;'Instrumentos Financeiros'!$F$85+'Instrumentos Financeiros'!$F$13+1),PMT(((1+'Instrumentos Financeiros'!$Q$43)^(1/12)-1),$F$13,-$I$85),0)</f>
        <v>30503.390100238979</v>
      </c>
      <c r="CK404" s="1312">
        <f t="shared" si="267"/>
        <v>25228.933904253605</v>
      </c>
      <c r="CL404" s="1312">
        <f>CM403*((1+'Instrumentos Financeiros'!$Q$43)^(1/12)-1)</f>
        <v>5274.4561959853736</v>
      </c>
      <c r="CM404" s="1312">
        <f t="shared" si="268"/>
        <v>1194577.5004353113</v>
      </c>
      <c r="CN404" s="1312">
        <f>IF(AND(C404&gt;$F$86,'Instrumentos Financeiros'!C404&lt;'Instrumentos Financeiros'!$F$86+'Instrumentos Financeiros'!$F$13+1),PMT(((1+'Instrumentos Financeiros'!$Q$43)^(1/12)-1),$F$13,-$I$86),0)</f>
        <v>30503.390100238979</v>
      </c>
      <c r="CO404" s="1312">
        <f t="shared" si="269"/>
        <v>24904.473333828726</v>
      </c>
      <c r="CP404" s="1312">
        <f>CQ403*((1+'Instrumentos Financeiros'!$Q$43)^(1/12)-1)</f>
        <v>5598.9167664102542</v>
      </c>
      <c r="CQ404" s="1312">
        <f t="shared" si="270"/>
        <v>1269938.9082828795</v>
      </c>
      <c r="CR404" s="1312">
        <f t="shared" si="239"/>
        <v>122013.56040095592</v>
      </c>
      <c r="CS404" s="1312">
        <f t="shared" si="239"/>
        <v>101581.62038448654</v>
      </c>
      <c r="CT404" s="1312">
        <f t="shared" si="239"/>
        <v>20431.940016469372</v>
      </c>
      <c r="CU404" s="1312">
        <f t="shared" si="239"/>
        <v>4623647.0993268285</v>
      </c>
    </row>
    <row r="405" spans="3:99" x14ac:dyDescent="0.35">
      <c r="C405" s="1316">
        <f t="shared" si="240"/>
        <v>312</v>
      </c>
      <c r="D405" s="1313">
        <f>IF(AND(C405&gt;$F$59,'Instrumentos Financeiros'!C405&lt;'Instrumentos Financeiros'!$F$59+'Instrumentos Financeiros'!$F$11+1),PMT(((1+'Instrumentos Financeiros'!$G$43)^(1/12)-1),$F$11,-$I$59),0)</f>
        <v>0</v>
      </c>
      <c r="E405" s="1313">
        <f t="shared" si="237"/>
        <v>-1.1378381007598783E-11</v>
      </c>
      <c r="F405" s="1313">
        <f>G404*((1+'Instrumentos Financeiros'!$G$43)^(1/12)-1)</f>
        <v>1.1378381007598783E-11</v>
      </c>
      <c r="G405" s="1313">
        <f t="shared" si="271"/>
        <v>2.7989670455216311E-9</v>
      </c>
      <c r="H405" s="1313">
        <f>IF(AND(C405&gt;$F$60,'Instrumentos Financeiros'!C405&lt;'Instrumentos Financeiros'!$F$60+'Instrumentos Financeiros'!$F$11+1),PMT(((1+'Instrumentos Financeiros'!$G$43)^(1/12)-1),$F$11,-$I$60),0)</f>
        <v>0</v>
      </c>
      <c r="I405" s="1313">
        <f t="shared" si="223"/>
        <v>0</v>
      </c>
      <c r="J405" s="1313">
        <f>K404*((1+'Instrumentos Financeiros'!$G$43)^(1/12)-1)</f>
        <v>0</v>
      </c>
      <c r="K405" s="1313">
        <f t="shared" si="241"/>
        <v>0</v>
      </c>
      <c r="L405" s="1313">
        <f>IF(AND(C405&gt;$F$61,'Instrumentos Financeiros'!C405&lt;'Instrumentos Financeiros'!$F$61+'Instrumentos Financeiros'!$F$11+1),PMT(((1+'Instrumentos Financeiros'!$G$43)^(1/12)-1),$F$11,-$I$61),0)</f>
        <v>0</v>
      </c>
      <c r="M405" s="1313">
        <f t="shared" si="224"/>
        <v>0</v>
      </c>
      <c r="N405" s="1313">
        <f>O404*((1+'Instrumentos Financeiros'!$G$43)^(1/12)-1)</f>
        <v>0</v>
      </c>
      <c r="O405" s="1313">
        <f t="shared" si="242"/>
        <v>0</v>
      </c>
      <c r="P405" s="1313">
        <f>IF(AND(C405&gt;$F$62,'Instrumentos Financeiros'!C405&lt;'Instrumentos Financeiros'!$F$62+'Instrumentos Financeiros'!$F$11+1),PMT(((1+'Instrumentos Financeiros'!$H$43)^(1/12)-1),$F$11,-$I$62),0)</f>
        <v>0</v>
      </c>
      <c r="Q405" s="1313">
        <f t="shared" si="225"/>
        <v>0</v>
      </c>
      <c r="R405" s="1313">
        <f>S404*((1+'Instrumentos Financeiros'!$H$43)^(1/12)-1)</f>
        <v>0</v>
      </c>
      <c r="S405" s="1313">
        <f t="shared" si="243"/>
        <v>0</v>
      </c>
      <c r="T405" s="1313">
        <f>IF(AND(C405&gt;$F$63,'Instrumentos Financeiros'!C405&lt;'Instrumentos Financeiros'!$F$63+'Instrumentos Financeiros'!$F$11+1),PMT(((1+'Instrumentos Financeiros'!$H$43)^(1/12)-1),$F$11,-$I$63),0)</f>
        <v>0</v>
      </c>
      <c r="U405" s="1313">
        <f t="shared" si="226"/>
        <v>0</v>
      </c>
      <c r="V405" s="1313">
        <f>W404*((1+'Instrumentos Financeiros'!$H$43)^(1/12)-1)</f>
        <v>0</v>
      </c>
      <c r="W405" s="1313">
        <f t="shared" si="244"/>
        <v>0</v>
      </c>
      <c r="X405" s="1313">
        <f>IF(AND(C405&gt;$F$64,'Instrumentos Financeiros'!C405&lt;'Instrumentos Financeiros'!$F$64+'Instrumentos Financeiros'!$F$11+1),PMT(((1+'Instrumentos Financeiros'!$H$43)^(1/12)-1),$F$11,-$I$64),0)</f>
        <v>0</v>
      </c>
      <c r="Y405" s="1313">
        <f t="shared" si="227"/>
        <v>0</v>
      </c>
      <c r="Z405" s="1313">
        <f>AA404*((1+'Instrumentos Financeiros'!$H$43)^(1/12)-1)</f>
        <v>0</v>
      </c>
      <c r="AA405" s="1313">
        <f t="shared" si="245"/>
        <v>0</v>
      </c>
      <c r="AB405" s="1313">
        <f>IF(AND(C405&gt;$F$65,'Instrumentos Financeiros'!C405&lt;'Instrumentos Financeiros'!$F$65+'Instrumentos Financeiros'!$F$11+1),PMT(((1+'Instrumentos Financeiros'!$H$43)^(1/12)-1),$F$11,-$I$65),0)</f>
        <v>0</v>
      </c>
      <c r="AC405" s="1313">
        <f t="shared" si="228"/>
        <v>2.7975914889294057E-11</v>
      </c>
      <c r="AD405" s="1313">
        <f>AE404*((1+'Instrumentos Financeiros'!$H$43)^(1/12)-1)</f>
        <v>-2.7975914889294057E-11</v>
      </c>
      <c r="AE405" s="1313">
        <f t="shared" si="246"/>
        <v>-6.4978753169302402E-9</v>
      </c>
      <c r="AF405" s="1313">
        <f>IF(AND(C405&gt;$F$66,'Instrumentos Financeiros'!C405&lt;'Instrumentos Financeiros'!$F$66+'Instrumentos Financeiros'!$F$11+1),PMT(((1+'Instrumentos Financeiros'!$I$43)^(1/12)-1),$F$11,-$I$66),0)</f>
        <v>0</v>
      </c>
      <c r="AG405" s="1313">
        <f t="shared" si="229"/>
        <v>2.7616126348978137E-11</v>
      </c>
      <c r="AH405" s="1313">
        <f>AI404*((1+'Instrumentos Financeiros'!$I$43)^(1/12)-1)</f>
        <v>-2.7616126348978137E-11</v>
      </c>
      <c r="AI405" s="1313">
        <f t="shared" si="247"/>
        <v>-6.4143083957165985E-9</v>
      </c>
      <c r="AJ405" s="1313">
        <f>IF(AND(C405&gt;$F$67,'Instrumentos Financeiros'!C405&lt;'Instrumentos Financeiros'!$F$67+'Instrumentos Financeiros'!$F$11+1),PMT(((1+'Instrumentos Financeiros'!$I$43)^(1/12)-1),$F$11,-$I$67),0)</f>
        <v>0</v>
      </c>
      <c r="AK405" s="1313">
        <f t="shared" si="230"/>
        <v>2.7260964924317048E-11</v>
      </c>
      <c r="AL405" s="1313">
        <f>AM404*((1+'Instrumentos Financeiros'!$I$43)^(1/12)-1)</f>
        <v>-2.7260964924317048E-11</v>
      </c>
      <c r="AM405" s="1313">
        <f t="shared" si="248"/>
        <v>-6.3318161996985797E-9</v>
      </c>
      <c r="AN405" s="1313">
        <f>IF(AND(C405&gt;$F$68,'Instrumentos Financeiros'!C405&lt;'Instrumentos Financeiros'!$F$68+'Instrumentos Financeiros'!$F$11+1),PMT(((1+'Instrumentos Financeiros'!$I$43)^(1/12)-1),$F$11,-$I$68),0)</f>
        <v>0</v>
      </c>
      <c r="AO405" s="1313">
        <f t="shared" si="231"/>
        <v>2.6910371107580889E-11</v>
      </c>
      <c r="AP405" s="1313">
        <f>AQ404*((1+'Instrumentos Financeiros'!$I$43)^(1/12)-1)</f>
        <v>-2.6910371107580889E-11</v>
      </c>
      <c r="AQ405" s="1313">
        <f t="shared" si="249"/>
        <v>-6.2503849072081213E-9</v>
      </c>
      <c r="AR405" s="1313">
        <f>IF(AND(C405&gt;$F$69,'Instrumentos Financeiros'!C405&lt;'Instrumentos Financeiros'!$F$69+'Instrumentos Financeiros'!$F$11+1),PMT(((1+'Instrumentos Financeiros'!$I$43)^(1/12)-1),$F$11,-$I$69),0)</f>
        <v>0</v>
      </c>
      <c r="AS405" s="1313">
        <f t="shared" si="232"/>
        <v>0</v>
      </c>
      <c r="AT405" s="1313">
        <f>AU404*((1+'Instrumentos Financeiros'!$I$43)^(1/12)-1)</f>
        <v>0</v>
      </c>
      <c r="AU405" s="1313">
        <f t="shared" si="250"/>
        <v>0</v>
      </c>
      <c r="AV405" s="1313">
        <f>IF(AND(C405&gt;$F$70,'Instrumentos Financeiros'!C405&lt;'Instrumentos Financeiros'!$F$70+'Instrumentos Financeiros'!$F$11+1),PMT(((1+'Instrumentos Financeiros'!$J$43)^(1/12)-1),$F$11,-$I$70),0)</f>
        <v>0</v>
      </c>
      <c r="AW405" s="1313">
        <f t="shared" si="233"/>
        <v>0</v>
      </c>
      <c r="AX405" s="1313">
        <f>AY404*((1+'Instrumentos Financeiros'!$J$43)^(1/12)-1)</f>
        <v>0</v>
      </c>
      <c r="AY405" s="1313">
        <f t="shared" si="251"/>
        <v>0</v>
      </c>
      <c r="AZ405" s="1313">
        <f>IF(AND(C405&gt;$F$71,'Instrumentos Financeiros'!C405&lt;'Instrumentos Financeiros'!$F$71+'Instrumentos Financeiros'!$F$11+1),PMT(((1+'Instrumentos Financeiros'!$J$43)^(1/12)-1),$F$11,-$I$71),0)</f>
        <v>0</v>
      </c>
      <c r="BA405" s="1313">
        <f t="shared" si="234"/>
        <v>0</v>
      </c>
      <c r="BB405" s="1313">
        <f>BC404*((1+'Instrumentos Financeiros'!$J$43)^(1/12)-1)</f>
        <v>0</v>
      </c>
      <c r="BC405" s="1313">
        <f t="shared" si="252"/>
        <v>0</v>
      </c>
      <c r="BD405" s="1313">
        <f>IF(AND(C405&gt;$F$72,'Instrumentos Financeiros'!C405&lt;'Instrumentos Financeiros'!$F$72+'Instrumentos Financeiros'!$F$11+1),PMT(((1+'Instrumentos Financeiros'!$J$43)^(1/12)-1),$F$11,-'Instrumentos Financeiros'!$G$7*$G$72),0)</f>
        <v>0</v>
      </c>
      <c r="BE405" s="1313">
        <f t="shared" si="235"/>
        <v>0</v>
      </c>
      <c r="BF405" s="1313">
        <f>BG404*((1+'Instrumentos Financeiros'!$J$43)^(1/12)-1)</f>
        <v>0</v>
      </c>
      <c r="BG405" s="1313">
        <f t="shared" si="253"/>
        <v>0</v>
      </c>
      <c r="BH405" s="1313">
        <f>IF(AND(C405&gt;$F$73,'Instrumentos Financeiros'!C405&lt;'Instrumentos Financeiros'!$F$73+'Instrumentos Financeiros'!$F$11+1),PMT(((1+'Instrumentos Financeiros'!$J$43)^(1/12)-1),$F$11,-$I$73),0)</f>
        <v>0</v>
      </c>
      <c r="BI405" s="1313">
        <f t="shared" si="236"/>
        <v>0</v>
      </c>
      <c r="BJ405" s="1313">
        <f>BK404*((1+'Instrumentos Financeiros'!$J$43)^(1/12)-1)</f>
        <v>0</v>
      </c>
      <c r="BK405" s="1313">
        <f t="shared" si="254"/>
        <v>0</v>
      </c>
      <c r="BL405" s="1313">
        <f>IF(AND(C405&gt;$F$77,'Instrumentos Financeiros'!C405&lt;'Instrumentos Financeiros'!$F$77+'Instrumentos Financeiros'!$F$12+1),PMT(((1+'Instrumentos Financeiros'!$K$43)^(1/12)-1),$F$12,-$I$77),0)</f>
        <v>0</v>
      </c>
      <c r="BM405" s="1313">
        <f t="shared" si="255"/>
        <v>7.6038439626254452E-14</v>
      </c>
      <c r="BN405" s="1313">
        <f>BO404*((1+'Instrumentos Financeiros'!$K$43)^(1/12)-1)</f>
        <v>-7.6038439626254452E-14</v>
      </c>
      <c r="BO405" s="1313">
        <f t="shared" si="256"/>
        <v>-1.7661202571588065E-11</v>
      </c>
      <c r="BP405" s="1313">
        <f>IF(AND(C405&gt;$F$78,'Instrumentos Financeiros'!C405&lt;'Instrumentos Financeiros'!$F$78+'Instrumentos Financeiros'!$F$12+1),PMT(((1+'Instrumentos Financeiros'!$L$43)^(1/12)-1),$F$12,-$I$78),0)</f>
        <v>0</v>
      </c>
      <c r="BQ405" s="1313">
        <f t="shared" si="257"/>
        <v>7.5060535621710174E-14</v>
      </c>
      <c r="BR405" s="1313">
        <f>BS404*((1+'Instrumentos Financeiros'!$L$43)^(1/12)-1)</f>
        <v>-7.5060535621710174E-14</v>
      </c>
      <c r="BS405" s="1313">
        <f t="shared" si="258"/>
        <v>-1.7434067969606302E-11</v>
      </c>
      <c r="BT405" s="1313">
        <f>IF(AND(C405&gt;$F$79,'Instrumentos Financeiros'!C405&lt;'Instrumentos Financeiros'!$F$79+'Instrumentos Financeiros'!$F$12+1),PMT(((1+'Instrumentos Financeiros'!$L$43)^(1/12)-1),$F$12,-$I$79),0)</f>
        <v>0</v>
      </c>
      <c r="BU405" s="1313">
        <f t="shared" si="259"/>
        <v>7.4095208101465207E-14</v>
      </c>
      <c r="BV405" s="1313">
        <f>BW404*((1+'Instrumentos Financeiros'!$L$43)^(1/12)-1)</f>
        <v>-7.4095208101465207E-14</v>
      </c>
      <c r="BW405" s="1313">
        <f t="shared" si="260"/>
        <v>-1.720985446697824E-11</v>
      </c>
      <c r="BX405" s="1313">
        <f>IF(AND(C405&gt;$F$80,'Instrumentos Financeiros'!C405&lt;'Instrumentos Financeiros'!$F$80+'Instrumentos Financeiros'!$F$12+1),PMT(((1+'Instrumentos Financeiros'!$L$43)^(1/12)-1),$F$12,-$I$80),0)</f>
        <v>0</v>
      </c>
      <c r="BY405" s="1313">
        <f t="shared" si="261"/>
        <v>7.3142295323716066E-14</v>
      </c>
      <c r="BZ405" s="1313">
        <f>CA404*((1+'Instrumentos Financeiros'!$L$43)^(1/12)-1)</f>
        <v>-7.3142295323716066E-14</v>
      </c>
      <c r="CA405" s="1313">
        <f t="shared" si="262"/>
        <v>-1.6988524496458021E-11</v>
      </c>
      <c r="CB405" s="1313">
        <f>IF(AND(C405&gt;$F$83,'Instrumentos Financeiros'!C405&lt;'Instrumentos Financeiros'!$F$83+'Instrumentos Financeiros'!$F$13+1),PMT(((1+'Instrumentos Financeiros'!$P$43)^(1/12)-1),$F$13,-$I$83),0)</f>
        <v>30503.390100238979</v>
      </c>
      <c r="CC405" s="1313">
        <f t="shared" si="263"/>
        <v>26002.54273048394</v>
      </c>
      <c r="CD405" s="1313">
        <f>CE404*((1+'Instrumentos Financeiros'!$P$43)^(1/12)-1)</f>
        <v>4500.847369755038</v>
      </c>
      <c r="CE405" s="1313">
        <f t="shared" si="264"/>
        <v>1014893.8791198507</v>
      </c>
      <c r="CF405" s="1313">
        <f>IF(AND(C405&gt;$F$84,'Instrumentos Financeiros'!C405&lt;'Instrumentos Financeiros'!$F$84+'Instrumentos Financeiros'!$F$13+1),PMT(((1+'Instrumentos Financeiros'!$Q$43)^(1/12)-1),$F$13,-$I$84),0)</f>
        <v>30503.390100238979</v>
      </c>
      <c r="CG405" s="1313">
        <f t="shared" si="265"/>
        <v>25668.133045205574</v>
      </c>
      <c r="CH405" s="1313">
        <f>CI404*((1+'Instrumentos Financeiros'!$Q$43)^(1/12)-1)</f>
        <v>4835.2570550334049</v>
      </c>
      <c r="CI405" s="1313">
        <f t="shared" si="266"/>
        <v>1092566.13571312</v>
      </c>
      <c r="CJ405" s="1313">
        <f>IF(AND(C405&gt;$F$85,'Instrumentos Financeiros'!C405&lt;'Instrumentos Financeiros'!$F$85+'Instrumentos Financeiros'!$F$13+1),PMT(((1+'Instrumentos Financeiros'!$Q$43)^(1/12)-1),$F$13,-$I$85),0)</f>
        <v>30503.390100238979</v>
      </c>
      <c r="CK405" s="1313">
        <f t="shared" si="267"/>
        <v>25338.024086927911</v>
      </c>
      <c r="CL405" s="1313">
        <f>CM404*((1+'Instrumentos Financeiros'!$Q$43)^(1/12)-1)</f>
        <v>5165.3660133110679</v>
      </c>
      <c r="CM405" s="1313">
        <f t="shared" si="268"/>
        <v>1169239.4763483834</v>
      </c>
      <c r="CN405" s="1313">
        <f>IF(AND(C405&gt;$F$86,'Instrumentos Financeiros'!C405&lt;'Instrumentos Financeiros'!$F$86+'Instrumentos Financeiros'!$F$13+1),PMT(((1+'Instrumentos Financeiros'!$Q$43)^(1/12)-1),$F$13,-$I$86),0)</f>
        <v>30503.390100238979</v>
      </c>
      <c r="CO405" s="1313">
        <f t="shared" si="269"/>
        <v>25012.160545492341</v>
      </c>
      <c r="CP405" s="1313">
        <f>CQ404*((1+'Instrumentos Financeiros'!$Q$43)^(1/12)-1)</f>
        <v>5491.2295547466392</v>
      </c>
      <c r="CQ405" s="1313">
        <f t="shared" si="270"/>
        <v>1244926.7477373872</v>
      </c>
      <c r="CR405" s="1313">
        <f t="shared" si="239"/>
        <v>122013.56040095592</v>
      </c>
      <c r="CS405" s="1313">
        <f t="shared" si="239"/>
        <v>102020.86040810986</v>
      </c>
      <c r="CT405" s="1313">
        <f t="shared" si="239"/>
        <v>19992.69999284605</v>
      </c>
      <c r="CU405" s="1313">
        <f t="shared" si="239"/>
        <v>4521626.238918718</v>
      </c>
    </row>
    <row r="406" spans="3:99" x14ac:dyDescent="0.35">
      <c r="C406" s="1315">
        <f t="shared" si="240"/>
        <v>313</v>
      </c>
      <c r="D406" s="1312">
        <f>IF(AND(C406&gt;$F$59,'Instrumentos Financeiros'!C406&lt;'Instrumentos Financeiros'!$F$59+'Instrumentos Financeiros'!$F$11+1),PMT(((1+'Instrumentos Financeiros'!$G$43)^(1/12)-1),$F$11,-$I$59),0)</f>
        <v>0</v>
      </c>
      <c r="E406" s="1312">
        <f t="shared" si="237"/>
        <v>-1.1424825289713361E-11</v>
      </c>
      <c r="F406" s="1312">
        <f>G405*((1+'Instrumentos Financeiros'!$G$43)^(1/12)-1)</f>
        <v>1.1424825289713361E-11</v>
      </c>
      <c r="G406" s="1312">
        <f t="shared" si="271"/>
        <v>2.8103918708113444E-9</v>
      </c>
      <c r="H406" s="1312">
        <f>IF(AND(C406&gt;$F$60,'Instrumentos Financeiros'!C406&lt;'Instrumentos Financeiros'!$F$60+'Instrumentos Financeiros'!$F$11+1),PMT(((1+'Instrumentos Financeiros'!$G$43)^(1/12)-1),$F$11,-$I$60),0)</f>
        <v>0</v>
      </c>
      <c r="I406" s="1312">
        <f t="shared" si="223"/>
        <v>0</v>
      </c>
      <c r="J406" s="1312">
        <f>K405*((1+'Instrumentos Financeiros'!$G$43)^(1/12)-1)</f>
        <v>0</v>
      </c>
      <c r="K406" s="1312">
        <f t="shared" si="241"/>
        <v>0</v>
      </c>
      <c r="L406" s="1312">
        <f>IF(AND(C406&gt;$F$61,'Instrumentos Financeiros'!C406&lt;'Instrumentos Financeiros'!$F$61+'Instrumentos Financeiros'!$F$11+1),PMT(((1+'Instrumentos Financeiros'!$G$43)^(1/12)-1),$F$11,-$I$61),0)</f>
        <v>0</v>
      </c>
      <c r="M406" s="1312">
        <f t="shared" si="224"/>
        <v>0</v>
      </c>
      <c r="N406" s="1312">
        <f>O405*((1+'Instrumentos Financeiros'!$G$43)^(1/12)-1)</f>
        <v>0</v>
      </c>
      <c r="O406" s="1312">
        <f t="shared" si="242"/>
        <v>0</v>
      </c>
      <c r="P406" s="1312">
        <f>IF(AND(C406&gt;$F$62,'Instrumentos Financeiros'!C406&lt;'Instrumentos Financeiros'!$F$62+'Instrumentos Financeiros'!$F$11+1),PMT(((1+'Instrumentos Financeiros'!$H$43)^(1/12)-1),$F$11,-$I$62),0)</f>
        <v>0</v>
      </c>
      <c r="Q406" s="1312">
        <f t="shared" si="225"/>
        <v>0</v>
      </c>
      <c r="R406" s="1312">
        <f>S405*((1+'Instrumentos Financeiros'!$H$43)^(1/12)-1)</f>
        <v>0</v>
      </c>
      <c r="S406" s="1312">
        <f t="shared" si="243"/>
        <v>0</v>
      </c>
      <c r="T406" s="1312">
        <f>IF(AND(C406&gt;$F$63,'Instrumentos Financeiros'!C406&lt;'Instrumentos Financeiros'!$F$63+'Instrumentos Financeiros'!$F$11+1),PMT(((1+'Instrumentos Financeiros'!$H$43)^(1/12)-1),$F$11,-$I$63),0)</f>
        <v>0</v>
      </c>
      <c r="U406" s="1312">
        <f t="shared" si="226"/>
        <v>0</v>
      </c>
      <c r="V406" s="1312">
        <f>W405*((1+'Instrumentos Financeiros'!$H$43)^(1/12)-1)</f>
        <v>0</v>
      </c>
      <c r="W406" s="1312">
        <f t="shared" si="244"/>
        <v>0</v>
      </c>
      <c r="X406" s="1312">
        <f>IF(AND(C406&gt;$F$64,'Instrumentos Financeiros'!C406&lt;'Instrumentos Financeiros'!$F$64+'Instrumentos Financeiros'!$F$11+1),PMT(((1+'Instrumentos Financeiros'!$H$43)^(1/12)-1),$F$11,-$I$64),0)</f>
        <v>0</v>
      </c>
      <c r="Y406" s="1312">
        <f t="shared" si="227"/>
        <v>0</v>
      </c>
      <c r="Z406" s="1312">
        <f>AA405*((1+'Instrumentos Financeiros'!$H$43)^(1/12)-1)</f>
        <v>0</v>
      </c>
      <c r="AA406" s="1312">
        <f t="shared" si="245"/>
        <v>0</v>
      </c>
      <c r="AB406" s="1312">
        <f>IF(AND(C406&gt;$F$65,'Instrumentos Financeiros'!C406&lt;'Instrumentos Financeiros'!$F$65+'Instrumentos Financeiros'!$F$11+1),PMT(((1+'Instrumentos Financeiros'!$H$43)^(1/12)-1),$F$11,-$I$65),0)</f>
        <v>0</v>
      </c>
      <c r="AC406" s="1312">
        <f t="shared" si="228"/>
        <v>2.8096883047415055E-11</v>
      </c>
      <c r="AD406" s="1312">
        <f>AE405*((1+'Instrumentos Financeiros'!$H$43)^(1/12)-1)</f>
        <v>-2.8096883047415055E-11</v>
      </c>
      <c r="AE406" s="1312">
        <f t="shared" si="246"/>
        <v>-6.5259721999776556E-9</v>
      </c>
      <c r="AF406" s="1312">
        <f>IF(AND(C406&gt;$F$66,'Instrumentos Financeiros'!C406&lt;'Instrumentos Financeiros'!$F$66+'Instrumentos Financeiros'!$F$11+1),PMT(((1+'Instrumentos Financeiros'!$I$43)^(1/12)-1),$F$11,-$I$66),0)</f>
        <v>0</v>
      </c>
      <c r="AG406" s="1312">
        <f t="shared" si="229"/>
        <v>2.7735538777565094E-11</v>
      </c>
      <c r="AH406" s="1312">
        <f>AI405*((1+'Instrumentos Financeiros'!$I$43)^(1/12)-1)</f>
        <v>-2.7735538777565094E-11</v>
      </c>
      <c r="AI406" s="1312">
        <f t="shared" si="247"/>
        <v>-6.4420439344941634E-9</v>
      </c>
      <c r="AJ406" s="1312">
        <f>IF(AND(C406&gt;$F$67,'Instrumentos Financeiros'!C406&lt;'Instrumentos Financeiros'!$F$67+'Instrumentos Financeiros'!$F$11+1),PMT(((1+'Instrumentos Financeiros'!$I$43)^(1/12)-1),$F$11,-$I$67),0)</f>
        <v>0</v>
      </c>
      <c r="AK406" s="1312">
        <f t="shared" si="230"/>
        <v>2.7378841631068032E-11</v>
      </c>
      <c r="AL406" s="1312">
        <f>AM405*((1+'Instrumentos Financeiros'!$I$43)^(1/12)-1)</f>
        <v>-2.7378841631068032E-11</v>
      </c>
      <c r="AM406" s="1312">
        <f t="shared" si="248"/>
        <v>-6.3591950413296477E-9</v>
      </c>
      <c r="AN406" s="1312">
        <f>IF(AND(C406&gt;$F$68,'Instrumentos Financeiros'!C406&lt;'Instrumentos Financeiros'!$F$68+'Instrumentos Financeiros'!$F$11+1),PMT(((1+'Instrumentos Financeiros'!$I$43)^(1/12)-1),$F$11,-$I$68),0)</f>
        <v>0</v>
      </c>
      <c r="AO406" s="1312">
        <f t="shared" si="231"/>
        <v>2.7026731842881889E-11</v>
      </c>
      <c r="AP406" s="1312">
        <f>AQ405*((1+'Instrumentos Financeiros'!$I$43)^(1/12)-1)</f>
        <v>-2.7026731842881889E-11</v>
      </c>
      <c r="AQ406" s="1312">
        <f t="shared" si="249"/>
        <v>-6.2774116390510034E-9</v>
      </c>
      <c r="AR406" s="1312">
        <f>IF(AND(C406&gt;$F$69,'Instrumentos Financeiros'!C406&lt;'Instrumentos Financeiros'!$F$69+'Instrumentos Financeiros'!$F$11+1),PMT(((1+'Instrumentos Financeiros'!$I$43)^(1/12)-1),$F$11,-$I$69),0)</f>
        <v>0</v>
      </c>
      <c r="AS406" s="1312">
        <f t="shared" si="232"/>
        <v>0</v>
      </c>
      <c r="AT406" s="1312">
        <f>AU405*((1+'Instrumentos Financeiros'!$I$43)^(1/12)-1)</f>
        <v>0</v>
      </c>
      <c r="AU406" s="1312">
        <f t="shared" si="250"/>
        <v>0</v>
      </c>
      <c r="AV406" s="1312">
        <f>IF(AND(C406&gt;$F$70,'Instrumentos Financeiros'!C406&lt;'Instrumentos Financeiros'!$F$70+'Instrumentos Financeiros'!$F$11+1),PMT(((1+'Instrumentos Financeiros'!$J$43)^(1/12)-1),$F$11,-$I$70),0)</f>
        <v>0</v>
      </c>
      <c r="AW406" s="1312">
        <f t="shared" si="233"/>
        <v>0</v>
      </c>
      <c r="AX406" s="1312">
        <f>AY405*((1+'Instrumentos Financeiros'!$J$43)^(1/12)-1)</f>
        <v>0</v>
      </c>
      <c r="AY406" s="1312">
        <f t="shared" si="251"/>
        <v>0</v>
      </c>
      <c r="AZ406" s="1312">
        <f>IF(AND(C406&gt;$F$71,'Instrumentos Financeiros'!C406&lt;'Instrumentos Financeiros'!$F$71+'Instrumentos Financeiros'!$F$11+1),PMT(((1+'Instrumentos Financeiros'!$J$43)^(1/12)-1),$F$11,-$I$71),0)</f>
        <v>0</v>
      </c>
      <c r="BA406" s="1312">
        <f t="shared" si="234"/>
        <v>0</v>
      </c>
      <c r="BB406" s="1312">
        <f>BC405*((1+'Instrumentos Financeiros'!$J$43)^(1/12)-1)</f>
        <v>0</v>
      </c>
      <c r="BC406" s="1312">
        <f t="shared" si="252"/>
        <v>0</v>
      </c>
      <c r="BD406" s="1312">
        <f>IF(AND(C406&gt;$F$72,'Instrumentos Financeiros'!C406&lt;'Instrumentos Financeiros'!$F$72+'Instrumentos Financeiros'!$F$11+1),PMT(((1+'Instrumentos Financeiros'!$J$43)^(1/12)-1),$F$11,-'Instrumentos Financeiros'!$G$7*$G$72),0)</f>
        <v>0</v>
      </c>
      <c r="BE406" s="1312">
        <f t="shared" si="235"/>
        <v>0</v>
      </c>
      <c r="BF406" s="1312">
        <f>BG405*((1+'Instrumentos Financeiros'!$J$43)^(1/12)-1)</f>
        <v>0</v>
      </c>
      <c r="BG406" s="1312">
        <f t="shared" si="253"/>
        <v>0</v>
      </c>
      <c r="BH406" s="1312">
        <f>IF(AND(C406&gt;$F$73,'Instrumentos Financeiros'!C406&lt;'Instrumentos Financeiros'!$F$73+'Instrumentos Financeiros'!$F$11+1),PMT(((1+'Instrumentos Financeiros'!$J$43)^(1/12)-1),$F$11,-$I$73),0)</f>
        <v>0</v>
      </c>
      <c r="BI406" s="1312">
        <f t="shared" si="236"/>
        <v>0</v>
      </c>
      <c r="BJ406" s="1312">
        <f>BK405*((1+'Instrumentos Financeiros'!$J$43)^(1/12)-1)</f>
        <v>0</v>
      </c>
      <c r="BK406" s="1312">
        <f t="shared" si="254"/>
        <v>0</v>
      </c>
      <c r="BL406" s="1312">
        <f>IF(AND(C406&gt;$F$77,'Instrumentos Financeiros'!C406&lt;'Instrumentos Financeiros'!$F$77+'Instrumentos Financeiros'!$F$12+1),PMT(((1+'Instrumentos Financeiros'!$K$43)^(1/12)-1),$F$12,-$I$77),0)</f>
        <v>0</v>
      </c>
      <c r="BM406" s="1312">
        <f t="shared" si="255"/>
        <v>7.6367230660412994E-14</v>
      </c>
      <c r="BN406" s="1312">
        <f>BO405*((1+'Instrumentos Financeiros'!$K$43)^(1/12)-1)</f>
        <v>-7.6367230660412994E-14</v>
      </c>
      <c r="BO406" s="1312">
        <f t="shared" si="256"/>
        <v>-1.7737569802248478E-11</v>
      </c>
      <c r="BP406" s="1312">
        <f>IF(AND(C406&gt;$F$78,'Instrumentos Financeiros'!C406&lt;'Instrumentos Financeiros'!$F$78+'Instrumentos Financeiros'!$F$12+1),PMT(((1+'Instrumentos Financeiros'!$L$43)^(1/12)-1),$F$12,-$I$78),0)</f>
        <v>0</v>
      </c>
      <c r="BQ406" s="1312">
        <f t="shared" si="257"/>
        <v>7.5385098188391716E-14</v>
      </c>
      <c r="BR406" s="1312">
        <f>BS405*((1+'Instrumentos Financeiros'!$L$43)^(1/12)-1)</f>
        <v>-7.5385098188391716E-14</v>
      </c>
      <c r="BS406" s="1312">
        <f t="shared" si="258"/>
        <v>-1.7509453067794693E-11</v>
      </c>
      <c r="BT406" s="1312">
        <f>IF(AND(C406&gt;$F$79,'Instrumentos Financeiros'!C406&lt;'Instrumentos Financeiros'!$F$79+'Instrumentos Financeiros'!$F$12+1),PMT(((1+'Instrumentos Financeiros'!$L$43)^(1/12)-1),$F$12,-$I$79),0)</f>
        <v>0</v>
      </c>
      <c r="BU406" s="1312">
        <f t="shared" si="259"/>
        <v>7.4415596581523695E-14</v>
      </c>
      <c r="BV406" s="1312">
        <f>BW405*((1+'Instrumentos Financeiros'!$L$43)^(1/12)-1)</f>
        <v>-7.4415596581523695E-14</v>
      </c>
      <c r="BW406" s="1312">
        <f t="shared" si="260"/>
        <v>-1.7284270063559764E-11</v>
      </c>
      <c r="BX406" s="1312">
        <f>IF(AND(C406&gt;$F$80,'Instrumentos Financeiros'!C406&lt;'Instrumentos Financeiros'!$F$80+'Instrumentos Financeiros'!$F$12+1),PMT(((1+'Instrumentos Financeiros'!$L$43)^(1/12)-1),$F$12,-$I$80),0)</f>
        <v>0</v>
      </c>
      <c r="BY406" s="1312">
        <f t="shared" si="261"/>
        <v>7.3458563398632112E-14</v>
      </c>
      <c r="BZ406" s="1312">
        <f>CA405*((1+'Instrumentos Financeiros'!$L$43)^(1/12)-1)</f>
        <v>-7.3458563398632112E-14</v>
      </c>
      <c r="CA406" s="1312">
        <f t="shared" si="262"/>
        <v>-1.7061983059856655E-11</v>
      </c>
      <c r="CB406" s="1312">
        <f>IF(AND(C406&gt;$F$83,'Instrumentos Financeiros'!C406&lt;'Instrumentos Financeiros'!$F$83+'Instrumentos Financeiros'!$F$13+1),PMT(((1+'Instrumentos Financeiros'!$P$43)^(1/12)-1),$F$13,-$I$83),0)</f>
        <v>30503.390100238979</v>
      </c>
      <c r="CC406" s="1312">
        <f t="shared" si="263"/>
        <v>26114.978006077836</v>
      </c>
      <c r="CD406" s="1312">
        <f>CE405*((1+'Instrumentos Financeiros'!$P$43)^(1/12)-1)</f>
        <v>4388.4120941611427</v>
      </c>
      <c r="CE406" s="1312">
        <f t="shared" si="264"/>
        <v>988778.90111377288</v>
      </c>
      <c r="CF406" s="1312">
        <f>IF(AND(C406&gt;$F$84,'Instrumentos Financeiros'!C406&lt;'Instrumentos Financeiros'!$F$84+'Instrumentos Financeiros'!$F$13+1),PMT(((1+'Instrumentos Financeiros'!$Q$43)^(1/12)-1),$F$13,-$I$84),0)</f>
        <v>30503.390100238979</v>
      </c>
      <c r="CG406" s="1312">
        <f t="shared" si="265"/>
        <v>25779.122329708705</v>
      </c>
      <c r="CH406" s="1312">
        <f>CI405*((1+'Instrumentos Financeiros'!$Q$43)^(1/12)-1)</f>
        <v>4724.2677705302758</v>
      </c>
      <c r="CI406" s="1312">
        <f t="shared" si="266"/>
        <v>1066787.0133834113</v>
      </c>
      <c r="CJ406" s="1312">
        <f>IF(AND(C406&gt;$F$85,'Instrumentos Financeiros'!C406&lt;'Instrumentos Financeiros'!$F$85+'Instrumentos Financeiros'!$F$13+1),PMT(((1+'Instrumentos Financeiros'!$Q$43)^(1/12)-1),$F$13,-$I$85),0)</f>
        <v>30503.390100238979</v>
      </c>
      <c r="CK406" s="1312">
        <f t="shared" si="267"/>
        <v>25447.585976730275</v>
      </c>
      <c r="CL406" s="1312">
        <f>CM405*((1+'Instrumentos Financeiros'!$Q$43)^(1/12)-1)</f>
        <v>5055.8041235087057</v>
      </c>
      <c r="CM406" s="1312">
        <f t="shared" si="268"/>
        <v>1143791.890371653</v>
      </c>
      <c r="CN406" s="1312">
        <f>IF(AND(C406&gt;$F$86,'Instrumentos Financeiros'!C406&lt;'Instrumentos Financeiros'!$F$86+'Instrumentos Financeiros'!$F$13+1),PMT(((1+'Instrumentos Financeiros'!$Q$43)^(1/12)-1),$F$13,-$I$86),0)</f>
        <v>30503.390100238979</v>
      </c>
      <c r="CO406" s="1312">
        <f t="shared" si="269"/>
        <v>25120.31339782221</v>
      </c>
      <c r="CP406" s="1312">
        <f>CQ405*((1+'Instrumentos Financeiros'!$Q$43)^(1/12)-1)</f>
        <v>5383.0767024167681</v>
      </c>
      <c r="CQ406" s="1312">
        <f t="shared" si="270"/>
        <v>1219806.434339565</v>
      </c>
      <c r="CR406" s="1312">
        <f t="shared" si="239"/>
        <v>122013.56040095592</v>
      </c>
      <c r="CS406" s="1312">
        <f t="shared" si="239"/>
        <v>102461.99971033912</v>
      </c>
      <c r="CT406" s="1312">
        <f t="shared" si="239"/>
        <v>19551.560690616792</v>
      </c>
      <c r="CU406" s="1312">
        <f t="shared" si="239"/>
        <v>4419164.2392083798</v>
      </c>
    </row>
    <row r="407" spans="3:99" x14ac:dyDescent="0.35">
      <c r="C407" s="1315">
        <f t="shared" si="240"/>
        <v>314</v>
      </c>
      <c r="D407" s="1312">
        <f>IF(AND(C407&gt;$F$59,'Instrumentos Financeiros'!C407&lt;'Instrumentos Financeiros'!$F$59+'Instrumentos Financeiros'!$F$11+1),PMT(((1+'Instrumentos Financeiros'!$G$43)^(1/12)-1),$F$11,-$I$59),0)</f>
        <v>0</v>
      </c>
      <c r="E407" s="1312">
        <f t="shared" si="237"/>
        <v>-1.1471459148125275E-11</v>
      </c>
      <c r="F407" s="1312">
        <f>G406*((1+'Instrumentos Financeiros'!$G$43)^(1/12)-1)</f>
        <v>1.1471459148125275E-11</v>
      </c>
      <c r="G407" s="1312">
        <f t="shared" si="271"/>
        <v>2.8218633299594696E-9</v>
      </c>
      <c r="H407" s="1312">
        <f>IF(AND(C407&gt;$F$60,'Instrumentos Financeiros'!C407&lt;'Instrumentos Financeiros'!$F$60+'Instrumentos Financeiros'!$F$11+1),PMT(((1+'Instrumentos Financeiros'!$G$43)^(1/12)-1),$F$11,-$I$60),0)</f>
        <v>0</v>
      </c>
      <c r="I407" s="1312">
        <f t="shared" si="223"/>
        <v>0</v>
      </c>
      <c r="J407" s="1312">
        <f>K406*((1+'Instrumentos Financeiros'!$G$43)^(1/12)-1)</f>
        <v>0</v>
      </c>
      <c r="K407" s="1312">
        <f t="shared" si="241"/>
        <v>0</v>
      </c>
      <c r="L407" s="1312">
        <f>IF(AND(C407&gt;$F$61,'Instrumentos Financeiros'!C407&lt;'Instrumentos Financeiros'!$F$61+'Instrumentos Financeiros'!$F$11+1),PMT(((1+'Instrumentos Financeiros'!$G$43)^(1/12)-1),$F$11,-$I$61),0)</f>
        <v>0</v>
      </c>
      <c r="M407" s="1312">
        <f t="shared" si="224"/>
        <v>0</v>
      </c>
      <c r="N407" s="1312">
        <f>O406*((1+'Instrumentos Financeiros'!$G$43)^(1/12)-1)</f>
        <v>0</v>
      </c>
      <c r="O407" s="1312">
        <f t="shared" si="242"/>
        <v>0</v>
      </c>
      <c r="P407" s="1312">
        <f>IF(AND(C407&gt;$F$62,'Instrumentos Financeiros'!C407&lt;'Instrumentos Financeiros'!$F$62+'Instrumentos Financeiros'!$F$11+1),PMT(((1+'Instrumentos Financeiros'!$H$43)^(1/12)-1),$F$11,-$I$62),0)</f>
        <v>0</v>
      </c>
      <c r="Q407" s="1312">
        <f t="shared" si="225"/>
        <v>0</v>
      </c>
      <c r="R407" s="1312">
        <f>S406*((1+'Instrumentos Financeiros'!$H$43)^(1/12)-1)</f>
        <v>0</v>
      </c>
      <c r="S407" s="1312">
        <f t="shared" si="243"/>
        <v>0</v>
      </c>
      <c r="T407" s="1312">
        <f>IF(AND(C407&gt;$F$63,'Instrumentos Financeiros'!C407&lt;'Instrumentos Financeiros'!$F$63+'Instrumentos Financeiros'!$F$11+1),PMT(((1+'Instrumentos Financeiros'!$H$43)^(1/12)-1),$F$11,-$I$63),0)</f>
        <v>0</v>
      </c>
      <c r="U407" s="1312">
        <f t="shared" si="226"/>
        <v>0</v>
      </c>
      <c r="V407" s="1312">
        <f>W406*((1+'Instrumentos Financeiros'!$H$43)^(1/12)-1)</f>
        <v>0</v>
      </c>
      <c r="W407" s="1312">
        <f t="shared" si="244"/>
        <v>0</v>
      </c>
      <c r="X407" s="1312">
        <f>IF(AND(C407&gt;$F$64,'Instrumentos Financeiros'!C407&lt;'Instrumentos Financeiros'!$F$64+'Instrumentos Financeiros'!$F$11+1),PMT(((1+'Instrumentos Financeiros'!$H$43)^(1/12)-1),$F$11,-$I$64),0)</f>
        <v>0</v>
      </c>
      <c r="Y407" s="1312">
        <f t="shared" si="227"/>
        <v>0</v>
      </c>
      <c r="Z407" s="1312">
        <f>AA406*((1+'Instrumentos Financeiros'!$H$43)^(1/12)-1)</f>
        <v>0</v>
      </c>
      <c r="AA407" s="1312">
        <f t="shared" si="245"/>
        <v>0</v>
      </c>
      <c r="AB407" s="1312">
        <f>IF(AND(C407&gt;$F$65,'Instrumentos Financeiros'!C407&lt;'Instrumentos Financeiros'!$F$65+'Instrumentos Financeiros'!$F$11+1),PMT(((1+'Instrumentos Financeiros'!$H$43)^(1/12)-1),$F$11,-$I$65),0)</f>
        <v>0</v>
      </c>
      <c r="AC407" s="1312">
        <f t="shared" si="228"/>
        <v>2.8218374273158221E-11</v>
      </c>
      <c r="AD407" s="1312">
        <f>AE406*((1+'Instrumentos Financeiros'!$H$43)^(1/12)-1)</f>
        <v>-2.8218374273158221E-11</v>
      </c>
      <c r="AE407" s="1312">
        <f t="shared" si="246"/>
        <v>-6.5541905742508137E-9</v>
      </c>
      <c r="AF407" s="1312">
        <f>IF(AND(C407&gt;$F$66,'Instrumentos Financeiros'!C407&lt;'Instrumentos Financeiros'!$F$66+'Instrumentos Financeiros'!$F$11+1),PMT(((1+'Instrumentos Financeiros'!$I$43)^(1/12)-1),$F$11,-$I$66),0)</f>
        <v>0</v>
      </c>
      <c r="AG407" s="1312">
        <f t="shared" si="229"/>
        <v>2.7855467546782911E-11</v>
      </c>
      <c r="AH407" s="1312">
        <f>AI406*((1+'Instrumentos Financeiros'!$I$43)^(1/12)-1)</f>
        <v>-2.7855467546782911E-11</v>
      </c>
      <c r="AI407" s="1312">
        <f t="shared" si="247"/>
        <v>-6.4698994020409461E-9</v>
      </c>
      <c r="AJ407" s="1312">
        <f>IF(AND(C407&gt;$F$67,'Instrumentos Financeiros'!C407&lt;'Instrumentos Financeiros'!$F$67+'Instrumentos Financeiros'!$F$11+1),PMT(((1+'Instrumentos Financeiros'!$I$43)^(1/12)-1),$F$11,-$I$67),0)</f>
        <v>0</v>
      </c>
      <c r="AK407" s="1312">
        <f t="shared" si="230"/>
        <v>2.749722803797207E-11</v>
      </c>
      <c r="AL407" s="1312">
        <f>AM406*((1+'Instrumentos Financeiros'!$I$43)^(1/12)-1)</f>
        <v>-2.749722803797207E-11</v>
      </c>
      <c r="AM407" s="1312">
        <f t="shared" si="248"/>
        <v>-6.38669226936762E-9</v>
      </c>
      <c r="AN407" s="1312">
        <f>IF(AND(C407&gt;$F$68,'Instrumentos Financeiros'!C407&lt;'Instrumentos Financeiros'!$F$68+'Instrumentos Financeiros'!$F$11+1),PMT(((1+'Instrumentos Financeiros'!$I$43)^(1/12)-1),$F$11,-$I$68),0)</f>
        <v>0</v>
      </c>
      <c r="AO407" s="1312">
        <f t="shared" si="231"/>
        <v>2.714359572325903E-11</v>
      </c>
      <c r="AP407" s="1312">
        <f>AQ406*((1+'Instrumentos Financeiros'!$I$43)^(1/12)-1)</f>
        <v>-2.714359572325903E-11</v>
      </c>
      <c r="AQ407" s="1312">
        <f t="shared" si="249"/>
        <v>-6.3045552347742624E-9</v>
      </c>
      <c r="AR407" s="1312">
        <f>IF(AND(C407&gt;$F$69,'Instrumentos Financeiros'!C407&lt;'Instrumentos Financeiros'!$F$69+'Instrumentos Financeiros'!$F$11+1),PMT(((1+'Instrumentos Financeiros'!$I$43)^(1/12)-1),$F$11,-$I$69),0)</f>
        <v>0</v>
      </c>
      <c r="AS407" s="1312">
        <f t="shared" si="232"/>
        <v>0</v>
      </c>
      <c r="AT407" s="1312">
        <f>AU406*((1+'Instrumentos Financeiros'!$I$43)^(1/12)-1)</f>
        <v>0</v>
      </c>
      <c r="AU407" s="1312">
        <f t="shared" si="250"/>
        <v>0</v>
      </c>
      <c r="AV407" s="1312">
        <f>IF(AND(C407&gt;$F$70,'Instrumentos Financeiros'!C407&lt;'Instrumentos Financeiros'!$F$70+'Instrumentos Financeiros'!$F$11+1),PMT(((1+'Instrumentos Financeiros'!$J$43)^(1/12)-1),$F$11,-$I$70),0)</f>
        <v>0</v>
      </c>
      <c r="AW407" s="1312">
        <f t="shared" si="233"/>
        <v>0</v>
      </c>
      <c r="AX407" s="1312">
        <f>AY406*((1+'Instrumentos Financeiros'!$J$43)^(1/12)-1)</f>
        <v>0</v>
      </c>
      <c r="AY407" s="1312">
        <f t="shared" si="251"/>
        <v>0</v>
      </c>
      <c r="AZ407" s="1312">
        <f>IF(AND(C407&gt;$F$71,'Instrumentos Financeiros'!C407&lt;'Instrumentos Financeiros'!$F$71+'Instrumentos Financeiros'!$F$11+1),PMT(((1+'Instrumentos Financeiros'!$J$43)^(1/12)-1),$F$11,-$I$71),0)</f>
        <v>0</v>
      </c>
      <c r="BA407" s="1312">
        <f t="shared" si="234"/>
        <v>0</v>
      </c>
      <c r="BB407" s="1312">
        <f>BC406*((1+'Instrumentos Financeiros'!$J$43)^(1/12)-1)</f>
        <v>0</v>
      </c>
      <c r="BC407" s="1312">
        <f t="shared" si="252"/>
        <v>0</v>
      </c>
      <c r="BD407" s="1312">
        <f>IF(AND(C407&gt;$F$72,'Instrumentos Financeiros'!C407&lt;'Instrumentos Financeiros'!$F$72+'Instrumentos Financeiros'!$F$11+1),PMT(((1+'Instrumentos Financeiros'!$J$43)^(1/12)-1),$F$11,-'Instrumentos Financeiros'!$G$7*$G$72),0)</f>
        <v>0</v>
      </c>
      <c r="BE407" s="1312">
        <f t="shared" si="235"/>
        <v>0</v>
      </c>
      <c r="BF407" s="1312">
        <f>BG406*((1+'Instrumentos Financeiros'!$J$43)^(1/12)-1)</f>
        <v>0</v>
      </c>
      <c r="BG407" s="1312">
        <f t="shared" si="253"/>
        <v>0</v>
      </c>
      <c r="BH407" s="1312">
        <f>IF(AND(C407&gt;$F$73,'Instrumentos Financeiros'!C407&lt;'Instrumentos Financeiros'!$F$73+'Instrumentos Financeiros'!$F$11+1),PMT(((1+'Instrumentos Financeiros'!$J$43)^(1/12)-1),$F$11,-$I$73),0)</f>
        <v>0</v>
      </c>
      <c r="BI407" s="1312">
        <f t="shared" si="236"/>
        <v>0</v>
      </c>
      <c r="BJ407" s="1312">
        <f>BK406*((1+'Instrumentos Financeiros'!$J$43)^(1/12)-1)</f>
        <v>0</v>
      </c>
      <c r="BK407" s="1312">
        <f t="shared" si="254"/>
        <v>0</v>
      </c>
      <c r="BL407" s="1312">
        <f>IF(AND(C407&gt;$F$77,'Instrumentos Financeiros'!C407&lt;'Instrumentos Financeiros'!$F$77+'Instrumentos Financeiros'!$F$12+1),PMT(((1+'Instrumentos Financeiros'!$K$43)^(1/12)-1),$F$12,-$I$77),0)</f>
        <v>0</v>
      </c>
      <c r="BM407" s="1312">
        <f t="shared" si="255"/>
        <v>7.6697443390554183E-14</v>
      </c>
      <c r="BN407" s="1312">
        <f>BO406*((1+'Instrumentos Financeiros'!$K$43)^(1/12)-1)</f>
        <v>-7.6697443390554183E-14</v>
      </c>
      <c r="BO407" s="1312">
        <f t="shared" si="256"/>
        <v>-1.7814267245639033E-11</v>
      </c>
      <c r="BP407" s="1312">
        <f>IF(AND(C407&gt;$F$78,'Instrumentos Financeiros'!C407&lt;'Instrumentos Financeiros'!$F$78+'Instrumentos Financeiros'!$F$12+1),PMT(((1+'Instrumentos Financeiros'!$L$43)^(1/12)-1),$F$12,-$I$78),0)</f>
        <v>0</v>
      </c>
      <c r="BQ407" s="1312">
        <f t="shared" si="257"/>
        <v>7.5711064167116861E-14</v>
      </c>
      <c r="BR407" s="1312">
        <f>BS406*((1+'Instrumentos Financeiros'!$L$43)^(1/12)-1)</f>
        <v>-7.5711064167116861E-14</v>
      </c>
      <c r="BS407" s="1312">
        <f t="shared" si="258"/>
        <v>-1.7585164131961811E-11</v>
      </c>
      <c r="BT407" s="1312">
        <f>IF(AND(C407&gt;$F$79,'Instrumentos Financeiros'!C407&lt;'Instrumentos Financeiros'!$F$79+'Instrumentos Financeiros'!$F$12+1),PMT(((1+'Instrumentos Financeiros'!$L$43)^(1/12)-1),$F$12,-$I$79),0)</f>
        <v>0</v>
      </c>
      <c r="BU407" s="1312">
        <f t="shared" si="259"/>
        <v>7.4737370424830134E-14</v>
      </c>
      <c r="BV407" s="1312">
        <f>BW406*((1+'Instrumentos Financeiros'!$L$43)^(1/12)-1)</f>
        <v>-7.4737370424830134E-14</v>
      </c>
      <c r="BW407" s="1312">
        <f t="shared" si="260"/>
        <v>-1.7359007433984594E-11</v>
      </c>
      <c r="BX407" s="1312">
        <f>IF(AND(C407&gt;$F$80,'Instrumentos Financeiros'!C407&lt;'Instrumentos Financeiros'!$F$80+'Instrumentos Financeiros'!$F$12+1),PMT(((1+'Instrumentos Financeiros'!$L$43)^(1/12)-1),$F$12,-$I$80),0)</f>
        <v>0</v>
      </c>
      <c r="BY407" s="1312">
        <f t="shared" si="261"/>
        <v>7.3776199020119776E-14</v>
      </c>
      <c r="BZ407" s="1312">
        <f>CA406*((1+'Instrumentos Financeiros'!$L$43)^(1/12)-1)</f>
        <v>-7.3776199020119776E-14</v>
      </c>
      <c r="CA407" s="1312">
        <f t="shared" si="262"/>
        <v>-1.7135759258876774E-11</v>
      </c>
      <c r="CB407" s="1312">
        <f>IF(AND(C407&gt;$F$83,'Instrumentos Financeiros'!C407&lt;'Instrumentos Financeiros'!$F$83+'Instrumentos Financeiros'!$F$13+1),PMT(((1+'Instrumentos Financeiros'!$P$43)^(1/12)-1),$F$13,-$I$83),0)</f>
        <v>30503.390100238979</v>
      </c>
      <c r="CC407" s="1312">
        <f t="shared" si="263"/>
        <v>26227.899453017701</v>
      </c>
      <c r="CD407" s="1312">
        <f>CE406*((1+'Instrumentos Financeiros'!$P$43)^(1/12)-1)</f>
        <v>4275.4906472212797</v>
      </c>
      <c r="CE407" s="1312">
        <f t="shared" si="264"/>
        <v>962551.00166075514</v>
      </c>
      <c r="CF407" s="1312">
        <f>IF(AND(C407&gt;$F$84,'Instrumentos Financeiros'!C407&lt;'Instrumentos Financeiros'!$F$84+'Instrumentos Financeiros'!$F$13+1),PMT(((1+'Instrumentos Financeiros'!$Q$43)^(1/12)-1),$F$13,-$I$84),0)</f>
        <v>30503.390100238979</v>
      </c>
      <c r="CG407" s="1312">
        <f t="shared" si="265"/>
        <v>25890.591533076709</v>
      </c>
      <c r="CH407" s="1312">
        <f>CI406*((1+'Instrumentos Financeiros'!$Q$43)^(1/12)-1)</f>
        <v>4612.7985671622719</v>
      </c>
      <c r="CI407" s="1312">
        <f t="shared" si="266"/>
        <v>1040896.4218503346</v>
      </c>
      <c r="CJ407" s="1312">
        <f>IF(AND(C407&gt;$F$85,'Instrumentos Financeiros'!C407&lt;'Instrumentos Financeiros'!$F$85+'Instrumentos Financeiros'!$F$13+1),PMT(((1+'Instrumentos Financeiros'!$Q$43)^(1/12)-1),$F$13,-$I$85),0)</f>
        <v>30503.390100238979</v>
      </c>
      <c r="CK407" s="1312">
        <f t="shared" si="267"/>
        <v>25557.62161332741</v>
      </c>
      <c r="CL407" s="1312">
        <f>CM406*((1+'Instrumentos Financeiros'!$Q$43)^(1/12)-1)</f>
        <v>4945.7684869115701</v>
      </c>
      <c r="CM407" s="1312">
        <f t="shared" si="268"/>
        <v>1118234.2687583256</v>
      </c>
      <c r="CN407" s="1312">
        <f>IF(AND(C407&gt;$F$86,'Instrumentos Financeiros'!C407&lt;'Instrumentos Financeiros'!$F$86+'Instrumentos Financeiros'!$F$13+1),PMT(((1+'Instrumentos Financeiros'!$Q$43)^(1/12)-1),$F$13,-$I$86),0)</f>
        <v>30503.390100238979</v>
      </c>
      <c r="CO407" s="1312">
        <f t="shared" si="269"/>
        <v>25228.933904253605</v>
      </c>
      <c r="CP407" s="1312">
        <f>CQ406*((1+'Instrumentos Financeiros'!$Q$43)^(1/12)-1)</f>
        <v>5274.4561959853736</v>
      </c>
      <c r="CQ407" s="1312">
        <f t="shared" si="270"/>
        <v>1194577.5004353113</v>
      </c>
      <c r="CR407" s="1312">
        <f t="shared" si="239"/>
        <v>122013.56040095592</v>
      </c>
      <c r="CS407" s="1312">
        <f t="shared" si="239"/>
        <v>102905.04650367552</v>
      </c>
      <c r="CT407" s="1312">
        <f t="shared" si="239"/>
        <v>19108.513897280398</v>
      </c>
      <c r="CU407" s="1312">
        <f t="shared" si="239"/>
        <v>4316259.1927047037</v>
      </c>
    </row>
    <row r="408" spans="3:99" x14ac:dyDescent="0.35">
      <c r="C408" s="1315">
        <f t="shared" si="240"/>
        <v>315</v>
      </c>
      <c r="D408" s="1312">
        <f>IF(AND(C408&gt;$F$59,'Instrumentos Financeiros'!C408&lt;'Instrumentos Financeiros'!$F$59+'Instrumentos Financeiros'!$F$11+1),PMT(((1+'Instrumentos Financeiros'!$G$43)^(1/12)-1),$F$11,-$I$59),0)</f>
        <v>0</v>
      </c>
      <c r="E408" s="1312">
        <f t="shared" si="237"/>
        <v>-1.1518283356647169E-11</v>
      </c>
      <c r="F408" s="1312">
        <f>G407*((1+'Instrumentos Financeiros'!$G$43)^(1/12)-1)</f>
        <v>1.1518283356647169E-11</v>
      </c>
      <c r="G408" s="1312">
        <f t="shared" si="271"/>
        <v>2.8333816133161165E-9</v>
      </c>
      <c r="H408" s="1312">
        <f>IF(AND(C408&gt;$F$60,'Instrumentos Financeiros'!C408&lt;'Instrumentos Financeiros'!$F$60+'Instrumentos Financeiros'!$F$11+1),PMT(((1+'Instrumentos Financeiros'!$G$43)^(1/12)-1),$F$11,-$I$60),0)</f>
        <v>0</v>
      </c>
      <c r="I408" s="1312">
        <f t="shared" si="223"/>
        <v>0</v>
      </c>
      <c r="J408" s="1312">
        <f>K407*((1+'Instrumentos Financeiros'!$G$43)^(1/12)-1)</f>
        <v>0</v>
      </c>
      <c r="K408" s="1312">
        <f t="shared" si="241"/>
        <v>0</v>
      </c>
      <c r="L408" s="1312">
        <f>IF(AND(C408&gt;$F$61,'Instrumentos Financeiros'!C408&lt;'Instrumentos Financeiros'!$F$61+'Instrumentos Financeiros'!$F$11+1),PMT(((1+'Instrumentos Financeiros'!$G$43)^(1/12)-1),$F$11,-$I$61),0)</f>
        <v>0</v>
      </c>
      <c r="M408" s="1312">
        <f t="shared" si="224"/>
        <v>0</v>
      </c>
      <c r="N408" s="1312">
        <f>O407*((1+'Instrumentos Financeiros'!$G$43)^(1/12)-1)</f>
        <v>0</v>
      </c>
      <c r="O408" s="1312">
        <f t="shared" si="242"/>
        <v>0</v>
      </c>
      <c r="P408" s="1312">
        <f>IF(AND(C408&gt;$F$62,'Instrumentos Financeiros'!C408&lt;'Instrumentos Financeiros'!$F$62+'Instrumentos Financeiros'!$F$11+1),PMT(((1+'Instrumentos Financeiros'!$H$43)^(1/12)-1),$F$11,-$I$62),0)</f>
        <v>0</v>
      </c>
      <c r="Q408" s="1312">
        <f t="shared" si="225"/>
        <v>0</v>
      </c>
      <c r="R408" s="1312">
        <f>S407*((1+'Instrumentos Financeiros'!$H$43)^(1/12)-1)</f>
        <v>0</v>
      </c>
      <c r="S408" s="1312">
        <f t="shared" si="243"/>
        <v>0</v>
      </c>
      <c r="T408" s="1312">
        <f>IF(AND(C408&gt;$F$63,'Instrumentos Financeiros'!C408&lt;'Instrumentos Financeiros'!$F$63+'Instrumentos Financeiros'!$F$11+1),PMT(((1+'Instrumentos Financeiros'!$H$43)^(1/12)-1),$F$11,-$I$63),0)</f>
        <v>0</v>
      </c>
      <c r="U408" s="1312">
        <f t="shared" si="226"/>
        <v>0</v>
      </c>
      <c r="V408" s="1312">
        <f>W407*((1+'Instrumentos Financeiros'!$H$43)^(1/12)-1)</f>
        <v>0</v>
      </c>
      <c r="W408" s="1312">
        <f t="shared" si="244"/>
        <v>0</v>
      </c>
      <c r="X408" s="1312">
        <f>IF(AND(C408&gt;$F$64,'Instrumentos Financeiros'!C408&lt;'Instrumentos Financeiros'!$F$64+'Instrumentos Financeiros'!$F$11+1),PMT(((1+'Instrumentos Financeiros'!$H$43)^(1/12)-1),$F$11,-$I$64),0)</f>
        <v>0</v>
      </c>
      <c r="Y408" s="1312">
        <f t="shared" si="227"/>
        <v>0</v>
      </c>
      <c r="Z408" s="1312">
        <f>AA407*((1+'Instrumentos Financeiros'!$H$43)^(1/12)-1)</f>
        <v>0</v>
      </c>
      <c r="AA408" s="1312">
        <f t="shared" si="245"/>
        <v>0</v>
      </c>
      <c r="AB408" s="1312">
        <f>IF(AND(C408&gt;$F$65,'Instrumentos Financeiros'!C408&lt;'Instrumentos Financeiros'!$F$65+'Instrumentos Financeiros'!$F$11+1),PMT(((1+'Instrumentos Financeiros'!$H$43)^(1/12)-1),$F$11,-$I$65),0)</f>
        <v>0</v>
      </c>
      <c r="AC408" s="1312">
        <f t="shared" si="228"/>
        <v>2.8340390828273604E-11</v>
      </c>
      <c r="AD408" s="1312">
        <f>AE407*((1+'Instrumentos Financeiros'!$H$43)^(1/12)-1)</f>
        <v>-2.8340390828273604E-11</v>
      </c>
      <c r="AE408" s="1312">
        <f t="shared" si="246"/>
        <v>-6.5825309650790876E-9</v>
      </c>
      <c r="AF408" s="1312">
        <f>IF(AND(C408&gt;$F$66,'Instrumentos Financeiros'!C408&lt;'Instrumentos Financeiros'!$F$66+'Instrumentos Financeiros'!$F$11+1),PMT(((1+'Instrumentos Financeiros'!$I$43)^(1/12)-1),$F$11,-$I$66),0)</f>
        <v>0</v>
      </c>
      <c r="AG408" s="1312">
        <f t="shared" si="229"/>
        <v>2.7975914889294057E-11</v>
      </c>
      <c r="AH408" s="1312">
        <f>AI407*((1+'Instrumentos Financeiros'!$I$43)^(1/12)-1)</f>
        <v>-2.7975914889294057E-11</v>
      </c>
      <c r="AI408" s="1312">
        <f t="shared" si="247"/>
        <v>-6.4978753169302402E-9</v>
      </c>
      <c r="AJ408" s="1312">
        <f>IF(AND(C408&gt;$F$67,'Instrumentos Financeiros'!C408&lt;'Instrumentos Financeiros'!$F$67+'Instrumentos Financeiros'!$F$11+1),PMT(((1+'Instrumentos Financeiros'!$I$43)^(1/12)-1),$F$11,-$I$67),0)</f>
        <v>0</v>
      </c>
      <c r="AK408" s="1312">
        <f t="shared" si="230"/>
        <v>2.7616126348978137E-11</v>
      </c>
      <c r="AL408" s="1312">
        <f>AM407*((1+'Instrumentos Financeiros'!$I$43)^(1/12)-1)</f>
        <v>-2.7616126348978137E-11</v>
      </c>
      <c r="AM408" s="1312">
        <f t="shared" si="248"/>
        <v>-6.4143083957165985E-9</v>
      </c>
      <c r="AN408" s="1312">
        <f>IF(AND(C408&gt;$F$68,'Instrumentos Financeiros'!C408&lt;'Instrumentos Financeiros'!$F$68+'Instrumentos Financeiros'!$F$11+1),PMT(((1+'Instrumentos Financeiros'!$I$43)^(1/12)-1),$F$11,-$I$68),0)</f>
        <v>0</v>
      </c>
      <c r="AO408" s="1312">
        <f t="shared" si="231"/>
        <v>2.7260964924317048E-11</v>
      </c>
      <c r="AP408" s="1312">
        <f>AQ407*((1+'Instrumentos Financeiros'!$I$43)^(1/12)-1)</f>
        <v>-2.7260964924317048E-11</v>
      </c>
      <c r="AQ408" s="1312">
        <f t="shared" si="249"/>
        <v>-6.3318161996985797E-9</v>
      </c>
      <c r="AR408" s="1312">
        <f>IF(AND(C408&gt;$F$69,'Instrumentos Financeiros'!C408&lt;'Instrumentos Financeiros'!$F$69+'Instrumentos Financeiros'!$F$11+1),PMT(((1+'Instrumentos Financeiros'!$I$43)^(1/12)-1),$F$11,-$I$69),0)</f>
        <v>0</v>
      </c>
      <c r="AS408" s="1312">
        <f t="shared" si="232"/>
        <v>0</v>
      </c>
      <c r="AT408" s="1312">
        <f>AU407*((1+'Instrumentos Financeiros'!$I$43)^(1/12)-1)</f>
        <v>0</v>
      </c>
      <c r="AU408" s="1312">
        <f t="shared" si="250"/>
        <v>0</v>
      </c>
      <c r="AV408" s="1312">
        <f>IF(AND(C408&gt;$F$70,'Instrumentos Financeiros'!C408&lt;'Instrumentos Financeiros'!$F$70+'Instrumentos Financeiros'!$F$11+1),PMT(((1+'Instrumentos Financeiros'!$J$43)^(1/12)-1),$F$11,-$I$70),0)</f>
        <v>0</v>
      </c>
      <c r="AW408" s="1312">
        <f t="shared" si="233"/>
        <v>0</v>
      </c>
      <c r="AX408" s="1312">
        <f>AY407*((1+'Instrumentos Financeiros'!$J$43)^(1/12)-1)</f>
        <v>0</v>
      </c>
      <c r="AY408" s="1312">
        <f t="shared" si="251"/>
        <v>0</v>
      </c>
      <c r="AZ408" s="1312">
        <f>IF(AND(C408&gt;$F$71,'Instrumentos Financeiros'!C408&lt;'Instrumentos Financeiros'!$F$71+'Instrumentos Financeiros'!$F$11+1),PMT(((1+'Instrumentos Financeiros'!$J$43)^(1/12)-1),$F$11,-$I$71),0)</f>
        <v>0</v>
      </c>
      <c r="BA408" s="1312">
        <f t="shared" si="234"/>
        <v>0</v>
      </c>
      <c r="BB408" s="1312">
        <f>BC407*((1+'Instrumentos Financeiros'!$J$43)^(1/12)-1)</f>
        <v>0</v>
      </c>
      <c r="BC408" s="1312">
        <f t="shared" si="252"/>
        <v>0</v>
      </c>
      <c r="BD408" s="1312">
        <f>IF(AND(C408&gt;$F$72,'Instrumentos Financeiros'!C408&lt;'Instrumentos Financeiros'!$F$72+'Instrumentos Financeiros'!$F$11+1),PMT(((1+'Instrumentos Financeiros'!$J$43)^(1/12)-1),$F$11,-'Instrumentos Financeiros'!$G$7*$G$72),0)</f>
        <v>0</v>
      </c>
      <c r="BE408" s="1312">
        <f t="shared" si="235"/>
        <v>0</v>
      </c>
      <c r="BF408" s="1312">
        <f>BG407*((1+'Instrumentos Financeiros'!$J$43)^(1/12)-1)</f>
        <v>0</v>
      </c>
      <c r="BG408" s="1312">
        <f t="shared" si="253"/>
        <v>0</v>
      </c>
      <c r="BH408" s="1312">
        <f>IF(AND(C408&gt;$F$73,'Instrumentos Financeiros'!C408&lt;'Instrumentos Financeiros'!$F$73+'Instrumentos Financeiros'!$F$11+1),PMT(((1+'Instrumentos Financeiros'!$J$43)^(1/12)-1),$F$11,-$I$73),0)</f>
        <v>0</v>
      </c>
      <c r="BI408" s="1312">
        <f t="shared" si="236"/>
        <v>0</v>
      </c>
      <c r="BJ408" s="1312">
        <f>BK407*((1+'Instrumentos Financeiros'!$J$43)^(1/12)-1)</f>
        <v>0</v>
      </c>
      <c r="BK408" s="1312">
        <f t="shared" si="254"/>
        <v>0</v>
      </c>
      <c r="BL408" s="1312">
        <f>IF(AND(C408&gt;$F$77,'Instrumentos Financeiros'!C408&lt;'Instrumentos Financeiros'!$F$77+'Instrumentos Financeiros'!$F$12+1),PMT(((1+'Instrumentos Financeiros'!$K$43)^(1/12)-1),$F$12,-$I$77),0)</f>
        <v>0</v>
      </c>
      <c r="BM408" s="1312">
        <f t="shared" si="255"/>
        <v>7.7029083964106805E-14</v>
      </c>
      <c r="BN408" s="1312">
        <f>BO407*((1+'Instrumentos Financeiros'!$K$43)^(1/12)-1)</f>
        <v>-7.7029083964106805E-14</v>
      </c>
      <c r="BO408" s="1312">
        <f t="shared" si="256"/>
        <v>-1.7891296329603141E-11</v>
      </c>
      <c r="BP408" s="1312">
        <f>IF(AND(C408&gt;$F$78,'Instrumentos Financeiros'!C408&lt;'Instrumentos Financeiros'!$F$78+'Instrumentos Financeiros'!$F$12+1),PMT(((1+'Instrumentos Financeiros'!$L$43)^(1/12)-1),$F$12,-$I$78),0)</f>
        <v>0</v>
      </c>
      <c r="BQ408" s="1312">
        <f t="shared" si="257"/>
        <v>7.6038439626254452E-14</v>
      </c>
      <c r="BR408" s="1312">
        <f>BS407*((1+'Instrumentos Financeiros'!$L$43)^(1/12)-1)</f>
        <v>-7.6038439626254452E-14</v>
      </c>
      <c r="BS408" s="1312">
        <f t="shared" si="258"/>
        <v>-1.7661202571588065E-11</v>
      </c>
      <c r="BT408" s="1312">
        <f>IF(AND(C408&gt;$F$79,'Instrumentos Financeiros'!C408&lt;'Instrumentos Financeiros'!$F$79+'Instrumentos Financeiros'!$F$12+1),PMT(((1+'Instrumentos Financeiros'!$L$43)^(1/12)-1),$F$12,-$I$79),0)</f>
        <v>0</v>
      </c>
      <c r="BU408" s="1312">
        <f t="shared" si="259"/>
        <v>7.5060535621710174E-14</v>
      </c>
      <c r="BV408" s="1312">
        <f>BW407*((1+'Instrumentos Financeiros'!$L$43)^(1/12)-1)</f>
        <v>-7.5060535621710174E-14</v>
      </c>
      <c r="BW408" s="1312">
        <f t="shared" si="260"/>
        <v>-1.7434067969606302E-11</v>
      </c>
      <c r="BX408" s="1312">
        <f>IF(AND(C408&gt;$F$80,'Instrumentos Financeiros'!C408&lt;'Instrumentos Financeiros'!$F$80+'Instrumentos Financeiros'!$F$12+1),PMT(((1+'Instrumentos Financeiros'!$L$43)^(1/12)-1),$F$12,-$I$80),0)</f>
        <v>0</v>
      </c>
      <c r="BY408" s="1312">
        <f t="shared" si="261"/>
        <v>7.4095208101465207E-14</v>
      </c>
      <c r="BZ408" s="1312">
        <f>CA407*((1+'Instrumentos Financeiros'!$L$43)^(1/12)-1)</f>
        <v>-7.4095208101465207E-14</v>
      </c>
      <c r="CA408" s="1312">
        <f t="shared" si="262"/>
        <v>-1.720985446697824E-11</v>
      </c>
      <c r="CB408" s="1312">
        <f>IF(AND(C408&gt;$F$83,'Instrumentos Financeiros'!C408&lt;'Instrumentos Financeiros'!$F$83+'Instrumentos Financeiros'!$F$13+1),PMT(((1+'Instrumentos Financeiros'!$P$43)^(1/12)-1),$F$13,-$I$83),0)</f>
        <v>30503.390100238979</v>
      </c>
      <c r="CC408" s="1312">
        <f t="shared" si="263"/>
        <v>26341.309173513684</v>
      </c>
      <c r="CD408" s="1312">
        <f>CE407*((1+'Instrumentos Financeiros'!$P$43)^(1/12)-1)</f>
        <v>4162.0809267252971</v>
      </c>
      <c r="CE408" s="1312">
        <f t="shared" si="264"/>
        <v>936209.69248724147</v>
      </c>
      <c r="CF408" s="1312">
        <f>IF(AND(C408&gt;$F$84,'Instrumentos Financeiros'!C408&lt;'Instrumentos Financeiros'!$F$84+'Instrumentos Financeiros'!$F$13+1),PMT(((1+'Instrumentos Financeiros'!$Q$43)^(1/12)-1),$F$13,-$I$84),0)</f>
        <v>30503.390100238979</v>
      </c>
      <c r="CG408" s="1312">
        <f t="shared" si="265"/>
        <v>26002.54273048394</v>
      </c>
      <c r="CH408" s="1312">
        <f>CI407*((1+'Instrumentos Financeiros'!$Q$43)^(1/12)-1)</f>
        <v>4500.847369755038</v>
      </c>
      <c r="CI408" s="1312">
        <f t="shared" si="266"/>
        <v>1014893.8791198507</v>
      </c>
      <c r="CJ408" s="1312">
        <f>IF(AND(C408&gt;$F$85,'Instrumentos Financeiros'!C408&lt;'Instrumentos Financeiros'!$F$85+'Instrumentos Financeiros'!$F$13+1),PMT(((1+'Instrumentos Financeiros'!$Q$43)^(1/12)-1),$F$13,-$I$85),0)</f>
        <v>30503.390100238979</v>
      </c>
      <c r="CK408" s="1312">
        <f t="shared" si="267"/>
        <v>25668.133045205574</v>
      </c>
      <c r="CL408" s="1312">
        <f>CM407*((1+'Instrumentos Financeiros'!$Q$43)^(1/12)-1)</f>
        <v>4835.2570550334049</v>
      </c>
      <c r="CM408" s="1312">
        <f t="shared" si="268"/>
        <v>1092566.13571312</v>
      </c>
      <c r="CN408" s="1312">
        <f>IF(AND(C408&gt;$F$86,'Instrumentos Financeiros'!C408&lt;'Instrumentos Financeiros'!$F$86+'Instrumentos Financeiros'!$F$13+1),PMT(((1+'Instrumentos Financeiros'!$Q$43)^(1/12)-1),$F$13,-$I$86),0)</f>
        <v>30503.390100238979</v>
      </c>
      <c r="CO408" s="1312">
        <f t="shared" si="269"/>
        <v>25338.024086927911</v>
      </c>
      <c r="CP408" s="1312">
        <f>CQ407*((1+'Instrumentos Financeiros'!$Q$43)^(1/12)-1)</f>
        <v>5165.3660133110679</v>
      </c>
      <c r="CQ408" s="1312">
        <f t="shared" si="270"/>
        <v>1169239.4763483834</v>
      </c>
      <c r="CR408" s="1312">
        <f t="shared" si="239"/>
        <v>122013.56040095592</v>
      </c>
      <c r="CS408" s="1312">
        <f t="shared" si="239"/>
        <v>103350.0090361312</v>
      </c>
      <c r="CT408" s="1312">
        <f t="shared" si="239"/>
        <v>18663.551364824707</v>
      </c>
      <c r="CU408" s="1312">
        <f t="shared" si="239"/>
        <v>4212909.1836685725</v>
      </c>
    </row>
    <row r="409" spans="3:99" x14ac:dyDescent="0.35">
      <c r="C409" s="1315">
        <f t="shared" si="240"/>
        <v>316</v>
      </c>
      <c r="D409" s="1312">
        <f>IF(AND(C409&gt;$F$59,'Instrumentos Financeiros'!C409&lt;'Instrumentos Financeiros'!$F$59+'Instrumentos Financeiros'!$F$11+1),PMT(((1+'Instrumentos Financeiros'!$G$43)^(1/12)-1),$F$11,-$I$59),0)</f>
        <v>0</v>
      </c>
      <c r="E409" s="1312">
        <f t="shared" si="237"/>
        <v>-1.1565298692250229E-11</v>
      </c>
      <c r="F409" s="1312">
        <f>G408*((1+'Instrumentos Financeiros'!$G$43)^(1/12)-1)</f>
        <v>1.1565298692250229E-11</v>
      </c>
      <c r="G409" s="1312">
        <f t="shared" si="271"/>
        <v>2.8449469120083667E-9</v>
      </c>
      <c r="H409" s="1312">
        <f>IF(AND(C409&gt;$F$60,'Instrumentos Financeiros'!C409&lt;'Instrumentos Financeiros'!$F$60+'Instrumentos Financeiros'!$F$11+1),PMT(((1+'Instrumentos Financeiros'!$G$43)^(1/12)-1),$F$11,-$I$60),0)</f>
        <v>0</v>
      </c>
      <c r="I409" s="1312">
        <f t="shared" ref="I409:I453" si="272">H409-J409</f>
        <v>0</v>
      </c>
      <c r="J409" s="1312">
        <f>K408*((1+'Instrumentos Financeiros'!$G$43)^(1/12)-1)</f>
        <v>0</v>
      </c>
      <c r="K409" s="1312">
        <f t="shared" si="241"/>
        <v>0</v>
      </c>
      <c r="L409" s="1312">
        <f>IF(AND(C409&gt;$F$61,'Instrumentos Financeiros'!C409&lt;'Instrumentos Financeiros'!$F$61+'Instrumentos Financeiros'!$F$11+1),PMT(((1+'Instrumentos Financeiros'!$G$43)^(1/12)-1),$F$11,-$I$61),0)</f>
        <v>0</v>
      </c>
      <c r="M409" s="1312">
        <f t="shared" ref="M409:M453" si="273">L409-N409</f>
        <v>0</v>
      </c>
      <c r="N409" s="1312">
        <f>O408*((1+'Instrumentos Financeiros'!$G$43)^(1/12)-1)</f>
        <v>0</v>
      </c>
      <c r="O409" s="1312">
        <f t="shared" si="242"/>
        <v>0</v>
      </c>
      <c r="P409" s="1312">
        <f>IF(AND(C409&gt;$F$62,'Instrumentos Financeiros'!C409&lt;'Instrumentos Financeiros'!$F$62+'Instrumentos Financeiros'!$F$11+1),PMT(((1+'Instrumentos Financeiros'!$H$43)^(1/12)-1),$F$11,-$I$62),0)</f>
        <v>0</v>
      </c>
      <c r="Q409" s="1312">
        <f t="shared" ref="Q409:Q453" si="274">P409-R409</f>
        <v>0</v>
      </c>
      <c r="R409" s="1312">
        <f>S408*((1+'Instrumentos Financeiros'!$H$43)^(1/12)-1)</f>
        <v>0</v>
      </c>
      <c r="S409" s="1312">
        <f t="shared" si="243"/>
        <v>0</v>
      </c>
      <c r="T409" s="1312">
        <f>IF(AND(C409&gt;$F$63,'Instrumentos Financeiros'!C409&lt;'Instrumentos Financeiros'!$F$63+'Instrumentos Financeiros'!$F$11+1),PMT(((1+'Instrumentos Financeiros'!$H$43)^(1/12)-1),$F$11,-$I$63),0)</f>
        <v>0</v>
      </c>
      <c r="U409" s="1312">
        <f t="shared" ref="U409:U453" si="275">T409-V409</f>
        <v>0</v>
      </c>
      <c r="V409" s="1312">
        <f>W408*((1+'Instrumentos Financeiros'!$H$43)^(1/12)-1)</f>
        <v>0</v>
      </c>
      <c r="W409" s="1312">
        <f t="shared" si="244"/>
        <v>0</v>
      </c>
      <c r="X409" s="1312">
        <f>IF(AND(C409&gt;$F$64,'Instrumentos Financeiros'!C409&lt;'Instrumentos Financeiros'!$F$64+'Instrumentos Financeiros'!$F$11+1),PMT(((1+'Instrumentos Financeiros'!$H$43)^(1/12)-1),$F$11,-$I$64),0)</f>
        <v>0</v>
      </c>
      <c r="Y409" s="1312">
        <f t="shared" ref="Y409:Y453" si="276">X409-Z409</f>
        <v>0</v>
      </c>
      <c r="Z409" s="1312">
        <f>AA408*((1+'Instrumentos Financeiros'!$H$43)^(1/12)-1)</f>
        <v>0</v>
      </c>
      <c r="AA409" s="1312">
        <f t="shared" si="245"/>
        <v>0</v>
      </c>
      <c r="AB409" s="1312">
        <f>IF(AND(C409&gt;$F$65,'Instrumentos Financeiros'!C409&lt;'Instrumentos Financeiros'!$F$65+'Instrumentos Financeiros'!$F$11+1),PMT(((1+'Instrumentos Financeiros'!$H$43)^(1/12)-1),$F$11,-$I$65),0)</f>
        <v>0</v>
      </c>
      <c r="AC409" s="1312">
        <f t="shared" ref="AC409:AC453" si="277">AB409-AD409</f>
        <v>2.8462934984291086E-11</v>
      </c>
      <c r="AD409" s="1312">
        <f>AE408*((1+'Instrumentos Financeiros'!$H$43)^(1/12)-1)</f>
        <v>-2.8462934984291086E-11</v>
      </c>
      <c r="AE409" s="1312">
        <f t="shared" si="246"/>
        <v>-6.6109939000633787E-9</v>
      </c>
      <c r="AF409" s="1312">
        <f>IF(AND(C409&gt;$F$66,'Instrumentos Financeiros'!C409&lt;'Instrumentos Financeiros'!$F$66+'Instrumentos Financeiros'!$F$11+1),PMT(((1+'Instrumentos Financeiros'!$I$43)^(1/12)-1),$F$11,-$I$66),0)</f>
        <v>0</v>
      </c>
      <c r="AG409" s="1312">
        <f t="shared" ref="AG409:AG453" si="278">AF409-AH409</f>
        <v>2.8096883047415055E-11</v>
      </c>
      <c r="AH409" s="1312">
        <f>AI408*((1+'Instrumentos Financeiros'!$I$43)^(1/12)-1)</f>
        <v>-2.8096883047415055E-11</v>
      </c>
      <c r="AI409" s="1312">
        <f t="shared" si="247"/>
        <v>-6.5259721999776556E-9</v>
      </c>
      <c r="AJ409" s="1312">
        <f>IF(AND(C409&gt;$F$67,'Instrumentos Financeiros'!C409&lt;'Instrumentos Financeiros'!$F$67+'Instrumentos Financeiros'!$F$11+1),PMT(((1+'Instrumentos Financeiros'!$I$43)^(1/12)-1),$F$11,-$I$67),0)</f>
        <v>0</v>
      </c>
      <c r="AK409" s="1312">
        <f t="shared" ref="AK409:AK453" si="279">AJ409-AL409</f>
        <v>2.7735538777565094E-11</v>
      </c>
      <c r="AL409" s="1312">
        <f>AM408*((1+'Instrumentos Financeiros'!$I$43)^(1/12)-1)</f>
        <v>-2.7735538777565094E-11</v>
      </c>
      <c r="AM409" s="1312">
        <f t="shared" si="248"/>
        <v>-6.4420439344941634E-9</v>
      </c>
      <c r="AN409" s="1312">
        <f>IF(AND(C409&gt;$F$68,'Instrumentos Financeiros'!C409&lt;'Instrumentos Financeiros'!$F$68+'Instrumentos Financeiros'!$F$11+1),PMT(((1+'Instrumentos Financeiros'!$I$43)^(1/12)-1),$F$11,-$I$68),0)</f>
        <v>0</v>
      </c>
      <c r="AO409" s="1312">
        <f t="shared" ref="AO409:AO453" si="280">AN409-AP409</f>
        <v>2.7378841631068032E-11</v>
      </c>
      <c r="AP409" s="1312">
        <f>AQ408*((1+'Instrumentos Financeiros'!$I$43)^(1/12)-1)</f>
        <v>-2.7378841631068032E-11</v>
      </c>
      <c r="AQ409" s="1312">
        <f t="shared" si="249"/>
        <v>-6.3591950413296477E-9</v>
      </c>
      <c r="AR409" s="1312">
        <f>IF(AND(C409&gt;$F$69,'Instrumentos Financeiros'!C409&lt;'Instrumentos Financeiros'!$F$69+'Instrumentos Financeiros'!$F$11+1),PMT(((1+'Instrumentos Financeiros'!$I$43)^(1/12)-1),$F$11,-$I$69),0)</f>
        <v>0</v>
      </c>
      <c r="AS409" s="1312">
        <f t="shared" ref="AS409:AS453" si="281">AR409-AT409</f>
        <v>0</v>
      </c>
      <c r="AT409" s="1312">
        <f>AU408*((1+'Instrumentos Financeiros'!$I$43)^(1/12)-1)</f>
        <v>0</v>
      </c>
      <c r="AU409" s="1312">
        <f t="shared" si="250"/>
        <v>0</v>
      </c>
      <c r="AV409" s="1312">
        <f>IF(AND(C409&gt;$F$70,'Instrumentos Financeiros'!C409&lt;'Instrumentos Financeiros'!$F$70+'Instrumentos Financeiros'!$F$11+1),PMT(((1+'Instrumentos Financeiros'!$J$43)^(1/12)-1),$F$11,-$I$70),0)</f>
        <v>0</v>
      </c>
      <c r="AW409" s="1312">
        <f t="shared" ref="AW409:AW453" si="282">AV409-AX409</f>
        <v>0</v>
      </c>
      <c r="AX409" s="1312">
        <f>AY408*((1+'Instrumentos Financeiros'!$J$43)^(1/12)-1)</f>
        <v>0</v>
      </c>
      <c r="AY409" s="1312">
        <f t="shared" si="251"/>
        <v>0</v>
      </c>
      <c r="AZ409" s="1312">
        <f>IF(AND(C409&gt;$F$71,'Instrumentos Financeiros'!C409&lt;'Instrumentos Financeiros'!$F$71+'Instrumentos Financeiros'!$F$11+1),PMT(((1+'Instrumentos Financeiros'!$J$43)^(1/12)-1),$F$11,-$I$71),0)</f>
        <v>0</v>
      </c>
      <c r="BA409" s="1312">
        <f t="shared" ref="BA409:BA453" si="283">AZ409-BB409</f>
        <v>0</v>
      </c>
      <c r="BB409" s="1312">
        <f>BC408*((1+'Instrumentos Financeiros'!$J$43)^(1/12)-1)</f>
        <v>0</v>
      </c>
      <c r="BC409" s="1312">
        <f t="shared" si="252"/>
        <v>0</v>
      </c>
      <c r="BD409" s="1312">
        <f>IF(AND(C409&gt;$F$72,'Instrumentos Financeiros'!C409&lt;'Instrumentos Financeiros'!$F$72+'Instrumentos Financeiros'!$F$11+1),PMT(((1+'Instrumentos Financeiros'!$J$43)^(1/12)-1),$F$11,-'Instrumentos Financeiros'!$G$7*$G$72),0)</f>
        <v>0</v>
      </c>
      <c r="BE409" s="1312">
        <f t="shared" ref="BE409:BE453" si="284">BD409-BF409</f>
        <v>0</v>
      </c>
      <c r="BF409" s="1312">
        <f>BG408*((1+'Instrumentos Financeiros'!$J$43)^(1/12)-1)</f>
        <v>0</v>
      </c>
      <c r="BG409" s="1312">
        <f t="shared" si="253"/>
        <v>0</v>
      </c>
      <c r="BH409" s="1312">
        <f>IF(AND(C409&gt;$F$73,'Instrumentos Financeiros'!C409&lt;'Instrumentos Financeiros'!$F$73+'Instrumentos Financeiros'!$F$11+1),PMT(((1+'Instrumentos Financeiros'!$J$43)^(1/12)-1),$F$11,-$I$73),0)</f>
        <v>0</v>
      </c>
      <c r="BI409" s="1312">
        <f t="shared" ref="BI409:BI453" si="285">BH409-BJ409</f>
        <v>0</v>
      </c>
      <c r="BJ409" s="1312">
        <f>BK408*((1+'Instrumentos Financeiros'!$J$43)^(1/12)-1)</f>
        <v>0</v>
      </c>
      <c r="BK409" s="1312">
        <f t="shared" si="254"/>
        <v>0</v>
      </c>
      <c r="BL409" s="1312">
        <f>IF(AND(C409&gt;$F$77,'Instrumentos Financeiros'!C409&lt;'Instrumentos Financeiros'!$F$77+'Instrumentos Financeiros'!$F$12+1),PMT(((1+'Instrumentos Financeiros'!$K$43)^(1/12)-1),$F$12,-$I$77),0)</f>
        <v>0</v>
      </c>
      <c r="BM409" s="1312">
        <f t="shared" si="255"/>
        <v>7.7362158555081182E-14</v>
      </c>
      <c r="BN409" s="1312">
        <f>BO408*((1+'Instrumentos Financeiros'!$K$43)^(1/12)-1)</f>
        <v>-7.7362158555081182E-14</v>
      </c>
      <c r="BO409" s="1312">
        <f t="shared" si="256"/>
        <v>-1.7968658488158223E-11</v>
      </c>
      <c r="BP409" s="1312">
        <f>IF(AND(C409&gt;$F$78,'Instrumentos Financeiros'!C409&lt;'Instrumentos Financeiros'!$F$78+'Instrumentos Financeiros'!$F$12+1),PMT(((1+'Instrumentos Financeiros'!$L$43)^(1/12)-1),$F$12,-$I$78),0)</f>
        <v>0</v>
      </c>
      <c r="BQ409" s="1312">
        <f t="shared" si="257"/>
        <v>7.6367230660412994E-14</v>
      </c>
      <c r="BR409" s="1312">
        <f>BS408*((1+'Instrumentos Financeiros'!$L$43)^(1/12)-1)</f>
        <v>-7.6367230660412994E-14</v>
      </c>
      <c r="BS409" s="1312">
        <f t="shared" si="258"/>
        <v>-1.7737569802248478E-11</v>
      </c>
      <c r="BT409" s="1312">
        <f>IF(AND(C409&gt;$F$79,'Instrumentos Financeiros'!C409&lt;'Instrumentos Financeiros'!$F$79+'Instrumentos Financeiros'!$F$12+1),PMT(((1+'Instrumentos Financeiros'!$L$43)^(1/12)-1),$F$12,-$I$79),0)</f>
        <v>0</v>
      </c>
      <c r="BU409" s="1312">
        <f t="shared" si="259"/>
        <v>7.5385098188391716E-14</v>
      </c>
      <c r="BV409" s="1312">
        <f>BW408*((1+'Instrumentos Financeiros'!$L$43)^(1/12)-1)</f>
        <v>-7.5385098188391716E-14</v>
      </c>
      <c r="BW409" s="1312">
        <f t="shared" si="260"/>
        <v>-1.7509453067794693E-11</v>
      </c>
      <c r="BX409" s="1312">
        <f>IF(AND(C409&gt;$F$80,'Instrumentos Financeiros'!C409&lt;'Instrumentos Financeiros'!$F$80+'Instrumentos Financeiros'!$F$12+1),PMT(((1+'Instrumentos Financeiros'!$L$43)^(1/12)-1),$F$12,-$I$80),0)</f>
        <v>0</v>
      </c>
      <c r="BY409" s="1312">
        <f t="shared" si="261"/>
        <v>7.4415596581523695E-14</v>
      </c>
      <c r="BZ409" s="1312">
        <f>CA408*((1+'Instrumentos Financeiros'!$L$43)^(1/12)-1)</f>
        <v>-7.4415596581523695E-14</v>
      </c>
      <c r="CA409" s="1312">
        <f t="shared" si="262"/>
        <v>-1.7284270063559764E-11</v>
      </c>
      <c r="CB409" s="1312">
        <f>IF(AND(C409&gt;$F$83,'Instrumentos Financeiros'!C409&lt;'Instrumentos Financeiros'!$F$83+'Instrumentos Financeiros'!$F$13+1),PMT(((1+'Instrumentos Financeiros'!$P$43)^(1/12)-1),$F$13,-$I$83),0)</f>
        <v>30503.390100238979</v>
      </c>
      <c r="CC409" s="1312">
        <f t="shared" si="263"/>
        <v>26455.209278865914</v>
      </c>
      <c r="CD409" s="1312">
        <f>CE408*((1+'Instrumentos Financeiros'!$P$43)^(1/12)-1)</f>
        <v>4048.1808213730665</v>
      </c>
      <c r="CE409" s="1312">
        <f t="shared" si="264"/>
        <v>909754.48320837552</v>
      </c>
      <c r="CF409" s="1312">
        <f>IF(AND(C409&gt;$F$84,'Instrumentos Financeiros'!C409&lt;'Instrumentos Financeiros'!$F$84+'Instrumentos Financeiros'!$F$13+1),PMT(((1+'Instrumentos Financeiros'!$Q$43)^(1/12)-1),$F$13,-$I$84),0)</f>
        <v>30503.390100238979</v>
      </c>
      <c r="CG409" s="1312">
        <f t="shared" si="265"/>
        <v>26114.978006077836</v>
      </c>
      <c r="CH409" s="1312">
        <f>CI408*((1+'Instrumentos Financeiros'!$Q$43)^(1/12)-1)</f>
        <v>4388.4120941611427</v>
      </c>
      <c r="CI409" s="1312">
        <f t="shared" si="266"/>
        <v>988778.90111377288</v>
      </c>
      <c r="CJ409" s="1312">
        <f>IF(AND(C409&gt;$F$85,'Instrumentos Financeiros'!C409&lt;'Instrumentos Financeiros'!$F$85+'Instrumentos Financeiros'!$F$13+1),PMT(((1+'Instrumentos Financeiros'!$Q$43)^(1/12)-1),$F$13,-$I$85),0)</f>
        <v>30503.390100238979</v>
      </c>
      <c r="CK409" s="1312">
        <f t="shared" si="267"/>
        <v>25779.122329708705</v>
      </c>
      <c r="CL409" s="1312">
        <f>CM408*((1+'Instrumentos Financeiros'!$Q$43)^(1/12)-1)</f>
        <v>4724.2677705302758</v>
      </c>
      <c r="CM409" s="1312">
        <f t="shared" si="268"/>
        <v>1066787.0133834113</v>
      </c>
      <c r="CN409" s="1312">
        <f>IF(AND(C409&gt;$F$86,'Instrumentos Financeiros'!C409&lt;'Instrumentos Financeiros'!$F$86+'Instrumentos Financeiros'!$F$13+1),PMT(((1+'Instrumentos Financeiros'!$Q$43)^(1/12)-1),$F$13,-$I$86),0)</f>
        <v>30503.390100238979</v>
      </c>
      <c r="CO409" s="1312">
        <f t="shared" si="269"/>
        <v>25447.585976730275</v>
      </c>
      <c r="CP409" s="1312">
        <f>CQ408*((1+'Instrumentos Financeiros'!$Q$43)^(1/12)-1)</f>
        <v>5055.8041235087057</v>
      </c>
      <c r="CQ409" s="1312">
        <f t="shared" si="270"/>
        <v>1143791.890371653</v>
      </c>
      <c r="CR409" s="1312">
        <f t="shared" si="239"/>
        <v>122013.56040095592</v>
      </c>
      <c r="CS409" s="1312">
        <f t="shared" si="239"/>
        <v>103796.89559138284</v>
      </c>
      <c r="CT409" s="1312">
        <f t="shared" si="239"/>
        <v>18216.664809573092</v>
      </c>
      <c r="CU409" s="1312">
        <f t="shared" si="239"/>
        <v>4109112.2880771896</v>
      </c>
    </row>
    <row r="410" spans="3:99" x14ac:dyDescent="0.35">
      <c r="C410" s="1315">
        <f t="shared" si="240"/>
        <v>317</v>
      </c>
      <c r="D410" s="1312">
        <f>IF(AND(C410&gt;$F$59,'Instrumentos Financeiros'!C410&lt;'Instrumentos Financeiros'!$F$59+'Instrumentos Financeiros'!$F$11+1),PMT(((1+'Instrumentos Financeiros'!$G$43)^(1/12)-1),$F$11,-$I$59),0)</f>
        <v>0</v>
      </c>
      <c r="E410" s="1312">
        <f t="shared" si="237"/>
        <v>-1.1612505935077086E-11</v>
      </c>
      <c r="F410" s="1312">
        <f>G409*((1+'Instrumentos Financeiros'!$G$43)^(1/12)-1)</f>
        <v>1.1612505935077086E-11</v>
      </c>
      <c r="G410" s="1312">
        <f t="shared" si="271"/>
        <v>2.8565594179434439E-9</v>
      </c>
      <c r="H410" s="1312">
        <f>IF(AND(C410&gt;$F$60,'Instrumentos Financeiros'!C410&lt;'Instrumentos Financeiros'!$F$60+'Instrumentos Financeiros'!$F$11+1),PMT(((1+'Instrumentos Financeiros'!$G$43)^(1/12)-1),$F$11,-$I$60),0)</f>
        <v>0</v>
      </c>
      <c r="I410" s="1312">
        <f t="shared" si="272"/>
        <v>0</v>
      </c>
      <c r="J410" s="1312">
        <f>K409*((1+'Instrumentos Financeiros'!$G$43)^(1/12)-1)</f>
        <v>0</v>
      </c>
      <c r="K410" s="1312">
        <f t="shared" si="241"/>
        <v>0</v>
      </c>
      <c r="L410" s="1312">
        <f>IF(AND(C410&gt;$F$61,'Instrumentos Financeiros'!C410&lt;'Instrumentos Financeiros'!$F$61+'Instrumentos Financeiros'!$F$11+1),PMT(((1+'Instrumentos Financeiros'!$G$43)^(1/12)-1),$F$11,-$I$61),0)</f>
        <v>0</v>
      </c>
      <c r="M410" s="1312">
        <f t="shared" si="273"/>
        <v>0</v>
      </c>
      <c r="N410" s="1312">
        <f>O409*((1+'Instrumentos Financeiros'!$G$43)^(1/12)-1)</f>
        <v>0</v>
      </c>
      <c r="O410" s="1312">
        <f t="shared" si="242"/>
        <v>0</v>
      </c>
      <c r="P410" s="1312">
        <f>IF(AND(C410&gt;$F$62,'Instrumentos Financeiros'!C410&lt;'Instrumentos Financeiros'!$F$62+'Instrumentos Financeiros'!$F$11+1),PMT(((1+'Instrumentos Financeiros'!$H$43)^(1/12)-1),$F$11,-$I$62),0)</f>
        <v>0</v>
      </c>
      <c r="Q410" s="1312">
        <f t="shared" si="274"/>
        <v>0</v>
      </c>
      <c r="R410" s="1312">
        <f>S409*((1+'Instrumentos Financeiros'!$H$43)^(1/12)-1)</f>
        <v>0</v>
      </c>
      <c r="S410" s="1312">
        <f t="shared" si="243"/>
        <v>0</v>
      </c>
      <c r="T410" s="1312">
        <f>IF(AND(C410&gt;$F$63,'Instrumentos Financeiros'!C410&lt;'Instrumentos Financeiros'!$F$63+'Instrumentos Financeiros'!$F$11+1),PMT(((1+'Instrumentos Financeiros'!$H$43)^(1/12)-1),$F$11,-$I$63),0)</f>
        <v>0</v>
      </c>
      <c r="U410" s="1312">
        <f t="shared" si="275"/>
        <v>0</v>
      </c>
      <c r="V410" s="1312">
        <f>W409*((1+'Instrumentos Financeiros'!$H$43)^(1/12)-1)</f>
        <v>0</v>
      </c>
      <c r="W410" s="1312">
        <f t="shared" si="244"/>
        <v>0</v>
      </c>
      <c r="X410" s="1312">
        <f>IF(AND(C410&gt;$F$64,'Instrumentos Financeiros'!C410&lt;'Instrumentos Financeiros'!$F$64+'Instrumentos Financeiros'!$F$11+1),PMT(((1+'Instrumentos Financeiros'!$H$43)^(1/12)-1),$F$11,-$I$64),0)</f>
        <v>0</v>
      </c>
      <c r="Y410" s="1312">
        <f t="shared" si="276"/>
        <v>0</v>
      </c>
      <c r="Z410" s="1312">
        <f>AA409*((1+'Instrumentos Financeiros'!$H$43)^(1/12)-1)</f>
        <v>0</v>
      </c>
      <c r="AA410" s="1312">
        <f t="shared" si="245"/>
        <v>0</v>
      </c>
      <c r="AB410" s="1312">
        <f>IF(AND(C410&gt;$F$65,'Instrumentos Financeiros'!C410&lt;'Instrumentos Financeiros'!$F$65+'Instrumentos Financeiros'!$F$11+1),PMT(((1+'Instrumentos Financeiros'!$H$43)^(1/12)-1),$F$11,-$I$65),0)</f>
        <v>0</v>
      </c>
      <c r="AC410" s="1312">
        <f t="shared" si="277"/>
        <v>2.8586009022562665E-11</v>
      </c>
      <c r="AD410" s="1312">
        <f>AE409*((1+'Instrumentos Financeiros'!$H$43)^(1/12)-1)</f>
        <v>-2.8586009022562665E-11</v>
      </c>
      <c r="AE410" s="1312">
        <f t="shared" si="246"/>
        <v>-6.6395799090859416E-9</v>
      </c>
      <c r="AF410" s="1312">
        <f>IF(AND(C410&gt;$F$66,'Instrumentos Financeiros'!C410&lt;'Instrumentos Financeiros'!$F$66+'Instrumentos Financeiros'!$F$11+1),PMT(((1+'Instrumentos Financeiros'!$I$43)^(1/12)-1),$F$11,-$I$66),0)</f>
        <v>0</v>
      </c>
      <c r="AG410" s="1312">
        <f t="shared" si="278"/>
        <v>2.8218374273158221E-11</v>
      </c>
      <c r="AH410" s="1312">
        <f>AI409*((1+'Instrumentos Financeiros'!$I$43)^(1/12)-1)</f>
        <v>-2.8218374273158221E-11</v>
      </c>
      <c r="AI410" s="1312">
        <f t="shared" si="247"/>
        <v>-6.5541905742508137E-9</v>
      </c>
      <c r="AJ410" s="1312">
        <f>IF(AND(C410&gt;$F$67,'Instrumentos Financeiros'!C410&lt;'Instrumentos Financeiros'!$F$67+'Instrumentos Financeiros'!$F$11+1),PMT(((1+'Instrumentos Financeiros'!$I$43)^(1/12)-1),$F$11,-$I$67),0)</f>
        <v>0</v>
      </c>
      <c r="AK410" s="1312">
        <f t="shared" si="279"/>
        <v>2.7855467546782911E-11</v>
      </c>
      <c r="AL410" s="1312">
        <f>AM409*((1+'Instrumentos Financeiros'!$I$43)^(1/12)-1)</f>
        <v>-2.7855467546782911E-11</v>
      </c>
      <c r="AM410" s="1312">
        <f t="shared" si="248"/>
        <v>-6.4698994020409461E-9</v>
      </c>
      <c r="AN410" s="1312">
        <f>IF(AND(C410&gt;$F$68,'Instrumentos Financeiros'!C410&lt;'Instrumentos Financeiros'!$F$68+'Instrumentos Financeiros'!$F$11+1),PMT(((1+'Instrumentos Financeiros'!$I$43)^(1/12)-1),$F$11,-$I$68),0)</f>
        <v>0</v>
      </c>
      <c r="AO410" s="1312">
        <f t="shared" si="280"/>
        <v>2.749722803797207E-11</v>
      </c>
      <c r="AP410" s="1312">
        <f>AQ409*((1+'Instrumentos Financeiros'!$I$43)^(1/12)-1)</f>
        <v>-2.749722803797207E-11</v>
      </c>
      <c r="AQ410" s="1312">
        <f t="shared" si="249"/>
        <v>-6.38669226936762E-9</v>
      </c>
      <c r="AR410" s="1312">
        <f>IF(AND(C410&gt;$F$69,'Instrumentos Financeiros'!C410&lt;'Instrumentos Financeiros'!$F$69+'Instrumentos Financeiros'!$F$11+1),PMT(((1+'Instrumentos Financeiros'!$I$43)^(1/12)-1),$F$11,-$I$69),0)</f>
        <v>0</v>
      </c>
      <c r="AS410" s="1312">
        <f t="shared" si="281"/>
        <v>0</v>
      </c>
      <c r="AT410" s="1312">
        <f>AU409*((1+'Instrumentos Financeiros'!$I$43)^(1/12)-1)</f>
        <v>0</v>
      </c>
      <c r="AU410" s="1312">
        <f t="shared" si="250"/>
        <v>0</v>
      </c>
      <c r="AV410" s="1312">
        <f>IF(AND(C410&gt;$F$70,'Instrumentos Financeiros'!C410&lt;'Instrumentos Financeiros'!$F$70+'Instrumentos Financeiros'!$F$11+1),PMT(((1+'Instrumentos Financeiros'!$J$43)^(1/12)-1),$F$11,-$I$70),0)</f>
        <v>0</v>
      </c>
      <c r="AW410" s="1312">
        <f t="shared" si="282"/>
        <v>0</v>
      </c>
      <c r="AX410" s="1312">
        <f>AY409*((1+'Instrumentos Financeiros'!$J$43)^(1/12)-1)</f>
        <v>0</v>
      </c>
      <c r="AY410" s="1312">
        <f t="shared" si="251"/>
        <v>0</v>
      </c>
      <c r="AZ410" s="1312">
        <f>IF(AND(C410&gt;$F$71,'Instrumentos Financeiros'!C410&lt;'Instrumentos Financeiros'!$F$71+'Instrumentos Financeiros'!$F$11+1),PMT(((1+'Instrumentos Financeiros'!$J$43)^(1/12)-1),$F$11,-$I$71),0)</f>
        <v>0</v>
      </c>
      <c r="BA410" s="1312">
        <f t="shared" si="283"/>
        <v>0</v>
      </c>
      <c r="BB410" s="1312">
        <f>BC409*((1+'Instrumentos Financeiros'!$J$43)^(1/12)-1)</f>
        <v>0</v>
      </c>
      <c r="BC410" s="1312">
        <f t="shared" si="252"/>
        <v>0</v>
      </c>
      <c r="BD410" s="1312">
        <f>IF(AND(C410&gt;$F$72,'Instrumentos Financeiros'!C410&lt;'Instrumentos Financeiros'!$F$72+'Instrumentos Financeiros'!$F$11+1),PMT(((1+'Instrumentos Financeiros'!$J$43)^(1/12)-1),$F$11,-'Instrumentos Financeiros'!$G$7*$G$72),0)</f>
        <v>0</v>
      </c>
      <c r="BE410" s="1312">
        <f t="shared" si="284"/>
        <v>0</v>
      </c>
      <c r="BF410" s="1312">
        <f>BG409*((1+'Instrumentos Financeiros'!$J$43)^(1/12)-1)</f>
        <v>0</v>
      </c>
      <c r="BG410" s="1312">
        <f t="shared" si="253"/>
        <v>0</v>
      </c>
      <c r="BH410" s="1312">
        <f>IF(AND(C410&gt;$F$73,'Instrumentos Financeiros'!C410&lt;'Instrumentos Financeiros'!$F$73+'Instrumentos Financeiros'!$F$11+1),PMT(((1+'Instrumentos Financeiros'!$J$43)^(1/12)-1),$F$11,-$I$73),0)</f>
        <v>0</v>
      </c>
      <c r="BI410" s="1312">
        <f t="shared" si="285"/>
        <v>0</v>
      </c>
      <c r="BJ410" s="1312">
        <f>BK409*((1+'Instrumentos Financeiros'!$J$43)^(1/12)-1)</f>
        <v>0</v>
      </c>
      <c r="BK410" s="1312">
        <f t="shared" si="254"/>
        <v>0</v>
      </c>
      <c r="BL410" s="1312">
        <f>IF(AND(C410&gt;$F$77,'Instrumentos Financeiros'!C410&lt;'Instrumentos Financeiros'!$F$77+'Instrumentos Financeiros'!$F$12+1),PMT(((1+'Instrumentos Financeiros'!$K$43)^(1/12)-1),$F$12,-$I$77),0)</f>
        <v>0</v>
      </c>
      <c r="BM410" s="1312">
        <f t="shared" si="255"/>
        <v>7.7696673364184136E-14</v>
      </c>
      <c r="BN410" s="1312">
        <f>BO409*((1+'Instrumentos Financeiros'!$K$43)^(1/12)-1)</f>
        <v>-7.7696673364184136E-14</v>
      </c>
      <c r="BO410" s="1312">
        <f t="shared" si="256"/>
        <v>-1.8046355161522406E-11</v>
      </c>
      <c r="BP410" s="1312">
        <f>IF(AND(C410&gt;$F$78,'Instrumentos Financeiros'!C410&lt;'Instrumentos Financeiros'!$F$78+'Instrumentos Financeiros'!$F$12+1),PMT(((1+'Instrumentos Financeiros'!$L$43)^(1/12)-1),$F$12,-$I$78),0)</f>
        <v>0</v>
      </c>
      <c r="BQ410" s="1312">
        <f t="shared" si="257"/>
        <v>7.6697443390554183E-14</v>
      </c>
      <c r="BR410" s="1312">
        <f>BS409*((1+'Instrumentos Financeiros'!$L$43)^(1/12)-1)</f>
        <v>-7.6697443390554183E-14</v>
      </c>
      <c r="BS410" s="1312">
        <f t="shared" si="258"/>
        <v>-1.7814267245639033E-11</v>
      </c>
      <c r="BT410" s="1312">
        <f>IF(AND(C410&gt;$F$79,'Instrumentos Financeiros'!C410&lt;'Instrumentos Financeiros'!$F$79+'Instrumentos Financeiros'!$F$12+1),PMT(((1+'Instrumentos Financeiros'!$L$43)^(1/12)-1),$F$12,-$I$79),0)</f>
        <v>0</v>
      </c>
      <c r="BU410" s="1312">
        <f t="shared" si="259"/>
        <v>7.5711064167116861E-14</v>
      </c>
      <c r="BV410" s="1312">
        <f>BW409*((1+'Instrumentos Financeiros'!$L$43)^(1/12)-1)</f>
        <v>-7.5711064167116861E-14</v>
      </c>
      <c r="BW410" s="1312">
        <f t="shared" si="260"/>
        <v>-1.7585164131961811E-11</v>
      </c>
      <c r="BX410" s="1312">
        <f>IF(AND(C410&gt;$F$80,'Instrumentos Financeiros'!C410&lt;'Instrumentos Financeiros'!$F$80+'Instrumentos Financeiros'!$F$12+1),PMT(((1+'Instrumentos Financeiros'!$L$43)^(1/12)-1),$F$12,-$I$80),0)</f>
        <v>0</v>
      </c>
      <c r="BY410" s="1312">
        <f t="shared" si="261"/>
        <v>7.4737370424830134E-14</v>
      </c>
      <c r="BZ410" s="1312">
        <f>CA409*((1+'Instrumentos Financeiros'!$L$43)^(1/12)-1)</f>
        <v>-7.4737370424830134E-14</v>
      </c>
      <c r="CA410" s="1312">
        <f t="shared" si="262"/>
        <v>-1.7359007433984594E-11</v>
      </c>
      <c r="CB410" s="1312">
        <f>IF(AND(C410&gt;$F$83,'Instrumentos Financeiros'!C410&lt;'Instrumentos Financeiros'!$F$83+'Instrumentos Financeiros'!$F$13+1),PMT(((1+'Instrumentos Financeiros'!$P$43)^(1/12)-1),$F$13,-$I$83),0)</f>
        <v>30503.390100238979</v>
      </c>
      <c r="CC410" s="1312">
        <f t="shared" si="263"/>
        <v>26569.601889503807</v>
      </c>
      <c r="CD410" s="1312">
        <f>CE409*((1+'Instrumentos Financeiros'!$P$43)^(1/12)-1)</f>
        <v>3933.788210735172</v>
      </c>
      <c r="CE410" s="1312">
        <f t="shared" si="264"/>
        <v>883184.88131887175</v>
      </c>
      <c r="CF410" s="1312">
        <f>IF(AND(C410&gt;$F$84,'Instrumentos Financeiros'!C410&lt;'Instrumentos Financeiros'!$F$84+'Instrumentos Financeiros'!$F$13+1),PMT(((1+'Instrumentos Financeiros'!$Q$43)^(1/12)-1),$F$13,-$I$84),0)</f>
        <v>30503.390100238979</v>
      </c>
      <c r="CG410" s="1312">
        <f t="shared" si="265"/>
        <v>26227.899453017701</v>
      </c>
      <c r="CH410" s="1312">
        <f>CI409*((1+'Instrumentos Financeiros'!$Q$43)^(1/12)-1)</f>
        <v>4275.4906472212797</v>
      </c>
      <c r="CI410" s="1312">
        <f t="shared" si="266"/>
        <v>962551.00166075514</v>
      </c>
      <c r="CJ410" s="1312">
        <f>IF(AND(C410&gt;$F$85,'Instrumentos Financeiros'!C410&lt;'Instrumentos Financeiros'!$F$85+'Instrumentos Financeiros'!$F$13+1),PMT(((1+'Instrumentos Financeiros'!$Q$43)^(1/12)-1),$F$13,-$I$85),0)</f>
        <v>30503.390100238979</v>
      </c>
      <c r="CK410" s="1312">
        <f t="shared" si="267"/>
        <v>25890.591533076709</v>
      </c>
      <c r="CL410" s="1312">
        <f>CM409*((1+'Instrumentos Financeiros'!$Q$43)^(1/12)-1)</f>
        <v>4612.7985671622719</v>
      </c>
      <c r="CM410" s="1312">
        <f t="shared" si="268"/>
        <v>1040896.4218503346</v>
      </c>
      <c r="CN410" s="1312">
        <f>IF(AND(C410&gt;$F$86,'Instrumentos Financeiros'!C410&lt;'Instrumentos Financeiros'!$F$86+'Instrumentos Financeiros'!$F$13+1),PMT(((1+'Instrumentos Financeiros'!$Q$43)^(1/12)-1),$F$13,-$I$86),0)</f>
        <v>30503.390100238979</v>
      </c>
      <c r="CO410" s="1312">
        <f t="shared" si="269"/>
        <v>25557.62161332741</v>
      </c>
      <c r="CP410" s="1312">
        <f>CQ409*((1+'Instrumentos Financeiros'!$Q$43)^(1/12)-1)</f>
        <v>4945.7684869115701</v>
      </c>
      <c r="CQ410" s="1312">
        <f t="shared" si="270"/>
        <v>1118234.2687583256</v>
      </c>
      <c r="CR410" s="1312">
        <f t="shared" si="239"/>
        <v>122013.56040095592</v>
      </c>
      <c r="CS410" s="1312">
        <f t="shared" si="239"/>
        <v>104245.71448892573</v>
      </c>
      <c r="CT410" s="1312">
        <f t="shared" si="239"/>
        <v>17767.845912030192</v>
      </c>
      <c r="CU410" s="1312">
        <f t="shared" si="239"/>
        <v>4004866.5735882642</v>
      </c>
    </row>
    <row r="411" spans="3:99" x14ac:dyDescent="0.35">
      <c r="C411" s="1315">
        <f t="shared" si="240"/>
        <v>318</v>
      </c>
      <c r="D411" s="1312">
        <f>IF(AND(C411&gt;$F$59,'Instrumentos Financeiros'!C411&lt;'Instrumentos Financeiros'!$F$59+'Instrumentos Financeiros'!$F$11+1),PMT(((1+'Instrumentos Financeiros'!$G$43)^(1/12)-1),$F$11,-$I$59),0)</f>
        <v>0</v>
      </c>
      <c r="E411" s="1312">
        <f t="shared" si="237"/>
        <v>-1.1659905868454755E-11</v>
      </c>
      <c r="F411" s="1312">
        <f>G410*((1+'Instrumentos Financeiros'!$G$43)^(1/12)-1)</f>
        <v>1.1659905868454755E-11</v>
      </c>
      <c r="G411" s="1312">
        <f t="shared" si="271"/>
        <v>2.8682193238118986E-9</v>
      </c>
      <c r="H411" s="1312">
        <f>IF(AND(C411&gt;$F$60,'Instrumentos Financeiros'!C411&lt;'Instrumentos Financeiros'!$F$60+'Instrumentos Financeiros'!$F$11+1),PMT(((1+'Instrumentos Financeiros'!$G$43)^(1/12)-1),$F$11,-$I$60),0)</f>
        <v>0</v>
      </c>
      <c r="I411" s="1312">
        <f t="shared" si="272"/>
        <v>0</v>
      </c>
      <c r="J411" s="1312">
        <f>K410*((1+'Instrumentos Financeiros'!$G$43)^(1/12)-1)</f>
        <v>0</v>
      </c>
      <c r="K411" s="1312">
        <f t="shared" si="241"/>
        <v>0</v>
      </c>
      <c r="L411" s="1312">
        <f>IF(AND(C411&gt;$F$61,'Instrumentos Financeiros'!C411&lt;'Instrumentos Financeiros'!$F$61+'Instrumentos Financeiros'!$F$11+1),PMT(((1+'Instrumentos Financeiros'!$G$43)^(1/12)-1),$F$11,-$I$61),0)</f>
        <v>0</v>
      </c>
      <c r="M411" s="1312">
        <f t="shared" si="273"/>
        <v>0</v>
      </c>
      <c r="N411" s="1312">
        <f>O410*((1+'Instrumentos Financeiros'!$G$43)^(1/12)-1)</f>
        <v>0</v>
      </c>
      <c r="O411" s="1312">
        <f t="shared" si="242"/>
        <v>0</v>
      </c>
      <c r="P411" s="1312">
        <f>IF(AND(C411&gt;$F$62,'Instrumentos Financeiros'!C411&lt;'Instrumentos Financeiros'!$F$62+'Instrumentos Financeiros'!$F$11+1),PMT(((1+'Instrumentos Financeiros'!$H$43)^(1/12)-1),$F$11,-$I$62),0)</f>
        <v>0</v>
      </c>
      <c r="Q411" s="1312">
        <f t="shared" si="274"/>
        <v>0</v>
      </c>
      <c r="R411" s="1312">
        <f>S410*((1+'Instrumentos Financeiros'!$H$43)^(1/12)-1)</f>
        <v>0</v>
      </c>
      <c r="S411" s="1312">
        <f t="shared" si="243"/>
        <v>0</v>
      </c>
      <c r="T411" s="1312">
        <f>IF(AND(C411&gt;$F$63,'Instrumentos Financeiros'!C411&lt;'Instrumentos Financeiros'!$F$63+'Instrumentos Financeiros'!$F$11+1),PMT(((1+'Instrumentos Financeiros'!$H$43)^(1/12)-1),$F$11,-$I$63),0)</f>
        <v>0</v>
      </c>
      <c r="U411" s="1312">
        <f t="shared" si="275"/>
        <v>0</v>
      </c>
      <c r="V411" s="1312">
        <f>W410*((1+'Instrumentos Financeiros'!$H$43)^(1/12)-1)</f>
        <v>0</v>
      </c>
      <c r="W411" s="1312">
        <f t="shared" si="244"/>
        <v>0</v>
      </c>
      <c r="X411" s="1312">
        <f>IF(AND(C411&gt;$F$64,'Instrumentos Financeiros'!C411&lt;'Instrumentos Financeiros'!$F$64+'Instrumentos Financeiros'!$F$11+1),PMT(((1+'Instrumentos Financeiros'!$H$43)^(1/12)-1),$F$11,-$I$64),0)</f>
        <v>0</v>
      </c>
      <c r="Y411" s="1312">
        <f t="shared" si="276"/>
        <v>0</v>
      </c>
      <c r="Z411" s="1312">
        <f>AA410*((1+'Instrumentos Financeiros'!$H$43)^(1/12)-1)</f>
        <v>0</v>
      </c>
      <c r="AA411" s="1312">
        <f t="shared" si="245"/>
        <v>0</v>
      </c>
      <c r="AB411" s="1312">
        <f>IF(AND(C411&gt;$F$65,'Instrumentos Financeiros'!C411&lt;'Instrumentos Financeiros'!$F$65+'Instrumentos Financeiros'!$F$11+1),PMT(((1+'Instrumentos Financeiros'!$H$43)^(1/12)-1),$F$11,-$I$65),0)</f>
        <v>0</v>
      </c>
      <c r="AC411" s="1312">
        <f t="shared" si="277"/>
        <v>2.8709615234304926E-11</v>
      </c>
      <c r="AD411" s="1312">
        <f>AE410*((1+'Instrumentos Financeiros'!$H$43)^(1/12)-1)</f>
        <v>-2.8709615234304926E-11</v>
      </c>
      <c r="AE411" s="1312">
        <f t="shared" si="246"/>
        <v>-6.6682895243202467E-9</v>
      </c>
      <c r="AF411" s="1312">
        <f>IF(AND(C411&gt;$F$66,'Instrumentos Financeiros'!C411&lt;'Instrumentos Financeiros'!$F$66+'Instrumentos Financeiros'!$F$11+1),PMT(((1+'Instrumentos Financeiros'!$I$43)^(1/12)-1),$F$11,-$I$66),0)</f>
        <v>0</v>
      </c>
      <c r="AG411" s="1312">
        <f t="shared" si="278"/>
        <v>2.8340390828273604E-11</v>
      </c>
      <c r="AH411" s="1312">
        <f>AI410*((1+'Instrumentos Financeiros'!$I$43)^(1/12)-1)</f>
        <v>-2.8340390828273604E-11</v>
      </c>
      <c r="AI411" s="1312">
        <f t="shared" si="247"/>
        <v>-6.5825309650790876E-9</v>
      </c>
      <c r="AJ411" s="1312">
        <f>IF(AND(C411&gt;$F$67,'Instrumentos Financeiros'!C411&lt;'Instrumentos Financeiros'!$F$67+'Instrumentos Financeiros'!$F$11+1),PMT(((1+'Instrumentos Financeiros'!$I$43)^(1/12)-1),$F$11,-$I$67),0)</f>
        <v>0</v>
      </c>
      <c r="AK411" s="1312">
        <f t="shared" si="279"/>
        <v>2.7975914889294057E-11</v>
      </c>
      <c r="AL411" s="1312">
        <f>AM410*((1+'Instrumentos Financeiros'!$I$43)^(1/12)-1)</f>
        <v>-2.7975914889294057E-11</v>
      </c>
      <c r="AM411" s="1312">
        <f t="shared" si="248"/>
        <v>-6.4978753169302402E-9</v>
      </c>
      <c r="AN411" s="1312">
        <f>IF(AND(C411&gt;$F$68,'Instrumentos Financeiros'!C411&lt;'Instrumentos Financeiros'!$F$68+'Instrumentos Financeiros'!$F$11+1),PMT(((1+'Instrumentos Financeiros'!$I$43)^(1/12)-1),$F$11,-$I$68),0)</f>
        <v>0</v>
      </c>
      <c r="AO411" s="1312">
        <f t="shared" si="280"/>
        <v>2.7616126348978137E-11</v>
      </c>
      <c r="AP411" s="1312">
        <f>AQ410*((1+'Instrumentos Financeiros'!$I$43)^(1/12)-1)</f>
        <v>-2.7616126348978137E-11</v>
      </c>
      <c r="AQ411" s="1312">
        <f t="shared" si="249"/>
        <v>-6.4143083957165985E-9</v>
      </c>
      <c r="AR411" s="1312">
        <f>IF(AND(C411&gt;$F$69,'Instrumentos Financeiros'!C411&lt;'Instrumentos Financeiros'!$F$69+'Instrumentos Financeiros'!$F$11+1),PMT(((1+'Instrumentos Financeiros'!$I$43)^(1/12)-1),$F$11,-$I$69),0)</f>
        <v>0</v>
      </c>
      <c r="AS411" s="1312">
        <f t="shared" si="281"/>
        <v>0</v>
      </c>
      <c r="AT411" s="1312">
        <f>AU410*((1+'Instrumentos Financeiros'!$I$43)^(1/12)-1)</f>
        <v>0</v>
      </c>
      <c r="AU411" s="1312">
        <f t="shared" si="250"/>
        <v>0</v>
      </c>
      <c r="AV411" s="1312">
        <f>IF(AND(C411&gt;$F$70,'Instrumentos Financeiros'!C411&lt;'Instrumentos Financeiros'!$F$70+'Instrumentos Financeiros'!$F$11+1),PMT(((1+'Instrumentos Financeiros'!$J$43)^(1/12)-1),$F$11,-$I$70),0)</f>
        <v>0</v>
      </c>
      <c r="AW411" s="1312">
        <f t="shared" si="282"/>
        <v>0</v>
      </c>
      <c r="AX411" s="1312">
        <f>AY410*((1+'Instrumentos Financeiros'!$J$43)^(1/12)-1)</f>
        <v>0</v>
      </c>
      <c r="AY411" s="1312">
        <f t="shared" si="251"/>
        <v>0</v>
      </c>
      <c r="AZ411" s="1312">
        <f>IF(AND(C411&gt;$F$71,'Instrumentos Financeiros'!C411&lt;'Instrumentos Financeiros'!$F$71+'Instrumentos Financeiros'!$F$11+1),PMT(((1+'Instrumentos Financeiros'!$J$43)^(1/12)-1),$F$11,-$I$71),0)</f>
        <v>0</v>
      </c>
      <c r="BA411" s="1312">
        <f t="shared" si="283"/>
        <v>0</v>
      </c>
      <c r="BB411" s="1312">
        <f>BC410*((1+'Instrumentos Financeiros'!$J$43)^(1/12)-1)</f>
        <v>0</v>
      </c>
      <c r="BC411" s="1312">
        <f t="shared" si="252"/>
        <v>0</v>
      </c>
      <c r="BD411" s="1312">
        <f>IF(AND(C411&gt;$F$72,'Instrumentos Financeiros'!C411&lt;'Instrumentos Financeiros'!$F$72+'Instrumentos Financeiros'!$F$11+1),PMT(((1+'Instrumentos Financeiros'!$J$43)^(1/12)-1),$F$11,-'Instrumentos Financeiros'!$G$7*$G$72),0)</f>
        <v>0</v>
      </c>
      <c r="BE411" s="1312">
        <f t="shared" si="284"/>
        <v>0</v>
      </c>
      <c r="BF411" s="1312">
        <f>BG410*((1+'Instrumentos Financeiros'!$J$43)^(1/12)-1)</f>
        <v>0</v>
      </c>
      <c r="BG411" s="1312">
        <f t="shared" si="253"/>
        <v>0</v>
      </c>
      <c r="BH411" s="1312">
        <f>IF(AND(C411&gt;$F$73,'Instrumentos Financeiros'!C411&lt;'Instrumentos Financeiros'!$F$73+'Instrumentos Financeiros'!$F$11+1),PMT(((1+'Instrumentos Financeiros'!$J$43)^(1/12)-1),$F$11,-$I$73),0)</f>
        <v>0</v>
      </c>
      <c r="BI411" s="1312">
        <f t="shared" si="285"/>
        <v>0</v>
      </c>
      <c r="BJ411" s="1312">
        <f>BK410*((1+'Instrumentos Financeiros'!$J$43)^(1/12)-1)</f>
        <v>0</v>
      </c>
      <c r="BK411" s="1312">
        <f t="shared" si="254"/>
        <v>0</v>
      </c>
      <c r="BL411" s="1312">
        <f>IF(AND(C411&gt;$F$77,'Instrumentos Financeiros'!C411&lt;'Instrumentos Financeiros'!$F$77+'Instrumentos Financeiros'!$F$12+1),PMT(((1+'Instrumentos Financeiros'!$K$43)^(1/12)-1),$F$12,-$I$77),0)</f>
        <v>0</v>
      </c>
      <c r="BM411" s="1312">
        <f t="shared" si="255"/>
        <v>7.8032634618934399E-14</v>
      </c>
      <c r="BN411" s="1312">
        <f>BO410*((1+'Instrumentos Financeiros'!$K$43)^(1/12)-1)</f>
        <v>-7.8032634618934399E-14</v>
      </c>
      <c r="BO411" s="1312">
        <f t="shared" si="256"/>
        <v>-1.8124387796141339E-11</v>
      </c>
      <c r="BP411" s="1312">
        <f>IF(AND(C411&gt;$F$78,'Instrumentos Financeiros'!C411&lt;'Instrumentos Financeiros'!$F$78+'Instrumentos Financeiros'!$F$12+1),PMT(((1+'Instrumentos Financeiros'!$L$43)^(1/12)-1),$F$12,-$I$78),0)</f>
        <v>0</v>
      </c>
      <c r="BQ411" s="1312">
        <f t="shared" si="257"/>
        <v>7.7029083964106805E-14</v>
      </c>
      <c r="BR411" s="1312">
        <f>BS410*((1+'Instrumentos Financeiros'!$L$43)^(1/12)-1)</f>
        <v>-7.7029083964106805E-14</v>
      </c>
      <c r="BS411" s="1312">
        <f t="shared" si="258"/>
        <v>-1.7891296329603141E-11</v>
      </c>
      <c r="BT411" s="1312">
        <f>IF(AND(C411&gt;$F$79,'Instrumentos Financeiros'!C411&lt;'Instrumentos Financeiros'!$F$79+'Instrumentos Financeiros'!$F$12+1),PMT(((1+'Instrumentos Financeiros'!$L$43)^(1/12)-1),$F$12,-$I$79),0)</f>
        <v>0</v>
      </c>
      <c r="BU411" s="1312">
        <f t="shared" si="259"/>
        <v>7.6038439626254452E-14</v>
      </c>
      <c r="BV411" s="1312">
        <f>BW410*((1+'Instrumentos Financeiros'!$L$43)^(1/12)-1)</f>
        <v>-7.6038439626254452E-14</v>
      </c>
      <c r="BW411" s="1312">
        <f t="shared" si="260"/>
        <v>-1.7661202571588065E-11</v>
      </c>
      <c r="BX411" s="1312">
        <f>IF(AND(C411&gt;$F$80,'Instrumentos Financeiros'!C411&lt;'Instrumentos Financeiros'!$F$80+'Instrumentos Financeiros'!$F$12+1),PMT(((1+'Instrumentos Financeiros'!$L$43)^(1/12)-1),$F$12,-$I$80),0)</f>
        <v>0</v>
      </c>
      <c r="BY411" s="1312">
        <f t="shared" si="261"/>
        <v>7.5060535621710174E-14</v>
      </c>
      <c r="BZ411" s="1312">
        <f>CA410*((1+'Instrumentos Financeiros'!$L$43)^(1/12)-1)</f>
        <v>-7.5060535621710174E-14</v>
      </c>
      <c r="CA411" s="1312">
        <f t="shared" si="262"/>
        <v>-1.7434067969606302E-11</v>
      </c>
      <c r="CB411" s="1312">
        <f>IF(AND(C411&gt;$F$83,'Instrumentos Financeiros'!C411&lt;'Instrumentos Financeiros'!$F$83+'Instrumentos Financeiros'!$F$13+1),PMT(((1+'Instrumentos Financeiros'!$P$43)^(1/12)-1),$F$13,-$I$83),0)</f>
        <v>30503.390100238979</v>
      </c>
      <c r="CC411" s="1312">
        <f t="shared" si="263"/>
        <v>26684.489135025538</v>
      </c>
      <c r="CD411" s="1312">
        <f>CE410*((1+'Instrumentos Financeiros'!$P$43)^(1/12)-1)</f>
        <v>3818.9009652134405</v>
      </c>
      <c r="CE411" s="1312">
        <f t="shared" si="264"/>
        <v>856500.39218384621</v>
      </c>
      <c r="CF411" s="1312">
        <f>IF(AND(C411&gt;$F$84,'Instrumentos Financeiros'!C411&lt;'Instrumentos Financeiros'!$F$84+'Instrumentos Financeiros'!$F$13+1),PMT(((1+'Instrumentos Financeiros'!$Q$43)^(1/12)-1),$F$13,-$I$84),0)</f>
        <v>30503.390100238979</v>
      </c>
      <c r="CG411" s="1312">
        <f t="shared" si="265"/>
        <v>26341.309173513684</v>
      </c>
      <c r="CH411" s="1312">
        <f>CI410*((1+'Instrumentos Financeiros'!$Q$43)^(1/12)-1)</f>
        <v>4162.0809267252971</v>
      </c>
      <c r="CI411" s="1312">
        <f t="shared" si="266"/>
        <v>936209.69248724147</v>
      </c>
      <c r="CJ411" s="1312">
        <f>IF(AND(C411&gt;$F$85,'Instrumentos Financeiros'!C411&lt;'Instrumentos Financeiros'!$F$85+'Instrumentos Financeiros'!$F$13+1),PMT(((1+'Instrumentos Financeiros'!$Q$43)^(1/12)-1),$F$13,-$I$85),0)</f>
        <v>30503.390100238979</v>
      </c>
      <c r="CK411" s="1312">
        <f t="shared" si="267"/>
        <v>26002.54273048394</v>
      </c>
      <c r="CL411" s="1312">
        <f>CM410*((1+'Instrumentos Financeiros'!$Q$43)^(1/12)-1)</f>
        <v>4500.847369755038</v>
      </c>
      <c r="CM411" s="1312">
        <f t="shared" si="268"/>
        <v>1014893.8791198507</v>
      </c>
      <c r="CN411" s="1312">
        <f>IF(AND(C411&gt;$F$86,'Instrumentos Financeiros'!C411&lt;'Instrumentos Financeiros'!$F$86+'Instrumentos Financeiros'!$F$13+1),PMT(((1+'Instrumentos Financeiros'!$Q$43)^(1/12)-1),$F$13,-$I$86),0)</f>
        <v>30503.390100238979</v>
      </c>
      <c r="CO411" s="1312">
        <f t="shared" si="269"/>
        <v>25668.133045205574</v>
      </c>
      <c r="CP411" s="1312">
        <f>CQ410*((1+'Instrumentos Financeiros'!$Q$43)^(1/12)-1)</f>
        <v>4835.2570550334049</v>
      </c>
      <c r="CQ411" s="1312">
        <f t="shared" si="270"/>
        <v>1092566.13571312</v>
      </c>
      <c r="CR411" s="1312">
        <f t="shared" si="239"/>
        <v>122013.56040095592</v>
      </c>
      <c r="CS411" s="1312">
        <f t="shared" si="239"/>
        <v>104696.47408422883</v>
      </c>
      <c r="CT411" s="1312">
        <f t="shared" si="239"/>
        <v>17317.08631672708</v>
      </c>
      <c r="CU411" s="1312">
        <f t="shared" si="239"/>
        <v>3900170.099504035</v>
      </c>
    </row>
    <row r="412" spans="3:99" x14ac:dyDescent="0.35">
      <c r="C412" s="1315">
        <f t="shared" si="240"/>
        <v>319</v>
      </c>
      <c r="D412" s="1312">
        <f>IF(AND(C412&gt;$F$59,'Instrumentos Financeiros'!C412&lt;'Instrumentos Financeiros'!$F$59+'Instrumentos Financeiros'!$F$11+1),PMT(((1+'Instrumentos Financeiros'!$G$43)^(1/12)-1),$F$11,-$I$59),0)</f>
        <v>0</v>
      </c>
      <c r="E412" s="1312">
        <f t="shared" si="237"/>
        <v>-1.1707499278907636E-11</v>
      </c>
      <c r="F412" s="1312">
        <f>G411*((1+'Instrumentos Financeiros'!$G$43)^(1/12)-1)</f>
        <v>1.1707499278907636E-11</v>
      </c>
      <c r="G412" s="1312">
        <f t="shared" si="271"/>
        <v>2.8799268230908062E-9</v>
      </c>
      <c r="H412" s="1312">
        <f>IF(AND(C412&gt;$F$60,'Instrumentos Financeiros'!C412&lt;'Instrumentos Financeiros'!$F$60+'Instrumentos Financeiros'!$F$11+1),PMT(((1+'Instrumentos Financeiros'!$G$43)^(1/12)-1),$F$11,-$I$60),0)</f>
        <v>0</v>
      </c>
      <c r="I412" s="1312">
        <f t="shared" si="272"/>
        <v>0</v>
      </c>
      <c r="J412" s="1312">
        <f>K411*((1+'Instrumentos Financeiros'!$G$43)^(1/12)-1)</f>
        <v>0</v>
      </c>
      <c r="K412" s="1312">
        <f t="shared" si="241"/>
        <v>0</v>
      </c>
      <c r="L412" s="1312">
        <f>IF(AND(C412&gt;$F$61,'Instrumentos Financeiros'!C412&lt;'Instrumentos Financeiros'!$F$61+'Instrumentos Financeiros'!$F$11+1),PMT(((1+'Instrumentos Financeiros'!$G$43)^(1/12)-1),$F$11,-$I$61),0)</f>
        <v>0</v>
      </c>
      <c r="M412" s="1312">
        <f t="shared" si="273"/>
        <v>0</v>
      </c>
      <c r="N412" s="1312">
        <f>O411*((1+'Instrumentos Financeiros'!$G$43)^(1/12)-1)</f>
        <v>0</v>
      </c>
      <c r="O412" s="1312">
        <f t="shared" si="242"/>
        <v>0</v>
      </c>
      <c r="P412" s="1312">
        <f>IF(AND(C412&gt;$F$62,'Instrumentos Financeiros'!C412&lt;'Instrumentos Financeiros'!$F$62+'Instrumentos Financeiros'!$F$11+1),PMT(((1+'Instrumentos Financeiros'!$H$43)^(1/12)-1),$F$11,-$I$62),0)</f>
        <v>0</v>
      </c>
      <c r="Q412" s="1312">
        <f t="shared" si="274"/>
        <v>0</v>
      </c>
      <c r="R412" s="1312">
        <f>S411*((1+'Instrumentos Financeiros'!$H$43)^(1/12)-1)</f>
        <v>0</v>
      </c>
      <c r="S412" s="1312">
        <f t="shared" si="243"/>
        <v>0</v>
      </c>
      <c r="T412" s="1312">
        <f>IF(AND(C412&gt;$F$63,'Instrumentos Financeiros'!C412&lt;'Instrumentos Financeiros'!$F$63+'Instrumentos Financeiros'!$F$11+1),PMT(((1+'Instrumentos Financeiros'!$H$43)^(1/12)-1),$F$11,-$I$63),0)</f>
        <v>0</v>
      </c>
      <c r="U412" s="1312">
        <f t="shared" si="275"/>
        <v>0</v>
      </c>
      <c r="V412" s="1312">
        <f>W411*((1+'Instrumentos Financeiros'!$H$43)^(1/12)-1)</f>
        <v>0</v>
      </c>
      <c r="W412" s="1312">
        <f t="shared" si="244"/>
        <v>0</v>
      </c>
      <c r="X412" s="1312">
        <f>IF(AND(C412&gt;$F$64,'Instrumentos Financeiros'!C412&lt;'Instrumentos Financeiros'!$F$64+'Instrumentos Financeiros'!$F$11+1),PMT(((1+'Instrumentos Financeiros'!$H$43)^(1/12)-1),$F$11,-$I$64),0)</f>
        <v>0</v>
      </c>
      <c r="Y412" s="1312">
        <f t="shared" si="276"/>
        <v>0</v>
      </c>
      <c r="Z412" s="1312">
        <f>AA411*((1+'Instrumentos Financeiros'!$H$43)^(1/12)-1)</f>
        <v>0</v>
      </c>
      <c r="AA412" s="1312">
        <f t="shared" si="245"/>
        <v>0</v>
      </c>
      <c r="AB412" s="1312">
        <f>IF(AND(C412&gt;$F$65,'Instrumentos Financeiros'!C412&lt;'Instrumentos Financeiros'!$F$65+'Instrumentos Financeiros'!$F$11+1),PMT(((1+'Instrumentos Financeiros'!$H$43)^(1/12)-1),$F$11,-$I$65),0)</f>
        <v>0</v>
      </c>
      <c r="AC412" s="1312">
        <f t="shared" si="277"/>
        <v>2.883375592064171E-11</v>
      </c>
      <c r="AD412" s="1312">
        <f>AE411*((1+'Instrumentos Financeiros'!$H$43)^(1/12)-1)</f>
        <v>-2.883375592064171E-11</v>
      </c>
      <c r="AE412" s="1312">
        <f t="shared" si="246"/>
        <v>-6.6971232802408885E-9</v>
      </c>
      <c r="AF412" s="1312">
        <f>IF(AND(C412&gt;$F$66,'Instrumentos Financeiros'!C412&lt;'Instrumentos Financeiros'!$F$66+'Instrumentos Financeiros'!$F$11+1),PMT(((1+'Instrumentos Financeiros'!$I$43)^(1/12)-1),$F$11,-$I$66),0)</f>
        <v>0</v>
      </c>
      <c r="AG412" s="1312">
        <f t="shared" si="278"/>
        <v>2.8462934984291086E-11</v>
      </c>
      <c r="AH412" s="1312">
        <f>AI411*((1+'Instrumentos Financeiros'!$I$43)^(1/12)-1)</f>
        <v>-2.8462934984291086E-11</v>
      </c>
      <c r="AI412" s="1312">
        <f t="shared" si="247"/>
        <v>-6.6109939000633787E-9</v>
      </c>
      <c r="AJ412" s="1312">
        <f>IF(AND(C412&gt;$F$67,'Instrumentos Financeiros'!C412&lt;'Instrumentos Financeiros'!$F$67+'Instrumentos Financeiros'!$F$11+1),PMT(((1+'Instrumentos Financeiros'!$I$43)^(1/12)-1),$F$11,-$I$67),0)</f>
        <v>0</v>
      </c>
      <c r="AK412" s="1312">
        <f t="shared" si="279"/>
        <v>2.8096883047415055E-11</v>
      </c>
      <c r="AL412" s="1312">
        <f>AM411*((1+'Instrumentos Financeiros'!$I$43)^(1/12)-1)</f>
        <v>-2.8096883047415055E-11</v>
      </c>
      <c r="AM412" s="1312">
        <f t="shared" si="248"/>
        <v>-6.5259721999776556E-9</v>
      </c>
      <c r="AN412" s="1312">
        <f>IF(AND(C412&gt;$F$68,'Instrumentos Financeiros'!C412&lt;'Instrumentos Financeiros'!$F$68+'Instrumentos Financeiros'!$F$11+1),PMT(((1+'Instrumentos Financeiros'!$I$43)^(1/12)-1),$F$11,-$I$68),0)</f>
        <v>0</v>
      </c>
      <c r="AO412" s="1312">
        <f t="shared" si="280"/>
        <v>2.7735538777565094E-11</v>
      </c>
      <c r="AP412" s="1312">
        <f>AQ411*((1+'Instrumentos Financeiros'!$I$43)^(1/12)-1)</f>
        <v>-2.7735538777565094E-11</v>
      </c>
      <c r="AQ412" s="1312">
        <f t="shared" si="249"/>
        <v>-6.4420439344941634E-9</v>
      </c>
      <c r="AR412" s="1312">
        <f>IF(AND(C412&gt;$F$69,'Instrumentos Financeiros'!C412&lt;'Instrumentos Financeiros'!$F$69+'Instrumentos Financeiros'!$F$11+1),PMT(((1+'Instrumentos Financeiros'!$I$43)^(1/12)-1),$F$11,-$I$69),0)</f>
        <v>0</v>
      </c>
      <c r="AS412" s="1312">
        <f t="shared" si="281"/>
        <v>0</v>
      </c>
      <c r="AT412" s="1312">
        <f>AU411*((1+'Instrumentos Financeiros'!$I$43)^(1/12)-1)</f>
        <v>0</v>
      </c>
      <c r="AU412" s="1312">
        <f t="shared" si="250"/>
        <v>0</v>
      </c>
      <c r="AV412" s="1312">
        <f>IF(AND(C412&gt;$F$70,'Instrumentos Financeiros'!C412&lt;'Instrumentos Financeiros'!$F$70+'Instrumentos Financeiros'!$F$11+1),PMT(((1+'Instrumentos Financeiros'!$J$43)^(1/12)-1),$F$11,-$I$70),0)</f>
        <v>0</v>
      </c>
      <c r="AW412" s="1312">
        <f t="shared" si="282"/>
        <v>0</v>
      </c>
      <c r="AX412" s="1312">
        <f>AY411*((1+'Instrumentos Financeiros'!$J$43)^(1/12)-1)</f>
        <v>0</v>
      </c>
      <c r="AY412" s="1312">
        <f t="shared" si="251"/>
        <v>0</v>
      </c>
      <c r="AZ412" s="1312">
        <f>IF(AND(C412&gt;$F$71,'Instrumentos Financeiros'!C412&lt;'Instrumentos Financeiros'!$F$71+'Instrumentos Financeiros'!$F$11+1),PMT(((1+'Instrumentos Financeiros'!$J$43)^(1/12)-1),$F$11,-$I$71),0)</f>
        <v>0</v>
      </c>
      <c r="BA412" s="1312">
        <f t="shared" si="283"/>
        <v>0</v>
      </c>
      <c r="BB412" s="1312">
        <f>BC411*((1+'Instrumentos Financeiros'!$J$43)^(1/12)-1)</f>
        <v>0</v>
      </c>
      <c r="BC412" s="1312">
        <f t="shared" si="252"/>
        <v>0</v>
      </c>
      <c r="BD412" s="1312">
        <f>IF(AND(C412&gt;$F$72,'Instrumentos Financeiros'!C412&lt;'Instrumentos Financeiros'!$F$72+'Instrumentos Financeiros'!$F$11+1),PMT(((1+'Instrumentos Financeiros'!$J$43)^(1/12)-1),$F$11,-'Instrumentos Financeiros'!$G$7*$G$72),0)</f>
        <v>0</v>
      </c>
      <c r="BE412" s="1312">
        <f t="shared" si="284"/>
        <v>0</v>
      </c>
      <c r="BF412" s="1312">
        <f>BG411*((1+'Instrumentos Financeiros'!$J$43)^(1/12)-1)</f>
        <v>0</v>
      </c>
      <c r="BG412" s="1312">
        <f t="shared" si="253"/>
        <v>0</v>
      </c>
      <c r="BH412" s="1312">
        <f>IF(AND(C412&gt;$F$73,'Instrumentos Financeiros'!C412&lt;'Instrumentos Financeiros'!$F$73+'Instrumentos Financeiros'!$F$11+1),PMT(((1+'Instrumentos Financeiros'!$J$43)^(1/12)-1),$F$11,-$I$73),0)</f>
        <v>0</v>
      </c>
      <c r="BI412" s="1312">
        <f t="shared" si="285"/>
        <v>0</v>
      </c>
      <c r="BJ412" s="1312">
        <f>BK411*((1+'Instrumentos Financeiros'!$J$43)^(1/12)-1)</f>
        <v>0</v>
      </c>
      <c r="BK412" s="1312">
        <f t="shared" si="254"/>
        <v>0</v>
      </c>
      <c r="BL412" s="1312">
        <f>IF(AND(C412&gt;$F$77,'Instrumentos Financeiros'!C412&lt;'Instrumentos Financeiros'!$F$77+'Instrumentos Financeiros'!$F$12+1),PMT(((1+'Instrumentos Financeiros'!$K$43)^(1/12)-1),$F$12,-$I$77),0)</f>
        <v>0</v>
      </c>
      <c r="BM412" s="1312">
        <f t="shared" si="255"/>
        <v>7.8370048573778588E-14</v>
      </c>
      <c r="BN412" s="1312">
        <f>BO411*((1+'Instrumentos Financeiros'!$K$43)^(1/12)-1)</f>
        <v>-7.8370048573778588E-14</v>
      </c>
      <c r="BO412" s="1312">
        <f t="shared" si="256"/>
        <v>-1.8202757844715117E-11</v>
      </c>
      <c r="BP412" s="1312">
        <f>IF(AND(C412&gt;$F$78,'Instrumentos Financeiros'!C412&lt;'Instrumentos Financeiros'!$F$78+'Instrumentos Financeiros'!$F$12+1),PMT(((1+'Instrumentos Financeiros'!$L$43)^(1/12)-1),$F$12,-$I$78),0)</f>
        <v>0</v>
      </c>
      <c r="BQ412" s="1312">
        <f t="shared" si="257"/>
        <v>7.7362158555081182E-14</v>
      </c>
      <c r="BR412" s="1312">
        <f>BS411*((1+'Instrumentos Financeiros'!$L$43)^(1/12)-1)</f>
        <v>-7.7362158555081182E-14</v>
      </c>
      <c r="BS412" s="1312">
        <f t="shared" si="258"/>
        <v>-1.7968658488158223E-11</v>
      </c>
      <c r="BT412" s="1312">
        <f>IF(AND(C412&gt;$F$79,'Instrumentos Financeiros'!C412&lt;'Instrumentos Financeiros'!$F$79+'Instrumentos Financeiros'!$F$12+1),PMT(((1+'Instrumentos Financeiros'!$L$43)^(1/12)-1),$F$12,-$I$79),0)</f>
        <v>0</v>
      </c>
      <c r="BU412" s="1312">
        <f t="shared" si="259"/>
        <v>7.6367230660412994E-14</v>
      </c>
      <c r="BV412" s="1312">
        <f>BW411*((1+'Instrumentos Financeiros'!$L$43)^(1/12)-1)</f>
        <v>-7.6367230660412994E-14</v>
      </c>
      <c r="BW412" s="1312">
        <f t="shared" si="260"/>
        <v>-1.7737569802248478E-11</v>
      </c>
      <c r="BX412" s="1312">
        <f>IF(AND(C412&gt;$F$80,'Instrumentos Financeiros'!C412&lt;'Instrumentos Financeiros'!$F$80+'Instrumentos Financeiros'!$F$12+1),PMT(((1+'Instrumentos Financeiros'!$L$43)^(1/12)-1),$F$12,-$I$80),0)</f>
        <v>0</v>
      </c>
      <c r="BY412" s="1312">
        <f t="shared" si="261"/>
        <v>7.5385098188391716E-14</v>
      </c>
      <c r="BZ412" s="1312">
        <f>CA411*((1+'Instrumentos Financeiros'!$L$43)^(1/12)-1)</f>
        <v>-7.5385098188391716E-14</v>
      </c>
      <c r="CA412" s="1312">
        <f t="shared" si="262"/>
        <v>-1.7509453067794693E-11</v>
      </c>
      <c r="CB412" s="1312">
        <f>IF(AND(C412&gt;$F$83,'Instrumentos Financeiros'!C412&lt;'Instrumentos Financeiros'!$F$83+'Instrumentos Financeiros'!$F$13+1),PMT(((1+'Instrumentos Financeiros'!$P$43)^(1/12)-1),$F$13,-$I$83),0)</f>
        <v>30503.390100238979</v>
      </c>
      <c r="CC412" s="1312">
        <f t="shared" si="263"/>
        <v>26799.873154237688</v>
      </c>
      <c r="CD412" s="1312">
        <f>CE411*((1+'Instrumentos Financeiros'!$P$43)^(1/12)-1)</f>
        <v>3703.5169460012908</v>
      </c>
      <c r="CE412" s="1312">
        <f t="shared" si="264"/>
        <v>829700.51902960858</v>
      </c>
      <c r="CF412" s="1312">
        <f>IF(AND(C412&gt;$F$84,'Instrumentos Financeiros'!C412&lt;'Instrumentos Financeiros'!$F$84+'Instrumentos Financeiros'!$F$13+1),PMT(((1+'Instrumentos Financeiros'!$Q$43)^(1/12)-1),$F$13,-$I$84),0)</f>
        <v>30503.390100238979</v>
      </c>
      <c r="CG412" s="1312">
        <f t="shared" si="265"/>
        <v>26455.209278865914</v>
      </c>
      <c r="CH412" s="1312">
        <f>CI411*((1+'Instrumentos Financeiros'!$Q$43)^(1/12)-1)</f>
        <v>4048.1808213730665</v>
      </c>
      <c r="CI412" s="1312">
        <f t="shared" si="266"/>
        <v>909754.48320837552</v>
      </c>
      <c r="CJ412" s="1312">
        <f>IF(AND(C412&gt;$F$85,'Instrumentos Financeiros'!C412&lt;'Instrumentos Financeiros'!$F$85+'Instrumentos Financeiros'!$F$13+1),PMT(((1+'Instrumentos Financeiros'!$Q$43)^(1/12)-1),$F$13,-$I$85),0)</f>
        <v>30503.390100238979</v>
      </c>
      <c r="CK412" s="1312">
        <f t="shared" si="267"/>
        <v>26114.978006077836</v>
      </c>
      <c r="CL412" s="1312">
        <f>CM411*((1+'Instrumentos Financeiros'!$Q$43)^(1/12)-1)</f>
        <v>4388.4120941611427</v>
      </c>
      <c r="CM412" s="1312">
        <f t="shared" si="268"/>
        <v>988778.90111377288</v>
      </c>
      <c r="CN412" s="1312">
        <f>IF(AND(C412&gt;$F$86,'Instrumentos Financeiros'!C412&lt;'Instrumentos Financeiros'!$F$86+'Instrumentos Financeiros'!$F$13+1),PMT(((1+'Instrumentos Financeiros'!$Q$43)^(1/12)-1),$F$13,-$I$86),0)</f>
        <v>30503.390100238979</v>
      </c>
      <c r="CO412" s="1312">
        <f t="shared" si="269"/>
        <v>25779.122329708705</v>
      </c>
      <c r="CP412" s="1312">
        <f>CQ411*((1+'Instrumentos Financeiros'!$Q$43)^(1/12)-1)</f>
        <v>4724.2677705302758</v>
      </c>
      <c r="CQ412" s="1312">
        <f t="shared" si="270"/>
        <v>1066787.0133834113</v>
      </c>
      <c r="CR412" s="1312">
        <f t="shared" si="239"/>
        <v>122013.56040095592</v>
      </c>
      <c r="CS412" s="1312">
        <f t="shared" si="239"/>
        <v>105149.18276889026</v>
      </c>
      <c r="CT412" s="1312">
        <f t="shared" si="239"/>
        <v>16864.377632065676</v>
      </c>
      <c r="CU412" s="1312">
        <f t="shared" si="239"/>
        <v>3795020.9167351448</v>
      </c>
    </row>
    <row r="413" spans="3:99" x14ac:dyDescent="0.35">
      <c r="C413" s="1315">
        <f t="shared" si="240"/>
        <v>320</v>
      </c>
      <c r="D413" s="1312">
        <f>IF(AND(C413&gt;$F$59,'Instrumentos Financeiros'!C413&lt;'Instrumentos Financeiros'!$F$59+'Instrumentos Financeiros'!$F$11+1),PMT(((1+'Instrumentos Financeiros'!$G$43)^(1/12)-1),$F$11,-$I$59),0)</f>
        <v>0</v>
      </c>
      <c r="E413" s="1312">
        <f t="shared" ref="E413:E453" si="286">D413-F413</f>
        <v>-1.1755286956170565E-11</v>
      </c>
      <c r="F413" s="1312">
        <f>G412*((1+'Instrumentos Financeiros'!$G$43)^(1/12)-1)</f>
        <v>1.1755286956170565E-11</v>
      </c>
      <c r="G413" s="1312">
        <f t="shared" si="271"/>
        <v>2.8916821100469766E-9</v>
      </c>
      <c r="H413" s="1312">
        <f>IF(AND(C413&gt;$F$60,'Instrumentos Financeiros'!C413&lt;'Instrumentos Financeiros'!$F$60+'Instrumentos Financeiros'!$F$11+1),PMT(((1+'Instrumentos Financeiros'!$G$43)^(1/12)-1),$F$11,-$I$60),0)</f>
        <v>0</v>
      </c>
      <c r="I413" s="1312">
        <f t="shared" si="272"/>
        <v>0</v>
      </c>
      <c r="J413" s="1312">
        <f>K412*((1+'Instrumentos Financeiros'!$G$43)^(1/12)-1)</f>
        <v>0</v>
      </c>
      <c r="K413" s="1312">
        <f t="shared" si="241"/>
        <v>0</v>
      </c>
      <c r="L413" s="1312">
        <f>IF(AND(C413&gt;$F$61,'Instrumentos Financeiros'!C413&lt;'Instrumentos Financeiros'!$F$61+'Instrumentos Financeiros'!$F$11+1),PMT(((1+'Instrumentos Financeiros'!$G$43)^(1/12)-1),$F$11,-$I$61),0)</f>
        <v>0</v>
      </c>
      <c r="M413" s="1312">
        <f t="shared" si="273"/>
        <v>0</v>
      </c>
      <c r="N413" s="1312">
        <f>O412*((1+'Instrumentos Financeiros'!$G$43)^(1/12)-1)</f>
        <v>0</v>
      </c>
      <c r="O413" s="1312">
        <f t="shared" si="242"/>
        <v>0</v>
      </c>
      <c r="P413" s="1312">
        <f>IF(AND(C413&gt;$F$62,'Instrumentos Financeiros'!C413&lt;'Instrumentos Financeiros'!$F$62+'Instrumentos Financeiros'!$F$11+1),PMT(((1+'Instrumentos Financeiros'!$H$43)^(1/12)-1),$F$11,-$I$62),0)</f>
        <v>0</v>
      </c>
      <c r="Q413" s="1312">
        <f t="shared" si="274"/>
        <v>0</v>
      </c>
      <c r="R413" s="1312">
        <f>S412*((1+'Instrumentos Financeiros'!$H$43)^(1/12)-1)</f>
        <v>0</v>
      </c>
      <c r="S413" s="1312">
        <f t="shared" si="243"/>
        <v>0</v>
      </c>
      <c r="T413" s="1312">
        <f>IF(AND(C413&gt;$F$63,'Instrumentos Financeiros'!C413&lt;'Instrumentos Financeiros'!$F$63+'Instrumentos Financeiros'!$F$11+1),PMT(((1+'Instrumentos Financeiros'!$H$43)^(1/12)-1),$F$11,-$I$63),0)</f>
        <v>0</v>
      </c>
      <c r="U413" s="1312">
        <f t="shared" si="275"/>
        <v>0</v>
      </c>
      <c r="V413" s="1312">
        <f>W412*((1+'Instrumentos Financeiros'!$H$43)^(1/12)-1)</f>
        <v>0</v>
      </c>
      <c r="W413" s="1312">
        <f t="shared" si="244"/>
        <v>0</v>
      </c>
      <c r="X413" s="1312">
        <f>IF(AND(C413&gt;$F$64,'Instrumentos Financeiros'!C413&lt;'Instrumentos Financeiros'!$F$64+'Instrumentos Financeiros'!$F$11+1),PMT(((1+'Instrumentos Financeiros'!$H$43)^(1/12)-1),$F$11,-$I$64),0)</f>
        <v>0</v>
      </c>
      <c r="Y413" s="1312">
        <f t="shared" si="276"/>
        <v>0</v>
      </c>
      <c r="Z413" s="1312">
        <f>AA412*((1+'Instrumentos Financeiros'!$H$43)^(1/12)-1)</f>
        <v>0</v>
      </c>
      <c r="AA413" s="1312">
        <f t="shared" si="245"/>
        <v>0</v>
      </c>
      <c r="AB413" s="1312">
        <f>IF(AND(C413&gt;$F$65,'Instrumentos Financeiros'!C413&lt;'Instrumentos Financeiros'!$F$65+'Instrumentos Financeiros'!$F$11+1),PMT(((1+'Instrumentos Financeiros'!$H$43)^(1/12)-1),$F$11,-$I$65),0)</f>
        <v>0</v>
      </c>
      <c r="AC413" s="1312">
        <f t="shared" si="277"/>
        <v>2.895843339264693E-11</v>
      </c>
      <c r="AD413" s="1312">
        <f>AE412*((1+'Instrumentos Financeiros'!$H$43)^(1/12)-1)</f>
        <v>-2.895843339264693E-11</v>
      </c>
      <c r="AE413" s="1312">
        <f t="shared" si="246"/>
        <v>-6.7260817136335352E-9</v>
      </c>
      <c r="AF413" s="1312">
        <f>IF(AND(C413&gt;$F$66,'Instrumentos Financeiros'!C413&lt;'Instrumentos Financeiros'!$F$66+'Instrumentos Financeiros'!$F$11+1),PMT(((1+'Instrumentos Financeiros'!$I$43)^(1/12)-1),$F$11,-$I$66),0)</f>
        <v>0</v>
      </c>
      <c r="AG413" s="1312">
        <f t="shared" si="278"/>
        <v>2.8586009022562665E-11</v>
      </c>
      <c r="AH413" s="1312">
        <f>AI412*((1+'Instrumentos Financeiros'!$I$43)^(1/12)-1)</f>
        <v>-2.8586009022562665E-11</v>
      </c>
      <c r="AI413" s="1312">
        <f t="shared" si="247"/>
        <v>-6.6395799090859416E-9</v>
      </c>
      <c r="AJ413" s="1312">
        <f>IF(AND(C413&gt;$F$67,'Instrumentos Financeiros'!C413&lt;'Instrumentos Financeiros'!$F$67+'Instrumentos Financeiros'!$F$11+1),PMT(((1+'Instrumentos Financeiros'!$I$43)^(1/12)-1),$F$11,-$I$67),0)</f>
        <v>0</v>
      </c>
      <c r="AK413" s="1312">
        <f t="shared" si="279"/>
        <v>2.8218374273158221E-11</v>
      </c>
      <c r="AL413" s="1312">
        <f>AM412*((1+'Instrumentos Financeiros'!$I$43)^(1/12)-1)</f>
        <v>-2.8218374273158221E-11</v>
      </c>
      <c r="AM413" s="1312">
        <f t="shared" si="248"/>
        <v>-6.5541905742508137E-9</v>
      </c>
      <c r="AN413" s="1312">
        <f>IF(AND(C413&gt;$F$68,'Instrumentos Financeiros'!C413&lt;'Instrumentos Financeiros'!$F$68+'Instrumentos Financeiros'!$F$11+1),PMT(((1+'Instrumentos Financeiros'!$I$43)^(1/12)-1),$F$11,-$I$68),0)</f>
        <v>0</v>
      </c>
      <c r="AO413" s="1312">
        <f t="shared" si="280"/>
        <v>2.7855467546782911E-11</v>
      </c>
      <c r="AP413" s="1312">
        <f>AQ412*((1+'Instrumentos Financeiros'!$I$43)^(1/12)-1)</f>
        <v>-2.7855467546782911E-11</v>
      </c>
      <c r="AQ413" s="1312">
        <f t="shared" si="249"/>
        <v>-6.4698994020409461E-9</v>
      </c>
      <c r="AR413" s="1312">
        <f>IF(AND(C413&gt;$F$69,'Instrumentos Financeiros'!C413&lt;'Instrumentos Financeiros'!$F$69+'Instrumentos Financeiros'!$F$11+1),PMT(((1+'Instrumentos Financeiros'!$I$43)^(1/12)-1),$F$11,-$I$69),0)</f>
        <v>0</v>
      </c>
      <c r="AS413" s="1312">
        <f t="shared" si="281"/>
        <v>0</v>
      </c>
      <c r="AT413" s="1312">
        <f>AU412*((1+'Instrumentos Financeiros'!$I$43)^(1/12)-1)</f>
        <v>0</v>
      </c>
      <c r="AU413" s="1312">
        <f t="shared" si="250"/>
        <v>0</v>
      </c>
      <c r="AV413" s="1312">
        <f>IF(AND(C413&gt;$F$70,'Instrumentos Financeiros'!C413&lt;'Instrumentos Financeiros'!$F$70+'Instrumentos Financeiros'!$F$11+1),PMT(((1+'Instrumentos Financeiros'!$J$43)^(1/12)-1),$F$11,-$I$70),0)</f>
        <v>0</v>
      </c>
      <c r="AW413" s="1312">
        <f t="shared" si="282"/>
        <v>0</v>
      </c>
      <c r="AX413" s="1312">
        <f>AY412*((1+'Instrumentos Financeiros'!$J$43)^(1/12)-1)</f>
        <v>0</v>
      </c>
      <c r="AY413" s="1312">
        <f t="shared" si="251"/>
        <v>0</v>
      </c>
      <c r="AZ413" s="1312">
        <f>IF(AND(C413&gt;$F$71,'Instrumentos Financeiros'!C413&lt;'Instrumentos Financeiros'!$F$71+'Instrumentos Financeiros'!$F$11+1),PMT(((1+'Instrumentos Financeiros'!$J$43)^(1/12)-1),$F$11,-$I$71),0)</f>
        <v>0</v>
      </c>
      <c r="BA413" s="1312">
        <f t="shared" si="283"/>
        <v>0</v>
      </c>
      <c r="BB413" s="1312">
        <f>BC412*((1+'Instrumentos Financeiros'!$J$43)^(1/12)-1)</f>
        <v>0</v>
      </c>
      <c r="BC413" s="1312">
        <f t="shared" si="252"/>
        <v>0</v>
      </c>
      <c r="BD413" s="1312">
        <f>IF(AND(C413&gt;$F$72,'Instrumentos Financeiros'!C413&lt;'Instrumentos Financeiros'!$F$72+'Instrumentos Financeiros'!$F$11+1),PMT(((1+'Instrumentos Financeiros'!$J$43)^(1/12)-1),$F$11,-'Instrumentos Financeiros'!$G$7*$G$72),0)</f>
        <v>0</v>
      </c>
      <c r="BE413" s="1312">
        <f t="shared" si="284"/>
        <v>0</v>
      </c>
      <c r="BF413" s="1312">
        <f>BG412*((1+'Instrumentos Financeiros'!$J$43)^(1/12)-1)</f>
        <v>0</v>
      </c>
      <c r="BG413" s="1312">
        <f t="shared" si="253"/>
        <v>0</v>
      </c>
      <c r="BH413" s="1312">
        <f>IF(AND(C413&gt;$F$73,'Instrumentos Financeiros'!C413&lt;'Instrumentos Financeiros'!$F$73+'Instrumentos Financeiros'!$F$11+1),PMT(((1+'Instrumentos Financeiros'!$J$43)^(1/12)-1),$F$11,-$I$73),0)</f>
        <v>0</v>
      </c>
      <c r="BI413" s="1312">
        <f t="shared" si="285"/>
        <v>0</v>
      </c>
      <c r="BJ413" s="1312">
        <f>BK412*((1+'Instrumentos Financeiros'!$J$43)^(1/12)-1)</f>
        <v>0</v>
      </c>
      <c r="BK413" s="1312">
        <f t="shared" si="254"/>
        <v>0</v>
      </c>
      <c r="BL413" s="1312">
        <f>IF(AND(C413&gt;$F$77,'Instrumentos Financeiros'!C413&lt;'Instrumentos Financeiros'!$F$77+'Instrumentos Financeiros'!$F$12+1),PMT(((1+'Instrumentos Financeiros'!$K$43)^(1/12)-1),$F$12,-$I$77),0)</f>
        <v>0</v>
      </c>
      <c r="BM413" s="1312">
        <f t="shared" si="255"/>
        <v>7.870892151020759E-14</v>
      </c>
      <c r="BN413" s="1312">
        <f>BO412*((1+'Instrumentos Financeiros'!$K$43)^(1/12)-1)</f>
        <v>-7.870892151020759E-14</v>
      </c>
      <c r="BO413" s="1312">
        <f t="shared" si="256"/>
        <v>-1.8281466766225324E-11</v>
      </c>
      <c r="BP413" s="1312">
        <f>IF(AND(C413&gt;$F$78,'Instrumentos Financeiros'!C413&lt;'Instrumentos Financeiros'!$F$78+'Instrumentos Financeiros'!$F$12+1),PMT(((1+'Instrumentos Financeiros'!$L$43)^(1/12)-1),$F$12,-$I$78),0)</f>
        <v>0</v>
      </c>
      <c r="BQ413" s="1312">
        <f t="shared" si="257"/>
        <v>7.7696673364184136E-14</v>
      </c>
      <c r="BR413" s="1312">
        <f>BS412*((1+'Instrumentos Financeiros'!$L$43)^(1/12)-1)</f>
        <v>-7.7696673364184136E-14</v>
      </c>
      <c r="BS413" s="1312">
        <f t="shared" si="258"/>
        <v>-1.8046355161522406E-11</v>
      </c>
      <c r="BT413" s="1312">
        <f>IF(AND(C413&gt;$F$79,'Instrumentos Financeiros'!C413&lt;'Instrumentos Financeiros'!$F$79+'Instrumentos Financeiros'!$F$12+1),PMT(((1+'Instrumentos Financeiros'!$L$43)^(1/12)-1),$F$12,-$I$79),0)</f>
        <v>0</v>
      </c>
      <c r="BU413" s="1312">
        <f t="shared" si="259"/>
        <v>7.6697443390554183E-14</v>
      </c>
      <c r="BV413" s="1312">
        <f>BW412*((1+'Instrumentos Financeiros'!$L$43)^(1/12)-1)</f>
        <v>-7.6697443390554183E-14</v>
      </c>
      <c r="BW413" s="1312">
        <f t="shared" si="260"/>
        <v>-1.7814267245639033E-11</v>
      </c>
      <c r="BX413" s="1312">
        <f>IF(AND(C413&gt;$F$80,'Instrumentos Financeiros'!C413&lt;'Instrumentos Financeiros'!$F$80+'Instrumentos Financeiros'!$F$12+1),PMT(((1+'Instrumentos Financeiros'!$L$43)^(1/12)-1),$F$12,-$I$80),0)</f>
        <v>0</v>
      </c>
      <c r="BY413" s="1312">
        <f t="shared" si="261"/>
        <v>7.5711064167116861E-14</v>
      </c>
      <c r="BZ413" s="1312">
        <f>CA412*((1+'Instrumentos Financeiros'!$L$43)^(1/12)-1)</f>
        <v>-7.5711064167116861E-14</v>
      </c>
      <c r="CA413" s="1312">
        <f t="shared" si="262"/>
        <v>-1.7585164131961811E-11</v>
      </c>
      <c r="CB413" s="1312">
        <f>IF(AND(C413&gt;$F$83,'Instrumentos Financeiros'!C413&lt;'Instrumentos Financeiros'!$F$83+'Instrumentos Financeiros'!$F$13+1),PMT(((1+'Instrumentos Financeiros'!$P$43)^(1/12)-1),$F$13,-$I$83),0)</f>
        <v>30503.390100238979</v>
      </c>
      <c r="CC413" s="1312">
        <f t="shared" si="263"/>
        <v>26915.756095195058</v>
      </c>
      <c r="CD413" s="1312">
        <f>CE412*((1+'Instrumentos Financeiros'!$P$43)^(1/12)-1)</f>
        <v>3587.6340050439217</v>
      </c>
      <c r="CE413" s="1312">
        <f t="shared" si="264"/>
        <v>802784.76293441351</v>
      </c>
      <c r="CF413" s="1312">
        <f>IF(AND(C413&gt;$F$84,'Instrumentos Financeiros'!C413&lt;'Instrumentos Financeiros'!$F$84+'Instrumentos Financeiros'!$F$13+1),PMT(((1+'Instrumentos Financeiros'!$Q$43)^(1/12)-1),$F$13,-$I$84),0)</f>
        <v>30503.390100238979</v>
      </c>
      <c r="CG413" s="1312">
        <f t="shared" si="265"/>
        <v>26569.601889503807</v>
      </c>
      <c r="CH413" s="1312">
        <f>CI412*((1+'Instrumentos Financeiros'!$Q$43)^(1/12)-1)</f>
        <v>3933.788210735172</v>
      </c>
      <c r="CI413" s="1312">
        <f t="shared" si="266"/>
        <v>883184.88131887175</v>
      </c>
      <c r="CJ413" s="1312">
        <f>IF(AND(C413&gt;$F$85,'Instrumentos Financeiros'!C413&lt;'Instrumentos Financeiros'!$F$85+'Instrumentos Financeiros'!$F$13+1),PMT(((1+'Instrumentos Financeiros'!$Q$43)^(1/12)-1),$F$13,-$I$85),0)</f>
        <v>30503.390100238979</v>
      </c>
      <c r="CK413" s="1312">
        <f t="shared" si="267"/>
        <v>26227.899453017701</v>
      </c>
      <c r="CL413" s="1312">
        <f>CM412*((1+'Instrumentos Financeiros'!$Q$43)^(1/12)-1)</f>
        <v>4275.4906472212797</v>
      </c>
      <c r="CM413" s="1312">
        <f t="shared" si="268"/>
        <v>962551.00166075514</v>
      </c>
      <c r="CN413" s="1312">
        <f>IF(AND(C413&gt;$F$86,'Instrumentos Financeiros'!C413&lt;'Instrumentos Financeiros'!$F$86+'Instrumentos Financeiros'!$F$13+1),PMT(((1+'Instrumentos Financeiros'!$Q$43)^(1/12)-1),$F$13,-$I$86),0)</f>
        <v>30503.390100238979</v>
      </c>
      <c r="CO413" s="1312">
        <f t="shared" si="269"/>
        <v>25890.591533076709</v>
      </c>
      <c r="CP413" s="1312">
        <f>CQ412*((1+'Instrumentos Financeiros'!$Q$43)^(1/12)-1)</f>
        <v>4612.7985671622719</v>
      </c>
      <c r="CQ413" s="1312">
        <f t="shared" si="270"/>
        <v>1040896.4218503346</v>
      </c>
      <c r="CR413" s="1312">
        <f t="shared" si="239"/>
        <v>122013.56040095592</v>
      </c>
      <c r="CS413" s="1312">
        <f t="shared" si="239"/>
        <v>105603.84897079339</v>
      </c>
      <c r="CT413" s="1312">
        <f t="shared" si="239"/>
        <v>16409.711430162541</v>
      </c>
      <c r="CU413" s="1312">
        <f t="shared" ref="CU413" si="287">G413+K413+O413+S413+W413+AA413+AE413+AI413+AM413+AQ413+AU413+AY413+BC413+BG413+BK413+BO413+BS413+BW413+CA413+CE413+CI413+CM413+CQ413</f>
        <v>3689417.0677643521</v>
      </c>
    </row>
    <row r="414" spans="3:99" x14ac:dyDescent="0.35">
      <c r="C414" s="1315">
        <f t="shared" si="240"/>
        <v>321</v>
      </c>
      <c r="D414" s="1312">
        <f>IF(AND(C414&gt;$F$59,'Instrumentos Financeiros'!C414&lt;'Instrumentos Financeiros'!$F$59+'Instrumentos Financeiros'!$F$11+1),PMT(((1+'Instrumentos Financeiros'!$G$43)^(1/12)-1),$F$11,-$I$59),0)</f>
        <v>0</v>
      </c>
      <c r="E414" s="1312">
        <f t="shared" si="286"/>
        <v>-1.1803269693201921E-11</v>
      </c>
      <c r="F414" s="1312">
        <f>G413*((1+'Instrumentos Financeiros'!$G$43)^(1/12)-1)</f>
        <v>1.1803269693201921E-11</v>
      </c>
      <c r="G414" s="1312">
        <f t="shared" si="271"/>
        <v>2.9034853797401784E-9</v>
      </c>
      <c r="H414" s="1312">
        <f>IF(AND(C414&gt;$F$60,'Instrumentos Financeiros'!C414&lt;'Instrumentos Financeiros'!$F$60+'Instrumentos Financeiros'!$F$11+1),PMT(((1+'Instrumentos Financeiros'!$G$43)^(1/12)-1),$F$11,-$I$60),0)</f>
        <v>0</v>
      </c>
      <c r="I414" s="1312">
        <f t="shared" si="272"/>
        <v>0</v>
      </c>
      <c r="J414" s="1312">
        <f>K413*((1+'Instrumentos Financeiros'!$G$43)^(1/12)-1)</f>
        <v>0</v>
      </c>
      <c r="K414" s="1312">
        <f t="shared" si="241"/>
        <v>0</v>
      </c>
      <c r="L414" s="1312">
        <f>IF(AND(C414&gt;$F$61,'Instrumentos Financeiros'!C414&lt;'Instrumentos Financeiros'!$F$61+'Instrumentos Financeiros'!$F$11+1),PMT(((1+'Instrumentos Financeiros'!$G$43)^(1/12)-1),$F$11,-$I$61),0)</f>
        <v>0</v>
      </c>
      <c r="M414" s="1312">
        <f t="shared" si="273"/>
        <v>0</v>
      </c>
      <c r="N414" s="1312">
        <f>O413*((1+'Instrumentos Financeiros'!$G$43)^(1/12)-1)</f>
        <v>0</v>
      </c>
      <c r="O414" s="1312">
        <f t="shared" si="242"/>
        <v>0</v>
      </c>
      <c r="P414" s="1312">
        <f>IF(AND(C414&gt;$F$62,'Instrumentos Financeiros'!C414&lt;'Instrumentos Financeiros'!$F$62+'Instrumentos Financeiros'!$F$11+1),PMT(((1+'Instrumentos Financeiros'!$H$43)^(1/12)-1),$F$11,-$I$62),0)</f>
        <v>0</v>
      </c>
      <c r="Q414" s="1312">
        <f t="shared" si="274"/>
        <v>0</v>
      </c>
      <c r="R414" s="1312">
        <f>S413*((1+'Instrumentos Financeiros'!$H$43)^(1/12)-1)</f>
        <v>0</v>
      </c>
      <c r="S414" s="1312">
        <f t="shared" si="243"/>
        <v>0</v>
      </c>
      <c r="T414" s="1312">
        <f>IF(AND(C414&gt;$F$63,'Instrumentos Financeiros'!C414&lt;'Instrumentos Financeiros'!$F$63+'Instrumentos Financeiros'!$F$11+1),PMT(((1+'Instrumentos Financeiros'!$H$43)^(1/12)-1),$F$11,-$I$63),0)</f>
        <v>0</v>
      </c>
      <c r="U414" s="1312">
        <f t="shared" si="275"/>
        <v>0</v>
      </c>
      <c r="V414" s="1312">
        <f>W413*((1+'Instrumentos Financeiros'!$H$43)^(1/12)-1)</f>
        <v>0</v>
      </c>
      <c r="W414" s="1312">
        <f t="shared" si="244"/>
        <v>0</v>
      </c>
      <c r="X414" s="1312">
        <f>IF(AND(C414&gt;$F$64,'Instrumentos Financeiros'!C414&lt;'Instrumentos Financeiros'!$F$64+'Instrumentos Financeiros'!$F$11+1),PMT(((1+'Instrumentos Financeiros'!$H$43)^(1/12)-1),$F$11,-$I$64),0)</f>
        <v>0</v>
      </c>
      <c r="Y414" s="1312">
        <f t="shared" si="276"/>
        <v>0</v>
      </c>
      <c r="Z414" s="1312">
        <f>AA413*((1+'Instrumentos Financeiros'!$H$43)^(1/12)-1)</f>
        <v>0</v>
      </c>
      <c r="AA414" s="1312">
        <f t="shared" si="245"/>
        <v>0</v>
      </c>
      <c r="AB414" s="1312">
        <f>IF(AND(C414&gt;$F$65,'Instrumentos Financeiros'!C414&lt;'Instrumentos Financeiros'!$F$65+'Instrumentos Financeiros'!$F$11+1),PMT(((1+'Instrumentos Financeiros'!$H$43)^(1/12)-1),$F$11,-$I$65),0)</f>
        <v>0</v>
      </c>
      <c r="AC414" s="1312">
        <f t="shared" si="277"/>
        <v>2.9083649971387614E-11</v>
      </c>
      <c r="AD414" s="1312">
        <f>AE413*((1+'Instrumentos Financeiros'!$H$43)^(1/12)-1)</f>
        <v>-2.9083649971387614E-11</v>
      </c>
      <c r="AE414" s="1312">
        <f t="shared" si="246"/>
        <v>-6.755165363604923E-9</v>
      </c>
      <c r="AF414" s="1312">
        <f>IF(AND(C414&gt;$F$66,'Instrumentos Financeiros'!C414&lt;'Instrumentos Financeiros'!$F$66+'Instrumentos Financeiros'!$F$11+1),PMT(((1+'Instrumentos Financeiros'!$I$43)^(1/12)-1),$F$11,-$I$66),0)</f>
        <v>0</v>
      </c>
      <c r="AG414" s="1312">
        <f t="shared" si="278"/>
        <v>2.8709615234304926E-11</v>
      </c>
      <c r="AH414" s="1312">
        <f>AI413*((1+'Instrumentos Financeiros'!$I$43)^(1/12)-1)</f>
        <v>-2.8709615234304926E-11</v>
      </c>
      <c r="AI414" s="1312">
        <f t="shared" si="247"/>
        <v>-6.6682895243202467E-9</v>
      </c>
      <c r="AJ414" s="1312">
        <f>IF(AND(C414&gt;$F$67,'Instrumentos Financeiros'!C414&lt;'Instrumentos Financeiros'!$F$67+'Instrumentos Financeiros'!$F$11+1),PMT(((1+'Instrumentos Financeiros'!$I$43)^(1/12)-1),$F$11,-$I$67),0)</f>
        <v>0</v>
      </c>
      <c r="AK414" s="1312">
        <f t="shared" si="279"/>
        <v>2.8340390828273604E-11</v>
      </c>
      <c r="AL414" s="1312">
        <f>AM413*((1+'Instrumentos Financeiros'!$I$43)^(1/12)-1)</f>
        <v>-2.8340390828273604E-11</v>
      </c>
      <c r="AM414" s="1312">
        <f t="shared" si="248"/>
        <v>-6.5825309650790876E-9</v>
      </c>
      <c r="AN414" s="1312">
        <f>IF(AND(C414&gt;$F$68,'Instrumentos Financeiros'!C414&lt;'Instrumentos Financeiros'!$F$68+'Instrumentos Financeiros'!$F$11+1),PMT(((1+'Instrumentos Financeiros'!$I$43)^(1/12)-1),$F$11,-$I$68),0)</f>
        <v>0</v>
      </c>
      <c r="AO414" s="1312">
        <f t="shared" si="280"/>
        <v>2.7975914889294057E-11</v>
      </c>
      <c r="AP414" s="1312">
        <f>AQ413*((1+'Instrumentos Financeiros'!$I$43)^(1/12)-1)</f>
        <v>-2.7975914889294057E-11</v>
      </c>
      <c r="AQ414" s="1312">
        <f t="shared" si="249"/>
        <v>-6.4978753169302402E-9</v>
      </c>
      <c r="AR414" s="1312">
        <f>IF(AND(C414&gt;$F$69,'Instrumentos Financeiros'!C414&lt;'Instrumentos Financeiros'!$F$69+'Instrumentos Financeiros'!$F$11+1),PMT(((1+'Instrumentos Financeiros'!$I$43)^(1/12)-1),$F$11,-$I$69),0)</f>
        <v>0</v>
      </c>
      <c r="AS414" s="1312">
        <f t="shared" si="281"/>
        <v>0</v>
      </c>
      <c r="AT414" s="1312">
        <f>AU413*((1+'Instrumentos Financeiros'!$I$43)^(1/12)-1)</f>
        <v>0</v>
      </c>
      <c r="AU414" s="1312">
        <f t="shared" si="250"/>
        <v>0</v>
      </c>
      <c r="AV414" s="1312">
        <f>IF(AND(C414&gt;$F$70,'Instrumentos Financeiros'!C414&lt;'Instrumentos Financeiros'!$F$70+'Instrumentos Financeiros'!$F$11+1),PMT(((1+'Instrumentos Financeiros'!$J$43)^(1/12)-1),$F$11,-$I$70),0)</f>
        <v>0</v>
      </c>
      <c r="AW414" s="1312">
        <f t="shared" si="282"/>
        <v>0</v>
      </c>
      <c r="AX414" s="1312">
        <f>AY413*((1+'Instrumentos Financeiros'!$J$43)^(1/12)-1)</f>
        <v>0</v>
      </c>
      <c r="AY414" s="1312">
        <f t="shared" si="251"/>
        <v>0</v>
      </c>
      <c r="AZ414" s="1312">
        <f>IF(AND(C414&gt;$F$71,'Instrumentos Financeiros'!C414&lt;'Instrumentos Financeiros'!$F$71+'Instrumentos Financeiros'!$F$11+1),PMT(((1+'Instrumentos Financeiros'!$J$43)^(1/12)-1),$F$11,-$I$71),0)</f>
        <v>0</v>
      </c>
      <c r="BA414" s="1312">
        <f t="shared" si="283"/>
        <v>0</v>
      </c>
      <c r="BB414" s="1312">
        <f>BC413*((1+'Instrumentos Financeiros'!$J$43)^(1/12)-1)</f>
        <v>0</v>
      </c>
      <c r="BC414" s="1312">
        <f t="shared" si="252"/>
        <v>0</v>
      </c>
      <c r="BD414" s="1312">
        <f>IF(AND(C414&gt;$F$72,'Instrumentos Financeiros'!C414&lt;'Instrumentos Financeiros'!$F$72+'Instrumentos Financeiros'!$F$11+1),PMT(((1+'Instrumentos Financeiros'!$J$43)^(1/12)-1),$F$11,-'Instrumentos Financeiros'!$G$7*$G$72),0)</f>
        <v>0</v>
      </c>
      <c r="BE414" s="1312">
        <f t="shared" si="284"/>
        <v>0</v>
      </c>
      <c r="BF414" s="1312">
        <f>BG413*((1+'Instrumentos Financeiros'!$J$43)^(1/12)-1)</f>
        <v>0</v>
      </c>
      <c r="BG414" s="1312">
        <f t="shared" si="253"/>
        <v>0</v>
      </c>
      <c r="BH414" s="1312">
        <f>IF(AND(C414&gt;$F$73,'Instrumentos Financeiros'!C414&lt;'Instrumentos Financeiros'!$F$73+'Instrumentos Financeiros'!$F$11+1),PMT(((1+'Instrumentos Financeiros'!$J$43)^(1/12)-1),$F$11,-$I$73),0)</f>
        <v>0</v>
      </c>
      <c r="BI414" s="1312">
        <f t="shared" si="285"/>
        <v>0</v>
      </c>
      <c r="BJ414" s="1312">
        <f>BK413*((1+'Instrumentos Financeiros'!$J$43)^(1/12)-1)</f>
        <v>0</v>
      </c>
      <c r="BK414" s="1312">
        <f t="shared" si="254"/>
        <v>0</v>
      </c>
      <c r="BL414" s="1312">
        <f>IF(AND(C414&gt;$F$77,'Instrumentos Financeiros'!C414&lt;'Instrumentos Financeiros'!$F$77+'Instrumentos Financeiros'!$F$12+1),PMT(((1+'Instrumentos Financeiros'!$K$43)^(1/12)-1),$F$12,-$I$77),0)</f>
        <v>0</v>
      </c>
      <c r="BM414" s="1312">
        <f t="shared" si="255"/>
        <v>7.9049259736873535E-14</v>
      </c>
      <c r="BN414" s="1312">
        <f>BO413*((1+'Instrumentos Financeiros'!$K$43)^(1/12)-1)</f>
        <v>-7.9049259736873535E-14</v>
      </c>
      <c r="BO414" s="1312">
        <f t="shared" si="256"/>
        <v>-1.8360516025962197E-11</v>
      </c>
      <c r="BP414" s="1312">
        <f>IF(AND(C414&gt;$F$78,'Instrumentos Financeiros'!C414&lt;'Instrumentos Financeiros'!$F$78+'Instrumentos Financeiros'!$F$12+1),PMT(((1+'Instrumentos Financeiros'!$L$43)^(1/12)-1),$F$12,-$I$78),0)</f>
        <v>0</v>
      </c>
      <c r="BQ414" s="1312">
        <f t="shared" si="257"/>
        <v>7.8032634618934399E-14</v>
      </c>
      <c r="BR414" s="1312">
        <f>BS413*((1+'Instrumentos Financeiros'!$L$43)^(1/12)-1)</f>
        <v>-7.8032634618934399E-14</v>
      </c>
      <c r="BS414" s="1312">
        <f t="shared" si="258"/>
        <v>-1.8124387796141339E-11</v>
      </c>
      <c r="BT414" s="1312">
        <f>IF(AND(C414&gt;$F$79,'Instrumentos Financeiros'!C414&lt;'Instrumentos Financeiros'!$F$79+'Instrumentos Financeiros'!$F$12+1),PMT(((1+'Instrumentos Financeiros'!$L$43)^(1/12)-1),$F$12,-$I$79),0)</f>
        <v>0</v>
      </c>
      <c r="BU414" s="1312">
        <f t="shared" si="259"/>
        <v>7.7029083964106805E-14</v>
      </c>
      <c r="BV414" s="1312">
        <f>BW413*((1+'Instrumentos Financeiros'!$L$43)^(1/12)-1)</f>
        <v>-7.7029083964106805E-14</v>
      </c>
      <c r="BW414" s="1312">
        <f t="shared" si="260"/>
        <v>-1.7891296329603141E-11</v>
      </c>
      <c r="BX414" s="1312">
        <f>IF(AND(C414&gt;$F$80,'Instrumentos Financeiros'!C414&lt;'Instrumentos Financeiros'!$F$80+'Instrumentos Financeiros'!$F$12+1),PMT(((1+'Instrumentos Financeiros'!$L$43)^(1/12)-1),$F$12,-$I$80),0)</f>
        <v>0</v>
      </c>
      <c r="BY414" s="1312">
        <f t="shared" si="261"/>
        <v>7.6038439626254452E-14</v>
      </c>
      <c r="BZ414" s="1312">
        <f>CA413*((1+'Instrumentos Financeiros'!$L$43)^(1/12)-1)</f>
        <v>-7.6038439626254452E-14</v>
      </c>
      <c r="CA414" s="1312">
        <f t="shared" si="262"/>
        <v>-1.7661202571588065E-11</v>
      </c>
      <c r="CB414" s="1312">
        <f>IF(AND(C414&gt;$F$83,'Instrumentos Financeiros'!C414&lt;'Instrumentos Financeiros'!$F$83+'Instrumentos Financeiros'!$F$13+1),PMT(((1+'Instrumentos Financeiros'!$P$43)^(1/12)-1),$F$13,-$I$83),0)</f>
        <v>30503.390100238979</v>
      </c>
      <c r="CC414" s="1312">
        <f t="shared" si="263"/>
        <v>27032.140115240662</v>
      </c>
      <c r="CD414" s="1312">
        <f>CE413*((1+'Instrumentos Financeiros'!$P$43)^(1/12)-1)</f>
        <v>3471.2499849983178</v>
      </c>
      <c r="CE414" s="1312">
        <f t="shared" si="264"/>
        <v>775752.6228191728</v>
      </c>
      <c r="CF414" s="1312">
        <f>IF(AND(C414&gt;$F$84,'Instrumentos Financeiros'!C414&lt;'Instrumentos Financeiros'!$F$84+'Instrumentos Financeiros'!$F$13+1),PMT(((1+'Instrumentos Financeiros'!$Q$43)^(1/12)-1),$F$13,-$I$84),0)</f>
        <v>30503.390100238979</v>
      </c>
      <c r="CG414" s="1312">
        <f t="shared" si="265"/>
        <v>26684.489135025538</v>
      </c>
      <c r="CH414" s="1312">
        <f>CI413*((1+'Instrumentos Financeiros'!$Q$43)^(1/12)-1)</f>
        <v>3818.9009652134405</v>
      </c>
      <c r="CI414" s="1312">
        <f t="shared" si="266"/>
        <v>856500.39218384621</v>
      </c>
      <c r="CJ414" s="1312">
        <f>IF(AND(C414&gt;$F$85,'Instrumentos Financeiros'!C414&lt;'Instrumentos Financeiros'!$F$85+'Instrumentos Financeiros'!$F$13+1),PMT(((1+'Instrumentos Financeiros'!$Q$43)^(1/12)-1),$F$13,-$I$85),0)</f>
        <v>30503.390100238979</v>
      </c>
      <c r="CK414" s="1312">
        <f t="shared" si="267"/>
        <v>26341.309173513684</v>
      </c>
      <c r="CL414" s="1312">
        <f>CM413*((1+'Instrumentos Financeiros'!$Q$43)^(1/12)-1)</f>
        <v>4162.0809267252971</v>
      </c>
      <c r="CM414" s="1312">
        <f t="shared" si="268"/>
        <v>936209.69248724147</v>
      </c>
      <c r="CN414" s="1312">
        <f>IF(AND(C414&gt;$F$86,'Instrumentos Financeiros'!C414&lt;'Instrumentos Financeiros'!$F$86+'Instrumentos Financeiros'!$F$13+1),PMT(((1+'Instrumentos Financeiros'!$Q$43)^(1/12)-1),$F$13,-$I$86),0)</f>
        <v>30503.390100238979</v>
      </c>
      <c r="CO414" s="1312">
        <f t="shared" si="269"/>
        <v>26002.54273048394</v>
      </c>
      <c r="CP414" s="1312">
        <f>CQ413*((1+'Instrumentos Financeiros'!$Q$43)^(1/12)-1)</f>
        <v>4500.847369755038</v>
      </c>
      <c r="CQ414" s="1312">
        <f t="shared" si="270"/>
        <v>1014893.8791198507</v>
      </c>
      <c r="CR414" s="1312">
        <f t="shared" ref="CR414:CU453" si="288">D414+H414+L414+P414+T414+X414+AB414+AF414+AJ414+AN414+AR414+AV414+AZ414+BD414+BH414+BL414+BP414+BT414+BX414+CB414+CF414+CJ414+CN414</f>
        <v>122013.56040095592</v>
      </c>
      <c r="CS414" s="1312">
        <f t="shared" si="288"/>
        <v>106060.48115426392</v>
      </c>
      <c r="CT414" s="1312">
        <f t="shared" si="288"/>
        <v>15953.07924669199</v>
      </c>
      <c r="CU414" s="1312">
        <f t="shared" si="288"/>
        <v>3583356.5866100872</v>
      </c>
    </row>
    <row r="415" spans="3:99" x14ac:dyDescent="0.35">
      <c r="C415" s="1315">
        <f t="shared" ref="C415:C453" si="289">C414+1</f>
        <v>322</v>
      </c>
      <c r="D415" s="1312">
        <f>IF(AND(C415&gt;$F$59,'Instrumentos Financeiros'!C415&lt;'Instrumentos Financeiros'!$F$59+'Instrumentos Financeiros'!$F$11+1),PMT(((1+'Instrumentos Financeiros'!$G$43)^(1/12)-1),$F$11,-$I$59),0)</f>
        <v>0</v>
      </c>
      <c r="E415" s="1312">
        <f t="shared" si="286"/>
        <v>-1.1851448286196776E-11</v>
      </c>
      <c r="F415" s="1312">
        <f>G414*((1+'Instrumentos Financeiros'!$G$43)^(1/12)-1)</f>
        <v>1.1851448286196776E-11</v>
      </c>
      <c r="G415" s="1312">
        <f t="shared" si="271"/>
        <v>2.9153368280263753E-9</v>
      </c>
      <c r="H415" s="1312">
        <f>IF(AND(C415&gt;$F$60,'Instrumentos Financeiros'!C415&lt;'Instrumentos Financeiros'!$F$60+'Instrumentos Financeiros'!$F$11+1),PMT(((1+'Instrumentos Financeiros'!$G$43)^(1/12)-1),$F$11,-$I$60),0)</f>
        <v>0</v>
      </c>
      <c r="I415" s="1312">
        <f t="shared" si="272"/>
        <v>0</v>
      </c>
      <c r="J415" s="1312">
        <f>K414*((1+'Instrumentos Financeiros'!$G$43)^(1/12)-1)</f>
        <v>0</v>
      </c>
      <c r="K415" s="1312">
        <f t="shared" ref="K415:K453" si="290">IF(C415=$F$60,$I$60,K414-I415)</f>
        <v>0</v>
      </c>
      <c r="L415" s="1312">
        <f>IF(AND(C415&gt;$F$61,'Instrumentos Financeiros'!C415&lt;'Instrumentos Financeiros'!$F$61+'Instrumentos Financeiros'!$F$11+1),PMT(((1+'Instrumentos Financeiros'!$G$43)^(1/12)-1),$F$11,-$I$61),0)</f>
        <v>0</v>
      </c>
      <c r="M415" s="1312">
        <f t="shared" si="273"/>
        <v>0</v>
      </c>
      <c r="N415" s="1312">
        <f>O414*((1+'Instrumentos Financeiros'!$G$43)^(1/12)-1)</f>
        <v>0</v>
      </c>
      <c r="O415" s="1312">
        <f t="shared" ref="O415:O453" si="291">IF(C415=$F$61,$I$61,O414-M415)</f>
        <v>0</v>
      </c>
      <c r="P415" s="1312">
        <f>IF(AND(C415&gt;$F$62,'Instrumentos Financeiros'!C415&lt;'Instrumentos Financeiros'!$F$62+'Instrumentos Financeiros'!$F$11+1),PMT(((1+'Instrumentos Financeiros'!$H$43)^(1/12)-1),$F$11,-$I$62),0)</f>
        <v>0</v>
      </c>
      <c r="Q415" s="1312">
        <f t="shared" si="274"/>
        <v>0</v>
      </c>
      <c r="R415" s="1312">
        <f>S414*((1+'Instrumentos Financeiros'!$H$43)^(1/12)-1)</f>
        <v>0</v>
      </c>
      <c r="S415" s="1312">
        <f t="shared" ref="S415:S453" si="292">IF(C415=$F$62,$I$62,S414-Q415)</f>
        <v>0</v>
      </c>
      <c r="T415" s="1312">
        <f>IF(AND(C415&gt;$F$63,'Instrumentos Financeiros'!C415&lt;'Instrumentos Financeiros'!$F$63+'Instrumentos Financeiros'!$F$11+1),PMT(((1+'Instrumentos Financeiros'!$H$43)^(1/12)-1),$F$11,-$I$63),0)</f>
        <v>0</v>
      </c>
      <c r="U415" s="1312">
        <f t="shared" si="275"/>
        <v>0</v>
      </c>
      <c r="V415" s="1312">
        <f>W414*((1+'Instrumentos Financeiros'!$H$43)^(1/12)-1)</f>
        <v>0</v>
      </c>
      <c r="W415" s="1312">
        <f t="shared" ref="W415:W453" si="293">IF(C415=$F$63,$I$63,W414-U415)</f>
        <v>0</v>
      </c>
      <c r="X415" s="1312">
        <f>IF(AND(C415&gt;$F$64,'Instrumentos Financeiros'!C415&lt;'Instrumentos Financeiros'!$F$64+'Instrumentos Financeiros'!$F$11+1),PMT(((1+'Instrumentos Financeiros'!$H$43)^(1/12)-1),$F$11,-$I$64),0)</f>
        <v>0</v>
      </c>
      <c r="Y415" s="1312">
        <f t="shared" si="276"/>
        <v>0</v>
      </c>
      <c r="Z415" s="1312">
        <f>AA414*((1+'Instrumentos Financeiros'!$H$43)^(1/12)-1)</f>
        <v>0</v>
      </c>
      <c r="AA415" s="1312">
        <f t="shared" ref="AA415:AA453" si="294">IF(C415=$F$64,$I$64,AA414-Y415)</f>
        <v>0</v>
      </c>
      <c r="AB415" s="1312">
        <f>IF(AND(C415&gt;$F$65,'Instrumentos Financeiros'!C415&lt;'Instrumentos Financeiros'!$F$65+'Instrumentos Financeiros'!$F$11+1),PMT(((1+'Instrumentos Financeiros'!$H$43)^(1/12)-1),$F$11,-$I$65),0)</f>
        <v>0</v>
      </c>
      <c r="AC415" s="1312">
        <f t="shared" si="277"/>
        <v>2.9209407987967116E-11</v>
      </c>
      <c r="AD415" s="1312">
        <f>AE414*((1+'Instrumentos Financeiros'!$H$43)^(1/12)-1)</f>
        <v>-2.9209407987967116E-11</v>
      </c>
      <c r="AE415" s="1312">
        <f t="shared" ref="AE415:AE453" si="295">IF(C415=$F$65,$I$65,AE414-AC415)</f>
        <v>-6.7843747715928899E-9</v>
      </c>
      <c r="AF415" s="1312">
        <f>IF(AND(C415&gt;$F$66,'Instrumentos Financeiros'!C415&lt;'Instrumentos Financeiros'!$F$66+'Instrumentos Financeiros'!$F$11+1),PMT(((1+'Instrumentos Financeiros'!$I$43)^(1/12)-1),$F$11,-$I$66),0)</f>
        <v>0</v>
      </c>
      <c r="AG415" s="1312">
        <f t="shared" si="278"/>
        <v>2.883375592064171E-11</v>
      </c>
      <c r="AH415" s="1312">
        <f>AI414*((1+'Instrumentos Financeiros'!$I$43)^(1/12)-1)</f>
        <v>-2.883375592064171E-11</v>
      </c>
      <c r="AI415" s="1312">
        <f t="shared" ref="AI415:AI453" si="296">IF(C415=$F$66,$I$66,AI414-AG415)</f>
        <v>-6.6971232802408885E-9</v>
      </c>
      <c r="AJ415" s="1312">
        <f>IF(AND(C415&gt;$F$67,'Instrumentos Financeiros'!C415&lt;'Instrumentos Financeiros'!$F$67+'Instrumentos Financeiros'!$F$11+1),PMT(((1+'Instrumentos Financeiros'!$I$43)^(1/12)-1),$F$11,-$I$67),0)</f>
        <v>0</v>
      </c>
      <c r="AK415" s="1312">
        <f t="shared" si="279"/>
        <v>2.8462934984291086E-11</v>
      </c>
      <c r="AL415" s="1312">
        <f>AM414*((1+'Instrumentos Financeiros'!$I$43)^(1/12)-1)</f>
        <v>-2.8462934984291086E-11</v>
      </c>
      <c r="AM415" s="1312">
        <f t="shared" ref="AM415:AM453" si="297">IF(C415=$F$67,$I$67,AM414-AK415)</f>
        <v>-6.6109939000633787E-9</v>
      </c>
      <c r="AN415" s="1312">
        <f>IF(AND(C415&gt;$F$68,'Instrumentos Financeiros'!C415&lt;'Instrumentos Financeiros'!$F$68+'Instrumentos Financeiros'!$F$11+1),PMT(((1+'Instrumentos Financeiros'!$I$43)^(1/12)-1),$F$11,-$I$68),0)</f>
        <v>0</v>
      </c>
      <c r="AO415" s="1312">
        <f t="shared" si="280"/>
        <v>2.8096883047415055E-11</v>
      </c>
      <c r="AP415" s="1312">
        <f>AQ414*((1+'Instrumentos Financeiros'!$I$43)^(1/12)-1)</f>
        <v>-2.8096883047415055E-11</v>
      </c>
      <c r="AQ415" s="1312">
        <f t="shared" ref="AQ415:AQ453" si="298">IF(C415=$F$68,$I$68,AQ414-AO415)</f>
        <v>-6.5259721999776556E-9</v>
      </c>
      <c r="AR415" s="1312">
        <f>IF(AND(C415&gt;$F$69,'Instrumentos Financeiros'!C415&lt;'Instrumentos Financeiros'!$F$69+'Instrumentos Financeiros'!$F$11+1),PMT(((1+'Instrumentos Financeiros'!$I$43)^(1/12)-1),$F$11,-$I$69),0)</f>
        <v>0</v>
      </c>
      <c r="AS415" s="1312">
        <f t="shared" si="281"/>
        <v>0</v>
      </c>
      <c r="AT415" s="1312">
        <f>AU414*((1+'Instrumentos Financeiros'!$I$43)^(1/12)-1)</f>
        <v>0</v>
      </c>
      <c r="AU415" s="1312">
        <f t="shared" ref="AU415:AU453" si="299">IF(C415=$F$69,$I$69,AU414-AS415)</f>
        <v>0</v>
      </c>
      <c r="AV415" s="1312">
        <f>IF(AND(C415&gt;$F$70,'Instrumentos Financeiros'!C415&lt;'Instrumentos Financeiros'!$F$70+'Instrumentos Financeiros'!$F$11+1),PMT(((1+'Instrumentos Financeiros'!$J$43)^(1/12)-1),$F$11,-$I$70),0)</f>
        <v>0</v>
      </c>
      <c r="AW415" s="1312">
        <f t="shared" si="282"/>
        <v>0</v>
      </c>
      <c r="AX415" s="1312">
        <f>AY414*((1+'Instrumentos Financeiros'!$J$43)^(1/12)-1)</f>
        <v>0</v>
      </c>
      <c r="AY415" s="1312">
        <f t="shared" ref="AY415:AY453" si="300">IF(C415=$F$70,$I$70,AY414-AW415)</f>
        <v>0</v>
      </c>
      <c r="AZ415" s="1312">
        <f>IF(AND(C415&gt;$F$71,'Instrumentos Financeiros'!C415&lt;'Instrumentos Financeiros'!$F$71+'Instrumentos Financeiros'!$F$11+1),PMT(((1+'Instrumentos Financeiros'!$J$43)^(1/12)-1),$F$11,-$I$71),0)</f>
        <v>0</v>
      </c>
      <c r="BA415" s="1312">
        <f t="shared" si="283"/>
        <v>0</v>
      </c>
      <c r="BB415" s="1312">
        <f>BC414*((1+'Instrumentos Financeiros'!$J$43)^(1/12)-1)</f>
        <v>0</v>
      </c>
      <c r="BC415" s="1312">
        <f t="shared" ref="BC415:BC453" si="301">IF(C415=$F$71,$I$71,BC414-BA415)</f>
        <v>0</v>
      </c>
      <c r="BD415" s="1312">
        <f>IF(AND(C415&gt;$F$72,'Instrumentos Financeiros'!C415&lt;'Instrumentos Financeiros'!$F$72+'Instrumentos Financeiros'!$F$11+1),PMT(((1+'Instrumentos Financeiros'!$J$43)^(1/12)-1),$F$11,-'Instrumentos Financeiros'!$G$7*$G$72),0)</f>
        <v>0</v>
      </c>
      <c r="BE415" s="1312">
        <f t="shared" si="284"/>
        <v>0</v>
      </c>
      <c r="BF415" s="1312">
        <f>BG414*((1+'Instrumentos Financeiros'!$J$43)^(1/12)-1)</f>
        <v>0</v>
      </c>
      <c r="BG415" s="1312">
        <f t="shared" ref="BG415:BG453" si="302">IF(C415=$F$72,$I$72,BG414-BE415)</f>
        <v>0</v>
      </c>
      <c r="BH415" s="1312">
        <f>IF(AND(C415&gt;$F$73,'Instrumentos Financeiros'!C415&lt;'Instrumentos Financeiros'!$F$73+'Instrumentos Financeiros'!$F$11+1),PMT(((1+'Instrumentos Financeiros'!$J$43)^(1/12)-1),$F$11,-$I$73),0)</f>
        <v>0</v>
      </c>
      <c r="BI415" s="1312">
        <f t="shared" si="285"/>
        <v>0</v>
      </c>
      <c r="BJ415" s="1312">
        <f>BK414*((1+'Instrumentos Financeiros'!$J$43)^(1/12)-1)</f>
        <v>0</v>
      </c>
      <c r="BK415" s="1312">
        <f t="shared" ref="BK415:BK453" si="303">IF(C415=$F$73,$I$73,BK414-BI415)</f>
        <v>0</v>
      </c>
      <c r="BL415" s="1312">
        <f>IF(AND(C415&gt;$F$77,'Instrumentos Financeiros'!C415&lt;'Instrumentos Financeiros'!$F$77+'Instrumentos Financeiros'!$F$12+1),PMT(((1+'Instrumentos Financeiros'!$K$43)^(1/12)-1),$F$12,-$I$77),0)</f>
        <v>0</v>
      </c>
      <c r="BM415" s="1312">
        <f t="shared" ref="BM415:BM453" si="304">BL415-BN415</f>
        <v>7.9391069589707233E-14</v>
      </c>
      <c r="BN415" s="1312">
        <f>BO414*((1+'Instrumentos Financeiros'!$K$43)^(1/12)-1)</f>
        <v>-7.9391069589707233E-14</v>
      </c>
      <c r="BO415" s="1312">
        <f t="shared" ref="BO415:BO453" si="305">IF(C415=$F$77,$I$77,BO414-BM415)</f>
        <v>-1.8439907095551905E-11</v>
      </c>
      <c r="BP415" s="1312">
        <f>IF(AND(C415&gt;$F$78,'Instrumentos Financeiros'!C415&lt;'Instrumentos Financeiros'!$F$78+'Instrumentos Financeiros'!$F$12+1),PMT(((1+'Instrumentos Financeiros'!$L$43)^(1/12)-1),$F$12,-$I$78),0)</f>
        <v>0</v>
      </c>
      <c r="BQ415" s="1312">
        <f t="shared" ref="BQ415:BQ453" si="306">BP415-BR415</f>
        <v>7.8370048573778588E-14</v>
      </c>
      <c r="BR415" s="1312">
        <f>BS414*((1+'Instrumentos Financeiros'!$L$43)^(1/12)-1)</f>
        <v>-7.8370048573778588E-14</v>
      </c>
      <c r="BS415" s="1312">
        <f t="shared" ref="BS415:BS453" si="307">IF(C415=$F$78,$I$78,BS414-BQ415)</f>
        <v>-1.8202757844715117E-11</v>
      </c>
      <c r="BT415" s="1312">
        <f>IF(AND(C415&gt;$F$79,'Instrumentos Financeiros'!C415&lt;'Instrumentos Financeiros'!$F$79+'Instrumentos Financeiros'!$F$12+1),PMT(((1+'Instrumentos Financeiros'!$L$43)^(1/12)-1),$F$12,-$I$79),0)</f>
        <v>0</v>
      </c>
      <c r="BU415" s="1312">
        <f t="shared" ref="BU415:BU453" si="308">BT415-BV415</f>
        <v>7.7362158555081182E-14</v>
      </c>
      <c r="BV415" s="1312">
        <f>BW414*((1+'Instrumentos Financeiros'!$L$43)^(1/12)-1)</f>
        <v>-7.7362158555081182E-14</v>
      </c>
      <c r="BW415" s="1312">
        <f t="shared" ref="BW415:BW453" si="309">IF(C415=$F$79,$I$79,BW414-BU415)</f>
        <v>-1.7968658488158223E-11</v>
      </c>
      <c r="BX415" s="1312">
        <f>IF(AND(C415&gt;$F$80,'Instrumentos Financeiros'!C415&lt;'Instrumentos Financeiros'!$F$80+'Instrumentos Financeiros'!$F$12+1),PMT(((1+'Instrumentos Financeiros'!$L$43)^(1/12)-1),$F$12,-$I$80),0)</f>
        <v>0</v>
      </c>
      <c r="BY415" s="1312">
        <f t="shared" ref="BY415:BY453" si="310">BX415-BZ415</f>
        <v>7.6367230660412994E-14</v>
      </c>
      <c r="BZ415" s="1312">
        <f>CA414*((1+'Instrumentos Financeiros'!$L$43)^(1/12)-1)</f>
        <v>-7.6367230660412994E-14</v>
      </c>
      <c r="CA415" s="1312">
        <f t="shared" ref="CA415:CA453" si="311">IF(C415=$F$80,$I$80,CA414-BY415)</f>
        <v>-1.7737569802248478E-11</v>
      </c>
      <c r="CB415" s="1312">
        <f>IF(AND(C415&gt;$F$83,'Instrumentos Financeiros'!C415&lt;'Instrumentos Financeiros'!$F$83+'Instrumentos Financeiros'!$F$13+1),PMT(((1+'Instrumentos Financeiros'!$P$43)^(1/12)-1),$F$13,-$I$83),0)</f>
        <v>30503.390100238979</v>
      </c>
      <c r="CC415" s="1312">
        <f t="shared" ref="CC415:CC453" si="312">CB415-CD415</f>
        <v>27149.027381045889</v>
      </c>
      <c r="CD415" s="1312">
        <f>CE414*((1+'Instrumentos Financeiros'!$P$43)^(1/12)-1)</f>
        <v>3354.3627191930896</v>
      </c>
      <c r="CE415" s="1312">
        <f t="shared" ref="CE415:CE453" si="313">IF(C415=$F$83,$I$83,CE414-CC415)</f>
        <v>748603.59543812694</v>
      </c>
      <c r="CF415" s="1312">
        <f>IF(AND(C415&gt;$F$84,'Instrumentos Financeiros'!C415&lt;'Instrumentos Financeiros'!$F$84+'Instrumentos Financeiros'!$F$13+1),PMT(((1+'Instrumentos Financeiros'!$Q$43)^(1/12)-1),$F$13,-$I$84),0)</f>
        <v>30503.390100238979</v>
      </c>
      <c r="CG415" s="1312">
        <f t="shared" ref="CG415:CG453" si="314">CF415-CH415</f>
        <v>26799.873154237688</v>
      </c>
      <c r="CH415" s="1312">
        <f>CI414*((1+'Instrumentos Financeiros'!$Q$43)^(1/12)-1)</f>
        <v>3703.5169460012908</v>
      </c>
      <c r="CI415" s="1312">
        <f t="shared" ref="CI415:CI453" si="315">IF(C415=$F$84,$I$84,CI414-CG415)</f>
        <v>829700.51902960858</v>
      </c>
      <c r="CJ415" s="1312">
        <f>IF(AND(C415&gt;$F$85,'Instrumentos Financeiros'!C415&lt;'Instrumentos Financeiros'!$F$85+'Instrumentos Financeiros'!$F$13+1),PMT(((1+'Instrumentos Financeiros'!$Q$43)^(1/12)-1),$F$13,-$I$85),0)</f>
        <v>30503.390100238979</v>
      </c>
      <c r="CK415" s="1312">
        <f t="shared" ref="CK415:CK453" si="316">CJ415-CL415</f>
        <v>26455.209278865914</v>
      </c>
      <c r="CL415" s="1312">
        <f>CM414*((1+'Instrumentos Financeiros'!$Q$43)^(1/12)-1)</f>
        <v>4048.1808213730665</v>
      </c>
      <c r="CM415" s="1312">
        <f t="shared" ref="CM415:CM453" si="317">IF(C415=$F$85,$I$85,CM414-CK415)</f>
        <v>909754.48320837552</v>
      </c>
      <c r="CN415" s="1312">
        <f>IF(AND(C415&gt;$F$86,'Instrumentos Financeiros'!C415&lt;'Instrumentos Financeiros'!$F$86+'Instrumentos Financeiros'!$F$13+1),PMT(((1+'Instrumentos Financeiros'!$Q$43)^(1/12)-1),$F$13,-$I$86),0)</f>
        <v>30503.390100238979</v>
      </c>
      <c r="CO415" s="1312">
        <f t="shared" ref="CO415:CO453" si="318">CN415-CP415</f>
        <v>26114.978006077836</v>
      </c>
      <c r="CP415" s="1312">
        <f>CQ414*((1+'Instrumentos Financeiros'!$Q$43)^(1/12)-1)</f>
        <v>4388.4120941611427</v>
      </c>
      <c r="CQ415" s="1312">
        <f t="shared" ref="CQ415:CQ453" si="319">IF(C415=$F$86,$I$86,CQ414-CO415)</f>
        <v>988778.90111377288</v>
      </c>
      <c r="CR415" s="1312">
        <f t="shared" si="288"/>
        <v>122013.56040095592</v>
      </c>
      <c r="CS415" s="1312">
        <f t="shared" si="288"/>
        <v>106519.08782022743</v>
      </c>
      <c r="CT415" s="1312">
        <f t="shared" si="288"/>
        <v>15494.472580728489</v>
      </c>
      <c r="CU415" s="1312">
        <f t="shared" si="288"/>
        <v>3476837.4987898599</v>
      </c>
    </row>
    <row r="416" spans="3:99" x14ac:dyDescent="0.35">
      <c r="C416" s="1315">
        <f t="shared" si="289"/>
        <v>323</v>
      </c>
      <c r="D416" s="1312">
        <f>IF(AND(C416&gt;$F$59,'Instrumentos Financeiros'!C416&lt;'Instrumentos Financeiros'!$F$59+'Instrumentos Financeiros'!$F$11+1),PMT(((1+'Instrumentos Financeiros'!$G$43)^(1/12)-1),$F$11,-$I$59),0)</f>
        <v>0</v>
      </c>
      <c r="E416" s="1312">
        <f t="shared" si="286"/>
        <v>-1.1899823534600117E-11</v>
      </c>
      <c r="F416" s="1312">
        <f>G415*((1+'Instrumentos Financeiros'!$G$43)^(1/12)-1)</f>
        <v>1.1899823534600117E-11</v>
      </c>
      <c r="G416" s="1312">
        <f t="shared" ref="G416:G453" si="320">IF(C416=$F$59,$I$59,G415-E416)</f>
        <v>2.9272366515609755E-9</v>
      </c>
      <c r="H416" s="1312">
        <f>IF(AND(C416&gt;$F$60,'Instrumentos Financeiros'!C416&lt;'Instrumentos Financeiros'!$F$60+'Instrumentos Financeiros'!$F$11+1),PMT(((1+'Instrumentos Financeiros'!$G$43)^(1/12)-1),$F$11,-$I$60),0)</f>
        <v>0</v>
      </c>
      <c r="I416" s="1312">
        <f t="shared" si="272"/>
        <v>0</v>
      </c>
      <c r="J416" s="1312">
        <f>K415*((1+'Instrumentos Financeiros'!$G$43)^(1/12)-1)</f>
        <v>0</v>
      </c>
      <c r="K416" s="1312">
        <f t="shared" si="290"/>
        <v>0</v>
      </c>
      <c r="L416" s="1312">
        <f>IF(AND(C416&gt;$F$61,'Instrumentos Financeiros'!C416&lt;'Instrumentos Financeiros'!$F$61+'Instrumentos Financeiros'!$F$11+1),PMT(((1+'Instrumentos Financeiros'!$G$43)^(1/12)-1),$F$11,-$I$61),0)</f>
        <v>0</v>
      </c>
      <c r="M416" s="1312">
        <f t="shared" si="273"/>
        <v>0</v>
      </c>
      <c r="N416" s="1312">
        <f>O415*((1+'Instrumentos Financeiros'!$G$43)^(1/12)-1)</f>
        <v>0</v>
      </c>
      <c r="O416" s="1312">
        <f t="shared" si="291"/>
        <v>0</v>
      </c>
      <c r="P416" s="1312">
        <f>IF(AND(C416&gt;$F$62,'Instrumentos Financeiros'!C416&lt;'Instrumentos Financeiros'!$F$62+'Instrumentos Financeiros'!$F$11+1),PMT(((1+'Instrumentos Financeiros'!$H$43)^(1/12)-1),$F$11,-$I$62),0)</f>
        <v>0</v>
      </c>
      <c r="Q416" s="1312">
        <f t="shared" si="274"/>
        <v>0</v>
      </c>
      <c r="R416" s="1312">
        <f>S415*((1+'Instrumentos Financeiros'!$H$43)^(1/12)-1)</f>
        <v>0</v>
      </c>
      <c r="S416" s="1312">
        <f t="shared" si="292"/>
        <v>0</v>
      </c>
      <c r="T416" s="1312">
        <f>IF(AND(C416&gt;$F$63,'Instrumentos Financeiros'!C416&lt;'Instrumentos Financeiros'!$F$63+'Instrumentos Financeiros'!$F$11+1),PMT(((1+'Instrumentos Financeiros'!$H$43)^(1/12)-1),$F$11,-$I$63),0)</f>
        <v>0</v>
      </c>
      <c r="U416" s="1312">
        <f t="shared" si="275"/>
        <v>0</v>
      </c>
      <c r="V416" s="1312">
        <f>W415*((1+'Instrumentos Financeiros'!$H$43)^(1/12)-1)</f>
        <v>0</v>
      </c>
      <c r="W416" s="1312">
        <f t="shared" si="293"/>
        <v>0</v>
      </c>
      <c r="X416" s="1312">
        <f>IF(AND(C416&gt;$F$64,'Instrumentos Financeiros'!C416&lt;'Instrumentos Financeiros'!$F$64+'Instrumentos Financeiros'!$F$11+1),PMT(((1+'Instrumentos Financeiros'!$H$43)^(1/12)-1),$F$11,-$I$64),0)</f>
        <v>0</v>
      </c>
      <c r="Y416" s="1312">
        <f t="shared" si="276"/>
        <v>0</v>
      </c>
      <c r="Z416" s="1312">
        <f>AA415*((1+'Instrumentos Financeiros'!$H$43)^(1/12)-1)</f>
        <v>0</v>
      </c>
      <c r="AA416" s="1312">
        <f t="shared" si="294"/>
        <v>0</v>
      </c>
      <c r="AB416" s="1312">
        <f>IF(AND(C416&gt;$F$65,'Instrumentos Financeiros'!C416&lt;'Instrumentos Financeiros'!$F$65+'Instrumentos Financeiros'!$F$11+1),PMT(((1+'Instrumentos Financeiros'!$H$43)^(1/12)-1),$F$11,-$I$65),0)</f>
        <v>0</v>
      </c>
      <c r="AC416" s="1312">
        <f t="shared" si="277"/>
        <v>2.9335709783568488E-11</v>
      </c>
      <c r="AD416" s="1312">
        <f>AE415*((1+'Instrumentos Financeiros'!$H$43)^(1/12)-1)</f>
        <v>-2.9335709783568488E-11</v>
      </c>
      <c r="AE416" s="1312">
        <f t="shared" si="295"/>
        <v>-6.813710481376458E-9</v>
      </c>
      <c r="AF416" s="1312">
        <f>IF(AND(C416&gt;$F$66,'Instrumentos Financeiros'!C416&lt;'Instrumentos Financeiros'!$F$66+'Instrumentos Financeiros'!$F$11+1),PMT(((1+'Instrumentos Financeiros'!$I$43)^(1/12)-1),$F$11,-$I$66),0)</f>
        <v>0</v>
      </c>
      <c r="AG416" s="1312">
        <f t="shared" si="278"/>
        <v>2.895843339264693E-11</v>
      </c>
      <c r="AH416" s="1312">
        <f>AI415*((1+'Instrumentos Financeiros'!$I$43)^(1/12)-1)</f>
        <v>-2.895843339264693E-11</v>
      </c>
      <c r="AI416" s="1312">
        <f t="shared" si="296"/>
        <v>-6.7260817136335352E-9</v>
      </c>
      <c r="AJ416" s="1312">
        <f>IF(AND(C416&gt;$F$67,'Instrumentos Financeiros'!C416&lt;'Instrumentos Financeiros'!$F$67+'Instrumentos Financeiros'!$F$11+1),PMT(((1+'Instrumentos Financeiros'!$I$43)^(1/12)-1),$F$11,-$I$67),0)</f>
        <v>0</v>
      </c>
      <c r="AK416" s="1312">
        <f t="shared" si="279"/>
        <v>2.8586009022562665E-11</v>
      </c>
      <c r="AL416" s="1312">
        <f>AM415*((1+'Instrumentos Financeiros'!$I$43)^(1/12)-1)</f>
        <v>-2.8586009022562665E-11</v>
      </c>
      <c r="AM416" s="1312">
        <f t="shared" si="297"/>
        <v>-6.6395799090859416E-9</v>
      </c>
      <c r="AN416" s="1312">
        <f>IF(AND(C416&gt;$F$68,'Instrumentos Financeiros'!C416&lt;'Instrumentos Financeiros'!$F$68+'Instrumentos Financeiros'!$F$11+1),PMT(((1+'Instrumentos Financeiros'!$I$43)^(1/12)-1),$F$11,-$I$68),0)</f>
        <v>0</v>
      </c>
      <c r="AO416" s="1312">
        <f t="shared" si="280"/>
        <v>2.8218374273158221E-11</v>
      </c>
      <c r="AP416" s="1312">
        <f>AQ415*((1+'Instrumentos Financeiros'!$I$43)^(1/12)-1)</f>
        <v>-2.8218374273158221E-11</v>
      </c>
      <c r="AQ416" s="1312">
        <f t="shared" si="298"/>
        <v>-6.5541905742508137E-9</v>
      </c>
      <c r="AR416" s="1312">
        <f>IF(AND(C416&gt;$F$69,'Instrumentos Financeiros'!C416&lt;'Instrumentos Financeiros'!$F$69+'Instrumentos Financeiros'!$F$11+1),PMT(((1+'Instrumentos Financeiros'!$I$43)^(1/12)-1),$F$11,-$I$69),0)</f>
        <v>0</v>
      </c>
      <c r="AS416" s="1312">
        <f t="shared" si="281"/>
        <v>0</v>
      </c>
      <c r="AT416" s="1312">
        <f>AU415*((1+'Instrumentos Financeiros'!$I$43)^(1/12)-1)</f>
        <v>0</v>
      </c>
      <c r="AU416" s="1312">
        <f t="shared" si="299"/>
        <v>0</v>
      </c>
      <c r="AV416" s="1312">
        <f>IF(AND(C416&gt;$F$70,'Instrumentos Financeiros'!C416&lt;'Instrumentos Financeiros'!$F$70+'Instrumentos Financeiros'!$F$11+1),PMT(((1+'Instrumentos Financeiros'!$J$43)^(1/12)-1),$F$11,-$I$70),0)</f>
        <v>0</v>
      </c>
      <c r="AW416" s="1312">
        <f t="shared" si="282"/>
        <v>0</v>
      </c>
      <c r="AX416" s="1312">
        <f>AY415*((1+'Instrumentos Financeiros'!$J$43)^(1/12)-1)</f>
        <v>0</v>
      </c>
      <c r="AY416" s="1312">
        <f t="shared" si="300"/>
        <v>0</v>
      </c>
      <c r="AZ416" s="1312">
        <f>IF(AND(C416&gt;$F$71,'Instrumentos Financeiros'!C416&lt;'Instrumentos Financeiros'!$F$71+'Instrumentos Financeiros'!$F$11+1),PMT(((1+'Instrumentos Financeiros'!$J$43)^(1/12)-1),$F$11,-$I$71),0)</f>
        <v>0</v>
      </c>
      <c r="BA416" s="1312">
        <f t="shared" si="283"/>
        <v>0</v>
      </c>
      <c r="BB416" s="1312">
        <f>BC415*((1+'Instrumentos Financeiros'!$J$43)^(1/12)-1)</f>
        <v>0</v>
      </c>
      <c r="BC416" s="1312">
        <f t="shared" si="301"/>
        <v>0</v>
      </c>
      <c r="BD416" s="1312">
        <f>IF(AND(C416&gt;$F$72,'Instrumentos Financeiros'!C416&lt;'Instrumentos Financeiros'!$F$72+'Instrumentos Financeiros'!$F$11+1),PMT(((1+'Instrumentos Financeiros'!$J$43)^(1/12)-1),$F$11,-'Instrumentos Financeiros'!$G$7*$G$72),0)</f>
        <v>0</v>
      </c>
      <c r="BE416" s="1312">
        <f t="shared" si="284"/>
        <v>0</v>
      </c>
      <c r="BF416" s="1312">
        <f>BG415*((1+'Instrumentos Financeiros'!$J$43)^(1/12)-1)</f>
        <v>0</v>
      </c>
      <c r="BG416" s="1312">
        <f t="shared" si="302"/>
        <v>0</v>
      </c>
      <c r="BH416" s="1312">
        <f>IF(AND(C416&gt;$F$73,'Instrumentos Financeiros'!C416&lt;'Instrumentos Financeiros'!$F$73+'Instrumentos Financeiros'!$F$11+1),PMT(((1+'Instrumentos Financeiros'!$J$43)^(1/12)-1),$F$11,-$I$73),0)</f>
        <v>0</v>
      </c>
      <c r="BI416" s="1312">
        <f t="shared" si="285"/>
        <v>0</v>
      </c>
      <c r="BJ416" s="1312">
        <f>BK415*((1+'Instrumentos Financeiros'!$J$43)^(1/12)-1)</f>
        <v>0</v>
      </c>
      <c r="BK416" s="1312">
        <f t="shared" si="303"/>
        <v>0</v>
      </c>
      <c r="BL416" s="1312">
        <f>IF(AND(C416&gt;$F$77,'Instrumentos Financeiros'!C416&lt;'Instrumentos Financeiros'!$F$77+'Instrumentos Financeiros'!$F$12+1),PMT(((1+'Instrumentos Financeiros'!$K$43)^(1/12)-1),$F$12,-$I$77),0)</f>
        <v>0</v>
      </c>
      <c r="BM416" s="1312">
        <f t="shared" si="304"/>
        <v>7.9734357432036143E-14</v>
      </c>
      <c r="BN416" s="1312">
        <f>BO415*((1+'Instrumentos Financeiros'!$K$43)^(1/12)-1)</f>
        <v>-7.9734357432036143E-14</v>
      </c>
      <c r="BO416" s="1312">
        <f t="shared" si="305"/>
        <v>-1.851964145298394E-11</v>
      </c>
      <c r="BP416" s="1312">
        <f>IF(AND(C416&gt;$F$78,'Instrumentos Financeiros'!C416&lt;'Instrumentos Financeiros'!$F$78+'Instrumentos Financeiros'!$F$12+1),PMT(((1+'Instrumentos Financeiros'!$L$43)^(1/12)-1),$F$12,-$I$78),0)</f>
        <v>0</v>
      </c>
      <c r="BQ416" s="1312">
        <f t="shared" si="306"/>
        <v>7.870892151020759E-14</v>
      </c>
      <c r="BR416" s="1312">
        <f>BS415*((1+'Instrumentos Financeiros'!$L$43)^(1/12)-1)</f>
        <v>-7.870892151020759E-14</v>
      </c>
      <c r="BS416" s="1312">
        <f t="shared" si="307"/>
        <v>-1.8281466766225324E-11</v>
      </c>
      <c r="BT416" s="1312">
        <f>IF(AND(C416&gt;$F$79,'Instrumentos Financeiros'!C416&lt;'Instrumentos Financeiros'!$F$79+'Instrumentos Financeiros'!$F$12+1),PMT(((1+'Instrumentos Financeiros'!$L$43)^(1/12)-1),$F$12,-$I$79),0)</f>
        <v>0</v>
      </c>
      <c r="BU416" s="1312">
        <f t="shared" si="308"/>
        <v>7.7696673364184136E-14</v>
      </c>
      <c r="BV416" s="1312">
        <f>BW415*((1+'Instrumentos Financeiros'!$L$43)^(1/12)-1)</f>
        <v>-7.7696673364184136E-14</v>
      </c>
      <c r="BW416" s="1312">
        <f t="shared" si="309"/>
        <v>-1.8046355161522406E-11</v>
      </c>
      <c r="BX416" s="1312">
        <f>IF(AND(C416&gt;$F$80,'Instrumentos Financeiros'!C416&lt;'Instrumentos Financeiros'!$F$80+'Instrumentos Financeiros'!$F$12+1),PMT(((1+'Instrumentos Financeiros'!$L$43)^(1/12)-1),$F$12,-$I$80),0)</f>
        <v>0</v>
      </c>
      <c r="BY416" s="1312">
        <f t="shared" si="310"/>
        <v>7.6697443390554183E-14</v>
      </c>
      <c r="BZ416" s="1312">
        <f>CA415*((1+'Instrumentos Financeiros'!$L$43)^(1/12)-1)</f>
        <v>-7.6697443390554183E-14</v>
      </c>
      <c r="CA416" s="1312">
        <f t="shared" si="311"/>
        <v>-1.7814267245639033E-11</v>
      </c>
      <c r="CB416" s="1312">
        <f>IF(AND(C416&gt;$F$83,'Instrumentos Financeiros'!C416&lt;'Instrumentos Financeiros'!$F$83+'Instrumentos Financeiros'!$F$13+1),PMT(((1+'Instrumentos Financeiros'!$P$43)^(1/12)-1),$F$13,-$I$83),0)</f>
        <v>30503.390100238979</v>
      </c>
      <c r="CC416" s="1312">
        <f t="shared" si="312"/>
        <v>27266.420068650841</v>
      </c>
      <c r="CD416" s="1312">
        <f>CE415*((1+'Instrumentos Financeiros'!$P$43)^(1/12)-1)</f>
        <v>3236.9700315881387</v>
      </c>
      <c r="CE416" s="1312">
        <f t="shared" si="313"/>
        <v>721337.17536947608</v>
      </c>
      <c r="CF416" s="1312">
        <f>IF(AND(C416&gt;$F$84,'Instrumentos Financeiros'!C416&lt;'Instrumentos Financeiros'!$F$84+'Instrumentos Financeiros'!$F$13+1),PMT(((1+'Instrumentos Financeiros'!$Q$43)^(1/12)-1),$F$13,-$I$84),0)</f>
        <v>30503.390100238979</v>
      </c>
      <c r="CG416" s="1312">
        <f t="shared" si="314"/>
        <v>26915.756095195058</v>
      </c>
      <c r="CH416" s="1312">
        <f>CI415*((1+'Instrumentos Financeiros'!$Q$43)^(1/12)-1)</f>
        <v>3587.6340050439217</v>
      </c>
      <c r="CI416" s="1312">
        <f t="shared" si="315"/>
        <v>802784.76293441351</v>
      </c>
      <c r="CJ416" s="1312">
        <f>IF(AND(C416&gt;$F$85,'Instrumentos Financeiros'!C416&lt;'Instrumentos Financeiros'!$F$85+'Instrumentos Financeiros'!$F$13+1),PMT(((1+'Instrumentos Financeiros'!$Q$43)^(1/12)-1),$F$13,-$I$85),0)</f>
        <v>30503.390100238979</v>
      </c>
      <c r="CK416" s="1312">
        <f t="shared" si="316"/>
        <v>26569.601889503807</v>
      </c>
      <c r="CL416" s="1312">
        <f>CM415*((1+'Instrumentos Financeiros'!$Q$43)^(1/12)-1)</f>
        <v>3933.788210735172</v>
      </c>
      <c r="CM416" s="1312">
        <f t="shared" si="317"/>
        <v>883184.88131887175</v>
      </c>
      <c r="CN416" s="1312">
        <f>IF(AND(C416&gt;$F$86,'Instrumentos Financeiros'!C416&lt;'Instrumentos Financeiros'!$F$86+'Instrumentos Financeiros'!$F$13+1),PMT(((1+'Instrumentos Financeiros'!$Q$43)^(1/12)-1),$F$13,-$I$86),0)</f>
        <v>30503.390100238979</v>
      </c>
      <c r="CO416" s="1312">
        <f t="shared" si="318"/>
        <v>26227.899453017701</v>
      </c>
      <c r="CP416" s="1312">
        <f>CQ415*((1+'Instrumentos Financeiros'!$Q$43)^(1/12)-1)</f>
        <v>4275.4906472212797</v>
      </c>
      <c r="CQ416" s="1312">
        <f t="shared" si="319"/>
        <v>962551.00166075514</v>
      </c>
      <c r="CR416" s="1312">
        <f t="shared" si="288"/>
        <v>122013.56040095592</v>
      </c>
      <c r="CS416" s="1312">
        <f t="shared" si="288"/>
        <v>106979.67750636752</v>
      </c>
      <c r="CT416" s="1312">
        <f t="shared" si="288"/>
        <v>15033.882894588409</v>
      </c>
      <c r="CU416" s="1312">
        <f t="shared" si="288"/>
        <v>3369857.8212834923</v>
      </c>
    </row>
    <row r="417" spans="3:99" x14ac:dyDescent="0.35">
      <c r="C417" s="1315">
        <f t="shared" si="289"/>
        <v>324</v>
      </c>
      <c r="D417" s="1312">
        <f>IF(AND(C417&gt;$F$59,'Instrumentos Financeiros'!C417&lt;'Instrumentos Financeiros'!$F$59+'Instrumentos Financeiros'!$F$11+1),PMT(((1+'Instrumentos Financeiros'!$G$43)^(1/12)-1),$F$11,-$I$59),0)</f>
        <v>0</v>
      </c>
      <c r="E417" s="1312">
        <f t="shared" si="286"/>
        <v>-1.19483962411201E-11</v>
      </c>
      <c r="F417" s="1312">
        <f>G416*((1+'Instrumentos Financeiros'!$G$43)^(1/12)-1)</f>
        <v>1.19483962411201E-11</v>
      </c>
      <c r="G417" s="1312">
        <f t="shared" si="320"/>
        <v>2.9391850478020956E-9</v>
      </c>
      <c r="H417" s="1312">
        <f>IF(AND(C417&gt;$F$60,'Instrumentos Financeiros'!C417&lt;'Instrumentos Financeiros'!$F$60+'Instrumentos Financeiros'!$F$11+1),PMT(((1+'Instrumentos Financeiros'!$G$43)^(1/12)-1),$F$11,-$I$60),0)</f>
        <v>0</v>
      </c>
      <c r="I417" s="1312">
        <f t="shared" si="272"/>
        <v>0</v>
      </c>
      <c r="J417" s="1312">
        <f>K416*((1+'Instrumentos Financeiros'!$G$43)^(1/12)-1)</f>
        <v>0</v>
      </c>
      <c r="K417" s="1312">
        <f t="shared" si="290"/>
        <v>0</v>
      </c>
      <c r="L417" s="1312">
        <f>IF(AND(C417&gt;$F$61,'Instrumentos Financeiros'!C417&lt;'Instrumentos Financeiros'!$F$61+'Instrumentos Financeiros'!$F$11+1),PMT(((1+'Instrumentos Financeiros'!$G$43)^(1/12)-1),$F$11,-$I$61),0)</f>
        <v>0</v>
      </c>
      <c r="M417" s="1312">
        <f t="shared" si="273"/>
        <v>0</v>
      </c>
      <c r="N417" s="1312">
        <f>O416*((1+'Instrumentos Financeiros'!$G$43)^(1/12)-1)</f>
        <v>0</v>
      </c>
      <c r="O417" s="1312">
        <f t="shared" si="291"/>
        <v>0</v>
      </c>
      <c r="P417" s="1312">
        <f>IF(AND(C417&gt;$F$62,'Instrumentos Financeiros'!C417&lt;'Instrumentos Financeiros'!$F$62+'Instrumentos Financeiros'!$F$11+1),PMT(((1+'Instrumentos Financeiros'!$H$43)^(1/12)-1),$F$11,-$I$62),0)</f>
        <v>0</v>
      </c>
      <c r="Q417" s="1312">
        <f t="shared" si="274"/>
        <v>0</v>
      </c>
      <c r="R417" s="1312">
        <f>S416*((1+'Instrumentos Financeiros'!$H$43)^(1/12)-1)</f>
        <v>0</v>
      </c>
      <c r="S417" s="1312">
        <f t="shared" si="292"/>
        <v>0</v>
      </c>
      <c r="T417" s="1312">
        <f>IF(AND(C417&gt;$F$63,'Instrumentos Financeiros'!C417&lt;'Instrumentos Financeiros'!$F$63+'Instrumentos Financeiros'!$F$11+1),PMT(((1+'Instrumentos Financeiros'!$H$43)^(1/12)-1),$F$11,-$I$63),0)</f>
        <v>0</v>
      </c>
      <c r="U417" s="1312">
        <f t="shared" si="275"/>
        <v>0</v>
      </c>
      <c r="V417" s="1312">
        <f>W416*((1+'Instrumentos Financeiros'!$H$43)^(1/12)-1)</f>
        <v>0</v>
      </c>
      <c r="W417" s="1312">
        <f t="shared" si="293"/>
        <v>0</v>
      </c>
      <c r="X417" s="1312">
        <f>IF(AND(C417&gt;$F$64,'Instrumentos Financeiros'!C417&lt;'Instrumentos Financeiros'!$F$64+'Instrumentos Financeiros'!$F$11+1),PMT(((1+'Instrumentos Financeiros'!$H$43)^(1/12)-1),$F$11,-$I$64),0)</f>
        <v>0</v>
      </c>
      <c r="Y417" s="1312">
        <f t="shared" si="276"/>
        <v>0</v>
      </c>
      <c r="Z417" s="1312">
        <f>AA416*((1+'Instrumentos Financeiros'!$H$43)^(1/12)-1)</f>
        <v>0</v>
      </c>
      <c r="AA417" s="1312">
        <f t="shared" si="294"/>
        <v>0</v>
      </c>
      <c r="AB417" s="1312">
        <f>IF(AND(C417&gt;$F$65,'Instrumentos Financeiros'!C417&lt;'Instrumentos Financeiros'!$F$65+'Instrumentos Financeiros'!$F$11+1),PMT(((1+'Instrumentos Financeiros'!$H$43)^(1/12)-1),$F$11,-$I$65),0)</f>
        <v>0</v>
      </c>
      <c r="AC417" s="1312">
        <f t="shared" si="277"/>
        <v>2.9462557709498102E-11</v>
      </c>
      <c r="AD417" s="1312">
        <f>AE416*((1+'Instrumentos Financeiros'!$H$43)^(1/12)-1)</f>
        <v>-2.9462557709498102E-11</v>
      </c>
      <c r="AE417" s="1312">
        <f t="shared" si="295"/>
        <v>-6.8431730390859559E-9</v>
      </c>
      <c r="AF417" s="1312">
        <f>IF(AND(C417&gt;$F$66,'Instrumentos Financeiros'!C417&lt;'Instrumentos Financeiros'!$F$66+'Instrumentos Financeiros'!$F$11+1),PMT(((1+'Instrumentos Financeiros'!$I$43)^(1/12)-1),$F$11,-$I$66),0)</f>
        <v>0</v>
      </c>
      <c r="AG417" s="1312">
        <f t="shared" si="278"/>
        <v>2.9083649971387614E-11</v>
      </c>
      <c r="AH417" s="1312">
        <f>AI416*((1+'Instrumentos Financeiros'!$I$43)^(1/12)-1)</f>
        <v>-2.9083649971387614E-11</v>
      </c>
      <c r="AI417" s="1312">
        <f t="shared" si="296"/>
        <v>-6.755165363604923E-9</v>
      </c>
      <c r="AJ417" s="1312">
        <f>IF(AND(C417&gt;$F$67,'Instrumentos Financeiros'!C417&lt;'Instrumentos Financeiros'!$F$67+'Instrumentos Financeiros'!$F$11+1),PMT(((1+'Instrumentos Financeiros'!$I$43)^(1/12)-1),$F$11,-$I$67),0)</f>
        <v>0</v>
      </c>
      <c r="AK417" s="1312">
        <f t="shared" si="279"/>
        <v>2.8709615234304926E-11</v>
      </c>
      <c r="AL417" s="1312">
        <f>AM416*((1+'Instrumentos Financeiros'!$I$43)^(1/12)-1)</f>
        <v>-2.8709615234304926E-11</v>
      </c>
      <c r="AM417" s="1312">
        <f t="shared" si="297"/>
        <v>-6.6682895243202467E-9</v>
      </c>
      <c r="AN417" s="1312">
        <f>IF(AND(C417&gt;$F$68,'Instrumentos Financeiros'!C417&lt;'Instrumentos Financeiros'!$F$68+'Instrumentos Financeiros'!$F$11+1),PMT(((1+'Instrumentos Financeiros'!$I$43)^(1/12)-1),$F$11,-$I$68),0)</f>
        <v>0</v>
      </c>
      <c r="AO417" s="1312">
        <f t="shared" si="280"/>
        <v>2.8340390828273604E-11</v>
      </c>
      <c r="AP417" s="1312">
        <f>AQ416*((1+'Instrumentos Financeiros'!$I$43)^(1/12)-1)</f>
        <v>-2.8340390828273604E-11</v>
      </c>
      <c r="AQ417" s="1312">
        <f t="shared" si="298"/>
        <v>-6.5825309650790876E-9</v>
      </c>
      <c r="AR417" s="1312">
        <f>IF(AND(C417&gt;$F$69,'Instrumentos Financeiros'!C417&lt;'Instrumentos Financeiros'!$F$69+'Instrumentos Financeiros'!$F$11+1),PMT(((1+'Instrumentos Financeiros'!$I$43)^(1/12)-1),$F$11,-$I$69),0)</f>
        <v>0</v>
      </c>
      <c r="AS417" s="1312">
        <f t="shared" si="281"/>
        <v>0</v>
      </c>
      <c r="AT417" s="1312">
        <f>AU416*((1+'Instrumentos Financeiros'!$I$43)^(1/12)-1)</f>
        <v>0</v>
      </c>
      <c r="AU417" s="1312">
        <f t="shared" si="299"/>
        <v>0</v>
      </c>
      <c r="AV417" s="1312">
        <f>IF(AND(C417&gt;$F$70,'Instrumentos Financeiros'!C417&lt;'Instrumentos Financeiros'!$F$70+'Instrumentos Financeiros'!$F$11+1),PMT(((1+'Instrumentos Financeiros'!$J$43)^(1/12)-1),$F$11,-$I$70),0)</f>
        <v>0</v>
      </c>
      <c r="AW417" s="1312">
        <f t="shared" si="282"/>
        <v>0</v>
      </c>
      <c r="AX417" s="1312">
        <f>AY416*((1+'Instrumentos Financeiros'!$J$43)^(1/12)-1)</f>
        <v>0</v>
      </c>
      <c r="AY417" s="1312">
        <f t="shared" si="300"/>
        <v>0</v>
      </c>
      <c r="AZ417" s="1312">
        <f>IF(AND(C417&gt;$F$71,'Instrumentos Financeiros'!C417&lt;'Instrumentos Financeiros'!$F$71+'Instrumentos Financeiros'!$F$11+1),PMT(((1+'Instrumentos Financeiros'!$J$43)^(1/12)-1),$F$11,-$I$71),0)</f>
        <v>0</v>
      </c>
      <c r="BA417" s="1312">
        <f t="shared" si="283"/>
        <v>0</v>
      </c>
      <c r="BB417" s="1312">
        <f>BC416*((1+'Instrumentos Financeiros'!$J$43)^(1/12)-1)</f>
        <v>0</v>
      </c>
      <c r="BC417" s="1312">
        <f t="shared" si="301"/>
        <v>0</v>
      </c>
      <c r="BD417" s="1312">
        <f>IF(AND(C417&gt;$F$72,'Instrumentos Financeiros'!C417&lt;'Instrumentos Financeiros'!$F$72+'Instrumentos Financeiros'!$F$11+1),PMT(((1+'Instrumentos Financeiros'!$J$43)^(1/12)-1),$F$11,-'Instrumentos Financeiros'!$G$7*$G$72),0)</f>
        <v>0</v>
      </c>
      <c r="BE417" s="1312">
        <f t="shared" si="284"/>
        <v>0</v>
      </c>
      <c r="BF417" s="1312">
        <f>BG416*((1+'Instrumentos Financeiros'!$J$43)^(1/12)-1)</f>
        <v>0</v>
      </c>
      <c r="BG417" s="1312">
        <f t="shared" si="302"/>
        <v>0</v>
      </c>
      <c r="BH417" s="1312">
        <f>IF(AND(C417&gt;$F$73,'Instrumentos Financeiros'!C417&lt;'Instrumentos Financeiros'!$F$73+'Instrumentos Financeiros'!$F$11+1),PMT(((1+'Instrumentos Financeiros'!$J$43)^(1/12)-1),$F$11,-$I$73),0)</f>
        <v>0</v>
      </c>
      <c r="BI417" s="1312">
        <f t="shared" si="285"/>
        <v>0</v>
      </c>
      <c r="BJ417" s="1312">
        <f>BK416*((1+'Instrumentos Financeiros'!$J$43)^(1/12)-1)</f>
        <v>0</v>
      </c>
      <c r="BK417" s="1312">
        <f t="shared" si="303"/>
        <v>0</v>
      </c>
      <c r="BL417" s="1312">
        <f>IF(AND(C417&gt;$F$77,'Instrumentos Financeiros'!C417&lt;'Instrumentos Financeiros'!$F$77+'Instrumentos Financeiros'!$F$12+1),PMT(((1+'Instrumentos Financeiros'!$K$43)^(1/12)-1),$F$12,-$I$77),0)</f>
        <v>0</v>
      </c>
      <c r="BM417" s="1312">
        <f t="shared" si="304"/>
        <v>8.0079129654702774E-14</v>
      </c>
      <c r="BN417" s="1312">
        <f>BO416*((1+'Instrumentos Financeiros'!$K$43)^(1/12)-1)</f>
        <v>-8.0079129654702774E-14</v>
      </c>
      <c r="BO417" s="1312">
        <f t="shared" si="305"/>
        <v>-1.8599720582638642E-11</v>
      </c>
      <c r="BP417" s="1312">
        <f>IF(AND(C417&gt;$F$78,'Instrumentos Financeiros'!C417&lt;'Instrumentos Financeiros'!$F$78+'Instrumentos Financeiros'!$F$12+1),PMT(((1+'Instrumentos Financeiros'!$L$43)^(1/12)-1),$F$12,-$I$78),0)</f>
        <v>0</v>
      </c>
      <c r="BQ417" s="1312">
        <f t="shared" si="306"/>
        <v>7.9049259736873535E-14</v>
      </c>
      <c r="BR417" s="1312">
        <f>BS416*((1+'Instrumentos Financeiros'!$L$43)^(1/12)-1)</f>
        <v>-7.9049259736873535E-14</v>
      </c>
      <c r="BS417" s="1312">
        <f t="shared" si="307"/>
        <v>-1.8360516025962197E-11</v>
      </c>
      <c r="BT417" s="1312">
        <f>IF(AND(C417&gt;$F$79,'Instrumentos Financeiros'!C417&lt;'Instrumentos Financeiros'!$F$79+'Instrumentos Financeiros'!$F$12+1),PMT(((1+'Instrumentos Financeiros'!$L$43)^(1/12)-1),$F$12,-$I$79),0)</f>
        <v>0</v>
      </c>
      <c r="BU417" s="1312">
        <f t="shared" si="308"/>
        <v>7.8032634618934399E-14</v>
      </c>
      <c r="BV417" s="1312">
        <f>BW416*((1+'Instrumentos Financeiros'!$L$43)^(1/12)-1)</f>
        <v>-7.8032634618934399E-14</v>
      </c>
      <c r="BW417" s="1312">
        <f t="shared" si="309"/>
        <v>-1.8124387796141339E-11</v>
      </c>
      <c r="BX417" s="1312">
        <f>IF(AND(C417&gt;$F$80,'Instrumentos Financeiros'!C417&lt;'Instrumentos Financeiros'!$F$80+'Instrumentos Financeiros'!$F$12+1),PMT(((1+'Instrumentos Financeiros'!$L$43)^(1/12)-1),$F$12,-$I$80),0)</f>
        <v>0</v>
      </c>
      <c r="BY417" s="1312">
        <f t="shared" si="310"/>
        <v>7.7029083964106805E-14</v>
      </c>
      <c r="BZ417" s="1312">
        <f>CA416*((1+'Instrumentos Financeiros'!$L$43)^(1/12)-1)</f>
        <v>-7.7029083964106805E-14</v>
      </c>
      <c r="CA417" s="1312">
        <f t="shared" si="311"/>
        <v>-1.7891296329603141E-11</v>
      </c>
      <c r="CB417" s="1312">
        <f>IF(AND(C417&gt;$F$83,'Instrumentos Financeiros'!C417&lt;'Instrumentos Financeiros'!$F$83+'Instrumentos Financeiros'!$F$13+1),PMT(((1+'Instrumentos Financeiros'!$P$43)^(1/12)-1),$F$13,-$I$83),0)</f>
        <v>30503.390100238979</v>
      </c>
      <c r="CC417" s="1312">
        <f t="shared" si="312"/>
        <v>27384.320363504838</v>
      </c>
      <c r="CD417" s="1312">
        <f>CE416*((1+'Instrumentos Financeiros'!$P$43)^(1/12)-1)</f>
        <v>3119.0697367341431</v>
      </c>
      <c r="CE417" s="1312">
        <f t="shared" si="313"/>
        <v>693952.85500597127</v>
      </c>
      <c r="CF417" s="1312">
        <f>IF(AND(C417&gt;$F$84,'Instrumentos Financeiros'!C417&lt;'Instrumentos Financeiros'!$F$84+'Instrumentos Financeiros'!$F$13+1),PMT(((1+'Instrumentos Financeiros'!$Q$43)^(1/12)-1),$F$13,-$I$84),0)</f>
        <v>30503.390100238979</v>
      </c>
      <c r="CG417" s="1312">
        <f t="shared" si="314"/>
        <v>27032.140115240662</v>
      </c>
      <c r="CH417" s="1312">
        <f>CI416*((1+'Instrumentos Financeiros'!$Q$43)^(1/12)-1)</f>
        <v>3471.2499849983178</v>
      </c>
      <c r="CI417" s="1312">
        <f t="shared" si="315"/>
        <v>775752.6228191728</v>
      </c>
      <c r="CJ417" s="1312">
        <f>IF(AND(C417&gt;$F$85,'Instrumentos Financeiros'!C417&lt;'Instrumentos Financeiros'!$F$85+'Instrumentos Financeiros'!$F$13+1),PMT(((1+'Instrumentos Financeiros'!$Q$43)^(1/12)-1),$F$13,-$I$85),0)</f>
        <v>30503.390100238979</v>
      </c>
      <c r="CK417" s="1312">
        <f t="shared" si="316"/>
        <v>26684.489135025538</v>
      </c>
      <c r="CL417" s="1312">
        <f>CM416*((1+'Instrumentos Financeiros'!$Q$43)^(1/12)-1)</f>
        <v>3818.9009652134405</v>
      </c>
      <c r="CM417" s="1312">
        <f t="shared" si="317"/>
        <v>856500.39218384621</v>
      </c>
      <c r="CN417" s="1312">
        <f>IF(AND(C417&gt;$F$86,'Instrumentos Financeiros'!C417&lt;'Instrumentos Financeiros'!$F$86+'Instrumentos Financeiros'!$F$13+1),PMT(((1+'Instrumentos Financeiros'!$Q$43)^(1/12)-1),$F$13,-$I$86),0)</f>
        <v>30503.390100238979</v>
      </c>
      <c r="CO417" s="1312">
        <f t="shared" si="318"/>
        <v>26341.309173513684</v>
      </c>
      <c r="CP417" s="1312">
        <f>CQ416*((1+'Instrumentos Financeiros'!$Q$43)^(1/12)-1)</f>
        <v>4162.0809267252971</v>
      </c>
      <c r="CQ417" s="1312">
        <f t="shared" si="319"/>
        <v>936209.69248724147</v>
      </c>
      <c r="CR417" s="1312">
        <f t="shared" si="288"/>
        <v>122013.56040095592</v>
      </c>
      <c r="CS417" s="1312">
        <f t="shared" si="288"/>
        <v>107442.25878728482</v>
      </c>
      <c r="CT417" s="1312">
        <f t="shared" si="288"/>
        <v>14571.301613671094</v>
      </c>
      <c r="CU417" s="1312">
        <f t="shared" si="288"/>
        <v>3262415.5624962077</v>
      </c>
    </row>
    <row r="418" spans="3:99" x14ac:dyDescent="0.35">
      <c r="C418" s="1315">
        <f t="shared" si="289"/>
        <v>325</v>
      </c>
      <c r="D418" s="1312">
        <f>IF(AND(C418&gt;$F$59,'Instrumentos Financeiros'!C418&lt;'Instrumentos Financeiros'!$F$59+'Instrumentos Financeiros'!$F$11+1),PMT(((1+'Instrumentos Financeiros'!$G$43)^(1/12)-1),$F$11,-$I$59),0)</f>
        <v>0</v>
      </c>
      <c r="E418" s="1312">
        <f t="shared" si="286"/>
        <v>-1.199716721174138E-11</v>
      </c>
      <c r="F418" s="1312">
        <f>G417*((1+'Instrumentos Financeiros'!$G$43)^(1/12)-1)</f>
        <v>1.199716721174138E-11</v>
      </c>
      <c r="G418" s="1312">
        <f t="shared" si="320"/>
        <v>2.9511822150138369E-9</v>
      </c>
      <c r="H418" s="1312">
        <f>IF(AND(C418&gt;$F$60,'Instrumentos Financeiros'!C418&lt;'Instrumentos Financeiros'!$F$60+'Instrumentos Financeiros'!$F$11+1),PMT(((1+'Instrumentos Financeiros'!$G$43)^(1/12)-1),$F$11,-$I$60),0)</f>
        <v>0</v>
      </c>
      <c r="I418" s="1312">
        <f t="shared" si="272"/>
        <v>0</v>
      </c>
      <c r="J418" s="1312">
        <f>K417*((1+'Instrumentos Financeiros'!$G$43)^(1/12)-1)</f>
        <v>0</v>
      </c>
      <c r="K418" s="1312">
        <f t="shared" si="290"/>
        <v>0</v>
      </c>
      <c r="L418" s="1312">
        <f>IF(AND(C418&gt;$F$61,'Instrumentos Financeiros'!C418&lt;'Instrumentos Financeiros'!$F$61+'Instrumentos Financeiros'!$F$11+1),PMT(((1+'Instrumentos Financeiros'!$G$43)^(1/12)-1),$F$11,-$I$61),0)</f>
        <v>0</v>
      </c>
      <c r="M418" s="1312">
        <f t="shared" si="273"/>
        <v>0</v>
      </c>
      <c r="N418" s="1312">
        <f>O417*((1+'Instrumentos Financeiros'!$G$43)^(1/12)-1)</f>
        <v>0</v>
      </c>
      <c r="O418" s="1312">
        <f t="shared" si="291"/>
        <v>0</v>
      </c>
      <c r="P418" s="1312">
        <f>IF(AND(C418&gt;$F$62,'Instrumentos Financeiros'!C418&lt;'Instrumentos Financeiros'!$F$62+'Instrumentos Financeiros'!$F$11+1),PMT(((1+'Instrumentos Financeiros'!$H$43)^(1/12)-1),$F$11,-$I$62),0)</f>
        <v>0</v>
      </c>
      <c r="Q418" s="1312">
        <f t="shared" si="274"/>
        <v>0</v>
      </c>
      <c r="R418" s="1312">
        <f>S417*((1+'Instrumentos Financeiros'!$H$43)^(1/12)-1)</f>
        <v>0</v>
      </c>
      <c r="S418" s="1312">
        <f t="shared" si="292"/>
        <v>0</v>
      </c>
      <c r="T418" s="1312">
        <f>IF(AND(C418&gt;$F$63,'Instrumentos Financeiros'!C418&lt;'Instrumentos Financeiros'!$F$63+'Instrumentos Financeiros'!$F$11+1),PMT(((1+'Instrumentos Financeiros'!$H$43)^(1/12)-1),$F$11,-$I$63),0)</f>
        <v>0</v>
      </c>
      <c r="U418" s="1312">
        <f t="shared" si="275"/>
        <v>0</v>
      </c>
      <c r="V418" s="1312">
        <f>W417*((1+'Instrumentos Financeiros'!$H$43)^(1/12)-1)</f>
        <v>0</v>
      </c>
      <c r="W418" s="1312">
        <f t="shared" si="293"/>
        <v>0</v>
      </c>
      <c r="X418" s="1312">
        <f>IF(AND(C418&gt;$F$64,'Instrumentos Financeiros'!C418&lt;'Instrumentos Financeiros'!$F$64+'Instrumentos Financeiros'!$F$11+1),PMT(((1+'Instrumentos Financeiros'!$H$43)^(1/12)-1),$F$11,-$I$64),0)</f>
        <v>0</v>
      </c>
      <c r="Y418" s="1312">
        <f t="shared" si="276"/>
        <v>0</v>
      </c>
      <c r="Z418" s="1312">
        <f>AA417*((1+'Instrumentos Financeiros'!$H$43)^(1/12)-1)</f>
        <v>0</v>
      </c>
      <c r="AA418" s="1312">
        <f t="shared" si="294"/>
        <v>0</v>
      </c>
      <c r="AB418" s="1312">
        <f>IF(AND(C418&gt;$F$65,'Instrumentos Financeiros'!C418&lt;'Instrumentos Financeiros'!$F$65+'Instrumentos Financeiros'!$F$11+1),PMT(((1+'Instrumentos Financeiros'!$H$43)^(1/12)-1),$F$11,-$I$65),0)</f>
        <v>0</v>
      </c>
      <c r="AC418" s="1312">
        <f t="shared" si="277"/>
        <v>2.9589954127229391E-11</v>
      </c>
      <c r="AD418" s="1312">
        <f>AE417*((1+'Instrumentos Financeiros'!$H$43)^(1/12)-1)</f>
        <v>-2.9589954127229391E-11</v>
      </c>
      <c r="AE418" s="1312">
        <f t="shared" si="295"/>
        <v>-6.8727629932131852E-9</v>
      </c>
      <c r="AF418" s="1312">
        <f>IF(AND(C418&gt;$F$66,'Instrumentos Financeiros'!C418&lt;'Instrumentos Financeiros'!$F$66+'Instrumentos Financeiros'!$F$11+1),PMT(((1+'Instrumentos Financeiros'!$I$43)^(1/12)-1),$F$11,-$I$66),0)</f>
        <v>0</v>
      </c>
      <c r="AG418" s="1312">
        <f t="shared" si="278"/>
        <v>2.9209407987967116E-11</v>
      </c>
      <c r="AH418" s="1312">
        <f>AI417*((1+'Instrumentos Financeiros'!$I$43)^(1/12)-1)</f>
        <v>-2.9209407987967116E-11</v>
      </c>
      <c r="AI418" s="1312">
        <f t="shared" si="296"/>
        <v>-6.7843747715928899E-9</v>
      </c>
      <c r="AJ418" s="1312">
        <f>IF(AND(C418&gt;$F$67,'Instrumentos Financeiros'!C418&lt;'Instrumentos Financeiros'!$F$67+'Instrumentos Financeiros'!$F$11+1),PMT(((1+'Instrumentos Financeiros'!$I$43)^(1/12)-1),$F$11,-$I$67),0)</f>
        <v>0</v>
      </c>
      <c r="AK418" s="1312">
        <f t="shared" si="279"/>
        <v>2.883375592064171E-11</v>
      </c>
      <c r="AL418" s="1312">
        <f>AM417*((1+'Instrumentos Financeiros'!$I$43)^(1/12)-1)</f>
        <v>-2.883375592064171E-11</v>
      </c>
      <c r="AM418" s="1312">
        <f t="shared" si="297"/>
        <v>-6.6971232802408885E-9</v>
      </c>
      <c r="AN418" s="1312">
        <f>IF(AND(C418&gt;$F$68,'Instrumentos Financeiros'!C418&lt;'Instrumentos Financeiros'!$F$68+'Instrumentos Financeiros'!$F$11+1),PMT(((1+'Instrumentos Financeiros'!$I$43)^(1/12)-1),$F$11,-$I$68),0)</f>
        <v>0</v>
      </c>
      <c r="AO418" s="1312">
        <f t="shared" si="280"/>
        <v>2.8462934984291086E-11</v>
      </c>
      <c r="AP418" s="1312">
        <f>AQ417*((1+'Instrumentos Financeiros'!$I$43)^(1/12)-1)</f>
        <v>-2.8462934984291086E-11</v>
      </c>
      <c r="AQ418" s="1312">
        <f t="shared" si="298"/>
        <v>-6.6109939000633787E-9</v>
      </c>
      <c r="AR418" s="1312">
        <f>IF(AND(C418&gt;$F$69,'Instrumentos Financeiros'!C418&lt;'Instrumentos Financeiros'!$F$69+'Instrumentos Financeiros'!$F$11+1),PMT(((1+'Instrumentos Financeiros'!$I$43)^(1/12)-1),$F$11,-$I$69),0)</f>
        <v>0</v>
      </c>
      <c r="AS418" s="1312">
        <f t="shared" si="281"/>
        <v>0</v>
      </c>
      <c r="AT418" s="1312">
        <f>AU417*((1+'Instrumentos Financeiros'!$I$43)^(1/12)-1)</f>
        <v>0</v>
      </c>
      <c r="AU418" s="1312">
        <f t="shared" si="299"/>
        <v>0</v>
      </c>
      <c r="AV418" s="1312">
        <f>IF(AND(C418&gt;$F$70,'Instrumentos Financeiros'!C418&lt;'Instrumentos Financeiros'!$F$70+'Instrumentos Financeiros'!$F$11+1),PMT(((1+'Instrumentos Financeiros'!$J$43)^(1/12)-1),$F$11,-$I$70),0)</f>
        <v>0</v>
      </c>
      <c r="AW418" s="1312">
        <f t="shared" si="282"/>
        <v>0</v>
      </c>
      <c r="AX418" s="1312">
        <f>AY417*((1+'Instrumentos Financeiros'!$J$43)^(1/12)-1)</f>
        <v>0</v>
      </c>
      <c r="AY418" s="1312">
        <f t="shared" si="300"/>
        <v>0</v>
      </c>
      <c r="AZ418" s="1312">
        <f>IF(AND(C418&gt;$F$71,'Instrumentos Financeiros'!C418&lt;'Instrumentos Financeiros'!$F$71+'Instrumentos Financeiros'!$F$11+1),PMT(((1+'Instrumentos Financeiros'!$J$43)^(1/12)-1),$F$11,-$I$71),0)</f>
        <v>0</v>
      </c>
      <c r="BA418" s="1312">
        <f t="shared" si="283"/>
        <v>0</v>
      </c>
      <c r="BB418" s="1312">
        <f>BC417*((1+'Instrumentos Financeiros'!$J$43)^(1/12)-1)</f>
        <v>0</v>
      </c>
      <c r="BC418" s="1312">
        <f t="shared" si="301"/>
        <v>0</v>
      </c>
      <c r="BD418" s="1312">
        <f>IF(AND(C418&gt;$F$72,'Instrumentos Financeiros'!C418&lt;'Instrumentos Financeiros'!$F$72+'Instrumentos Financeiros'!$F$11+1),PMT(((1+'Instrumentos Financeiros'!$J$43)^(1/12)-1),$F$11,-'Instrumentos Financeiros'!$G$7*$G$72),0)</f>
        <v>0</v>
      </c>
      <c r="BE418" s="1312">
        <f t="shared" si="284"/>
        <v>0</v>
      </c>
      <c r="BF418" s="1312">
        <f>BG417*((1+'Instrumentos Financeiros'!$J$43)^(1/12)-1)</f>
        <v>0</v>
      </c>
      <c r="BG418" s="1312">
        <f t="shared" si="302"/>
        <v>0</v>
      </c>
      <c r="BH418" s="1312">
        <f>IF(AND(C418&gt;$F$73,'Instrumentos Financeiros'!C418&lt;'Instrumentos Financeiros'!$F$73+'Instrumentos Financeiros'!$F$11+1),PMT(((1+'Instrumentos Financeiros'!$J$43)^(1/12)-1),$F$11,-$I$73),0)</f>
        <v>0</v>
      </c>
      <c r="BI418" s="1312">
        <f t="shared" si="285"/>
        <v>0</v>
      </c>
      <c r="BJ418" s="1312">
        <f>BK417*((1+'Instrumentos Financeiros'!$J$43)^(1/12)-1)</f>
        <v>0</v>
      </c>
      <c r="BK418" s="1312">
        <f t="shared" si="303"/>
        <v>0</v>
      </c>
      <c r="BL418" s="1312">
        <f>IF(AND(C418&gt;$F$77,'Instrumentos Financeiros'!C418&lt;'Instrumentos Financeiros'!$F$77+'Instrumentos Financeiros'!$F$12+1),PMT(((1+'Instrumentos Financeiros'!$K$43)^(1/12)-1),$F$12,-$I$77),0)</f>
        <v>0</v>
      </c>
      <c r="BM418" s="1312">
        <f t="shared" si="304"/>
        <v>8.042539267618375E-14</v>
      </c>
      <c r="BN418" s="1312">
        <f>BO417*((1+'Instrumentos Financeiros'!$K$43)^(1/12)-1)</f>
        <v>-8.042539267618375E-14</v>
      </c>
      <c r="BO418" s="1312">
        <f t="shared" si="305"/>
        <v>-1.8680145975314824E-11</v>
      </c>
      <c r="BP418" s="1312">
        <f>IF(AND(C418&gt;$F$78,'Instrumentos Financeiros'!C418&lt;'Instrumentos Financeiros'!$F$78+'Instrumentos Financeiros'!$F$12+1),PMT(((1+'Instrumentos Financeiros'!$L$43)^(1/12)-1),$F$12,-$I$78),0)</f>
        <v>0</v>
      </c>
      <c r="BQ418" s="1312">
        <f t="shared" si="306"/>
        <v>7.9391069589707233E-14</v>
      </c>
      <c r="BR418" s="1312">
        <f>BS417*((1+'Instrumentos Financeiros'!$L$43)^(1/12)-1)</f>
        <v>-7.9391069589707233E-14</v>
      </c>
      <c r="BS418" s="1312">
        <f t="shared" si="307"/>
        <v>-1.8439907095551905E-11</v>
      </c>
      <c r="BT418" s="1312">
        <f>IF(AND(C418&gt;$F$79,'Instrumentos Financeiros'!C418&lt;'Instrumentos Financeiros'!$F$79+'Instrumentos Financeiros'!$F$12+1),PMT(((1+'Instrumentos Financeiros'!$L$43)^(1/12)-1),$F$12,-$I$79),0)</f>
        <v>0</v>
      </c>
      <c r="BU418" s="1312">
        <f t="shared" si="308"/>
        <v>7.8370048573778588E-14</v>
      </c>
      <c r="BV418" s="1312">
        <f>BW417*((1+'Instrumentos Financeiros'!$L$43)^(1/12)-1)</f>
        <v>-7.8370048573778588E-14</v>
      </c>
      <c r="BW418" s="1312">
        <f t="shared" si="309"/>
        <v>-1.8202757844715117E-11</v>
      </c>
      <c r="BX418" s="1312">
        <f>IF(AND(C418&gt;$F$80,'Instrumentos Financeiros'!C418&lt;'Instrumentos Financeiros'!$F$80+'Instrumentos Financeiros'!$F$12+1),PMT(((1+'Instrumentos Financeiros'!$L$43)^(1/12)-1),$F$12,-$I$80),0)</f>
        <v>0</v>
      </c>
      <c r="BY418" s="1312">
        <f t="shared" si="310"/>
        <v>7.7362158555081182E-14</v>
      </c>
      <c r="BZ418" s="1312">
        <f>CA417*((1+'Instrumentos Financeiros'!$L$43)^(1/12)-1)</f>
        <v>-7.7362158555081182E-14</v>
      </c>
      <c r="CA418" s="1312">
        <f t="shared" si="311"/>
        <v>-1.7968658488158223E-11</v>
      </c>
      <c r="CB418" s="1312">
        <f>IF(AND(C418&gt;$F$83,'Instrumentos Financeiros'!C418&lt;'Instrumentos Financeiros'!$F$83+'Instrumentos Financeiros'!$F$13+1),PMT(((1+'Instrumentos Financeiros'!$P$43)^(1/12)-1),$F$13,-$I$83),0)</f>
        <v>30503.390100238979</v>
      </c>
      <c r="CC418" s="1312">
        <f t="shared" si="312"/>
        <v>27502.730460507104</v>
      </c>
      <c r="CD418" s="1312">
        <f>CE417*((1+'Instrumentos Financeiros'!$P$43)^(1/12)-1)</f>
        <v>3000.6596397318772</v>
      </c>
      <c r="CE418" s="1312">
        <f t="shared" si="313"/>
        <v>666450.12454546418</v>
      </c>
      <c r="CF418" s="1312">
        <f>IF(AND(C418&gt;$F$84,'Instrumentos Financeiros'!C418&lt;'Instrumentos Financeiros'!$F$84+'Instrumentos Financeiros'!$F$13+1),PMT(((1+'Instrumentos Financeiros'!$Q$43)^(1/12)-1),$F$13,-$I$84),0)</f>
        <v>30503.390100238979</v>
      </c>
      <c r="CG418" s="1312">
        <f t="shared" si="314"/>
        <v>27149.027381045889</v>
      </c>
      <c r="CH418" s="1312">
        <f>CI417*((1+'Instrumentos Financeiros'!$Q$43)^(1/12)-1)</f>
        <v>3354.3627191930896</v>
      </c>
      <c r="CI418" s="1312">
        <f t="shared" si="315"/>
        <v>748603.59543812694</v>
      </c>
      <c r="CJ418" s="1312">
        <f>IF(AND(C418&gt;$F$85,'Instrumentos Financeiros'!C418&lt;'Instrumentos Financeiros'!$F$85+'Instrumentos Financeiros'!$F$13+1),PMT(((1+'Instrumentos Financeiros'!$Q$43)^(1/12)-1),$F$13,-$I$85),0)</f>
        <v>30503.390100238979</v>
      </c>
      <c r="CK418" s="1312">
        <f t="shared" si="316"/>
        <v>26799.873154237688</v>
      </c>
      <c r="CL418" s="1312">
        <f>CM417*((1+'Instrumentos Financeiros'!$Q$43)^(1/12)-1)</f>
        <v>3703.5169460012908</v>
      </c>
      <c r="CM418" s="1312">
        <f t="shared" si="317"/>
        <v>829700.51902960858</v>
      </c>
      <c r="CN418" s="1312">
        <f>IF(AND(C418&gt;$F$86,'Instrumentos Financeiros'!C418&lt;'Instrumentos Financeiros'!$F$86+'Instrumentos Financeiros'!$F$13+1),PMT(((1+'Instrumentos Financeiros'!$Q$43)^(1/12)-1),$F$13,-$I$86),0)</f>
        <v>30503.390100238979</v>
      </c>
      <c r="CO418" s="1312">
        <f t="shared" si="318"/>
        <v>26455.209278865914</v>
      </c>
      <c r="CP418" s="1312">
        <f>CQ417*((1+'Instrumentos Financeiros'!$Q$43)^(1/12)-1)</f>
        <v>4048.1808213730665</v>
      </c>
      <c r="CQ418" s="1312">
        <f t="shared" si="319"/>
        <v>909754.48320837552</v>
      </c>
      <c r="CR418" s="1312">
        <f t="shared" si="288"/>
        <v>122013.56040095592</v>
      </c>
      <c r="CS418" s="1312">
        <f t="shared" si="288"/>
        <v>107906.84027465672</v>
      </c>
      <c r="CT418" s="1312">
        <f t="shared" si="288"/>
        <v>14106.72012629922</v>
      </c>
      <c r="CU418" s="1312">
        <f t="shared" si="288"/>
        <v>3154508.722221551</v>
      </c>
    </row>
    <row r="419" spans="3:99" x14ac:dyDescent="0.35">
      <c r="C419" s="1315">
        <f t="shared" si="289"/>
        <v>326</v>
      </c>
      <c r="D419" s="1312">
        <f>IF(AND(C419&gt;$F$59,'Instrumentos Financeiros'!C419&lt;'Instrumentos Financeiros'!$F$59+'Instrumentos Financeiros'!$F$11+1),PMT(((1+'Instrumentos Financeiros'!$G$43)^(1/12)-1),$F$11,-$I$59),0)</f>
        <v>0</v>
      </c>
      <c r="E419" s="1312">
        <f t="shared" si="286"/>
        <v>-1.2046137255738478E-11</v>
      </c>
      <c r="F419" s="1312">
        <f>G418*((1+'Instrumentos Financeiros'!$G$43)^(1/12)-1)</f>
        <v>1.2046137255738478E-11</v>
      </c>
      <c r="G419" s="1312">
        <f t="shared" si="320"/>
        <v>2.9632283522695754E-9</v>
      </c>
      <c r="H419" s="1312">
        <f>IF(AND(C419&gt;$F$60,'Instrumentos Financeiros'!C419&lt;'Instrumentos Financeiros'!$F$60+'Instrumentos Financeiros'!$F$11+1),PMT(((1+'Instrumentos Financeiros'!$G$43)^(1/12)-1),$F$11,-$I$60),0)</f>
        <v>0</v>
      </c>
      <c r="I419" s="1312">
        <f t="shared" si="272"/>
        <v>0</v>
      </c>
      <c r="J419" s="1312">
        <f>K418*((1+'Instrumentos Financeiros'!$G$43)^(1/12)-1)</f>
        <v>0</v>
      </c>
      <c r="K419" s="1312">
        <f t="shared" si="290"/>
        <v>0</v>
      </c>
      <c r="L419" s="1312">
        <f>IF(AND(C419&gt;$F$61,'Instrumentos Financeiros'!C419&lt;'Instrumentos Financeiros'!$F$61+'Instrumentos Financeiros'!$F$11+1),PMT(((1+'Instrumentos Financeiros'!$G$43)^(1/12)-1),$F$11,-$I$61),0)</f>
        <v>0</v>
      </c>
      <c r="M419" s="1312">
        <f t="shared" si="273"/>
        <v>0</v>
      </c>
      <c r="N419" s="1312">
        <f>O418*((1+'Instrumentos Financeiros'!$G$43)^(1/12)-1)</f>
        <v>0</v>
      </c>
      <c r="O419" s="1312">
        <f t="shared" si="291"/>
        <v>0</v>
      </c>
      <c r="P419" s="1312">
        <f>IF(AND(C419&gt;$F$62,'Instrumentos Financeiros'!C419&lt;'Instrumentos Financeiros'!$F$62+'Instrumentos Financeiros'!$F$11+1),PMT(((1+'Instrumentos Financeiros'!$H$43)^(1/12)-1),$F$11,-$I$62),0)</f>
        <v>0</v>
      </c>
      <c r="Q419" s="1312">
        <f t="shared" si="274"/>
        <v>0</v>
      </c>
      <c r="R419" s="1312">
        <f>S418*((1+'Instrumentos Financeiros'!$H$43)^(1/12)-1)</f>
        <v>0</v>
      </c>
      <c r="S419" s="1312">
        <f t="shared" si="292"/>
        <v>0</v>
      </c>
      <c r="T419" s="1312">
        <f>IF(AND(C419&gt;$F$63,'Instrumentos Financeiros'!C419&lt;'Instrumentos Financeiros'!$F$63+'Instrumentos Financeiros'!$F$11+1),PMT(((1+'Instrumentos Financeiros'!$H$43)^(1/12)-1),$F$11,-$I$63),0)</f>
        <v>0</v>
      </c>
      <c r="U419" s="1312">
        <f t="shared" si="275"/>
        <v>0</v>
      </c>
      <c r="V419" s="1312">
        <f>W418*((1+'Instrumentos Financeiros'!$H$43)^(1/12)-1)</f>
        <v>0</v>
      </c>
      <c r="W419" s="1312">
        <f t="shared" si="293"/>
        <v>0</v>
      </c>
      <c r="X419" s="1312">
        <f>IF(AND(C419&gt;$F$64,'Instrumentos Financeiros'!C419&lt;'Instrumentos Financeiros'!$F$64+'Instrumentos Financeiros'!$F$11+1),PMT(((1+'Instrumentos Financeiros'!$H$43)^(1/12)-1),$F$11,-$I$64),0)</f>
        <v>0</v>
      </c>
      <c r="Y419" s="1312">
        <f t="shared" si="276"/>
        <v>0</v>
      </c>
      <c r="Z419" s="1312">
        <f>AA418*((1+'Instrumentos Financeiros'!$H$43)^(1/12)-1)</f>
        <v>0</v>
      </c>
      <c r="AA419" s="1312">
        <f t="shared" si="294"/>
        <v>0</v>
      </c>
      <c r="AB419" s="1312">
        <f>IF(AND(C419&gt;$F$65,'Instrumentos Financeiros'!C419&lt;'Instrumentos Financeiros'!$F$65+'Instrumentos Financeiros'!$F$11+1),PMT(((1+'Instrumentos Financeiros'!$H$43)^(1/12)-1),$F$11,-$I$65),0)</f>
        <v>0</v>
      </c>
      <c r="AC419" s="1312">
        <f t="shared" si="277"/>
        <v>2.9717901408446831E-11</v>
      </c>
      <c r="AD419" s="1312">
        <f>AE418*((1+'Instrumentos Financeiros'!$H$43)^(1/12)-1)</f>
        <v>-2.9717901408446831E-11</v>
      </c>
      <c r="AE419" s="1312">
        <f t="shared" si="295"/>
        <v>-6.9024808946216318E-9</v>
      </c>
      <c r="AF419" s="1312">
        <f>IF(AND(C419&gt;$F$66,'Instrumentos Financeiros'!C419&lt;'Instrumentos Financeiros'!$F$66+'Instrumentos Financeiros'!$F$11+1),PMT(((1+'Instrumentos Financeiros'!$I$43)^(1/12)-1),$F$11,-$I$66),0)</f>
        <v>0</v>
      </c>
      <c r="AG419" s="1312">
        <f t="shared" si="278"/>
        <v>2.9335709783568488E-11</v>
      </c>
      <c r="AH419" s="1312">
        <f>AI418*((1+'Instrumentos Financeiros'!$I$43)^(1/12)-1)</f>
        <v>-2.9335709783568488E-11</v>
      </c>
      <c r="AI419" s="1312">
        <f t="shared" si="296"/>
        <v>-6.813710481376458E-9</v>
      </c>
      <c r="AJ419" s="1312">
        <f>IF(AND(C419&gt;$F$67,'Instrumentos Financeiros'!C419&lt;'Instrumentos Financeiros'!$F$67+'Instrumentos Financeiros'!$F$11+1),PMT(((1+'Instrumentos Financeiros'!$I$43)^(1/12)-1),$F$11,-$I$67),0)</f>
        <v>0</v>
      </c>
      <c r="AK419" s="1312">
        <f t="shared" si="279"/>
        <v>2.895843339264693E-11</v>
      </c>
      <c r="AL419" s="1312">
        <f>AM418*((1+'Instrumentos Financeiros'!$I$43)^(1/12)-1)</f>
        <v>-2.895843339264693E-11</v>
      </c>
      <c r="AM419" s="1312">
        <f t="shared" si="297"/>
        <v>-6.7260817136335352E-9</v>
      </c>
      <c r="AN419" s="1312">
        <f>IF(AND(C419&gt;$F$68,'Instrumentos Financeiros'!C419&lt;'Instrumentos Financeiros'!$F$68+'Instrumentos Financeiros'!$F$11+1),PMT(((1+'Instrumentos Financeiros'!$I$43)^(1/12)-1),$F$11,-$I$68),0)</f>
        <v>0</v>
      </c>
      <c r="AO419" s="1312">
        <f t="shared" si="280"/>
        <v>2.8586009022562665E-11</v>
      </c>
      <c r="AP419" s="1312">
        <f>AQ418*((1+'Instrumentos Financeiros'!$I$43)^(1/12)-1)</f>
        <v>-2.8586009022562665E-11</v>
      </c>
      <c r="AQ419" s="1312">
        <f t="shared" si="298"/>
        <v>-6.6395799090859416E-9</v>
      </c>
      <c r="AR419" s="1312">
        <f>IF(AND(C419&gt;$F$69,'Instrumentos Financeiros'!C419&lt;'Instrumentos Financeiros'!$F$69+'Instrumentos Financeiros'!$F$11+1),PMT(((1+'Instrumentos Financeiros'!$I$43)^(1/12)-1),$F$11,-$I$69),0)</f>
        <v>0</v>
      </c>
      <c r="AS419" s="1312">
        <f t="shared" si="281"/>
        <v>0</v>
      </c>
      <c r="AT419" s="1312">
        <f>AU418*((1+'Instrumentos Financeiros'!$I$43)^(1/12)-1)</f>
        <v>0</v>
      </c>
      <c r="AU419" s="1312">
        <f t="shared" si="299"/>
        <v>0</v>
      </c>
      <c r="AV419" s="1312">
        <f>IF(AND(C419&gt;$F$70,'Instrumentos Financeiros'!C419&lt;'Instrumentos Financeiros'!$F$70+'Instrumentos Financeiros'!$F$11+1),PMT(((1+'Instrumentos Financeiros'!$J$43)^(1/12)-1),$F$11,-$I$70),0)</f>
        <v>0</v>
      </c>
      <c r="AW419" s="1312">
        <f t="shared" si="282"/>
        <v>0</v>
      </c>
      <c r="AX419" s="1312">
        <f>AY418*((1+'Instrumentos Financeiros'!$J$43)^(1/12)-1)</f>
        <v>0</v>
      </c>
      <c r="AY419" s="1312">
        <f t="shared" si="300"/>
        <v>0</v>
      </c>
      <c r="AZ419" s="1312">
        <f>IF(AND(C419&gt;$F$71,'Instrumentos Financeiros'!C419&lt;'Instrumentos Financeiros'!$F$71+'Instrumentos Financeiros'!$F$11+1),PMT(((1+'Instrumentos Financeiros'!$J$43)^(1/12)-1),$F$11,-$I$71),0)</f>
        <v>0</v>
      </c>
      <c r="BA419" s="1312">
        <f t="shared" si="283"/>
        <v>0</v>
      </c>
      <c r="BB419" s="1312">
        <f>BC418*((1+'Instrumentos Financeiros'!$J$43)^(1/12)-1)</f>
        <v>0</v>
      </c>
      <c r="BC419" s="1312">
        <f t="shared" si="301"/>
        <v>0</v>
      </c>
      <c r="BD419" s="1312">
        <f>IF(AND(C419&gt;$F$72,'Instrumentos Financeiros'!C419&lt;'Instrumentos Financeiros'!$F$72+'Instrumentos Financeiros'!$F$11+1),PMT(((1+'Instrumentos Financeiros'!$J$43)^(1/12)-1),$F$11,-'Instrumentos Financeiros'!$G$7*$G$72),0)</f>
        <v>0</v>
      </c>
      <c r="BE419" s="1312">
        <f t="shared" si="284"/>
        <v>0</v>
      </c>
      <c r="BF419" s="1312">
        <f>BG418*((1+'Instrumentos Financeiros'!$J$43)^(1/12)-1)</f>
        <v>0</v>
      </c>
      <c r="BG419" s="1312">
        <f t="shared" si="302"/>
        <v>0</v>
      </c>
      <c r="BH419" s="1312">
        <f>IF(AND(C419&gt;$F$73,'Instrumentos Financeiros'!C419&lt;'Instrumentos Financeiros'!$F$73+'Instrumentos Financeiros'!$F$11+1),PMT(((1+'Instrumentos Financeiros'!$J$43)^(1/12)-1),$F$11,-$I$73),0)</f>
        <v>0</v>
      </c>
      <c r="BI419" s="1312">
        <f t="shared" si="285"/>
        <v>0</v>
      </c>
      <c r="BJ419" s="1312">
        <f>BK418*((1+'Instrumentos Financeiros'!$J$43)^(1/12)-1)</f>
        <v>0</v>
      </c>
      <c r="BK419" s="1312">
        <f t="shared" si="303"/>
        <v>0</v>
      </c>
      <c r="BL419" s="1312">
        <f>IF(AND(C419&gt;$F$77,'Instrumentos Financeiros'!C419&lt;'Instrumentos Financeiros'!$F$77+'Instrumentos Financeiros'!$F$12+1),PMT(((1+'Instrumentos Financeiros'!$K$43)^(1/12)-1),$F$12,-$I$77),0)</f>
        <v>0</v>
      </c>
      <c r="BM419" s="1312">
        <f t="shared" si="304"/>
        <v>8.0773152942709248E-14</v>
      </c>
      <c r="BN419" s="1312">
        <f>BO418*((1+'Instrumentos Financeiros'!$K$43)^(1/12)-1)</f>
        <v>-8.0773152942709248E-14</v>
      </c>
      <c r="BO419" s="1312">
        <f t="shared" si="305"/>
        <v>-1.8760919128257532E-11</v>
      </c>
      <c r="BP419" s="1312">
        <f>IF(AND(C419&gt;$F$78,'Instrumentos Financeiros'!C419&lt;'Instrumentos Financeiros'!$F$78+'Instrumentos Financeiros'!$F$12+1),PMT(((1+'Instrumentos Financeiros'!$L$43)^(1/12)-1),$F$12,-$I$78),0)</f>
        <v>0</v>
      </c>
      <c r="BQ419" s="1312">
        <f t="shared" si="306"/>
        <v>7.9734357432036143E-14</v>
      </c>
      <c r="BR419" s="1312">
        <f>BS418*((1+'Instrumentos Financeiros'!$L$43)^(1/12)-1)</f>
        <v>-7.9734357432036143E-14</v>
      </c>
      <c r="BS419" s="1312">
        <f t="shared" si="307"/>
        <v>-1.851964145298394E-11</v>
      </c>
      <c r="BT419" s="1312">
        <f>IF(AND(C419&gt;$F$79,'Instrumentos Financeiros'!C419&lt;'Instrumentos Financeiros'!$F$79+'Instrumentos Financeiros'!$F$12+1),PMT(((1+'Instrumentos Financeiros'!$L$43)^(1/12)-1),$F$12,-$I$79),0)</f>
        <v>0</v>
      </c>
      <c r="BU419" s="1312">
        <f t="shared" si="308"/>
        <v>7.870892151020759E-14</v>
      </c>
      <c r="BV419" s="1312">
        <f>BW418*((1+'Instrumentos Financeiros'!$L$43)^(1/12)-1)</f>
        <v>-7.870892151020759E-14</v>
      </c>
      <c r="BW419" s="1312">
        <f t="shared" si="309"/>
        <v>-1.8281466766225324E-11</v>
      </c>
      <c r="BX419" s="1312">
        <f>IF(AND(C419&gt;$F$80,'Instrumentos Financeiros'!C419&lt;'Instrumentos Financeiros'!$F$80+'Instrumentos Financeiros'!$F$12+1),PMT(((1+'Instrumentos Financeiros'!$L$43)^(1/12)-1),$F$12,-$I$80),0)</f>
        <v>0</v>
      </c>
      <c r="BY419" s="1312">
        <f t="shared" si="310"/>
        <v>7.7696673364184136E-14</v>
      </c>
      <c r="BZ419" s="1312">
        <f>CA418*((1+'Instrumentos Financeiros'!$L$43)^(1/12)-1)</f>
        <v>-7.7696673364184136E-14</v>
      </c>
      <c r="CA419" s="1312">
        <f t="shared" si="311"/>
        <v>-1.8046355161522406E-11</v>
      </c>
      <c r="CB419" s="1312">
        <f>IF(AND(C419&gt;$F$83,'Instrumentos Financeiros'!C419&lt;'Instrumentos Financeiros'!$F$83+'Instrumentos Financeiros'!$F$13+1),PMT(((1+'Instrumentos Financeiros'!$P$43)^(1/12)-1),$F$13,-$I$83),0)</f>
        <v>30503.390100238979</v>
      </c>
      <c r="CC419" s="1312">
        <f t="shared" si="312"/>
        <v>27621.652564047636</v>
      </c>
      <c r="CD419" s="1312">
        <f>CE418*((1+'Instrumentos Financeiros'!$P$43)^(1/12)-1)</f>
        <v>2881.7375361913446</v>
      </c>
      <c r="CE419" s="1312">
        <f t="shared" si="313"/>
        <v>638828.47198141657</v>
      </c>
      <c r="CF419" s="1312">
        <f>IF(AND(C419&gt;$F$84,'Instrumentos Financeiros'!C419&lt;'Instrumentos Financeiros'!$F$84+'Instrumentos Financeiros'!$F$13+1),PMT(((1+'Instrumentos Financeiros'!$Q$43)^(1/12)-1),$F$13,-$I$84),0)</f>
        <v>30503.390100238979</v>
      </c>
      <c r="CG419" s="1312">
        <f t="shared" si="314"/>
        <v>27266.420068650841</v>
      </c>
      <c r="CH419" s="1312">
        <f>CI418*((1+'Instrumentos Financeiros'!$Q$43)^(1/12)-1)</f>
        <v>3236.9700315881387</v>
      </c>
      <c r="CI419" s="1312">
        <f t="shared" si="315"/>
        <v>721337.17536947608</v>
      </c>
      <c r="CJ419" s="1312">
        <f>IF(AND(C419&gt;$F$85,'Instrumentos Financeiros'!C419&lt;'Instrumentos Financeiros'!$F$85+'Instrumentos Financeiros'!$F$13+1),PMT(((1+'Instrumentos Financeiros'!$Q$43)^(1/12)-1),$F$13,-$I$85),0)</f>
        <v>30503.390100238979</v>
      </c>
      <c r="CK419" s="1312">
        <f t="shared" si="316"/>
        <v>26915.756095195058</v>
      </c>
      <c r="CL419" s="1312">
        <f>CM418*((1+'Instrumentos Financeiros'!$Q$43)^(1/12)-1)</f>
        <v>3587.6340050439217</v>
      </c>
      <c r="CM419" s="1312">
        <f t="shared" si="317"/>
        <v>802784.76293441351</v>
      </c>
      <c r="CN419" s="1312">
        <f>IF(AND(C419&gt;$F$86,'Instrumentos Financeiros'!C419&lt;'Instrumentos Financeiros'!$F$86+'Instrumentos Financeiros'!$F$13+1),PMT(((1+'Instrumentos Financeiros'!$Q$43)^(1/12)-1),$F$13,-$I$86),0)</f>
        <v>30503.390100238979</v>
      </c>
      <c r="CO419" s="1312">
        <f t="shared" si="318"/>
        <v>26569.601889503807</v>
      </c>
      <c r="CP419" s="1312">
        <f>CQ418*((1+'Instrumentos Financeiros'!$Q$43)^(1/12)-1)</f>
        <v>3933.788210735172</v>
      </c>
      <c r="CQ419" s="1312">
        <f t="shared" si="319"/>
        <v>883184.88131887175</v>
      </c>
      <c r="CR419" s="1312">
        <f t="shared" si="288"/>
        <v>122013.56040095592</v>
      </c>
      <c r="CS419" s="1312">
        <f t="shared" si="288"/>
        <v>108373.43061739745</v>
      </c>
      <c r="CT419" s="1312">
        <f t="shared" si="288"/>
        <v>13640.129783558472</v>
      </c>
      <c r="CU419" s="1312">
        <f t="shared" si="288"/>
        <v>3046135.2916041538</v>
      </c>
    </row>
    <row r="420" spans="3:99" x14ac:dyDescent="0.35">
      <c r="C420" s="1315">
        <f t="shared" si="289"/>
        <v>327</v>
      </c>
      <c r="D420" s="1312">
        <f>IF(AND(C420&gt;$F$59,'Instrumentos Financeiros'!C420&lt;'Instrumentos Financeiros'!$F$59+'Instrumentos Financeiros'!$F$11+1),PMT(((1+'Instrumentos Financeiros'!$G$43)^(1/12)-1),$F$11,-$I$59),0)</f>
        <v>0</v>
      </c>
      <c r="E420" s="1312">
        <f t="shared" si="286"/>
        <v>-1.2095307185689214E-11</v>
      </c>
      <c r="F420" s="1312">
        <f>G419*((1+'Instrumentos Financeiros'!$G$43)^(1/12)-1)</f>
        <v>1.2095307185689214E-11</v>
      </c>
      <c r="G420" s="1312">
        <f t="shared" si="320"/>
        <v>2.9753236594552645E-9</v>
      </c>
      <c r="H420" s="1312">
        <f>IF(AND(C420&gt;$F$60,'Instrumentos Financeiros'!C420&lt;'Instrumentos Financeiros'!$F$60+'Instrumentos Financeiros'!$F$11+1),PMT(((1+'Instrumentos Financeiros'!$G$43)^(1/12)-1),$F$11,-$I$60),0)</f>
        <v>0</v>
      </c>
      <c r="I420" s="1312">
        <f t="shared" si="272"/>
        <v>0</v>
      </c>
      <c r="J420" s="1312">
        <f>K419*((1+'Instrumentos Financeiros'!$G$43)^(1/12)-1)</f>
        <v>0</v>
      </c>
      <c r="K420" s="1312">
        <f t="shared" si="290"/>
        <v>0</v>
      </c>
      <c r="L420" s="1312">
        <f>IF(AND(C420&gt;$F$61,'Instrumentos Financeiros'!C420&lt;'Instrumentos Financeiros'!$F$61+'Instrumentos Financeiros'!$F$11+1),PMT(((1+'Instrumentos Financeiros'!$G$43)^(1/12)-1),$F$11,-$I$61),0)</f>
        <v>0</v>
      </c>
      <c r="M420" s="1312">
        <f t="shared" si="273"/>
        <v>0</v>
      </c>
      <c r="N420" s="1312">
        <f>O419*((1+'Instrumentos Financeiros'!$G$43)^(1/12)-1)</f>
        <v>0</v>
      </c>
      <c r="O420" s="1312">
        <f t="shared" si="291"/>
        <v>0</v>
      </c>
      <c r="P420" s="1312">
        <f>IF(AND(C420&gt;$F$62,'Instrumentos Financeiros'!C420&lt;'Instrumentos Financeiros'!$F$62+'Instrumentos Financeiros'!$F$11+1),PMT(((1+'Instrumentos Financeiros'!$H$43)^(1/12)-1),$F$11,-$I$62),0)</f>
        <v>0</v>
      </c>
      <c r="Q420" s="1312">
        <f t="shared" si="274"/>
        <v>0</v>
      </c>
      <c r="R420" s="1312">
        <f>S419*((1+'Instrumentos Financeiros'!$H$43)^(1/12)-1)</f>
        <v>0</v>
      </c>
      <c r="S420" s="1312">
        <f t="shared" si="292"/>
        <v>0</v>
      </c>
      <c r="T420" s="1312">
        <f>IF(AND(C420&gt;$F$63,'Instrumentos Financeiros'!C420&lt;'Instrumentos Financeiros'!$F$63+'Instrumentos Financeiros'!$F$11+1),PMT(((1+'Instrumentos Financeiros'!$H$43)^(1/12)-1),$F$11,-$I$63),0)</f>
        <v>0</v>
      </c>
      <c r="U420" s="1312">
        <f t="shared" si="275"/>
        <v>0</v>
      </c>
      <c r="V420" s="1312">
        <f>W419*((1+'Instrumentos Financeiros'!$H$43)^(1/12)-1)</f>
        <v>0</v>
      </c>
      <c r="W420" s="1312">
        <f t="shared" si="293"/>
        <v>0</v>
      </c>
      <c r="X420" s="1312">
        <f>IF(AND(C420&gt;$F$64,'Instrumentos Financeiros'!C420&lt;'Instrumentos Financeiros'!$F$64+'Instrumentos Financeiros'!$F$11+1),PMT(((1+'Instrumentos Financeiros'!$H$43)^(1/12)-1),$F$11,-$I$64),0)</f>
        <v>0</v>
      </c>
      <c r="Y420" s="1312">
        <f t="shared" si="276"/>
        <v>0</v>
      </c>
      <c r="Z420" s="1312">
        <f>AA419*((1+'Instrumentos Financeiros'!$H$43)^(1/12)-1)</f>
        <v>0</v>
      </c>
      <c r="AA420" s="1312">
        <f t="shared" si="294"/>
        <v>0</v>
      </c>
      <c r="AB420" s="1312">
        <f>IF(AND(C420&gt;$F$65,'Instrumentos Financeiros'!C420&lt;'Instrumentos Financeiros'!$F$65+'Instrumentos Financeiros'!$F$11+1),PMT(((1+'Instrumentos Financeiros'!$H$43)^(1/12)-1),$F$11,-$I$65),0)</f>
        <v>0</v>
      </c>
      <c r="AC420" s="1312">
        <f t="shared" si="277"/>
        <v>2.9846401935090087E-11</v>
      </c>
      <c r="AD420" s="1312">
        <f>AE419*((1+'Instrumentos Financeiros'!$H$43)^(1/12)-1)</f>
        <v>-2.9846401935090087E-11</v>
      </c>
      <c r="AE420" s="1312">
        <f t="shared" si="295"/>
        <v>-6.9323272965567215E-9</v>
      </c>
      <c r="AF420" s="1312">
        <f>IF(AND(C420&gt;$F$66,'Instrumentos Financeiros'!C420&lt;'Instrumentos Financeiros'!$F$66+'Instrumentos Financeiros'!$F$11+1),PMT(((1+'Instrumentos Financeiros'!$I$43)^(1/12)-1),$F$11,-$I$66),0)</f>
        <v>0</v>
      </c>
      <c r="AG420" s="1312">
        <f t="shared" si="278"/>
        <v>2.9462557709498102E-11</v>
      </c>
      <c r="AH420" s="1312">
        <f>AI419*((1+'Instrumentos Financeiros'!$I$43)^(1/12)-1)</f>
        <v>-2.9462557709498102E-11</v>
      </c>
      <c r="AI420" s="1312">
        <f t="shared" si="296"/>
        <v>-6.8431730390859559E-9</v>
      </c>
      <c r="AJ420" s="1312">
        <f>IF(AND(C420&gt;$F$67,'Instrumentos Financeiros'!C420&lt;'Instrumentos Financeiros'!$F$67+'Instrumentos Financeiros'!$F$11+1),PMT(((1+'Instrumentos Financeiros'!$I$43)^(1/12)-1),$F$11,-$I$67),0)</f>
        <v>0</v>
      </c>
      <c r="AK420" s="1312">
        <f t="shared" si="279"/>
        <v>2.9083649971387614E-11</v>
      </c>
      <c r="AL420" s="1312">
        <f>AM419*((1+'Instrumentos Financeiros'!$I$43)^(1/12)-1)</f>
        <v>-2.9083649971387614E-11</v>
      </c>
      <c r="AM420" s="1312">
        <f t="shared" si="297"/>
        <v>-6.755165363604923E-9</v>
      </c>
      <c r="AN420" s="1312">
        <f>IF(AND(C420&gt;$F$68,'Instrumentos Financeiros'!C420&lt;'Instrumentos Financeiros'!$F$68+'Instrumentos Financeiros'!$F$11+1),PMT(((1+'Instrumentos Financeiros'!$I$43)^(1/12)-1),$F$11,-$I$68),0)</f>
        <v>0</v>
      </c>
      <c r="AO420" s="1312">
        <f t="shared" si="280"/>
        <v>2.8709615234304926E-11</v>
      </c>
      <c r="AP420" s="1312">
        <f>AQ419*((1+'Instrumentos Financeiros'!$I$43)^(1/12)-1)</f>
        <v>-2.8709615234304926E-11</v>
      </c>
      <c r="AQ420" s="1312">
        <f t="shared" si="298"/>
        <v>-6.6682895243202467E-9</v>
      </c>
      <c r="AR420" s="1312">
        <f>IF(AND(C420&gt;$F$69,'Instrumentos Financeiros'!C420&lt;'Instrumentos Financeiros'!$F$69+'Instrumentos Financeiros'!$F$11+1),PMT(((1+'Instrumentos Financeiros'!$I$43)^(1/12)-1),$F$11,-$I$69),0)</f>
        <v>0</v>
      </c>
      <c r="AS420" s="1312">
        <f t="shared" si="281"/>
        <v>0</v>
      </c>
      <c r="AT420" s="1312">
        <f>AU419*((1+'Instrumentos Financeiros'!$I$43)^(1/12)-1)</f>
        <v>0</v>
      </c>
      <c r="AU420" s="1312">
        <f t="shared" si="299"/>
        <v>0</v>
      </c>
      <c r="AV420" s="1312">
        <f>IF(AND(C420&gt;$F$70,'Instrumentos Financeiros'!C420&lt;'Instrumentos Financeiros'!$F$70+'Instrumentos Financeiros'!$F$11+1),PMT(((1+'Instrumentos Financeiros'!$J$43)^(1/12)-1),$F$11,-$I$70),0)</f>
        <v>0</v>
      </c>
      <c r="AW420" s="1312">
        <f t="shared" si="282"/>
        <v>0</v>
      </c>
      <c r="AX420" s="1312">
        <f>AY419*((1+'Instrumentos Financeiros'!$J$43)^(1/12)-1)</f>
        <v>0</v>
      </c>
      <c r="AY420" s="1312">
        <f t="shared" si="300"/>
        <v>0</v>
      </c>
      <c r="AZ420" s="1312">
        <f>IF(AND(C420&gt;$F$71,'Instrumentos Financeiros'!C420&lt;'Instrumentos Financeiros'!$F$71+'Instrumentos Financeiros'!$F$11+1),PMT(((1+'Instrumentos Financeiros'!$J$43)^(1/12)-1),$F$11,-$I$71),0)</f>
        <v>0</v>
      </c>
      <c r="BA420" s="1312">
        <f t="shared" si="283"/>
        <v>0</v>
      </c>
      <c r="BB420" s="1312">
        <f>BC419*((1+'Instrumentos Financeiros'!$J$43)^(1/12)-1)</f>
        <v>0</v>
      </c>
      <c r="BC420" s="1312">
        <f t="shared" si="301"/>
        <v>0</v>
      </c>
      <c r="BD420" s="1312">
        <f>IF(AND(C420&gt;$F$72,'Instrumentos Financeiros'!C420&lt;'Instrumentos Financeiros'!$F$72+'Instrumentos Financeiros'!$F$11+1),PMT(((1+'Instrumentos Financeiros'!$J$43)^(1/12)-1),$F$11,-'Instrumentos Financeiros'!$G$7*$G$72),0)</f>
        <v>0</v>
      </c>
      <c r="BE420" s="1312">
        <f t="shared" si="284"/>
        <v>0</v>
      </c>
      <c r="BF420" s="1312">
        <f>BG419*((1+'Instrumentos Financeiros'!$J$43)^(1/12)-1)</f>
        <v>0</v>
      </c>
      <c r="BG420" s="1312">
        <f t="shared" si="302"/>
        <v>0</v>
      </c>
      <c r="BH420" s="1312">
        <f>IF(AND(C420&gt;$F$73,'Instrumentos Financeiros'!C420&lt;'Instrumentos Financeiros'!$F$73+'Instrumentos Financeiros'!$F$11+1),PMT(((1+'Instrumentos Financeiros'!$J$43)^(1/12)-1),$F$11,-$I$73),0)</f>
        <v>0</v>
      </c>
      <c r="BI420" s="1312">
        <f t="shared" si="285"/>
        <v>0</v>
      </c>
      <c r="BJ420" s="1312">
        <f>BK419*((1+'Instrumentos Financeiros'!$J$43)^(1/12)-1)</f>
        <v>0</v>
      </c>
      <c r="BK420" s="1312">
        <f t="shared" si="303"/>
        <v>0</v>
      </c>
      <c r="BL420" s="1312">
        <f>IF(AND(C420&gt;$F$77,'Instrumentos Financeiros'!C420&lt;'Instrumentos Financeiros'!$F$77+'Instrumentos Financeiros'!$F$12+1),PMT(((1+'Instrumentos Financeiros'!$K$43)^(1/12)-1),$F$12,-$I$77),0)</f>
        <v>0</v>
      </c>
      <c r="BM420" s="1312">
        <f t="shared" si="304"/>
        <v>8.1122416928383016E-14</v>
      </c>
      <c r="BN420" s="1312">
        <f>BO419*((1+'Instrumentos Financeiros'!$K$43)^(1/12)-1)</f>
        <v>-8.1122416928383016E-14</v>
      </c>
      <c r="BO420" s="1312">
        <f t="shared" si="305"/>
        <v>-1.8842041545185916E-11</v>
      </c>
      <c r="BP420" s="1312">
        <f>IF(AND(C420&gt;$F$78,'Instrumentos Financeiros'!C420&lt;'Instrumentos Financeiros'!$F$78+'Instrumentos Financeiros'!$F$12+1),PMT(((1+'Instrumentos Financeiros'!$L$43)^(1/12)-1),$F$12,-$I$78),0)</f>
        <v>0</v>
      </c>
      <c r="BQ420" s="1312">
        <f t="shared" si="306"/>
        <v>8.0079129654702774E-14</v>
      </c>
      <c r="BR420" s="1312">
        <f>BS419*((1+'Instrumentos Financeiros'!$L$43)^(1/12)-1)</f>
        <v>-8.0079129654702774E-14</v>
      </c>
      <c r="BS420" s="1312">
        <f t="shared" si="307"/>
        <v>-1.8599720582638642E-11</v>
      </c>
      <c r="BT420" s="1312">
        <f>IF(AND(C420&gt;$F$79,'Instrumentos Financeiros'!C420&lt;'Instrumentos Financeiros'!$F$79+'Instrumentos Financeiros'!$F$12+1),PMT(((1+'Instrumentos Financeiros'!$L$43)^(1/12)-1),$F$12,-$I$79),0)</f>
        <v>0</v>
      </c>
      <c r="BU420" s="1312">
        <f t="shared" si="308"/>
        <v>7.9049259736873535E-14</v>
      </c>
      <c r="BV420" s="1312">
        <f>BW419*((1+'Instrumentos Financeiros'!$L$43)^(1/12)-1)</f>
        <v>-7.9049259736873535E-14</v>
      </c>
      <c r="BW420" s="1312">
        <f t="shared" si="309"/>
        <v>-1.8360516025962197E-11</v>
      </c>
      <c r="BX420" s="1312">
        <f>IF(AND(C420&gt;$F$80,'Instrumentos Financeiros'!C420&lt;'Instrumentos Financeiros'!$F$80+'Instrumentos Financeiros'!$F$12+1),PMT(((1+'Instrumentos Financeiros'!$L$43)^(1/12)-1),$F$12,-$I$80),0)</f>
        <v>0</v>
      </c>
      <c r="BY420" s="1312">
        <f t="shared" si="310"/>
        <v>7.8032634618934399E-14</v>
      </c>
      <c r="BZ420" s="1312">
        <f>CA419*((1+'Instrumentos Financeiros'!$L$43)^(1/12)-1)</f>
        <v>-7.8032634618934399E-14</v>
      </c>
      <c r="CA420" s="1312">
        <f t="shared" si="311"/>
        <v>-1.8124387796141339E-11</v>
      </c>
      <c r="CB420" s="1312">
        <f>IF(AND(C420&gt;$F$83,'Instrumentos Financeiros'!C420&lt;'Instrumentos Financeiros'!$F$83+'Instrumentos Financeiros'!$F$13+1),PMT(((1+'Instrumentos Financeiros'!$P$43)^(1/12)-1),$F$13,-$I$83),0)</f>
        <v>30503.390100238979</v>
      </c>
      <c r="CC420" s="1312">
        <f t="shared" si="312"/>
        <v>27741.088888048234</v>
      </c>
      <c r="CD420" s="1312">
        <f>CE419*((1+'Instrumentos Financeiros'!$P$43)^(1/12)-1)</f>
        <v>2762.3012121907454</v>
      </c>
      <c r="CE420" s="1312">
        <f t="shared" si="313"/>
        <v>611087.38309336838</v>
      </c>
      <c r="CF420" s="1312">
        <f>IF(AND(C420&gt;$F$84,'Instrumentos Financeiros'!C420&lt;'Instrumentos Financeiros'!$F$84+'Instrumentos Financeiros'!$F$13+1),PMT(((1+'Instrumentos Financeiros'!$Q$43)^(1/12)-1),$F$13,-$I$84),0)</f>
        <v>30503.390100238979</v>
      </c>
      <c r="CG420" s="1312">
        <f t="shared" si="314"/>
        <v>27384.320363504838</v>
      </c>
      <c r="CH420" s="1312">
        <f>CI419*((1+'Instrumentos Financeiros'!$Q$43)^(1/12)-1)</f>
        <v>3119.0697367341431</v>
      </c>
      <c r="CI420" s="1312">
        <f t="shared" si="315"/>
        <v>693952.85500597127</v>
      </c>
      <c r="CJ420" s="1312">
        <f>IF(AND(C420&gt;$F$85,'Instrumentos Financeiros'!C420&lt;'Instrumentos Financeiros'!$F$85+'Instrumentos Financeiros'!$F$13+1),PMT(((1+'Instrumentos Financeiros'!$Q$43)^(1/12)-1),$F$13,-$I$85),0)</f>
        <v>30503.390100238979</v>
      </c>
      <c r="CK420" s="1312">
        <f t="shared" si="316"/>
        <v>27032.140115240662</v>
      </c>
      <c r="CL420" s="1312">
        <f>CM419*((1+'Instrumentos Financeiros'!$Q$43)^(1/12)-1)</f>
        <v>3471.2499849983178</v>
      </c>
      <c r="CM420" s="1312">
        <f t="shared" si="317"/>
        <v>775752.6228191728</v>
      </c>
      <c r="CN420" s="1312">
        <f>IF(AND(C420&gt;$F$86,'Instrumentos Financeiros'!C420&lt;'Instrumentos Financeiros'!$F$86+'Instrumentos Financeiros'!$F$13+1),PMT(((1+'Instrumentos Financeiros'!$Q$43)^(1/12)-1),$F$13,-$I$86),0)</f>
        <v>30503.390100238979</v>
      </c>
      <c r="CO420" s="1312">
        <f t="shared" si="318"/>
        <v>26684.489135025538</v>
      </c>
      <c r="CP420" s="1312">
        <f>CQ419*((1+'Instrumentos Financeiros'!$Q$43)^(1/12)-1)</f>
        <v>3818.9009652134405</v>
      </c>
      <c r="CQ420" s="1312">
        <f t="shared" si="319"/>
        <v>856500.39218384621</v>
      </c>
      <c r="CR420" s="1312">
        <f t="shared" si="288"/>
        <v>122013.56040095592</v>
      </c>
      <c r="CS420" s="1312">
        <f t="shared" si="288"/>
        <v>108842.03850181938</v>
      </c>
      <c r="CT420" s="1312">
        <f t="shared" si="288"/>
        <v>13171.521899136542</v>
      </c>
      <c r="CU420" s="1312">
        <f t="shared" si="288"/>
        <v>2937293.2531023342</v>
      </c>
    </row>
    <row r="421" spans="3:99" x14ac:dyDescent="0.35">
      <c r="C421" s="1315">
        <f t="shared" si="289"/>
        <v>328</v>
      </c>
      <c r="D421" s="1312">
        <f>IF(AND(C421&gt;$F$59,'Instrumentos Financeiros'!C421&lt;'Instrumentos Financeiros'!$F$59+'Instrumentos Financeiros'!$F$11+1),PMT(((1+'Instrumentos Financeiros'!$G$43)^(1/12)-1),$F$11,-$I$59),0)</f>
        <v>0</v>
      </c>
      <c r="E421" s="1312">
        <f t="shared" si="286"/>
        <v>-1.214467781748819E-11</v>
      </c>
      <c r="F421" s="1312">
        <f>G420*((1+'Instrumentos Financeiros'!$G$43)^(1/12)-1)</f>
        <v>1.214467781748819E-11</v>
      </c>
      <c r="G421" s="1312">
        <f t="shared" si="320"/>
        <v>2.9874683372727527E-9</v>
      </c>
      <c r="H421" s="1312">
        <f>IF(AND(C421&gt;$F$60,'Instrumentos Financeiros'!C421&lt;'Instrumentos Financeiros'!$F$60+'Instrumentos Financeiros'!$F$11+1),PMT(((1+'Instrumentos Financeiros'!$G$43)^(1/12)-1),$F$11,-$I$60),0)</f>
        <v>0</v>
      </c>
      <c r="I421" s="1312">
        <f t="shared" si="272"/>
        <v>0</v>
      </c>
      <c r="J421" s="1312">
        <f>K420*((1+'Instrumentos Financeiros'!$G$43)^(1/12)-1)</f>
        <v>0</v>
      </c>
      <c r="K421" s="1312">
        <f t="shared" si="290"/>
        <v>0</v>
      </c>
      <c r="L421" s="1312">
        <f>IF(AND(C421&gt;$F$61,'Instrumentos Financeiros'!C421&lt;'Instrumentos Financeiros'!$F$61+'Instrumentos Financeiros'!$F$11+1),PMT(((1+'Instrumentos Financeiros'!$G$43)^(1/12)-1),$F$11,-$I$61),0)</f>
        <v>0</v>
      </c>
      <c r="M421" s="1312">
        <f t="shared" si="273"/>
        <v>0</v>
      </c>
      <c r="N421" s="1312">
        <f>O420*((1+'Instrumentos Financeiros'!$G$43)^(1/12)-1)</f>
        <v>0</v>
      </c>
      <c r="O421" s="1312">
        <f t="shared" si="291"/>
        <v>0</v>
      </c>
      <c r="P421" s="1312">
        <f>IF(AND(C421&gt;$F$62,'Instrumentos Financeiros'!C421&lt;'Instrumentos Financeiros'!$F$62+'Instrumentos Financeiros'!$F$11+1),PMT(((1+'Instrumentos Financeiros'!$H$43)^(1/12)-1),$F$11,-$I$62),0)</f>
        <v>0</v>
      </c>
      <c r="Q421" s="1312">
        <f t="shared" si="274"/>
        <v>0</v>
      </c>
      <c r="R421" s="1312">
        <f>S420*((1+'Instrumentos Financeiros'!$H$43)^(1/12)-1)</f>
        <v>0</v>
      </c>
      <c r="S421" s="1312">
        <f t="shared" si="292"/>
        <v>0</v>
      </c>
      <c r="T421" s="1312">
        <f>IF(AND(C421&gt;$F$63,'Instrumentos Financeiros'!C421&lt;'Instrumentos Financeiros'!$F$63+'Instrumentos Financeiros'!$F$11+1),PMT(((1+'Instrumentos Financeiros'!$H$43)^(1/12)-1),$F$11,-$I$63),0)</f>
        <v>0</v>
      </c>
      <c r="U421" s="1312">
        <f t="shared" si="275"/>
        <v>0</v>
      </c>
      <c r="V421" s="1312">
        <f>W420*((1+'Instrumentos Financeiros'!$H$43)^(1/12)-1)</f>
        <v>0</v>
      </c>
      <c r="W421" s="1312">
        <f t="shared" si="293"/>
        <v>0</v>
      </c>
      <c r="X421" s="1312">
        <f>IF(AND(C421&gt;$F$64,'Instrumentos Financeiros'!C421&lt;'Instrumentos Financeiros'!$F$64+'Instrumentos Financeiros'!$F$11+1),PMT(((1+'Instrumentos Financeiros'!$H$43)^(1/12)-1),$F$11,-$I$64),0)</f>
        <v>0</v>
      </c>
      <c r="Y421" s="1312">
        <f t="shared" si="276"/>
        <v>0</v>
      </c>
      <c r="Z421" s="1312">
        <f>AA420*((1+'Instrumentos Financeiros'!$H$43)^(1/12)-1)</f>
        <v>0</v>
      </c>
      <c r="AA421" s="1312">
        <f t="shared" si="294"/>
        <v>0</v>
      </c>
      <c r="AB421" s="1312">
        <f>IF(AND(C421&gt;$F$65,'Instrumentos Financeiros'!C421&lt;'Instrumentos Financeiros'!$F$65+'Instrumentos Financeiros'!$F$11+1),PMT(((1+'Instrumentos Financeiros'!$H$43)^(1/12)-1),$F$11,-$I$65),0)</f>
        <v>0</v>
      </c>
      <c r="AC421" s="1312">
        <f t="shared" si="277"/>
        <v>2.997545809939835E-11</v>
      </c>
      <c r="AD421" s="1312">
        <f>AE420*((1+'Instrumentos Financeiros'!$H$43)^(1/12)-1)</f>
        <v>-2.997545809939835E-11</v>
      </c>
      <c r="AE421" s="1312">
        <f t="shared" si="295"/>
        <v>-6.9623027546561197E-9</v>
      </c>
      <c r="AF421" s="1312">
        <f>IF(AND(C421&gt;$F$66,'Instrumentos Financeiros'!C421&lt;'Instrumentos Financeiros'!$F$66+'Instrumentos Financeiros'!$F$11+1),PMT(((1+'Instrumentos Financeiros'!$I$43)^(1/12)-1),$F$11,-$I$66),0)</f>
        <v>0</v>
      </c>
      <c r="AG421" s="1312">
        <f t="shared" si="278"/>
        <v>2.9589954127229391E-11</v>
      </c>
      <c r="AH421" s="1312">
        <f>AI420*((1+'Instrumentos Financeiros'!$I$43)^(1/12)-1)</f>
        <v>-2.9589954127229391E-11</v>
      </c>
      <c r="AI421" s="1312">
        <f t="shared" si="296"/>
        <v>-6.8727629932131852E-9</v>
      </c>
      <c r="AJ421" s="1312">
        <f>IF(AND(C421&gt;$F$67,'Instrumentos Financeiros'!C421&lt;'Instrumentos Financeiros'!$F$67+'Instrumentos Financeiros'!$F$11+1),PMT(((1+'Instrumentos Financeiros'!$I$43)^(1/12)-1),$F$11,-$I$67),0)</f>
        <v>0</v>
      </c>
      <c r="AK421" s="1312">
        <f t="shared" si="279"/>
        <v>2.9209407987967116E-11</v>
      </c>
      <c r="AL421" s="1312">
        <f>AM420*((1+'Instrumentos Financeiros'!$I$43)^(1/12)-1)</f>
        <v>-2.9209407987967116E-11</v>
      </c>
      <c r="AM421" s="1312">
        <f t="shared" si="297"/>
        <v>-6.7843747715928899E-9</v>
      </c>
      <c r="AN421" s="1312">
        <f>IF(AND(C421&gt;$F$68,'Instrumentos Financeiros'!C421&lt;'Instrumentos Financeiros'!$F$68+'Instrumentos Financeiros'!$F$11+1),PMT(((1+'Instrumentos Financeiros'!$I$43)^(1/12)-1),$F$11,-$I$68),0)</f>
        <v>0</v>
      </c>
      <c r="AO421" s="1312">
        <f t="shared" si="280"/>
        <v>2.883375592064171E-11</v>
      </c>
      <c r="AP421" s="1312">
        <f>AQ420*((1+'Instrumentos Financeiros'!$I$43)^(1/12)-1)</f>
        <v>-2.883375592064171E-11</v>
      </c>
      <c r="AQ421" s="1312">
        <f t="shared" si="298"/>
        <v>-6.6971232802408885E-9</v>
      </c>
      <c r="AR421" s="1312">
        <f>IF(AND(C421&gt;$F$69,'Instrumentos Financeiros'!C421&lt;'Instrumentos Financeiros'!$F$69+'Instrumentos Financeiros'!$F$11+1),PMT(((1+'Instrumentos Financeiros'!$I$43)^(1/12)-1),$F$11,-$I$69),0)</f>
        <v>0</v>
      </c>
      <c r="AS421" s="1312">
        <f t="shared" si="281"/>
        <v>0</v>
      </c>
      <c r="AT421" s="1312">
        <f>AU420*((1+'Instrumentos Financeiros'!$I$43)^(1/12)-1)</f>
        <v>0</v>
      </c>
      <c r="AU421" s="1312">
        <f t="shared" si="299"/>
        <v>0</v>
      </c>
      <c r="AV421" s="1312">
        <f>IF(AND(C421&gt;$F$70,'Instrumentos Financeiros'!C421&lt;'Instrumentos Financeiros'!$F$70+'Instrumentos Financeiros'!$F$11+1),PMT(((1+'Instrumentos Financeiros'!$J$43)^(1/12)-1),$F$11,-$I$70),0)</f>
        <v>0</v>
      </c>
      <c r="AW421" s="1312">
        <f t="shared" si="282"/>
        <v>0</v>
      </c>
      <c r="AX421" s="1312">
        <f>AY420*((1+'Instrumentos Financeiros'!$J$43)^(1/12)-1)</f>
        <v>0</v>
      </c>
      <c r="AY421" s="1312">
        <f t="shared" si="300"/>
        <v>0</v>
      </c>
      <c r="AZ421" s="1312">
        <f>IF(AND(C421&gt;$F$71,'Instrumentos Financeiros'!C421&lt;'Instrumentos Financeiros'!$F$71+'Instrumentos Financeiros'!$F$11+1),PMT(((1+'Instrumentos Financeiros'!$J$43)^(1/12)-1),$F$11,-$I$71),0)</f>
        <v>0</v>
      </c>
      <c r="BA421" s="1312">
        <f t="shared" si="283"/>
        <v>0</v>
      </c>
      <c r="BB421" s="1312">
        <f>BC420*((1+'Instrumentos Financeiros'!$J$43)^(1/12)-1)</f>
        <v>0</v>
      </c>
      <c r="BC421" s="1312">
        <f t="shared" si="301"/>
        <v>0</v>
      </c>
      <c r="BD421" s="1312">
        <f>IF(AND(C421&gt;$F$72,'Instrumentos Financeiros'!C421&lt;'Instrumentos Financeiros'!$F$72+'Instrumentos Financeiros'!$F$11+1),PMT(((1+'Instrumentos Financeiros'!$J$43)^(1/12)-1),$F$11,-'Instrumentos Financeiros'!$G$7*$G$72),0)</f>
        <v>0</v>
      </c>
      <c r="BE421" s="1312">
        <f t="shared" si="284"/>
        <v>0</v>
      </c>
      <c r="BF421" s="1312">
        <f>BG420*((1+'Instrumentos Financeiros'!$J$43)^(1/12)-1)</f>
        <v>0</v>
      </c>
      <c r="BG421" s="1312">
        <f t="shared" si="302"/>
        <v>0</v>
      </c>
      <c r="BH421" s="1312">
        <f>IF(AND(C421&gt;$F$73,'Instrumentos Financeiros'!C421&lt;'Instrumentos Financeiros'!$F$73+'Instrumentos Financeiros'!$F$11+1),PMT(((1+'Instrumentos Financeiros'!$J$43)^(1/12)-1),$F$11,-$I$73),0)</f>
        <v>0</v>
      </c>
      <c r="BI421" s="1312">
        <f t="shared" si="285"/>
        <v>0</v>
      </c>
      <c r="BJ421" s="1312">
        <f>BK420*((1+'Instrumentos Financeiros'!$J$43)^(1/12)-1)</f>
        <v>0</v>
      </c>
      <c r="BK421" s="1312">
        <f t="shared" si="303"/>
        <v>0</v>
      </c>
      <c r="BL421" s="1312">
        <f>IF(AND(C421&gt;$F$77,'Instrumentos Financeiros'!C421&lt;'Instrumentos Financeiros'!$F$77+'Instrumentos Financeiros'!$F$12+1),PMT(((1+'Instrumentos Financeiros'!$K$43)^(1/12)-1),$F$12,-$I$77),0)</f>
        <v>0</v>
      </c>
      <c r="BM421" s="1312">
        <f t="shared" si="304"/>
        <v>8.1473191135302891E-14</v>
      </c>
      <c r="BN421" s="1312">
        <f>BO420*((1+'Instrumentos Financeiros'!$K$43)^(1/12)-1)</f>
        <v>-8.1473191135302891E-14</v>
      </c>
      <c r="BO421" s="1312">
        <f t="shared" si="305"/>
        <v>-1.892351473632122E-11</v>
      </c>
      <c r="BP421" s="1312">
        <f>IF(AND(C421&gt;$F$78,'Instrumentos Financeiros'!C421&lt;'Instrumentos Financeiros'!$F$78+'Instrumentos Financeiros'!$F$12+1),PMT(((1+'Instrumentos Financeiros'!$L$43)^(1/12)-1),$F$12,-$I$78),0)</f>
        <v>0</v>
      </c>
      <c r="BQ421" s="1312">
        <f t="shared" si="306"/>
        <v>8.042539267618375E-14</v>
      </c>
      <c r="BR421" s="1312">
        <f>BS420*((1+'Instrumentos Financeiros'!$L$43)^(1/12)-1)</f>
        <v>-8.042539267618375E-14</v>
      </c>
      <c r="BS421" s="1312">
        <f t="shared" si="307"/>
        <v>-1.8680145975314824E-11</v>
      </c>
      <c r="BT421" s="1312">
        <f>IF(AND(C421&gt;$F$79,'Instrumentos Financeiros'!C421&lt;'Instrumentos Financeiros'!$F$79+'Instrumentos Financeiros'!$F$12+1),PMT(((1+'Instrumentos Financeiros'!$L$43)^(1/12)-1),$F$12,-$I$79),0)</f>
        <v>0</v>
      </c>
      <c r="BU421" s="1312">
        <f t="shared" si="308"/>
        <v>7.9391069589707233E-14</v>
      </c>
      <c r="BV421" s="1312">
        <f>BW420*((1+'Instrumentos Financeiros'!$L$43)^(1/12)-1)</f>
        <v>-7.9391069589707233E-14</v>
      </c>
      <c r="BW421" s="1312">
        <f t="shared" si="309"/>
        <v>-1.8439907095551905E-11</v>
      </c>
      <c r="BX421" s="1312">
        <f>IF(AND(C421&gt;$F$80,'Instrumentos Financeiros'!C421&lt;'Instrumentos Financeiros'!$F$80+'Instrumentos Financeiros'!$F$12+1),PMT(((1+'Instrumentos Financeiros'!$L$43)^(1/12)-1),$F$12,-$I$80),0)</f>
        <v>0</v>
      </c>
      <c r="BY421" s="1312">
        <f t="shared" si="310"/>
        <v>7.8370048573778588E-14</v>
      </c>
      <c r="BZ421" s="1312">
        <f>CA420*((1+'Instrumentos Financeiros'!$L$43)^(1/12)-1)</f>
        <v>-7.8370048573778588E-14</v>
      </c>
      <c r="CA421" s="1312">
        <f t="shared" si="311"/>
        <v>-1.8202757844715117E-11</v>
      </c>
      <c r="CB421" s="1312">
        <f>IF(AND(C421&gt;$F$83,'Instrumentos Financeiros'!C421&lt;'Instrumentos Financeiros'!$F$83+'Instrumentos Financeiros'!$F$13+1),PMT(((1+'Instrumentos Financeiros'!$P$43)^(1/12)-1),$F$13,-$I$83),0)</f>
        <v>30503.390100238979</v>
      </c>
      <c r="CC421" s="1312">
        <f t="shared" si="312"/>
        <v>27861.041656003723</v>
      </c>
      <c r="CD421" s="1312">
        <f>CE420*((1+'Instrumentos Financeiros'!$P$43)^(1/12)-1)</f>
        <v>2642.348444235256</v>
      </c>
      <c r="CE421" s="1312">
        <f t="shared" si="313"/>
        <v>583226.3414373647</v>
      </c>
      <c r="CF421" s="1312">
        <f>IF(AND(C421&gt;$F$84,'Instrumentos Financeiros'!C421&lt;'Instrumentos Financeiros'!$F$84+'Instrumentos Financeiros'!$F$13+1),PMT(((1+'Instrumentos Financeiros'!$Q$43)^(1/12)-1),$F$13,-$I$84),0)</f>
        <v>30503.390100238979</v>
      </c>
      <c r="CG421" s="1312">
        <f t="shared" si="314"/>
        <v>27502.730460507104</v>
      </c>
      <c r="CH421" s="1312">
        <f>CI420*((1+'Instrumentos Financeiros'!$Q$43)^(1/12)-1)</f>
        <v>3000.6596397318772</v>
      </c>
      <c r="CI421" s="1312">
        <f t="shared" si="315"/>
        <v>666450.12454546418</v>
      </c>
      <c r="CJ421" s="1312">
        <f>IF(AND(C421&gt;$F$85,'Instrumentos Financeiros'!C421&lt;'Instrumentos Financeiros'!$F$85+'Instrumentos Financeiros'!$F$13+1),PMT(((1+'Instrumentos Financeiros'!$Q$43)^(1/12)-1),$F$13,-$I$85),0)</f>
        <v>30503.390100238979</v>
      </c>
      <c r="CK421" s="1312">
        <f t="shared" si="316"/>
        <v>27149.027381045889</v>
      </c>
      <c r="CL421" s="1312">
        <f>CM420*((1+'Instrumentos Financeiros'!$Q$43)^(1/12)-1)</f>
        <v>3354.3627191930896</v>
      </c>
      <c r="CM421" s="1312">
        <f t="shared" si="317"/>
        <v>748603.59543812694</v>
      </c>
      <c r="CN421" s="1312">
        <f>IF(AND(C421&gt;$F$86,'Instrumentos Financeiros'!C421&lt;'Instrumentos Financeiros'!$F$86+'Instrumentos Financeiros'!$F$13+1),PMT(((1+'Instrumentos Financeiros'!$Q$43)^(1/12)-1),$F$13,-$I$86),0)</f>
        <v>30503.390100238979</v>
      </c>
      <c r="CO421" s="1312">
        <f t="shared" si="318"/>
        <v>26799.873154237688</v>
      </c>
      <c r="CP421" s="1312">
        <f>CQ420*((1+'Instrumentos Financeiros'!$Q$43)^(1/12)-1)</f>
        <v>3703.5169460012908</v>
      </c>
      <c r="CQ421" s="1312">
        <f t="shared" si="319"/>
        <v>829700.51902960858</v>
      </c>
      <c r="CR421" s="1312">
        <f t="shared" si="288"/>
        <v>122013.56040095592</v>
      </c>
      <c r="CS421" s="1312">
        <f t="shared" si="288"/>
        <v>109312.67265179451</v>
      </c>
      <c r="CT421" s="1312">
        <f t="shared" si="288"/>
        <v>12700.887749161408</v>
      </c>
      <c r="CU421" s="1312">
        <f t="shared" si="288"/>
        <v>2827980.5804505399</v>
      </c>
    </row>
    <row r="422" spans="3:99" x14ac:dyDescent="0.35">
      <c r="C422" s="1315">
        <f t="shared" si="289"/>
        <v>329</v>
      </c>
      <c r="D422" s="1312">
        <f>IF(AND(C422&gt;$F$59,'Instrumentos Financeiros'!C422&lt;'Instrumentos Financeiros'!$F$59+'Instrumentos Financeiros'!$F$11+1),PMT(((1+'Instrumentos Financeiros'!$G$43)^(1/12)-1),$F$11,-$I$59),0)</f>
        <v>0</v>
      </c>
      <c r="E422" s="1312">
        <f t="shared" si="286"/>
        <v>-1.2194249970360322E-11</v>
      </c>
      <c r="F422" s="1312">
        <f>G421*((1+'Instrumentos Financeiros'!$G$43)^(1/12)-1)</f>
        <v>1.2194249970360322E-11</v>
      </c>
      <c r="G422" s="1312">
        <f t="shared" si="320"/>
        <v>2.999662587243113E-9</v>
      </c>
      <c r="H422" s="1312">
        <f>IF(AND(C422&gt;$F$60,'Instrumentos Financeiros'!C422&lt;'Instrumentos Financeiros'!$F$60+'Instrumentos Financeiros'!$F$11+1),PMT(((1+'Instrumentos Financeiros'!$G$43)^(1/12)-1),$F$11,-$I$60),0)</f>
        <v>0</v>
      </c>
      <c r="I422" s="1312">
        <f t="shared" si="272"/>
        <v>0</v>
      </c>
      <c r="J422" s="1312">
        <f>K421*((1+'Instrumentos Financeiros'!$G$43)^(1/12)-1)</f>
        <v>0</v>
      </c>
      <c r="K422" s="1312">
        <f t="shared" si="290"/>
        <v>0</v>
      </c>
      <c r="L422" s="1312">
        <f>IF(AND(C422&gt;$F$61,'Instrumentos Financeiros'!C422&lt;'Instrumentos Financeiros'!$F$61+'Instrumentos Financeiros'!$F$11+1),PMT(((1+'Instrumentos Financeiros'!$G$43)^(1/12)-1),$F$11,-$I$61),0)</f>
        <v>0</v>
      </c>
      <c r="M422" s="1312">
        <f t="shared" si="273"/>
        <v>0</v>
      </c>
      <c r="N422" s="1312">
        <f>O421*((1+'Instrumentos Financeiros'!$G$43)^(1/12)-1)</f>
        <v>0</v>
      </c>
      <c r="O422" s="1312">
        <f t="shared" si="291"/>
        <v>0</v>
      </c>
      <c r="P422" s="1312">
        <f>IF(AND(C422&gt;$F$62,'Instrumentos Financeiros'!C422&lt;'Instrumentos Financeiros'!$F$62+'Instrumentos Financeiros'!$F$11+1),PMT(((1+'Instrumentos Financeiros'!$H$43)^(1/12)-1),$F$11,-$I$62),0)</f>
        <v>0</v>
      </c>
      <c r="Q422" s="1312">
        <f t="shared" si="274"/>
        <v>0</v>
      </c>
      <c r="R422" s="1312">
        <f>S421*((1+'Instrumentos Financeiros'!$H$43)^(1/12)-1)</f>
        <v>0</v>
      </c>
      <c r="S422" s="1312">
        <f t="shared" si="292"/>
        <v>0</v>
      </c>
      <c r="T422" s="1312">
        <f>IF(AND(C422&gt;$F$63,'Instrumentos Financeiros'!C422&lt;'Instrumentos Financeiros'!$F$63+'Instrumentos Financeiros'!$F$11+1),PMT(((1+'Instrumentos Financeiros'!$H$43)^(1/12)-1),$F$11,-$I$63),0)</f>
        <v>0</v>
      </c>
      <c r="U422" s="1312">
        <f t="shared" si="275"/>
        <v>0</v>
      </c>
      <c r="V422" s="1312">
        <f>W421*((1+'Instrumentos Financeiros'!$H$43)^(1/12)-1)</f>
        <v>0</v>
      </c>
      <c r="W422" s="1312">
        <f t="shared" si="293"/>
        <v>0</v>
      </c>
      <c r="X422" s="1312">
        <f>IF(AND(C422&gt;$F$64,'Instrumentos Financeiros'!C422&lt;'Instrumentos Financeiros'!$F$64+'Instrumentos Financeiros'!$F$11+1),PMT(((1+'Instrumentos Financeiros'!$H$43)^(1/12)-1),$F$11,-$I$64),0)</f>
        <v>0</v>
      </c>
      <c r="Y422" s="1312">
        <f t="shared" si="276"/>
        <v>0</v>
      </c>
      <c r="Z422" s="1312">
        <f>AA421*((1+'Instrumentos Financeiros'!$H$43)^(1/12)-1)</f>
        <v>0</v>
      </c>
      <c r="AA422" s="1312">
        <f t="shared" si="294"/>
        <v>0</v>
      </c>
      <c r="AB422" s="1312">
        <f>IF(AND(C422&gt;$F$65,'Instrumentos Financeiros'!C422&lt;'Instrumentos Financeiros'!$F$65+'Instrumentos Financeiros'!$F$11+1),PMT(((1+'Instrumentos Financeiros'!$H$43)^(1/12)-1),$F$11,-$I$65),0)</f>
        <v>0</v>
      </c>
      <c r="AC422" s="1312">
        <f t="shared" si="277"/>
        <v>3.0105072303954888E-11</v>
      </c>
      <c r="AD422" s="1312">
        <f>AE421*((1+'Instrumentos Financeiros'!$H$43)^(1/12)-1)</f>
        <v>-3.0105072303954888E-11</v>
      </c>
      <c r="AE422" s="1312">
        <f t="shared" si="295"/>
        <v>-6.9924078269600743E-9</v>
      </c>
      <c r="AF422" s="1312">
        <f>IF(AND(C422&gt;$F$66,'Instrumentos Financeiros'!C422&lt;'Instrumentos Financeiros'!$F$66+'Instrumentos Financeiros'!$F$11+1),PMT(((1+'Instrumentos Financeiros'!$I$43)^(1/12)-1),$F$11,-$I$66),0)</f>
        <v>0</v>
      </c>
      <c r="AG422" s="1312">
        <f t="shared" si="278"/>
        <v>2.9717901408446831E-11</v>
      </c>
      <c r="AH422" s="1312">
        <f>AI421*((1+'Instrumentos Financeiros'!$I$43)^(1/12)-1)</f>
        <v>-2.9717901408446831E-11</v>
      </c>
      <c r="AI422" s="1312">
        <f t="shared" si="296"/>
        <v>-6.9024808946216318E-9</v>
      </c>
      <c r="AJ422" s="1312">
        <f>IF(AND(C422&gt;$F$67,'Instrumentos Financeiros'!C422&lt;'Instrumentos Financeiros'!$F$67+'Instrumentos Financeiros'!$F$11+1),PMT(((1+'Instrumentos Financeiros'!$I$43)^(1/12)-1),$F$11,-$I$67),0)</f>
        <v>0</v>
      </c>
      <c r="AK422" s="1312">
        <f t="shared" si="279"/>
        <v>2.9335709783568488E-11</v>
      </c>
      <c r="AL422" s="1312">
        <f>AM421*((1+'Instrumentos Financeiros'!$I$43)^(1/12)-1)</f>
        <v>-2.9335709783568488E-11</v>
      </c>
      <c r="AM422" s="1312">
        <f t="shared" si="297"/>
        <v>-6.813710481376458E-9</v>
      </c>
      <c r="AN422" s="1312">
        <f>IF(AND(C422&gt;$F$68,'Instrumentos Financeiros'!C422&lt;'Instrumentos Financeiros'!$F$68+'Instrumentos Financeiros'!$F$11+1),PMT(((1+'Instrumentos Financeiros'!$I$43)^(1/12)-1),$F$11,-$I$68),0)</f>
        <v>0</v>
      </c>
      <c r="AO422" s="1312">
        <f t="shared" si="280"/>
        <v>2.895843339264693E-11</v>
      </c>
      <c r="AP422" s="1312">
        <f>AQ421*((1+'Instrumentos Financeiros'!$I$43)^(1/12)-1)</f>
        <v>-2.895843339264693E-11</v>
      </c>
      <c r="AQ422" s="1312">
        <f t="shared" si="298"/>
        <v>-6.7260817136335352E-9</v>
      </c>
      <c r="AR422" s="1312">
        <f>IF(AND(C422&gt;$F$69,'Instrumentos Financeiros'!C422&lt;'Instrumentos Financeiros'!$F$69+'Instrumentos Financeiros'!$F$11+1),PMT(((1+'Instrumentos Financeiros'!$I$43)^(1/12)-1),$F$11,-$I$69),0)</f>
        <v>0</v>
      </c>
      <c r="AS422" s="1312">
        <f t="shared" si="281"/>
        <v>0</v>
      </c>
      <c r="AT422" s="1312">
        <f>AU421*((1+'Instrumentos Financeiros'!$I$43)^(1/12)-1)</f>
        <v>0</v>
      </c>
      <c r="AU422" s="1312">
        <f t="shared" si="299"/>
        <v>0</v>
      </c>
      <c r="AV422" s="1312">
        <f>IF(AND(C422&gt;$F$70,'Instrumentos Financeiros'!C422&lt;'Instrumentos Financeiros'!$F$70+'Instrumentos Financeiros'!$F$11+1),PMT(((1+'Instrumentos Financeiros'!$J$43)^(1/12)-1),$F$11,-$I$70),0)</f>
        <v>0</v>
      </c>
      <c r="AW422" s="1312">
        <f t="shared" si="282"/>
        <v>0</v>
      </c>
      <c r="AX422" s="1312">
        <f>AY421*((1+'Instrumentos Financeiros'!$J$43)^(1/12)-1)</f>
        <v>0</v>
      </c>
      <c r="AY422" s="1312">
        <f t="shared" si="300"/>
        <v>0</v>
      </c>
      <c r="AZ422" s="1312">
        <f>IF(AND(C422&gt;$F$71,'Instrumentos Financeiros'!C422&lt;'Instrumentos Financeiros'!$F$71+'Instrumentos Financeiros'!$F$11+1),PMT(((1+'Instrumentos Financeiros'!$J$43)^(1/12)-1),$F$11,-$I$71),0)</f>
        <v>0</v>
      </c>
      <c r="BA422" s="1312">
        <f t="shared" si="283"/>
        <v>0</v>
      </c>
      <c r="BB422" s="1312">
        <f>BC421*((1+'Instrumentos Financeiros'!$J$43)^(1/12)-1)</f>
        <v>0</v>
      </c>
      <c r="BC422" s="1312">
        <f t="shared" si="301"/>
        <v>0</v>
      </c>
      <c r="BD422" s="1312">
        <f>IF(AND(C422&gt;$F$72,'Instrumentos Financeiros'!C422&lt;'Instrumentos Financeiros'!$F$72+'Instrumentos Financeiros'!$F$11+1),PMT(((1+'Instrumentos Financeiros'!$J$43)^(1/12)-1),$F$11,-'Instrumentos Financeiros'!$G$7*$G$72),0)</f>
        <v>0</v>
      </c>
      <c r="BE422" s="1312">
        <f t="shared" si="284"/>
        <v>0</v>
      </c>
      <c r="BF422" s="1312">
        <f>BG421*((1+'Instrumentos Financeiros'!$J$43)^(1/12)-1)</f>
        <v>0</v>
      </c>
      <c r="BG422" s="1312">
        <f t="shared" si="302"/>
        <v>0</v>
      </c>
      <c r="BH422" s="1312">
        <f>IF(AND(C422&gt;$F$73,'Instrumentos Financeiros'!C422&lt;'Instrumentos Financeiros'!$F$73+'Instrumentos Financeiros'!$F$11+1),PMT(((1+'Instrumentos Financeiros'!$J$43)^(1/12)-1),$F$11,-$I$73),0)</f>
        <v>0</v>
      </c>
      <c r="BI422" s="1312">
        <f t="shared" si="285"/>
        <v>0</v>
      </c>
      <c r="BJ422" s="1312">
        <f>BK421*((1+'Instrumentos Financeiros'!$J$43)^(1/12)-1)</f>
        <v>0</v>
      </c>
      <c r="BK422" s="1312">
        <f t="shared" si="303"/>
        <v>0</v>
      </c>
      <c r="BL422" s="1312">
        <f>IF(AND(C422&gt;$F$77,'Instrumentos Financeiros'!C422&lt;'Instrumentos Financeiros'!$F$77+'Instrumentos Financeiros'!$F$12+1),PMT(((1+'Instrumentos Financeiros'!$K$43)^(1/12)-1),$F$12,-$I$77),0)</f>
        <v>0</v>
      </c>
      <c r="BM422" s="1312">
        <f t="shared" si="304"/>
        <v>8.1825482093681848E-14</v>
      </c>
      <c r="BN422" s="1312">
        <f>BO421*((1+'Instrumentos Financeiros'!$K$43)^(1/12)-1)</f>
        <v>-8.1825482093681848E-14</v>
      </c>
      <c r="BO422" s="1312">
        <f t="shared" si="305"/>
        <v>-1.9005340218414901E-11</v>
      </c>
      <c r="BP422" s="1312">
        <f>IF(AND(C422&gt;$F$78,'Instrumentos Financeiros'!C422&lt;'Instrumentos Financeiros'!$F$78+'Instrumentos Financeiros'!$F$12+1),PMT(((1+'Instrumentos Financeiros'!$L$43)^(1/12)-1),$F$12,-$I$78),0)</f>
        <v>0</v>
      </c>
      <c r="BQ422" s="1312">
        <f t="shared" si="306"/>
        <v>8.0773152942709248E-14</v>
      </c>
      <c r="BR422" s="1312">
        <f>BS421*((1+'Instrumentos Financeiros'!$L$43)^(1/12)-1)</f>
        <v>-8.0773152942709248E-14</v>
      </c>
      <c r="BS422" s="1312">
        <f t="shared" si="307"/>
        <v>-1.8760919128257532E-11</v>
      </c>
      <c r="BT422" s="1312">
        <f>IF(AND(C422&gt;$F$79,'Instrumentos Financeiros'!C422&lt;'Instrumentos Financeiros'!$F$79+'Instrumentos Financeiros'!$F$12+1),PMT(((1+'Instrumentos Financeiros'!$L$43)^(1/12)-1),$F$12,-$I$79),0)</f>
        <v>0</v>
      </c>
      <c r="BU422" s="1312">
        <f t="shared" si="308"/>
        <v>7.9734357432036143E-14</v>
      </c>
      <c r="BV422" s="1312">
        <f>BW421*((1+'Instrumentos Financeiros'!$L$43)^(1/12)-1)</f>
        <v>-7.9734357432036143E-14</v>
      </c>
      <c r="BW422" s="1312">
        <f t="shared" si="309"/>
        <v>-1.851964145298394E-11</v>
      </c>
      <c r="BX422" s="1312">
        <f>IF(AND(C422&gt;$F$80,'Instrumentos Financeiros'!C422&lt;'Instrumentos Financeiros'!$F$80+'Instrumentos Financeiros'!$F$12+1),PMT(((1+'Instrumentos Financeiros'!$L$43)^(1/12)-1),$F$12,-$I$80),0)</f>
        <v>0</v>
      </c>
      <c r="BY422" s="1312">
        <f t="shared" si="310"/>
        <v>7.870892151020759E-14</v>
      </c>
      <c r="BZ422" s="1312">
        <f>CA421*((1+'Instrumentos Financeiros'!$L$43)^(1/12)-1)</f>
        <v>-7.870892151020759E-14</v>
      </c>
      <c r="CA422" s="1312">
        <f t="shared" si="311"/>
        <v>-1.8281466766225324E-11</v>
      </c>
      <c r="CB422" s="1312">
        <f>IF(AND(C422&gt;$F$83,'Instrumentos Financeiros'!C422&lt;'Instrumentos Financeiros'!$F$83+'Instrumentos Financeiros'!$F$13+1),PMT(((1+'Instrumentos Financeiros'!$P$43)^(1/12)-1),$F$13,-$I$83),0)</f>
        <v>30503.390100238979</v>
      </c>
      <c r="CC422" s="1312">
        <f t="shared" si="312"/>
        <v>27981.513101023342</v>
      </c>
      <c r="CD422" s="1312">
        <f>CE421*((1+'Instrumentos Financeiros'!$P$43)^(1/12)-1)</f>
        <v>2521.8769992156381</v>
      </c>
      <c r="CE422" s="1312">
        <f t="shared" si="313"/>
        <v>555244.82833634131</v>
      </c>
      <c r="CF422" s="1312">
        <f>IF(AND(C422&gt;$F$84,'Instrumentos Financeiros'!C422&lt;'Instrumentos Financeiros'!$F$84+'Instrumentos Financeiros'!$F$13+1),PMT(((1+'Instrumentos Financeiros'!$Q$43)^(1/12)-1),$F$13,-$I$84),0)</f>
        <v>30503.390100238979</v>
      </c>
      <c r="CG422" s="1312">
        <f t="shared" si="314"/>
        <v>27621.652564047636</v>
      </c>
      <c r="CH422" s="1312">
        <f>CI421*((1+'Instrumentos Financeiros'!$Q$43)^(1/12)-1)</f>
        <v>2881.7375361913446</v>
      </c>
      <c r="CI422" s="1312">
        <f t="shared" si="315"/>
        <v>638828.47198141657</v>
      </c>
      <c r="CJ422" s="1312">
        <f>IF(AND(C422&gt;$F$85,'Instrumentos Financeiros'!C422&lt;'Instrumentos Financeiros'!$F$85+'Instrumentos Financeiros'!$F$13+1),PMT(((1+'Instrumentos Financeiros'!$Q$43)^(1/12)-1),$F$13,-$I$85),0)</f>
        <v>30503.390100238979</v>
      </c>
      <c r="CK422" s="1312">
        <f t="shared" si="316"/>
        <v>27266.420068650841</v>
      </c>
      <c r="CL422" s="1312">
        <f>CM421*((1+'Instrumentos Financeiros'!$Q$43)^(1/12)-1)</f>
        <v>3236.9700315881387</v>
      </c>
      <c r="CM422" s="1312">
        <f t="shared" si="317"/>
        <v>721337.17536947608</v>
      </c>
      <c r="CN422" s="1312">
        <f>IF(AND(C422&gt;$F$86,'Instrumentos Financeiros'!C422&lt;'Instrumentos Financeiros'!$F$86+'Instrumentos Financeiros'!$F$13+1),PMT(((1+'Instrumentos Financeiros'!$Q$43)^(1/12)-1),$F$13,-$I$86),0)</f>
        <v>30503.390100238979</v>
      </c>
      <c r="CO422" s="1312">
        <f t="shared" si="318"/>
        <v>26915.756095195058</v>
      </c>
      <c r="CP422" s="1312">
        <f>CQ421*((1+'Instrumentos Financeiros'!$Q$43)^(1/12)-1)</f>
        <v>3587.6340050439217</v>
      </c>
      <c r="CQ422" s="1312">
        <f t="shared" si="319"/>
        <v>802784.76293441351</v>
      </c>
      <c r="CR422" s="1312">
        <f t="shared" si="288"/>
        <v>122013.56040095592</v>
      </c>
      <c r="CS422" s="1312">
        <f t="shared" si="288"/>
        <v>109785.34182891698</v>
      </c>
      <c r="CT422" s="1312">
        <f t="shared" si="288"/>
        <v>12228.218572038935</v>
      </c>
      <c r="CU422" s="1312">
        <f t="shared" si="288"/>
        <v>2718195.2386216233</v>
      </c>
    </row>
    <row r="423" spans="3:99" x14ac:dyDescent="0.35">
      <c r="C423" s="1315">
        <f t="shared" si="289"/>
        <v>330</v>
      </c>
      <c r="D423" s="1312">
        <f>IF(AND(C423&gt;$F$59,'Instrumentos Financeiros'!C423&lt;'Instrumentos Financeiros'!$F$59+'Instrumentos Financeiros'!$F$11+1),PMT(((1+'Instrumentos Financeiros'!$G$43)^(1/12)-1),$F$11,-$I$59),0)</f>
        <v>0</v>
      </c>
      <c r="E423" s="1312">
        <f t="shared" si="286"/>
        <v>-1.2244024466874444E-11</v>
      </c>
      <c r="F423" s="1312">
        <f>G422*((1+'Instrumentos Financeiros'!$G$43)^(1/12)-1)</f>
        <v>1.2244024466874444E-11</v>
      </c>
      <c r="G423" s="1312">
        <f t="shared" si="320"/>
        <v>3.0119066117099877E-9</v>
      </c>
      <c r="H423" s="1312">
        <f>IF(AND(C423&gt;$F$60,'Instrumentos Financeiros'!C423&lt;'Instrumentos Financeiros'!$F$60+'Instrumentos Financeiros'!$F$11+1),PMT(((1+'Instrumentos Financeiros'!$G$43)^(1/12)-1),$F$11,-$I$60),0)</f>
        <v>0</v>
      </c>
      <c r="I423" s="1312">
        <f t="shared" si="272"/>
        <v>0</v>
      </c>
      <c r="J423" s="1312">
        <f>K422*((1+'Instrumentos Financeiros'!$G$43)^(1/12)-1)</f>
        <v>0</v>
      </c>
      <c r="K423" s="1312">
        <f t="shared" si="290"/>
        <v>0</v>
      </c>
      <c r="L423" s="1312">
        <f>IF(AND(C423&gt;$F$61,'Instrumentos Financeiros'!C423&lt;'Instrumentos Financeiros'!$F$61+'Instrumentos Financeiros'!$F$11+1),PMT(((1+'Instrumentos Financeiros'!$G$43)^(1/12)-1),$F$11,-$I$61),0)</f>
        <v>0</v>
      </c>
      <c r="M423" s="1312">
        <f t="shared" si="273"/>
        <v>0</v>
      </c>
      <c r="N423" s="1312">
        <f>O422*((1+'Instrumentos Financeiros'!$G$43)^(1/12)-1)</f>
        <v>0</v>
      </c>
      <c r="O423" s="1312">
        <f t="shared" si="291"/>
        <v>0</v>
      </c>
      <c r="P423" s="1312">
        <f>IF(AND(C423&gt;$F$62,'Instrumentos Financeiros'!C423&lt;'Instrumentos Financeiros'!$F$62+'Instrumentos Financeiros'!$F$11+1),PMT(((1+'Instrumentos Financeiros'!$H$43)^(1/12)-1),$F$11,-$I$62),0)</f>
        <v>0</v>
      </c>
      <c r="Q423" s="1312">
        <f t="shared" si="274"/>
        <v>0</v>
      </c>
      <c r="R423" s="1312">
        <f>S422*((1+'Instrumentos Financeiros'!$H$43)^(1/12)-1)</f>
        <v>0</v>
      </c>
      <c r="S423" s="1312">
        <f t="shared" si="292"/>
        <v>0</v>
      </c>
      <c r="T423" s="1312">
        <f>IF(AND(C423&gt;$F$63,'Instrumentos Financeiros'!C423&lt;'Instrumentos Financeiros'!$F$63+'Instrumentos Financeiros'!$F$11+1),PMT(((1+'Instrumentos Financeiros'!$H$43)^(1/12)-1),$F$11,-$I$63),0)</f>
        <v>0</v>
      </c>
      <c r="U423" s="1312">
        <f t="shared" si="275"/>
        <v>0</v>
      </c>
      <c r="V423" s="1312">
        <f>W422*((1+'Instrumentos Financeiros'!$H$43)^(1/12)-1)</f>
        <v>0</v>
      </c>
      <c r="W423" s="1312">
        <f t="shared" si="293"/>
        <v>0</v>
      </c>
      <c r="X423" s="1312">
        <f>IF(AND(C423&gt;$F$64,'Instrumentos Financeiros'!C423&lt;'Instrumentos Financeiros'!$F$64+'Instrumentos Financeiros'!$F$11+1),PMT(((1+'Instrumentos Financeiros'!$H$43)^(1/12)-1),$F$11,-$I$64),0)</f>
        <v>0</v>
      </c>
      <c r="Y423" s="1312">
        <f t="shared" si="276"/>
        <v>0</v>
      </c>
      <c r="Z423" s="1312">
        <f>AA422*((1+'Instrumentos Financeiros'!$H$43)^(1/12)-1)</f>
        <v>0</v>
      </c>
      <c r="AA423" s="1312">
        <f t="shared" si="294"/>
        <v>0</v>
      </c>
      <c r="AB423" s="1312">
        <f>IF(AND(C423&gt;$F$65,'Instrumentos Financeiros'!C423&lt;'Instrumentos Financeiros'!$F$65+'Instrumentos Financeiros'!$F$11+1),PMT(((1+'Instrumentos Financeiros'!$H$43)^(1/12)-1),$F$11,-$I$65),0)</f>
        <v>0</v>
      </c>
      <c r="AC423" s="1312">
        <f t="shared" si="277"/>
        <v>3.0235246961731762E-11</v>
      </c>
      <c r="AD423" s="1312">
        <f>AE422*((1+'Instrumentos Financeiros'!$H$43)^(1/12)-1)</f>
        <v>-3.0235246961731762E-11</v>
      </c>
      <c r="AE423" s="1312">
        <f t="shared" si="295"/>
        <v>-7.0226430739218059E-9</v>
      </c>
      <c r="AF423" s="1312">
        <f>IF(AND(C423&gt;$F$66,'Instrumentos Financeiros'!C423&lt;'Instrumentos Financeiros'!$F$66+'Instrumentos Financeiros'!$F$11+1),PMT(((1+'Instrumentos Financeiros'!$I$43)^(1/12)-1),$F$11,-$I$66),0)</f>
        <v>0</v>
      </c>
      <c r="AG423" s="1312">
        <f t="shared" si="278"/>
        <v>2.9846401935090087E-11</v>
      </c>
      <c r="AH423" s="1312">
        <f>AI422*((1+'Instrumentos Financeiros'!$I$43)^(1/12)-1)</f>
        <v>-2.9846401935090087E-11</v>
      </c>
      <c r="AI423" s="1312">
        <f t="shared" si="296"/>
        <v>-6.9323272965567215E-9</v>
      </c>
      <c r="AJ423" s="1312">
        <f>IF(AND(C423&gt;$F$67,'Instrumentos Financeiros'!C423&lt;'Instrumentos Financeiros'!$F$67+'Instrumentos Financeiros'!$F$11+1),PMT(((1+'Instrumentos Financeiros'!$I$43)^(1/12)-1),$F$11,-$I$67),0)</f>
        <v>0</v>
      </c>
      <c r="AK423" s="1312">
        <f t="shared" si="279"/>
        <v>2.9462557709498102E-11</v>
      </c>
      <c r="AL423" s="1312">
        <f>AM422*((1+'Instrumentos Financeiros'!$I$43)^(1/12)-1)</f>
        <v>-2.9462557709498102E-11</v>
      </c>
      <c r="AM423" s="1312">
        <f t="shared" si="297"/>
        <v>-6.8431730390859559E-9</v>
      </c>
      <c r="AN423" s="1312">
        <f>IF(AND(C423&gt;$F$68,'Instrumentos Financeiros'!C423&lt;'Instrumentos Financeiros'!$F$68+'Instrumentos Financeiros'!$F$11+1),PMT(((1+'Instrumentos Financeiros'!$I$43)^(1/12)-1),$F$11,-$I$68),0)</f>
        <v>0</v>
      </c>
      <c r="AO423" s="1312">
        <f t="shared" si="280"/>
        <v>2.9083649971387614E-11</v>
      </c>
      <c r="AP423" s="1312">
        <f>AQ422*((1+'Instrumentos Financeiros'!$I$43)^(1/12)-1)</f>
        <v>-2.9083649971387614E-11</v>
      </c>
      <c r="AQ423" s="1312">
        <f t="shared" si="298"/>
        <v>-6.755165363604923E-9</v>
      </c>
      <c r="AR423" s="1312">
        <f>IF(AND(C423&gt;$F$69,'Instrumentos Financeiros'!C423&lt;'Instrumentos Financeiros'!$F$69+'Instrumentos Financeiros'!$F$11+1),PMT(((1+'Instrumentos Financeiros'!$I$43)^(1/12)-1),$F$11,-$I$69),0)</f>
        <v>0</v>
      </c>
      <c r="AS423" s="1312">
        <f t="shared" si="281"/>
        <v>0</v>
      </c>
      <c r="AT423" s="1312">
        <f>AU422*((1+'Instrumentos Financeiros'!$I$43)^(1/12)-1)</f>
        <v>0</v>
      </c>
      <c r="AU423" s="1312">
        <f t="shared" si="299"/>
        <v>0</v>
      </c>
      <c r="AV423" s="1312">
        <f>IF(AND(C423&gt;$F$70,'Instrumentos Financeiros'!C423&lt;'Instrumentos Financeiros'!$F$70+'Instrumentos Financeiros'!$F$11+1),PMT(((1+'Instrumentos Financeiros'!$J$43)^(1/12)-1),$F$11,-$I$70),0)</f>
        <v>0</v>
      </c>
      <c r="AW423" s="1312">
        <f t="shared" si="282"/>
        <v>0</v>
      </c>
      <c r="AX423" s="1312">
        <f>AY422*((1+'Instrumentos Financeiros'!$J$43)^(1/12)-1)</f>
        <v>0</v>
      </c>
      <c r="AY423" s="1312">
        <f t="shared" si="300"/>
        <v>0</v>
      </c>
      <c r="AZ423" s="1312">
        <f>IF(AND(C423&gt;$F$71,'Instrumentos Financeiros'!C423&lt;'Instrumentos Financeiros'!$F$71+'Instrumentos Financeiros'!$F$11+1),PMT(((1+'Instrumentos Financeiros'!$J$43)^(1/12)-1),$F$11,-$I$71),0)</f>
        <v>0</v>
      </c>
      <c r="BA423" s="1312">
        <f t="shared" si="283"/>
        <v>0</v>
      </c>
      <c r="BB423" s="1312">
        <f>BC422*((1+'Instrumentos Financeiros'!$J$43)^(1/12)-1)</f>
        <v>0</v>
      </c>
      <c r="BC423" s="1312">
        <f t="shared" si="301"/>
        <v>0</v>
      </c>
      <c r="BD423" s="1312">
        <f>IF(AND(C423&gt;$F$72,'Instrumentos Financeiros'!C423&lt;'Instrumentos Financeiros'!$F$72+'Instrumentos Financeiros'!$F$11+1),PMT(((1+'Instrumentos Financeiros'!$J$43)^(1/12)-1),$F$11,-'Instrumentos Financeiros'!$G$7*$G$72),0)</f>
        <v>0</v>
      </c>
      <c r="BE423" s="1312">
        <f t="shared" si="284"/>
        <v>0</v>
      </c>
      <c r="BF423" s="1312">
        <f>BG422*((1+'Instrumentos Financeiros'!$J$43)^(1/12)-1)</f>
        <v>0</v>
      </c>
      <c r="BG423" s="1312">
        <f t="shared" si="302"/>
        <v>0</v>
      </c>
      <c r="BH423" s="1312">
        <f>IF(AND(C423&gt;$F$73,'Instrumentos Financeiros'!C423&lt;'Instrumentos Financeiros'!$F$73+'Instrumentos Financeiros'!$F$11+1),PMT(((1+'Instrumentos Financeiros'!$J$43)^(1/12)-1),$F$11,-$I$73),0)</f>
        <v>0</v>
      </c>
      <c r="BI423" s="1312">
        <f t="shared" si="285"/>
        <v>0</v>
      </c>
      <c r="BJ423" s="1312">
        <f>BK422*((1+'Instrumentos Financeiros'!$J$43)^(1/12)-1)</f>
        <v>0</v>
      </c>
      <c r="BK423" s="1312">
        <f t="shared" si="303"/>
        <v>0</v>
      </c>
      <c r="BL423" s="1312">
        <f>IF(AND(C423&gt;$F$77,'Instrumentos Financeiros'!C423&lt;'Instrumentos Financeiros'!$F$77+'Instrumentos Financeiros'!$F$12+1),PMT(((1+'Instrumentos Financeiros'!$K$43)^(1/12)-1),$F$12,-$I$77),0)</f>
        <v>0</v>
      </c>
      <c r="BM423" s="1312">
        <f t="shared" si="304"/>
        <v>8.2179296361969568E-14</v>
      </c>
      <c r="BN423" s="1312">
        <f>BO422*((1+'Instrumentos Financeiros'!$K$43)^(1/12)-1)</f>
        <v>-8.2179296361969568E-14</v>
      </c>
      <c r="BO423" s="1312">
        <f t="shared" si="305"/>
        <v>-1.9087519514776869E-11</v>
      </c>
      <c r="BP423" s="1312">
        <f>IF(AND(C423&gt;$F$78,'Instrumentos Financeiros'!C423&lt;'Instrumentos Financeiros'!$F$78+'Instrumentos Financeiros'!$F$12+1),PMT(((1+'Instrumentos Financeiros'!$L$43)^(1/12)-1),$F$12,-$I$78),0)</f>
        <v>0</v>
      </c>
      <c r="BQ423" s="1312">
        <f t="shared" si="306"/>
        <v>8.1122416928383016E-14</v>
      </c>
      <c r="BR423" s="1312">
        <f>BS422*((1+'Instrumentos Financeiros'!$L$43)^(1/12)-1)</f>
        <v>-8.1122416928383016E-14</v>
      </c>
      <c r="BS423" s="1312">
        <f t="shared" si="307"/>
        <v>-1.8842041545185916E-11</v>
      </c>
      <c r="BT423" s="1312">
        <f>IF(AND(C423&gt;$F$79,'Instrumentos Financeiros'!C423&lt;'Instrumentos Financeiros'!$F$79+'Instrumentos Financeiros'!$F$12+1),PMT(((1+'Instrumentos Financeiros'!$L$43)^(1/12)-1),$F$12,-$I$79),0)</f>
        <v>0</v>
      </c>
      <c r="BU423" s="1312">
        <f t="shared" si="308"/>
        <v>8.0079129654702774E-14</v>
      </c>
      <c r="BV423" s="1312">
        <f>BW422*((1+'Instrumentos Financeiros'!$L$43)^(1/12)-1)</f>
        <v>-8.0079129654702774E-14</v>
      </c>
      <c r="BW423" s="1312">
        <f t="shared" si="309"/>
        <v>-1.8599720582638642E-11</v>
      </c>
      <c r="BX423" s="1312">
        <f>IF(AND(C423&gt;$F$80,'Instrumentos Financeiros'!C423&lt;'Instrumentos Financeiros'!$F$80+'Instrumentos Financeiros'!$F$12+1),PMT(((1+'Instrumentos Financeiros'!$L$43)^(1/12)-1),$F$12,-$I$80),0)</f>
        <v>0</v>
      </c>
      <c r="BY423" s="1312">
        <f t="shared" si="310"/>
        <v>7.9049259736873535E-14</v>
      </c>
      <c r="BZ423" s="1312">
        <f>CA422*((1+'Instrumentos Financeiros'!$L$43)^(1/12)-1)</f>
        <v>-7.9049259736873535E-14</v>
      </c>
      <c r="CA423" s="1312">
        <f t="shared" si="311"/>
        <v>-1.8360516025962197E-11</v>
      </c>
      <c r="CB423" s="1312">
        <f>IF(AND(C423&gt;$F$83,'Instrumentos Financeiros'!C423&lt;'Instrumentos Financeiros'!$F$83+'Instrumentos Financeiros'!$F$13+1),PMT(((1+'Instrumentos Financeiros'!$P$43)^(1/12)-1),$F$13,-$I$83),0)</f>
        <v>30503.390100238979</v>
      </c>
      <c r="CC423" s="1312">
        <f t="shared" si="312"/>
        <v>28102.505465872317</v>
      </c>
      <c r="CD423" s="1312">
        <f>CE422*((1+'Instrumentos Financeiros'!$P$43)^(1/12)-1)</f>
        <v>2400.8846343666637</v>
      </c>
      <c r="CE423" s="1312">
        <f t="shared" si="313"/>
        <v>527142.32287046895</v>
      </c>
      <c r="CF423" s="1312">
        <f>IF(AND(C423&gt;$F$84,'Instrumentos Financeiros'!C423&lt;'Instrumentos Financeiros'!$F$84+'Instrumentos Financeiros'!$F$13+1),PMT(((1+'Instrumentos Financeiros'!$Q$43)^(1/12)-1),$F$13,-$I$84),0)</f>
        <v>30503.390100238979</v>
      </c>
      <c r="CG423" s="1312">
        <f t="shared" si="314"/>
        <v>27741.088888048234</v>
      </c>
      <c r="CH423" s="1312">
        <f>CI422*((1+'Instrumentos Financeiros'!$Q$43)^(1/12)-1)</f>
        <v>2762.3012121907454</v>
      </c>
      <c r="CI423" s="1312">
        <f t="shared" si="315"/>
        <v>611087.38309336838</v>
      </c>
      <c r="CJ423" s="1312">
        <f>IF(AND(C423&gt;$F$85,'Instrumentos Financeiros'!C423&lt;'Instrumentos Financeiros'!$F$85+'Instrumentos Financeiros'!$F$13+1),PMT(((1+'Instrumentos Financeiros'!$Q$43)^(1/12)-1),$F$13,-$I$85),0)</f>
        <v>30503.390100238979</v>
      </c>
      <c r="CK423" s="1312">
        <f t="shared" si="316"/>
        <v>27384.320363504838</v>
      </c>
      <c r="CL423" s="1312">
        <f>CM422*((1+'Instrumentos Financeiros'!$Q$43)^(1/12)-1)</f>
        <v>3119.0697367341431</v>
      </c>
      <c r="CM423" s="1312">
        <f t="shared" si="317"/>
        <v>693952.85500597127</v>
      </c>
      <c r="CN423" s="1312">
        <f>IF(AND(C423&gt;$F$86,'Instrumentos Financeiros'!C423&lt;'Instrumentos Financeiros'!$F$86+'Instrumentos Financeiros'!$F$13+1),PMT(((1+'Instrumentos Financeiros'!$Q$43)^(1/12)-1),$F$13,-$I$86),0)</f>
        <v>30503.390100238979</v>
      </c>
      <c r="CO423" s="1312">
        <f t="shared" si="318"/>
        <v>27032.140115240662</v>
      </c>
      <c r="CP423" s="1312">
        <f>CQ422*((1+'Instrumentos Financeiros'!$Q$43)^(1/12)-1)</f>
        <v>3471.2499849983178</v>
      </c>
      <c r="CQ423" s="1312">
        <f t="shared" si="319"/>
        <v>775752.6228191728</v>
      </c>
      <c r="CR423" s="1312">
        <f t="shared" si="288"/>
        <v>122013.56040095592</v>
      </c>
      <c r="CS423" s="1312">
        <f t="shared" si="288"/>
        <v>110260.05483266615</v>
      </c>
      <c r="CT423" s="1312">
        <f t="shared" si="288"/>
        <v>11753.505568289764</v>
      </c>
      <c r="CU423" s="1312">
        <f t="shared" si="288"/>
        <v>2607935.1837889566</v>
      </c>
    </row>
    <row r="424" spans="3:99" x14ac:dyDescent="0.35">
      <c r="C424" s="1315">
        <f t="shared" si="289"/>
        <v>331</v>
      </c>
      <c r="D424" s="1312">
        <f>IF(AND(C424&gt;$F$59,'Instrumentos Financeiros'!C424&lt;'Instrumentos Financeiros'!$F$59+'Instrumentos Financeiros'!$F$11+1),PMT(((1+'Instrumentos Financeiros'!$G$43)^(1/12)-1),$F$11,-$I$59),0)</f>
        <v>0</v>
      </c>
      <c r="E424" s="1312">
        <f t="shared" si="286"/>
        <v>-1.229400213295695E-11</v>
      </c>
      <c r="F424" s="1312">
        <f>G423*((1+'Instrumentos Financeiros'!$G$43)^(1/12)-1)</f>
        <v>1.229400213295695E-11</v>
      </c>
      <c r="G424" s="1312">
        <f t="shared" si="320"/>
        <v>3.0242006138429446E-9</v>
      </c>
      <c r="H424" s="1312">
        <f>IF(AND(C424&gt;$F$60,'Instrumentos Financeiros'!C424&lt;'Instrumentos Financeiros'!$F$60+'Instrumentos Financeiros'!$F$11+1),PMT(((1+'Instrumentos Financeiros'!$G$43)^(1/12)-1),$F$11,-$I$60),0)</f>
        <v>0</v>
      </c>
      <c r="I424" s="1312">
        <f t="shared" si="272"/>
        <v>0</v>
      </c>
      <c r="J424" s="1312">
        <f>K423*((1+'Instrumentos Financeiros'!$G$43)^(1/12)-1)</f>
        <v>0</v>
      </c>
      <c r="K424" s="1312">
        <f t="shared" si="290"/>
        <v>0</v>
      </c>
      <c r="L424" s="1312">
        <f>IF(AND(C424&gt;$F$61,'Instrumentos Financeiros'!C424&lt;'Instrumentos Financeiros'!$F$61+'Instrumentos Financeiros'!$F$11+1),PMT(((1+'Instrumentos Financeiros'!$G$43)^(1/12)-1),$F$11,-$I$61),0)</f>
        <v>0</v>
      </c>
      <c r="M424" s="1312">
        <f t="shared" si="273"/>
        <v>0</v>
      </c>
      <c r="N424" s="1312">
        <f>O423*((1+'Instrumentos Financeiros'!$G$43)^(1/12)-1)</f>
        <v>0</v>
      </c>
      <c r="O424" s="1312">
        <f t="shared" si="291"/>
        <v>0</v>
      </c>
      <c r="P424" s="1312">
        <f>IF(AND(C424&gt;$F$62,'Instrumentos Financeiros'!C424&lt;'Instrumentos Financeiros'!$F$62+'Instrumentos Financeiros'!$F$11+1),PMT(((1+'Instrumentos Financeiros'!$H$43)^(1/12)-1),$F$11,-$I$62),0)</f>
        <v>0</v>
      </c>
      <c r="Q424" s="1312">
        <f t="shared" si="274"/>
        <v>0</v>
      </c>
      <c r="R424" s="1312">
        <f>S423*((1+'Instrumentos Financeiros'!$H$43)^(1/12)-1)</f>
        <v>0</v>
      </c>
      <c r="S424" s="1312">
        <f t="shared" si="292"/>
        <v>0</v>
      </c>
      <c r="T424" s="1312">
        <f>IF(AND(C424&gt;$F$63,'Instrumentos Financeiros'!C424&lt;'Instrumentos Financeiros'!$F$63+'Instrumentos Financeiros'!$F$11+1),PMT(((1+'Instrumentos Financeiros'!$H$43)^(1/12)-1),$F$11,-$I$63),0)</f>
        <v>0</v>
      </c>
      <c r="U424" s="1312">
        <f t="shared" si="275"/>
        <v>0</v>
      </c>
      <c r="V424" s="1312">
        <f>W423*((1+'Instrumentos Financeiros'!$H$43)^(1/12)-1)</f>
        <v>0</v>
      </c>
      <c r="W424" s="1312">
        <f t="shared" si="293"/>
        <v>0</v>
      </c>
      <c r="X424" s="1312">
        <f>IF(AND(C424&gt;$F$64,'Instrumentos Financeiros'!C424&lt;'Instrumentos Financeiros'!$F$64+'Instrumentos Financeiros'!$F$11+1),PMT(((1+'Instrumentos Financeiros'!$H$43)^(1/12)-1),$F$11,-$I$64),0)</f>
        <v>0</v>
      </c>
      <c r="Y424" s="1312">
        <f t="shared" si="276"/>
        <v>0</v>
      </c>
      <c r="Z424" s="1312">
        <f>AA423*((1+'Instrumentos Financeiros'!$H$43)^(1/12)-1)</f>
        <v>0</v>
      </c>
      <c r="AA424" s="1312">
        <f t="shared" si="294"/>
        <v>0</v>
      </c>
      <c r="AB424" s="1312">
        <f>IF(AND(C424&gt;$F$65,'Instrumentos Financeiros'!C424&lt;'Instrumentos Financeiros'!$F$65+'Instrumentos Financeiros'!$F$11+1),PMT(((1+'Instrumentos Financeiros'!$H$43)^(1/12)-1),$F$11,-$I$65),0)</f>
        <v>0</v>
      </c>
      <c r="AC424" s="1312">
        <f t="shared" si="277"/>
        <v>3.0365984496134746E-11</v>
      </c>
      <c r="AD424" s="1312">
        <f>AE423*((1+'Instrumentos Financeiros'!$H$43)^(1/12)-1)</f>
        <v>-3.0365984496134746E-11</v>
      </c>
      <c r="AE424" s="1312">
        <f t="shared" si="295"/>
        <v>-7.0530090584179407E-9</v>
      </c>
      <c r="AF424" s="1312">
        <f>IF(AND(C424&gt;$F$66,'Instrumentos Financeiros'!C424&lt;'Instrumentos Financeiros'!$F$66+'Instrumentos Financeiros'!$F$11+1),PMT(((1+'Instrumentos Financeiros'!$I$43)^(1/12)-1),$F$11,-$I$66),0)</f>
        <v>0</v>
      </c>
      <c r="AG424" s="1312">
        <f t="shared" si="278"/>
        <v>2.997545809939835E-11</v>
      </c>
      <c r="AH424" s="1312">
        <f>AI423*((1+'Instrumentos Financeiros'!$I$43)^(1/12)-1)</f>
        <v>-2.997545809939835E-11</v>
      </c>
      <c r="AI424" s="1312">
        <f t="shared" si="296"/>
        <v>-6.9623027546561197E-9</v>
      </c>
      <c r="AJ424" s="1312">
        <f>IF(AND(C424&gt;$F$67,'Instrumentos Financeiros'!C424&lt;'Instrumentos Financeiros'!$F$67+'Instrumentos Financeiros'!$F$11+1),PMT(((1+'Instrumentos Financeiros'!$I$43)^(1/12)-1),$F$11,-$I$67),0)</f>
        <v>0</v>
      </c>
      <c r="AK424" s="1312">
        <f t="shared" si="279"/>
        <v>2.9589954127229391E-11</v>
      </c>
      <c r="AL424" s="1312">
        <f>AM423*((1+'Instrumentos Financeiros'!$I$43)^(1/12)-1)</f>
        <v>-2.9589954127229391E-11</v>
      </c>
      <c r="AM424" s="1312">
        <f t="shared" si="297"/>
        <v>-6.8727629932131852E-9</v>
      </c>
      <c r="AN424" s="1312">
        <f>IF(AND(C424&gt;$F$68,'Instrumentos Financeiros'!C424&lt;'Instrumentos Financeiros'!$F$68+'Instrumentos Financeiros'!$F$11+1),PMT(((1+'Instrumentos Financeiros'!$I$43)^(1/12)-1),$F$11,-$I$68),0)</f>
        <v>0</v>
      </c>
      <c r="AO424" s="1312">
        <f t="shared" si="280"/>
        <v>2.9209407987967116E-11</v>
      </c>
      <c r="AP424" s="1312">
        <f>AQ423*((1+'Instrumentos Financeiros'!$I$43)^(1/12)-1)</f>
        <v>-2.9209407987967116E-11</v>
      </c>
      <c r="AQ424" s="1312">
        <f t="shared" si="298"/>
        <v>-6.7843747715928899E-9</v>
      </c>
      <c r="AR424" s="1312">
        <f>IF(AND(C424&gt;$F$69,'Instrumentos Financeiros'!C424&lt;'Instrumentos Financeiros'!$F$69+'Instrumentos Financeiros'!$F$11+1),PMT(((1+'Instrumentos Financeiros'!$I$43)^(1/12)-1),$F$11,-$I$69),0)</f>
        <v>0</v>
      </c>
      <c r="AS424" s="1312">
        <f t="shared" si="281"/>
        <v>0</v>
      </c>
      <c r="AT424" s="1312">
        <f>AU423*((1+'Instrumentos Financeiros'!$I$43)^(1/12)-1)</f>
        <v>0</v>
      </c>
      <c r="AU424" s="1312">
        <f t="shared" si="299"/>
        <v>0</v>
      </c>
      <c r="AV424" s="1312">
        <f>IF(AND(C424&gt;$F$70,'Instrumentos Financeiros'!C424&lt;'Instrumentos Financeiros'!$F$70+'Instrumentos Financeiros'!$F$11+1),PMT(((1+'Instrumentos Financeiros'!$J$43)^(1/12)-1),$F$11,-$I$70),0)</f>
        <v>0</v>
      </c>
      <c r="AW424" s="1312">
        <f t="shared" si="282"/>
        <v>0</v>
      </c>
      <c r="AX424" s="1312">
        <f>AY423*((1+'Instrumentos Financeiros'!$J$43)^(1/12)-1)</f>
        <v>0</v>
      </c>
      <c r="AY424" s="1312">
        <f t="shared" si="300"/>
        <v>0</v>
      </c>
      <c r="AZ424" s="1312">
        <f>IF(AND(C424&gt;$F$71,'Instrumentos Financeiros'!C424&lt;'Instrumentos Financeiros'!$F$71+'Instrumentos Financeiros'!$F$11+1),PMT(((1+'Instrumentos Financeiros'!$J$43)^(1/12)-1),$F$11,-$I$71),0)</f>
        <v>0</v>
      </c>
      <c r="BA424" s="1312">
        <f t="shared" si="283"/>
        <v>0</v>
      </c>
      <c r="BB424" s="1312">
        <f>BC423*((1+'Instrumentos Financeiros'!$J$43)^(1/12)-1)</f>
        <v>0</v>
      </c>
      <c r="BC424" s="1312">
        <f t="shared" si="301"/>
        <v>0</v>
      </c>
      <c r="BD424" s="1312">
        <f>IF(AND(C424&gt;$F$72,'Instrumentos Financeiros'!C424&lt;'Instrumentos Financeiros'!$F$72+'Instrumentos Financeiros'!$F$11+1),PMT(((1+'Instrumentos Financeiros'!$J$43)^(1/12)-1),$F$11,-'Instrumentos Financeiros'!$G$7*$G$72),0)</f>
        <v>0</v>
      </c>
      <c r="BE424" s="1312">
        <f t="shared" si="284"/>
        <v>0</v>
      </c>
      <c r="BF424" s="1312">
        <f>BG423*((1+'Instrumentos Financeiros'!$J$43)^(1/12)-1)</f>
        <v>0</v>
      </c>
      <c r="BG424" s="1312">
        <f t="shared" si="302"/>
        <v>0</v>
      </c>
      <c r="BH424" s="1312">
        <f>IF(AND(C424&gt;$F$73,'Instrumentos Financeiros'!C424&lt;'Instrumentos Financeiros'!$F$73+'Instrumentos Financeiros'!$F$11+1),PMT(((1+'Instrumentos Financeiros'!$J$43)^(1/12)-1),$F$11,-$I$73),0)</f>
        <v>0</v>
      </c>
      <c r="BI424" s="1312">
        <f t="shared" si="285"/>
        <v>0</v>
      </c>
      <c r="BJ424" s="1312">
        <f>BK423*((1+'Instrumentos Financeiros'!$J$43)^(1/12)-1)</f>
        <v>0</v>
      </c>
      <c r="BK424" s="1312">
        <f t="shared" si="303"/>
        <v>0</v>
      </c>
      <c r="BL424" s="1312">
        <f>IF(AND(C424&gt;$F$77,'Instrumentos Financeiros'!C424&lt;'Instrumentos Financeiros'!$F$77+'Instrumentos Financeiros'!$F$12+1),PMT(((1+'Instrumentos Financeiros'!$K$43)^(1/12)-1),$F$12,-$I$77),0)</f>
        <v>0</v>
      </c>
      <c r="BM424" s="1312">
        <f t="shared" si="304"/>
        <v>8.2534640526974559E-14</v>
      </c>
      <c r="BN424" s="1312">
        <f>BO423*((1+'Instrumentos Financeiros'!$K$43)^(1/12)-1)</f>
        <v>-8.2534640526974559E-14</v>
      </c>
      <c r="BO424" s="1312">
        <f t="shared" si="305"/>
        <v>-1.9170054155303844E-11</v>
      </c>
      <c r="BP424" s="1312">
        <f>IF(AND(C424&gt;$F$78,'Instrumentos Financeiros'!C424&lt;'Instrumentos Financeiros'!$F$78+'Instrumentos Financeiros'!$F$12+1),PMT(((1+'Instrumentos Financeiros'!$L$43)^(1/12)-1),$F$12,-$I$78),0)</f>
        <v>0</v>
      </c>
      <c r="BQ424" s="1312">
        <f t="shared" si="306"/>
        <v>8.1473191135302891E-14</v>
      </c>
      <c r="BR424" s="1312">
        <f>BS423*((1+'Instrumentos Financeiros'!$L$43)^(1/12)-1)</f>
        <v>-8.1473191135302891E-14</v>
      </c>
      <c r="BS424" s="1312">
        <f t="shared" si="307"/>
        <v>-1.892351473632122E-11</v>
      </c>
      <c r="BT424" s="1312">
        <f>IF(AND(C424&gt;$F$79,'Instrumentos Financeiros'!C424&lt;'Instrumentos Financeiros'!$F$79+'Instrumentos Financeiros'!$F$12+1),PMT(((1+'Instrumentos Financeiros'!$L$43)^(1/12)-1),$F$12,-$I$79),0)</f>
        <v>0</v>
      </c>
      <c r="BU424" s="1312">
        <f t="shared" si="308"/>
        <v>8.042539267618375E-14</v>
      </c>
      <c r="BV424" s="1312">
        <f>BW423*((1+'Instrumentos Financeiros'!$L$43)^(1/12)-1)</f>
        <v>-8.042539267618375E-14</v>
      </c>
      <c r="BW424" s="1312">
        <f t="shared" si="309"/>
        <v>-1.8680145975314824E-11</v>
      </c>
      <c r="BX424" s="1312">
        <f>IF(AND(C424&gt;$F$80,'Instrumentos Financeiros'!C424&lt;'Instrumentos Financeiros'!$F$80+'Instrumentos Financeiros'!$F$12+1),PMT(((1+'Instrumentos Financeiros'!$L$43)^(1/12)-1),$F$12,-$I$80),0)</f>
        <v>0</v>
      </c>
      <c r="BY424" s="1312">
        <f t="shared" si="310"/>
        <v>7.9391069589707233E-14</v>
      </c>
      <c r="BZ424" s="1312">
        <f>CA423*((1+'Instrumentos Financeiros'!$L$43)^(1/12)-1)</f>
        <v>-7.9391069589707233E-14</v>
      </c>
      <c r="CA424" s="1312">
        <f t="shared" si="311"/>
        <v>-1.8439907095551905E-11</v>
      </c>
      <c r="CB424" s="1312">
        <f>IF(AND(C424&gt;$F$83,'Instrumentos Financeiros'!C424&lt;'Instrumentos Financeiros'!$F$83+'Instrumentos Financeiros'!$F$13+1),PMT(((1+'Instrumentos Financeiros'!$P$43)^(1/12)-1),$F$13,-$I$83),0)</f>
        <v>30503.390100238979</v>
      </c>
      <c r="CC424" s="1312">
        <f t="shared" si="312"/>
        <v>28224.021003013615</v>
      </c>
      <c r="CD424" s="1312">
        <f>CE423*((1+'Instrumentos Financeiros'!$P$43)^(1/12)-1)</f>
        <v>2279.3690972253662</v>
      </c>
      <c r="CE424" s="1312">
        <f t="shared" si="313"/>
        <v>498918.30186745536</v>
      </c>
      <c r="CF424" s="1312">
        <f>IF(AND(C424&gt;$F$84,'Instrumentos Financeiros'!C424&lt;'Instrumentos Financeiros'!$F$84+'Instrumentos Financeiros'!$F$13+1),PMT(((1+'Instrumentos Financeiros'!$Q$43)^(1/12)-1),$F$13,-$I$84),0)</f>
        <v>30503.390100238979</v>
      </c>
      <c r="CG424" s="1312">
        <f t="shared" si="314"/>
        <v>27861.041656003723</v>
      </c>
      <c r="CH424" s="1312">
        <f>CI423*((1+'Instrumentos Financeiros'!$Q$43)^(1/12)-1)</f>
        <v>2642.348444235256</v>
      </c>
      <c r="CI424" s="1312">
        <f t="shared" si="315"/>
        <v>583226.3414373647</v>
      </c>
      <c r="CJ424" s="1312">
        <f>IF(AND(C424&gt;$F$85,'Instrumentos Financeiros'!C424&lt;'Instrumentos Financeiros'!$F$85+'Instrumentos Financeiros'!$F$13+1),PMT(((1+'Instrumentos Financeiros'!$Q$43)^(1/12)-1),$F$13,-$I$85),0)</f>
        <v>30503.390100238979</v>
      </c>
      <c r="CK424" s="1312">
        <f t="shared" si="316"/>
        <v>27502.730460507104</v>
      </c>
      <c r="CL424" s="1312">
        <f>CM423*((1+'Instrumentos Financeiros'!$Q$43)^(1/12)-1)</f>
        <v>3000.6596397318772</v>
      </c>
      <c r="CM424" s="1312">
        <f t="shared" si="317"/>
        <v>666450.12454546418</v>
      </c>
      <c r="CN424" s="1312">
        <f>IF(AND(C424&gt;$F$86,'Instrumentos Financeiros'!C424&lt;'Instrumentos Financeiros'!$F$86+'Instrumentos Financeiros'!$F$13+1),PMT(((1+'Instrumentos Financeiros'!$Q$43)^(1/12)-1),$F$13,-$I$86),0)</f>
        <v>30503.390100238979</v>
      </c>
      <c r="CO424" s="1312">
        <f t="shared" si="318"/>
        <v>27149.027381045889</v>
      </c>
      <c r="CP424" s="1312">
        <f>CQ423*((1+'Instrumentos Financeiros'!$Q$43)^(1/12)-1)</f>
        <v>3354.3627191930896</v>
      </c>
      <c r="CQ424" s="1312">
        <f t="shared" si="319"/>
        <v>748603.59543812694</v>
      </c>
      <c r="CR424" s="1312">
        <f t="shared" si="288"/>
        <v>122013.56040095592</v>
      </c>
      <c r="CS424" s="1312">
        <f t="shared" si="288"/>
        <v>110736.82050057044</v>
      </c>
      <c r="CT424" s="1312">
        <f t="shared" si="288"/>
        <v>11276.739900385483</v>
      </c>
      <c r="CU424" s="1312">
        <f t="shared" si="288"/>
        <v>2497198.3632883863</v>
      </c>
    </row>
    <row r="425" spans="3:99" x14ac:dyDescent="0.35">
      <c r="C425" s="1315">
        <f t="shared" si="289"/>
        <v>332</v>
      </c>
      <c r="D425" s="1312">
        <f>IF(AND(C425&gt;$F$59,'Instrumentos Financeiros'!C425&lt;'Instrumentos Financeiros'!$F$59+'Instrumentos Financeiros'!$F$11+1),PMT(((1+'Instrumentos Financeiros'!$G$43)^(1/12)-1),$F$11,-$I$59),0)</f>
        <v>0</v>
      </c>
      <c r="E425" s="1312">
        <f t="shared" si="286"/>
        <v>-1.2344183797905499E-11</v>
      </c>
      <c r="F425" s="1312">
        <f>G424*((1+'Instrumentos Financeiros'!$G$43)^(1/12)-1)</f>
        <v>1.2344183797905499E-11</v>
      </c>
      <c r="G425" s="1312">
        <f t="shared" si="320"/>
        <v>3.0365447976408501E-9</v>
      </c>
      <c r="H425" s="1312">
        <f>IF(AND(C425&gt;$F$60,'Instrumentos Financeiros'!C425&lt;'Instrumentos Financeiros'!$F$60+'Instrumentos Financeiros'!$F$11+1),PMT(((1+'Instrumentos Financeiros'!$G$43)^(1/12)-1),$F$11,-$I$60),0)</f>
        <v>0</v>
      </c>
      <c r="I425" s="1312">
        <f t="shared" si="272"/>
        <v>0</v>
      </c>
      <c r="J425" s="1312">
        <f>K424*((1+'Instrumentos Financeiros'!$G$43)^(1/12)-1)</f>
        <v>0</v>
      </c>
      <c r="K425" s="1312">
        <f t="shared" si="290"/>
        <v>0</v>
      </c>
      <c r="L425" s="1312">
        <f>IF(AND(C425&gt;$F$61,'Instrumentos Financeiros'!C425&lt;'Instrumentos Financeiros'!$F$61+'Instrumentos Financeiros'!$F$11+1),PMT(((1+'Instrumentos Financeiros'!$G$43)^(1/12)-1),$F$11,-$I$61),0)</f>
        <v>0</v>
      </c>
      <c r="M425" s="1312">
        <f t="shared" si="273"/>
        <v>0</v>
      </c>
      <c r="N425" s="1312">
        <f>O424*((1+'Instrumentos Financeiros'!$G$43)^(1/12)-1)</f>
        <v>0</v>
      </c>
      <c r="O425" s="1312">
        <f t="shared" si="291"/>
        <v>0</v>
      </c>
      <c r="P425" s="1312">
        <f>IF(AND(C425&gt;$F$62,'Instrumentos Financeiros'!C425&lt;'Instrumentos Financeiros'!$F$62+'Instrumentos Financeiros'!$F$11+1),PMT(((1+'Instrumentos Financeiros'!$H$43)^(1/12)-1),$F$11,-$I$62),0)</f>
        <v>0</v>
      </c>
      <c r="Q425" s="1312">
        <f t="shared" si="274"/>
        <v>0</v>
      </c>
      <c r="R425" s="1312">
        <f>S424*((1+'Instrumentos Financeiros'!$H$43)^(1/12)-1)</f>
        <v>0</v>
      </c>
      <c r="S425" s="1312">
        <f t="shared" si="292"/>
        <v>0</v>
      </c>
      <c r="T425" s="1312">
        <f>IF(AND(C425&gt;$F$63,'Instrumentos Financeiros'!C425&lt;'Instrumentos Financeiros'!$F$63+'Instrumentos Financeiros'!$F$11+1),PMT(((1+'Instrumentos Financeiros'!$H$43)^(1/12)-1),$F$11,-$I$63),0)</f>
        <v>0</v>
      </c>
      <c r="U425" s="1312">
        <f t="shared" si="275"/>
        <v>0</v>
      </c>
      <c r="V425" s="1312">
        <f>W424*((1+'Instrumentos Financeiros'!$H$43)^(1/12)-1)</f>
        <v>0</v>
      </c>
      <c r="W425" s="1312">
        <f t="shared" si="293"/>
        <v>0</v>
      </c>
      <c r="X425" s="1312">
        <f>IF(AND(C425&gt;$F$64,'Instrumentos Financeiros'!C425&lt;'Instrumentos Financeiros'!$F$64+'Instrumentos Financeiros'!$F$11+1),PMT(((1+'Instrumentos Financeiros'!$H$43)^(1/12)-1),$F$11,-$I$64),0)</f>
        <v>0</v>
      </c>
      <c r="Y425" s="1312">
        <f t="shared" si="276"/>
        <v>0</v>
      </c>
      <c r="Z425" s="1312">
        <f>AA424*((1+'Instrumentos Financeiros'!$H$43)^(1/12)-1)</f>
        <v>0</v>
      </c>
      <c r="AA425" s="1312">
        <f t="shared" si="294"/>
        <v>0</v>
      </c>
      <c r="AB425" s="1312">
        <f>IF(AND(C425&gt;$F$65,'Instrumentos Financeiros'!C425&lt;'Instrumentos Financeiros'!$F$65+'Instrumentos Financeiros'!$F$11+1),PMT(((1+'Instrumentos Financeiros'!$H$43)^(1/12)-1),$F$11,-$I$65),0)</f>
        <v>0</v>
      </c>
      <c r="AC425" s="1312">
        <f t="shared" si="277"/>
        <v>3.0497287341048456E-11</v>
      </c>
      <c r="AD425" s="1312">
        <f>AE424*((1+'Instrumentos Financeiros'!$H$43)^(1/12)-1)</f>
        <v>-3.0497287341048456E-11</v>
      </c>
      <c r="AE425" s="1312">
        <f t="shared" si="295"/>
        <v>-7.0835063457589893E-9</v>
      </c>
      <c r="AF425" s="1312">
        <f>IF(AND(C425&gt;$F$66,'Instrumentos Financeiros'!C425&lt;'Instrumentos Financeiros'!$F$66+'Instrumentos Financeiros'!$F$11+1),PMT(((1+'Instrumentos Financeiros'!$I$43)^(1/12)-1),$F$11,-$I$66),0)</f>
        <v>0</v>
      </c>
      <c r="AG425" s="1312">
        <f t="shared" si="278"/>
        <v>3.0105072303954888E-11</v>
      </c>
      <c r="AH425" s="1312">
        <f>AI424*((1+'Instrumentos Financeiros'!$I$43)^(1/12)-1)</f>
        <v>-3.0105072303954888E-11</v>
      </c>
      <c r="AI425" s="1312">
        <f t="shared" si="296"/>
        <v>-6.9924078269600743E-9</v>
      </c>
      <c r="AJ425" s="1312">
        <f>IF(AND(C425&gt;$F$67,'Instrumentos Financeiros'!C425&lt;'Instrumentos Financeiros'!$F$67+'Instrumentos Financeiros'!$F$11+1),PMT(((1+'Instrumentos Financeiros'!$I$43)^(1/12)-1),$F$11,-$I$67),0)</f>
        <v>0</v>
      </c>
      <c r="AK425" s="1312">
        <f t="shared" si="279"/>
        <v>2.9717901408446831E-11</v>
      </c>
      <c r="AL425" s="1312">
        <f>AM424*((1+'Instrumentos Financeiros'!$I$43)^(1/12)-1)</f>
        <v>-2.9717901408446831E-11</v>
      </c>
      <c r="AM425" s="1312">
        <f t="shared" si="297"/>
        <v>-6.9024808946216318E-9</v>
      </c>
      <c r="AN425" s="1312">
        <f>IF(AND(C425&gt;$F$68,'Instrumentos Financeiros'!C425&lt;'Instrumentos Financeiros'!$F$68+'Instrumentos Financeiros'!$F$11+1),PMT(((1+'Instrumentos Financeiros'!$I$43)^(1/12)-1),$F$11,-$I$68),0)</f>
        <v>0</v>
      </c>
      <c r="AO425" s="1312">
        <f t="shared" si="280"/>
        <v>2.9335709783568488E-11</v>
      </c>
      <c r="AP425" s="1312">
        <f>AQ424*((1+'Instrumentos Financeiros'!$I$43)^(1/12)-1)</f>
        <v>-2.9335709783568488E-11</v>
      </c>
      <c r="AQ425" s="1312">
        <f t="shared" si="298"/>
        <v>-6.813710481376458E-9</v>
      </c>
      <c r="AR425" s="1312">
        <f>IF(AND(C425&gt;$F$69,'Instrumentos Financeiros'!C425&lt;'Instrumentos Financeiros'!$F$69+'Instrumentos Financeiros'!$F$11+1),PMT(((1+'Instrumentos Financeiros'!$I$43)^(1/12)-1),$F$11,-$I$69),0)</f>
        <v>0</v>
      </c>
      <c r="AS425" s="1312">
        <f t="shared" si="281"/>
        <v>0</v>
      </c>
      <c r="AT425" s="1312">
        <f>AU424*((1+'Instrumentos Financeiros'!$I$43)^(1/12)-1)</f>
        <v>0</v>
      </c>
      <c r="AU425" s="1312">
        <f t="shared" si="299"/>
        <v>0</v>
      </c>
      <c r="AV425" s="1312">
        <f>IF(AND(C425&gt;$F$70,'Instrumentos Financeiros'!C425&lt;'Instrumentos Financeiros'!$F$70+'Instrumentos Financeiros'!$F$11+1),PMT(((1+'Instrumentos Financeiros'!$J$43)^(1/12)-1),$F$11,-$I$70),0)</f>
        <v>0</v>
      </c>
      <c r="AW425" s="1312">
        <f t="shared" si="282"/>
        <v>0</v>
      </c>
      <c r="AX425" s="1312">
        <f>AY424*((1+'Instrumentos Financeiros'!$J$43)^(1/12)-1)</f>
        <v>0</v>
      </c>
      <c r="AY425" s="1312">
        <f t="shared" si="300"/>
        <v>0</v>
      </c>
      <c r="AZ425" s="1312">
        <f>IF(AND(C425&gt;$F$71,'Instrumentos Financeiros'!C425&lt;'Instrumentos Financeiros'!$F$71+'Instrumentos Financeiros'!$F$11+1),PMT(((1+'Instrumentos Financeiros'!$J$43)^(1/12)-1),$F$11,-$I$71),0)</f>
        <v>0</v>
      </c>
      <c r="BA425" s="1312">
        <f t="shared" si="283"/>
        <v>0</v>
      </c>
      <c r="BB425" s="1312">
        <f>BC424*((1+'Instrumentos Financeiros'!$J$43)^(1/12)-1)</f>
        <v>0</v>
      </c>
      <c r="BC425" s="1312">
        <f t="shared" si="301"/>
        <v>0</v>
      </c>
      <c r="BD425" s="1312">
        <f>IF(AND(C425&gt;$F$72,'Instrumentos Financeiros'!C425&lt;'Instrumentos Financeiros'!$F$72+'Instrumentos Financeiros'!$F$11+1),PMT(((1+'Instrumentos Financeiros'!$J$43)^(1/12)-1),$F$11,-'Instrumentos Financeiros'!$G$7*$G$72),0)</f>
        <v>0</v>
      </c>
      <c r="BE425" s="1312">
        <f t="shared" si="284"/>
        <v>0</v>
      </c>
      <c r="BF425" s="1312">
        <f>BG424*((1+'Instrumentos Financeiros'!$J$43)^(1/12)-1)</f>
        <v>0</v>
      </c>
      <c r="BG425" s="1312">
        <f t="shared" si="302"/>
        <v>0</v>
      </c>
      <c r="BH425" s="1312">
        <f>IF(AND(C425&gt;$F$73,'Instrumentos Financeiros'!C425&lt;'Instrumentos Financeiros'!$F$73+'Instrumentos Financeiros'!$F$11+1),PMT(((1+'Instrumentos Financeiros'!$J$43)^(1/12)-1),$F$11,-$I$73),0)</f>
        <v>0</v>
      </c>
      <c r="BI425" s="1312">
        <f t="shared" si="285"/>
        <v>0</v>
      </c>
      <c r="BJ425" s="1312">
        <f>BK424*((1+'Instrumentos Financeiros'!$J$43)^(1/12)-1)</f>
        <v>0</v>
      </c>
      <c r="BK425" s="1312">
        <f t="shared" si="303"/>
        <v>0</v>
      </c>
      <c r="BL425" s="1312">
        <f>IF(AND(C425&gt;$F$77,'Instrumentos Financeiros'!C425&lt;'Instrumentos Financeiros'!$F$77+'Instrumentos Financeiros'!$F$12+1),PMT(((1+'Instrumentos Financeiros'!$K$43)^(1/12)-1),$F$12,-$I$77),0)</f>
        <v>0</v>
      </c>
      <c r="BM425" s="1312">
        <f t="shared" si="304"/>
        <v>8.2891521203986743E-14</v>
      </c>
      <c r="BN425" s="1312">
        <f>BO424*((1+'Instrumentos Financeiros'!$K$43)^(1/12)-1)</f>
        <v>-8.2891521203986743E-14</v>
      </c>
      <c r="BO425" s="1312">
        <f t="shared" si="305"/>
        <v>-1.925294567650783E-11</v>
      </c>
      <c r="BP425" s="1312">
        <f>IF(AND(C425&gt;$F$78,'Instrumentos Financeiros'!C425&lt;'Instrumentos Financeiros'!$F$78+'Instrumentos Financeiros'!$F$12+1),PMT(((1+'Instrumentos Financeiros'!$L$43)^(1/12)-1),$F$12,-$I$78),0)</f>
        <v>0</v>
      </c>
      <c r="BQ425" s="1312">
        <f t="shared" si="306"/>
        <v>8.1825482093681848E-14</v>
      </c>
      <c r="BR425" s="1312">
        <f>BS424*((1+'Instrumentos Financeiros'!$L$43)^(1/12)-1)</f>
        <v>-8.1825482093681848E-14</v>
      </c>
      <c r="BS425" s="1312">
        <f t="shared" si="307"/>
        <v>-1.9005340218414901E-11</v>
      </c>
      <c r="BT425" s="1312">
        <f>IF(AND(C425&gt;$F$79,'Instrumentos Financeiros'!C425&lt;'Instrumentos Financeiros'!$F$79+'Instrumentos Financeiros'!$F$12+1),PMT(((1+'Instrumentos Financeiros'!$L$43)^(1/12)-1),$F$12,-$I$79),0)</f>
        <v>0</v>
      </c>
      <c r="BU425" s="1312">
        <f t="shared" si="308"/>
        <v>8.0773152942709248E-14</v>
      </c>
      <c r="BV425" s="1312">
        <f>BW424*((1+'Instrumentos Financeiros'!$L$43)^(1/12)-1)</f>
        <v>-8.0773152942709248E-14</v>
      </c>
      <c r="BW425" s="1312">
        <f t="shared" si="309"/>
        <v>-1.8760919128257532E-11</v>
      </c>
      <c r="BX425" s="1312">
        <f>IF(AND(C425&gt;$F$80,'Instrumentos Financeiros'!C425&lt;'Instrumentos Financeiros'!$F$80+'Instrumentos Financeiros'!$F$12+1),PMT(((1+'Instrumentos Financeiros'!$L$43)^(1/12)-1),$F$12,-$I$80),0)</f>
        <v>0</v>
      </c>
      <c r="BY425" s="1312">
        <f t="shared" si="310"/>
        <v>7.9734357432036143E-14</v>
      </c>
      <c r="BZ425" s="1312">
        <f>CA424*((1+'Instrumentos Financeiros'!$L$43)^(1/12)-1)</f>
        <v>-7.9734357432036143E-14</v>
      </c>
      <c r="CA425" s="1312">
        <f t="shared" si="311"/>
        <v>-1.851964145298394E-11</v>
      </c>
      <c r="CB425" s="1312">
        <f>IF(AND(C425&gt;$F$83,'Instrumentos Financeiros'!C425&lt;'Instrumentos Financeiros'!$F$83+'Instrumentos Financeiros'!$F$13+1),PMT(((1+'Instrumentos Financeiros'!$P$43)^(1/12)-1),$F$13,-$I$83),0)</f>
        <v>30503.390100238979</v>
      </c>
      <c r="CC425" s="1312">
        <f t="shared" si="312"/>
        <v>28346.061974649878</v>
      </c>
      <c r="CD425" s="1312">
        <f>CE424*((1+'Instrumentos Financeiros'!$P$43)^(1/12)-1)</f>
        <v>2157.3281255891029</v>
      </c>
      <c r="CE425" s="1312">
        <f t="shared" si="313"/>
        <v>470572.23989280546</v>
      </c>
      <c r="CF425" s="1312">
        <f>IF(AND(C425&gt;$F$84,'Instrumentos Financeiros'!C425&lt;'Instrumentos Financeiros'!$F$84+'Instrumentos Financeiros'!$F$13+1),PMT(((1+'Instrumentos Financeiros'!$Q$43)^(1/12)-1),$F$13,-$I$84),0)</f>
        <v>30503.390100238979</v>
      </c>
      <c r="CG425" s="1312">
        <f t="shared" si="314"/>
        <v>27981.513101023342</v>
      </c>
      <c r="CH425" s="1312">
        <f>CI424*((1+'Instrumentos Financeiros'!$Q$43)^(1/12)-1)</f>
        <v>2521.8769992156381</v>
      </c>
      <c r="CI425" s="1312">
        <f t="shared" si="315"/>
        <v>555244.82833634131</v>
      </c>
      <c r="CJ425" s="1312">
        <f>IF(AND(C425&gt;$F$85,'Instrumentos Financeiros'!C425&lt;'Instrumentos Financeiros'!$F$85+'Instrumentos Financeiros'!$F$13+1),PMT(((1+'Instrumentos Financeiros'!$Q$43)^(1/12)-1),$F$13,-$I$85),0)</f>
        <v>30503.390100238979</v>
      </c>
      <c r="CK425" s="1312">
        <f t="shared" si="316"/>
        <v>27621.652564047636</v>
      </c>
      <c r="CL425" s="1312">
        <f>CM424*((1+'Instrumentos Financeiros'!$Q$43)^(1/12)-1)</f>
        <v>2881.7375361913446</v>
      </c>
      <c r="CM425" s="1312">
        <f t="shared" si="317"/>
        <v>638828.47198141657</v>
      </c>
      <c r="CN425" s="1312">
        <f>IF(AND(C425&gt;$F$86,'Instrumentos Financeiros'!C425&lt;'Instrumentos Financeiros'!$F$86+'Instrumentos Financeiros'!$F$13+1),PMT(((1+'Instrumentos Financeiros'!$Q$43)^(1/12)-1),$F$13,-$I$86),0)</f>
        <v>30503.390100238979</v>
      </c>
      <c r="CO425" s="1312">
        <f t="shared" si="318"/>
        <v>27266.420068650841</v>
      </c>
      <c r="CP425" s="1312">
        <f>CQ424*((1+'Instrumentos Financeiros'!$Q$43)^(1/12)-1)</f>
        <v>3236.9700315881387</v>
      </c>
      <c r="CQ425" s="1312">
        <f t="shared" si="319"/>
        <v>721337.17536947608</v>
      </c>
      <c r="CR425" s="1312">
        <f t="shared" si="288"/>
        <v>122013.56040095592</v>
      </c>
      <c r="CS425" s="1312">
        <f t="shared" si="288"/>
        <v>111215.64770837181</v>
      </c>
      <c r="CT425" s="1312">
        <f t="shared" si="288"/>
        <v>10797.912692584117</v>
      </c>
      <c r="CU425" s="1312">
        <f t="shared" si="288"/>
        <v>2385982.7155800145</v>
      </c>
    </row>
    <row r="426" spans="3:99" x14ac:dyDescent="0.35">
      <c r="C426" s="1315">
        <f t="shared" si="289"/>
        <v>333</v>
      </c>
      <c r="D426" s="1312">
        <f>IF(AND(C426&gt;$F$59,'Instrumentos Financeiros'!C426&lt;'Instrumentos Financeiros'!$F$59+'Instrumentos Financeiros'!$F$11+1),PMT(((1+'Instrumentos Financeiros'!$G$43)^(1/12)-1),$F$11,-$I$59),0)</f>
        <v>0</v>
      </c>
      <c r="E426" s="1312">
        <f t="shared" si="286"/>
        <v>-1.2394570294402779E-11</v>
      </c>
      <c r="F426" s="1312">
        <f>G425*((1+'Instrumentos Financeiros'!$G$43)^(1/12)-1)</f>
        <v>1.2394570294402779E-11</v>
      </c>
      <c r="G426" s="1312">
        <f t="shared" si="320"/>
        <v>3.0489393679352529E-9</v>
      </c>
      <c r="H426" s="1312">
        <f>IF(AND(C426&gt;$F$60,'Instrumentos Financeiros'!C426&lt;'Instrumentos Financeiros'!$F$60+'Instrumentos Financeiros'!$F$11+1),PMT(((1+'Instrumentos Financeiros'!$G$43)^(1/12)-1),$F$11,-$I$60),0)</f>
        <v>0</v>
      </c>
      <c r="I426" s="1312">
        <f t="shared" si="272"/>
        <v>0</v>
      </c>
      <c r="J426" s="1312">
        <f>K425*((1+'Instrumentos Financeiros'!$G$43)^(1/12)-1)</f>
        <v>0</v>
      </c>
      <c r="K426" s="1312">
        <f t="shared" si="290"/>
        <v>0</v>
      </c>
      <c r="L426" s="1312">
        <f>IF(AND(C426&gt;$F$61,'Instrumentos Financeiros'!C426&lt;'Instrumentos Financeiros'!$F$61+'Instrumentos Financeiros'!$F$11+1),PMT(((1+'Instrumentos Financeiros'!$G$43)^(1/12)-1),$F$11,-$I$61),0)</f>
        <v>0</v>
      </c>
      <c r="M426" s="1312">
        <f t="shared" si="273"/>
        <v>0</v>
      </c>
      <c r="N426" s="1312">
        <f>O425*((1+'Instrumentos Financeiros'!$G$43)^(1/12)-1)</f>
        <v>0</v>
      </c>
      <c r="O426" s="1312">
        <f t="shared" si="291"/>
        <v>0</v>
      </c>
      <c r="P426" s="1312">
        <f>IF(AND(C426&gt;$F$62,'Instrumentos Financeiros'!C426&lt;'Instrumentos Financeiros'!$F$62+'Instrumentos Financeiros'!$F$11+1),PMT(((1+'Instrumentos Financeiros'!$H$43)^(1/12)-1),$F$11,-$I$62),0)</f>
        <v>0</v>
      </c>
      <c r="Q426" s="1312">
        <f t="shared" si="274"/>
        <v>0</v>
      </c>
      <c r="R426" s="1312">
        <f>S425*((1+'Instrumentos Financeiros'!$H$43)^(1/12)-1)</f>
        <v>0</v>
      </c>
      <c r="S426" s="1312">
        <f t="shared" si="292"/>
        <v>0</v>
      </c>
      <c r="T426" s="1312">
        <f>IF(AND(C426&gt;$F$63,'Instrumentos Financeiros'!C426&lt;'Instrumentos Financeiros'!$F$63+'Instrumentos Financeiros'!$F$11+1),PMT(((1+'Instrumentos Financeiros'!$H$43)^(1/12)-1),$F$11,-$I$63),0)</f>
        <v>0</v>
      </c>
      <c r="U426" s="1312">
        <f t="shared" si="275"/>
        <v>0</v>
      </c>
      <c r="V426" s="1312">
        <f>W425*((1+'Instrumentos Financeiros'!$H$43)^(1/12)-1)</f>
        <v>0</v>
      </c>
      <c r="W426" s="1312">
        <f t="shared" si="293"/>
        <v>0</v>
      </c>
      <c r="X426" s="1312">
        <f>IF(AND(C426&gt;$F$64,'Instrumentos Financeiros'!C426&lt;'Instrumentos Financeiros'!$F$64+'Instrumentos Financeiros'!$F$11+1),PMT(((1+'Instrumentos Financeiros'!$H$43)^(1/12)-1),$F$11,-$I$64),0)</f>
        <v>0</v>
      </c>
      <c r="Y426" s="1312">
        <f t="shared" si="276"/>
        <v>0</v>
      </c>
      <c r="Z426" s="1312">
        <f>AA425*((1+'Instrumentos Financeiros'!$H$43)^(1/12)-1)</f>
        <v>0</v>
      </c>
      <c r="AA426" s="1312">
        <f t="shared" si="294"/>
        <v>0</v>
      </c>
      <c r="AB426" s="1312">
        <f>IF(AND(C426&gt;$F$65,'Instrumentos Financeiros'!C426&lt;'Instrumentos Financeiros'!$F$65+'Instrumentos Financeiros'!$F$11+1),PMT(((1+'Instrumentos Financeiros'!$H$43)^(1/12)-1),$F$11,-$I$65),0)</f>
        <v>0</v>
      </c>
      <c r="AC426" s="1312">
        <f t="shared" si="277"/>
        <v>3.0629157940881648E-11</v>
      </c>
      <c r="AD426" s="1312">
        <f>AE425*((1+'Instrumentos Financeiros'!$H$43)^(1/12)-1)</f>
        <v>-3.0629157940881648E-11</v>
      </c>
      <c r="AE426" s="1312">
        <f t="shared" si="295"/>
        <v>-7.1141355036998707E-9</v>
      </c>
      <c r="AF426" s="1312">
        <f>IF(AND(C426&gt;$F$66,'Instrumentos Financeiros'!C426&lt;'Instrumentos Financeiros'!$F$66+'Instrumentos Financeiros'!$F$11+1),PMT(((1+'Instrumentos Financeiros'!$I$43)^(1/12)-1),$F$11,-$I$66),0)</f>
        <v>0</v>
      </c>
      <c r="AG426" s="1312">
        <f t="shared" si="278"/>
        <v>3.0235246961731762E-11</v>
      </c>
      <c r="AH426" s="1312">
        <f>AI425*((1+'Instrumentos Financeiros'!$I$43)^(1/12)-1)</f>
        <v>-3.0235246961731762E-11</v>
      </c>
      <c r="AI426" s="1312">
        <f t="shared" si="296"/>
        <v>-7.0226430739218059E-9</v>
      </c>
      <c r="AJ426" s="1312">
        <f>IF(AND(C426&gt;$F$67,'Instrumentos Financeiros'!C426&lt;'Instrumentos Financeiros'!$F$67+'Instrumentos Financeiros'!$F$11+1),PMT(((1+'Instrumentos Financeiros'!$I$43)^(1/12)-1),$F$11,-$I$67),0)</f>
        <v>0</v>
      </c>
      <c r="AK426" s="1312">
        <f t="shared" si="279"/>
        <v>2.9846401935090087E-11</v>
      </c>
      <c r="AL426" s="1312">
        <f>AM425*((1+'Instrumentos Financeiros'!$I$43)^(1/12)-1)</f>
        <v>-2.9846401935090087E-11</v>
      </c>
      <c r="AM426" s="1312">
        <f t="shared" si="297"/>
        <v>-6.9323272965567215E-9</v>
      </c>
      <c r="AN426" s="1312">
        <f>IF(AND(C426&gt;$F$68,'Instrumentos Financeiros'!C426&lt;'Instrumentos Financeiros'!$F$68+'Instrumentos Financeiros'!$F$11+1),PMT(((1+'Instrumentos Financeiros'!$I$43)^(1/12)-1),$F$11,-$I$68),0)</f>
        <v>0</v>
      </c>
      <c r="AO426" s="1312">
        <f t="shared" si="280"/>
        <v>2.9462557709498102E-11</v>
      </c>
      <c r="AP426" s="1312">
        <f>AQ425*((1+'Instrumentos Financeiros'!$I$43)^(1/12)-1)</f>
        <v>-2.9462557709498102E-11</v>
      </c>
      <c r="AQ426" s="1312">
        <f t="shared" si="298"/>
        <v>-6.8431730390859559E-9</v>
      </c>
      <c r="AR426" s="1312">
        <f>IF(AND(C426&gt;$F$69,'Instrumentos Financeiros'!C426&lt;'Instrumentos Financeiros'!$F$69+'Instrumentos Financeiros'!$F$11+1),PMT(((1+'Instrumentos Financeiros'!$I$43)^(1/12)-1),$F$11,-$I$69),0)</f>
        <v>0</v>
      </c>
      <c r="AS426" s="1312">
        <f t="shared" si="281"/>
        <v>0</v>
      </c>
      <c r="AT426" s="1312">
        <f>AU425*((1+'Instrumentos Financeiros'!$I$43)^(1/12)-1)</f>
        <v>0</v>
      </c>
      <c r="AU426" s="1312">
        <f t="shared" si="299"/>
        <v>0</v>
      </c>
      <c r="AV426" s="1312">
        <f>IF(AND(C426&gt;$F$70,'Instrumentos Financeiros'!C426&lt;'Instrumentos Financeiros'!$F$70+'Instrumentos Financeiros'!$F$11+1),PMT(((1+'Instrumentos Financeiros'!$J$43)^(1/12)-1),$F$11,-$I$70),0)</f>
        <v>0</v>
      </c>
      <c r="AW426" s="1312">
        <f t="shared" si="282"/>
        <v>0</v>
      </c>
      <c r="AX426" s="1312">
        <f>AY425*((1+'Instrumentos Financeiros'!$J$43)^(1/12)-1)</f>
        <v>0</v>
      </c>
      <c r="AY426" s="1312">
        <f t="shared" si="300"/>
        <v>0</v>
      </c>
      <c r="AZ426" s="1312">
        <f>IF(AND(C426&gt;$F$71,'Instrumentos Financeiros'!C426&lt;'Instrumentos Financeiros'!$F$71+'Instrumentos Financeiros'!$F$11+1),PMT(((1+'Instrumentos Financeiros'!$J$43)^(1/12)-1),$F$11,-$I$71),0)</f>
        <v>0</v>
      </c>
      <c r="BA426" s="1312">
        <f t="shared" si="283"/>
        <v>0</v>
      </c>
      <c r="BB426" s="1312">
        <f>BC425*((1+'Instrumentos Financeiros'!$J$43)^(1/12)-1)</f>
        <v>0</v>
      </c>
      <c r="BC426" s="1312">
        <f t="shared" si="301"/>
        <v>0</v>
      </c>
      <c r="BD426" s="1312">
        <f>IF(AND(C426&gt;$F$72,'Instrumentos Financeiros'!C426&lt;'Instrumentos Financeiros'!$F$72+'Instrumentos Financeiros'!$F$11+1),PMT(((1+'Instrumentos Financeiros'!$J$43)^(1/12)-1),$F$11,-'Instrumentos Financeiros'!$G$7*$G$72),0)</f>
        <v>0</v>
      </c>
      <c r="BE426" s="1312">
        <f t="shared" si="284"/>
        <v>0</v>
      </c>
      <c r="BF426" s="1312">
        <f>BG425*((1+'Instrumentos Financeiros'!$J$43)^(1/12)-1)</f>
        <v>0</v>
      </c>
      <c r="BG426" s="1312">
        <f t="shared" si="302"/>
        <v>0</v>
      </c>
      <c r="BH426" s="1312">
        <f>IF(AND(C426&gt;$F$73,'Instrumentos Financeiros'!C426&lt;'Instrumentos Financeiros'!$F$73+'Instrumentos Financeiros'!$F$11+1),PMT(((1+'Instrumentos Financeiros'!$J$43)^(1/12)-1),$F$11,-$I$73),0)</f>
        <v>0</v>
      </c>
      <c r="BI426" s="1312">
        <f t="shared" si="285"/>
        <v>0</v>
      </c>
      <c r="BJ426" s="1312">
        <f>BK425*((1+'Instrumentos Financeiros'!$J$43)^(1/12)-1)</f>
        <v>0</v>
      </c>
      <c r="BK426" s="1312">
        <f t="shared" si="303"/>
        <v>0</v>
      </c>
      <c r="BL426" s="1312">
        <f>IF(AND(C426&gt;$F$77,'Instrumentos Financeiros'!C426&lt;'Instrumentos Financeiros'!$F$77+'Instrumentos Financeiros'!$F$12+1),PMT(((1+'Instrumentos Financeiros'!$K$43)^(1/12)-1),$F$12,-$I$77),0)</f>
        <v>0</v>
      </c>
      <c r="BM426" s="1312">
        <f t="shared" si="304"/>
        <v>8.3249945036900643E-14</v>
      </c>
      <c r="BN426" s="1312">
        <f>BO425*((1+'Instrumentos Financeiros'!$K$43)^(1/12)-1)</f>
        <v>-8.3249945036900643E-14</v>
      </c>
      <c r="BO426" s="1312">
        <f t="shared" si="305"/>
        <v>-1.9336195621544732E-11</v>
      </c>
      <c r="BP426" s="1312">
        <f>IF(AND(C426&gt;$F$78,'Instrumentos Financeiros'!C426&lt;'Instrumentos Financeiros'!$F$78+'Instrumentos Financeiros'!$F$12+1),PMT(((1+'Instrumentos Financeiros'!$L$43)^(1/12)-1),$F$12,-$I$78),0)</f>
        <v>0</v>
      </c>
      <c r="BQ426" s="1312">
        <f t="shared" si="306"/>
        <v>8.2179296361969568E-14</v>
      </c>
      <c r="BR426" s="1312">
        <f>BS425*((1+'Instrumentos Financeiros'!$L$43)^(1/12)-1)</f>
        <v>-8.2179296361969568E-14</v>
      </c>
      <c r="BS426" s="1312">
        <f t="shared" si="307"/>
        <v>-1.9087519514776869E-11</v>
      </c>
      <c r="BT426" s="1312">
        <f>IF(AND(C426&gt;$F$79,'Instrumentos Financeiros'!C426&lt;'Instrumentos Financeiros'!$F$79+'Instrumentos Financeiros'!$F$12+1),PMT(((1+'Instrumentos Financeiros'!$L$43)^(1/12)-1),$F$12,-$I$79),0)</f>
        <v>0</v>
      </c>
      <c r="BU426" s="1312">
        <f t="shared" si="308"/>
        <v>8.1122416928383016E-14</v>
      </c>
      <c r="BV426" s="1312">
        <f>BW425*((1+'Instrumentos Financeiros'!$L$43)^(1/12)-1)</f>
        <v>-8.1122416928383016E-14</v>
      </c>
      <c r="BW426" s="1312">
        <f t="shared" si="309"/>
        <v>-1.8842041545185916E-11</v>
      </c>
      <c r="BX426" s="1312">
        <f>IF(AND(C426&gt;$F$80,'Instrumentos Financeiros'!C426&lt;'Instrumentos Financeiros'!$F$80+'Instrumentos Financeiros'!$F$12+1),PMT(((1+'Instrumentos Financeiros'!$L$43)^(1/12)-1),$F$12,-$I$80),0)</f>
        <v>0</v>
      </c>
      <c r="BY426" s="1312">
        <f t="shared" si="310"/>
        <v>8.0079129654702774E-14</v>
      </c>
      <c r="BZ426" s="1312">
        <f>CA425*((1+'Instrumentos Financeiros'!$L$43)^(1/12)-1)</f>
        <v>-8.0079129654702774E-14</v>
      </c>
      <c r="CA426" s="1312">
        <f t="shared" si="311"/>
        <v>-1.8599720582638642E-11</v>
      </c>
      <c r="CB426" s="1312">
        <f>IF(AND(C426&gt;$F$83,'Instrumentos Financeiros'!C426&lt;'Instrumentos Financeiros'!$F$83+'Instrumentos Financeiros'!$F$13+1),PMT(((1+'Instrumentos Financeiros'!$P$43)^(1/12)-1),$F$13,-$I$83),0)</f>
        <v>30503.390100238979</v>
      </c>
      <c r="CC426" s="1312">
        <f t="shared" si="312"/>
        <v>28468.630652765536</v>
      </c>
      <c r="CD426" s="1312">
        <f>CE425*((1+'Instrumentos Financeiros'!$P$43)^(1/12)-1)</f>
        <v>2034.7594474734426</v>
      </c>
      <c r="CE426" s="1312">
        <f t="shared" si="313"/>
        <v>442103.60924003995</v>
      </c>
      <c r="CF426" s="1312">
        <f>IF(AND(C426&gt;$F$84,'Instrumentos Financeiros'!C426&lt;'Instrumentos Financeiros'!$F$84+'Instrumentos Financeiros'!$F$13+1),PMT(((1+'Instrumentos Financeiros'!$Q$43)^(1/12)-1),$F$13,-$I$84),0)</f>
        <v>30503.390100238979</v>
      </c>
      <c r="CG426" s="1312">
        <f t="shared" si="314"/>
        <v>28102.505465872317</v>
      </c>
      <c r="CH426" s="1312">
        <f>CI425*((1+'Instrumentos Financeiros'!$Q$43)^(1/12)-1)</f>
        <v>2400.8846343666637</v>
      </c>
      <c r="CI426" s="1312">
        <f t="shared" si="315"/>
        <v>527142.32287046895</v>
      </c>
      <c r="CJ426" s="1312">
        <f>IF(AND(C426&gt;$F$85,'Instrumentos Financeiros'!C426&lt;'Instrumentos Financeiros'!$F$85+'Instrumentos Financeiros'!$F$13+1),PMT(((1+'Instrumentos Financeiros'!$Q$43)^(1/12)-1),$F$13,-$I$85),0)</f>
        <v>30503.390100238979</v>
      </c>
      <c r="CK426" s="1312">
        <f t="shared" si="316"/>
        <v>27741.088888048234</v>
      </c>
      <c r="CL426" s="1312">
        <f>CM425*((1+'Instrumentos Financeiros'!$Q$43)^(1/12)-1)</f>
        <v>2762.3012121907454</v>
      </c>
      <c r="CM426" s="1312">
        <f t="shared" si="317"/>
        <v>611087.38309336838</v>
      </c>
      <c r="CN426" s="1312">
        <f>IF(AND(C426&gt;$F$86,'Instrumentos Financeiros'!C426&lt;'Instrumentos Financeiros'!$F$86+'Instrumentos Financeiros'!$F$13+1),PMT(((1+'Instrumentos Financeiros'!$Q$43)^(1/12)-1),$F$13,-$I$86),0)</f>
        <v>30503.390100238979</v>
      </c>
      <c r="CO426" s="1312">
        <f t="shared" si="318"/>
        <v>27384.320363504838</v>
      </c>
      <c r="CP426" s="1312">
        <f>CQ425*((1+'Instrumentos Financeiros'!$Q$43)^(1/12)-1)</f>
        <v>3119.0697367341431</v>
      </c>
      <c r="CQ426" s="1312">
        <f t="shared" si="319"/>
        <v>693952.85500597127</v>
      </c>
      <c r="CR426" s="1312">
        <f t="shared" si="288"/>
        <v>122013.56040095592</v>
      </c>
      <c r="CS426" s="1312">
        <f t="shared" si="288"/>
        <v>111696.54537019104</v>
      </c>
      <c r="CT426" s="1312">
        <f t="shared" si="288"/>
        <v>10317.015030764887</v>
      </c>
      <c r="CU426" s="1312">
        <f t="shared" si="288"/>
        <v>2274286.1702098236</v>
      </c>
    </row>
    <row r="427" spans="3:99" x14ac:dyDescent="0.35">
      <c r="C427" s="1315">
        <f t="shared" si="289"/>
        <v>334</v>
      </c>
      <c r="D427" s="1312">
        <f>IF(AND(C427&gt;$F$59,'Instrumentos Financeiros'!C427&lt;'Instrumentos Financeiros'!$F$59+'Instrumentos Financeiros'!$F$11+1),PMT(((1+'Instrumentos Financeiros'!$G$43)^(1/12)-1),$F$11,-$I$59),0)</f>
        <v>0</v>
      </c>
      <c r="E427" s="1312">
        <f t="shared" si="286"/>
        <v>-1.2445162458530326E-11</v>
      </c>
      <c r="F427" s="1312">
        <f>G426*((1+'Instrumentos Financeiros'!$G$43)^(1/12)-1)</f>
        <v>1.2445162458530326E-11</v>
      </c>
      <c r="G427" s="1312">
        <f t="shared" si="320"/>
        <v>3.0613845303937832E-9</v>
      </c>
      <c r="H427" s="1312">
        <f>IF(AND(C427&gt;$F$60,'Instrumentos Financeiros'!C427&lt;'Instrumentos Financeiros'!$F$60+'Instrumentos Financeiros'!$F$11+1),PMT(((1+'Instrumentos Financeiros'!$G$43)^(1/12)-1),$F$11,-$I$60),0)</f>
        <v>0</v>
      </c>
      <c r="I427" s="1312">
        <f t="shared" si="272"/>
        <v>0</v>
      </c>
      <c r="J427" s="1312">
        <f>K426*((1+'Instrumentos Financeiros'!$G$43)^(1/12)-1)</f>
        <v>0</v>
      </c>
      <c r="K427" s="1312">
        <f t="shared" si="290"/>
        <v>0</v>
      </c>
      <c r="L427" s="1312">
        <f>IF(AND(C427&gt;$F$61,'Instrumentos Financeiros'!C427&lt;'Instrumentos Financeiros'!$F$61+'Instrumentos Financeiros'!$F$11+1),PMT(((1+'Instrumentos Financeiros'!$G$43)^(1/12)-1),$F$11,-$I$61),0)</f>
        <v>0</v>
      </c>
      <c r="M427" s="1312">
        <f t="shared" si="273"/>
        <v>0</v>
      </c>
      <c r="N427" s="1312">
        <f>O426*((1+'Instrumentos Financeiros'!$G$43)^(1/12)-1)</f>
        <v>0</v>
      </c>
      <c r="O427" s="1312">
        <f t="shared" si="291"/>
        <v>0</v>
      </c>
      <c r="P427" s="1312">
        <f>IF(AND(C427&gt;$F$62,'Instrumentos Financeiros'!C427&lt;'Instrumentos Financeiros'!$F$62+'Instrumentos Financeiros'!$F$11+1),PMT(((1+'Instrumentos Financeiros'!$H$43)^(1/12)-1),$F$11,-$I$62),0)</f>
        <v>0</v>
      </c>
      <c r="Q427" s="1312">
        <f t="shared" si="274"/>
        <v>0</v>
      </c>
      <c r="R427" s="1312">
        <f>S426*((1+'Instrumentos Financeiros'!$H$43)^(1/12)-1)</f>
        <v>0</v>
      </c>
      <c r="S427" s="1312">
        <f t="shared" si="292"/>
        <v>0</v>
      </c>
      <c r="T427" s="1312">
        <f>IF(AND(C427&gt;$F$63,'Instrumentos Financeiros'!C427&lt;'Instrumentos Financeiros'!$F$63+'Instrumentos Financeiros'!$F$11+1),PMT(((1+'Instrumentos Financeiros'!$H$43)^(1/12)-1),$F$11,-$I$63),0)</f>
        <v>0</v>
      </c>
      <c r="U427" s="1312">
        <f t="shared" si="275"/>
        <v>0</v>
      </c>
      <c r="V427" s="1312">
        <f>W426*((1+'Instrumentos Financeiros'!$H$43)^(1/12)-1)</f>
        <v>0</v>
      </c>
      <c r="W427" s="1312">
        <f t="shared" si="293"/>
        <v>0</v>
      </c>
      <c r="X427" s="1312">
        <f>IF(AND(C427&gt;$F$64,'Instrumentos Financeiros'!C427&lt;'Instrumentos Financeiros'!$F$64+'Instrumentos Financeiros'!$F$11+1),PMT(((1+'Instrumentos Financeiros'!$H$43)^(1/12)-1),$F$11,-$I$64),0)</f>
        <v>0</v>
      </c>
      <c r="Y427" s="1312">
        <f t="shared" si="276"/>
        <v>0</v>
      </c>
      <c r="Z427" s="1312">
        <f>AA426*((1+'Instrumentos Financeiros'!$H$43)^(1/12)-1)</f>
        <v>0</v>
      </c>
      <c r="AA427" s="1312">
        <f t="shared" si="294"/>
        <v>0</v>
      </c>
      <c r="AB427" s="1312">
        <f>IF(AND(C427&gt;$F$65,'Instrumentos Financeiros'!C427&lt;'Instrumentos Financeiros'!$F$65+'Instrumentos Financeiros'!$F$11+1),PMT(((1+'Instrumentos Financeiros'!$H$43)^(1/12)-1),$F$11,-$I$65),0)</f>
        <v>0</v>
      </c>
      <c r="AC427" s="1312">
        <f t="shared" si="277"/>
        <v>3.0761598750612714E-11</v>
      </c>
      <c r="AD427" s="1312">
        <f>AE426*((1+'Instrumentos Financeiros'!$H$43)^(1/12)-1)</f>
        <v>-3.0761598750612714E-11</v>
      </c>
      <c r="AE427" s="1312">
        <f t="shared" si="295"/>
        <v>-7.1448971024504836E-9</v>
      </c>
      <c r="AF427" s="1312">
        <f>IF(AND(C427&gt;$F$66,'Instrumentos Financeiros'!C427&lt;'Instrumentos Financeiros'!$F$66+'Instrumentos Financeiros'!$F$11+1),PMT(((1+'Instrumentos Financeiros'!$I$43)^(1/12)-1),$F$11,-$I$66),0)</f>
        <v>0</v>
      </c>
      <c r="AG427" s="1312">
        <f t="shared" si="278"/>
        <v>3.0365984496134746E-11</v>
      </c>
      <c r="AH427" s="1312">
        <f>AI426*((1+'Instrumentos Financeiros'!$I$43)^(1/12)-1)</f>
        <v>-3.0365984496134746E-11</v>
      </c>
      <c r="AI427" s="1312">
        <f t="shared" si="296"/>
        <v>-7.0530090584179407E-9</v>
      </c>
      <c r="AJ427" s="1312">
        <f>IF(AND(C427&gt;$F$67,'Instrumentos Financeiros'!C427&lt;'Instrumentos Financeiros'!$F$67+'Instrumentos Financeiros'!$F$11+1),PMT(((1+'Instrumentos Financeiros'!$I$43)^(1/12)-1),$F$11,-$I$67),0)</f>
        <v>0</v>
      </c>
      <c r="AK427" s="1312">
        <f t="shared" si="279"/>
        <v>2.997545809939835E-11</v>
      </c>
      <c r="AL427" s="1312">
        <f>AM426*((1+'Instrumentos Financeiros'!$I$43)^(1/12)-1)</f>
        <v>-2.997545809939835E-11</v>
      </c>
      <c r="AM427" s="1312">
        <f t="shared" si="297"/>
        <v>-6.9623027546561197E-9</v>
      </c>
      <c r="AN427" s="1312">
        <f>IF(AND(C427&gt;$F$68,'Instrumentos Financeiros'!C427&lt;'Instrumentos Financeiros'!$F$68+'Instrumentos Financeiros'!$F$11+1),PMT(((1+'Instrumentos Financeiros'!$I$43)^(1/12)-1),$F$11,-$I$68),0)</f>
        <v>0</v>
      </c>
      <c r="AO427" s="1312">
        <f t="shared" si="280"/>
        <v>2.9589954127229391E-11</v>
      </c>
      <c r="AP427" s="1312">
        <f>AQ426*((1+'Instrumentos Financeiros'!$I$43)^(1/12)-1)</f>
        <v>-2.9589954127229391E-11</v>
      </c>
      <c r="AQ427" s="1312">
        <f t="shared" si="298"/>
        <v>-6.8727629932131852E-9</v>
      </c>
      <c r="AR427" s="1312">
        <f>IF(AND(C427&gt;$F$69,'Instrumentos Financeiros'!C427&lt;'Instrumentos Financeiros'!$F$69+'Instrumentos Financeiros'!$F$11+1),PMT(((1+'Instrumentos Financeiros'!$I$43)^(1/12)-1),$F$11,-$I$69),0)</f>
        <v>0</v>
      </c>
      <c r="AS427" s="1312">
        <f t="shared" si="281"/>
        <v>0</v>
      </c>
      <c r="AT427" s="1312">
        <f>AU426*((1+'Instrumentos Financeiros'!$I$43)^(1/12)-1)</f>
        <v>0</v>
      </c>
      <c r="AU427" s="1312">
        <f t="shared" si="299"/>
        <v>0</v>
      </c>
      <c r="AV427" s="1312">
        <f>IF(AND(C427&gt;$F$70,'Instrumentos Financeiros'!C427&lt;'Instrumentos Financeiros'!$F$70+'Instrumentos Financeiros'!$F$11+1),PMT(((1+'Instrumentos Financeiros'!$J$43)^(1/12)-1),$F$11,-$I$70),0)</f>
        <v>0</v>
      </c>
      <c r="AW427" s="1312">
        <f t="shared" si="282"/>
        <v>0</v>
      </c>
      <c r="AX427" s="1312">
        <f>AY426*((1+'Instrumentos Financeiros'!$J$43)^(1/12)-1)</f>
        <v>0</v>
      </c>
      <c r="AY427" s="1312">
        <f t="shared" si="300"/>
        <v>0</v>
      </c>
      <c r="AZ427" s="1312">
        <f>IF(AND(C427&gt;$F$71,'Instrumentos Financeiros'!C427&lt;'Instrumentos Financeiros'!$F$71+'Instrumentos Financeiros'!$F$11+1),PMT(((1+'Instrumentos Financeiros'!$J$43)^(1/12)-1),$F$11,-$I$71),0)</f>
        <v>0</v>
      </c>
      <c r="BA427" s="1312">
        <f t="shared" si="283"/>
        <v>0</v>
      </c>
      <c r="BB427" s="1312">
        <f>BC426*((1+'Instrumentos Financeiros'!$J$43)^(1/12)-1)</f>
        <v>0</v>
      </c>
      <c r="BC427" s="1312">
        <f t="shared" si="301"/>
        <v>0</v>
      </c>
      <c r="BD427" s="1312">
        <f>IF(AND(C427&gt;$F$72,'Instrumentos Financeiros'!C427&lt;'Instrumentos Financeiros'!$F$72+'Instrumentos Financeiros'!$F$11+1),PMT(((1+'Instrumentos Financeiros'!$J$43)^(1/12)-1),$F$11,-'Instrumentos Financeiros'!$G$7*$G$72),0)</f>
        <v>0</v>
      </c>
      <c r="BE427" s="1312">
        <f t="shared" si="284"/>
        <v>0</v>
      </c>
      <c r="BF427" s="1312">
        <f>BG426*((1+'Instrumentos Financeiros'!$J$43)^(1/12)-1)</f>
        <v>0</v>
      </c>
      <c r="BG427" s="1312">
        <f t="shared" si="302"/>
        <v>0</v>
      </c>
      <c r="BH427" s="1312">
        <f>IF(AND(C427&gt;$F$73,'Instrumentos Financeiros'!C427&lt;'Instrumentos Financeiros'!$F$73+'Instrumentos Financeiros'!$F$11+1),PMT(((1+'Instrumentos Financeiros'!$J$43)^(1/12)-1),$F$11,-$I$73),0)</f>
        <v>0</v>
      </c>
      <c r="BI427" s="1312">
        <f t="shared" si="285"/>
        <v>0</v>
      </c>
      <c r="BJ427" s="1312">
        <f>BK426*((1+'Instrumentos Financeiros'!$J$43)^(1/12)-1)</f>
        <v>0</v>
      </c>
      <c r="BK427" s="1312">
        <f t="shared" si="303"/>
        <v>0</v>
      </c>
      <c r="BL427" s="1312">
        <f>IF(AND(C427&gt;$F$77,'Instrumentos Financeiros'!C427&lt;'Instrumentos Financeiros'!$F$77+'Instrumentos Financeiros'!$F$12+1),PMT(((1+'Instrumentos Financeiros'!$K$43)^(1/12)-1),$F$12,-$I$77),0)</f>
        <v>0</v>
      </c>
      <c r="BM427" s="1312">
        <f t="shared" si="304"/>
        <v>8.3609918698339039E-14</v>
      </c>
      <c r="BN427" s="1312">
        <f>BO426*((1+'Instrumentos Financeiros'!$K$43)^(1/12)-1)</f>
        <v>-8.3609918698339039E-14</v>
      </c>
      <c r="BO427" s="1312">
        <f t="shared" si="305"/>
        <v>-1.941980554024307E-11</v>
      </c>
      <c r="BP427" s="1312">
        <f>IF(AND(C427&gt;$F$78,'Instrumentos Financeiros'!C427&lt;'Instrumentos Financeiros'!$F$78+'Instrumentos Financeiros'!$F$12+1),PMT(((1+'Instrumentos Financeiros'!$L$43)^(1/12)-1),$F$12,-$I$78),0)</f>
        <v>0</v>
      </c>
      <c r="BQ427" s="1312">
        <f t="shared" si="306"/>
        <v>8.2534640526974559E-14</v>
      </c>
      <c r="BR427" s="1312">
        <f>BS426*((1+'Instrumentos Financeiros'!$L$43)^(1/12)-1)</f>
        <v>-8.2534640526974559E-14</v>
      </c>
      <c r="BS427" s="1312">
        <f t="shared" si="307"/>
        <v>-1.9170054155303844E-11</v>
      </c>
      <c r="BT427" s="1312">
        <f>IF(AND(C427&gt;$F$79,'Instrumentos Financeiros'!C427&lt;'Instrumentos Financeiros'!$F$79+'Instrumentos Financeiros'!$F$12+1),PMT(((1+'Instrumentos Financeiros'!$L$43)^(1/12)-1),$F$12,-$I$79),0)</f>
        <v>0</v>
      </c>
      <c r="BU427" s="1312">
        <f t="shared" si="308"/>
        <v>8.1473191135302891E-14</v>
      </c>
      <c r="BV427" s="1312">
        <f>BW426*((1+'Instrumentos Financeiros'!$L$43)^(1/12)-1)</f>
        <v>-8.1473191135302891E-14</v>
      </c>
      <c r="BW427" s="1312">
        <f t="shared" si="309"/>
        <v>-1.892351473632122E-11</v>
      </c>
      <c r="BX427" s="1312">
        <f>IF(AND(C427&gt;$F$80,'Instrumentos Financeiros'!C427&lt;'Instrumentos Financeiros'!$F$80+'Instrumentos Financeiros'!$F$12+1),PMT(((1+'Instrumentos Financeiros'!$L$43)^(1/12)-1),$F$12,-$I$80),0)</f>
        <v>0</v>
      </c>
      <c r="BY427" s="1312">
        <f t="shared" si="310"/>
        <v>8.042539267618375E-14</v>
      </c>
      <c r="BZ427" s="1312">
        <f>CA426*((1+'Instrumentos Financeiros'!$L$43)^(1/12)-1)</f>
        <v>-8.042539267618375E-14</v>
      </c>
      <c r="CA427" s="1312">
        <f t="shared" si="311"/>
        <v>-1.8680145975314824E-11</v>
      </c>
      <c r="CB427" s="1312">
        <f>IF(AND(C427&gt;$F$83,'Instrumentos Financeiros'!C427&lt;'Instrumentos Financeiros'!$F$83+'Instrumentos Financeiros'!$F$13+1),PMT(((1+'Instrumentos Financeiros'!$P$43)^(1/12)-1),$F$13,-$I$83),0)</f>
        <v>30503.390100238979</v>
      </c>
      <c r="CC427" s="1312">
        <f t="shared" si="312"/>
        <v>28591.72931916911</v>
      </c>
      <c r="CD427" s="1312">
        <f>CE426*((1+'Instrumentos Financeiros'!$P$43)^(1/12)-1)</f>
        <v>1911.6607810698692</v>
      </c>
      <c r="CE427" s="1312">
        <f t="shared" si="313"/>
        <v>413511.87992087082</v>
      </c>
      <c r="CF427" s="1312">
        <f>IF(AND(C427&gt;$F$84,'Instrumentos Financeiros'!C427&lt;'Instrumentos Financeiros'!$F$84+'Instrumentos Financeiros'!$F$13+1),PMT(((1+'Instrumentos Financeiros'!$Q$43)^(1/12)-1),$F$13,-$I$84),0)</f>
        <v>30503.390100238979</v>
      </c>
      <c r="CG427" s="1312">
        <f t="shared" si="314"/>
        <v>28224.021003013615</v>
      </c>
      <c r="CH427" s="1312">
        <f>CI426*((1+'Instrumentos Financeiros'!$Q$43)^(1/12)-1)</f>
        <v>2279.3690972253662</v>
      </c>
      <c r="CI427" s="1312">
        <f t="shared" si="315"/>
        <v>498918.30186745536</v>
      </c>
      <c r="CJ427" s="1312">
        <f>IF(AND(C427&gt;$F$85,'Instrumentos Financeiros'!C427&lt;'Instrumentos Financeiros'!$F$85+'Instrumentos Financeiros'!$F$13+1),PMT(((1+'Instrumentos Financeiros'!$Q$43)^(1/12)-1),$F$13,-$I$85),0)</f>
        <v>30503.390100238979</v>
      </c>
      <c r="CK427" s="1312">
        <f t="shared" si="316"/>
        <v>27861.041656003723</v>
      </c>
      <c r="CL427" s="1312">
        <f>CM426*((1+'Instrumentos Financeiros'!$Q$43)^(1/12)-1)</f>
        <v>2642.348444235256</v>
      </c>
      <c r="CM427" s="1312">
        <f t="shared" si="317"/>
        <v>583226.3414373647</v>
      </c>
      <c r="CN427" s="1312">
        <f>IF(AND(C427&gt;$F$86,'Instrumentos Financeiros'!C427&lt;'Instrumentos Financeiros'!$F$86+'Instrumentos Financeiros'!$F$13+1),PMT(((1+'Instrumentos Financeiros'!$Q$43)^(1/12)-1),$F$13,-$I$86),0)</f>
        <v>30503.390100238979</v>
      </c>
      <c r="CO427" s="1312">
        <f t="shared" si="318"/>
        <v>27502.730460507104</v>
      </c>
      <c r="CP427" s="1312">
        <f>CQ426*((1+'Instrumentos Financeiros'!$Q$43)^(1/12)-1)</f>
        <v>3000.6596397318772</v>
      </c>
      <c r="CQ427" s="1312">
        <f t="shared" si="319"/>
        <v>666450.12454546418</v>
      </c>
      <c r="CR427" s="1312">
        <f t="shared" si="288"/>
        <v>122013.56040095592</v>
      </c>
      <c r="CS427" s="1312">
        <f t="shared" si="288"/>
        <v>112179.52243869368</v>
      </c>
      <c r="CT427" s="1312">
        <f t="shared" si="288"/>
        <v>9834.0379622622604</v>
      </c>
      <c r="CU427" s="1312">
        <f t="shared" si="288"/>
        <v>2162106.6477711299</v>
      </c>
    </row>
    <row r="428" spans="3:99" x14ac:dyDescent="0.35">
      <c r="C428" s="1315">
        <f t="shared" si="289"/>
        <v>335</v>
      </c>
      <c r="D428" s="1312">
        <f>IF(AND(C428&gt;$F$59,'Instrumentos Financeiros'!C428&lt;'Instrumentos Financeiros'!$F$59+'Instrumentos Financeiros'!$F$11+1),PMT(((1+'Instrumentos Financeiros'!$G$43)^(1/12)-1),$F$11,-$I$59),0)</f>
        <v>0</v>
      </c>
      <c r="E428" s="1312">
        <f t="shared" si="286"/>
        <v>-1.2495961129782388E-11</v>
      </c>
      <c r="F428" s="1312">
        <f>G427*((1+'Instrumentos Financeiros'!$G$43)^(1/12)-1)</f>
        <v>1.2495961129782388E-11</v>
      </c>
      <c r="G428" s="1312">
        <f t="shared" si="320"/>
        <v>3.0738804915235654E-9</v>
      </c>
      <c r="H428" s="1312">
        <f>IF(AND(C428&gt;$F$60,'Instrumentos Financeiros'!C428&lt;'Instrumentos Financeiros'!$F$60+'Instrumentos Financeiros'!$F$11+1),PMT(((1+'Instrumentos Financeiros'!$G$43)^(1/12)-1),$F$11,-$I$60),0)</f>
        <v>0</v>
      </c>
      <c r="I428" s="1312">
        <f t="shared" si="272"/>
        <v>0</v>
      </c>
      <c r="J428" s="1312">
        <f>K427*((1+'Instrumentos Financeiros'!$G$43)^(1/12)-1)</f>
        <v>0</v>
      </c>
      <c r="K428" s="1312">
        <f t="shared" si="290"/>
        <v>0</v>
      </c>
      <c r="L428" s="1312">
        <f>IF(AND(C428&gt;$F$61,'Instrumentos Financeiros'!C428&lt;'Instrumentos Financeiros'!$F$61+'Instrumentos Financeiros'!$F$11+1),PMT(((1+'Instrumentos Financeiros'!$G$43)^(1/12)-1),$F$11,-$I$61),0)</f>
        <v>0</v>
      </c>
      <c r="M428" s="1312">
        <f t="shared" si="273"/>
        <v>0</v>
      </c>
      <c r="N428" s="1312">
        <f>O427*((1+'Instrumentos Financeiros'!$G$43)^(1/12)-1)</f>
        <v>0</v>
      </c>
      <c r="O428" s="1312">
        <f t="shared" si="291"/>
        <v>0</v>
      </c>
      <c r="P428" s="1312">
        <f>IF(AND(C428&gt;$F$62,'Instrumentos Financeiros'!C428&lt;'Instrumentos Financeiros'!$F$62+'Instrumentos Financeiros'!$F$11+1),PMT(((1+'Instrumentos Financeiros'!$H$43)^(1/12)-1),$F$11,-$I$62),0)</f>
        <v>0</v>
      </c>
      <c r="Q428" s="1312">
        <f t="shared" si="274"/>
        <v>0</v>
      </c>
      <c r="R428" s="1312">
        <f>S427*((1+'Instrumentos Financeiros'!$H$43)^(1/12)-1)</f>
        <v>0</v>
      </c>
      <c r="S428" s="1312">
        <f t="shared" si="292"/>
        <v>0</v>
      </c>
      <c r="T428" s="1312">
        <f>IF(AND(C428&gt;$F$63,'Instrumentos Financeiros'!C428&lt;'Instrumentos Financeiros'!$F$63+'Instrumentos Financeiros'!$F$11+1),PMT(((1+'Instrumentos Financeiros'!$H$43)^(1/12)-1),$F$11,-$I$63),0)</f>
        <v>0</v>
      </c>
      <c r="U428" s="1312">
        <f t="shared" si="275"/>
        <v>0</v>
      </c>
      <c r="V428" s="1312">
        <f>W427*((1+'Instrumentos Financeiros'!$H$43)^(1/12)-1)</f>
        <v>0</v>
      </c>
      <c r="W428" s="1312">
        <f t="shared" si="293"/>
        <v>0</v>
      </c>
      <c r="X428" s="1312">
        <f>IF(AND(C428&gt;$F$64,'Instrumentos Financeiros'!C428&lt;'Instrumentos Financeiros'!$F$64+'Instrumentos Financeiros'!$F$11+1),PMT(((1+'Instrumentos Financeiros'!$H$43)^(1/12)-1),$F$11,-$I$64),0)</f>
        <v>0</v>
      </c>
      <c r="Y428" s="1312">
        <f t="shared" si="276"/>
        <v>0</v>
      </c>
      <c r="Z428" s="1312">
        <f>AA427*((1+'Instrumentos Financeiros'!$H$43)^(1/12)-1)</f>
        <v>0</v>
      </c>
      <c r="AA428" s="1312">
        <f t="shared" si="294"/>
        <v>0</v>
      </c>
      <c r="AB428" s="1312">
        <f>IF(AND(C428&gt;$F$65,'Instrumentos Financeiros'!C428&lt;'Instrumentos Financeiros'!$F$65+'Instrumentos Financeiros'!$F$11+1),PMT(((1+'Instrumentos Financeiros'!$H$43)^(1/12)-1),$F$11,-$I$65),0)</f>
        <v>0</v>
      </c>
      <c r="AC428" s="1312">
        <f t="shared" si="277"/>
        <v>3.0894612235835418E-11</v>
      </c>
      <c r="AD428" s="1312">
        <f>AE427*((1+'Instrumentos Financeiros'!$H$43)^(1/12)-1)</f>
        <v>-3.0894612235835418E-11</v>
      </c>
      <c r="AE428" s="1312">
        <f t="shared" si="295"/>
        <v>-7.1757917146863186E-9</v>
      </c>
      <c r="AF428" s="1312">
        <f>IF(AND(C428&gt;$F$66,'Instrumentos Financeiros'!C428&lt;'Instrumentos Financeiros'!$F$66+'Instrumentos Financeiros'!$F$11+1),PMT(((1+'Instrumentos Financeiros'!$I$43)^(1/12)-1),$F$11,-$I$66),0)</f>
        <v>0</v>
      </c>
      <c r="AG428" s="1312">
        <f t="shared" si="278"/>
        <v>3.0497287341048456E-11</v>
      </c>
      <c r="AH428" s="1312">
        <f>AI427*((1+'Instrumentos Financeiros'!$I$43)^(1/12)-1)</f>
        <v>-3.0497287341048456E-11</v>
      </c>
      <c r="AI428" s="1312">
        <f t="shared" si="296"/>
        <v>-7.0835063457589893E-9</v>
      </c>
      <c r="AJ428" s="1312">
        <f>IF(AND(C428&gt;$F$67,'Instrumentos Financeiros'!C428&lt;'Instrumentos Financeiros'!$F$67+'Instrumentos Financeiros'!$F$11+1),PMT(((1+'Instrumentos Financeiros'!$I$43)^(1/12)-1),$F$11,-$I$67),0)</f>
        <v>0</v>
      </c>
      <c r="AK428" s="1312">
        <f t="shared" si="279"/>
        <v>3.0105072303954888E-11</v>
      </c>
      <c r="AL428" s="1312">
        <f>AM427*((1+'Instrumentos Financeiros'!$I$43)^(1/12)-1)</f>
        <v>-3.0105072303954888E-11</v>
      </c>
      <c r="AM428" s="1312">
        <f t="shared" si="297"/>
        <v>-6.9924078269600743E-9</v>
      </c>
      <c r="AN428" s="1312">
        <f>IF(AND(C428&gt;$F$68,'Instrumentos Financeiros'!C428&lt;'Instrumentos Financeiros'!$F$68+'Instrumentos Financeiros'!$F$11+1),PMT(((1+'Instrumentos Financeiros'!$I$43)^(1/12)-1),$F$11,-$I$68),0)</f>
        <v>0</v>
      </c>
      <c r="AO428" s="1312">
        <f t="shared" si="280"/>
        <v>2.9717901408446831E-11</v>
      </c>
      <c r="AP428" s="1312">
        <f>AQ427*((1+'Instrumentos Financeiros'!$I$43)^(1/12)-1)</f>
        <v>-2.9717901408446831E-11</v>
      </c>
      <c r="AQ428" s="1312">
        <f t="shared" si="298"/>
        <v>-6.9024808946216318E-9</v>
      </c>
      <c r="AR428" s="1312">
        <f>IF(AND(C428&gt;$F$69,'Instrumentos Financeiros'!C428&lt;'Instrumentos Financeiros'!$F$69+'Instrumentos Financeiros'!$F$11+1),PMT(((1+'Instrumentos Financeiros'!$I$43)^(1/12)-1),$F$11,-$I$69),0)</f>
        <v>0</v>
      </c>
      <c r="AS428" s="1312">
        <f t="shared" si="281"/>
        <v>0</v>
      </c>
      <c r="AT428" s="1312">
        <f>AU427*((1+'Instrumentos Financeiros'!$I$43)^(1/12)-1)</f>
        <v>0</v>
      </c>
      <c r="AU428" s="1312">
        <f t="shared" si="299"/>
        <v>0</v>
      </c>
      <c r="AV428" s="1312">
        <f>IF(AND(C428&gt;$F$70,'Instrumentos Financeiros'!C428&lt;'Instrumentos Financeiros'!$F$70+'Instrumentos Financeiros'!$F$11+1),PMT(((1+'Instrumentos Financeiros'!$J$43)^(1/12)-1),$F$11,-$I$70),0)</f>
        <v>0</v>
      </c>
      <c r="AW428" s="1312">
        <f t="shared" si="282"/>
        <v>0</v>
      </c>
      <c r="AX428" s="1312">
        <f>AY427*((1+'Instrumentos Financeiros'!$J$43)^(1/12)-1)</f>
        <v>0</v>
      </c>
      <c r="AY428" s="1312">
        <f t="shared" si="300"/>
        <v>0</v>
      </c>
      <c r="AZ428" s="1312">
        <f>IF(AND(C428&gt;$F$71,'Instrumentos Financeiros'!C428&lt;'Instrumentos Financeiros'!$F$71+'Instrumentos Financeiros'!$F$11+1),PMT(((1+'Instrumentos Financeiros'!$J$43)^(1/12)-1),$F$11,-$I$71),0)</f>
        <v>0</v>
      </c>
      <c r="BA428" s="1312">
        <f t="shared" si="283"/>
        <v>0</v>
      </c>
      <c r="BB428" s="1312">
        <f>BC427*((1+'Instrumentos Financeiros'!$J$43)^(1/12)-1)</f>
        <v>0</v>
      </c>
      <c r="BC428" s="1312">
        <f t="shared" si="301"/>
        <v>0</v>
      </c>
      <c r="BD428" s="1312">
        <f>IF(AND(C428&gt;$F$72,'Instrumentos Financeiros'!C428&lt;'Instrumentos Financeiros'!$F$72+'Instrumentos Financeiros'!$F$11+1),PMT(((1+'Instrumentos Financeiros'!$J$43)^(1/12)-1),$F$11,-'Instrumentos Financeiros'!$G$7*$G$72),0)</f>
        <v>0</v>
      </c>
      <c r="BE428" s="1312">
        <f t="shared" si="284"/>
        <v>0</v>
      </c>
      <c r="BF428" s="1312">
        <f>BG427*((1+'Instrumentos Financeiros'!$J$43)^(1/12)-1)</f>
        <v>0</v>
      </c>
      <c r="BG428" s="1312">
        <f t="shared" si="302"/>
        <v>0</v>
      </c>
      <c r="BH428" s="1312">
        <f>IF(AND(C428&gt;$F$73,'Instrumentos Financeiros'!C428&lt;'Instrumentos Financeiros'!$F$73+'Instrumentos Financeiros'!$F$11+1),PMT(((1+'Instrumentos Financeiros'!$J$43)^(1/12)-1),$F$11,-$I$73),0)</f>
        <v>0</v>
      </c>
      <c r="BI428" s="1312">
        <f t="shared" si="285"/>
        <v>0</v>
      </c>
      <c r="BJ428" s="1312">
        <f>BK427*((1+'Instrumentos Financeiros'!$J$43)^(1/12)-1)</f>
        <v>0</v>
      </c>
      <c r="BK428" s="1312">
        <f t="shared" si="303"/>
        <v>0</v>
      </c>
      <c r="BL428" s="1312">
        <f>IF(AND(C428&gt;$F$77,'Instrumentos Financeiros'!C428&lt;'Instrumentos Financeiros'!$F$77+'Instrumentos Financeiros'!$F$12+1),PMT(((1+'Instrumentos Financeiros'!$K$43)^(1/12)-1),$F$12,-$I$77),0)</f>
        <v>0</v>
      </c>
      <c r="BM428" s="1312">
        <f t="shared" si="304"/>
        <v>8.3971448889777191E-14</v>
      </c>
      <c r="BN428" s="1312">
        <f>BO427*((1+'Instrumentos Financeiros'!$K$43)^(1/12)-1)</f>
        <v>-8.3971448889777191E-14</v>
      </c>
      <c r="BO428" s="1312">
        <f t="shared" si="305"/>
        <v>-1.9503776989132847E-11</v>
      </c>
      <c r="BP428" s="1312">
        <f>IF(AND(C428&gt;$F$78,'Instrumentos Financeiros'!C428&lt;'Instrumentos Financeiros'!$F$78+'Instrumentos Financeiros'!$F$12+1),PMT(((1+'Instrumentos Financeiros'!$L$43)^(1/12)-1),$F$12,-$I$78),0)</f>
        <v>0</v>
      </c>
      <c r="BQ428" s="1312">
        <f t="shared" si="306"/>
        <v>8.2891521203986743E-14</v>
      </c>
      <c r="BR428" s="1312">
        <f>BS427*((1+'Instrumentos Financeiros'!$L$43)^(1/12)-1)</f>
        <v>-8.2891521203986743E-14</v>
      </c>
      <c r="BS428" s="1312">
        <f t="shared" si="307"/>
        <v>-1.925294567650783E-11</v>
      </c>
      <c r="BT428" s="1312">
        <f>IF(AND(C428&gt;$F$79,'Instrumentos Financeiros'!C428&lt;'Instrumentos Financeiros'!$F$79+'Instrumentos Financeiros'!$F$12+1),PMT(((1+'Instrumentos Financeiros'!$L$43)^(1/12)-1),$F$12,-$I$79),0)</f>
        <v>0</v>
      </c>
      <c r="BU428" s="1312">
        <f t="shared" si="308"/>
        <v>8.1825482093681848E-14</v>
      </c>
      <c r="BV428" s="1312">
        <f>BW427*((1+'Instrumentos Financeiros'!$L$43)^(1/12)-1)</f>
        <v>-8.1825482093681848E-14</v>
      </c>
      <c r="BW428" s="1312">
        <f t="shared" si="309"/>
        <v>-1.9005340218414901E-11</v>
      </c>
      <c r="BX428" s="1312">
        <f>IF(AND(C428&gt;$F$80,'Instrumentos Financeiros'!C428&lt;'Instrumentos Financeiros'!$F$80+'Instrumentos Financeiros'!$F$12+1),PMT(((1+'Instrumentos Financeiros'!$L$43)^(1/12)-1),$F$12,-$I$80),0)</f>
        <v>0</v>
      </c>
      <c r="BY428" s="1312">
        <f t="shared" si="310"/>
        <v>8.0773152942709248E-14</v>
      </c>
      <c r="BZ428" s="1312">
        <f>CA427*((1+'Instrumentos Financeiros'!$L$43)^(1/12)-1)</f>
        <v>-8.0773152942709248E-14</v>
      </c>
      <c r="CA428" s="1312">
        <f t="shared" si="311"/>
        <v>-1.8760919128257532E-11</v>
      </c>
      <c r="CB428" s="1312">
        <f>IF(AND(C428&gt;$F$83,'Instrumentos Financeiros'!C428&lt;'Instrumentos Financeiros'!$F$83+'Instrumentos Financeiros'!$F$13+1),PMT(((1+'Instrumentos Financeiros'!$P$43)^(1/12)-1),$F$13,-$I$83),0)</f>
        <v>30503.390100238979</v>
      </c>
      <c r="CC428" s="1312">
        <f t="shared" si="312"/>
        <v>28715.360265535677</v>
      </c>
      <c r="CD428" s="1312">
        <f>CE427*((1+'Instrumentos Financeiros'!$P$43)^(1/12)-1)</f>
        <v>1788.0298347033022</v>
      </c>
      <c r="CE428" s="1312">
        <f t="shared" si="313"/>
        <v>384796.51965533517</v>
      </c>
      <c r="CF428" s="1312">
        <f>IF(AND(C428&gt;$F$84,'Instrumentos Financeiros'!C428&lt;'Instrumentos Financeiros'!$F$84+'Instrumentos Financeiros'!$F$13+1),PMT(((1+'Instrumentos Financeiros'!$Q$43)^(1/12)-1),$F$13,-$I$84),0)</f>
        <v>30503.390100238979</v>
      </c>
      <c r="CG428" s="1312">
        <f t="shared" si="314"/>
        <v>28346.061974649878</v>
      </c>
      <c r="CH428" s="1312">
        <f>CI427*((1+'Instrumentos Financeiros'!$Q$43)^(1/12)-1)</f>
        <v>2157.3281255891029</v>
      </c>
      <c r="CI428" s="1312">
        <f t="shared" si="315"/>
        <v>470572.23989280546</v>
      </c>
      <c r="CJ428" s="1312">
        <f>IF(AND(C428&gt;$F$85,'Instrumentos Financeiros'!C428&lt;'Instrumentos Financeiros'!$F$85+'Instrumentos Financeiros'!$F$13+1),PMT(((1+'Instrumentos Financeiros'!$Q$43)^(1/12)-1),$F$13,-$I$85),0)</f>
        <v>30503.390100238979</v>
      </c>
      <c r="CK428" s="1312">
        <f t="shared" si="316"/>
        <v>27981.513101023342</v>
      </c>
      <c r="CL428" s="1312">
        <f>CM427*((1+'Instrumentos Financeiros'!$Q$43)^(1/12)-1)</f>
        <v>2521.8769992156381</v>
      </c>
      <c r="CM428" s="1312">
        <f t="shared" si="317"/>
        <v>555244.82833634131</v>
      </c>
      <c r="CN428" s="1312">
        <f>IF(AND(C428&gt;$F$86,'Instrumentos Financeiros'!C428&lt;'Instrumentos Financeiros'!$F$86+'Instrumentos Financeiros'!$F$13+1),PMT(((1+'Instrumentos Financeiros'!$Q$43)^(1/12)-1),$F$13,-$I$86),0)</f>
        <v>30503.390100238979</v>
      </c>
      <c r="CO428" s="1312">
        <f t="shared" si="318"/>
        <v>27621.652564047636</v>
      </c>
      <c r="CP428" s="1312">
        <f>CQ427*((1+'Instrumentos Financeiros'!$Q$43)^(1/12)-1)</f>
        <v>2881.7375361913446</v>
      </c>
      <c r="CQ428" s="1312">
        <f t="shared" si="319"/>
        <v>638828.47198141657</v>
      </c>
      <c r="CR428" s="1312">
        <f t="shared" si="288"/>
        <v>122013.56040095592</v>
      </c>
      <c r="CS428" s="1312">
        <f t="shared" si="288"/>
        <v>112664.58790525665</v>
      </c>
      <c r="CT428" s="1312">
        <f t="shared" si="288"/>
        <v>9348.9724956992795</v>
      </c>
      <c r="CU428" s="1312">
        <f t="shared" si="288"/>
        <v>2049442.0598658733</v>
      </c>
    </row>
    <row r="429" spans="3:99" x14ac:dyDescent="0.35">
      <c r="C429" s="1315">
        <f t="shared" si="289"/>
        <v>336</v>
      </c>
      <c r="D429" s="1312">
        <f>IF(AND(C429&gt;$F$59,'Instrumentos Financeiros'!C429&lt;'Instrumentos Financeiros'!$F$59+'Instrumentos Financeiros'!$F$11+1),PMT(((1+'Instrumentos Financeiros'!$G$43)^(1/12)-1),$F$11,-$I$59),0)</f>
        <v>0</v>
      </c>
      <c r="E429" s="1312">
        <f t="shared" si="286"/>
        <v>-1.2546967151079863E-11</v>
      </c>
      <c r="F429" s="1312">
        <f>G428*((1+'Instrumentos Financeiros'!$G$43)^(1/12)-1)</f>
        <v>1.2546967151079863E-11</v>
      </c>
      <c r="G429" s="1312">
        <f t="shared" si="320"/>
        <v>3.0864274586746452E-9</v>
      </c>
      <c r="H429" s="1312">
        <f>IF(AND(C429&gt;$F$60,'Instrumentos Financeiros'!C429&lt;'Instrumentos Financeiros'!$F$60+'Instrumentos Financeiros'!$F$11+1),PMT(((1+'Instrumentos Financeiros'!$G$43)^(1/12)-1),$F$11,-$I$60),0)</f>
        <v>0</v>
      </c>
      <c r="I429" s="1312">
        <f t="shared" si="272"/>
        <v>0</v>
      </c>
      <c r="J429" s="1312">
        <f>K428*((1+'Instrumentos Financeiros'!$G$43)^(1/12)-1)</f>
        <v>0</v>
      </c>
      <c r="K429" s="1312">
        <f t="shared" si="290"/>
        <v>0</v>
      </c>
      <c r="L429" s="1312">
        <f>IF(AND(C429&gt;$F$61,'Instrumentos Financeiros'!C429&lt;'Instrumentos Financeiros'!$F$61+'Instrumentos Financeiros'!$F$11+1),PMT(((1+'Instrumentos Financeiros'!$G$43)^(1/12)-1),$F$11,-$I$61),0)</f>
        <v>0</v>
      </c>
      <c r="M429" s="1312">
        <f t="shared" si="273"/>
        <v>0</v>
      </c>
      <c r="N429" s="1312">
        <f>O428*((1+'Instrumentos Financeiros'!$G$43)^(1/12)-1)</f>
        <v>0</v>
      </c>
      <c r="O429" s="1312">
        <f t="shared" si="291"/>
        <v>0</v>
      </c>
      <c r="P429" s="1312">
        <f>IF(AND(C429&gt;$F$62,'Instrumentos Financeiros'!C429&lt;'Instrumentos Financeiros'!$F$62+'Instrumentos Financeiros'!$F$11+1),PMT(((1+'Instrumentos Financeiros'!$H$43)^(1/12)-1),$F$11,-$I$62),0)</f>
        <v>0</v>
      </c>
      <c r="Q429" s="1312">
        <f t="shared" si="274"/>
        <v>0</v>
      </c>
      <c r="R429" s="1312">
        <f>S428*((1+'Instrumentos Financeiros'!$H$43)^(1/12)-1)</f>
        <v>0</v>
      </c>
      <c r="S429" s="1312">
        <f t="shared" si="292"/>
        <v>0</v>
      </c>
      <c r="T429" s="1312">
        <f>IF(AND(C429&gt;$F$63,'Instrumentos Financeiros'!C429&lt;'Instrumentos Financeiros'!$F$63+'Instrumentos Financeiros'!$F$11+1),PMT(((1+'Instrumentos Financeiros'!$H$43)^(1/12)-1),$F$11,-$I$63),0)</f>
        <v>0</v>
      </c>
      <c r="U429" s="1312">
        <f t="shared" si="275"/>
        <v>0</v>
      </c>
      <c r="V429" s="1312">
        <f>W428*((1+'Instrumentos Financeiros'!$H$43)^(1/12)-1)</f>
        <v>0</v>
      </c>
      <c r="W429" s="1312">
        <f t="shared" si="293"/>
        <v>0</v>
      </c>
      <c r="X429" s="1312">
        <f>IF(AND(C429&gt;$F$64,'Instrumentos Financeiros'!C429&lt;'Instrumentos Financeiros'!$F$64+'Instrumentos Financeiros'!$F$11+1),PMT(((1+'Instrumentos Financeiros'!$H$43)^(1/12)-1),$F$11,-$I$64),0)</f>
        <v>0</v>
      </c>
      <c r="Y429" s="1312">
        <f t="shared" si="276"/>
        <v>0</v>
      </c>
      <c r="Z429" s="1312">
        <f>AA428*((1+'Instrumentos Financeiros'!$H$43)^(1/12)-1)</f>
        <v>0</v>
      </c>
      <c r="AA429" s="1312">
        <f t="shared" si="294"/>
        <v>0</v>
      </c>
      <c r="AB429" s="1312">
        <f>IF(AND(C429&gt;$F$65,'Instrumentos Financeiros'!C429&lt;'Instrumentos Financeiros'!$F$65+'Instrumentos Financeiros'!$F$11+1),PMT(((1+'Instrumentos Financeiros'!$H$43)^(1/12)-1),$F$11,-$I$65),0)</f>
        <v>0</v>
      </c>
      <c r="AC429" s="1312">
        <f t="shared" si="277"/>
        <v>3.1028200872804764E-11</v>
      </c>
      <c r="AD429" s="1312">
        <f>AE428*((1+'Instrumentos Financeiros'!$H$43)^(1/12)-1)</f>
        <v>-3.1028200872804764E-11</v>
      </c>
      <c r="AE429" s="1312">
        <f t="shared" si="295"/>
        <v>-7.2068199155591235E-9</v>
      </c>
      <c r="AF429" s="1312">
        <f>IF(AND(C429&gt;$F$66,'Instrumentos Financeiros'!C429&lt;'Instrumentos Financeiros'!$F$66+'Instrumentos Financeiros'!$F$11+1),PMT(((1+'Instrumentos Financeiros'!$I$43)^(1/12)-1),$F$11,-$I$66),0)</f>
        <v>0</v>
      </c>
      <c r="AG429" s="1312">
        <f t="shared" si="278"/>
        <v>3.0629157940881648E-11</v>
      </c>
      <c r="AH429" s="1312">
        <f>AI428*((1+'Instrumentos Financeiros'!$I$43)^(1/12)-1)</f>
        <v>-3.0629157940881648E-11</v>
      </c>
      <c r="AI429" s="1312">
        <f t="shared" si="296"/>
        <v>-7.1141355036998707E-9</v>
      </c>
      <c r="AJ429" s="1312">
        <f>IF(AND(C429&gt;$F$67,'Instrumentos Financeiros'!C429&lt;'Instrumentos Financeiros'!$F$67+'Instrumentos Financeiros'!$F$11+1),PMT(((1+'Instrumentos Financeiros'!$I$43)^(1/12)-1),$F$11,-$I$67),0)</f>
        <v>0</v>
      </c>
      <c r="AK429" s="1312">
        <f t="shared" si="279"/>
        <v>3.0235246961731762E-11</v>
      </c>
      <c r="AL429" s="1312">
        <f>AM428*((1+'Instrumentos Financeiros'!$I$43)^(1/12)-1)</f>
        <v>-3.0235246961731762E-11</v>
      </c>
      <c r="AM429" s="1312">
        <f t="shared" si="297"/>
        <v>-7.0226430739218059E-9</v>
      </c>
      <c r="AN429" s="1312">
        <f>IF(AND(C429&gt;$F$68,'Instrumentos Financeiros'!C429&lt;'Instrumentos Financeiros'!$F$68+'Instrumentos Financeiros'!$F$11+1),PMT(((1+'Instrumentos Financeiros'!$I$43)^(1/12)-1),$F$11,-$I$68),0)</f>
        <v>0</v>
      </c>
      <c r="AO429" s="1312">
        <f t="shared" si="280"/>
        <v>2.9846401935090087E-11</v>
      </c>
      <c r="AP429" s="1312">
        <f>AQ428*((1+'Instrumentos Financeiros'!$I$43)^(1/12)-1)</f>
        <v>-2.9846401935090087E-11</v>
      </c>
      <c r="AQ429" s="1312">
        <f t="shared" si="298"/>
        <v>-6.9323272965567215E-9</v>
      </c>
      <c r="AR429" s="1312">
        <f>IF(AND(C429&gt;$F$69,'Instrumentos Financeiros'!C429&lt;'Instrumentos Financeiros'!$F$69+'Instrumentos Financeiros'!$F$11+1),PMT(((1+'Instrumentos Financeiros'!$I$43)^(1/12)-1),$F$11,-$I$69),0)</f>
        <v>0</v>
      </c>
      <c r="AS429" s="1312">
        <f t="shared" si="281"/>
        <v>0</v>
      </c>
      <c r="AT429" s="1312">
        <f>AU428*((1+'Instrumentos Financeiros'!$I$43)^(1/12)-1)</f>
        <v>0</v>
      </c>
      <c r="AU429" s="1312">
        <f t="shared" si="299"/>
        <v>0</v>
      </c>
      <c r="AV429" s="1312">
        <f>IF(AND(C429&gt;$F$70,'Instrumentos Financeiros'!C429&lt;'Instrumentos Financeiros'!$F$70+'Instrumentos Financeiros'!$F$11+1),PMT(((1+'Instrumentos Financeiros'!$J$43)^(1/12)-1),$F$11,-$I$70),0)</f>
        <v>0</v>
      </c>
      <c r="AW429" s="1312">
        <f t="shared" si="282"/>
        <v>0</v>
      </c>
      <c r="AX429" s="1312">
        <f>AY428*((1+'Instrumentos Financeiros'!$J$43)^(1/12)-1)</f>
        <v>0</v>
      </c>
      <c r="AY429" s="1312">
        <f t="shared" si="300"/>
        <v>0</v>
      </c>
      <c r="AZ429" s="1312">
        <f>IF(AND(C429&gt;$F$71,'Instrumentos Financeiros'!C429&lt;'Instrumentos Financeiros'!$F$71+'Instrumentos Financeiros'!$F$11+1),PMT(((1+'Instrumentos Financeiros'!$J$43)^(1/12)-1),$F$11,-$I$71),0)</f>
        <v>0</v>
      </c>
      <c r="BA429" s="1312">
        <f t="shared" si="283"/>
        <v>0</v>
      </c>
      <c r="BB429" s="1312">
        <f>BC428*((1+'Instrumentos Financeiros'!$J$43)^(1/12)-1)</f>
        <v>0</v>
      </c>
      <c r="BC429" s="1312">
        <f t="shared" si="301"/>
        <v>0</v>
      </c>
      <c r="BD429" s="1312">
        <f>IF(AND(C429&gt;$F$72,'Instrumentos Financeiros'!C429&lt;'Instrumentos Financeiros'!$F$72+'Instrumentos Financeiros'!$F$11+1),PMT(((1+'Instrumentos Financeiros'!$J$43)^(1/12)-1),$F$11,-'Instrumentos Financeiros'!$G$7*$G$72),0)</f>
        <v>0</v>
      </c>
      <c r="BE429" s="1312">
        <f t="shared" si="284"/>
        <v>0</v>
      </c>
      <c r="BF429" s="1312">
        <f>BG428*((1+'Instrumentos Financeiros'!$J$43)^(1/12)-1)</f>
        <v>0</v>
      </c>
      <c r="BG429" s="1312">
        <f t="shared" si="302"/>
        <v>0</v>
      </c>
      <c r="BH429" s="1312">
        <f>IF(AND(C429&gt;$F$73,'Instrumentos Financeiros'!C429&lt;'Instrumentos Financeiros'!$F$73+'Instrumentos Financeiros'!$F$11+1),PMT(((1+'Instrumentos Financeiros'!$J$43)^(1/12)-1),$F$11,-$I$73),0)</f>
        <v>0</v>
      </c>
      <c r="BI429" s="1312">
        <f t="shared" si="285"/>
        <v>0</v>
      </c>
      <c r="BJ429" s="1312">
        <f>BK428*((1+'Instrumentos Financeiros'!$J$43)^(1/12)-1)</f>
        <v>0</v>
      </c>
      <c r="BK429" s="1312">
        <f t="shared" si="303"/>
        <v>0</v>
      </c>
      <c r="BL429" s="1312">
        <f>IF(AND(C429&gt;$F$77,'Instrumentos Financeiros'!C429&lt;'Instrumentos Financeiros'!$F$77+'Instrumentos Financeiros'!$F$12+1),PMT(((1+'Instrumentos Financeiros'!$K$43)^(1/12)-1),$F$12,-$I$77),0)</f>
        <v>0</v>
      </c>
      <c r="BM429" s="1312">
        <f t="shared" si="304"/>
        <v>8.4334542341667657E-14</v>
      </c>
      <c r="BN429" s="1312">
        <f>BO428*((1+'Instrumentos Financeiros'!$K$43)^(1/12)-1)</f>
        <v>-8.4334542341667657E-14</v>
      </c>
      <c r="BO429" s="1312">
        <f t="shared" si="305"/>
        <v>-1.9588111531474515E-11</v>
      </c>
      <c r="BP429" s="1312">
        <f>IF(AND(C429&gt;$F$78,'Instrumentos Financeiros'!C429&lt;'Instrumentos Financeiros'!$F$78+'Instrumentos Financeiros'!$F$12+1),PMT(((1+'Instrumentos Financeiros'!$L$43)^(1/12)-1),$F$12,-$I$78),0)</f>
        <v>0</v>
      </c>
      <c r="BQ429" s="1312">
        <f t="shared" si="306"/>
        <v>8.3249945036900643E-14</v>
      </c>
      <c r="BR429" s="1312">
        <f>BS428*((1+'Instrumentos Financeiros'!$L$43)^(1/12)-1)</f>
        <v>-8.3249945036900643E-14</v>
      </c>
      <c r="BS429" s="1312">
        <f t="shared" si="307"/>
        <v>-1.9336195621544732E-11</v>
      </c>
      <c r="BT429" s="1312">
        <f>IF(AND(C429&gt;$F$79,'Instrumentos Financeiros'!C429&lt;'Instrumentos Financeiros'!$F$79+'Instrumentos Financeiros'!$F$12+1),PMT(((1+'Instrumentos Financeiros'!$L$43)^(1/12)-1),$F$12,-$I$79),0)</f>
        <v>0</v>
      </c>
      <c r="BU429" s="1312">
        <f t="shared" si="308"/>
        <v>8.2179296361969568E-14</v>
      </c>
      <c r="BV429" s="1312">
        <f>BW428*((1+'Instrumentos Financeiros'!$L$43)^(1/12)-1)</f>
        <v>-8.2179296361969568E-14</v>
      </c>
      <c r="BW429" s="1312">
        <f t="shared" si="309"/>
        <v>-1.9087519514776869E-11</v>
      </c>
      <c r="BX429" s="1312">
        <f>IF(AND(C429&gt;$F$80,'Instrumentos Financeiros'!C429&lt;'Instrumentos Financeiros'!$F$80+'Instrumentos Financeiros'!$F$12+1),PMT(((1+'Instrumentos Financeiros'!$L$43)^(1/12)-1),$F$12,-$I$80),0)</f>
        <v>0</v>
      </c>
      <c r="BY429" s="1312">
        <f t="shared" si="310"/>
        <v>8.1122416928383016E-14</v>
      </c>
      <c r="BZ429" s="1312">
        <f>CA428*((1+'Instrumentos Financeiros'!$L$43)^(1/12)-1)</f>
        <v>-8.1122416928383016E-14</v>
      </c>
      <c r="CA429" s="1312">
        <f t="shared" si="311"/>
        <v>-1.8842041545185916E-11</v>
      </c>
      <c r="CB429" s="1312">
        <f>IF(AND(C429&gt;$F$83,'Instrumentos Financeiros'!C429&lt;'Instrumentos Financeiros'!$F$83+'Instrumentos Financeiros'!$F$13+1),PMT(((1+'Instrumentos Financeiros'!$P$43)^(1/12)-1),$F$13,-$I$83),0)</f>
        <v>30503.390100238979</v>
      </c>
      <c r="CC429" s="1312">
        <f t="shared" si="312"/>
        <v>28839.525793449546</v>
      </c>
      <c r="CD429" s="1312">
        <f>CE428*((1+'Instrumentos Financeiros'!$P$43)^(1/12)-1)</f>
        <v>1663.8643067894329</v>
      </c>
      <c r="CE429" s="1312">
        <f t="shared" si="313"/>
        <v>355956.99386188562</v>
      </c>
      <c r="CF429" s="1312">
        <f>IF(AND(C429&gt;$F$84,'Instrumentos Financeiros'!C429&lt;'Instrumentos Financeiros'!$F$84+'Instrumentos Financeiros'!$F$13+1),PMT(((1+'Instrumentos Financeiros'!$Q$43)^(1/12)-1),$F$13,-$I$84),0)</f>
        <v>30503.390100238979</v>
      </c>
      <c r="CG429" s="1312">
        <f t="shared" si="314"/>
        <v>28468.630652765536</v>
      </c>
      <c r="CH429" s="1312">
        <f>CI428*((1+'Instrumentos Financeiros'!$Q$43)^(1/12)-1)</f>
        <v>2034.7594474734426</v>
      </c>
      <c r="CI429" s="1312">
        <f t="shared" si="315"/>
        <v>442103.60924003995</v>
      </c>
      <c r="CJ429" s="1312">
        <f>IF(AND(C429&gt;$F$85,'Instrumentos Financeiros'!C429&lt;'Instrumentos Financeiros'!$F$85+'Instrumentos Financeiros'!$F$13+1),PMT(((1+'Instrumentos Financeiros'!$Q$43)^(1/12)-1),$F$13,-$I$85),0)</f>
        <v>30503.390100238979</v>
      </c>
      <c r="CK429" s="1312">
        <f t="shared" si="316"/>
        <v>28102.505465872317</v>
      </c>
      <c r="CL429" s="1312">
        <f>CM428*((1+'Instrumentos Financeiros'!$Q$43)^(1/12)-1)</f>
        <v>2400.8846343666637</v>
      </c>
      <c r="CM429" s="1312">
        <f t="shared" si="317"/>
        <v>527142.32287046895</v>
      </c>
      <c r="CN429" s="1312">
        <f>IF(AND(C429&gt;$F$86,'Instrumentos Financeiros'!C429&lt;'Instrumentos Financeiros'!$F$86+'Instrumentos Financeiros'!$F$13+1),PMT(((1+'Instrumentos Financeiros'!$Q$43)^(1/12)-1),$F$13,-$I$86),0)</f>
        <v>30503.390100238979</v>
      </c>
      <c r="CO429" s="1312">
        <f t="shared" si="318"/>
        <v>27741.088888048234</v>
      </c>
      <c r="CP429" s="1312">
        <f>CQ428*((1+'Instrumentos Financeiros'!$Q$43)^(1/12)-1)</f>
        <v>2762.3012121907454</v>
      </c>
      <c r="CQ429" s="1312">
        <f t="shared" si="319"/>
        <v>611087.38309336838</v>
      </c>
      <c r="CR429" s="1312">
        <f t="shared" si="288"/>
        <v>122013.56040095592</v>
      </c>
      <c r="CS429" s="1312">
        <f t="shared" si="288"/>
        <v>113151.75080013573</v>
      </c>
      <c r="CT429" s="1312">
        <f t="shared" si="288"/>
        <v>8861.8096008201755</v>
      </c>
      <c r="CU429" s="1312">
        <f t="shared" si="288"/>
        <v>1936290.3090657378</v>
      </c>
    </row>
    <row r="430" spans="3:99" x14ac:dyDescent="0.35">
      <c r="C430" s="1315">
        <f t="shared" si="289"/>
        <v>337</v>
      </c>
      <c r="D430" s="1312">
        <f>IF(AND(C430&gt;$F$59,'Instrumentos Financeiros'!C430&lt;'Instrumentos Financeiros'!$F$59+'Instrumentos Financeiros'!$F$11+1),PMT(((1+'Instrumentos Financeiros'!$G$43)^(1/12)-1),$F$11,-$I$59),0)</f>
        <v>0</v>
      </c>
      <c r="E430" s="1312">
        <f t="shared" si="286"/>
        <v>-1.259818136878429E-11</v>
      </c>
      <c r="F430" s="1312">
        <f>G429*((1+'Instrumentos Financeiros'!$G$43)^(1/12)-1)</f>
        <v>1.259818136878429E-11</v>
      </c>
      <c r="G430" s="1312">
        <f t="shared" si="320"/>
        <v>3.0990256400434297E-9</v>
      </c>
      <c r="H430" s="1312">
        <f>IF(AND(C430&gt;$F$60,'Instrumentos Financeiros'!C430&lt;'Instrumentos Financeiros'!$F$60+'Instrumentos Financeiros'!$F$11+1),PMT(((1+'Instrumentos Financeiros'!$G$43)^(1/12)-1),$F$11,-$I$60),0)</f>
        <v>0</v>
      </c>
      <c r="I430" s="1312">
        <f t="shared" si="272"/>
        <v>0</v>
      </c>
      <c r="J430" s="1312">
        <f>K429*((1+'Instrumentos Financeiros'!$G$43)^(1/12)-1)</f>
        <v>0</v>
      </c>
      <c r="K430" s="1312">
        <f t="shared" si="290"/>
        <v>0</v>
      </c>
      <c r="L430" s="1312">
        <f>IF(AND(C430&gt;$F$61,'Instrumentos Financeiros'!C430&lt;'Instrumentos Financeiros'!$F$61+'Instrumentos Financeiros'!$F$11+1),PMT(((1+'Instrumentos Financeiros'!$G$43)^(1/12)-1),$F$11,-$I$61),0)</f>
        <v>0</v>
      </c>
      <c r="M430" s="1312">
        <f t="shared" si="273"/>
        <v>0</v>
      </c>
      <c r="N430" s="1312">
        <f>O429*((1+'Instrumentos Financeiros'!$G$43)^(1/12)-1)</f>
        <v>0</v>
      </c>
      <c r="O430" s="1312">
        <f t="shared" si="291"/>
        <v>0</v>
      </c>
      <c r="P430" s="1312">
        <f>IF(AND(C430&gt;$F$62,'Instrumentos Financeiros'!C430&lt;'Instrumentos Financeiros'!$F$62+'Instrumentos Financeiros'!$F$11+1),PMT(((1+'Instrumentos Financeiros'!$H$43)^(1/12)-1),$F$11,-$I$62),0)</f>
        <v>0</v>
      </c>
      <c r="Q430" s="1312">
        <f t="shared" si="274"/>
        <v>0</v>
      </c>
      <c r="R430" s="1312">
        <f>S429*((1+'Instrumentos Financeiros'!$H$43)^(1/12)-1)</f>
        <v>0</v>
      </c>
      <c r="S430" s="1312">
        <f t="shared" si="292"/>
        <v>0</v>
      </c>
      <c r="T430" s="1312">
        <f>IF(AND(C430&gt;$F$63,'Instrumentos Financeiros'!C430&lt;'Instrumentos Financeiros'!$F$63+'Instrumentos Financeiros'!$F$11+1),PMT(((1+'Instrumentos Financeiros'!$H$43)^(1/12)-1),$F$11,-$I$63),0)</f>
        <v>0</v>
      </c>
      <c r="U430" s="1312">
        <f t="shared" si="275"/>
        <v>0</v>
      </c>
      <c r="V430" s="1312">
        <f>W429*((1+'Instrumentos Financeiros'!$H$43)^(1/12)-1)</f>
        <v>0</v>
      </c>
      <c r="W430" s="1312">
        <f t="shared" si="293"/>
        <v>0</v>
      </c>
      <c r="X430" s="1312">
        <f>IF(AND(C430&gt;$F$64,'Instrumentos Financeiros'!C430&lt;'Instrumentos Financeiros'!$F$64+'Instrumentos Financeiros'!$F$11+1),PMT(((1+'Instrumentos Financeiros'!$H$43)^(1/12)-1),$F$11,-$I$64),0)</f>
        <v>0</v>
      </c>
      <c r="Y430" s="1312">
        <f t="shared" si="276"/>
        <v>0</v>
      </c>
      <c r="Z430" s="1312">
        <f>AA429*((1+'Instrumentos Financeiros'!$H$43)^(1/12)-1)</f>
        <v>0</v>
      </c>
      <c r="AA430" s="1312">
        <f t="shared" si="294"/>
        <v>0</v>
      </c>
      <c r="AB430" s="1312">
        <f>IF(AND(C430&gt;$F$65,'Instrumentos Financeiros'!C430&lt;'Instrumentos Financeiros'!$F$65+'Instrumentos Financeiros'!$F$11+1),PMT(((1+'Instrumentos Financeiros'!$H$43)^(1/12)-1),$F$11,-$I$65),0)</f>
        <v>0</v>
      </c>
      <c r="AC430" s="1312">
        <f t="shared" si="277"/>
        <v>3.1162367148483129E-11</v>
      </c>
      <c r="AD430" s="1312">
        <f>AE429*((1+'Instrumentos Financeiros'!$H$43)^(1/12)-1)</f>
        <v>-3.1162367148483129E-11</v>
      </c>
      <c r="AE430" s="1312">
        <f t="shared" si="295"/>
        <v>-7.2379822827076067E-9</v>
      </c>
      <c r="AF430" s="1312">
        <f>IF(AND(C430&gt;$F$66,'Instrumentos Financeiros'!C430&lt;'Instrumentos Financeiros'!$F$66+'Instrumentos Financeiros'!$F$11+1),PMT(((1+'Instrumentos Financeiros'!$I$43)^(1/12)-1),$F$11,-$I$66),0)</f>
        <v>0</v>
      </c>
      <c r="AG430" s="1312">
        <f t="shared" si="278"/>
        <v>3.0761598750612714E-11</v>
      </c>
      <c r="AH430" s="1312">
        <f>AI429*((1+'Instrumentos Financeiros'!$I$43)^(1/12)-1)</f>
        <v>-3.0761598750612714E-11</v>
      </c>
      <c r="AI430" s="1312">
        <f t="shared" si="296"/>
        <v>-7.1448971024504836E-9</v>
      </c>
      <c r="AJ430" s="1312">
        <f>IF(AND(C430&gt;$F$67,'Instrumentos Financeiros'!C430&lt;'Instrumentos Financeiros'!$F$67+'Instrumentos Financeiros'!$F$11+1),PMT(((1+'Instrumentos Financeiros'!$I$43)^(1/12)-1),$F$11,-$I$67),0)</f>
        <v>0</v>
      </c>
      <c r="AK430" s="1312">
        <f t="shared" si="279"/>
        <v>3.0365984496134746E-11</v>
      </c>
      <c r="AL430" s="1312">
        <f>AM429*((1+'Instrumentos Financeiros'!$I$43)^(1/12)-1)</f>
        <v>-3.0365984496134746E-11</v>
      </c>
      <c r="AM430" s="1312">
        <f t="shared" si="297"/>
        <v>-7.0530090584179407E-9</v>
      </c>
      <c r="AN430" s="1312">
        <f>IF(AND(C430&gt;$F$68,'Instrumentos Financeiros'!C430&lt;'Instrumentos Financeiros'!$F$68+'Instrumentos Financeiros'!$F$11+1),PMT(((1+'Instrumentos Financeiros'!$I$43)^(1/12)-1),$F$11,-$I$68),0)</f>
        <v>0</v>
      </c>
      <c r="AO430" s="1312">
        <f t="shared" si="280"/>
        <v>2.997545809939835E-11</v>
      </c>
      <c r="AP430" s="1312">
        <f>AQ429*((1+'Instrumentos Financeiros'!$I$43)^(1/12)-1)</f>
        <v>-2.997545809939835E-11</v>
      </c>
      <c r="AQ430" s="1312">
        <f t="shared" si="298"/>
        <v>-6.9623027546561197E-9</v>
      </c>
      <c r="AR430" s="1312">
        <f>IF(AND(C430&gt;$F$69,'Instrumentos Financeiros'!C430&lt;'Instrumentos Financeiros'!$F$69+'Instrumentos Financeiros'!$F$11+1),PMT(((1+'Instrumentos Financeiros'!$I$43)^(1/12)-1),$F$11,-$I$69),0)</f>
        <v>0</v>
      </c>
      <c r="AS430" s="1312">
        <f t="shared" si="281"/>
        <v>0</v>
      </c>
      <c r="AT430" s="1312">
        <f>AU429*((1+'Instrumentos Financeiros'!$I$43)^(1/12)-1)</f>
        <v>0</v>
      </c>
      <c r="AU430" s="1312">
        <f t="shared" si="299"/>
        <v>0</v>
      </c>
      <c r="AV430" s="1312">
        <f>IF(AND(C430&gt;$F$70,'Instrumentos Financeiros'!C430&lt;'Instrumentos Financeiros'!$F$70+'Instrumentos Financeiros'!$F$11+1),PMT(((1+'Instrumentos Financeiros'!$J$43)^(1/12)-1),$F$11,-$I$70),0)</f>
        <v>0</v>
      </c>
      <c r="AW430" s="1312">
        <f t="shared" si="282"/>
        <v>0</v>
      </c>
      <c r="AX430" s="1312">
        <f>AY429*((1+'Instrumentos Financeiros'!$J$43)^(1/12)-1)</f>
        <v>0</v>
      </c>
      <c r="AY430" s="1312">
        <f t="shared" si="300"/>
        <v>0</v>
      </c>
      <c r="AZ430" s="1312">
        <f>IF(AND(C430&gt;$F$71,'Instrumentos Financeiros'!C430&lt;'Instrumentos Financeiros'!$F$71+'Instrumentos Financeiros'!$F$11+1),PMT(((1+'Instrumentos Financeiros'!$J$43)^(1/12)-1),$F$11,-$I$71),0)</f>
        <v>0</v>
      </c>
      <c r="BA430" s="1312">
        <f t="shared" si="283"/>
        <v>0</v>
      </c>
      <c r="BB430" s="1312">
        <f>BC429*((1+'Instrumentos Financeiros'!$J$43)^(1/12)-1)</f>
        <v>0</v>
      </c>
      <c r="BC430" s="1312">
        <f t="shared" si="301"/>
        <v>0</v>
      </c>
      <c r="BD430" s="1312">
        <f>IF(AND(C430&gt;$F$72,'Instrumentos Financeiros'!C430&lt;'Instrumentos Financeiros'!$F$72+'Instrumentos Financeiros'!$F$11+1),PMT(((1+'Instrumentos Financeiros'!$J$43)^(1/12)-1),$F$11,-'Instrumentos Financeiros'!$G$7*$G$72),0)</f>
        <v>0</v>
      </c>
      <c r="BE430" s="1312">
        <f t="shared" si="284"/>
        <v>0</v>
      </c>
      <c r="BF430" s="1312">
        <f>BG429*((1+'Instrumentos Financeiros'!$J$43)^(1/12)-1)</f>
        <v>0</v>
      </c>
      <c r="BG430" s="1312">
        <f t="shared" si="302"/>
        <v>0</v>
      </c>
      <c r="BH430" s="1312">
        <f>IF(AND(C430&gt;$F$73,'Instrumentos Financeiros'!C430&lt;'Instrumentos Financeiros'!$F$73+'Instrumentos Financeiros'!$F$11+1),PMT(((1+'Instrumentos Financeiros'!$J$43)^(1/12)-1),$F$11,-$I$73),0)</f>
        <v>0</v>
      </c>
      <c r="BI430" s="1312">
        <f t="shared" si="285"/>
        <v>0</v>
      </c>
      <c r="BJ430" s="1312">
        <f>BK429*((1+'Instrumentos Financeiros'!$J$43)^(1/12)-1)</f>
        <v>0</v>
      </c>
      <c r="BK430" s="1312">
        <f t="shared" si="303"/>
        <v>0</v>
      </c>
      <c r="BL430" s="1312">
        <f>IF(AND(C430&gt;$F$77,'Instrumentos Financeiros'!C430&lt;'Instrumentos Financeiros'!$F$77+'Instrumentos Financeiros'!$F$12+1),PMT(((1+'Instrumentos Financeiros'!$K$43)^(1/12)-1),$F$12,-$I$77),0)</f>
        <v>0</v>
      </c>
      <c r="BM430" s="1312">
        <f t="shared" si="304"/>
        <v>8.469920581356551E-14</v>
      </c>
      <c r="BN430" s="1312">
        <f>BO429*((1+'Instrumentos Financeiros'!$K$43)^(1/12)-1)</f>
        <v>-8.469920581356551E-14</v>
      </c>
      <c r="BO430" s="1312">
        <f t="shared" si="305"/>
        <v>-1.9672810737288079E-11</v>
      </c>
      <c r="BP430" s="1312">
        <f>IF(AND(C430&gt;$F$78,'Instrumentos Financeiros'!C430&lt;'Instrumentos Financeiros'!$F$78+'Instrumentos Financeiros'!$F$12+1),PMT(((1+'Instrumentos Financeiros'!$L$43)^(1/12)-1),$F$12,-$I$78),0)</f>
        <v>0</v>
      </c>
      <c r="BQ430" s="1312">
        <f t="shared" si="306"/>
        <v>8.3609918698339039E-14</v>
      </c>
      <c r="BR430" s="1312">
        <f>BS429*((1+'Instrumentos Financeiros'!$L$43)^(1/12)-1)</f>
        <v>-8.3609918698339039E-14</v>
      </c>
      <c r="BS430" s="1312">
        <f t="shared" si="307"/>
        <v>-1.941980554024307E-11</v>
      </c>
      <c r="BT430" s="1312">
        <f>IF(AND(C430&gt;$F$79,'Instrumentos Financeiros'!C430&lt;'Instrumentos Financeiros'!$F$79+'Instrumentos Financeiros'!$F$12+1),PMT(((1+'Instrumentos Financeiros'!$L$43)^(1/12)-1),$F$12,-$I$79),0)</f>
        <v>0</v>
      </c>
      <c r="BU430" s="1312">
        <f t="shared" si="308"/>
        <v>8.2534640526974559E-14</v>
      </c>
      <c r="BV430" s="1312">
        <f>BW429*((1+'Instrumentos Financeiros'!$L$43)^(1/12)-1)</f>
        <v>-8.2534640526974559E-14</v>
      </c>
      <c r="BW430" s="1312">
        <f t="shared" si="309"/>
        <v>-1.9170054155303844E-11</v>
      </c>
      <c r="BX430" s="1312">
        <f>IF(AND(C430&gt;$F$80,'Instrumentos Financeiros'!C430&lt;'Instrumentos Financeiros'!$F$80+'Instrumentos Financeiros'!$F$12+1),PMT(((1+'Instrumentos Financeiros'!$L$43)^(1/12)-1),$F$12,-$I$80),0)</f>
        <v>0</v>
      </c>
      <c r="BY430" s="1312">
        <f t="shared" si="310"/>
        <v>8.1473191135302891E-14</v>
      </c>
      <c r="BZ430" s="1312">
        <f>CA429*((1+'Instrumentos Financeiros'!$L$43)^(1/12)-1)</f>
        <v>-8.1473191135302891E-14</v>
      </c>
      <c r="CA430" s="1312">
        <f t="shared" si="311"/>
        <v>-1.892351473632122E-11</v>
      </c>
      <c r="CB430" s="1312">
        <f>IF(AND(C430&gt;$F$83,'Instrumentos Financeiros'!C430&lt;'Instrumentos Financeiros'!$F$83+'Instrumentos Financeiros'!$F$13+1),PMT(((1+'Instrumentos Financeiros'!$P$43)^(1/12)-1),$F$13,-$I$83),0)</f>
        <v>30503.390100238979</v>
      </c>
      <c r="CC430" s="1312">
        <f t="shared" si="312"/>
        <v>28964.228214447103</v>
      </c>
      <c r="CD430" s="1312">
        <f>CE429*((1+'Instrumentos Financeiros'!$P$43)^(1/12)-1)</f>
        <v>1539.161885791877</v>
      </c>
      <c r="CE430" s="1312">
        <f t="shared" si="313"/>
        <v>326992.76564743853</v>
      </c>
      <c r="CF430" s="1312">
        <f>IF(AND(C430&gt;$F$84,'Instrumentos Financeiros'!C430&lt;'Instrumentos Financeiros'!$F$84+'Instrumentos Financeiros'!$F$13+1),PMT(((1+'Instrumentos Financeiros'!$Q$43)^(1/12)-1),$F$13,-$I$84),0)</f>
        <v>30503.390100238979</v>
      </c>
      <c r="CG430" s="1312">
        <f t="shared" si="314"/>
        <v>28591.72931916911</v>
      </c>
      <c r="CH430" s="1312">
        <f>CI429*((1+'Instrumentos Financeiros'!$Q$43)^(1/12)-1)</f>
        <v>1911.6607810698692</v>
      </c>
      <c r="CI430" s="1312">
        <f t="shared" si="315"/>
        <v>413511.87992087082</v>
      </c>
      <c r="CJ430" s="1312">
        <f>IF(AND(C430&gt;$F$85,'Instrumentos Financeiros'!C430&lt;'Instrumentos Financeiros'!$F$85+'Instrumentos Financeiros'!$F$13+1),PMT(((1+'Instrumentos Financeiros'!$Q$43)^(1/12)-1),$F$13,-$I$85),0)</f>
        <v>30503.390100238979</v>
      </c>
      <c r="CK430" s="1312">
        <f t="shared" si="316"/>
        <v>28224.021003013615</v>
      </c>
      <c r="CL430" s="1312">
        <f>CM429*((1+'Instrumentos Financeiros'!$Q$43)^(1/12)-1)</f>
        <v>2279.3690972253662</v>
      </c>
      <c r="CM430" s="1312">
        <f t="shared" si="317"/>
        <v>498918.30186745536</v>
      </c>
      <c r="CN430" s="1312">
        <f>IF(AND(C430&gt;$F$86,'Instrumentos Financeiros'!C430&lt;'Instrumentos Financeiros'!$F$86+'Instrumentos Financeiros'!$F$13+1),PMT(((1+'Instrumentos Financeiros'!$Q$43)^(1/12)-1),$F$13,-$I$86),0)</f>
        <v>30503.390100238979</v>
      </c>
      <c r="CO430" s="1312">
        <f t="shared" si="318"/>
        <v>27861.041656003723</v>
      </c>
      <c r="CP430" s="1312">
        <f>CQ429*((1+'Instrumentos Financeiros'!$Q$43)^(1/12)-1)</f>
        <v>2642.348444235256</v>
      </c>
      <c r="CQ430" s="1312">
        <f t="shared" si="319"/>
        <v>583226.3414373647</v>
      </c>
      <c r="CR430" s="1312">
        <f t="shared" si="288"/>
        <v>122013.56040095592</v>
      </c>
      <c r="CS430" s="1312">
        <f t="shared" si="288"/>
        <v>113641.02019263366</v>
      </c>
      <c r="CT430" s="1312">
        <f t="shared" si="288"/>
        <v>8372.540208322258</v>
      </c>
      <c r="CU430" s="1312">
        <f t="shared" si="288"/>
        <v>1822649.2888731041</v>
      </c>
    </row>
    <row r="431" spans="3:99" x14ac:dyDescent="0.35">
      <c r="C431" s="1315">
        <f t="shared" si="289"/>
        <v>338</v>
      </c>
      <c r="D431" s="1312">
        <f>IF(AND(C431&gt;$F$59,'Instrumentos Financeiros'!C431&lt;'Instrumentos Financeiros'!$F$59+'Instrumentos Financeiros'!$F$11+1),PMT(((1+'Instrumentos Financeiros'!$G$43)^(1/12)-1),$F$11,-$I$59),0)</f>
        <v>0</v>
      </c>
      <c r="E431" s="1312">
        <f t="shared" si="286"/>
        <v>-1.2649604632711879E-11</v>
      </c>
      <c r="F431" s="1312">
        <f>G430*((1+'Instrumentos Financeiros'!$G$43)^(1/12)-1)</f>
        <v>1.2649604632711879E-11</v>
      </c>
      <c r="G431" s="1312">
        <f t="shared" si="320"/>
        <v>3.1116752446761414E-9</v>
      </c>
      <c r="H431" s="1312">
        <f>IF(AND(C431&gt;$F$60,'Instrumentos Financeiros'!C431&lt;'Instrumentos Financeiros'!$F$60+'Instrumentos Financeiros'!$F$11+1),PMT(((1+'Instrumentos Financeiros'!$G$43)^(1/12)-1),$F$11,-$I$60),0)</f>
        <v>0</v>
      </c>
      <c r="I431" s="1312">
        <f t="shared" si="272"/>
        <v>0</v>
      </c>
      <c r="J431" s="1312">
        <f>K430*((1+'Instrumentos Financeiros'!$G$43)^(1/12)-1)</f>
        <v>0</v>
      </c>
      <c r="K431" s="1312">
        <f t="shared" si="290"/>
        <v>0</v>
      </c>
      <c r="L431" s="1312">
        <f>IF(AND(C431&gt;$F$61,'Instrumentos Financeiros'!C431&lt;'Instrumentos Financeiros'!$F$61+'Instrumentos Financeiros'!$F$11+1),PMT(((1+'Instrumentos Financeiros'!$G$43)^(1/12)-1),$F$11,-$I$61),0)</f>
        <v>0</v>
      </c>
      <c r="M431" s="1312">
        <f t="shared" si="273"/>
        <v>0</v>
      </c>
      <c r="N431" s="1312">
        <f>O430*((1+'Instrumentos Financeiros'!$G$43)^(1/12)-1)</f>
        <v>0</v>
      </c>
      <c r="O431" s="1312">
        <f t="shared" si="291"/>
        <v>0</v>
      </c>
      <c r="P431" s="1312">
        <f>IF(AND(C431&gt;$F$62,'Instrumentos Financeiros'!C431&lt;'Instrumentos Financeiros'!$F$62+'Instrumentos Financeiros'!$F$11+1),PMT(((1+'Instrumentos Financeiros'!$H$43)^(1/12)-1),$F$11,-$I$62),0)</f>
        <v>0</v>
      </c>
      <c r="Q431" s="1312">
        <f t="shared" si="274"/>
        <v>0</v>
      </c>
      <c r="R431" s="1312">
        <f>S430*((1+'Instrumentos Financeiros'!$H$43)^(1/12)-1)</f>
        <v>0</v>
      </c>
      <c r="S431" s="1312">
        <f t="shared" si="292"/>
        <v>0</v>
      </c>
      <c r="T431" s="1312">
        <f>IF(AND(C431&gt;$F$63,'Instrumentos Financeiros'!C431&lt;'Instrumentos Financeiros'!$F$63+'Instrumentos Financeiros'!$F$11+1),PMT(((1+'Instrumentos Financeiros'!$H$43)^(1/12)-1),$F$11,-$I$63),0)</f>
        <v>0</v>
      </c>
      <c r="U431" s="1312">
        <f t="shared" si="275"/>
        <v>0</v>
      </c>
      <c r="V431" s="1312">
        <f>W430*((1+'Instrumentos Financeiros'!$H$43)^(1/12)-1)</f>
        <v>0</v>
      </c>
      <c r="W431" s="1312">
        <f t="shared" si="293"/>
        <v>0</v>
      </c>
      <c r="X431" s="1312">
        <f>IF(AND(C431&gt;$F$64,'Instrumentos Financeiros'!C431&lt;'Instrumentos Financeiros'!$F$64+'Instrumentos Financeiros'!$F$11+1),PMT(((1+'Instrumentos Financeiros'!$H$43)^(1/12)-1),$F$11,-$I$64),0)</f>
        <v>0</v>
      </c>
      <c r="Y431" s="1312">
        <f t="shared" si="276"/>
        <v>0</v>
      </c>
      <c r="Z431" s="1312">
        <f>AA430*((1+'Instrumentos Financeiros'!$H$43)^(1/12)-1)</f>
        <v>0</v>
      </c>
      <c r="AA431" s="1312">
        <f t="shared" si="294"/>
        <v>0</v>
      </c>
      <c r="AB431" s="1312">
        <f>IF(AND(C431&gt;$F$65,'Instrumentos Financeiros'!C431&lt;'Instrumentos Financeiros'!$F$65+'Instrumentos Financeiros'!$F$11+1),PMT(((1+'Instrumentos Financeiros'!$H$43)^(1/12)-1),$F$11,-$I$65),0)</f>
        <v>0</v>
      </c>
      <c r="AC431" s="1312">
        <f t="shared" si="277"/>
        <v>3.1297113560586523E-11</v>
      </c>
      <c r="AD431" s="1312">
        <f>AE430*((1+'Instrumentos Financeiros'!$H$43)^(1/12)-1)</f>
        <v>-3.1297113560586523E-11</v>
      </c>
      <c r="AE431" s="1312">
        <f t="shared" si="295"/>
        <v>-7.269279396268193E-9</v>
      </c>
      <c r="AF431" s="1312">
        <f>IF(AND(C431&gt;$F$66,'Instrumentos Financeiros'!C431&lt;'Instrumentos Financeiros'!$F$66+'Instrumentos Financeiros'!$F$11+1),PMT(((1+'Instrumentos Financeiros'!$I$43)^(1/12)-1),$F$11,-$I$66),0)</f>
        <v>0</v>
      </c>
      <c r="AG431" s="1312">
        <f t="shared" si="278"/>
        <v>3.0894612235835418E-11</v>
      </c>
      <c r="AH431" s="1312">
        <f>AI430*((1+'Instrumentos Financeiros'!$I$43)^(1/12)-1)</f>
        <v>-3.0894612235835418E-11</v>
      </c>
      <c r="AI431" s="1312">
        <f t="shared" si="296"/>
        <v>-7.1757917146863186E-9</v>
      </c>
      <c r="AJ431" s="1312">
        <f>IF(AND(C431&gt;$F$67,'Instrumentos Financeiros'!C431&lt;'Instrumentos Financeiros'!$F$67+'Instrumentos Financeiros'!$F$11+1),PMT(((1+'Instrumentos Financeiros'!$I$43)^(1/12)-1),$F$11,-$I$67),0)</f>
        <v>0</v>
      </c>
      <c r="AK431" s="1312">
        <f t="shared" si="279"/>
        <v>3.0497287341048456E-11</v>
      </c>
      <c r="AL431" s="1312">
        <f>AM430*((1+'Instrumentos Financeiros'!$I$43)^(1/12)-1)</f>
        <v>-3.0497287341048456E-11</v>
      </c>
      <c r="AM431" s="1312">
        <f t="shared" si="297"/>
        <v>-7.0835063457589893E-9</v>
      </c>
      <c r="AN431" s="1312">
        <f>IF(AND(C431&gt;$F$68,'Instrumentos Financeiros'!C431&lt;'Instrumentos Financeiros'!$F$68+'Instrumentos Financeiros'!$F$11+1),PMT(((1+'Instrumentos Financeiros'!$I$43)^(1/12)-1),$F$11,-$I$68),0)</f>
        <v>0</v>
      </c>
      <c r="AO431" s="1312">
        <f t="shared" si="280"/>
        <v>3.0105072303954888E-11</v>
      </c>
      <c r="AP431" s="1312">
        <f>AQ430*((1+'Instrumentos Financeiros'!$I$43)^(1/12)-1)</f>
        <v>-3.0105072303954888E-11</v>
      </c>
      <c r="AQ431" s="1312">
        <f t="shared" si="298"/>
        <v>-6.9924078269600743E-9</v>
      </c>
      <c r="AR431" s="1312">
        <f>IF(AND(C431&gt;$F$69,'Instrumentos Financeiros'!C431&lt;'Instrumentos Financeiros'!$F$69+'Instrumentos Financeiros'!$F$11+1),PMT(((1+'Instrumentos Financeiros'!$I$43)^(1/12)-1),$F$11,-$I$69),0)</f>
        <v>0</v>
      </c>
      <c r="AS431" s="1312">
        <f t="shared" si="281"/>
        <v>0</v>
      </c>
      <c r="AT431" s="1312">
        <f>AU430*((1+'Instrumentos Financeiros'!$I$43)^(1/12)-1)</f>
        <v>0</v>
      </c>
      <c r="AU431" s="1312">
        <f t="shared" si="299"/>
        <v>0</v>
      </c>
      <c r="AV431" s="1312">
        <f>IF(AND(C431&gt;$F$70,'Instrumentos Financeiros'!C431&lt;'Instrumentos Financeiros'!$F$70+'Instrumentos Financeiros'!$F$11+1),PMT(((1+'Instrumentos Financeiros'!$J$43)^(1/12)-1),$F$11,-$I$70),0)</f>
        <v>0</v>
      </c>
      <c r="AW431" s="1312">
        <f t="shared" si="282"/>
        <v>0</v>
      </c>
      <c r="AX431" s="1312">
        <f>AY430*((1+'Instrumentos Financeiros'!$J$43)^(1/12)-1)</f>
        <v>0</v>
      </c>
      <c r="AY431" s="1312">
        <f t="shared" si="300"/>
        <v>0</v>
      </c>
      <c r="AZ431" s="1312">
        <f>IF(AND(C431&gt;$F$71,'Instrumentos Financeiros'!C431&lt;'Instrumentos Financeiros'!$F$71+'Instrumentos Financeiros'!$F$11+1),PMT(((1+'Instrumentos Financeiros'!$J$43)^(1/12)-1),$F$11,-$I$71),0)</f>
        <v>0</v>
      </c>
      <c r="BA431" s="1312">
        <f t="shared" si="283"/>
        <v>0</v>
      </c>
      <c r="BB431" s="1312">
        <f>BC430*((1+'Instrumentos Financeiros'!$J$43)^(1/12)-1)</f>
        <v>0</v>
      </c>
      <c r="BC431" s="1312">
        <f t="shared" si="301"/>
        <v>0</v>
      </c>
      <c r="BD431" s="1312">
        <f>IF(AND(C431&gt;$F$72,'Instrumentos Financeiros'!C431&lt;'Instrumentos Financeiros'!$F$72+'Instrumentos Financeiros'!$F$11+1),PMT(((1+'Instrumentos Financeiros'!$J$43)^(1/12)-1),$F$11,-'Instrumentos Financeiros'!$G$7*$G$72),0)</f>
        <v>0</v>
      </c>
      <c r="BE431" s="1312">
        <f t="shared" si="284"/>
        <v>0</v>
      </c>
      <c r="BF431" s="1312">
        <f>BG430*((1+'Instrumentos Financeiros'!$J$43)^(1/12)-1)</f>
        <v>0</v>
      </c>
      <c r="BG431" s="1312">
        <f t="shared" si="302"/>
        <v>0</v>
      </c>
      <c r="BH431" s="1312">
        <f>IF(AND(C431&gt;$F$73,'Instrumentos Financeiros'!C431&lt;'Instrumentos Financeiros'!$F$73+'Instrumentos Financeiros'!$F$11+1),PMT(((1+'Instrumentos Financeiros'!$J$43)^(1/12)-1),$F$11,-$I$73),0)</f>
        <v>0</v>
      </c>
      <c r="BI431" s="1312">
        <f t="shared" si="285"/>
        <v>0</v>
      </c>
      <c r="BJ431" s="1312">
        <f>BK430*((1+'Instrumentos Financeiros'!$J$43)^(1/12)-1)</f>
        <v>0</v>
      </c>
      <c r="BK431" s="1312">
        <f t="shared" si="303"/>
        <v>0</v>
      </c>
      <c r="BL431" s="1312">
        <f>IF(AND(C431&gt;$F$77,'Instrumentos Financeiros'!C431&lt;'Instrumentos Financeiros'!$F$77+'Instrumentos Financeiros'!$F$12+1),PMT(((1+'Instrumentos Financeiros'!$K$43)^(1/12)-1),$F$12,-$I$77),0)</f>
        <v>0</v>
      </c>
      <c r="BM431" s="1312">
        <f t="shared" si="304"/>
        <v>8.5065446094254196E-14</v>
      </c>
      <c r="BN431" s="1312">
        <f>BO430*((1+'Instrumentos Financeiros'!$K$43)^(1/12)-1)</f>
        <v>-8.5065446094254196E-14</v>
      </c>
      <c r="BO431" s="1312">
        <f t="shared" si="305"/>
        <v>-1.9757876183382333E-11</v>
      </c>
      <c r="BP431" s="1312">
        <f>IF(AND(C431&gt;$F$78,'Instrumentos Financeiros'!C431&lt;'Instrumentos Financeiros'!$F$78+'Instrumentos Financeiros'!$F$12+1),PMT(((1+'Instrumentos Financeiros'!$L$43)^(1/12)-1),$F$12,-$I$78),0)</f>
        <v>0</v>
      </c>
      <c r="BQ431" s="1312">
        <f t="shared" si="306"/>
        <v>8.3971448889777191E-14</v>
      </c>
      <c r="BR431" s="1312">
        <f>BS430*((1+'Instrumentos Financeiros'!$L$43)^(1/12)-1)</f>
        <v>-8.3971448889777191E-14</v>
      </c>
      <c r="BS431" s="1312">
        <f t="shared" si="307"/>
        <v>-1.9503776989132847E-11</v>
      </c>
      <c r="BT431" s="1312">
        <f>IF(AND(C431&gt;$F$79,'Instrumentos Financeiros'!C431&lt;'Instrumentos Financeiros'!$F$79+'Instrumentos Financeiros'!$F$12+1),PMT(((1+'Instrumentos Financeiros'!$L$43)^(1/12)-1),$F$12,-$I$79),0)</f>
        <v>0</v>
      </c>
      <c r="BU431" s="1312">
        <f t="shared" si="308"/>
        <v>8.2891521203986743E-14</v>
      </c>
      <c r="BV431" s="1312">
        <f>BW430*((1+'Instrumentos Financeiros'!$L$43)^(1/12)-1)</f>
        <v>-8.2891521203986743E-14</v>
      </c>
      <c r="BW431" s="1312">
        <f t="shared" si="309"/>
        <v>-1.925294567650783E-11</v>
      </c>
      <c r="BX431" s="1312">
        <f>IF(AND(C431&gt;$F$80,'Instrumentos Financeiros'!C431&lt;'Instrumentos Financeiros'!$F$80+'Instrumentos Financeiros'!$F$12+1),PMT(((1+'Instrumentos Financeiros'!$L$43)^(1/12)-1),$F$12,-$I$80),0)</f>
        <v>0</v>
      </c>
      <c r="BY431" s="1312">
        <f t="shared" si="310"/>
        <v>8.1825482093681848E-14</v>
      </c>
      <c r="BZ431" s="1312">
        <f>CA430*((1+'Instrumentos Financeiros'!$L$43)^(1/12)-1)</f>
        <v>-8.1825482093681848E-14</v>
      </c>
      <c r="CA431" s="1312">
        <f t="shared" si="311"/>
        <v>-1.9005340218414901E-11</v>
      </c>
      <c r="CB431" s="1312">
        <f>IF(AND(C431&gt;$F$83,'Instrumentos Financeiros'!C431&lt;'Instrumentos Financeiros'!$F$83+'Instrumentos Financeiros'!$F$13+1),PMT(((1+'Instrumentos Financeiros'!$P$43)^(1/12)-1),$F$13,-$I$83),0)</f>
        <v>30503.390100238979</v>
      </c>
      <c r="CC431" s="1312">
        <f t="shared" si="312"/>
        <v>29089.469850059839</v>
      </c>
      <c r="CD431" s="1312">
        <f>CE430*((1+'Instrumentos Financeiros'!$P$43)^(1/12)-1)</f>
        <v>1413.9202501791424</v>
      </c>
      <c r="CE431" s="1312">
        <f t="shared" si="313"/>
        <v>297903.2957973787</v>
      </c>
      <c r="CF431" s="1312">
        <f>IF(AND(C431&gt;$F$84,'Instrumentos Financeiros'!C431&lt;'Instrumentos Financeiros'!$F$84+'Instrumentos Financeiros'!$F$13+1),PMT(((1+'Instrumentos Financeiros'!$Q$43)^(1/12)-1),$F$13,-$I$84),0)</f>
        <v>30503.390100238979</v>
      </c>
      <c r="CG431" s="1312">
        <f t="shared" si="314"/>
        <v>28715.360265535677</v>
      </c>
      <c r="CH431" s="1312">
        <f>CI430*((1+'Instrumentos Financeiros'!$Q$43)^(1/12)-1)</f>
        <v>1788.0298347033022</v>
      </c>
      <c r="CI431" s="1312">
        <f t="shared" si="315"/>
        <v>384796.51965533517</v>
      </c>
      <c r="CJ431" s="1312">
        <f>IF(AND(C431&gt;$F$85,'Instrumentos Financeiros'!C431&lt;'Instrumentos Financeiros'!$F$85+'Instrumentos Financeiros'!$F$13+1),PMT(((1+'Instrumentos Financeiros'!$Q$43)^(1/12)-1),$F$13,-$I$85),0)</f>
        <v>30503.390100238979</v>
      </c>
      <c r="CK431" s="1312">
        <f t="shared" si="316"/>
        <v>28346.061974649878</v>
      </c>
      <c r="CL431" s="1312">
        <f>CM430*((1+'Instrumentos Financeiros'!$Q$43)^(1/12)-1)</f>
        <v>2157.3281255891029</v>
      </c>
      <c r="CM431" s="1312">
        <f t="shared" si="317"/>
        <v>470572.23989280546</v>
      </c>
      <c r="CN431" s="1312">
        <f>IF(AND(C431&gt;$F$86,'Instrumentos Financeiros'!C431&lt;'Instrumentos Financeiros'!$F$86+'Instrumentos Financeiros'!$F$13+1),PMT(((1+'Instrumentos Financeiros'!$Q$43)^(1/12)-1),$F$13,-$I$86),0)</f>
        <v>30503.390100238979</v>
      </c>
      <c r="CO431" s="1312">
        <f t="shared" si="318"/>
        <v>27981.513101023342</v>
      </c>
      <c r="CP431" s="1312">
        <f>CQ430*((1+'Instrumentos Financeiros'!$Q$43)^(1/12)-1)</f>
        <v>2521.8769992156381</v>
      </c>
      <c r="CQ431" s="1312">
        <f t="shared" si="319"/>
        <v>555244.82833634131</v>
      </c>
      <c r="CR431" s="1312">
        <f t="shared" si="288"/>
        <v>122013.56040095592</v>
      </c>
      <c r="CS431" s="1312">
        <f t="shared" si="288"/>
        <v>114132.40519126884</v>
      </c>
      <c r="CT431" s="1312">
        <f t="shared" si="288"/>
        <v>7881.1552096870746</v>
      </c>
      <c r="CU431" s="1312">
        <f t="shared" si="288"/>
        <v>1708516.8836818351</v>
      </c>
    </row>
    <row r="432" spans="3:99" x14ac:dyDescent="0.35">
      <c r="C432" s="1315">
        <f t="shared" si="289"/>
        <v>339</v>
      </c>
      <c r="D432" s="1312">
        <f>IF(AND(C432&gt;$F$59,'Instrumentos Financeiros'!C432&lt;'Instrumentos Financeiros'!$F$59+'Instrumentos Financeiros'!$F$11+1),PMT(((1+'Instrumentos Financeiros'!$G$43)^(1/12)-1),$F$11,-$I$59),0)</f>
        <v>0</v>
      </c>
      <c r="E432" s="1312">
        <f t="shared" si="286"/>
        <v>-1.2701237796147624E-11</v>
      </c>
      <c r="F432" s="1312">
        <f>G431*((1+'Instrumentos Financeiros'!$G$43)^(1/12)-1)</f>
        <v>1.2701237796147624E-11</v>
      </c>
      <c r="G432" s="1312">
        <f t="shared" si="320"/>
        <v>3.1243764824722889E-9</v>
      </c>
      <c r="H432" s="1312">
        <f>IF(AND(C432&gt;$F$60,'Instrumentos Financeiros'!C432&lt;'Instrumentos Financeiros'!$F$60+'Instrumentos Financeiros'!$F$11+1),PMT(((1+'Instrumentos Financeiros'!$G$43)^(1/12)-1),$F$11,-$I$60),0)</f>
        <v>0</v>
      </c>
      <c r="I432" s="1312">
        <f t="shared" si="272"/>
        <v>0</v>
      </c>
      <c r="J432" s="1312">
        <f>K431*((1+'Instrumentos Financeiros'!$G$43)^(1/12)-1)</f>
        <v>0</v>
      </c>
      <c r="K432" s="1312">
        <f t="shared" si="290"/>
        <v>0</v>
      </c>
      <c r="L432" s="1312">
        <f>IF(AND(C432&gt;$F$61,'Instrumentos Financeiros'!C432&lt;'Instrumentos Financeiros'!$F$61+'Instrumentos Financeiros'!$F$11+1),PMT(((1+'Instrumentos Financeiros'!$G$43)^(1/12)-1),$F$11,-$I$61),0)</f>
        <v>0</v>
      </c>
      <c r="M432" s="1312">
        <f t="shared" si="273"/>
        <v>0</v>
      </c>
      <c r="N432" s="1312">
        <f>O431*((1+'Instrumentos Financeiros'!$G$43)^(1/12)-1)</f>
        <v>0</v>
      </c>
      <c r="O432" s="1312">
        <f t="shared" si="291"/>
        <v>0</v>
      </c>
      <c r="P432" s="1312">
        <f>IF(AND(C432&gt;$F$62,'Instrumentos Financeiros'!C432&lt;'Instrumentos Financeiros'!$F$62+'Instrumentos Financeiros'!$F$11+1),PMT(((1+'Instrumentos Financeiros'!$H$43)^(1/12)-1),$F$11,-$I$62),0)</f>
        <v>0</v>
      </c>
      <c r="Q432" s="1312">
        <f t="shared" si="274"/>
        <v>0</v>
      </c>
      <c r="R432" s="1312">
        <f>S431*((1+'Instrumentos Financeiros'!$H$43)^(1/12)-1)</f>
        <v>0</v>
      </c>
      <c r="S432" s="1312">
        <f t="shared" si="292"/>
        <v>0</v>
      </c>
      <c r="T432" s="1312">
        <f>IF(AND(C432&gt;$F$63,'Instrumentos Financeiros'!C432&lt;'Instrumentos Financeiros'!$F$63+'Instrumentos Financeiros'!$F$11+1),PMT(((1+'Instrumentos Financeiros'!$H$43)^(1/12)-1),$F$11,-$I$63),0)</f>
        <v>0</v>
      </c>
      <c r="U432" s="1312">
        <f t="shared" si="275"/>
        <v>0</v>
      </c>
      <c r="V432" s="1312">
        <f>W431*((1+'Instrumentos Financeiros'!$H$43)^(1/12)-1)</f>
        <v>0</v>
      </c>
      <c r="W432" s="1312">
        <f t="shared" si="293"/>
        <v>0</v>
      </c>
      <c r="X432" s="1312">
        <f>IF(AND(C432&gt;$F$64,'Instrumentos Financeiros'!C432&lt;'Instrumentos Financeiros'!$F$64+'Instrumentos Financeiros'!$F$11+1),PMT(((1+'Instrumentos Financeiros'!$H$43)^(1/12)-1),$F$11,-$I$64),0)</f>
        <v>0</v>
      </c>
      <c r="Y432" s="1312">
        <f t="shared" si="276"/>
        <v>0</v>
      </c>
      <c r="Z432" s="1312">
        <f>AA431*((1+'Instrumentos Financeiros'!$H$43)^(1/12)-1)</f>
        <v>0</v>
      </c>
      <c r="AA432" s="1312">
        <f t="shared" si="294"/>
        <v>0</v>
      </c>
      <c r="AB432" s="1312">
        <f>IF(AND(C432&gt;$F$65,'Instrumentos Financeiros'!C432&lt;'Instrumentos Financeiros'!$F$65+'Instrumentos Financeiros'!$F$11+1),PMT(((1+'Instrumentos Financeiros'!$H$43)^(1/12)-1),$F$11,-$I$65),0)</f>
        <v>0</v>
      </c>
      <c r="AC432" s="1312">
        <f t="shared" si="277"/>
        <v>3.1432442617631106E-11</v>
      </c>
      <c r="AD432" s="1312">
        <f>AE431*((1+'Instrumentos Financeiros'!$H$43)^(1/12)-1)</f>
        <v>-3.1432442617631106E-11</v>
      </c>
      <c r="AE432" s="1312">
        <f t="shared" si="295"/>
        <v>-7.3007118388858237E-9</v>
      </c>
      <c r="AF432" s="1312">
        <f>IF(AND(C432&gt;$F$66,'Instrumentos Financeiros'!C432&lt;'Instrumentos Financeiros'!$F$66+'Instrumentos Financeiros'!$F$11+1),PMT(((1+'Instrumentos Financeiros'!$I$43)^(1/12)-1),$F$11,-$I$66),0)</f>
        <v>0</v>
      </c>
      <c r="AG432" s="1312">
        <f t="shared" si="278"/>
        <v>3.1028200872804764E-11</v>
      </c>
      <c r="AH432" s="1312">
        <f>AI431*((1+'Instrumentos Financeiros'!$I$43)^(1/12)-1)</f>
        <v>-3.1028200872804764E-11</v>
      </c>
      <c r="AI432" s="1312">
        <f t="shared" si="296"/>
        <v>-7.2068199155591235E-9</v>
      </c>
      <c r="AJ432" s="1312">
        <f>IF(AND(C432&gt;$F$67,'Instrumentos Financeiros'!C432&lt;'Instrumentos Financeiros'!$F$67+'Instrumentos Financeiros'!$F$11+1),PMT(((1+'Instrumentos Financeiros'!$I$43)^(1/12)-1),$F$11,-$I$67),0)</f>
        <v>0</v>
      </c>
      <c r="AK432" s="1312">
        <f t="shared" si="279"/>
        <v>3.0629157940881648E-11</v>
      </c>
      <c r="AL432" s="1312">
        <f>AM431*((1+'Instrumentos Financeiros'!$I$43)^(1/12)-1)</f>
        <v>-3.0629157940881648E-11</v>
      </c>
      <c r="AM432" s="1312">
        <f t="shared" si="297"/>
        <v>-7.1141355036998707E-9</v>
      </c>
      <c r="AN432" s="1312">
        <f>IF(AND(C432&gt;$F$68,'Instrumentos Financeiros'!C432&lt;'Instrumentos Financeiros'!$F$68+'Instrumentos Financeiros'!$F$11+1),PMT(((1+'Instrumentos Financeiros'!$I$43)^(1/12)-1),$F$11,-$I$68),0)</f>
        <v>0</v>
      </c>
      <c r="AO432" s="1312">
        <f t="shared" si="280"/>
        <v>3.0235246961731762E-11</v>
      </c>
      <c r="AP432" s="1312">
        <f>AQ431*((1+'Instrumentos Financeiros'!$I$43)^(1/12)-1)</f>
        <v>-3.0235246961731762E-11</v>
      </c>
      <c r="AQ432" s="1312">
        <f t="shared" si="298"/>
        <v>-7.0226430739218059E-9</v>
      </c>
      <c r="AR432" s="1312">
        <f>IF(AND(C432&gt;$F$69,'Instrumentos Financeiros'!C432&lt;'Instrumentos Financeiros'!$F$69+'Instrumentos Financeiros'!$F$11+1),PMT(((1+'Instrumentos Financeiros'!$I$43)^(1/12)-1),$F$11,-$I$69),0)</f>
        <v>0</v>
      </c>
      <c r="AS432" s="1312">
        <f t="shared" si="281"/>
        <v>0</v>
      </c>
      <c r="AT432" s="1312">
        <f>AU431*((1+'Instrumentos Financeiros'!$I$43)^(1/12)-1)</f>
        <v>0</v>
      </c>
      <c r="AU432" s="1312">
        <f t="shared" si="299"/>
        <v>0</v>
      </c>
      <c r="AV432" s="1312">
        <f>IF(AND(C432&gt;$F$70,'Instrumentos Financeiros'!C432&lt;'Instrumentos Financeiros'!$F$70+'Instrumentos Financeiros'!$F$11+1),PMT(((1+'Instrumentos Financeiros'!$J$43)^(1/12)-1),$F$11,-$I$70),0)</f>
        <v>0</v>
      </c>
      <c r="AW432" s="1312">
        <f t="shared" si="282"/>
        <v>0</v>
      </c>
      <c r="AX432" s="1312">
        <f>AY431*((1+'Instrumentos Financeiros'!$J$43)^(1/12)-1)</f>
        <v>0</v>
      </c>
      <c r="AY432" s="1312">
        <f t="shared" si="300"/>
        <v>0</v>
      </c>
      <c r="AZ432" s="1312">
        <f>IF(AND(C432&gt;$F$71,'Instrumentos Financeiros'!C432&lt;'Instrumentos Financeiros'!$F$71+'Instrumentos Financeiros'!$F$11+1),PMT(((1+'Instrumentos Financeiros'!$J$43)^(1/12)-1),$F$11,-$I$71),0)</f>
        <v>0</v>
      </c>
      <c r="BA432" s="1312">
        <f t="shared" si="283"/>
        <v>0</v>
      </c>
      <c r="BB432" s="1312">
        <f>BC431*((1+'Instrumentos Financeiros'!$J$43)^(1/12)-1)</f>
        <v>0</v>
      </c>
      <c r="BC432" s="1312">
        <f t="shared" si="301"/>
        <v>0</v>
      </c>
      <c r="BD432" s="1312">
        <f>IF(AND(C432&gt;$F$72,'Instrumentos Financeiros'!C432&lt;'Instrumentos Financeiros'!$F$72+'Instrumentos Financeiros'!$F$11+1),PMT(((1+'Instrumentos Financeiros'!$J$43)^(1/12)-1),$F$11,-'Instrumentos Financeiros'!$G$7*$G$72),0)</f>
        <v>0</v>
      </c>
      <c r="BE432" s="1312">
        <f t="shared" si="284"/>
        <v>0</v>
      </c>
      <c r="BF432" s="1312">
        <f>BG431*((1+'Instrumentos Financeiros'!$J$43)^(1/12)-1)</f>
        <v>0</v>
      </c>
      <c r="BG432" s="1312">
        <f t="shared" si="302"/>
        <v>0</v>
      </c>
      <c r="BH432" s="1312">
        <f>IF(AND(C432&gt;$F$73,'Instrumentos Financeiros'!C432&lt;'Instrumentos Financeiros'!$F$73+'Instrumentos Financeiros'!$F$11+1),PMT(((1+'Instrumentos Financeiros'!$J$43)^(1/12)-1),$F$11,-$I$73),0)</f>
        <v>0</v>
      </c>
      <c r="BI432" s="1312">
        <f t="shared" si="285"/>
        <v>0</v>
      </c>
      <c r="BJ432" s="1312">
        <f>BK431*((1+'Instrumentos Financeiros'!$J$43)^(1/12)-1)</f>
        <v>0</v>
      </c>
      <c r="BK432" s="1312">
        <f t="shared" si="303"/>
        <v>0</v>
      </c>
      <c r="BL432" s="1312">
        <f>IF(AND(C432&gt;$F$77,'Instrumentos Financeiros'!C432&lt;'Instrumentos Financeiros'!$F$77+'Instrumentos Financeiros'!$F$12+1),PMT(((1+'Instrumentos Financeiros'!$K$43)^(1/12)-1),$F$12,-$I$77),0)</f>
        <v>0</v>
      </c>
      <c r="BM432" s="1312">
        <f t="shared" si="304"/>
        <v>8.5433270001871986E-14</v>
      </c>
      <c r="BN432" s="1312">
        <f>BO431*((1+'Instrumentos Financeiros'!$K$43)^(1/12)-1)</f>
        <v>-8.5433270001871986E-14</v>
      </c>
      <c r="BO432" s="1312">
        <f t="shared" si="305"/>
        <v>-1.9843309453384205E-11</v>
      </c>
      <c r="BP432" s="1312">
        <f>IF(AND(C432&gt;$F$78,'Instrumentos Financeiros'!C432&lt;'Instrumentos Financeiros'!$F$78+'Instrumentos Financeiros'!$F$12+1),PMT(((1+'Instrumentos Financeiros'!$L$43)^(1/12)-1),$F$12,-$I$78),0)</f>
        <v>0</v>
      </c>
      <c r="BQ432" s="1312">
        <f t="shared" si="306"/>
        <v>8.4334542341667657E-14</v>
      </c>
      <c r="BR432" s="1312">
        <f>BS431*((1+'Instrumentos Financeiros'!$L$43)^(1/12)-1)</f>
        <v>-8.4334542341667657E-14</v>
      </c>
      <c r="BS432" s="1312">
        <f t="shared" si="307"/>
        <v>-1.9588111531474515E-11</v>
      </c>
      <c r="BT432" s="1312">
        <f>IF(AND(C432&gt;$F$79,'Instrumentos Financeiros'!C432&lt;'Instrumentos Financeiros'!$F$79+'Instrumentos Financeiros'!$F$12+1),PMT(((1+'Instrumentos Financeiros'!$L$43)^(1/12)-1),$F$12,-$I$79),0)</f>
        <v>0</v>
      </c>
      <c r="BU432" s="1312">
        <f t="shared" si="308"/>
        <v>8.3249945036900643E-14</v>
      </c>
      <c r="BV432" s="1312">
        <f>BW431*((1+'Instrumentos Financeiros'!$L$43)^(1/12)-1)</f>
        <v>-8.3249945036900643E-14</v>
      </c>
      <c r="BW432" s="1312">
        <f t="shared" si="309"/>
        <v>-1.9336195621544732E-11</v>
      </c>
      <c r="BX432" s="1312">
        <f>IF(AND(C432&gt;$F$80,'Instrumentos Financeiros'!C432&lt;'Instrumentos Financeiros'!$F$80+'Instrumentos Financeiros'!$F$12+1),PMT(((1+'Instrumentos Financeiros'!$L$43)^(1/12)-1),$F$12,-$I$80),0)</f>
        <v>0</v>
      </c>
      <c r="BY432" s="1312">
        <f t="shared" si="310"/>
        <v>8.2179296361969568E-14</v>
      </c>
      <c r="BZ432" s="1312">
        <f>CA431*((1+'Instrumentos Financeiros'!$L$43)^(1/12)-1)</f>
        <v>-8.2179296361969568E-14</v>
      </c>
      <c r="CA432" s="1312">
        <f t="shared" si="311"/>
        <v>-1.9087519514776869E-11</v>
      </c>
      <c r="CB432" s="1312">
        <f>IF(AND(C432&gt;$F$83,'Instrumentos Financeiros'!C432&lt;'Instrumentos Financeiros'!$F$83+'Instrumentos Financeiros'!$F$13+1),PMT(((1+'Instrumentos Financeiros'!$P$43)^(1/12)-1),$F$13,-$I$83),0)</f>
        <v>30503.390100238979</v>
      </c>
      <c r="CC432" s="1312">
        <f t="shared" si="312"/>
        <v>29215.25303185757</v>
      </c>
      <c r="CD432" s="1312">
        <f>CE431*((1+'Instrumentos Financeiros'!$P$43)^(1/12)-1)</f>
        <v>1288.1370683814096</v>
      </c>
      <c r="CE432" s="1312">
        <f t="shared" si="313"/>
        <v>268688.04276552115</v>
      </c>
      <c r="CF432" s="1312">
        <f>IF(AND(C432&gt;$F$84,'Instrumentos Financeiros'!C432&lt;'Instrumentos Financeiros'!$F$84+'Instrumentos Financeiros'!$F$13+1),PMT(((1+'Instrumentos Financeiros'!$Q$43)^(1/12)-1),$F$13,-$I$84),0)</f>
        <v>30503.390100238979</v>
      </c>
      <c r="CG432" s="1312">
        <f t="shared" si="314"/>
        <v>28839.525793449546</v>
      </c>
      <c r="CH432" s="1312">
        <f>CI431*((1+'Instrumentos Financeiros'!$Q$43)^(1/12)-1)</f>
        <v>1663.8643067894329</v>
      </c>
      <c r="CI432" s="1312">
        <f t="shared" si="315"/>
        <v>355956.99386188562</v>
      </c>
      <c r="CJ432" s="1312">
        <f>IF(AND(C432&gt;$F$85,'Instrumentos Financeiros'!C432&lt;'Instrumentos Financeiros'!$F$85+'Instrumentos Financeiros'!$F$13+1),PMT(((1+'Instrumentos Financeiros'!$Q$43)^(1/12)-1),$F$13,-$I$85),0)</f>
        <v>30503.390100238979</v>
      </c>
      <c r="CK432" s="1312">
        <f t="shared" si="316"/>
        <v>28468.630652765536</v>
      </c>
      <c r="CL432" s="1312">
        <f>CM431*((1+'Instrumentos Financeiros'!$Q$43)^(1/12)-1)</f>
        <v>2034.7594474734426</v>
      </c>
      <c r="CM432" s="1312">
        <f t="shared" si="317"/>
        <v>442103.60924003995</v>
      </c>
      <c r="CN432" s="1312">
        <f>IF(AND(C432&gt;$F$86,'Instrumentos Financeiros'!C432&lt;'Instrumentos Financeiros'!$F$86+'Instrumentos Financeiros'!$F$13+1),PMT(((1+'Instrumentos Financeiros'!$Q$43)^(1/12)-1),$F$13,-$I$86),0)</f>
        <v>30503.390100238979</v>
      </c>
      <c r="CO432" s="1312">
        <f t="shared" si="318"/>
        <v>28102.505465872317</v>
      </c>
      <c r="CP432" s="1312">
        <f>CQ431*((1+'Instrumentos Financeiros'!$Q$43)^(1/12)-1)</f>
        <v>2400.8846343666637</v>
      </c>
      <c r="CQ432" s="1312">
        <f t="shared" si="319"/>
        <v>527142.32287046895</v>
      </c>
      <c r="CR432" s="1312">
        <f t="shared" si="288"/>
        <v>122013.56040095592</v>
      </c>
      <c r="CS432" s="1312">
        <f t="shared" si="288"/>
        <v>114625.91494394507</v>
      </c>
      <c r="CT432" s="1312">
        <f t="shared" si="288"/>
        <v>7387.6454570108381</v>
      </c>
      <c r="CU432" s="1312">
        <f t="shared" si="288"/>
        <v>1593890.96873789</v>
      </c>
    </row>
    <row r="433" spans="3:99" x14ac:dyDescent="0.35">
      <c r="C433" s="1315">
        <f t="shared" si="289"/>
        <v>340</v>
      </c>
      <c r="D433" s="1312">
        <f>IF(AND(C433&gt;$F$59,'Instrumentos Financeiros'!C433&lt;'Instrumentos Financeiros'!$F$59+'Instrumentos Financeiros'!$F$11+1),PMT(((1+'Instrumentos Financeiros'!$G$43)^(1/12)-1),$F$11,-$I$59),0)</f>
        <v>0</v>
      </c>
      <c r="E433" s="1312">
        <f t="shared" si="286"/>
        <v>-1.2753081715859456E-11</v>
      </c>
      <c r="F433" s="1312">
        <f>G432*((1+'Instrumentos Financeiros'!$G$43)^(1/12)-1)</f>
        <v>1.2753081715859456E-11</v>
      </c>
      <c r="G433" s="1312">
        <f t="shared" si="320"/>
        <v>3.1371295641881482E-9</v>
      </c>
      <c r="H433" s="1312">
        <f>IF(AND(C433&gt;$F$60,'Instrumentos Financeiros'!C433&lt;'Instrumentos Financeiros'!$F$60+'Instrumentos Financeiros'!$F$11+1),PMT(((1+'Instrumentos Financeiros'!$G$43)^(1/12)-1),$F$11,-$I$60),0)</f>
        <v>0</v>
      </c>
      <c r="I433" s="1312">
        <f t="shared" si="272"/>
        <v>0</v>
      </c>
      <c r="J433" s="1312">
        <f>K432*((1+'Instrumentos Financeiros'!$G$43)^(1/12)-1)</f>
        <v>0</v>
      </c>
      <c r="K433" s="1312">
        <f t="shared" si="290"/>
        <v>0</v>
      </c>
      <c r="L433" s="1312">
        <f>IF(AND(C433&gt;$F$61,'Instrumentos Financeiros'!C433&lt;'Instrumentos Financeiros'!$F$61+'Instrumentos Financeiros'!$F$11+1),PMT(((1+'Instrumentos Financeiros'!$G$43)^(1/12)-1),$F$11,-$I$61),0)</f>
        <v>0</v>
      </c>
      <c r="M433" s="1312">
        <f t="shared" si="273"/>
        <v>0</v>
      </c>
      <c r="N433" s="1312">
        <f>O432*((1+'Instrumentos Financeiros'!$G$43)^(1/12)-1)</f>
        <v>0</v>
      </c>
      <c r="O433" s="1312">
        <f t="shared" si="291"/>
        <v>0</v>
      </c>
      <c r="P433" s="1312">
        <f>IF(AND(C433&gt;$F$62,'Instrumentos Financeiros'!C433&lt;'Instrumentos Financeiros'!$F$62+'Instrumentos Financeiros'!$F$11+1),PMT(((1+'Instrumentos Financeiros'!$H$43)^(1/12)-1),$F$11,-$I$62),0)</f>
        <v>0</v>
      </c>
      <c r="Q433" s="1312">
        <f t="shared" si="274"/>
        <v>0</v>
      </c>
      <c r="R433" s="1312">
        <f>S432*((1+'Instrumentos Financeiros'!$H$43)^(1/12)-1)</f>
        <v>0</v>
      </c>
      <c r="S433" s="1312">
        <f t="shared" si="292"/>
        <v>0</v>
      </c>
      <c r="T433" s="1312">
        <f>IF(AND(C433&gt;$F$63,'Instrumentos Financeiros'!C433&lt;'Instrumentos Financeiros'!$F$63+'Instrumentos Financeiros'!$F$11+1),PMT(((1+'Instrumentos Financeiros'!$H$43)^(1/12)-1),$F$11,-$I$63),0)</f>
        <v>0</v>
      </c>
      <c r="U433" s="1312">
        <f t="shared" si="275"/>
        <v>0</v>
      </c>
      <c r="V433" s="1312">
        <f>W432*((1+'Instrumentos Financeiros'!$H$43)^(1/12)-1)</f>
        <v>0</v>
      </c>
      <c r="W433" s="1312">
        <f t="shared" si="293"/>
        <v>0</v>
      </c>
      <c r="X433" s="1312">
        <f>IF(AND(C433&gt;$F$64,'Instrumentos Financeiros'!C433&lt;'Instrumentos Financeiros'!$F$64+'Instrumentos Financeiros'!$F$11+1),PMT(((1+'Instrumentos Financeiros'!$H$43)^(1/12)-1),$F$11,-$I$64),0)</f>
        <v>0</v>
      </c>
      <c r="Y433" s="1312">
        <f t="shared" si="276"/>
        <v>0</v>
      </c>
      <c r="Z433" s="1312">
        <f>AA432*((1+'Instrumentos Financeiros'!$H$43)^(1/12)-1)</f>
        <v>0</v>
      </c>
      <c r="AA433" s="1312">
        <f t="shared" si="294"/>
        <v>0</v>
      </c>
      <c r="AB433" s="1312">
        <f>IF(AND(C433&gt;$F$65,'Instrumentos Financeiros'!C433&lt;'Instrumentos Financeiros'!$F$65+'Instrumentos Financeiros'!$F$11+1),PMT(((1+'Instrumentos Financeiros'!$H$43)^(1/12)-1),$F$11,-$I$65),0)</f>
        <v>0</v>
      </c>
      <c r="AC433" s="1312">
        <f t="shared" si="277"/>
        <v>3.1568356838979906E-11</v>
      </c>
      <c r="AD433" s="1312">
        <f>AE432*((1+'Instrumentos Financeiros'!$H$43)^(1/12)-1)</f>
        <v>-3.1568356838979906E-11</v>
      </c>
      <c r="AE433" s="1312">
        <f t="shared" si="295"/>
        <v>-7.3322801957248038E-9</v>
      </c>
      <c r="AF433" s="1312">
        <f>IF(AND(C433&gt;$F$66,'Instrumentos Financeiros'!C433&lt;'Instrumentos Financeiros'!$F$66+'Instrumentos Financeiros'!$F$11+1),PMT(((1+'Instrumentos Financeiros'!$I$43)^(1/12)-1),$F$11,-$I$66),0)</f>
        <v>0</v>
      </c>
      <c r="AG433" s="1312">
        <f t="shared" si="278"/>
        <v>3.1162367148483129E-11</v>
      </c>
      <c r="AH433" s="1312">
        <f>AI432*((1+'Instrumentos Financeiros'!$I$43)^(1/12)-1)</f>
        <v>-3.1162367148483129E-11</v>
      </c>
      <c r="AI433" s="1312">
        <f t="shared" si="296"/>
        <v>-7.2379822827076067E-9</v>
      </c>
      <c r="AJ433" s="1312">
        <f>IF(AND(C433&gt;$F$67,'Instrumentos Financeiros'!C433&lt;'Instrumentos Financeiros'!$F$67+'Instrumentos Financeiros'!$F$11+1),PMT(((1+'Instrumentos Financeiros'!$I$43)^(1/12)-1),$F$11,-$I$67),0)</f>
        <v>0</v>
      </c>
      <c r="AK433" s="1312">
        <f t="shared" si="279"/>
        <v>3.0761598750612714E-11</v>
      </c>
      <c r="AL433" s="1312">
        <f>AM432*((1+'Instrumentos Financeiros'!$I$43)^(1/12)-1)</f>
        <v>-3.0761598750612714E-11</v>
      </c>
      <c r="AM433" s="1312">
        <f t="shared" si="297"/>
        <v>-7.1448971024504836E-9</v>
      </c>
      <c r="AN433" s="1312">
        <f>IF(AND(C433&gt;$F$68,'Instrumentos Financeiros'!C433&lt;'Instrumentos Financeiros'!$F$68+'Instrumentos Financeiros'!$F$11+1),PMT(((1+'Instrumentos Financeiros'!$I$43)^(1/12)-1),$F$11,-$I$68),0)</f>
        <v>0</v>
      </c>
      <c r="AO433" s="1312">
        <f t="shared" si="280"/>
        <v>3.0365984496134746E-11</v>
      </c>
      <c r="AP433" s="1312">
        <f>AQ432*((1+'Instrumentos Financeiros'!$I$43)^(1/12)-1)</f>
        <v>-3.0365984496134746E-11</v>
      </c>
      <c r="AQ433" s="1312">
        <f t="shared" si="298"/>
        <v>-7.0530090584179407E-9</v>
      </c>
      <c r="AR433" s="1312">
        <f>IF(AND(C433&gt;$F$69,'Instrumentos Financeiros'!C433&lt;'Instrumentos Financeiros'!$F$69+'Instrumentos Financeiros'!$F$11+1),PMT(((1+'Instrumentos Financeiros'!$I$43)^(1/12)-1),$F$11,-$I$69),0)</f>
        <v>0</v>
      </c>
      <c r="AS433" s="1312">
        <f t="shared" si="281"/>
        <v>0</v>
      </c>
      <c r="AT433" s="1312">
        <f>AU432*((1+'Instrumentos Financeiros'!$I$43)^(1/12)-1)</f>
        <v>0</v>
      </c>
      <c r="AU433" s="1312">
        <f t="shared" si="299"/>
        <v>0</v>
      </c>
      <c r="AV433" s="1312">
        <f>IF(AND(C433&gt;$F$70,'Instrumentos Financeiros'!C433&lt;'Instrumentos Financeiros'!$F$70+'Instrumentos Financeiros'!$F$11+1),PMT(((1+'Instrumentos Financeiros'!$J$43)^(1/12)-1),$F$11,-$I$70),0)</f>
        <v>0</v>
      </c>
      <c r="AW433" s="1312">
        <f t="shared" si="282"/>
        <v>0</v>
      </c>
      <c r="AX433" s="1312">
        <f>AY432*((1+'Instrumentos Financeiros'!$J$43)^(1/12)-1)</f>
        <v>0</v>
      </c>
      <c r="AY433" s="1312">
        <f t="shared" si="300"/>
        <v>0</v>
      </c>
      <c r="AZ433" s="1312">
        <f>IF(AND(C433&gt;$F$71,'Instrumentos Financeiros'!C433&lt;'Instrumentos Financeiros'!$F$71+'Instrumentos Financeiros'!$F$11+1),PMT(((1+'Instrumentos Financeiros'!$J$43)^(1/12)-1),$F$11,-$I$71),0)</f>
        <v>0</v>
      </c>
      <c r="BA433" s="1312">
        <f t="shared" si="283"/>
        <v>0</v>
      </c>
      <c r="BB433" s="1312">
        <f>BC432*((1+'Instrumentos Financeiros'!$J$43)^(1/12)-1)</f>
        <v>0</v>
      </c>
      <c r="BC433" s="1312">
        <f t="shared" si="301"/>
        <v>0</v>
      </c>
      <c r="BD433" s="1312">
        <f>IF(AND(C433&gt;$F$72,'Instrumentos Financeiros'!C433&lt;'Instrumentos Financeiros'!$F$72+'Instrumentos Financeiros'!$F$11+1),PMT(((1+'Instrumentos Financeiros'!$J$43)^(1/12)-1),$F$11,-'Instrumentos Financeiros'!$G$7*$G$72),0)</f>
        <v>0</v>
      </c>
      <c r="BE433" s="1312">
        <f t="shared" si="284"/>
        <v>0</v>
      </c>
      <c r="BF433" s="1312">
        <f>BG432*((1+'Instrumentos Financeiros'!$J$43)^(1/12)-1)</f>
        <v>0</v>
      </c>
      <c r="BG433" s="1312">
        <f t="shared" si="302"/>
        <v>0</v>
      </c>
      <c r="BH433" s="1312">
        <f>IF(AND(C433&gt;$F$73,'Instrumentos Financeiros'!C433&lt;'Instrumentos Financeiros'!$F$73+'Instrumentos Financeiros'!$F$11+1),PMT(((1+'Instrumentos Financeiros'!$J$43)^(1/12)-1),$F$11,-$I$73),0)</f>
        <v>0</v>
      </c>
      <c r="BI433" s="1312">
        <f t="shared" si="285"/>
        <v>0</v>
      </c>
      <c r="BJ433" s="1312">
        <f>BK432*((1+'Instrumentos Financeiros'!$J$43)^(1/12)-1)</f>
        <v>0</v>
      </c>
      <c r="BK433" s="1312">
        <f t="shared" si="303"/>
        <v>0</v>
      </c>
      <c r="BL433" s="1312">
        <f>IF(AND(C433&gt;$F$77,'Instrumentos Financeiros'!C433&lt;'Instrumentos Financeiros'!$F$77+'Instrumentos Financeiros'!$F$12+1),PMT(((1+'Instrumentos Financeiros'!$K$43)^(1/12)-1),$F$12,-$I$77),0)</f>
        <v>0</v>
      </c>
      <c r="BM433" s="1312">
        <f t="shared" si="304"/>
        <v>8.5802684384038801E-14</v>
      </c>
      <c r="BN433" s="1312">
        <f>BO432*((1+'Instrumentos Financeiros'!$K$43)^(1/12)-1)</f>
        <v>-8.5802684384038801E-14</v>
      </c>
      <c r="BO433" s="1312">
        <f t="shared" si="305"/>
        <v>-1.9929112137768243E-11</v>
      </c>
      <c r="BP433" s="1312">
        <f>IF(AND(C433&gt;$F$78,'Instrumentos Financeiros'!C433&lt;'Instrumentos Financeiros'!$F$78+'Instrumentos Financeiros'!$F$12+1),PMT(((1+'Instrumentos Financeiros'!$L$43)^(1/12)-1),$F$12,-$I$78),0)</f>
        <v>0</v>
      </c>
      <c r="BQ433" s="1312">
        <f t="shared" si="306"/>
        <v>8.469920581356551E-14</v>
      </c>
      <c r="BR433" s="1312">
        <f>BS432*((1+'Instrumentos Financeiros'!$L$43)^(1/12)-1)</f>
        <v>-8.469920581356551E-14</v>
      </c>
      <c r="BS433" s="1312">
        <f t="shared" si="307"/>
        <v>-1.9672810737288079E-11</v>
      </c>
      <c r="BT433" s="1312">
        <f>IF(AND(C433&gt;$F$79,'Instrumentos Financeiros'!C433&lt;'Instrumentos Financeiros'!$F$79+'Instrumentos Financeiros'!$F$12+1),PMT(((1+'Instrumentos Financeiros'!$L$43)^(1/12)-1),$F$12,-$I$79),0)</f>
        <v>0</v>
      </c>
      <c r="BU433" s="1312">
        <f t="shared" si="308"/>
        <v>8.3609918698339039E-14</v>
      </c>
      <c r="BV433" s="1312">
        <f>BW432*((1+'Instrumentos Financeiros'!$L$43)^(1/12)-1)</f>
        <v>-8.3609918698339039E-14</v>
      </c>
      <c r="BW433" s="1312">
        <f t="shared" si="309"/>
        <v>-1.941980554024307E-11</v>
      </c>
      <c r="BX433" s="1312">
        <f>IF(AND(C433&gt;$F$80,'Instrumentos Financeiros'!C433&lt;'Instrumentos Financeiros'!$F$80+'Instrumentos Financeiros'!$F$12+1),PMT(((1+'Instrumentos Financeiros'!$L$43)^(1/12)-1),$F$12,-$I$80),0)</f>
        <v>0</v>
      </c>
      <c r="BY433" s="1312">
        <f t="shared" si="310"/>
        <v>8.2534640526974559E-14</v>
      </c>
      <c r="BZ433" s="1312">
        <f>CA432*((1+'Instrumentos Financeiros'!$L$43)^(1/12)-1)</f>
        <v>-8.2534640526974559E-14</v>
      </c>
      <c r="CA433" s="1312">
        <f t="shared" si="311"/>
        <v>-1.9170054155303844E-11</v>
      </c>
      <c r="CB433" s="1312">
        <f>IF(AND(C433&gt;$F$83,'Instrumentos Financeiros'!C433&lt;'Instrumentos Financeiros'!$F$83+'Instrumentos Financeiros'!$F$13+1),PMT(((1+'Instrumentos Financeiros'!$P$43)^(1/12)-1),$F$13,-$I$83),0)</f>
        <v>30503.390100238979</v>
      </c>
      <c r="CC433" s="1312">
        <f t="shared" si="312"/>
        <v>29341.580101491854</v>
      </c>
      <c r="CD433" s="1312">
        <f>CE432*((1+'Instrumentos Financeiros'!$P$43)^(1/12)-1)</f>
        <v>1161.8099987471257</v>
      </c>
      <c r="CE433" s="1312">
        <f t="shared" si="313"/>
        <v>239346.4626640293</v>
      </c>
      <c r="CF433" s="1312">
        <f>IF(AND(C433&gt;$F$84,'Instrumentos Financeiros'!C433&lt;'Instrumentos Financeiros'!$F$84+'Instrumentos Financeiros'!$F$13+1),PMT(((1+'Instrumentos Financeiros'!$Q$43)^(1/12)-1),$F$13,-$I$84),0)</f>
        <v>30503.390100238979</v>
      </c>
      <c r="CG433" s="1312">
        <f t="shared" si="314"/>
        <v>28964.228214447103</v>
      </c>
      <c r="CH433" s="1312">
        <f>CI432*((1+'Instrumentos Financeiros'!$Q$43)^(1/12)-1)</f>
        <v>1539.161885791877</v>
      </c>
      <c r="CI433" s="1312">
        <f t="shared" si="315"/>
        <v>326992.76564743853</v>
      </c>
      <c r="CJ433" s="1312">
        <f>IF(AND(C433&gt;$F$85,'Instrumentos Financeiros'!C433&lt;'Instrumentos Financeiros'!$F$85+'Instrumentos Financeiros'!$F$13+1),PMT(((1+'Instrumentos Financeiros'!$Q$43)^(1/12)-1),$F$13,-$I$85),0)</f>
        <v>30503.390100238979</v>
      </c>
      <c r="CK433" s="1312">
        <f t="shared" si="316"/>
        <v>28591.72931916911</v>
      </c>
      <c r="CL433" s="1312">
        <f>CM432*((1+'Instrumentos Financeiros'!$Q$43)^(1/12)-1)</f>
        <v>1911.6607810698692</v>
      </c>
      <c r="CM433" s="1312">
        <f t="shared" si="317"/>
        <v>413511.87992087082</v>
      </c>
      <c r="CN433" s="1312">
        <f>IF(AND(C433&gt;$F$86,'Instrumentos Financeiros'!C433&lt;'Instrumentos Financeiros'!$F$86+'Instrumentos Financeiros'!$F$13+1),PMT(((1+'Instrumentos Financeiros'!$Q$43)^(1/12)-1),$F$13,-$I$86),0)</f>
        <v>30503.390100238979</v>
      </c>
      <c r="CO433" s="1312">
        <f t="shared" si="318"/>
        <v>28224.021003013615</v>
      </c>
      <c r="CP433" s="1312">
        <f>CQ432*((1+'Instrumentos Financeiros'!$Q$43)^(1/12)-1)</f>
        <v>2279.3690972253662</v>
      </c>
      <c r="CQ433" s="1312">
        <f t="shared" si="319"/>
        <v>498918.30186745536</v>
      </c>
      <c r="CR433" s="1312">
        <f t="shared" si="288"/>
        <v>122013.56040095592</v>
      </c>
      <c r="CS433" s="1312">
        <f t="shared" si="288"/>
        <v>115121.55863812179</v>
      </c>
      <c r="CT433" s="1312">
        <f t="shared" si="288"/>
        <v>6892.0017628341266</v>
      </c>
      <c r="CU433" s="1312">
        <f t="shared" si="288"/>
        <v>1478769.4100997681</v>
      </c>
    </row>
    <row r="434" spans="3:99" x14ac:dyDescent="0.35">
      <c r="C434" s="1315">
        <f t="shared" si="289"/>
        <v>341</v>
      </c>
      <c r="D434" s="1312">
        <f>IF(AND(C434&gt;$F$59,'Instrumentos Financeiros'!C434&lt;'Instrumentos Financeiros'!$F$59+'Instrumentos Financeiros'!$F$11+1),PMT(((1+'Instrumentos Financeiros'!$G$43)^(1/12)-1),$F$11,-$I$59),0)</f>
        <v>0</v>
      </c>
      <c r="E434" s="1312">
        <f t="shared" si="286"/>
        <v>-1.2805137252112466E-11</v>
      </c>
      <c r="F434" s="1312">
        <f>G433*((1+'Instrumentos Financeiros'!$G$43)^(1/12)-1)</f>
        <v>1.2805137252112466E-11</v>
      </c>
      <c r="G434" s="1312">
        <f t="shared" si="320"/>
        <v>3.1499347014402608E-9</v>
      </c>
      <c r="H434" s="1312">
        <f>IF(AND(C434&gt;$F$60,'Instrumentos Financeiros'!C434&lt;'Instrumentos Financeiros'!$F$60+'Instrumentos Financeiros'!$F$11+1),PMT(((1+'Instrumentos Financeiros'!$G$43)^(1/12)-1),$F$11,-$I$60),0)</f>
        <v>0</v>
      </c>
      <c r="I434" s="1312">
        <f t="shared" si="272"/>
        <v>0</v>
      </c>
      <c r="J434" s="1312">
        <f>K433*((1+'Instrumentos Financeiros'!$G$43)^(1/12)-1)</f>
        <v>0</v>
      </c>
      <c r="K434" s="1312">
        <f t="shared" si="290"/>
        <v>0</v>
      </c>
      <c r="L434" s="1312">
        <f>IF(AND(C434&gt;$F$61,'Instrumentos Financeiros'!C434&lt;'Instrumentos Financeiros'!$F$61+'Instrumentos Financeiros'!$F$11+1),PMT(((1+'Instrumentos Financeiros'!$G$43)^(1/12)-1),$F$11,-$I$61),0)</f>
        <v>0</v>
      </c>
      <c r="M434" s="1312">
        <f t="shared" si="273"/>
        <v>0</v>
      </c>
      <c r="N434" s="1312">
        <f>O433*((1+'Instrumentos Financeiros'!$G$43)^(1/12)-1)</f>
        <v>0</v>
      </c>
      <c r="O434" s="1312">
        <f t="shared" si="291"/>
        <v>0</v>
      </c>
      <c r="P434" s="1312">
        <f>IF(AND(C434&gt;$F$62,'Instrumentos Financeiros'!C434&lt;'Instrumentos Financeiros'!$F$62+'Instrumentos Financeiros'!$F$11+1),PMT(((1+'Instrumentos Financeiros'!$H$43)^(1/12)-1),$F$11,-$I$62),0)</f>
        <v>0</v>
      </c>
      <c r="Q434" s="1312">
        <f t="shared" si="274"/>
        <v>0</v>
      </c>
      <c r="R434" s="1312">
        <f>S433*((1+'Instrumentos Financeiros'!$H$43)^(1/12)-1)</f>
        <v>0</v>
      </c>
      <c r="S434" s="1312">
        <f t="shared" si="292"/>
        <v>0</v>
      </c>
      <c r="T434" s="1312">
        <f>IF(AND(C434&gt;$F$63,'Instrumentos Financeiros'!C434&lt;'Instrumentos Financeiros'!$F$63+'Instrumentos Financeiros'!$F$11+1),PMT(((1+'Instrumentos Financeiros'!$H$43)^(1/12)-1),$F$11,-$I$63),0)</f>
        <v>0</v>
      </c>
      <c r="U434" s="1312">
        <f t="shared" si="275"/>
        <v>0</v>
      </c>
      <c r="V434" s="1312">
        <f>W433*((1+'Instrumentos Financeiros'!$H$43)^(1/12)-1)</f>
        <v>0</v>
      </c>
      <c r="W434" s="1312">
        <f t="shared" si="293"/>
        <v>0</v>
      </c>
      <c r="X434" s="1312">
        <f>IF(AND(C434&gt;$F$64,'Instrumentos Financeiros'!C434&lt;'Instrumentos Financeiros'!$F$64+'Instrumentos Financeiros'!$F$11+1),PMT(((1+'Instrumentos Financeiros'!$H$43)^(1/12)-1),$F$11,-$I$64),0)</f>
        <v>0</v>
      </c>
      <c r="Y434" s="1312">
        <f t="shared" si="276"/>
        <v>0</v>
      </c>
      <c r="Z434" s="1312">
        <f>AA433*((1+'Instrumentos Financeiros'!$H$43)^(1/12)-1)</f>
        <v>0</v>
      </c>
      <c r="AA434" s="1312">
        <f t="shared" si="294"/>
        <v>0</v>
      </c>
      <c r="AB434" s="1312">
        <f>IF(AND(C434&gt;$F$65,'Instrumentos Financeiros'!C434&lt;'Instrumentos Financeiros'!$F$65+'Instrumentos Financeiros'!$F$11+1),PMT(((1+'Instrumentos Financeiros'!$H$43)^(1/12)-1),$F$11,-$I$65),0)</f>
        <v>0</v>
      </c>
      <c r="AC434" s="1312">
        <f t="shared" si="277"/>
        <v>3.1704858754889697E-11</v>
      </c>
      <c r="AD434" s="1312">
        <f>AE433*((1+'Instrumentos Financeiros'!$H$43)^(1/12)-1)</f>
        <v>-3.1704858754889697E-11</v>
      </c>
      <c r="AE434" s="1312">
        <f t="shared" si="295"/>
        <v>-7.3639850544796934E-9</v>
      </c>
      <c r="AF434" s="1312">
        <f>IF(AND(C434&gt;$F$66,'Instrumentos Financeiros'!C434&lt;'Instrumentos Financeiros'!$F$66+'Instrumentos Financeiros'!$F$11+1),PMT(((1+'Instrumentos Financeiros'!$I$43)^(1/12)-1),$F$11,-$I$66),0)</f>
        <v>0</v>
      </c>
      <c r="AG434" s="1312">
        <f t="shared" si="278"/>
        <v>3.1297113560586523E-11</v>
      </c>
      <c r="AH434" s="1312">
        <f>AI433*((1+'Instrumentos Financeiros'!$I$43)^(1/12)-1)</f>
        <v>-3.1297113560586523E-11</v>
      </c>
      <c r="AI434" s="1312">
        <f t="shared" si="296"/>
        <v>-7.269279396268193E-9</v>
      </c>
      <c r="AJ434" s="1312">
        <f>IF(AND(C434&gt;$F$67,'Instrumentos Financeiros'!C434&lt;'Instrumentos Financeiros'!$F$67+'Instrumentos Financeiros'!$F$11+1),PMT(((1+'Instrumentos Financeiros'!$I$43)^(1/12)-1),$F$11,-$I$67),0)</f>
        <v>0</v>
      </c>
      <c r="AK434" s="1312">
        <f t="shared" si="279"/>
        <v>3.0894612235835418E-11</v>
      </c>
      <c r="AL434" s="1312">
        <f>AM433*((1+'Instrumentos Financeiros'!$I$43)^(1/12)-1)</f>
        <v>-3.0894612235835418E-11</v>
      </c>
      <c r="AM434" s="1312">
        <f t="shared" si="297"/>
        <v>-7.1757917146863186E-9</v>
      </c>
      <c r="AN434" s="1312">
        <f>IF(AND(C434&gt;$F$68,'Instrumentos Financeiros'!C434&lt;'Instrumentos Financeiros'!$F$68+'Instrumentos Financeiros'!$F$11+1),PMT(((1+'Instrumentos Financeiros'!$I$43)^(1/12)-1),$F$11,-$I$68),0)</f>
        <v>0</v>
      </c>
      <c r="AO434" s="1312">
        <f t="shared" si="280"/>
        <v>3.0497287341048456E-11</v>
      </c>
      <c r="AP434" s="1312">
        <f>AQ433*((1+'Instrumentos Financeiros'!$I$43)^(1/12)-1)</f>
        <v>-3.0497287341048456E-11</v>
      </c>
      <c r="AQ434" s="1312">
        <f t="shared" si="298"/>
        <v>-7.0835063457589893E-9</v>
      </c>
      <c r="AR434" s="1312">
        <f>IF(AND(C434&gt;$F$69,'Instrumentos Financeiros'!C434&lt;'Instrumentos Financeiros'!$F$69+'Instrumentos Financeiros'!$F$11+1),PMT(((1+'Instrumentos Financeiros'!$I$43)^(1/12)-1),$F$11,-$I$69),0)</f>
        <v>0</v>
      </c>
      <c r="AS434" s="1312">
        <f t="shared" si="281"/>
        <v>0</v>
      </c>
      <c r="AT434" s="1312">
        <f>AU433*((1+'Instrumentos Financeiros'!$I$43)^(1/12)-1)</f>
        <v>0</v>
      </c>
      <c r="AU434" s="1312">
        <f t="shared" si="299"/>
        <v>0</v>
      </c>
      <c r="AV434" s="1312">
        <f>IF(AND(C434&gt;$F$70,'Instrumentos Financeiros'!C434&lt;'Instrumentos Financeiros'!$F$70+'Instrumentos Financeiros'!$F$11+1),PMT(((1+'Instrumentos Financeiros'!$J$43)^(1/12)-1),$F$11,-$I$70),0)</f>
        <v>0</v>
      </c>
      <c r="AW434" s="1312">
        <f t="shared" si="282"/>
        <v>0</v>
      </c>
      <c r="AX434" s="1312">
        <f>AY433*((1+'Instrumentos Financeiros'!$J$43)^(1/12)-1)</f>
        <v>0</v>
      </c>
      <c r="AY434" s="1312">
        <f t="shared" si="300"/>
        <v>0</v>
      </c>
      <c r="AZ434" s="1312">
        <f>IF(AND(C434&gt;$F$71,'Instrumentos Financeiros'!C434&lt;'Instrumentos Financeiros'!$F$71+'Instrumentos Financeiros'!$F$11+1),PMT(((1+'Instrumentos Financeiros'!$J$43)^(1/12)-1),$F$11,-$I$71),0)</f>
        <v>0</v>
      </c>
      <c r="BA434" s="1312">
        <f t="shared" si="283"/>
        <v>0</v>
      </c>
      <c r="BB434" s="1312">
        <f>BC433*((1+'Instrumentos Financeiros'!$J$43)^(1/12)-1)</f>
        <v>0</v>
      </c>
      <c r="BC434" s="1312">
        <f t="shared" si="301"/>
        <v>0</v>
      </c>
      <c r="BD434" s="1312">
        <f>IF(AND(C434&gt;$F$72,'Instrumentos Financeiros'!C434&lt;'Instrumentos Financeiros'!$F$72+'Instrumentos Financeiros'!$F$11+1),PMT(((1+'Instrumentos Financeiros'!$J$43)^(1/12)-1),$F$11,-'Instrumentos Financeiros'!$G$7*$G$72),0)</f>
        <v>0</v>
      </c>
      <c r="BE434" s="1312">
        <f t="shared" si="284"/>
        <v>0</v>
      </c>
      <c r="BF434" s="1312">
        <f>BG433*((1+'Instrumentos Financeiros'!$J$43)^(1/12)-1)</f>
        <v>0</v>
      </c>
      <c r="BG434" s="1312">
        <f t="shared" si="302"/>
        <v>0</v>
      </c>
      <c r="BH434" s="1312">
        <f>IF(AND(C434&gt;$F$73,'Instrumentos Financeiros'!C434&lt;'Instrumentos Financeiros'!$F$73+'Instrumentos Financeiros'!$F$11+1),PMT(((1+'Instrumentos Financeiros'!$J$43)^(1/12)-1),$F$11,-$I$73),0)</f>
        <v>0</v>
      </c>
      <c r="BI434" s="1312">
        <f t="shared" si="285"/>
        <v>0</v>
      </c>
      <c r="BJ434" s="1312">
        <f>BK433*((1+'Instrumentos Financeiros'!$J$43)^(1/12)-1)</f>
        <v>0</v>
      </c>
      <c r="BK434" s="1312">
        <f t="shared" si="303"/>
        <v>0</v>
      </c>
      <c r="BL434" s="1312">
        <f>IF(AND(C434&gt;$F$77,'Instrumentos Financeiros'!C434&lt;'Instrumentos Financeiros'!$F$77+'Instrumentos Financeiros'!$F$12+1),PMT(((1+'Instrumentos Financeiros'!$K$43)^(1/12)-1),$F$12,-$I$77),0)</f>
        <v>0</v>
      </c>
      <c r="BM434" s="1312">
        <f t="shared" si="304"/>
        <v>8.6173696117983795E-14</v>
      </c>
      <c r="BN434" s="1312">
        <f>BO433*((1+'Instrumentos Financeiros'!$K$43)^(1/12)-1)</f>
        <v>-8.6173696117983795E-14</v>
      </c>
      <c r="BO434" s="1312">
        <f t="shared" si="305"/>
        <v>-2.0015285833886228E-11</v>
      </c>
      <c r="BP434" s="1312">
        <f>IF(AND(C434&gt;$F$78,'Instrumentos Financeiros'!C434&lt;'Instrumentos Financeiros'!$F$78+'Instrumentos Financeiros'!$F$12+1),PMT(((1+'Instrumentos Financeiros'!$L$43)^(1/12)-1),$F$12,-$I$78),0)</f>
        <v>0</v>
      </c>
      <c r="BQ434" s="1312">
        <f t="shared" si="306"/>
        <v>8.5065446094254196E-14</v>
      </c>
      <c r="BR434" s="1312">
        <f>BS433*((1+'Instrumentos Financeiros'!$L$43)^(1/12)-1)</f>
        <v>-8.5065446094254196E-14</v>
      </c>
      <c r="BS434" s="1312">
        <f t="shared" si="307"/>
        <v>-1.9757876183382333E-11</v>
      </c>
      <c r="BT434" s="1312">
        <f>IF(AND(C434&gt;$F$79,'Instrumentos Financeiros'!C434&lt;'Instrumentos Financeiros'!$F$79+'Instrumentos Financeiros'!$F$12+1),PMT(((1+'Instrumentos Financeiros'!$L$43)^(1/12)-1),$F$12,-$I$79),0)</f>
        <v>0</v>
      </c>
      <c r="BU434" s="1312">
        <f t="shared" si="308"/>
        <v>8.3971448889777191E-14</v>
      </c>
      <c r="BV434" s="1312">
        <f>BW433*((1+'Instrumentos Financeiros'!$L$43)^(1/12)-1)</f>
        <v>-8.3971448889777191E-14</v>
      </c>
      <c r="BW434" s="1312">
        <f t="shared" si="309"/>
        <v>-1.9503776989132847E-11</v>
      </c>
      <c r="BX434" s="1312">
        <f>IF(AND(C434&gt;$F$80,'Instrumentos Financeiros'!C434&lt;'Instrumentos Financeiros'!$F$80+'Instrumentos Financeiros'!$F$12+1),PMT(((1+'Instrumentos Financeiros'!$L$43)^(1/12)-1),$F$12,-$I$80),0)</f>
        <v>0</v>
      </c>
      <c r="BY434" s="1312">
        <f t="shared" si="310"/>
        <v>8.2891521203986743E-14</v>
      </c>
      <c r="BZ434" s="1312">
        <f>CA433*((1+'Instrumentos Financeiros'!$L$43)^(1/12)-1)</f>
        <v>-8.2891521203986743E-14</v>
      </c>
      <c r="CA434" s="1312">
        <f t="shared" si="311"/>
        <v>-1.925294567650783E-11</v>
      </c>
      <c r="CB434" s="1312">
        <f>IF(AND(C434&gt;$F$83,'Instrumentos Financeiros'!C434&lt;'Instrumentos Financeiros'!$F$83+'Instrumentos Financeiros'!$F$13+1),PMT(((1+'Instrumentos Financeiros'!$P$43)^(1/12)-1),$F$13,-$I$83),0)</f>
        <v>30503.390100238979</v>
      </c>
      <c r="CC434" s="1312">
        <f t="shared" si="312"/>
        <v>29468.453410739567</v>
      </c>
      <c r="CD434" s="1312">
        <f>CE433*((1+'Instrumentos Financeiros'!$P$43)^(1/12)-1)</f>
        <v>1034.9366894994118</v>
      </c>
      <c r="CE434" s="1312">
        <f t="shared" si="313"/>
        <v>209878.00925328973</v>
      </c>
      <c r="CF434" s="1312">
        <f>IF(AND(C434&gt;$F$84,'Instrumentos Financeiros'!C434&lt;'Instrumentos Financeiros'!$F$84+'Instrumentos Financeiros'!$F$13+1),PMT(((1+'Instrumentos Financeiros'!$Q$43)^(1/12)-1),$F$13,-$I$84),0)</f>
        <v>30503.390100238979</v>
      </c>
      <c r="CG434" s="1312">
        <f t="shared" si="314"/>
        <v>29089.469850059839</v>
      </c>
      <c r="CH434" s="1312">
        <f>CI433*((1+'Instrumentos Financeiros'!$Q$43)^(1/12)-1)</f>
        <v>1413.9202501791424</v>
      </c>
      <c r="CI434" s="1312">
        <f t="shared" si="315"/>
        <v>297903.2957973787</v>
      </c>
      <c r="CJ434" s="1312">
        <f>IF(AND(C434&gt;$F$85,'Instrumentos Financeiros'!C434&lt;'Instrumentos Financeiros'!$F$85+'Instrumentos Financeiros'!$F$13+1),PMT(((1+'Instrumentos Financeiros'!$Q$43)^(1/12)-1),$F$13,-$I$85),0)</f>
        <v>30503.390100238979</v>
      </c>
      <c r="CK434" s="1312">
        <f t="shared" si="316"/>
        <v>28715.360265535677</v>
      </c>
      <c r="CL434" s="1312">
        <f>CM433*((1+'Instrumentos Financeiros'!$Q$43)^(1/12)-1)</f>
        <v>1788.0298347033022</v>
      </c>
      <c r="CM434" s="1312">
        <f t="shared" si="317"/>
        <v>384796.51965533517</v>
      </c>
      <c r="CN434" s="1312">
        <f>IF(AND(C434&gt;$F$86,'Instrumentos Financeiros'!C434&lt;'Instrumentos Financeiros'!$F$86+'Instrumentos Financeiros'!$F$13+1),PMT(((1+'Instrumentos Financeiros'!$Q$43)^(1/12)-1),$F$13,-$I$86),0)</f>
        <v>30503.390100238979</v>
      </c>
      <c r="CO434" s="1312">
        <f t="shared" si="318"/>
        <v>28346.061974649878</v>
      </c>
      <c r="CP434" s="1312">
        <f>CQ433*((1+'Instrumentos Financeiros'!$Q$43)^(1/12)-1)</f>
        <v>2157.3281255891029</v>
      </c>
      <c r="CQ434" s="1312">
        <f t="shared" si="319"/>
        <v>470572.23989280546</v>
      </c>
      <c r="CR434" s="1312">
        <f t="shared" si="288"/>
        <v>122013.56040095592</v>
      </c>
      <c r="CS434" s="1312">
        <f t="shared" si="288"/>
        <v>115619.34550098507</v>
      </c>
      <c r="CT434" s="1312">
        <f t="shared" si="288"/>
        <v>6394.2148999708479</v>
      </c>
      <c r="CU434" s="1312">
        <f t="shared" si="288"/>
        <v>1363150.0645987832</v>
      </c>
    </row>
    <row r="435" spans="3:99" x14ac:dyDescent="0.35">
      <c r="C435" s="1315">
        <f t="shared" si="289"/>
        <v>342</v>
      </c>
      <c r="D435" s="1312">
        <f>IF(AND(C435&gt;$F$59,'Instrumentos Financeiros'!C435&lt;'Instrumentos Financeiros'!$F$59+'Instrumentos Financeiros'!$F$11+1),PMT(((1+'Instrumentos Financeiros'!$G$43)^(1/12)-1),$F$11,-$I$59),0)</f>
        <v>0</v>
      </c>
      <c r="E435" s="1312">
        <f t="shared" si="286"/>
        <v>-1.2857405268683173E-11</v>
      </c>
      <c r="F435" s="1312">
        <f>G434*((1+'Instrumentos Financeiros'!$G$43)^(1/12)-1)</f>
        <v>1.2857405268683173E-11</v>
      </c>
      <c r="G435" s="1312">
        <f t="shared" si="320"/>
        <v>3.1627921067089441E-9</v>
      </c>
      <c r="H435" s="1312">
        <f>IF(AND(C435&gt;$F$60,'Instrumentos Financeiros'!C435&lt;'Instrumentos Financeiros'!$F$60+'Instrumentos Financeiros'!$F$11+1),PMT(((1+'Instrumentos Financeiros'!$G$43)^(1/12)-1),$F$11,-$I$60),0)</f>
        <v>0</v>
      </c>
      <c r="I435" s="1312">
        <f t="shared" si="272"/>
        <v>0</v>
      </c>
      <c r="J435" s="1312">
        <f>K434*((1+'Instrumentos Financeiros'!$G$43)^(1/12)-1)</f>
        <v>0</v>
      </c>
      <c r="K435" s="1312">
        <f t="shared" si="290"/>
        <v>0</v>
      </c>
      <c r="L435" s="1312">
        <f>IF(AND(C435&gt;$F$61,'Instrumentos Financeiros'!C435&lt;'Instrumentos Financeiros'!$F$61+'Instrumentos Financeiros'!$F$11+1),PMT(((1+'Instrumentos Financeiros'!$G$43)^(1/12)-1),$F$11,-$I$61),0)</f>
        <v>0</v>
      </c>
      <c r="M435" s="1312">
        <f t="shared" si="273"/>
        <v>0</v>
      </c>
      <c r="N435" s="1312">
        <f>O434*((1+'Instrumentos Financeiros'!$G$43)^(1/12)-1)</f>
        <v>0</v>
      </c>
      <c r="O435" s="1312">
        <f t="shared" si="291"/>
        <v>0</v>
      </c>
      <c r="P435" s="1312">
        <f>IF(AND(C435&gt;$F$62,'Instrumentos Financeiros'!C435&lt;'Instrumentos Financeiros'!$F$62+'Instrumentos Financeiros'!$F$11+1),PMT(((1+'Instrumentos Financeiros'!$H$43)^(1/12)-1),$F$11,-$I$62),0)</f>
        <v>0</v>
      </c>
      <c r="Q435" s="1312">
        <f t="shared" si="274"/>
        <v>0</v>
      </c>
      <c r="R435" s="1312">
        <f>S434*((1+'Instrumentos Financeiros'!$H$43)^(1/12)-1)</f>
        <v>0</v>
      </c>
      <c r="S435" s="1312">
        <f t="shared" si="292"/>
        <v>0</v>
      </c>
      <c r="T435" s="1312">
        <f>IF(AND(C435&gt;$F$63,'Instrumentos Financeiros'!C435&lt;'Instrumentos Financeiros'!$F$63+'Instrumentos Financeiros'!$F$11+1),PMT(((1+'Instrumentos Financeiros'!$H$43)^(1/12)-1),$F$11,-$I$63),0)</f>
        <v>0</v>
      </c>
      <c r="U435" s="1312">
        <f t="shared" si="275"/>
        <v>0</v>
      </c>
      <c r="V435" s="1312">
        <f>W434*((1+'Instrumentos Financeiros'!$H$43)^(1/12)-1)</f>
        <v>0</v>
      </c>
      <c r="W435" s="1312">
        <f t="shared" si="293"/>
        <v>0</v>
      </c>
      <c r="X435" s="1312">
        <f>IF(AND(C435&gt;$F$64,'Instrumentos Financeiros'!C435&lt;'Instrumentos Financeiros'!$F$64+'Instrumentos Financeiros'!$F$11+1),PMT(((1+'Instrumentos Financeiros'!$H$43)^(1/12)-1),$F$11,-$I$64),0)</f>
        <v>0</v>
      </c>
      <c r="Y435" s="1312">
        <f t="shared" si="276"/>
        <v>0</v>
      </c>
      <c r="Z435" s="1312">
        <f>AA434*((1+'Instrumentos Financeiros'!$H$43)^(1/12)-1)</f>
        <v>0</v>
      </c>
      <c r="AA435" s="1312">
        <f t="shared" si="294"/>
        <v>0</v>
      </c>
      <c r="AB435" s="1312">
        <f>IF(AND(C435&gt;$F$65,'Instrumentos Financeiros'!C435&lt;'Instrumentos Financeiros'!$F$65+'Instrumentos Financeiros'!$F$11+1),PMT(((1+'Instrumentos Financeiros'!$H$43)^(1/12)-1),$F$11,-$I$65),0)</f>
        <v>0</v>
      </c>
      <c r="AC435" s="1312">
        <f t="shared" si="277"/>
        <v>3.184195090655809E-11</v>
      </c>
      <c r="AD435" s="1312">
        <f>AE434*((1+'Instrumentos Financeiros'!$H$43)^(1/12)-1)</f>
        <v>-3.184195090655809E-11</v>
      </c>
      <c r="AE435" s="1312">
        <f t="shared" si="295"/>
        <v>-7.3958270053862519E-9</v>
      </c>
      <c r="AF435" s="1312">
        <f>IF(AND(C435&gt;$F$66,'Instrumentos Financeiros'!C435&lt;'Instrumentos Financeiros'!$F$66+'Instrumentos Financeiros'!$F$11+1),PMT(((1+'Instrumentos Financeiros'!$I$43)^(1/12)-1),$F$11,-$I$66),0)</f>
        <v>0</v>
      </c>
      <c r="AG435" s="1312">
        <f t="shared" si="278"/>
        <v>3.1432442617631106E-11</v>
      </c>
      <c r="AH435" s="1312">
        <f>AI434*((1+'Instrumentos Financeiros'!$I$43)^(1/12)-1)</f>
        <v>-3.1432442617631106E-11</v>
      </c>
      <c r="AI435" s="1312">
        <f t="shared" si="296"/>
        <v>-7.3007118388858237E-9</v>
      </c>
      <c r="AJ435" s="1312">
        <f>IF(AND(C435&gt;$F$67,'Instrumentos Financeiros'!C435&lt;'Instrumentos Financeiros'!$F$67+'Instrumentos Financeiros'!$F$11+1),PMT(((1+'Instrumentos Financeiros'!$I$43)^(1/12)-1),$F$11,-$I$67),0)</f>
        <v>0</v>
      </c>
      <c r="AK435" s="1312">
        <f t="shared" si="279"/>
        <v>3.1028200872804764E-11</v>
      </c>
      <c r="AL435" s="1312">
        <f>AM434*((1+'Instrumentos Financeiros'!$I$43)^(1/12)-1)</f>
        <v>-3.1028200872804764E-11</v>
      </c>
      <c r="AM435" s="1312">
        <f t="shared" si="297"/>
        <v>-7.2068199155591235E-9</v>
      </c>
      <c r="AN435" s="1312">
        <f>IF(AND(C435&gt;$F$68,'Instrumentos Financeiros'!C435&lt;'Instrumentos Financeiros'!$F$68+'Instrumentos Financeiros'!$F$11+1),PMT(((1+'Instrumentos Financeiros'!$I$43)^(1/12)-1),$F$11,-$I$68),0)</f>
        <v>0</v>
      </c>
      <c r="AO435" s="1312">
        <f t="shared" si="280"/>
        <v>3.0629157940881648E-11</v>
      </c>
      <c r="AP435" s="1312">
        <f>AQ434*((1+'Instrumentos Financeiros'!$I$43)^(1/12)-1)</f>
        <v>-3.0629157940881648E-11</v>
      </c>
      <c r="AQ435" s="1312">
        <f t="shared" si="298"/>
        <v>-7.1141355036998707E-9</v>
      </c>
      <c r="AR435" s="1312">
        <f>IF(AND(C435&gt;$F$69,'Instrumentos Financeiros'!C435&lt;'Instrumentos Financeiros'!$F$69+'Instrumentos Financeiros'!$F$11+1),PMT(((1+'Instrumentos Financeiros'!$I$43)^(1/12)-1),$F$11,-$I$69),0)</f>
        <v>0</v>
      </c>
      <c r="AS435" s="1312">
        <f t="shared" si="281"/>
        <v>0</v>
      </c>
      <c r="AT435" s="1312">
        <f>AU434*((1+'Instrumentos Financeiros'!$I$43)^(1/12)-1)</f>
        <v>0</v>
      </c>
      <c r="AU435" s="1312">
        <f t="shared" si="299"/>
        <v>0</v>
      </c>
      <c r="AV435" s="1312">
        <f>IF(AND(C435&gt;$F$70,'Instrumentos Financeiros'!C435&lt;'Instrumentos Financeiros'!$F$70+'Instrumentos Financeiros'!$F$11+1),PMT(((1+'Instrumentos Financeiros'!$J$43)^(1/12)-1),$F$11,-$I$70),0)</f>
        <v>0</v>
      </c>
      <c r="AW435" s="1312">
        <f t="shared" si="282"/>
        <v>0</v>
      </c>
      <c r="AX435" s="1312">
        <f>AY434*((1+'Instrumentos Financeiros'!$J$43)^(1/12)-1)</f>
        <v>0</v>
      </c>
      <c r="AY435" s="1312">
        <f t="shared" si="300"/>
        <v>0</v>
      </c>
      <c r="AZ435" s="1312">
        <f>IF(AND(C435&gt;$F$71,'Instrumentos Financeiros'!C435&lt;'Instrumentos Financeiros'!$F$71+'Instrumentos Financeiros'!$F$11+1),PMT(((1+'Instrumentos Financeiros'!$J$43)^(1/12)-1),$F$11,-$I$71),0)</f>
        <v>0</v>
      </c>
      <c r="BA435" s="1312">
        <f t="shared" si="283"/>
        <v>0</v>
      </c>
      <c r="BB435" s="1312">
        <f>BC434*((1+'Instrumentos Financeiros'!$J$43)^(1/12)-1)</f>
        <v>0</v>
      </c>
      <c r="BC435" s="1312">
        <f t="shared" si="301"/>
        <v>0</v>
      </c>
      <c r="BD435" s="1312">
        <f>IF(AND(C435&gt;$F$72,'Instrumentos Financeiros'!C435&lt;'Instrumentos Financeiros'!$F$72+'Instrumentos Financeiros'!$F$11+1),PMT(((1+'Instrumentos Financeiros'!$J$43)^(1/12)-1),$F$11,-'Instrumentos Financeiros'!$G$7*$G$72),0)</f>
        <v>0</v>
      </c>
      <c r="BE435" s="1312">
        <f t="shared" si="284"/>
        <v>0</v>
      </c>
      <c r="BF435" s="1312">
        <f>BG434*((1+'Instrumentos Financeiros'!$J$43)^(1/12)-1)</f>
        <v>0</v>
      </c>
      <c r="BG435" s="1312">
        <f t="shared" si="302"/>
        <v>0</v>
      </c>
      <c r="BH435" s="1312">
        <f>IF(AND(C435&gt;$F$73,'Instrumentos Financeiros'!C435&lt;'Instrumentos Financeiros'!$F$73+'Instrumentos Financeiros'!$F$11+1),PMT(((1+'Instrumentos Financeiros'!$J$43)^(1/12)-1),$F$11,-$I$73),0)</f>
        <v>0</v>
      </c>
      <c r="BI435" s="1312">
        <f t="shared" si="285"/>
        <v>0</v>
      </c>
      <c r="BJ435" s="1312">
        <f>BK434*((1+'Instrumentos Financeiros'!$J$43)^(1/12)-1)</f>
        <v>0</v>
      </c>
      <c r="BK435" s="1312">
        <f t="shared" si="303"/>
        <v>0</v>
      </c>
      <c r="BL435" s="1312">
        <f>IF(AND(C435&gt;$F$77,'Instrumentos Financeiros'!C435&lt;'Instrumentos Financeiros'!$F$77+'Instrumentos Financeiros'!$F$12+1),PMT(((1+'Instrumentos Financeiros'!$K$43)^(1/12)-1),$F$12,-$I$77),0)</f>
        <v>0</v>
      </c>
      <c r="BM435" s="1312">
        <f t="shared" si="304"/>
        <v>8.6546312110673275E-14</v>
      </c>
      <c r="BN435" s="1312">
        <f>BO434*((1+'Instrumentos Financeiros'!$K$43)^(1/12)-1)</f>
        <v>-8.6546312110673275E-14</v>
      </c>
      <c r="BO435" s="1312">
        <f t="shared" si="305"/>
        <v>-2.0101832145996901E-11</v>
      </c>
      <c r="BP435" s="1312">
        <f>IF(AND(C435&gt;$F$78,'Instrumentos Financeiros'!C435&lt;'Instrumentos Financeiros'!$F$78+'Instrumentos Financeiros'!$F$12+1),PMT(((1+'Instrumentos Financeiros'!$L$43)^(1/12)-1),$F$12,-$I$78),0)</f>
        <v>0</v>
      </c>
      <c r="BQ435" s="1312">
        <f t="shared" si="306"/>
        <v>8.5433270001871986E-14</v>
      </c>
      <c r="BR435" s="1312">
        <f>BS434*((1+'Instrumentos Financeiros'!$L$43)^(1/12)-1)</f>
        <v>-8.5433270001871986E-14</v>
      </c>
      <c r="BS435" s="1312">
        <f t="shared" si="307"/>
        <v>-1.9843309453384205E-11</v>
      </c>
      <c r="BT435" s="1312">
        <f>IF(AND(C435&gt;$F$79,'Instrumentos Financeiros'!C435&lt;'Instrumentos Financeiros'!$F$79+'Instrumentos Financeiros'!$F$12+1),PMT(((1+'Instrumentos Financeiros'!$L$43)^(1/12)-1),$F$12,-$I$79),0)</f>
        <v>0</v>
      </c>
      <c r="BU435" s="1312">
        <f t="shared" si="308"/>
        <v>8.4334542341667657E-14</v>
      </c>
      <c r="BV435" s="1312">
        <f>BW434*((1+'Instrumentos Financeiros'!$L$43)^(1/12)-1)</f>
        <v>-8.4334542341667657E-14</v>
      </c>
      <c r="BW435" s="1312">
        <f t="shared" si="309"/>
        <v>-1.9588111531474515E-11</v>
      </c>
      <c r="BX435" s="1312">
        <f>IF(AND(C435&gt;$F$80,'Instrumentos Financeiros'!C435&lt;'Instrumentos Financeiros'!$F$80+'Instrumentos Financeiros'!$F$12+1),PMT(((1+'Instrumentos Financeiros'!$L$43)^(1/12)-1),$F$12,-$I$80),0)</f>
        <v>0</v>
      </c>
      <c r="BY435" s="1312">
        <f t="shared" si="310"/>
        <v>8.3249945036900643E-14</v>
      </c>
      <c r="BZ435" s="1312">
        <f>CA434*((1+'Instrumentos Financeiros'!$L$43)^(1/12)-1)</f>
        <v>-8.3249945036900643E-14</v>
      </c>
      <c r="CA435" s="1312">
        <f t="shared" si="311"/>
        <v>-1.9336195621544732E-11</v>
      </c>
      <c r="CB435" s="1312">
        <f>IF(AND(C435&gt;$F$83,'Instrumentos Financeiros'!C435&lt;'Instrumentos Financeiros'!$F$83+'Instrumentos Financeiros'!$F$13+1),PMT(((1+'Instrumentos Financeiros'!$P$43)^(1/12)-1),$F$13,-$I$83),0)</f>
        <v>30503.390100238979</v>
      </c>
      <c r="CC435" s="1312">
        <f t="shared" si="312"/>
        <v>29595.8753215467</v>
      </c>
      <c r="CD435" s="1312">
        <f>CE434*((1+'Instrumentos Financeiros'!$P$43)^(1/12)-1)</f>
        <v>907.51477869228006</v>
      </c>
      <c r="CE435" s="1312">
        <f t="shared" si="313"/>
        <v>180282.13393174304</v>
      </c>
      <c r="CF435" s="1312">
        <f>IF(AND(C435&gt;$F$84,'Instrumentos Financeiros'!C435&lt;'Instrumentos Financeiros'!$F$84+'Instrumentos Financeiros'!$F$13+1),PMT(((1+'Instrumentos Financeiros'!$Q$43)^(1/12)-1),$F$13,-$I$84),0)</f>
        <v>30503.390100238979</v>
      </c>
      <c r="CG435" s="1312">
        <f t="shared" si="314"/>
        <v>29215.25303185757</v>
      </c>
      <c r="CH435" s="1312">
        <f>CI434*((1+'Instrumentos Financeiros'!$Q$43)^(1/12)-1)</f>
        <v>1288.1370683814096</v>
      </c>
      <c r="CI435" s="1312">
        <f t="shared" si="315"/>
        <v>268688.04276552115</v>
      </c>
      <c r="CJ435" s="1312">
        <f>IF(AND(C435&gt;$F$85,'Instrumentos Financeiros'!C435&lt;'Instrumentos Financeiros'!$F$85+'Instrumentos Financeiros'!$F$13+1),PMT(((1+'Instrumentos Financeiros'!$Q$43)^(1/12)-1),$F$13,-$I$85),0)</f>
        <v>30503.390100238979</v>
      </c>
      <c r="CK435" s="1312">
        <f t="shared" si="316"/>
        <v>28839.525793449546</v>
      </c>
      <c r="CL435" s="1312">
        <f>CM434*((1+'Instrumentos Financeiros'!$Q$43)^(1/12)-1)</f>
        <v>1663.8643067894329</v>
      </c>
      <c r="CM435" s="1312">
        <f t="shared" si="317"/>
        <v>355956.99386188562</v>
      </c>
      <c r="CN435" s="1312">
        <f>IF(AND(C435&gt;$F$86,'Instrumentos Financeiros'!C435&lt;'Instrumentos Financeiros'!$F$86+'Instrumentos Financeiros'!$F$13+1),PMT(((1+'Instrumentos Financeiros'!$Q$43)^(1/12)-1),$F$13,-$I$86),0)</f>
        <v>30503.390100238979</v>
      </c>
      <c r="CO435" s="1312">
        <f t="shared" si="318"/>
        <v>28468.630652765536</v>
      </c>
      <c r="CP435" s="1312">
        <f>CQ434*((1+'Instrumentos Financeiros'!$Q$43)^(1/12)-1)</f>
        <v>2034.7594474734426</v>
      </c>
      <c r="CQ435" s="1312">
        <f t="shared" si="319"/>
        <v>442103.60924003995</v>
      </c>
      <c r="CR435" s="1312">
        <f t="shared" si="288"/>
        <v>122013.56040095592</v>
      </c>
      <c r="CS435" s="1312">
        <f t="shared" si="288"/>
        <v>116119.28479961946</v>
      </c>
      <c r="CT435" s="1312">
        <f t="shared" si="288"/>
        <v>5894.2756013364524</v>
      </c>
      <c r="CU435" s="1312">
        <f t="shared" si="288"/>
        <v>1247030.7797991638</v>
      </c>
    </row>
    <row r="436" spans="3:99" x14ac:dyDescent="0.35">
      <c r="C436" s="1315">
        <f t="shared" si="289"/>
        <v>343</v>
      </c>
      <c r="D436" s="1312">
        <f>IF(AND(C436&gt;$F$59,'Instrumentos Financeiros'!C436&lt;'Instrumentos Financeiros'!$F$59+'Instrumentos Financeiros'!$F$11+1),PMT(((1+'Instrumentos Financeiros'!$G$43)^(1/12)-1),$F$11,-$I$59),0)</f>
        <v>0</v>
      </c>
      <c r="E436" s="1312">
        <f t="shared" si="286"/>
        <v>-1.2909886632873858E-11</v>
      </c>
      <c r="F436" s="1312">
        <f>G435*((1+'Instrumentos Financeiros'!$G$43)^(1/12)-1)</f>
        <v>1.2909886632873858E-11</v>
      </c>
      <c r="G436" s="1312">
        <f t="shared" si="320"/>
        <v>3.175701993341818E-9</v>
      </c>
      <c r="H436" s="1312">
        <f>IF(AND(C436&gt;$F$60,'Instrumentos Financeiros'!C436&lt;'Instrumentos Financeiros'!$F$60+'Instrumentos Financeiros'!$F$11+1),PMT(((1+'Instrumentos Financeiros'!$G$43)^(1/12)-1),$F$11,-$I$60),0)</f>
        <v>0</v>
      </c>
      <c r="I436" s="1312">
        <f t="shared" si="272"/>
        <v>0</v>
      </c>
      <c r="J436" s="1312">
        <f>K435*((1+'Instrumentos Financeiros'!$G$43)^(1/12)-1)</f>
        <v>0</v>
      </c>
      <c r="K436" s="1312">
        <f t="shared" si="290"/>
        <v>0</v>
      </c>
      <c r="L436" s="1312">
        <f>IF(AND(C436&gt;$F$61,'Instrumentos Financeiros'!C436&lt;'Instrumentos Financeiros'!$F$61+'Instrumentos Financeiros'!$F$11+1),PMT(((1+'Instrumentos Financeiros'!$G$43)^(1/12)-1),$F$11,-$I$61),0)</f>
        <v>0</v>
      </c>
      <c r="M436" s="1312">
        <f t="shared" si="273"/>
        <v>0</v>
      </c>
      <c r="N436" s="1312">
        <f>O435*((1+'Instrumentos Financeiros'!$G$43)^(1/12)-1)</f>
        <v>0</v>
      </c>
      <c r="O436" s="1312">
        <f t="shared" si="291"/>
        <v>0</v>
      </c>
      <c r="P436" s="1312">
        <f>IF(AND(C436&gt;$F$62,'Instrumentos Financeiros'!C436&lt;'Instrumentos Financeiros'!$F$62+'Instrumentos Financeiros'!$F$11+1),PMT(((1+'Instrumentos Financeiros'!$H$43)^(1/12)-1),$F$11,-$I$62),0)</f>
        <v>0</v>
      </c>
      <c r="Q436" s="1312">
        <f t="shared" si="274"/>
        <v>0</v>
      </c>
      <c r="R436" s="1312">
        <f>S435*((1+'Instrumentos Financeiros'!$H$43)^(1/12)-1)</f>
        <v>0</v>
      </c>
      <c r="S436" s="1312">
        <f t="shared" si="292"/>
        <v>0</v>
      </c>
      <c r="T436" s="1312">
        <f>IF(AND(C436&gt;$F$63,'Instrumentos Financeiros'!C436&lt;'Instrumentos Financeiros'!$F$63+'Instrumentos Financeiros'!$F$11+1),PMT(((1+'Instrumentos Financeiros'!$H$43)^(1/12)-1),$F$11,-$I$63),0)</f>
        <v>0</v>
      </c>
      <c r="U436" s="1312">
        <f t="shared" si="275"/>
        <v>0</v>
      </c>
      <c r="V436" s="1312">
        <f>W435*((1+'Instrumentos Financeiros'!$H$43)^(1/12)-1)</f>
        <v>0</v>
      </c>
      <c r="W436" s="1312">
        <f t="shared" si="293"/>
        <v>0</v>
      </c>
      <c r="X436" s="1312">
        <f>IF(AND(C436&gt;$F$64,'Instrumentos Financeiros'!C436&lt;'Instrumentos Financeiros'!$F$64+'Instrumentos Financeiros'!$F$11+1),PMT(((1+'Instrumentos Financeiros'!$H$43)^(1/12)-1),$F$11,-$I$64),0)</f>
        <v>0</v>
      </c>
      <c r="Y436" s="1312">
        <f t="shared" si="276"/>
        <v>0</v>
      </c>
      <c r="Z436" s="1312">
        <f>AA435*((1+'Instrumentos Financeiros'!$H$43)^(1/12)-1)</f>
        <v>0</v>
      </c>
      <c r="AA436" s="1312">
        <f t="shared" si="294"/>
        <v>0</v>
      </c>
      <c r="AB436" s="1312">
        <f>IF(AND(C436&gt;$F$65,'Instrumentos Financeiros'!C436&lt;'Instrumentos Financeiros'!$F$65+'Instrumentos Financeiros'!$F$11+1),PMT(((1+'Instrumentos Financeiros'!$H$43)^(1/12)-1),$F$11,-$I$65),0)</f>
        <v>0</v>
      </c>
      <c r="AC436" s="1312">
        <f t="shared" si="277"/>
        <v>3.1979635846170901E-11</v>
      </c>
      <c r="AD436" s="1312">
        <f>AE435*((1+'Instrumentos Financeiros'!$H$43)^(1/12)-1)</f>
        <v>-3.1979635846170901E-11</v>
      </c>
      <c r="AE436" s="1312">
        <f t="shared" si="295"/>
        <v>-7.4278066412324232E-9</v>
      </c>
      <c r="AF436" s="1312">
        <f>IF(AND(C436&gt;$F$66,'Instrumentos Financeiros'!C436&lt;'Instrumentos Financeiros'!$F$66+'Instrumentos Financeiros'!$F$11+1),PMT(((1+'Instrumentos Financeiros'!$I$43)^(1/12)-1),$F$11,-$I$66),0)</f>
        <v>0</v>
      </c>
      <c r="AG436" s="1312">
        <f t="shared" si="278"/>
        <v>3.1568356838979906E-11</v>
      </c>
      <c r="AH436" s="1312">
        <f>AI435*((1+'Instrumentos Financeiros'!$I$43)^(1/12)-1)</f>
        <v>-3.1568356838979906E-11</v>
      </c>
      <c r="AI436" s="1312">
        <f t="shared" si="296"/>
        <v>-7.3322801957248038E-9</v>
      </c>
      <c r="AJ436" s="1312">
        <f>IF(AND(C436&gt;$F$67,'Instrumentos Financeiros'!C436&lt;'Instrumentos Financeiros'!$F$67+'Instrumentos Financeiros'!$F$11+1),PMT(((1+'Instrumentos Financeiros'!$I$43)^(1/12)-1),$F$11,-$I$67),0)</f>
        <v>0</v>
      </c>
      <c r="AK436" s="1312">
        <f t="shared" si="279"/>
        <v>3.1162367148483129E-11</v>
      </c>
      <c r="AL436" s="1312">
        <f>AM435*((1+'Instrumentos Financeiros'!$I$43)^(1/12)-1)</f>
        <v>-3.1162367148483129E-11</v>
      </c>
      <c r="AM436" s="1312">
        <f t="shared" si="297"/>
        <v>-7.2379822827076067E-9</v>
      </c>
      <c r="AN436" s="1312">
        <f>IF(AND(C436&gt;$F$68,'Instrumentos Financeiros'!C436&lt;'Instrumentos Financeiros'!$F$68+'Instrumentos Financeiros'!$F$11+1),PMT(((1+'Instrumentos Financeiros'!$I$43)^(1/12)-1),$F$11,-$I$68),0)</f>
        <v>0</v>
      </c>
      <c r="AO436" s="1312">
        <f t="shared" si="280"/>
        <v>3.0761598750612714E-11</v>
      </c>
      <c r="AP436" s="1312">
        <f>AQ435*((1+'Instrumentos Financeiros'!$I$43)^(1/12)-1)</f>
        <v>-3.0761598750612714E-11</v>
      </c>
      <c r="AQ436" s="1312">
        <f t="shared" si="298"/>
        <v>-7.1448971024504836E-9</v>
      </c>
      <c r="AR436" s="1312">
        <f>IF(AND(C436&gt;$F$69,'Instrumentos Financeiros'!C436&lt;'Instrumentos Financeiros'!$F$69+'Instrumentos Financeiros'!$F$11+1),PMT(((1+'Instrumentos Financeiros'!$I$43)^(1/12)-1),$F$11,-$I$69),0)</f>
        <v>0</v>
      </c>
      <c r="AS436" s="1312">
        <f t="shared" si="281"/>
        <v>0</v>
      </c>
      <c r="AT436" s="1312">
        <f>AU435*((1+'Instrumentos Financeiros'!$I$43)^(1/12)-1)</f>
        <v>0</v>
      </c>
      <c r="AU436" s="1312">
        <f t="shared" si="299"/>
        <v>0</v>
      </c>
      <c r="AV436" s="1312">
        <f>IF(AND(C436&gt;$F$70,'Instrumentos Financeiros'!C436&lt;'Instrumentos Financeiros'!$F$70+'Instrumentos Financeiros'!$F$11+1),PMT(((1+'Instrumentos Financeiros'!$J$43)^(1/12)-1),$F$11,-$I$70),0)</f>
        <v>0</v>
      </c>
      <c r="AW436" s="1312">
        <f t="shared" si="282"/>
        <v>0</v>
      </c>
      <c r="AX436" s="1312">
        <f>AY435*((1+'Instrumentos Financeiros'!$J$43)^(1/12)-1)</f>
        <v>0</v>
      </c>
      <c r="AY436" s="1312">
        <f t="shared" si="300"/>
        <v>0</v>
      </c>
      <c r="AZ436" s="1312">
        <f>IF(AND(C436&gt;$F$71,'Instrumentos Financeiros'!C436&lt;'Instrumentos Financeiros'!$F$71+'Instrumentos Financeiros'!$F$11+1),PMT(((1+'Instrumentos Financeiros'!$J$43)^(1/12)-1),$F$11,-$I$71),0)</f>
        <v>0</v>
      </c>
      <c r="BA436" s="1312">
        <f t="shared" si="283"/>
        <v>0</v>
      </c>
      <c r="BB436" s="1312">
        <f>BC435*((1+'Instrumentos Financeiros'!$J$43)^(1/12)-1)</f>
        <v>0</v>
      </c>
      <c r="BC436" s="1312">
        <f t="shared" si="301"/>
        <v>0</v>
      </c>
      <c r="BD436" s="1312">
        <f>IF(AND(C436&gt;$F$72,'Instrumentos Financeiros'!C436&lt;'Instrumentos Financeiros'!$F$72+'Instrumentos Financeiros'!$F$11+1),PMT(((1+'Instrumentos Financeiros'!$J$43)^(1/12)-1),$F$11,-'Instrumentos Financeiros'!$G$7*$G$72),0)</f>
        <v>0</v>
      </c>
      <c r="BE436" s="1312">
        <f t="shared" si="284"/>
        <v>0</v>
      </c>
      <c r="BF436" s="1312">
        <f>BG435*((1+'Instrumentos Financeiros'!$J$43)^(1/12)-1)</f>
        <v>0</v>
      </c>
      <c r="BG436" s="1312">
        <f t="shared" si="302"/>
        <v>0</v>
      </c>
      <c r="BH436" s="1312">
        <f>IF(AND(C436&gt;$F$73,'Instrumentos Financeiros'!C436&lt;'Instrumentos Financeiros'!$F$73+'Instrumentos Financeiros'!$F$11+1),PMT(((1+'Instrumentos Financeiros'!$J$43)^(1/12)-1),$F$11,-$I$73),0)</f>
        <v>0</v>
      </c>
      <c r="BI436" s="1312">
        <f t="shared" si="285"/>
        <v>0</v>
      </c>
      <c r="BJ436" s="1312">
        <f>BK435*((1+'Instrumentos Financeiros'!$J$43)^(1/12)-1)</f>
        <v>0</v>
      </c>
      <c r="BK436" s="1312">
        <f t="shared" si="303"/>
        <v>0</v>
      </c>
      <c r="BL436" s="1312">
        <f>IF(AND(C436&gt;$F$77,'Instrumentos Financeiros'!C436&lt;'Instrumentos Financeiros'!$F$77+'Instrumentos Financeiros'!$F$12+1),PMT(((1+'Instrumentos Financeiros'!$K$43)^(1/12)-1),$F$12,-$I$77),0)</f>
        <v>0</v>
      </c>
      <c r="BM436" s="1312">
        <f t="shared" si="304"/>
        <v>8.6920539298939403E-14</v>
      </c>
      <c r="BN436" s="1312">
        <f>BO435*((1+'Instrumentos Financeiros'!$K$43)^(1/12)-1)</f>
        <v>-8.6920539298939403E-14</v>
      </c>
      <c r="BO436" s="1312">
        <f t="shared" si="305"/>
        <v>-2.0188752685295841E-11</v>
      </c>
      <c r="BP436" s="1312">
        <f>IF(AND(C436&gt;$F$78,'Instrumentos Financeiros'!C436&lt;'Instrumentos Financeiros'!$F$78+'Instrumentos Financeiros'!$F$12+1),PMT(((1+'Instrumentos Financeiros'!$L$43)^(1/12)-1),$F$12,-$I$78),0)</f>
        <v>0</v>
      </c>
      <c r="BQ436" s="1312">
        <f t="shared" si="306"/>
        <v>8.5802684384038801E-14</v>
      </c>
      <c r="BR436" s="1312">
        <f>BS435*((1+'Instrumentos Financeiros'!$L$43)^(1/12)-1)</f>
        <v>-8.5802684384038801E-14</v>
      </c>
      <c r="BS436" s="1312">
        <f t="shared" si="307"/>
        <v>-1.9929112137768243E-11</v>
      </c>
      <c r="BT436" s="1312">
        <f>IF(AND(C436&gt;$F$79,'Instrumentos Financeiros'!C436&lt;'Instrumentos Financeiros'!$F$79+'Instrumentos Financeiros'!$F$12+1),PMT(((1+'Instrumentos Financeiros'!$L$43)^(1/12)-1),$F$12,-$I$79),0)</f>
        <v>0</v>
      </c>
      <c r="BU436" s="1312">
        <f t="shared" si="308"/>
        <v>8.469920581356551E-14</v>
      </c>
      <c r="BV436" s="1312">
        <f>BW435*((1+'Instrumentos Financeiros'!$L$43)^(1/12)-1)</f>
        <v>-8.469920581356551E-14</v>
      </c>
      <c r="BW436" s="1312">
        <f t="shared" si="309"/>
        <v>-1.9672810737288079E-11</v>
      </c>
      <c r="BX436" s="1312">
        <f>IF(AND(C436&gt;$F$80,'Instrumentos Financeiros'!C436&lt;'Instrumentos Financeiros'!$F$80+'Instrumentos Financeiros'!$F$12+1),PMT(((1+'Instrumentos Financeiros'!$L$43)^(1/12)-1),$F$12,-$I$80),0)</f>
        <v>0</v>
      </c>
      <c r="BY436" s="1312">
        <f t="shared" si="310"/>
        <v>8.3609918698339039E-14</v>
      </c>
      <c r="BZ436" s="1312">
        <f>CA435*((1+'Instrumentos Financeiros'!$L$43)^(1/12)-1)</f>
        <v>-8.3609918698339039E-14</v>
      </c>
      <c r="CA436" s="1312">
        <f t="shared" si="311"/>
        <v>-1.941980554024307E-11</v>
      </c>
      <c r="CB436" s="1312">
        <f>IF(AND(C436&gt;$F$83,'Instrumentos Financeiros'!C436&lt;'Instrumentos Financeiros'!$F$83+'Instrumentos Financeiros'!$F$13+1),PMT(((1+'Instrumentos Financeiros'!$P$43)^(1/12)-1),$F$13,-$I$83),0)</f>
        <v>30503.390100238979</v>
      </c>
      <c r="CC436" s="1312">
        <f t="shared" si="312"/>
        <v>29723.848206072318</v>
      </c>
      <c r="CD436" s="1312">
        <f>CE435*((1+'Instrumentos Financeiros'!$P$43)^(1/12)-1)</f>
        <v>779.54189416666236</v>
      </c>
      <c r="CE436" s="1312">
        <f t="shared" si="313"/>
        <v>150558.28572567072</v>
      </c>
      <c r="CF436" s="1312">
        <f>IF(AND(C436&gt;$F$84,'Instrumentos Financeiros'!C436&lt;'Instrumentos Financeiros'!$F$84+'Instrumentos Financeiros'!$F$13+1),PMT(((1+'Instrumentos Financeiros'!$Q$43)^(1/12)-1),$F$13,-$I$84),0)</f>
        <v>30503.390100238979</v>
      </c>
      <c r="CG436" s="1312">
        <f t="shared" si="314"/>
        <v>29341.580101491854</v>
      </c>
      <c r="CH436" s="1312">
        <f>CI435*((1+'Instrumentos Financeiros'!$Q$43)^(1/12)-1)</f>
        <v>1161.8099987471257</v>
      </c>
      <c r="CI436" s="1312">
        <f t="shared" si="315"/>
        <v>239346.4626640293</v>
      </c>
      <c r="CJ436" s="1312">
        <f>IF(AND(C436&gt;$F$85,'Instrumentos Financeiros'!C436&lt;'Instrumentos Financeiros'!$F$85+'Instrumentos Financeiros'!$F$13+1),PMT(((1+'Instrumentos Financeiros'!$Q$43)^(1/12)-1),$F$13,-$I$85),0)</f>
        <v>30503.390100238979</v>
      </c>
      <c r="CK436" s="1312">
        <f t="shared" si="316"/>
        <v>28964.228214447103</v>
      </c>
      <c r="CL436" s="1312">
        <f>CM435*((1+'Instrumentos Financeiros'!$Q$43)^(1/12)-1)</f>
        <v>1539.161885791877</v>
      </c>
      <c r="CM436" s="1312">
        <f t="shared" si="317"/>
        <v>326992.76564743853</v>
      </c>
      <c r="CN436" s="1312">
        <f>IF(AND(C436&gt;$F$86,'Instrumentos Financeiros'!C436&lt;'Instrumentos Financeiros'!$F$86+'Instrumentos Financeiros'!$F$13+1),PMT(((1+'Instrumentos Financeiros'!$Q$43)^(1/12)-1),$F$13,-$I$86),0)</f>
        <v>30503.390100238979</v>
      </c>
      <c r="CO436" s="1312">
        <f t="shared" si="318"/>
        <v>28591.72931916911</v>
      </c>
      <c r="CP436" s="1312">
        <f>CQ435*((1+'Instrumentos Financeiros'!$Q$43)^(1/12)-1)</f>
        <v>1911.6607810698692</v>
      </c>
      <c r="CQ436" s="1312">
        <f t="shared" si="319"/>
        <v>413511.87992087082</v>
      </c>
      <c r="CR436" s="1312">
        <f t="shared" si="288"/>
        <v>122013.56040095592</v>
      </c>
      <c r="CS436" s="1312">
        <f t="shared" si="288"/>
        <v>116621.3858411805</v>
      </c>
      <c r="CT436" s="1312">
        <f t="shared" si="288"/>
        <v>5392.1745597754216</v>
      </c>
      <c r="CU436" s="1312">
        <f t="shared" si="288"/>
        <v>1130409.3939579832</v>
      </c>
    </row>
    <row r="437" spans="3:99" x14ac:dyDescent="0.35">
      <c r="C437" s="1315">
        <f t="shared" si="289"/>
        <v>344</v>
      </c>
      <c r="D437" s="1312">
        <f>IF(AND(C437&gt;$F$59,'Instrumentos Financeiros'!C437&lt;'Instrumentos Financeiros'!$F$59+'Instrumentos Financeiros'!$F$11+1),PMT(((1+'Instrumentos Financeiros'!$G$43)^(1/12)-1),$F$11,-$I$59),0)</f>
        <v>0</v>
      </c>
      <c r="E437" s="1312">
        <f t="shared" si="286"/>
        <v>-1.296258221552696E-11</v>
      </c>
      <c r="F437" s="1312">
        <f>G436*((1+'Instrumentos Financeiros'!$G$43)^(1/12)-1)</f>
        <v>1.296258221552696E-11</v>
      </c>
      <c r="G437" s="1312">
        <f t="shared" si="320"/>
        <v>3.188664575557345E-9</v>
      </c>
      <c r="H437" s="1312">
        <f>IF(AND(C437&gt;$F$60,'Instrumentos Financeiros'!C437&lt;'Instrumentos Financeiros'!$F$60+'Instrumentos Financeiros'!$F$11+1),PMT(((1+'Instrumentos Financeiros'!$G$43)^(1/12)-1),$F$11,-$I$60),0)</f>
        <v>0</v>
      </c>
      <c r="I437" s="1312">
        <f t="shared" si="272"/>
        <v>0</v>
      </c>
      <c r="J437" s="1312">
        <f>K436*((1+'Instrumentos Financeiros'!$G$43)^(1/12)-1)</f>
        <v>0</v>
      </c>
      <c r="K437" s="1312">
        <f t="shared" si="290"/>
        <v>0</v>
      </c>
      <c r="L437" s="1312">
        <f>IF(AND(C437&gt;$F$61,'Instrumentos Financeiros'!C437&lt;'Instrumentos Financeiros'!$F$61+'Instrumentos Financeiros'!$F$11+1),PMT(((1+'Instrumentos Financeiros'!$G$43)^(1/12)-1),$F$11,-$I$61),0)</f>
        <v>0</v>
      </c>
      <c r="M437" s="1312">
        <f t="shared" si="273"/>
        <v>0</v>
      </c>
      <c r="N437" s="1312">
        <f>O436*((1+'Instrumentos Financeiros'!$G$43)^(1/12)-1)</f>
        <v>0</v>
      </c>
      <c r="O437" s="1312">
        <f t="shared" si="291"/>
        <v>0</v>
      </c>
      <c r="P437" s="1312">
        <f>IF(AND(C437&gt;$F$62,'Instrumentos Financeiros'!C437&lt;'Instrumentos Financeiros'!$F$62+'Instrumentos Financeiros'!$F$11+1),PMT(((1+'Instrumentos Financeiros'!$H$43)^(1/12)-1),$F$11,-$I$62),0)</f>
        <v>0</v>
      </c>
      <c r="Q437" s="1312">
        <f t="shared" si="274"/>
        <v>0</v>
      </c>
      <c r="R437" s="1312">
        <f>S436*((1+'Instrumentos Financeiros'!$H$43)^(1/12)-1)</f>
        <v>0</v>
      </c>
      <c r="S437" s="1312">
        <f t="shared" si="292"/>
        <v>0</v>
      </c>
      <c r="T437" s="1312">
        <f>IF(AND(C437&gt;$F$63,'Instrumentos Financeiros'!C437&lt;'Instrumentos Financeiros'!$F$63+'Instrumentos Financeiros'!$F$11+1),PMT(((1+'Instrumentos Financeiros'!$H$43)^(1/12)-1),$F$11,-$I$63),0)</f>
        <v>0</v>
      </c>
      <c r="U437" s="1312">
        <f t="shared" si="275"/>
        <v>0</v>
      </c>
      <c r="V437" s="1312">
        <f>W436*((1+'Instrumentos Financeiros'!$H$43)^(1/12)-1)</f>
        <v>0</v>
      </c>
      <c r="W437" s="1312">
        <f t="shared" si="293"/>
        <v>0</v>
      </c>
      <c r="X437" s="1312">
        <f>IF(AND(C437&gt;$F$64,'Instrumentos Financeiros'!C437&lt;'Instrumentos Financeiros'!$F$64+'Instrumentos Financeiros'!$F$11+1),PMT(((1+'Instrumentos Financeiros'!$H$43)^(1/12)-1),$F$11,-$I$64),0)</f>
        <v>0</v>
      </c>
      <c r="Y437" s="1312">
        <f t="shared" si="276"/>
        <v>0</v>
      </c>
      <c r="Z437" s="1312">
        <f>AA436*((1+'Instrumentos Financeiros'!$H$43)^(1/12)-1)</f>
        <v>0</v>
      </c>
      <c r="AA437" s="1312">
        <f t="shared" si="294"/>
        <v>0</v>
      </c>
      <c r="AB437" s="1312">
        <f>IF(AND(C437&gt;$F$65,'Instrumentos Financeiros'!C437&lt;'Instrumentos Financeiros'!$F$65+'Instrumentos Financeiros'!$F$11+1),PMT(((1+'Instrumentos Financeiros'!$H$43)^(1/12)-1),$F$11,-$I$65),0)</f>
        <v>0</v>
      </c>
      <c r="AC437" s="1312">
        <f t="shared" si="277"/>
        <v>3.2117916136949593E-11</v>
      </c>
      <c r="AD437" s="1312">
        <f>AE436*((1+'Instrumentos Financeiros'!$H$43)^(1/12)-1)</f>
        <v>-3.2117916136949593E-11</v>
      </c>
      <c r="AE437" s="1312">
        <f t="shared" si="295"/>
        <v>-7.4599245573693722E-9</v>
      </c>
      <c r="AF437" s="1312">
        <f>IF(AND(C437&gt;$F$66,'Instrumentos Financeiros'!C437&lt;'Instrumentos Financeiros'!$F$66+'Instrumentos Financeiros'!$F$11+1),PMT(((1+'Instrumentos Financeiros'!$I$43)^(1/12)-1),$F$11,-$I$66),0)</f>
        <v>0</v>
      </c>
      <c r="AG437" s="1312">
        <f t="shared" si="278"/>
        <v>3.1704858754889697E-11</v>
      </c>
      <c r="AH437" s="1312">
        <f>AI436*((1+'Instrumentos Financeiros'!$I$43)^(1/12)-1)</f>
        <v>-3.1704858754889697E-11</v>
      </c>
      <c r="AI437" s="1312">
        <f t="shared" si="296"/>
        <v>-7.3639850544796934E-9</v>
      </c>
      <c r="AJ437" s="1312">
        <f>IF(AND(C437&gt;$F$67,'Instrumentos Financeiros'!C437&lt;'Instrumentos Financeiros'!$F$67+'Instrumentos Financeiros'!$F$11+1),PMT(((1+'Instrumentos Financeiros'!$I$43)^(1/12)-1),$F$11,-$I$67),0)</f>
        <v>0</v>
      </c>
      <c r="AK437" s="1312">
        <f t="shared" si="279"/>
        <v>3.1297113560586523E-11</v>
      </c>
      <c r="AL437" s="1312">
        <f>AM436*((1+'Instrumentos Financeiros'!$I$43)^(1/12)-1)</f>
        <v>-3.1297113560586523E-11</v>
      </c>
      <c r="AM437" s="1312">
        <f t="shared" si="297"/>
        <v>-7.269279396268193E-9</v>
      </c>
      <c r="AN437" s="1312">
        <f>IF(AND(C437&gt;$F$68,'Instrumentos Financeiros'!C437&lt;'Instrumentos Financeiros'!$F$68+'Instrumentos Financeiros'!$F$11+1),PMT(((1+'Instrumentos Financeiros'!$I$43)^(1/12)-1),$F$11,-$I$68),0)</f>
        <v>0</v>
      </c>
      <c r="AO437" s="1312">
        <f t="shared" si="280"/>
        <v>3.0894612235835418E-11</v>
      </c>
      <c r="AP437" s="1312">
        <f>AQ436*((1+'Instrumentos Financeiros'!$I$43)^(1/12)-1)</f>
        <v>-3.0894612235835418E-11</v>
      </c>
      <c r="AQ437" s="1312">
        <f t="shared" si="298"/>
        <v>-7.1757917146863186E-9</v>
      </c>
      <c r="AR437" s="1312">
        <f>IF(AND(C437&gt;$F$69,'Instrumentos Financeiros'!C437&lt;'Instrumentos Financeiros'!$F$69+'Instrumentos Financeiros'!$F$11+1),PMT(((1+'Instrumentos Financeiros'!$I$43)^(1/12)-1),$F$11,-$I$69),0)</f>
        <v>0</v>
      </c>
      <c r="AS437" s="1312">
        <f t="shared" si="281"/>
        <v>0</v>
      </c>
      <c r="AT437" s="1312">
        <f>AU436*((1+'Instrumentos Financeiros'!$I$43)^(1/12)-1)</f>
        <v>0</v>
      </c>
      <c r="AU437" s="1312">
        <f t="shared" si="299"/>
        <v>0</v>
      </c>
      <c r="AV437" s="1312">
        <f>IF(AND(C437&gt;$F$70,'Instrumentos Financeiros'!C437&lt;'Instrumentos Financeiros'!$F$70+'Instrumentos Financeiros'!$F$11+1),PMT(((1+'Instrumentos Financeiros'!$J$43)^(1/12)-1),$F$11,-$I$70),0)</f>
        <v>0</v>
      </c>
      <c r="AW437" s="1312">
        <f t="shared" si="282"/>
        <v>0</v>
      </c>
      <c r="AX437" s="1312">
        <f>AY436*((1+'Instrumentos Financeiros'!$J$43)^(1/12)-1)</f>
        <v>0</v>
      </c>
      <c r="AY437" s="1312">
        <f t="shared" si="300"/>
        <v>0</v>
      </c>
      <c r="AZ437" s="1312">
        <f>IF(AND(C437&gt;$F$71,'Instrumentos Financeiros'!C437&lt;'Instrumentos Financeiros'!$F$71+'Instrumentos Financeiros'!$F$11+1),PMT(((1+'Instrumentos Financeiros'!$J$43)^(1/12)-1),$F$11,-$I$71),0)</f>
        <v>0</v>
      </c>
      <c r="BA437" s="1312">
        <f t="shared" si="283"/>
        <v>0</v>
      </c>
      <c r="BB437" s="1312">
        <f>BC436*((1+'Instrumentos Financeiros'!$J$43)^(1/12)-1)</f>
        <v>0</v>
      </c>
      <c r="BC437" s="1312">
        <f t="shared" si="301"/>
        <v>0</v>
      </c>
      <c r="BD437" s="1312">
        <f>IF(AND(C437&gt;$F$72,'Instrumentos Financeiros'!C437&lt;'Instrumentos Financeiros'!$F$72+'Instrumentos Financeiros'!$F$11+1),PMT(((1+'Instrumentos Financeiros'!$J$43)^(1/12)-1),$F$11,-'Instrumentos Financeiros'!$G$7*$G$72),0)</f>
        <v>0</v>
      </c>
      <c r="BE437" s="1312">
        <f t="shared" si="284"/>
        <v>0</v>
      </c>
      <c r="BF437" s="1312">
        <f>BG436*((1+'Instrumentos Financeiros'!$J$43)^(1/12)-1)</f>
        <v>0</v>
      </c>
      <c r="BG437" s="1312">
        <f t="shared" si="302"/>
        <v>0</v>
      </c>
      <c r="BH437" s="1312">
        <f>IF(AND(C437&gt;$F$73,'Instrumentos Financeiros'!C437&lt;'Instrumentos Financeiros'!$F$73+'Instrumentos Financeiros'!$F$11+1),PMT(((1+'Instrumentos Financeiros'!$J$43)^(1/12)-1),$F$11,-$I$73),0)</f>
        <v>0</v>
      </c>
      <c r="BI437" s="1312">
        <f t="shared" si="285"/>
        <v>0</v>
      </c>
      <c r="BJ437" s="1312">
        <f>BK436*((1+'Instrumentos Financeiros'!$J$43)^(1/12)-1)</f>
        <v>0</v>
      </c>
      <c r="BK437" s="1312">
        <f t="shared" si="303"/>
        <v>0</v>
      </c>
      <c r="BL437" s="1312">
        <f>IF(AND(C437&gt;$F$77,'Instrumentos Financeiros'!C437&lt;'Instrumentos Financeiros'!$F$77+'Instrumentos Financeiros'!$F$12+1),PMT(((1+'Instrumentos Financeiros'!$K$43)^(1/12)-1),$F$12,-$I$77),0)</f>
        <v>0</v>
      </c>
      <c r="BM437" s="1312">
        <f t="shared" si="304"/>
        <v>8.7296384649609246E-14</v>
      </c>
      <c r="BN437" s="1312">
        <f>BO436*((1+'Instrumentos Financeiros'!$K$43)^(1/12)-1)</f>
        <v>-8.7296384649609246E-14</v>
      </c>
      <c r="BO437" s="1312">
        <f t="shared" si="305"/>
        <v>-2.027604906994545E-11</v>
      </c>
      <c r="BP437" s="1312">
        <f>IF(AND(C437&gt;$F$78,'Instrumentos Financeiros'!C437&lt;'Instrumentos Financeiros'!$F$78+'Instrumentos Financeiros'!$F$12+1),PMT(((1+'Instrumentos Financeiros'!$L$43)^(1/12)-1),$F$12,-$I$78),0)</f>
        <v>0</v>
      </c>
      <c r="BQ437" s="1312">
        <f t="shared" si="306"/>
        <v>8.6173696117983795E-14</v>
      </c>
      <c r="BR437" s="1312">
        <f>BS436*((1+'Instrumentos Financeiros'!$L$43)^(1/12)-1)</f>
        <v>-8.6173696117983795E-14</v>
      </c>
      <c r="BS437" s="1312">
        <f t="shared" si="307"/>
        <v>-2.0015285833886228E-11</v>
      </c>
      <c r="BT437" s="1312">
        <f>IF(AND(C437&gt;$F$79,'Instrumentos Financeiros'!C437&lt;'Instrumentos Financeiros'!$F$79+'Instrumentos Financeiros'!$F$12+1),PMT(((1+'Instrumentos Financeiros'!$L$43)^(1/12)-1),$F$12,-$I$79),0)</f>
        <v>0</v>
      </c>
      <c r="BU437" s="1312">
        <f t="shared" si="308"/>
        <v>8.5065446094254196E-14</v>
      </c>
      <c r="BV437" s="1312">
        <f>BW436*((1+'Instrumentos Financeiros'!$L$43)^(1/12)-1)</f>
        <v>-8.5065446094254196E-14</v>
      </c>
      <c r="BW437" s="1312">
        <f t="shared" si="309"/>
        <v>-1.9757876183382333E-11</v>
      </c>
      <c r="BX437" s="1312">
        <f>IF(AND(C437&gt;$F$80,'Instrumentos Financeiros'!C437&lt;'Instrumentos Financeiros'!$F$80+'Instrumentos Financeiros'!$F$12+1),PMT(((1+'Instrumentos Financeiros'!$L$43)^(1/12)-1),$F$12,-$I$80),0)</f>
        <v>0</v>
      </c>
      <c r="BY437" s="1312">
        <f t="shared" si="310"/>
        <v>8.3971448889777191E-14</v>
      </c>
      <c r="BZ437" s="1312">
        <f>CA436*((1+'Instrumentos Financeiros'!$L$43)^(1/12)-1)</f>
        <v>-8.3971448889777191E-14</v>
      </c>
      <c r="CA437" s="1312">
        <f t="shared" si="311"/>
        <v>-1.9503776989132847E-11</v>
      </c>
      <c r="CB437" s="1312">
        <f>IF(AND(C437&gt;$F$83,'Instrumentos Financeiros'!C437&lt;'Instrumentos Financeiros'!$F$83+'Instrumentos Financeiros'!$F$13+1),PMT(((1+'Instrumentos Financeiros'!$P$43)^(1/12)-1),$F$13,-$I$83),0)</f>
        <v>30503.390100238979</v>
      </c>
      <c r="CC437" s="1312">
        <f t="shared" si="312"/>
        <v>29852.374446732731</v>
      </c>
      <c r="CD437" s="1312">
        <f>CE436*((1+'Instrumentos Financeiros'!$P$43)^(1/12)-1)</f>
        <v>651.01565350624969</v>
      </c>
      <c r="CE437" s="1312">
        <f t="shared" si="313"/>
        <v>120705.91127893799</v>
      </c>
      <c r="CF437" s="1312">
        <f>IF(AND(C437&gt;$F$84,'Instrumentos Financeiros'!C437&lt;'Instrumentos Financeiros'!$F$84+'Instrumentos Financeiros'!$F$13+1),PMT(((1+'Instrumentos Financeiros'!$Q$43)^(1/12)-1),$F$13,-$I$84),0)</f>
        <v>30503.390100238979</v>
      </c>
      <c r="CG437" s="1312">
        <f t="shared" si="314"/>
        <v>29468.453410739567</v>
      </c>
      <c r="CH437" s="1312">
        <f>CI436*((1+'Instrumentos Financeiros'!$Q$43)^(1/12)-1)</f>
        <v>1034.9366894994118</v>
      </c>
      <c r="CI437" s="1312">
        <f t="shared" si="315"/>
        <v>209878.00925328973</v>
      </c>
      <c r="CJ437" s="1312">
        <f>IF(AND(C437&gt;$F$85,'Instrumentos Financeiros'!C437&lt;'Instrumentos Financeiros'!$F$85+'Instrumentos Financeiros'!$F$13+1),PMT(((1+'Instrumentos Financeiros'!$Q$43)^(1/12)-1),$F$13,-$I$85),0)</f>
        <v>30503.390100238979</v>
      </c>
      <c r="CK437" s="1312">
        <f t="shared" si="316"/>
        <v>29089.469850059839</v>
      </c>
      <c r="CL437" s="1312">
        <f>CM436*((1+'Instrumentos Financeiros'!$Q$43)^(1/12)-1)</f>
        <v>1413.9202501791424</v>
      </c>
      <c r="CM437" s="1312">
        <f t="shared" si="317"/>
        <v>297903.2957973787</v>
      </c>
      <c r="CN437" s="1312">
        <f>IF(AND(C437&gt;$F$86,'Instrumentos Financeiros'!C437&lt;'Instrumentos Financeiros'!$F$86+'Instrumentos Financeiros'!$F$13+1),PMT(((1+'Instrumentos Financeiros'!$Q$43)^(1/12)-1),$F$13,-$I$86),0)</f>
        <v>30503.390100238979</v>
      </c>
      <c r="CO437" s="1312">
        <f t="shared" si="318"/>
        <v>28715.360265535677</v>
      </c>
      <c r="CP437" s="1312">
        <f>CQ436*((1+'Instrumentos Financeiros'!$Q$43)^(1/12)-1)</f>
        <v>1788.0298347033022</v>
      </c>
      <c r="CQ437" s="1312">
        <f t="shared" si="319"/>
        <v>384796.51965533517</v>
      </c>
      <c r="CR437" s="1312">
        <f t="shared" si="288"/>
        <v>122013.56040095592</v>
      </c>
      <c r="CS437" s="1312">
        <f t="shared" si="288"/>
        <v>117125.65797306792</v>
      </c>
      <c r="CT437" s="1312">
        <f t="shared" si="288"/>
        <v>4887.9024278879933</v>
      </c>
      <c r="CU437" s="1312">
        <f t="shared" si="288"/>
        <v>1013283.7359849154</v>
      </c>
    </row>
    <row r="438" spans="3:99" x14ac:dyDescent="0.35">
      <c r="C438" s="1315">
        <f t="shared" si="289"/>
        <v>345</v>
      </c>
      <c r="D438" s="1312">
        <f>IF(AND(C438&gt;$F$59,'Instrumentos Financeiros'!C438&lt;'Instrumentos Financeiros'!$F$59+'Instrumentos Financeiros'!$F$11+1),PMT(((1+'Instrumentos Financeiros'!$G$43)^(1/12)-1),$F$11,-$I$59),0)</f>
        <v>0</v>
      </c>
      <c r="E438" s="1312">
        <f t="shared" si="286"/>
        <v>-1.3015492891039518E-11</v>
      </c>
      <c r="F438" s="1312">
        <f>G437*((1+'Instrumentos Financeiros'!$G$43)^(1/12)-1)</f>
        <v>1.3015492891039518E-11</v>
      </c>
      <c r="G438" s="1312">
        <f t="shared" si="320"/>
        <v>3.2016800684483847E-9</v>
      </c>
      <c r="H438" s="1312">
        <f>IF(AND(C438&gt;$F$60,'Instrumentos Financeiros'!C438&lt;'Instrumentos Financeiros'!$F$60+'Instrumentos Financeiros'!$F$11+1),PMT(((1+'Instrumentos Financeiros'!$G$43)^(1/12)-1),$F$11,-$I$60),0)</f>
        <v>0</v>
      </c>
      <c r="I438" s="1312">
        <f t="shared" si="272"/>
        <v>0</v>
      </c>
      <c r="J438" s="1312">
        <f>K437*((1+'Instrumentos Financeiros'!$G$43)^(1/12)-1)</f>
        <v>0</v>
      </c>
      <c r="K438" s="1312">
        <f t="shared" si="290"/>
        <v>0</v>
      </c>
      <c r="L438" s="1312">
        <f>IF(AND(C438&gt;$F$61,'Instrumentos Financeiros'!C438&lt;'Instrumentos Financeiros'!$F$61+'Instrumentos Financeiros'!$F$11+1),PMT(((1+'Instrumentos Financeiros'!$G$43)^(1/12)-1),$F$11,-$I$61),0)</f>
        <v>0</v>
      </c>
      <c r="M438" s="1312">
        <f t="shared" si="273"/>
        <v>0</v>
      </c>
      <c r="N438" s="1312">
        <f>O437*((1+'Instrumentos Financeiros'!$G$43)^(1/12)-1)</f>
        <v>0</v>
      </c>
      <c r="O438" s="1312">
        <f t="shared" si="291"/>
        <v>0</v>
      </c>
      <c r="P438" s="1312">
        <f>IF(AND(C438&gt;$F$62,'Instrumentos Financeiros'!C438&lt;'Instrumentos Financeiros'!$F$62+'Instrumentos Financeiros'!$F$11+1),PMT(((1+'Instrumentos Financeiros'!$H$43)^(1/12)-1),$F$11,-$I$62),0)</f>
        <v>0</v>
      </c>
      <c r="Q438" s="1312">
        <f t="shared" si="274"/>
        <v>0</v>
      </c>
      <c r="R438" s="1312">
        <f>S437*((1+'Instrumentos Financeiros'!$H$43)^(1/12)-1)</f>
        <v>0</v>
      </c>
      <c r="S438" s="1312">
        <f t="shared" si="292"/>
        <v>0</v>
      </c>
      <c r="T438" s="1312">
        <f>IF(AND(C438&gt;$F$63,'Instrumentos Financeiros'!C438&lt;'Instrumentos Financeiros'!$F$63+'Instrumentos Financeiros'!$F$11+1),PMT(((1+'Instrumentos Financeiros'!$H$43)^(1/12)-1),$F$11,-$I$63),0)</f>
        <v>0</v>
      </c>
      <c r="U438" s="1312">
        <f t="shared" si="275"/>
        <v>0</v>
      </c>
      <c r="V438" s="1312">
        <f>W437*((1+'Instrumentos Financeiros'!$H$43)^(1/12)-1)</f>
        <v>0</v>
      </c>
      <c r="W438" s="1312">
        <f t="shared" si="293"/>
        <v>0</v>
      </c>
      <c r="X438" s="1312">
        <f>IF(AND(C438&gt;$F$64,'Instrumentos Financeiros'!C438&lt;'Instrumentos Financeiros'!$F$64+'Instrumentos Financeiros'!$F$11+1),PMT(((1+'Instrumentos Financeiros'!$H$43)^(1/12)-1),$F$11,-$I$64),0)</f>
        <v>0</v>
      </c>
      <c r="Y438" s="1312">
        <f t="shared" si="276"/>
        <v>0</v>
      </c>
      <c r="Z438" s="1312">
        <f>AA437*((1+'Instrumentos Financeiros'!$H$43)^(1/12)-1)</f>
        <v>0</v>
      </c>
      <c r="AA438" s="1312">
        <f t="shared" si="294"/>
        <v>0</v>
      </c>
      <c r="AB438" s="1312">
        <f>IF(AND(C438&gt;$F$65,'Instrumentos Financeiros'!C438&lt;'Instrumentos Financeiros'!$F$65+'Instrumentos Financeiros'!$F$11+1),PMT(((1+'Instrumentos Financeiros'!$H$43)^(1/12)-1),$F$11,-$I$65),0)</f>
        <v>0</v>
      </c>
      <c r="AC438" s="1312">
        <f t="shared" si="277"/>
        <v>3.2256794353199037E-11</v>
      </c>
      <c r="AD438" s="1312">
        <f>AE437*((1+'Instrumentos Financeiros'!$H$43)^(1/12)-1)</f>
        <v>-3.2256794353199037E-11</v>
      </c>
      <c r="AE438" s="1312">
        <f t="shared" si="295"/>
        <v>-7.4921813517225715E-9</v>
      </c>
      <c r="AF438" s="1312">
        <f>IF(AND(C438&gt;$F$66,'Instrumentos Financeiros'!C438&lt;'Instrumentos Financeiros'!$F$66+'Instrumentos Financeiros'!$F$11+1),PMT(((1+'Instrumentos Financeiros'!$I$43)^(1/12)-1),$F$11,-$I$66),0)</f>
        <v>0</v>
      </c>
      <c r="AG438" s="1312">
        <f t="shared" si="278"/>
        <v>3.184195090655809E-11</v>
      </c>
      <c r="AH438" s="1312">
        <f>AI437*((1+'Instrumentos Financeiros'!$I$43)^(1/12)-1)</f>
        <v>-3.184195090655809E-11</v>
      </c>
      <c r="AI438" s="1312">
        <f t="shared" si="296"/>
        <v>-7.3958270053862519E-9</v>
      </c>
      <c r="AJ438" s="1312">
        <f>IF(AND(C438&gt;$F$67,'Instrumentos Financeiros'!C438&lt;'Instrumentos Financeiros'!$F$67+'Instrumentos Financeiros'!$F$11+1),PMT(((1+'Instrumentos Financeiros'!$I$43)^(1/12)-1),$F$11,-$I$67),0)</f>
        <v>0</v>
      </c>
      <c r="AK438" s="1312">
        <f t="shared" si="279"/>
        <v>3.1432442617631106E-11</v>
      </c>
      <c r="AL438" s="1312">
        <f>AM437*((1+'Instrumentos Financeiros'!$I$43)^(1/12)-1)</f>
        <v>-3.1432442617631106E-11</v>
      </c>
      <c r="AM438" s="1312">
        <f t="shared" si="297"/>
        <v>-7.3007118388858237E-9</v>
      </c>
      <c r="AN438" s="1312">
        <f>IF(AND(C438&gt;$F$68,'Instrumentos Financeiros'!C438&lt;'Instrumentos Financeiros'!$F$68+'Instrumentos Financeiros'!$F$11+1),PMT(((1+'Instrumentos Financeiros'!$I$43)^(1/12)-1),$F$11,-$I$68),0)</f>
        <v>0</v>
      </c>
      <c r="AO438" s="1312">
        <f t="shared" si="280"/>
        <v>3.1028200872804764E-11</v>
      </c>
      <c r="AP438" s="1312">
        <f>AQ437*((1+'Instrumentos Financeiros'!$I$43)^(1/12)-1)</f>
        <v>-3.1028200872804764E-11</v>
      </c>
      <c r="AQ438" s="1312">
        <f t="shared" si="298"/>
        <v>-7.2068199155591235E-9</v>
      </c>
      <c r="AR438" s="1312">
        <f>IF(AND(C438&gt;$F$69,'Instrumentos Financeiros'!C438&lt;'Instrumentos Financeiros'!$F$69+'Instrumentos Financeiros'!$F$11+1),PMT(((1+'Instrumentos Financeiros'!$I$43)^(1/12)-1),$F$11,-$I$69),0)</f>
        <v>0</v>
      </c>
      <c r="AS438" s="1312">
        <f t="shared" si="281"/>
        <v>0</v>
      </c>
      <c r="AT438" s="1312">
        <f>AU437*((1+'Instrumentos Financeiros'!$I$43)^(1/12)-1)</f>
        <v>0</v>
      </c>
      <c r="AU438" s="1312">
        <f t="shared" si="299"/>
        <v>0</v>
      </c>
      <c r="AV438" s="1312">
        <f>IF(AND(C438&gt;$F$70,'Instrumentos Financeiros'!C438&lt;'Instrumentos Financeiros'!$F$70+'Instrumentos Financeiros'!$F$11+1),PMT(((1+'Instrumentos Financeiros'!$J$43)^(1/12)-1),$F$11,-$I$70),0)</f>
        <v>0</v>
      </c>
      <c r="AW438" s="1312">
        <f t="shared" si="282"/>
        <v>0</v>
      </c>
      <c r="AX438" s="1312">
        <f>AY437*((1+'Instrumentos Financeiros'!$J$43)^(1/12)-1)</f>
        <v>0</v>
      </c>
      <c r="AY438" s="1312">
        <f t="shared" si="300"/>
        <v>0</v>
      </c>
      <c r="AZ438" s="1312">
        <f>IF(AND(C438&gt;$F$71,'Instrumentos Financeiros'!C438&lt;'Instrumentos Financeiros'!$F$71+'Instrumentos Financeiros'!$F$11+1),PMT(((1+'Instrumentos Financeiros'!$J$43)^(1/12)-1),$F$11,-$I$71),0)</f>
        <v>0</v>
      </c>
      <c r="BA438" s="1312">
        <f t="shared" si="283"/>
        <v>0</v>
      </c>
      <c r="BB438" s="1312">
        <f>BC437*((1+'Instrumentos Financeiros'!$J$43)^(1/12)-1)</f>
        <v>0</v>
      </c>
      <c r="BC438" s="1312">
        <f t="shared" si="301"/>
        <v>0</v>
      </c>
      <c r="BD438" s="1312">
        <f>IF(AND(C438&gt;$F$72,'Instrumentos Financeiros'!C438&lt;'Instrumentos Financeiros'!$F$72+'Instrumentos Financeiros'!$F$11+1),PMT(((1+'Instrumentos Financeiros'!$J$43)^(1/12)-1),$F$11,-'Instrumentos Financeiros'!$G$7*$G$72),0)</f>
        <v>0</v>
      </c>
      <c r="BE438" s="1312">
        <f t="shared" si="284"/>
        <v>0</v>
      </c>
      <c r="BF438" s="1312">
        <f>BG437*((1+'Instrumentos Financeiros'!$J$43)^(1/12)-1)</f>
        <v>0</v>
      </c>
      <c r="BG438" s="1312">
        <f t="shared" si="302"/>
        <v>0</v>
      </c>
      <c r="BH438" s="1312">
        <f>IF(AND(C438&gt;$F$73,'Instrumentos Financeiros'!C438&lt;'Instrumentos Financeiros'!$F$73+'Instrumentos Financeiros'!$F$11+1),PMT(((1+'Instrumentos Financeiros'!$J$43)^(1/12)-1),$F$11,-$I$73),0)</f>
        <v>0</v>
      </c>
      <c r="BI438" s="1312">
        <f t="shared" si="285"/>
        <v>0</v>
      </c>
      <c r="BJ438" s="1312">
        <f>BK437*((1+'Instrumentos Financeiros'!$J$43)^(1/12)-1)</f>
        <v>0</v>
      </c>
      <c r="BK438" s="1312">
        <f t="shared" si="303"/>
        <v>0</v>
      </c>
      <c r="BL438" s="1312">
        <f>IF(AND(C438&gt;$F$77,'Instrumentos Financeiros'!C438&lt;'Instrumentos Financeiros'!$F$77+'Instrumentos Financeiros'!$F$12+1),PMT(((1+'Instrumentos Financeiros'!$K$43)^(1/12)-1),$F$12,-$I$77),0)</f>
        <v>0</v>
      </c>
      <c r="BM438" s="1312">
        <f t="shared" si="304"/>
        <v>8.7673855159634512E-14</v>
      </c>
      <c r="BN438" s="1312">
        <f>BO437*((1+'Instrumentos Financeiros'!$K$43)^(1/12)-1)</f>
        <v>-8.7673855159634512E-14</v>
      </c>
      <c r="BO438" s="1312">
        <f t="shared" si="305"/>
        <v>-2.0363722925105085E-11</v>
      </c>
      <c r="BP438" s="1312">
        <f>IF(AND(C438&gt;$F$78,'Instrumentos Financeiros'!C438&lt;'Instrumentos Financeiros'!$F$78+'Instrumentos Financeiros'!$F$12+1),PMT(((1+'Instrumentos Financeiros'!$L$43)^(1/12)-1),$F$12,-$I$78),0)</f>
        <v>0</v>
      </c>
      <c r="BQ438" s="1312">
        <f t="shared" si="306"/>
        <v>8.6546312110673275E-14</v>
      </c>
      <c r="BR438" s="1312">
        <f>BS437*((1+'Instrumentos Financeiros'!$L$43)^(1/12)-1)</f>
        <v>-8.6546312110673275E-14</v>
      </c>
      <c r="BS438" s="1312">
        <f t="shared" si="307"/>
        <v>-2.0101832145996901E-11</v>
      </c>
      <c r="BT438" s="1312">
        <f>IF(AND(C438&gt;$F$79,'Instrumentos Financeiros'!C438&lt;'Instrumentos Financeiros'!$F$79+'Instrumentos Financeiros'!$F$12+1),PMT(((1+'Instrumentos Financeiros'!$L$43)^(1/12)-1),$F$12,-$I$79),0)</f>
        <v>0</v>
      </c>
      <c r="BU438" s="1312">
        <f t="shared" si="308"/>
        <v>8.5433270001871986E-14</v>
      </c>
      <c r="BV438" s="1312">
        <f>BW437*((1+'Instrumentos Financeiros'!$L$43)^(1/12)-1)</f>
        <v>-8.5433270001871986E-14</v>
      </c>
      <c r="BW438" s="1312">
        <f t="shared" si="309"/>
        <v>-1.9843309453384205E-11</v>
      </c>
      <c r="BX438" s="1312">
        <f>IF(AND(C438&gt;$F$80,'Instrumentos Financeiros'!C438&lt;'Instrumentos Financeiros'!$F$80+'Instrumentos Financeiros'!$F$12+1),PMT(((1+'Instrumentos Financeiros'!$L$43)^(1/12)-1),$F$12,-$I$80),0)</f>
        <v>0</v>
      </c>
      <c r="BY438" s="1312">
        <f t="shared" si="310"/>
        <v>8.4334542341667657E-14</v>
      </c>
      <c r="BZ438" s="1312">
        <f>CA437*((1+'Instrumentos Financeiros'!$L$43)^(1/12)-1)</f>
        <v>-8.4334542341667657E-14</v>
      </c>
      <c r="CA438" s="1312">
        <f t="shared" si="311"/>
        <v>-1.9588111531474515E-11</v>
      </c>
      <c r="CB438" s="1312">
        <f>IF(AND(C438&gt;$F$83,'Instrumentos Financeiros'!C438&lt;'Instrumentos Financeiros'!$F$83+'Instrumentos Financeiros'!$F$13+1),PMT(((1+'Instrumentos Financeiros'!$P$43)^(1/12)-1),$F$13,-$I$83),0)</f>
        <v>30503.390100238979</v>
      </c>
      <c r="CC438" s="1312">
        <f t="shared" si="312"/>
        <v>29981.45643624584</v>
      </c>
      <c r="CD438" s="1312">
        <f>CE437*((1+'Instrumentos Financeiros'!$P$43)^(1/12)-1)</f>
        <v>521.93366399313879</v>
      </c>
      <c r="CE438" s="1312">
        <f t="shared" si="313"/>
        <v>90724.454842692154</v>
      </c>
      <c r="CF438" s="1312">
        <f>IF(AND(C438&gt;$F$84,'Instrumentos Financeiros'!C438&lt;'Instrumentos Financeiros'!$F$84+'Instrumentos Financeiros'!$F$13+1),PMT(((1+'Instrumentos Financeiros'!$Q$43)^(1/12)-1),$F$13,-$I$84),0)</f>
        <v>30503.390100238979</v>
      </c>
      <c r="CG438" s="1312">
        <f t="shared" si="314"/>
        <v>29595.8753215467</v>
      </c>
      <c r="CH438" s="1312">
        <f>CI437*((1+'Instrumentos Financeiros'!$Q$43)^(1/12)-1)</f>
        <v>907.51477869228006</v>
      </c>
      <c r="CI438" s="1312">
        <f t="shared" si="315"/>
        <v>180282.13393174304</v>
      </c>
      <c r="CJ438" s="1312">
        <f>IF(AND(C438&gt;$F$85,'Instrumentos Financeiros'!C438&lt;'Instrumentos Financeiros'!$F$85+'Instrumentos Financeiros'!$F$13+1),PMT(((1+'Instrumentos Financeiros'!$Q$43)^(1/12)-1),$F$13,-$I$85),0)</f>
        <v>30503.390100238979</v>
      </c>
      <c r="CK438" s="1312">
        <f t="shared" si="316"/>
        <v>29215.25303185757</v>
      </c>
      <c r="CL438" s="1312">
        <f>CM437*((1+'Instrumentos Financeiros'!$Q$43)^(1/12)-1)</f>
        <v>1288.1370683814096</v>
      </c>
      <c r="CM438" s="1312">
        <f t="shared" si="317"/>
        <v>268688.04276552115</v>
      </c>
      <c r="CN438" s="1312">
        <f>IF(AND(C438&gt;$F$86,'Instrumentos Financeiros'!C438&lt;'Instrumentos Financeiros'!$F$86+'Instrumentos Financeiros'!$F$13+1),PMT(((1+'Instrumentos Financeiros'!$Q$43)^(1/12)-1),$F$13,-$I$86),0)</f>
        <v>30503.390100238979</v>
      </c>
      <c r="CO438" s="1312">
        <f t="shared" si="318"/>
        <v>28839.525793449546</v>
      </c>
      <c r="CP438" s="1312">
        <f>CQ437*((1+'Instrumentos Financeiros'!$Q$43)^(1/12)-1)</f>
        <v>1663.8643067894329</v>
      </c>
      <c r="CQ438" s="1312">
        <f t="shared" si="319"/>
        <v>355956.99386188562</v>
      </c>
      <c r="CR438" s="1312">
        <f t="shared" si="288"/>
        <v>122013.56040095592</v>
      </c>
      <c r="CS438" s="1312">
        <f t="shared" si="288"/>
        <v>117632.11058309977</v>
      </c>
      <c r="CT438" s="1312">
        <f t="shared" si="288"/>
        <v>4381.4498178561471</v>
      </c>
      <c r="CU438" s="1312">
        <f t="shared" si="288"/>
        <v>895651.62540181575</v>
      </c>
    </row>
    <row r="439" spans="3:99" x14ac:dyDescent="0.35">
      <c r="C439" s="1315">
        <f t="shared" si="289"/>
        <v>346</v>
      </c>
      <c r="D439" s="1312">
        <f>IF(AND(C439&gt;$F$59,'Instrumentos Financeiros'!C439&lt;'Instrumentos Financeiros'!$F$59+'Instrumentos Financeiros'!$F$11+1),PMT(((1+'Instrumentos Financeiros'!$G$43)^(1/12)-1),$F$11,-$I$59),0)</f>
        <v>0</v>
      </c>
      <c r="E439" s="1312">
        <f t="shared" si="286"/>
        <v>-1.3068619537377693E-11</v>
      </c>
      <c r="F439" s="1312">
        <f>G438*((1+'Instrumentos Financeiros'!$G$43)^(1/12)-1)</f>
        <v>1.3068619537377693E-11</v>
      </c>
      <c r="G439" s="1312">
        <f t="shared" si="320"/>
        <v>3.2147486879857623E-9</v>
      </c>
      <c r="H439" s="1312">
        <f>IF(AND(C439&gt;$F$60,'Instrumentos Financeiros'!C439&lt;'Instrumentos Financeiros'!$F$60+'Instrumentos Financeiros'!$F$11+1),PMT(((1+'Instrumentos Financeiros'!$G$43)^(1/12)-1),$F$11,-$I$60),0)</f>
        <v>0</v>
      </c>
      <c r="I439" s="1312">
        <f t="shared" si="272"/>
        <v>0</v>
      </c>
      <c r="J439" s="1312">
        <f>K438*((1+'Instrumentos Financeiros'!$G$43)^(1/12)-1)</f>
        <v>0</v>
      </c>
      <c r="K439" s="1312">
        <f t="shared" si="290"/>
        <v>0</v>
      </c>
      <c r="L439" s="1312">
        <f>IF(AND(C439&gt;$F$61,'Instrumentos Financeiros'!C439&lt;'Instrumentos Financeiros'!$F$61+'Instrumentos Financeiros'!$F$11+1),PMT(((1+'Instrumentos Financeiros'!$G$43)^(1/12)-1),$F$11,-$I$61),0)</f>
        <v>0</v>
      </c>
      <c r="M439" s="1312">
        <f t="shared" si="273"/>
        <v>0</v>
      </c>
      <c r="N439" s="1312">
        <f>O438*((1+'Instrumentos Financeiros'!$G$43)^(1/12)-1)</f>
        <v>0</v>
      </c>
      <c r="O439" s="1312">
        <f t="shared" si="291"/>
        <v>0</v>
      </c>
      <c r="P439" s="1312">
        <f>IF(AND(C439&gt;$F$62,'Instrumentos Financeiros'!C439&lt;'Instrumentos Financeiros'!$F$62+'Instrumentos Financeiros'!$F$11+1),PMT(((1+'Instrumentos Financeiros'!$H$43)^(1/12)-1),$F$11,-$I$62),0)</f>
        <v>0</v>
      </c>
      <c r="Q439" s="1312">
        <f t="shared" si="274"/>
        <v>0</v>
      </c>
      <c r="R439" s="1312">
        <f>S438*((1+'Instrumentos Financeiros'!$H$43)^(1/12)-1)</f>
        <v>0</v>
      </c>
      <c r="S439" s="1312">
        <f t="shared" si="292"/>
        <v>0</v>
      </c>
      <c r="T439" s="1312">
        <f>IF(AND(C439&gt;$F$63,'Instrumentos Financeiros'!C439&lt;'Instrumentos Financeiros'!$F$63+'Instrumentos Financeiros'!$F$11+1),PMT(((1+'Instrumentos Financeiros'!$H$43)^(1/12)-1),$F$11,-$I$63),0)</f>
        <v>0</v>
      </c>
      <c r="U439" s="1312">
        <f t="shared" si="275"/>
        <v>0</v>
      </c>
      <c r="V439" s="1312">
        <f>W438*((1+'Instrumentos Financeiros'!$H$43)^(1/12)-1)</f>
        <v>0</v>
      </c>
      <c r="W439" s="1312">
        <f t="shared" si="293"/>
        <v>0</v>
      </c>
      <c r="X439" s="1312">
        <f>IF(AND(C439&gt;$F$64,'Instrumentos Financeiros'!C439&lt;'Instrumentos Financeiros'!$F$64+'Instrumentos Financeiros'!$F$11+1),PMT(((1+'Instrumentos Financeiros'!$H$43)^(1/12)-1),$F$11,-$I$64),0)</f>
        <v>0</v>
      </c>
      <c r="Y439" s="1312">
        <f t="shared" si="276"/>
        <v>0</v>
      </c>
      <c r="Z439" s="1312">
        <f>AA438*((1+'Instrumentos Financeiros'!$H$43)^(1/12)-1)</f>
        <v>0</v>
      </c>
      <c r="AA439" s="1312">
        <f t="shared" si="294"/>
        <v>0</v>
      </c>
      <c r="AB439" s="1312">
        <f>IF(AND(C439&gt;$F$65,'Instrumentos Financeiros'!C439&lt;'Instrumentos Financeiros'!$F$65+'Instrumentos Financeiros'!$F$11+1),PMT(((1+'Instrumentos Financeiros'!$H$43)^(1/12)-1),$F$11,-$I$65),0)</f>
        <v>0</v>
      </c>
      <c r="AC439" s="1312">
        <f t="shared" si="277"/>
        <v>3.2396273080355426E-11</v>
      </c>
      <c r="AD439" s="1312">
        <f>AE438*((1+'Instrumentos Financeiros'!$H$43)^(1/12)-1)</f>
        <v>-3.2396273080355426E-11</v>
      </c>
      <c r="AE439" s="1312">
        <f t="shared" si="295"/>
        <v>-7.5245776248029269E-9</v>
      </c>
      <c r="AF439" s="1312">
        <f>IF(AND(C439&gt;$F$66,'Instrumentos Financeiros'!C439&lt;'Instrumentos Financeiros'!$F$66+'Instrumentos Financeiros'!$F$11+1),PMT(((1+'Instrumentos Financeiros'!$I$43)^(1/12)-1),$F$11,-$I$66),0)</f>
        <v>0</v>
      </c>
      <c r="AG439" s="1312">
        <f t="shared" si="278"/>
        <v>3.1979635846170901E-11</v>
      </c>
      <c r="AH439" s="1312">
        <f>AI438*((1+'Instrumentos Financeiros'!$I$43)^(1/12)-1)</f>
        <v>-3.1979635846170901E-11</v>
      </c>
      <c r="AI439" s="1312">
        <f t="shared" si="296"/>
        <v>-7.4278066412324232E-9</v>
      </c>
      <c r="AJ439" s="1312">
        <f>IF(AND(C439&gt;$F$67,'Instrumentos Financeiros'!C439&lt;'Instrumentos Financeiros'!$F$67+'Instrumentos Financeiros'!$F$11+1),PMT(((1+'Instrumentos Financeiros'!$I$43)^(1/12)-1),$F$11,-$I$67),0)</f>
        <v>0</v>
      </c>
      <c r="AK439" s="1312">
        <f t="shared" si="279"/>
        <v>3.1568356838979906E-11</v>
      </c>
      <c r="AL439" s="1312">
        <f>AM438*((1+'Instrumentos Financeiros'!$I$43)^(1/12)-1)</f>
        <v>-3.1568356838979906E-11</v>
      </c>
      <c r="AM439" s="1312">
        <f t="shared" si="297"/>
        <v>-7.3322801957248038E-9</v>
      </c>
      <c r="AN439" s="1312">
        <f>IF(AND(C439&gt;$F$68,'Instrumentos Financeiros'!C439&lt;'Instrumentos Financeiros'!$F$68+'Instrumentos Financeiros'!$F$11+1),PMT(((1+'Instrumentos Financeiros'!$I$43)^(1/12)-1),$F$11,-$I$68),0)</f>
        <v>0</v>
      </c>
      <c r="AO439" s="1312">
        <f t="shared" si="280"/>
        <v>3.1162367148483129E-11</v>
      </c>
      <c r="AP439" s="1312">
        <f>AQ438*((1+'Instrumentos Financeiros'!$I$43)^(1/12)-1)</f>
        <v>-3.1162367148483129E-11</v>
      </c>
      <c r="AQ439" s="1312">
        <f t="shared" si="298"/>
        <v>-7.2379822827076067E-9</v>
      </c>
      <c r="AR439" s="1312">
        <f>IF(AND(C439&gt;$F$69,'Instrumentos Financeiros'!C439&lt;'Instrumentos Financeiros'!$F$69+'Instrumentos Financeiros'!$F$11+1),PMT(((1+'Instrumentos Financeiros'!$I$43)^(1/12)-1),$F$11,-$I$69),0)</f>
        <v>0</v>
      </c>
      <c r="AS439" s="1312">
        <f t="shared" si="281"/>
        <v>0</v>
      </c>
      <c r="AT439" s="1312">
        <f>AU438*((1+'Instrumentos Financeiros'!$I$43)^(1/12)-1)</f>
        <v>0</v>
      </c>
      <c r="AU439" s="1312">
        <f t="shared" si="299"/>
        <v>0</v>
      </c>
      <c r="AV439" s="1312">
        <f>IF(AND(C439&gt;$F$70,'Instrumentos Financeiros'!C439&lt;'Instrumentos Financeiros'!$F$70+'Instrumentos Financeiros'!$F$11+1),PMT(((1+'Instrumentos Financeiros'!$J$43)^(1/12)-1),$F$11,-$I$70),0)</f>
        <v>0</v>
      </c>
      <c r="AW439" s="1312">
        <f t="shared" si="282"/>
        <v>0</v>
      </c>
      <c r="AX439" s="1312">
        <f>AY438*((1+'Instrumentos Financeiros'!$J$43)^(1/12)-1)</f>
        <v>0</v>
      </c>
      <c r="AY439" s="1312">
        <f t="shared" si="300"/>
        <v>0</v>
      </c>
      <c r="AZ439" s="1312">
        <f>IF(AND(C439&gt;$F$71,'Instrumentos Financeiros'!C439&lt;'Instrumentos Financeiros'!$F$71+'Instrumentos Financeiros'!$F$11+1),PMT(((1+'Instrumentos Financeiros'!$J$43)^(1/12)-1),$F$11,-$I$71),0)</f>
        <v>0</v>
      </c>
      <c r="BA439" s="1312">
        <f t="shared" si="283"/>
        <v>0</v>
      </c>
      <c r="BB439" s="1312">
        <f>BC438*((1+'Instrumentos Financeiros'!$J$43)^(1/12)-1)</f>
        <v>0</v>
      </c>
      <c r="BC439" s="1312">
        <f t="shared" si="301"/>
        <v>0</v>
      </c>
      <c r="BD439" s="1312">
        <f>IF(AND(C439&gt;$F$72,'Instrumentos Financeiros'!C439&lt;'Instrumentos Financeiros'!$F$72+'Instrumentos Financeiros'!$F$11+1),PMT(((1+'Instrumentos Financeiros'!$J$43)^(1/12)-1),$F$11,-'Instrumentos Financeiros'!$G$7*$G$72),0)</f>
        <v>0</v>
      </c>
      <c r="BE439" s="1312">
        <f t="shared" si="284"/>
        <v>0</v>
      </c>
      <c r="BF439" s="1312">
        <f>BG438*((1+'Instrumentos Financeiros'!$J$43)^(1/12)-1)</f>
        <v>0</v>
      </c>
      <c r="BG439" s="1312">
        <f t="shared" si="302"/>
        <v>0</v>
      </c>
      <c r="BH439" s="1312">
        <f>IF(AND(C439&gt;$F$73,'Instrumentos Financeiros'!C439&lt;'Instrumentos Financeiros'!$F$73+'Instrumentos Financeiros'!$F$11+1),PMT(((1+'Instrumentos Financeiros'!$J$43)^(1/12)-1),$F$11,-$I$73),0)</f>
        <v>0</v>
      </c>
      <c r="BI439" s="1312">
        <f t="shared" si="285"/>
        <v>0</v>
      </c>
      <c r="BJ439" s="1312">
        <f>BK438*((1+'Instrumentos Financeiros'!$J$43)^(1/12)-1)</f>
        <v>0</v>
      </c>
      <c r="BK439" s="1312">
        <f t="shared" si="303"/>
        <v>0</v>
      </c>
      <c r="BL439" s="1312">
        <f>IF(AND(C439&gt;$F$77,'Instrumentos Financeiros'!C439&lt;'Instrumentos Financeiros'!$F$77+'Instrumentos Financeiros'!$F$12+1),PMT(((1+'Instrumentos Financeiros'!$K$43)^(1/12)-1),$F$12,-$I$77),0)</f>
        <v>0</v>
      </c>
      <c r="BM439" s="1312">
        <f t="shared" si="304"/>
        <v>8.8052957856221806E-14</v>
      </c>
      <c r="BN439" s="1312">
        <f>BO438*((1+'Instrumentos Financeiros'!$K$43)^(1/12)-1)</f>
        <v>-8.8052957856221806E-14</v>
      </c>
      <c r="BO439" s="1312">
        <f t="shared" si="305"/>
        <v>-2.0451775882961306E-11</v>
      </c>
      <c r="BP439" s="1312">
        <f>IF(AND(C439&gt;$F$78,'Instrumentos Financeiros'!C439&lt;'Instrumentos Financeiros'!$F$78+'Instrumentos Financeiros'!$F$12+1),PMT(((1+'Instrumentos Financeiros'!$L$43)^(1/12)-1),$F$12,-$I$78),0)</f>
        <v>0</v>
      </c>
      <c r="BQ439" s="1312">
        <f t="shared" si="306"/>
        <v>8.6920539298939403E-14</v>
      </c>
      <c r="BR439" s="1312">
        <f>BS438*((1+'Instrumentos Financeiros'!$L$43)^(1/12)-1)</f>
        <v>-8.6920539298939403E-14</v>
      </c>
      <c r="BS439" s="1312">
        <f t="shared" si="307"/>
        <v>-2.0188752685295841E-11</v>
      </c>
      <c r="BT439" s="1312">
        <f>IF(AND(C439&gt;$F$79,'Instrumentos Financeiros'!C439&lt;'Instrumentos Financeiros'!$F$79+'Instrumentos Financeiros'!$F$12+1),PMT(((1+'Instrumentos Financeiros'!$L$43)^(1/12)-1),$F$12,-$I$79),0)</f>
        <v>0</v>
      </c>
      <c r="BU439" s="1312">
        <f t="shared" si="308"/>
        <v>8.5802684384038801E-14</v>
      </c>
      <c r="BV439" s="1312">
        <f>BW438*((1+'Instrumentos Financeiros'!$L$43)^(1/12)-1)</f>
        <v>-8.5802684384038801E-14</v>
      </c>
      <c r="BW439" s="1312">
        <f t="shared" si="309"/>
        <v>-1.9929112137768243E-11</v>
      </c>
      <c r="BX439" s="1312">
        <f>IF(AND(C439&gt;$F$80,'Instrumentos Financeiros'!C439&lt;'Instrumentos Financeiros'!$F$80+'Instrumentos Financeiros'!$F$12+1),PMT(((1+'Instrumentos Financeiros'!$L$43)^(1/12)-1),$F$12,-$I$80),0)</f>
        <v>0</v>
      </c>
      <c r="BY439" s="1312">
        <f t="shared" si="310"/>
        <v>8.469920581356551E-14</v>
      </c>
      <c r="BZ439" s="1312">
        <f>CA438*((1+'Instrumentos Financeiros'!$L$43)^(1/12)-1)</f>
        <v>-8.469920581356551E-14</v>
      </c>
      <c r="CA439" s="1312">
        <f t="shared" si="311"/>
        <v>-1.9672810737288079E-11</v>
      </c>
      <c r="CB439" s="1312">
        <f>IF(AND(C439&gt;$F$83,'Instrumentos Financeiros'!C439&lt;'Instrumentos Financeiros'!$F$83+'Instrumentos Financeiros'!$F$13+1),PMT(((1+'Instrumentos Financeiros'!$P$43)^(1/12)-1),$F$13,-$I$83),0)</f>
        <v>30503.390100238979</v>
      </c>
      <c r="CC439" s="1312">
        <f t="shared" si="312"/>
        <v>30111.096577675689</v>
      </c>
      <c r="CD439" s="1312">
        <f>CE438*((1+'Instrumentos Financeiros'!$P$43)^(1/12)-1)</f>
        <v>392.29352256328866</v>
      </c>
      <c r="CE439" s="1312">
        <f t="shared" si="313"/>
        <v>60613.358265016461</v>
      </c>
      <c r="CF439" s="1312">
        <f>IF(AND(C439&gt;$F$84,'Instrumentos Financeiros'!C439&lt;'Instrumentos Financeiros'!$F$84+'Instrumentos Financeiros'!$F$13+1),PMT(((1+'Instrumentos Financeiros'!$Q$43)^(1/12)-1),$F$13,-$I$84),0)</f>
        <v>30503.390100238979</v>
      </c>
      <c r="CG439" s="1312">
        <f t="shared" si="314"/>
        <v>29723.848206072318</v>
      </c>
      <c r="CH439" s="1312">
        <f>CI438*((1+'Instrumentos Financeiros'!$Q$43)^(1/12)-1)</f>
        <v>779.54189416666236</v>
      </c>
      <c r="CI439" s="1312">
        <f t="shared" si="315"/>
        <v>150558.28572567072</v>
      </c>
      <c r="CJ439" s="1312">
        <f>IF(AND(C439&gt;$F$85,'Instrumentos Financeiros'!C439&lt;'Instrumentos Financeiros'!$F$85+'Instrumentos Financeiros'!$F$13+1),PMT(((1+'Instrumentos Financeiros'!$Q$43)^(1/12)-1),$F$13,-$I$85),0)</f>
        <v>30503.390100238979</v>
      </c>
      <c r="CK439" s="1312">
        <f t="shared" si="316"/>
        <v>29341.580101491854</v>
      </c>
      <c r="CL439" s="1312">
        <f>CM438*((1+'Instrumentos Financeiros'!$Q$43)^(1/12)-1)</f>
        <v>1161.8099987471257</v>
      </c>
      <c r="CM439" s="1312">
        <f t="shared" si="317"/>
        <v>239346.4626640293</v>
      </c>
      <c r="CN439" s="1312">
        <f>IF(AND(C439&gt;$F$86,'Instrumentos Financeiros'!C439&lt;'Instrumentos Financeiros'!$F$86+'Instrumentos Financeiros'!$F$13+1),PMT(((1+'Instrumentos Financeiros'!$Q$43)^(1/12)-1),$F$13,-$I$86),0)</f>
        <v>30503.390100238979</v>
      </c>
      <c r="CO439" s="1312">
        <f t="shared" si="318"/>
        <v>28964.228214447103</v>
      </c>
      <c r="CP439" s="1312">
        <f>CQ438*((1+'Instrumentos Financeiros'!$Q$43)^(1/12)-1)</f>
        <v>1539.161885791877</v>
      </c>
      <c r="CQ439" s="1312">
        <f t="shared" si="319"/>
        <v>326992.76564743853</v>
      </c>
      <c r="CR439" s="1312">
        <f t="shared" si="288"/>
        <v>122013.56040095592</v>
      </c>
      <c r="CS439" s="1312">
        <f t="shared" si="288"/>
        <v>118140.75309968708</v>
      </c>
      <c r="CT439" s="1312">
        <f t="shared" si="288"/>
        <v>3872.8073012688396</v>
      </c>
      <c r="CU439" s="1312">
        <f t="shared" si="288"/>
        <v>777510.8723021287</v>
      </c>
    </row>
    <row r="440" spans="3:99" x14ac:dyDescent="0.35">
      <c r="C440" s="1315">
        <f t="shared" si="289"/>
        <v>347</v>
      </c>
      <c r="D440" s="1312">
        <f>IF(AND(C440&gt;$F$59,'Instrumentos Financeiros'!C440&lt;'Instrumentos Financeiros'!$F$59+'Instrumentos Financeiros'!$F$11+1),PMT(((1+'Instrumentos Financeiros'!$G$43)^(1/12)-1),$F$11,-$I$59),0)</f>
        <v>0</v>
      </c>
      <c r="E440" s="1312">
        <f t="shared" si="286"/>
        <v>-1.3121963036091323E-11</v>
      </c>
      <c r="F440" s="1312">
        <f>G439*((1+'Instrumentos Financeiros'!$G$43)^(1/12)-1)</f>
        <v>1.3121963036091323E-11</v>
      </c>
      <c r="G440" s="1312">
        <f t="shared" si="320"/>
        <v>3.2278706510218536E-9</v>
      </c>
      <c r="H440" s="1312">
        <f>IF(AND(C440&gt;$F$60,'Instrumentos Financeiros'!C440&lt;'Instrumentos Financeiros'!$F$60+'Instrumentos Financeiros'!$F$11+1),PMT(((1+'Instrumentos Financeiros'!$G$43)^(1/12)-1),$F$11,-$I$60),0)</f>
        <v>0</v>
      </c>
      <c r="I440" s="1312">
        <f t="shared" si="272"/>
        <v>0</v>
      </c>
      <c r="J440" s="1312">
        <f>K439*((1+'Instrumentos Financeiros'!$G$43)^(1/12)-1)</f>
        <v>0</v>
      </c>
      <c r="K440" s="1312">
        <f t="shared" si="290"/>
        <v>0</v>
      </c>
      <c r="L440" s="1312">
        <f>IF(AND(C440&gt;$F$61,'Instrumentos Financeiros'!C440&lt;'Instrumentos Financeiros'!$F$61+'Instrumentos Financeiros'!$F$11+1),PMT(((1+'Instrumentos Financeiros'!$G$43)^(1/12)-1),$F$11,-$I$61),0)</f>
        <v>0</v>
      </c>
      <c r="M440" s="1312">
        <f t="shared" si="273"/>
        <v>0</v>
      </c>
      <c r="N440" s="1312">
        <f>O439*((1+'Instrumentos Financeiros'!$G$43)^(1/12)-1)</f>
        <v>0</v>
      </c>
      <c r="O440" s="1312">
        <f t="shared" si="291"/>
        <v>0</v>
      </c>
      <c r="P440" s="1312">
        <f>IF(AND(C440&gt;$F$62,'Instrumentos Financeiros'!C440&lt;'Instrumentos Financeiros'!$F$62+'Instrumentos Financeiros'!$F$11+1),PMT(((1+'Instrumentos Financeiros'!$H$43)^(1/12)-1),$F$11,-$I$62),0)</f>
        <v>0</v>
      </c>
      <c r="Q440" s="1312">
        <f t="shared" si="274"/>
        <v>0</v>
      </c>
      <c r="R440" s="1312">
        <f>S439*((1+'Instrumentos Financeiros'!$H$43)^(1/12)-1)</f>
        <v>0</v>
      </c>
      <c r="S440" s="1312">
        <f t="shared" si="292"/>
        <v>0</v>
      </c>
      <c r="T440" s="1312">
        <f>IF(AND(C440&gt;$F$63,'Instrumentos Financeiros'!C440&lt;'Instrumentos Financeiros'!$F$63+'Instrumentos Financeiros'!$F$11+1),PMT(((1+'Instrumentos Financeiros'!$H$43)^(1/12)-1),$F$11,-$I$63),0)</f>
        <v>0</v>
      </c>
      <c r="U440" s="1312">
        <f t="shared" si="275"/>
        <v>0</v>
      </c>
      <c r="V440" s="1312">
        <f>W439*((1+'Instrumentos Financeiros'!$H$43)^(1/12)-1)</f>
        <v>0</v>
      </c>
      <c r="W440" s="1312">
        <f t="shared" si="293"/>
        <v>0</v>
      </c>
      <c r="X440" s="1312">
        <f>IF(AND(C440&gt;$F$64,'Instrumentos Financeiros'!C440&lt;'Instrumentos Financeiros'!$F$64+'Instrumentos Financeiros'!$F$11+1),PMT(((1+'Instrumentos Financeiros'!$H$43)^(1/12)-1),$F$11,-$I$64),0)</f>
        <v>0</v>
      </c>
      <c r="Y440" s="1312">
        <f t="shared" si="276"/>
        <v>0</v>
      </c>
      <c r="Z440" s="1312">
        <f>AA439*((1+'Instrumentos Financeiros'!$H$43)^(1/12)-1)</f>
        <v>0</v>
      </c>
      <c r="AA440" s="1312">
        <f t="shared" si="294"/>
        <v>0</v>
      </c>
      <c r="AB440" s="1312">
        <f>IF(AND(C440&gt;$F$65,'Instrumentos Financeiros'!C440&lt;'Instrumentos Financeiros'!$F$65+'Instrumentos Financeiros'!$F$11+1),PMT(((1+'Instrumentos Financeiros'!$H$43)^(1/12)-1),$F$11,-$I$65),0)</f>
        <v>0</v>
      </c>
      <c r="AC440" s="1312">
        <f t="shared" si="277"/>
        <v>3.2536354915034406E-11</v>
      </c>
      <c r="AD440" s="1312">
        <f>AE439*((1+'Instrumentos Financeiros'!$H$43)^(1/12)-1)</f>
        <v>-3.2536354915034406E-11</v>
      </c>
      <c r="AE440" s="1312">
        <f t="shared" si="295"/>
        <v>-7.5571139797179609E-9</v>
      </c>
      <c r="AF440" s="1312">
        <f>IF(AND(C440&gt;$F$66,'Instrumentos Financeiros'!C440&lt;'Instrumentos Financeiros'!$F$66+'Instrumentos Financeiros'!$F$11+1),PMT(((1+'Instrumentos Financeiros'!$I$43)^(1/12)-1),$F$11,-$I$66),0)</f>
        <v>0</v>
      </c>
      <c r="AG440" s="1312">
        <f t="shared" si="278"/>
        <v>3.2117916136949593E-11</v>
      </c>
      <c r="AH440" s="1312">
        <f>AI439*((1+'Instrumentos Financeiros'!$I$43)^(1/12)-1)</f>
        <v>-3.2117916136949593E-11</v>
      </c>
      <c r="AI440" s="1312">
        <f t="shared" si="296"/>
        <v>-7.4599245573693722E-9</v>
      </c>
      <c r="AJ440" s="1312">
        <f>IF(AND(C440&gt;$F$67,'Instrumentos Financeiros'!C440&lt;'Instrumentos Financeiros'!$F$67+'Instrumentos Financeiros'!$F$11+1),PMT(((1+'Instrumentos Financeiros'!$I$43)^(1/12)-1),$F$11,-$I$67),0)</f>
        <v>0</v>
      </c>
      <c r="AK440" s="1312">
        <f t="shared" si="279"/>
        <v>3.1704858754889697E-11</v>
      </c>
      <c r="AL440" s="1312">
        <f>AM439*((1+'Instrumentos Financeiros'!$I$43)^(1/12)-1)</f>
        <v>-3.1704858754889697E-11</v>
      </c>
      <c r="AM440" s="1312">
        <f t="shared" si="297"/>
        <v>-7.3639850544796934E-9</v>
      </c>
      <c r="AN440" s="1312">
        <f>IF(AND(C440&gt;$F$68,'Instrumentos Financeiros'!C440&lt;'Instrumentos Financeiros'!$F$68+'Instrumentos Financeiros'!$F$11+1),PMT(((1+'Instrumentos Financeiros'!$I$43)^(1/12)-1),$F$11,-$I$68),0)</f>
        <v>0</v>
      </c>
      <c r="AO440" s="1312">
        <f t="shared" si="280"/>
        <v>3.1297113560586523E-11</v>
      </c>
      <c r="AP440" s="1312">
        <f>AQ439*((1+'Instrumentos Financeiros'!$I$43)^(1/12)-1)</f>
        <v>-3.1297113560586523E-11</v>
      </c>
      <c r="AQ440" s="1312">
        <f t="shared" si="298"/>
        <v>-7.269279396268193E-9</v>
      </c>
      <c r="AR440" s="1312">
        <f>IF(AND(C440&gt;$F$69,'Instrumentos Financeiros'!C440&lt;'Instrumentos Financeiros'!$F$69+'Instrumentos Financeiros'!$F$11+1),PMT(((1+'Instrumentos Financeiros'!$I$43)^(1/12)-1),$F$11,-$I$69),0)</f>
        <v>0</v>
      </c>
      <c r="AS440" s="1312">
        <f t="shared" si="281"/>
        <v>0</v>
      </c>
      <c r="AT440" s="1312">
        <f>AU439*((1+'Instrumentos Financeiros'!$I$43)^(1/12)-1)</f>
        <v>0</v>
      </c>
      <c r="AU440" s="1312">
        <f t="shared" si="299"/>
        <v>0</v>
      </c>
      <c r="AV440" s="1312">
        <f>IF(AND(C440&gt;$F$70,'Instrumentos Financeiros'!C440&lt;'Instrumentos Financeiros'!$F$70+'Instrumentos Financeiros'!$F$11+1),PMT(((1+'Instrumentos Financeiros'!$J$43)^(1/12)-1),$F$11,-$I$70),0)</f>
        <v>0</v>
      </c>
      <c r="AW440" s="1312">
        <f t="shared" si="282"/>
        <v>0</v>
      </c>
      <c r="AX440" s="1312">
        <f>AY439*((1+'Instrumentos Financeiros'!$J$43)^(1/12)-1)</f>
        <v>0</v>
      </c>
      <c r="AY440" s="1312">
        <f t="shared" si="300"/>
        <v>0</v>
      </c>
      <c r="AZ440" s="1312">
        <f>IF(AND(C440&gt;$F$71,'Instrumentos Financeiros'!C440&lt;'Instrumentos Financeiros'!$F$71+'Instrumentos Financeiros'!$F$11+1),PMT(((1+'Instrumentos Financeiros'!$J$43)^(1/12)-1),$F$11,-$I$71),0)</f>
        <v>0</v>
      </c>
      <c r="BA440" s="1312">
        <f t="shared" si="283"/>
        <v>0</v>
      </c>
      <c r="BB440" s="1312">
        <f>BC439*((1+'Instrumentos Financeiros'!$J$43)^(1/12)-1)</f>
        <v>0</v>
      </c>
      <c r="BC440" s="1312">
        <f t="shared" si="301"/>
        <v>0</v>
      </c>
      <c r="BD440" s="1312">
        <f>IF(AND(C440&gt;$F$72,'Instrumentos Financeiros'!C440&lt;'Instrumentos Financeiros'!$F$72+'Instrumentos Financeiros'!$F$11+1),PMT(((1+'Instrumentos Financeiros'!$J$43)^(1/12)-1),$F$11,-'Instrumentos Financeiros'!$G$7*$G$72),0)</f>
        <v>0</v>
      </c>
      <c r="BE440" s="1312">
        <f t="shared" si="284"/>
        <v>0</v>
      </c>
      <c r="BF440" s="1312">
        <f>BG439*((1+'Instrumentos Financeiros'!$J$43)^(1/12)-1)</f>
        <v>0</v>
      </c>
      <c r="BG440" s="1312">
        <f t="shared" si="302"/>
        <v>0</v>
      </c>
      <c r="BH440" s="1312">
        <f>IF(AND(C440&gt;$F$73,'Instrumentos Financeiros'!C440&lt;'Instrumentos Financeiros'!$F$73+'Instrumentos Financeiros'!$F$11+1),PMT(((1+'Instrumentos Financeiros'!$J$43)^(1/12)-1),$F$11,-$I$73),0)</f>
        <v>0</v>
      </c>
      <c r="BI440" s="1312">
        <f t="shared" si="285"/>
        <v>0</v>
      </c>
      <c r="BJ440" s="1312">
        <f>BK439*((1+'Instrumentos Financeiros'!$J$43)^(1/12)-1)</f>
        <v>0</v>
      </c>
      <c r="BK440" s="1312">
        <f t="shared" si="303"/>
        <v>0</v>
      </c>
      <c r="BL440" s="1312">
        <f>IF(AND(C440&gt;$F$77,'Instrumentos Financeiros'!C440&lt;'Instrumentos Financeiros'!$F$77+'Instrumentos Financeiros'!$F$12+1),PMT(((1+'Instrumentos Financeiros'!$K$43)^(1/12)-1),$F$12,-$I$77),0)</f>
        <v>0</v>
      </c>
      <c r="BM440" s="1312">
        <f t="shared" si="304"/>
        <v>8.8433699796963445E-14</v>
      </c>
      <c r="BN440" s="1312">
        <f>BO439*((1+'Instrumentos Financeiros'!$K$43)^(1/12)-1)</f>
        <v>-8.8433699796963445E-14</v>
      </c>
      <c r="BO440" s="1312">
        <f t="shared" si="305"/>
        <v>-2.0540209582758269E-11</v>
      </c>
      <c r="BP440" s="1312">
        <f>IF(AND(C440&gt;$F$78,'Instrumentos Financeiros'!C440&lt;'Instrumentos Financeiros'!$F$78+'Instrumentos Financeiros'!$F$12+1),PMT(((1+'Instrumentos Financeiros'!$L$43)^(1/12)-1),$F$12,-$I$78),0)</f>
        <v>0</v>
      </c>
      <c r="BQ440" s="1312">
        <f t="shared" si="306"/>
        <v>8.7296384649609246E-14</v>
      </c>
      <c r="BR440" s="1312">
        <f>BS439*((1+'Instrumentos Financeiros'!$L$43)^(1/12)-1)</f>
        <v>-8.7296384649609246E-14</v>
      </c>
      <c r="BS440" s="1312">
        <f t="shared" si="307"/>
        <v>-2.027604906994545E-11</v>
      </c>
      <c r="BT440" s="1312">
        <f>IF(AND(C440&gt;$F$79,'Instrumentos Financeiros'!C440&lt;'Instrumentos Financeiros'!$F$79+'Instrumentos Financeiros'!$F$12+1),PMT(((1+'Instrumentos Financeiros'!$L$43)^(1/12)-1),$F$12,-$I$79),0)</f>
        <v>0</v>
      </c>
      <c r="BU440" s="1312">
        <f t="shared" si="308"/>
        <v>8.6173696117983795E-14</v>
      </c>
      <c r="BV440" s="1312">
        <f>BW439*((1+'Instrumentos Financeiros'!$L$43)^(1/12)-1)</f>
        <v>-8.6173696117983795E-14</v>
      </c>
      <c r="BW440" s="1312">
        <f t="shared" si="309"/>
        <v>-2.0015285833886228E-11</v>
      </c>
      <c r="BX440" s="1312">
        <f>IF(AND(C440&gt;$F$80,'Instrumentos Financeiros'!C440&lt;'Instrumentos Financeiros'!$F$80+'Instrumentos Financeiros'!$F$12+1),PMT(((1+'Instrumentos Financeiros'!$L$43)^(1/12)-1),$F$12,-$I$80),0)</f>
        <v>0</v>
      </c>
      <c r="BY440" s="1312">
        <f t="shared" si="310"/>
        <v>8.5065446094254196E-14</v>
      </c>
      <c r="BZ440" s="1312">
        <f>CA439*((1+'Instrumentos Financeiros'!$L$43)^(1/12)-1)</f>
        <v>-8.5065446094254196E-14</v>
      </c>
      <c r="CA440" s="1312">
        <f t="shared" si="311"/>
        <v>-1.9757876183382333E-11</v>
      </c>
      <c r="CB440" s="1312">
        <f>IF(AND(C440&gt;$F$83,'Instrumentos Financeiros'!C440&lt;'Instrumentos Financeiros'!$F$83+'Instrumentos Financeiros'!$F$13+1),PMT(((1+'Instrumentos Financeiros'!$P$43)^(1/12)-1),$F$13,-$I$83),0)</f>
        <v>30503.390100238979</v>
      </c>
      <c r="CC440" s="1312">
        <f t="shared" si="312"/>
        <v>30241.297284477198</v>
      </c>
      <c r="CD440" s="1312">
        <f>CE439*((1+'Instrumentos Financeiros'!$P$43)^(1/12)-1)</f>
        <v>262.09281576178319</v>
      </c>
      <c r="CE440" s="1312">
        <f t="shared" si="313"/>
        <v>30372.060980539263</v>
      </c>
      <c r="CF440" s="1312">
        <f>IF(AND(C440&gt;$F$84,'Instrumentos Financeiros'!C440&lt;'Instrumentos Financeiros'!$F$84+'Instrumentos Financeiros'!$F$13+1),PMT(((1+'Instrumentos Financeiros'!$Q$43)^(1/12)-1),$F$13,-$I$84),0)</f>
        <v>30503.390100238979</v>
      </c>
      <c r="CG440" s="1312">
        <f t="shared" si="314"/>
        <v>29852.374446732731</v>
      </c>
      <c r="CH440" s="1312">
        <f>CI439*((1+'Instrumentos Financeiros'!$Q$43)^(1/12)-1)</f>
        <v>651.01565350624969</v>
      </c>
      <c r="CI440" s="1312">
        <f t="shared" si="315"/>
        <v>120705.91127893799</v>
      </c>
      <c r="CJ440" s="1312">
        <f>IF(AND(C440&gt;$F$85,'Instrumentos Financeiros'!C440&lt;'Instrumentos Financeiros'!$F$85+'Instrumentos Financeiros'!$F$13+1),PMT(((1+'Instrumentos Financeiros'!$Q$43)^(1/12)-1),$F$13,-$I$85),0)</f>
        <v>30503.390100238979</v>
      </c>
      <c r="CK440" s="1312">
        <f t="shared" si="316"/>
        <v>29468.453410739567</v>
      </c>
      <c r="CL440" s="1312">
        <f>CM439*((1+'Instrumentos Financeiros'!$Q$43)^(1/12)-1)</f>
        <v>1034.9366894994118</v>
      </c>
      <c r="CM440" s="1312">
        <f t="shared" si="317"/>
        <v>209878.00925328973</v>
      </c>
      <c r="CN440" s="1312">
        <f>IF(AND(C440&gt;$F$86,'Instrumentos Financeiros'!C440&lt;'Instrumentos Financeiros'!$F$86+'Instrumentos Financeiros'!$F$13+1),PMT(((1+'Instrumentos Financeiros'!$Q$43)^(1/12)-1),$F$13,-$I$86),0)</f>
        <v>30503.390100238979</v>
      </c>
      <c r="CO440" s="1312">
        <f t="shared" si="318"/>
        <v>29089.469850059839</v>
      </c>
      <c r="CP440" s="1312">
        <f>CQ439*((1+'Instrumentos Financeiros'!$Q$43)^(1/12)-1)</f>
        <v>1413.9202501791424</v>
      </c>
      <c r="CQ440" s="1312">
        <f t="shared" si="319"/>
        <v>297903.2957973787</v>
      </c>
      <c r="CR440" s="1312">
        <f t="shared" si="288"/>
        <v>122013.56040095592</v>
      </c>
      <c r="CS440" s="1312">
        <f t="shared" si="288"/>
        <v>118651.59499200946</v>
      </c>
      <c r="CT440" s="1312">
        <f t="shared" si="288"/>
        <v>3361.9654089464721</v>
      </c>
      <c r="CU440" s="1312">
        <f t="shared" si="288"/>
        <v>658859.27731011924</v>
      </c>
    </row>
    <row r="441" spans="3:99" x14ac:dyDescent="0.35">
      <c r="C441" s="1315">
        <f t="shared" si="289"/>
        <v>348</v>
      </c>
      <c r="D441" s="1312">
        <f>IF(AND(C441&gt;$F$59,'Instrumentos Financeiros'!C441&lt;'Instrumentos Financeiros'!$F$59+'Instrumentos Financeiros'!$F$11+1),PMT(((1+'Instrumentos Financeiros'!$G$43)^(1/12)-1),$F$11,-$I$59),0)</f>
        <v>0</v>
      </c>
      <c r="E441" s="1312">
        <f t="shared" si="286"/>
        <v>-1.3175524272328558E-11</v>
      </c>
      <c r="F441" s="1312">
        <f>G440*((1+'Instrumentos Financeiros'!$G$43)^(1/12)-1)</f>
        <v>1.3175524272328558E-11</v>
      </c>
      <c r="G441" s="1312">
        <f t="shared" si="320"/>
        <v>3.2410461752941819E-9</v>
      </c>
      <c r="H441" s="1312">
        <f>IF(AND(C441&gt;$F$60,'Instrumentos Financeiros'!C441&lt;'Instrumentos Financeiros'!$F$60+'Instrumentos Financeiros'!$F$11+1),PMT(((1+'Instrumentos Financeiros'!$G$43)^(1/12)-1),$F$11,-$I$60),0)</f>
        <v>0</v>
      </c>
      <c r="I441" s="1312">
        <f t="shared" si="272"/>
        <v>0</v>
      </c>
      <c r="J441" s="1312">
        <f>K440*((1+'Instrumentos Financeiros'!$G$43)^(1/12)-1)</f>
        <v>0</v>
      </c>
      <c r="K441" s="1312">
        <f t="shared" si="290"/>
        <v>0</v>
      </c>
      <c r="L441" s="1312">
        <f>IF(AND(C441&gt;$F$61,'Instrumentos Financeiros'!C441&lt;'Instrumentos Financeiros'!$F$61+'Instrumentos Financeiros'!$F$11+1),PMT(((1+'Instrumentos Financeiros'!$G$43)^(1/12)-1),$F$11,-$I$61),0)</f>
        <v>0</v>
      </c>
      <c r="M441" s="1312">
        <f t="shared" si="273"/>
        <v>0</v>
      </c>
      <c r="N441" s="1312">
        <f>O440*((1+'Instrumentos Financeiros'!$G$43)^(1/12)-1)</f>
        <v>0</v>
      </c>
      <c r="O441" s="1312">
        <f t="shared" si="291"/>
        <v>0</v>
      </c>
      <c r="P441" s="1312">
        <f>IF(AND(C441&gt;$F$62,'Instrumentos Financeiros'!C441&lt;'Instrumentos Financeiros'!$F$62+'Instrumentos Financeiros'!$F$11+1),PMT(((1+'Instrumentos Financeiros'!$H$43)^(1/12)-1),$F$11,-$I$62),0)</f>
        <v>0</v>
      </c>
      <c r="Q441" s="1312">
        <f t="shared" si="274"/>
        <v>0</v>
      </c>
      <c r="R441" s="1312">
        <f>S440*((1+'Instrumentos Financeiros'!$H$43)^(1/12)-1)</f>
        <v>0</v>
      </c>
      <c r="S441" s="1312">
        <f t="shared" si="292"/>
        <v>0</v>
      </c>
      <c r="T441" s="1312">
        <f>IF(AND(C441&gt;$F$63,'Instrumentos Financeiros'!C441&lt;'Instrumentos Financeiros'!$F$63+'Instrumentos Financeiros'!$F$11+1),PMT(((1+'Instrumentos Financeiros'!$H$43)^(1/12)-1),$F$11,-$I$63),0)</f>
        <v>0</v>
      </c>
      <c r="U441" s="1312">
        <f t="shared" si="275"/>
        <v>0</v>
      </c>
      <c r="V441" s="1312">
        <f>W440*((1+'Instrumentos Financeiros'!$H$43)^(1/12)-1)</f>
        <v>0</v>
      </c>
      <c r="W441" s="1312">
        <f t="shared" si="293"/>
        <v>0</v>
      </c>
      <c r="X441" s="1312">
        <f>IF(AND(C441&gt;$F$64,'Instrumentos Financeiros'!C441&lt;'Instrumentos Financeiros'!$F$64+'Instrumentos Financeiros'!$F$11+1),PMT(((1+'Instrumentos Financeiros'!$H$43)^(1/12)-1),$F$11,-$I$64),0)</f>
        <v>0</v>
      </c>
      <c r="Y441" s="1312">
        <f t="shared" si="276"/>
        <v>0</v>
      </c>
      <c r="Z441" s="1312">
        <f>AA440*((1+'Instrumentos Financeiros'!$H$43)^(1/12)-1)</f>
        <v>0</v>
      </c>
      <c r="AA441" s="1312">
        <f t="shared" si="294"/>
        <v>0</v>
      </c>
      <c r="AB441" s="1312">
        <f>IF(AND(C441&gt;$F$65,'Instrumentos Financeiros'!C441&lt;'Instrumentos Financeiros'!$F$65+'Instrumentos Financeiros'!$F$11+1),PMT(((1+'Instrumentos Financeiros'!$H$43)^(1/12)-1),$F$11,-$I$65),0)</f>
        <v>0</v>
      </c>
      <c r="AC441" s="1312">
        <f t="shared" si="277"/>
        <v>3.2677042465079426E-11</v>
      </c>
      <c r="AD441" s="1312">
        <f>AE440*((1+'Instrumentos Financeiros'!$H$43)^(1/12)-1)</f>
        <v>-3.2677042465079426E-11</v>
      </c>
      <c r="AE441" s="1312">
        <f t="shared" si="295"/>
        <v>-7.5897910221830402E-9</v>
      </c>
      <c r="AF441" s="1312">
        <f>IF(AND(C441&gt;$F$66,'Instrumentos Financeiros'!C441&lt;'Instrumentos Financeiros'!$F$66+'Instrumentos Financeiros'!$F$11+1),PMT(((1+'Instrumentos Financeiros'!$I$43)^(1/12)-1),$F$11,-$I$66),0)</f>
        <v>0</v>
      </c>
      <c r="AG441" s="1312">
        <f t="shared" si="278"/>
        <v>3.2256794353199037E-11</v>
      </c>
      <c r="AH441" s="1312">
        <f>AI440*((1+'Instrumentos Financeiros'!$I$43)^(1/12)-1)</f>
        <v>-3.2256794353199037E-11</v>
      </c>
      <c r="AI441" s="1312">
        <f t="shared" si="296"/>
        <v>-7.4921813517225715E-9</v>
      </c>
      <c r="AJ441" s="1312">
        <f>IF(AND(C441&gt;$F$67,'Instrumentos Financeiros'!C441&lt;'Instrumentos Financeiros'!$F$67+'Instrumentos Financeiros'!$F$11+1),PMT(((1+'Instrumentos Financeiros'!$I$43)^(1/12)-1),$F$11,-$I$67),0)</f>
        <v>0</v>
      </c>
      <c r="AK441" s="1312">
        <f t="shared" si="279"/>
        <v>3.184195090655809E-11</v>
      </c>
      <c r="AL441" s="1312">
        <f>AM440*((1+'Instrumentos Financeiros'!$I$43)^(1/12)-1)</f>
        <v>-3.184195090655809E-11</v>
      </c>
      <c r="AM441" s="1312">
        <f t="shared" si="297"/>
        <v>-7.3958270053862519E-9</v>
      </c>
      <c r="AN441" s="1312">
        <f>IF(AND(C441&gt;$F$68,'Instrumentos Financeiros'!C441&lt;'Instrumentos Financeiros'!$F$68+'Instrumentos Financeiros'!$F$11+1),PMT(((1+'Instrumentos Financeiros'!$I$43)^(1/12)-1),$F$11,-$I$68),0)</f>
        <v>0</v>
      </c>
      <c r="AO441" s="1312">
        <f t="shared" si="280"/>
        <v>3.1432442617631106E-11</v>
      </c>
      <c r="AP441" s="1312">
        <f>AQ440*((1+'Instrumentos Financeiros'!$I$43)^(1/12)-1)</f>
        <v>-3.1432442617631106E-11</v>
      </c>
      <c r="AQ441" s="1312">
        <f t="shared" si="298"/>
        <v>-7.3007118388858237E-9</v>
      </c>
      <c r="AR441" s="1312">
        <f>IF(AND(C441&gt;$F$69,'Instrumentos Financeiros'!C441&lt;'Instrumentos Financeiros'!$F$69+'Instrumentos Financeiros'!$F$11+1),PMT(((1+'Instrumentos Financeiros'!$I$43)^(1/12)-1),$F$11,-$I$69),0)</f>
        <v>0</v>
      </c>
      <c r="AS441" s="1312">
        <f t="shared" si="281"/>
        <v>0</v>
      </c>
      <c r="AT441" s="1312">
        <f>AU440*((1+'Instrumentos Financeiros'!$I$43)^(1/12)-1)</f>
        <v>0</v>
      </c>
      <c r="AU441" s="1312">
        <f t="shared" si="299"/>
        <v>0</v>
      </c>
      <c r="AV441" s="1312">
        <f>IF(AND(C441&gt;$F$70,'Instrumentos Financeiros'!C441&lt;'Instrumentos Financeiros'!$F$70+'Instrumentos Financeiros'!$F$11+1),PMT(((1+'Instrumentos Financeiros'!$J$43)^(1/12)-1),$F$11,-$I$70),0)</f>
        <v>0</v>
      </c>
      <c r="AW441" s="1312">
        <f t="shared" si="282"/>
        <v>0</v>
      </c>
      <c r="AX441" s="1312">
        <f>AY440*((1+'Instrumentos Financeiros'!$J$43)^(1/12)-1)</f>
        <v>0</v>
      </c>
      <c r="AY441" s="1312">
        <f t="shared" si="300"/>
        <v>0</v>
      </c>
      <c r="AZ441" s="1312">
        <f>IF(AND(C441&gt;$F$71,'Instrumentos Financeiros'!C441&lt;'Instrumentos Financeiros'!$F$71+'Instrumentos Financeiros'!$F$11+1),PMT(((1+'Instrumentos Financeiros'!$J$43)^(1/12)-1),$F$11,-$I$71),0)</f>
        <v>0</v>
      </c>
      <c r="BA441" s="1312">
        <f t="shared" si="283"/>
        <v>0</v>
      </c>
      <c r="BB441" s="1312">
        <f>BC440*((1+'Instrumentos Financeiros'!$J$43)^(1/12)-1)</f>
        <v>0</v>
      </c>
      <c r="BC441" s="1312">
        <f t="shared" si="301"/>
        <v>0</v>
      </c>
      <c r="BD441" s="1312">
        <f>IF(AND(C441&gt;$F$72,'Instrumentos Financeiros'!C441&lt;'Instrumentos Financeiros'!$F$72+'Instrumentos Financeiros'!$F$11+1),PMT(((1+'Instrumentos Financeiros'!$J$43)^(1/12)-1),$F$11,-'Instrumentos Financeiros'!$G$7*$G$72),0)</f>
        <v>0</v>
      </c>
      <c r="BE441" s="1312">
        <f t="shared" si="284"/>
        <v>0</v>
      </c>
      <c r="BF441" s="1312">
        <f>BG440*((1+'Instrumentos Financeiros'!$J$43)^(1/12)-1)</f>
        <v>0</v>
      </c>
      <c r="BG441" s="1312">
        <f t="shared" si="302"/>
        <v>0</v>
      </c>
      <c r="BH441" s="1312">
        <f>IF(AND(C441&gt;$F$73,'Instrumentos Financeiros'!C441&lt;'Instrumentos Financeiros'!$F$73+'Instrumentos Financeiros'!$F$11+1),PMT(((1+'Instrumentos Financeiros'!$J$43)^(1/12)-1),$F$11,-$I$73),0)</f>
        <v>0</v>
      </c>
      <c r="BI441" s="1312">
        <f t="shared" si="285"/>
        <v>0</v>
      </c>
      <c r="BJ441" s="1312">
        <f>BK440*((1+'Instrumentos Financeiros'!$J$43)^(1/12)-1)</f>
        <v>0</v>
      </c>
      <c r="BK441" s="1312">
        <f t="shared" si="303"/>
        <v>0</v>
      </c>
      <c r="BL441" s="1312">
        <f>IF(AND(C441&gt;$F$77,'Instrumentos Financeiros'!C441&lt;'Instrumentos Financeiros'!$F$77+'Instrumentos Financeiros'!$F$12+1),PMT(((1+'Instrumentos Financeiros'!$K$43)^(1/12)-1),$F$12,-$I$77),0)</f>
        <v>0</v>
      </c>
      <c r="BM441" s="1312">
        <f t="shared" si="304"/>
        <v>8.8816088069968862E-14</v>
      </c>
      <c r="BN441" s="1312">
        <f>BO440*((1+'Instrumentos Financeiros'!$K$43)^(1/12)-1)</f>
        <v>-8.8816088069968862E-14</v>
      </c>
      <c r="BO441" s="1312">
        <f t="shared" si="305"/>
        <v>-2.0629025670828239E-11</v>
      </c>
      <c r="BP441" s="1312">
        <f>IF(AND(C441&gt;$F$78,'Instrumentos Financeiros'!C441&lt;'Instrumentos Financeiros'!$F$78+'Instrumentos Financeiros'!$F$12+1),PMT(((1+'Instrumentos Financeiros'!$L$43)^(1/12)-1),$F$12,-$I$78),0)</f>
        <v>0</v>
      </c>
      <c r="BQ441" s="1312">
        <f t="shared" si="306"/>
        <v>8.7673855159634512E-14</v>
      </c>
      <c r="BR441" s="1312">
        <f>BS440*((1+'Instrumentos Financeiros'!$L$43)^(1/12)-1)</f>
        <v>-8.7673855159634512E-14</v>
      </c>
      <c r="BS441" s="1312">
        <f t="shared" si="307"/>
        <v>-2.0363722925105085E-11</v>
      </c>
      <c r="BT441" s="1312">
        <f>IF(AND(C441&gt;$F$79,'Instrumentos Financeiros'!C441&lt;'Instrumentos Financeiros'!$F$79+'Instrumentos Financeiros'!$F$12+1),PMT(((1+'Instrumentos Financeiros'!$L$43)^(1/12)-1),$F$12,-$I$79),0)</f>
        <v>0</v>
      </c>
      <c r="BU441" s="1312">
        <f t="shared" si="308"/>
        <v>8.6546312110673275E-14</v>
      </c>
      <c r="BV441" s="1312">
        <f>BW440*((1+'Instrumentos Financeiros'!$L$43)^(1/12)-1)</f>
        <v>-8.6546312110673275E-14</v>
      </c>
      <c r="BW441" s="1312">
        <f t="shared" si="309"/>
        <v>-2.0101832145996901E-11</v>
      </c>
      <c r="BX441" s="1312">
        <f>IF(AND(C441&gt;$F$80,'Instrumentos Financeiros'!C441&lt;'Instrumentos Financeiros'!$F$80+'Instrumentos Financeiros'!$F$12+1),PMT(((1+'Instrumentos Financeiros'!$L$43)^(1/12)-1),$F$12,-$I$80),0)</f>
        <v>0</v>
      </c>
      <c r="BY441" s="1312">
        <f t="shared" si="310"/>
        <v>8.5433270001871986E-14</v>
      </c>
      <c r="BZ441" s="1312">
        <f>CA440*((1+'Instrumentos Financeiros'!$L$43)^(1/12)-1)</f>
        <v>-8.5433270001871986E-14</v>
      </c>
      <c r="CA441" s="1312">
        <f t="shared" si="311"/>
        <v>-1.9843309453384205E-11</v>
      </c>
      <c r="CB441" s="1312">
        <f>IF(AND(C441&gt;$F$83,'Instrumentos Financeiros'!C441&lt;'Instrumentos Financeiros'!$F$83+'Instrumentos Financeiros'!$F$13+1),PMT(((1+'Instrumentos Financeiros'!$P$43)^(1/12)-1),$F$13,-$I$83),0)</f>
        <v>30503.390100238979</v>
      </c>
      <c r="CC441" s="1312">
        <f t="shared" si="312"/>
        <v>30372.060980541079</v>
      </c>
      <c r="CD441" s="1312">
        <f>CE440*((1+'Instrumentos Financeiros'!$P$43)^(1/12)-1)</f>
        <v>131.32911969790129</v>
      </c>
      <c r="CE441" s="1312">
        <f t="shared" si="313"/>
        <v>-1.8153514247387648E-9</v>
      </c>
      <c r="CF441" s="1312">
        <f>IF(AND(C441&gt;$F$84,'Instrumentos Financeiros'!C441&lt;'Instrumentos Financeiros'!$F$84+'Instrumentos Financeiros'!$F$13+1),PMT(((1+'Instrumentos Financeiros'!$Q$43)^(1/12)-1),$F$13,-$I$84),0)</f>
        <v>30503.390100238979</v>
      </c>
      <c r="CG441" s="1312">
        <f t="shared" si="314"/>
        <v>29981.45643624584</v>
      </c>
      <c r="CH441" s="1312">
        <f>CI440*((1+'Instrumentos Financeiros'!$Q$43)^(1/12)-1)</f>
        <v>521.93366399313879</v>
      </c>
      <c r="CI441" s="1312">
        <f t="shared" si="315"/>
        <v>90724.454842692154</v>
      </c>
      <c r="CJ441" s="1312">
        <f>IF(AND(C441&gt;$F$85,'Instrumentos Financeiros'!C441&lt;'Instrumentos Financeiros'!$F$85+'Instrumentos Financeiros'!$F$13+1),PMT(((1+'Instrumentos Financeiros'!$Q$43)^(1/12)-1),$F$13,-$I$85),0)</f>
        <v>30503.390100238979</v>
      </c>
      <c r="CK441" s="1312">
        <f t="shared" si="316"/>
        <v>29595.8753215467</v>
      </c>
      <c r="CL441" s="1312">
        <f>CM440*((1+'Instrumentos Financeiros'!$Q$43)^(1/12)-1)</f>
        <v>907.51477869228006</v>
      </c>
      <c r="CM441" s="1312">
        <f t="shared" si="317"/>
        <v>180282.13393174304</v>
      </c>
      <c r="CN441" s="1312">
        <f>IF(AND(C441&gt;$F$86,'Instrumentos Financeiros'!C441&lt;'Instrumentos Financeiros'!$F$86+'Instrumentos Financeiros'!$F$13+1),PMT(((1+'Instrumentos Financeiros'!$Q$43)^(1/12)-1),$F$13,-$I$86),0)</f>
        <v>30503.390100238979</v>
      </c>
      <c r="CO441" s="1312">
        <f t="shared" si="318"/>
        <v>29215.25303185757</v>
      </c>
      <c r="CP441" s="1312">
        <f>CQ440*((1+'Instrumentos Financeiros'!$Q$43)^(1/12)-1)</f>
        <v>1288.1370683814096</v>
      </c>
      <c r="CQ441" s="1312">
        <f t="shared" si="319"/>
        <v>268688.04276552115</v>
      </c>
      <c r="CR441" s="1312">
        <f t="shared" si="288"/>
        <v>122013.56040095592</v>
      </c>
      <c r="CS441" s="1312">
        <f t="shared" si="288"/>
        <v>119164.6457701913</v>
      </c>
      <c r="CT441" s="1312">
        <f t="shared" si="288"/>
        <v>2848.9146307646142</v>
      </c>
      <c r="CU441" s="1312">
        <f t="shared" si="288"/>
        <v>539694.63153992791</v>
      </c>
    </row>
    <row r="442" spans="3:99" x14ac:dyDescent="0.35">
      <c r="C442" s="1315">
        <f t="shared" si="289"/>
        <v>349</v>
      </c>
      <c r="D442" s="1312">
        <f>IF(AND(C442&gt;$F$59,'Instrumentos Financeiros'!C442&lt;'Instrumentos Financeiros'!$F$59+'Instrumentos Financeiros'!$F$11+1),PMT(((1+'Instrumentos Financeiros'!$G$43)^(1/12)-1),$F$11,-$I$59),0)</f>
        <v>0</v>
      </c>
      <c r="E442" s="1312">
        <f t="shared" si="286"/>
        <v>-1.3229304134850545E-11</v>
      </c>
      <c r="F442" s="1312">
        <f>G441*((1+'Instrumentos Financeiros'!$G$43)^(1/12)-1)</f>
        <v>1.3229304134850545E-11</v>
      </c>
      <c r="G442" s="1312">
        <f t="shared" si="320"/>
        <v>3.2542754794290326E-9</v>
      </c>
      <c r="H442" s="1312">
        <f>IF(AND(C442&gt;$F$60,'Instrumentos Financeiros'!C442&lt;'Instrumentos Financeiros'!$F$60+'Instrumentos Financeiros'!$F$11+1),PMT(((1+'Instrumentos Financeiros'!$G$43)^(1/12)-1),$F$11,-$I$60),0)</f>
        <v>0</v>
      </c>
      <c r="I442" s="1312">
        <f t="shared" si="272"/>
        <v>0</v>
      </c>
      <c r="J442" s="1312">
        <f>K441*((1+'Instrumentos Financeiros'!$G$43)^(1/12)-1)</f>
        <v>0</v>
      </c>
      <c r="K442" s="1312">
        <f t="shared" si="290"/>
        <v>0</v>
      </c>
      <c r="L442" s="1312">
        <f>IF(AND(C442&gt;$F$61,'Instrumentos Financeiros'!C442&lt;'Instrumentos Financeiros'!$F$61+'Instrumentos Financeiros'!$F$11+1),PMT(((1+'Instrumentos Financeiros'!$G$43)^(1/12)-1),$F$11,-$I$61),0)</f>
        <v>0</v>
      </c>
      <c r="M442" s="1312">
        <f t="shared" si="273"/>
        <v>0</v>
      </c>
      <c r="N442" s="1312">
        <f>O441*((1+'Instrumentos Financeiros'!$G$43)^(1/12)-1)</f>
        <v>0</v>
      </c>
      <c r="O442" s="1312">
        <f t="shared" si="291"/>
        <v>0</v>
      </c>
      <c r="P442" s="1312">
        <f>IF(AND(C442&gt;$F$62,'Instrumentos Financeiros'!C442&lt;'Instrumentos Financeiros'!$F$62+'Instrumentos Financeiros'!$F$11+1),PMT(((1+'Instrumentos Financeiros'!$H$43)^(1/12)-1),$F$11,-$I$62),0)</f>
        <v>0</v>
      </c>
      <c r="Q442" s="1312">
        <f t="shared" si="274"/>
        <v>0</v>
      </c>
      <c r="R442" s="1312">
        <f>S441*((1+'Instrumentos Financeiros'!$H$43)^(1/12)-1)</f>
        <v>0</v>
      </c>
      <c r="S442" s="1312">
        <f t="shared" si="292"/>
        <v>0</v>
      </c>
      <c r="T442" s="1312">
        <f>IF(AND(C442&gt;$F$63,'Instrumentos Financeiros'!C442&lt;'Instrumentos Financeiros'!$F$63+'Instrumentos Financeiros'!$F$11+1),PMT(((1+'Instrumentos Financeiros'!$H$43)^(1/12)-1),$F$11,-$I$63),0)</f>
        <v>0</v>
      </c>
      <c r="U442" s="1312">
        <f t="shared" si="275"/>
        <v>0</v>
      </c>
      <c r="V442" s="1312">
        <f>W441*((1+'Instrumentos Financeiros'!$H$43)^(1/12)-1)</f>
        <v>0</v>
      </c>
      <c r="W442" s="1312">
        <f t="shared" si="293"/>
        <v>0</v>
      </c>
      <c r="X442" s="1312">
        <f>IF(AND(C442&gt;$F$64,'Instrumentos Financeiros'!C442&lt;'Instrumentos Financeiros'!$F$64+'Instrumentos Financeiros'!$F$11+1),PMT(((1+'Instrumentos Financeiros'!$H$43)^(1/12)-1),$F$11,-$I$64),0)</f>
        <v>0</v>
      </c>
      <c r="Y442" s="1312">
        <f t="shared" si="276"/>
        <v>0</v>
      </c>
      <c r="Z442" s="1312">
        <f>AA441*((1+'Instrumentos Financeiros'!$H$43)^(1/12)-1)</f>
        <v>0</v>
      </c>
      <c r="AA442" s="1312">
        <f t="shared" si="294"/>
        <v>0</v>
      </c>
      <c r="AB442" s="1312">
        <f>IF(AND(C442&gt;$F$65,'Instrumentos Financeiros'!C442&lt;'Instrumentos Financeiros'!$F$65+'Instrumentos Financeiros'!$F$11+1),PMT(((1+'Instrumentos Financeiros'!$H$43)^(1/12)-1),$F$11,-$I$65),0)</f>
        <v>0</v>
      </c>
      <c r="AC442" s="1312">
        <f t="shared" si="277"/>
        <v>3.2818338349610264E-11</v>
      </c>
      <c r="AD442" s="1312">
        <f>AE441*((1+'Instrumentos Financeiros'!$H$43)^(1/12)-1)</f>
        <v>-3.2818338349610264E-11</v>
      </c>
      <c r="AE442" s="1312">
        <f t="shared" si="295"/>
        <v>-7.6226093605326498E-9</v>
      </c>
      <c r="AF442" s="1312">
        <f>IF(AND(C442&gt;$F$66,'Instrumentos Financeiros'!C442&lt;'Instrumentos Financeiros'!$F$66+'Instrumentos Financeiros'!$F$11+1),PMT(((1+'Instrumentos Financeiros'!$I$43)^(1/12)-1),$F$11,-$I$66),0)</f>
        <v>0</v>
      </c>
      <c r="AG442" s="1312">
        <f t="shared" si="278"/>
        <v>3.2396273080355426E-11</v>
      </c>
      <c r="AH442" s="1312">
        <f>AI441*((1+'Instrumentos Financeiros'!$I$43)^(1/12)-1)</f>
        <v>-3.2396273080355426E-11</v>
      </c>
      <c r="AI442" s="1312">
        <f t="shared" si="296"/>
        <v>-7.5245776248029269E-9</v>
      </c>
      <c r="AJ442" s="1312">
        <f>IF(AND(C442&gt;$F$67,'Instrumentos Financeiros'!C442&lt;'Instrumentos Financeiros'!$F$67+'Instrumentos Financeiros'!$F$11+1),PMT(((1+'Instrumentos Financeiros'!$I$43)^(1/12)-1),$F$11,-$I$67),0)</f>
        <v>0</v>
      </c>
      <c r="AK442" s="1312">
        <f t="shared" si="279"/>
        <v>3.1979635846170901E-11</v>
      </c>
      <c r="AL442" s="1312">
        <f>AM441*((1+'Instrumentos Financeiros'!$I$43)^(1/12)-1)</f>
        <v>-3.1979635846170901E-11</v>
      </c>
      <c r="AM442" s="1312">
        <f t="shared" si="297"/>
        <v>-7.4278066412324232E-9</v>
      </c>
      <c r="AN442" s="1312">
        <f>IF(AND(C442&gt;$F$68,'Instrumentos Financeiros'!C442&lt;'Instrumentos Financeiros'!$F$68+'Instrumentos Financeiros'!$F$11+1),PMT(((1+'Instrumentos Financeiros'!$I$43)^(1/12)-1),$F$11,-$I$68),0)</f>
        <v>0</v>
      </c>
      <c r="AO442" s="1312">
        <f t="shared" si="280"/>
        <v>3.1568356838979906E-11</v>
      </c>
      <c r="AP442" s="1312">
        <f>AQ441*((1+'Instrumentos Financeiros'!$I$43)^(1/12)-1)</f>
        <v>-3.1568356838979906E-11</v>
      </c>
      <c r="AQ442" s="1312">
        <f t="shared" si="298"/>
        <v>-7.3322801957248038E-9</v>
      </c>
      <c r="AR442" s="1312">
        <f>IF(AND(C442&gt;$F$69,'Instrumentos Financeiros'!C442&lt;'Instrumentos Financeiros'!$F$69+'Instrumentos Financeiros'!$F$11+1),PMT(((1+'Instrumentos Financeiros'!$I$43)^(1/12)-1),$F$11,-$I$69),0)</f>
        <v>0</v>
      </c>
      <c r="AS442" s="1312">
        <f t="shared" si="281"/>
        <v>0</v>
      </c>
      <c r="AT442" s="1312">
        <f>AU441*((1+'Instrumentos Financeiros'!$I$43)^(1/12)-1)</f>
        <v>0</v>
      </c>
      <c r="AU442" s="1312">
        <f t="shared" si="299"/>
        <v>0</v>
      </c>
      <c r="AV442" s="1312">
        <f>IF(AND(C442&gt;$F$70,'Instrumentos Financeiros'!C442&lt;'Instrumentos Financeiros'!$F$70+'Instrumentos Financeiros'!$F$11+1),PMT(((1+'Instrumentos Financeiros'!$J$43)^(1/12)-1),$F$11,-$I$70),0)</f>
        <v>0</v>
      </c>
      <c r="AW442" s="1312">
        <f t="shared" si="282"/>
        <v>0</v>
      </c>
      <c r="AX442" s="1312">
        <f>AY441*((1+'Instrumentos Financeiros'!$J$43)^(1/12)-1)</f>
        <v>0</v>
      </c>
      <c r="AY442" s="1312">
        <f t="shared" si="300"/>
        <v>0</v>
      </c>
      <c r="AZ442" s="1312">
        <f>IF(AND(C442&gt;$F$71,'Instrumentos Financeiros'!C442&lt;'Instrumentos Financeiros'!$F$71+'Instrumentos Financeiros'!$F$11+1),PMT(((1+'Instrumentos Financeiros'!$J$43)^(1/12)-1),$F$11,-$I$71),0)</f>
        <v>0</v>
      </c>
      <c r="BA442" s="1312">
        <f t="shared" si="283"/>
        <v>0</v>
      </c>
      <c r="BB442" s="1312">
        <f>BC441*((1+'Instrumentos Financeiros'!$J$43)^(1/12)-1)</f>
        <v>0</v>
      </c>
      <c r="BC442" s="1312">
        <f t="shared" si="301"/>
        <v>0</v>
      </c>
      <c r="BD442" s="1312">
        <f>IF(AND(C442&gt;$F$72,'Instrumentos Financeiros'!C442&lt;'Instrumentos Financeiros'!$F$72+'Instrumentos Financeiros'!$F$11+1),PMT(((1+'Instrumentos Financeiros'!$J$43)^(1/12)-1),$F$11,-'Instrumentos Financeiros'!$G$7*$G$72),0)</f>
        <v>0</v>
      </c>
      <c r="BE442" s="1312">
        <f t="shared" si="284"/>
        <v>0</v>
      </c>
      <c r="BF442" s="1312">
        <f>BG441*((1+'Instrumentos Financeiros'!$J$43)^(1/12)-1)</f>
        <v>0</v>
      </c>
      <c r="BG442" s="1312">
        <f t="shared" si="302"/>
        <v>0</v>
      </c>
      <c r="BH442" s="1312">
        <f>IF(AND(C442&gt;$F$73,'Instrumentos Financeiros'!C442&lt;'Instrumentos Financeiros'!$F$73+'Instrumentos Financeiros'!$F$11+1),PMT(((1+'Instrumentos Financeiros'!$J$43)^(1/12)-1),$F$11,-$I$73),0)</f>
        <v>0</v>
      </c>
      <c r="BI442" s="1312">
        <f t="shared" si="285"/>
        <v>0</v>
      </c>
      <c r="BJ442" s="1312">
        <f>BK441*((1+'Instrumentos Financeiros'!$J$43)^(1/12)-1)</f>
        <v>0</v>
      </c>
      <c r="BK442" s="1312">
        <f t="shared" si="303"/>
        <v>0</v>
      </c>
      <c r="BL442" s="1312">
        <f>IF(AND(C442&gt;$F$77,'Instrumentos Financeiros'!C442&lt;'Instrumentos Financeiros'!$F$77+'Instrumentos Financeiros'!$F$12+1),PMT(((1+'Instrumentos Financeiros'!$K$43)^(1/12)-1),$F$12,-$I$77),0)</f>
        <v>0</v>
      </c>
      <c r="BM442" s="1312">
        <f t="shared" si="304"/>
        <v>8.9200129793996551E-14</v>
      </c>
      <c r="BN442" s="1312">
        <f>BO441*((1+'Instrumentos Financeiros'!$K$43)^(1/12)-1)</f>
        <v>-8.9200129793996551E-14</v>
      </c>
      <c r="BO442" s="1312">
        <f t="shared" si="305"/>
        <v>-2.0718225800622234E-11</v>
      </c>
      <c r="BP442" s="1312">
        <f>IF(AND(C442&gt;$F$78,'Instrumentos Financeiros'!C442&lt;'Instrumentos Financeiros'!$F$78+'Instrumentos Financeiros'!$F$12+1),PMT(((1+'Instrumentos Financeiros'!$L$43)^(1/12)-1),$F$12,-$I$78),0)</f>
        <v>0</v>
      </c>
      <c r="BQ442" s="1312">
        <f t="shared" si="306"/>
        <v>8.8052957856221806E-14</v>
      </c>
      <c r="BR442" s="1312">
        <f>BS441*((1+'Instrumentos Financeiros'!$L$43)^(1/12)-1)</f>
        <v>-8.8052957856221806E-14</v>
      </c>
      <c r="BS442" s="1312">
        <f t="shared" si="307"/>
        <v>-2.0451775882961306E-11</v>
      </c>
      <c r="BT442" s="1312">
        <f>IF(AND(C442&gt;$F$79,'Instrumentos Financeiros'!C442&lt;'Instrumentos Financeiros'!$F$79+'Instrumentos Financeiros'!$F$12+1),PMT(((1+'Instrumentos Financeiros'!$L$43)^(1/12)-1),$F$12,-$I$79),0)</f>
        <v>0</v>
      </c>
      <c r="BU442" s="1312">
        <f t="shared" si="308"/>
        <v>8.6920539298939403E-14</v>
      </c>
      <c r="BV442" s="1312">
        <f>BW441*((1+'Instrumentos Financeiros'!$L$43)^(1/12)-1)</f>
        <v>-8.6920539298939403E-14</v>
      </c>
      <c r="BW442" s="1312">
        <f t="shared" si="309"/>
        <v>-2.0188752685295841E-11</v>
      </c>
      <c r="BX442" s="1312">
        <f>IF(AND(C442&gt;$F$80,'Instrumentos Financeiros'!C442&lt;'Instrumentos Financeiros'!$F$80+'Instrumentos Financeiros'!$F$12+1),PMT(((1+'Instrumentos Financeiros'!$L$43)^(1/12)-1),$F$12,-$I$80),0)</f>
        <v>0</v>
      </c>
      <c r="BY442" s="1312">
        <f t="shared" si="310"/>
        <v>8.5802684384038801E-14</v>
      </c>
      <c r="BZ442" s="1312">
        <f>CA441*((1+'Instrumentos Financeiros'!$L$43)^(1/12)-1)</f>
        <v>-8.5802684384038801E-14</v>
      </c>
      <c r="CA442" s="1312">
        <f t="shared" si="311"/>
        <v>-1.9929112137768243E-11</v>
      </c>
      <c r="CB442" s="1312">
        <f>IF(AND(C442&gt;$F$83,'Instrumentos Financeiros'!C442&lt;'Instrumentos Financeiros'!$F$83+'Instrumentos Financeiros'!$F$13+1),PMT(((1+'Instrumentos Financeiros'!$P$43)^(1/12)-1),$F$13,-$I$83),0)</f>
        <v>0</v>
      </c>
      <c r="CC442" s="1312">
        <f t="shared" si="312"/>
        <v>7.8495991663533093E-12</v>
      </c>
      <c r="CD442" s="1312">
        <f>CE441*((1+'Instrumentos Financeiros'!$P$43)^(1/12)-1)</f>
        <v>-7.8495991663533093E-12</v>
      </c>
      <c r="CE442" s="1312">
        <f t="shared" si="313"/>
        <v>-1.8232010239051181E-9</v>
      </c>
      <c r="CF442" s="1312">
        <f>IF(AND(C442&gt;$F$84,'Instrumentos Financeiros'!C442&lt;'Instrumentos Financeiros'!$F$84+'Instrumentos Financeiros'!$F$13+1),PMT(((1+'Instrumentos Financeiros'!$Q$43)^(1/12)-1),$F$13,-$I$84),0)</f>
        <v>30503.390100238979</v>
      </c>
      <c r="CG442" s="1312">
        <f t="shared" si="314"/>
        <v>30111.096577675689</v>
      </c>
      <c r="CH442" s="1312">
        <f>CI441*((1+'Instrumentos Financeiros'!$Q$43)^(1/12)-1)</f>
        <v>392.29352256328866</v>
      </c>
      <c r="CI442" s="1312">
        <f t="shared" si="315"/>
        <v>60613.358265016461</v>
      </c>
      <c r="CJ442" s="1312">
        <f>IF(AND(C442&gt;$F$85,'Instrumentos Financeiros'!C442&lt;'Instrumentos Financeiros'!$F$85+'Instrumentos Financeiros'!$F$13+1),PMT(((1+'Instrumentos Financeiros'!$Q$43)^(1/12)-1),$F$13,-$I$85),0)</f>
        <v>30503.390100238979</v>
      </c>
      <c r="CK442" s="1312">
        <f t="shared" si="316"/>
        <v>29723.848206072318</v>
      </c>
      <c r="CL442" s="1312">
        <f>CM441*((1+'Instrumentos Financeiros'!$Q$43)^(1/12)-1)</f>
        <v>779.54189416666236</v>
      </c>
      <c r="CM442" s="1312">
        <f t="shared" si="317"/>
        <v>150558.28572567072</v>
      </c>
      <c r="CN442" s="1312">
        <f>IF(AND(C442&gt;$F$86,'Instrumentos Financeiros'!C442&lt;'Instrumentos Financeiros'!$F$86+'Instrumentos Financeiros'!$F$13+1),PMT(((1+'Instrumentos Financeiros'!$Q$43)^(1/12)-1),$F$13,-$I$86),0)</f>
        <v>30503.390100238979</v>
      </c>
      <c r="CO442" s="1312">
        <f t="shared" si="318"/>
        <v>29341.580101491854</v>
      </c>
      <c r="CP442" s="1312">
        <f>CQ441*((1+'Instrumentos Financeiros'!$Q$43)^(1/12)-1)</f>
        <v>1161.8099987471257</v>
      </c>
      <c r="CQ442" s="1312">
        <f t="shared" si="319"/>
        <v>239346.4626640293</v>
      </c>
      <c r="CR442" s="1312">
        <f t="shared" si="288"/>
        <v>91510.170300716942</v>
      </c>
      <c r="CS442" s="1312">
        <f t="shared" si="288"/>
        <v>89176.524885239982</v>
      </c>
      <c r="CT442" s="1312">
        <f t="shared" si="288"/>
        <v>2333.6454154769531</v>
      </c>
      <c r="CU442" s="1312">
        <f t="shared" si="288"/>
        <v>450518.1066546879</v>
      </c>
    </row>
    <row r="443" spans="3:99" x14ac:dyDescent="0.35">
      <c r="C443" s="1315">
        <f t="shared" si="289"/>
        <v>350</v>
      </c>
      <c r="D443" s="1312">
        <f>IF(AND(C443&gt;$F$59,'Instrumentos Financeiros'!C443&lt;'Instrumentos Financeiros'!$F$59+'Instrumentos Financeiros'!$F$11+1),PMT(((1+'Instrumentos Financeiros'!$G$43)^(1/12)-1),$F$11,-$I$59),0)</f>
        <v>0</v>
      </c>
      <c r="E443" s="1312">
        <f t="shared" si="286"/>
        <v>-1.3283303516046183E-11</v>
      </c>
      <c r="F443" s="1312">
        <f>G442*((1+'Instrumentos Financeiros'!$G$43)^(1/12)-1)</f>
        <v>1.3283303516046183E-11</v>
      </c>
      <c r="G443" s="1312">
        <f t="shared" si="320"/>
        <v>3.2675587829450787E-9</v>
      </c>
      <c r="H443" s="1312">
        <f>IF(AND(C443&gt;$F$60,'Instrumentos Financeiros'!C443&lt;'Instrumentos Financeiros'!$F$60+'Instrumentos Financeiros'!$F$11+1),PMT(((1+'Instrumentos Financeiros'!$G$43)^(1/12)-1),$F$11,-$I$60),0)</f>
        <v>0</v>
      </c>
      <c r="I443" s="1312">
        <f t="shared" si="272"/>
        <v>0</v>
      </c>
      <c r="J443" s="1312">
        <f>K442*((1+'Instrumentos Financeiros'!$G$43)^(1/12)-1)</f>
        <v>0</v>
      </c>
      <c r="K443" s="1312">
        <f t="shared" si="290"/>
        <v>0</v>
      </c>
      <c r="L443" s="1312">
        <f>IF(AND(C443&gt;$F$61,'Instrumentos Financeiros'!C443&lt;'Instrumentos Financeiros'!$F$61+'Instrumentos Financeiros'!$F$11+1),PMT(((1+'Instrumentos Financeiros'!$G$43)^(1/12)-1),$F$11,-$I$61),0)</f>
        <v>0</v>
      </c>
      <c r="M443" s="1312">
        <f t="shared" si="273"/>
        <v>0</v>
      </c>
      <c r="N443" s="1312">
        <f>O442*((1+'Instrumentos Financeiros'!$G$43)^(1/12)-1)</f>
        <v>0</v>
      </c>
      <c r="O443" s="1312">
        <f t="shared" si="291"/>
        <v>0</v>
      </c>
      <c r="P443" s="1312">
        <f>IF(AND(C443&gt;$F$62,'Instrumentos Financeiros'!C443&lt;'Instrumentos Financeiros'!$F$62+'Instrumentos Financeiros'!$F$11+1),PMT(((1+'Instrumentos Financeiros'!$H$43)^(1/12)-1),$F$11,-$I$62),0)</f>
        <v>0</v>
      </c>
      <c r="Q443" s="1312">
        <f t="shared" si="274"/>
        <v>0</v>
      </c>
      <c r="R443" s="1312">
        <f>S442*((1+'Instrumentos Financeiros'!$H$43)^(1/12)-1)</f>
        <v>0</v>
      </c>
      <c r="S443" s="1312">
        <f t="shared" si="292"/>
        <v>0</v>
      </c>
      <c r="T443" s="1312">
        <f>IF(AND(C443&gt;$F$63,'Instrumentos Financeiros'!C443&lt;'Instrumentos Financeiros'!$F$63+'Instrumentos Financeiros'!$F$11+1),PMT(((1+'Instrumentos Financeiros'!$H$43)^(1/12)-1),$F$11,-$I$63),0)</f>
        <v>0</v>
      </c>
      <c r="U443" s="1312">
        <f t="shared" si="275"/>
        <v>0</v>
      </c>
      <c r="V443" s="1312">
        <f>W442*((1+'Instrumentos Financeiros'!$H$43)^(1/12)-1)</f>
        <v>0</v>
      </c>
      <c r="W443" s="1312">
        <f t="shared" si="293"/>
        <v>0</v>
      </c>
      <c r="X443" s="1312">
        <f>IF(AND(C443&gt;$F$64,'Instrumentos Financeiros'!C443&lt;'Instrumentos Financeiros'!$F$64+'Instrumentos Financeiros'!$F$11+1),PMT(((1+'Instrumentos Financeiros'!$H$43)^(1/12)-1),$F$11,-$I$64),0)</f>
        <v>0</v>
      </c>
      <c r="Y443" s="1312">
        <f t="shared" si="276"/>
        <v>0</v>
      </c>
      <c r="Z443" s="1312">
        <f>AA442*((1+'Instrumentos Financeiros'!$H$43)^(1/12)-1)</f>
        <v>0</v>
      </c>
      <c r="AA443" s="1312">
        <f t="shared" si="294"/>
        <v>0</v>
      </c>
      <c r="AB443" s="1312">
        <f>IF(AND(C443&gt;$F$65,'Instrumentos Financeiros'!C443&lt;'Instrumentos Financeiros'!$F$65+'Instrumentos Financeiros'!$F$11+1),PMT(((1+'Instrumentos Financeiros'!$H$43)^(1/12)-1),$F$11,-$I$65),0)</f>
        <v>0</v>
      </c>
      <c r="AC443" s="1312">
        <f t="shared" si="277"/>
        <v>3.2960245199071801E-11</v>
      </c>
      <c r="AD443" s="1312">
        <f>AE442*((1+'Instrumentos Financeiros'!$H$43)^(1/12)-1)</f>
        <v>-3.2960245199071801E-11</v>
      </c>
      <c r="AE443" s="1312">
        <f t="shared" si="295"/>
        <v>-7.6555696057317224E-9</v>
      </c>
      <c r="AF443" s="1312">
        <f>IF(AND(C443&gt;$F$66,'Instrumentos Financeiros'!C443&lt;'Instrumentos Financeiros'!$F$66+'Instrumentos Financeiros'!$F$11+1),PMT(((1+'Instrumentos Financeiros'!$I$43)^(1/12)-1),$F$11,-$I$66),0)</f>
        <v>0</v>
      </c>
      <c r="AG443" s="1312">
        <f t="shared" si="278"/>
        <v>3.2536354915034406E-11</v>
      </c>
      <c r="AH443" s="1312">
        <f>AI442*((1+'Instrumentos Financeiros'!$I$43)^(1/12)-1)</f>
        <v>-3.2536354915034406E-11</v>
      </c>
      <c r="AI443" s="1312">
        <f t="shared" si="296"/>
        <v>-7.5571139797179609E-9</v>
      </c>
      <c r="AJ443" s="1312">
        <f>IF(AND(C443&gt;$F$67,'Instrumentos Financeiros'!C443&lt;'Instrumentos Financeiros'!$F$67+'Instrumentos Financeiros'!$F$11+1),PMT(((1+'Instrumentos Financeiros'!$I$43)^(1/12)-1),$F$11,-$I$67),0)</f>
        <v>0</v>
      </c>
      <c r="AK443" s="1312">
        <f t="shared" si="279"/>
        <v>3.2117916136949593E-11</v>
      </c>
      <c r="AL443" s="1312">
        <f>AM442*((1+'Instrumentos Financeiros'!$I$43)^(1/12)-1)</f>
        <v>-3.2117916136949593E-11</v>
      </c>
      <c r="AM443" s="1312">
        <f t="shared" si="297"/>
        <v>-7.4599245573693722E-9</v>
      </c>
      <c r="AN443" s="1312">
        <f>IF(AND(C443&gt;$F$68,'Instrumentos Financeiros'!C443&lt;'Instrumentos Financeiros'!$F$68+'Instrumentos Financeiros'!$F$11+1),PMT(((1+'Instrumentos Financeiros'!$I$43)^(1/12)-1),$F$11,-$I$68),0)</f>
        <v>0</v>
      </c>
      <c r="AO443" s="1312">
        <f t="shared" si="280"/>
        <v>3.1704858754889697E-11</v>
      </c>
      <c r="AP443" s="1312">
        <f>AQ442*((1+'Instrumentos Financeiros'!$I$43)^(1/12)-1)</f>
        <v>-3.1704858754889697E-11</v>
      </c>
      <c r="AQ443" s="1312">
        <f t="shared" si="298"/>
        <v>-7.3639850544796934E-9</v>
      </c>
      <c r="AR443" s="1312">
        <f>IF(AND(C443&gt;$F$69,'Instrumentos Financeiros'!C443&lt;'Instrumentos Financeiros'!$F$69+'Instrumentos Financeiros'!$F$11+1),PMT(((1+'Instrumentos Financeiros'!$I$43)^(1/12)-1),$F$11,-$I$69),0)</f>
        <v>0</v>
      </c>
      <c r="AS443" s="1312">
        <f t="shared" si="281"/>
        <v>0</v>
      </c>
      <c r="AT443" s="1312">
        <f>AU442*((1+'Instrumentos Financeiros'!$I$43)^(1/12)-1)</f>
        <v>0</v>
      </c>
      <c r="AU443" s="1312">
        <f t="shared" si="299"/>
        <v>0</v>
      </c>
      <c r="AV443" s="1312">
        <f>IF(AND(C443&gt;$F$70,'Instrumentos Financeiros'!C443&lt;'Instrumentos Financeiros'!$F$70+'Instrumentos Financeiros'!$F$11+1),PMT(((1+'Instrumentos Financeiros'!$J$43)^(1/12)-1),$F$11,-$I$70),0)</f>
        <v>0</v>
      </c>
      <c r="AW443" s="1312">
        <f t="shared" si="282"/>
        <v>0</v>
      </c>
      <c r="AX443" s="1312">
        <f>AY442*((1+'Instrumentos Financeiros'!$J$43)^(1/12)-1)</f>
        <v>0</v>
      </c>
      <c r="AY443" s="1312">
        <f t="shared" si="300"/>
        <v>0</v>
      </c>
      <c r="AZ443" s="1312">
        <f>IF(AND(C443&gt;$F$71,'Instrumentos Financeiros'!C443&lt;'Instrumentos Financeiros'!$F$71+'Instrumentos Financeiros'!$F$11+1),PMT(((1+'Instrumentos Financeiros'!$J$43)^(1/12)-1),$F$11,-$I$71),0)</f>
        <v>0</v>
      </c>
      <c r="BA443" s="1312">
        <f t="shared" si="283"/>
        <v>0</v>
      </c>
      <c r="BB443" s="1312">
        <f>BC442*((1+'Instrumentos Financeiros'!$J$43)^(1/12)-1)</f>
        <v>0</v>
      </c>
      <c r="BC443" s="1312">
        <f t="shared" si="301"/>
        <v>0</v>
      </c>
      <c r="BD443" s="1312">
        <f>IF(AND(C443&gt;$F$72,'Instrumentos Financeiros'!C443&lt;'Instrumentos Financeiros'!$F$72+'Instrumentos Financeiros'!$F$11+1),PMT(((1+'Instrumentos Financeiros'!$J$43)^(1/12)-1),$F$11,-'Instrumentos Financeiros'!$G$7*$G$72),0)</f>
        <v>0</v>
      </c>
      <c r="BE443" s="1312">
        <f t="shared" si="284"/>
        <v>0</v>
      </c>
      <c r="BF443" s="1312">
        <f>BG442*((1+'Instrumentos Financeiros'!$J$43)^(1/12)-1)</f>
        <v>0</v>
      </c>
      <c r="BG443" s="1312">
        <f t="shared" si="302"/>
        <v>0</v>
      </c>
      <c r="BH443" s="1312">
        <f>IF(AND(C443&gt;$F$73,'Instrumentos Financeiros'!C443&lt;'Instrumentos Financeiros'!$F$73+'Instrumentos Financeiros'!$F$11+1),PMT(((1+'Instrumentos Financeiros'!$J$43)^(1/12)-1),$F$11,-$I$73),0)</f>
        <v>0</v>
      </c>
      <c r="BI443" s="1312">
        <f t="shared" si="285"/>
        <v>0</v>
      </c>
      <c r="BJ443" s="1312">
        <f>BK442*((1+'Instrumentos Financeiros'!$J$43)^(1/12)-1)</f>
        <v>0</v>
      </c>
      <c r="BK443" s="1312">
        <f t="shared" si="303"/>
        <v>0</v>
      </c>
      <c r="BL443" s="1312">
        <f>IF(AND(C443&gt;$F$77,'Instrumentos Financeiros'!C443&lt;'Instrumentos Financeiros'!$F$77+'Instrumentos Financeiros'!$F$12+1),PMT(((1+'Instrumentos Financeiros'!$K$43)^(1/12)-1),$F$12,-$I$77),0)</f>
        <v>0</v>
      </c>
      <c r="BM443" s="1312">
        <f t="shared" si="304"/>
        <v>8.9585832118586575E-14</v>
      </c>
      <c r="BN443" s="1312">
        <f>BO442*((1+'Instrumentos Financeiros'!$K$43)^(1/12)-1)</f>
        <v>-8.9585832118586575E-14</v>
      </c>
      <c r="BO443" s="1312">
        <f t="shared" si="305"/>
        <v>-2.080781163274082E-11</v>
      </c>
      <c r="BP443" s="1312">
        <f>IF(AND(C443&gt;$F$78,'Instrumentos Financeiros'!C443&lt;'Instrumentos Financeiros'!$F$78+'Instrumentos Financeiros'!$F$12+1),PMT(((1+'Instrumentos Financeiros'!$L$43)^(1/12)-1),$F$12,-$I$78),0)</f>
        <v>0</v>
      </c>
      <c r="BQ443" s="1312">
        <f t="shared" si="306"/>
        <v>8.8433699796963445E-14</v>
      </c>
      <c r="BR443" s="1312">
        <f>BS442*((1+'Instrumentos Financeiros'!$L$43)^(1/12)-1)</f>
        <v>-8.8433699796963445E-14</v>
      </c>
      <c r="BS443" s="1312">
        <f t="shared" si="307"/>
        <v>-2.0540209582758269E-11</v>
      </c>
      <c r="BT443" s="1312">
        <f>IF(AND(C443&gt;$F$79,'Instrumentos Financeiros'!C443&lt;'Instrumentos Financeiros'!$F$79+'Instrumentos Financeiros'!$F$12+1),PMT(((1+'Instrumentos Financeiros'!$L$43)^(1/12)-1),$F$12,-$I$79),0)</f>
        <v>0</v>
      </c>
      <c r="BU443" s="1312">
        <f t="shared" si="308"/>
        <v>8.7296384649609246E-14</v>
      </c>
      <c r="BV443" s="1312">
        <f>BW442*((1+'Instrumentos Financeiros'!$L$43)^(1/12)-1)</f>
        <v>-8.7296384649609246E-14</v>
      </c>
      <c r="BW443" s="1312">
        <f t="shared" si="309"/>
        <v>-2.027604906994545E-11</v>
      </c>
      <c r="BX443" s="1312">
        <f>IF(AND(C443&gt;$F$80,'Instrumentos Financeiros'!C443&lt;'Instrumentos Financeiros'!$F$80+'Instrumentos Financeiros'!$F$12+1),PMT(((1+'Instrumentos Financeiros'!$L$43)^(1/12)-1),$F$12,-$I$80),0)</f>
        <v>0</v>
      </c>
      <c r="BY443" s="1312">
        <f t="shared" si="310"/>
        <v>8.6173696117983795E-14</v>
      </c>
      <c r="BZ443" s="1312">
        <f>CA442*((1+'Instrumentos Financeiros'!$L$43)^(1/12)-1)</f>
        <v>-8.6173696117983795E-14</v>
      </c>
      <c r="CA443" s="1312">
        <f t="shared" si="311"/>
        <v>-2.0015285833886228E-11</v>
      </c>
      <c r="CB443" s="1312">
        <f>IF(AND(C443&gt;$F$83,'Instrumentos Financeiros'!C443&lt;'Instrumentos Financeiros'!$F$83+'Instrumentos Financeiros'!$F$13+1),PMT(((1+'Instrumentos Financeiros'!$P$43)^(1/12)-1),$F$13,-$I$83),0)</f>
        <v>0</v>
      </c>
      <c r="CC443" s="1312">
        <f t="shared" si="312"/>
        <v>7.8835409179242396E-12</v>
      </c>
      <c r="CD443" s="1312">
        <f>CE442*((1+'Instrumentos Financeiros'!$P$43)^(1/12)-1)</f>
        <v>-7.8835409179242396E-12</v>
      </c>
      <c r="CE443" s="1312">
        <f t="shared" si="313"/>
        <v>-1.8310845648230423E-9</v>
      </c>
      <c r="CF443" s="1312">
        <f>IF(AND(C443&gt;$F$84,'Instrumentos Financeiros'!C443&lt;'Instrumentos Financeiros'!$F$84+'Instrumentos Financeiros'!$F$13+1),PMT(((1+'Instrumentos Financeiros'!$Q$43)^(1/12)-1),$F$13,-$I$84),0)</f>
        <v>30503.390100238979</v>
      </c>
      <c r="CG443" s="1312">
        <f t="shared" si="314"/>
        <v>30241.297284477198</v>
      </c>
      <c r="CH443" s="1312">
        <f>CI442*((1+'Instrumentos Financeiros'!$Q$43)^(1/12)-1)</f>
        <v>262.09281576178319</v>
      </c>
      <c r="CI443" s="1312">
        <f t="shared" si="315"/>
        <v>30372.060980539263</v>
      </c>
      <c r="CJ443" s="1312">
        <f>IF(AND(C443&gt;$F$85,'Instrumentos Financeiros'!C443&lt;'Instrumentos Financeiros'!$F$85+'Instrumentos Financeiros'!$F$13+1),PMT(((1+'Instrumentos Financeiros'!$Q$43)^(1/12)-1),$F$13,-$I$85),0)</f>
        <v>30503.390100238979</v>
      </c>
      <c r="CK443" s="1312">
        <f t="shared" si="316"/>
        <v>29852.374446732731</v>
      </c>
      <c r="CL443" s="1312">
        <f>CM442*((1+'Instrumentos Financeiros'!$Q$43)^(1/12)-1)</f>
        <v>651.01565350624969</v>
      </c>
      <c r="CM443" s="1312">
        <f t="shared" si="317"/>
        <v>120705.91127893799</v>
      </c>
      <c r="CN443" s="1312">
        <f>IF(AND(C443&gt;$F$86,'Instrumentos Financeiros'!C443&lt;'Instrumentos Financeiros'!$F$86+'Instrumentos Financeiros'!$F$13+1),PMT(((1+'Instrumentos Financeiros'!$Q$43)^(1/12)-1),$F$13,-$I$86),0)</f>
        <v>30503.390100238979</v>
      </c>
      <c r="CO443" s="1312">
        <f t="shared" si="318"/>
        <v>29468.453410739567</v>
      </c>
      <c r="CP443" s="1312">
        <f>CQ442*((1+'Instrumentos Financeiros'!$Q$43)^(1/12)-1)</f>
        <v>1034.9366894994118</v>
      </c>
      <c r="CQ443" s="1312">
        <f t="shared" si="319"/>
        <v>209878.00925328973</v>
      </c>
      <c r="CR443" s="1312">
        <f t="shared" si="288"/>
        <v>91510.170300716942</v>
      </c>
      <c r="CS443" s="1312">
        <f t="shared" si="288"/>
        <v>89562.125141949626</v>
      </c>
      <c r="CT443" s="1312">
        <f t="shared" si="288"/>
        <v>1948.0451587673206</v>
      </c>
      <c r="CU443" s="1312">
        <f t="shared" si="288"/>
        <v>360955.98151273828</v>
      </c>
    </row>
    <row r="444" spans="3:99" x14ac:dyDescent="0.35">
      <c r="C444" s="1315">
        <f t="shared" si="289"/>
        <v>351</v>
      </c>
      <c r="D444" s="1312">
        <f>IF(AND(C444&gt;$F$59,'Instrumentos Financeiros'!C444&lt;'Instrumentos Financeiros'!$F$59+'Instrumentos Financeiros'!$F$11+1),PMT(((1+'Instrumentos Financeiros'!$G$43)^(1/12)-1),$F$11,-$I$59),0)</f>
        <v>0</v>
      </c>
      <c r="E444" s="1312">
        <f t="shared" si="286"/>
        <v>-1.3337523311946917E-11</v>
      </c>
      <c r="F444" s="1312">
        <f>G443*((1+'Instrumentos Financeiros'!$G$43)^(1/12)-1)</f>
        <v>1.3337523311946917E-11</v>
      </c>
      <c r="G444" s="1312">
        <f t="shared" si="320"/>
        <v>3.2808963062570255E-9</v>
      </c>
      <c r="H444" s="1312">
        <f>IF(AND(C444&gt;$F$60,'Instrumentos Financeiros'!C444&lt;'Instrumentos Financeiros'!$F$60+'Instrumentos Financeiros'!$F$11+1),PMT(((1+'Instrumentos Financeiros'!$G$43)^(1/12)-1),$F$11,-$I$60),0)</f>
        <v>0</v>
      </c>
      <c r="I444" s="1312">
        <f t="shared" si="272"/>
        <v>0</v>
      </c>
      <c r="J444" s="1312">
        <f>K443*((1+'Instrumentos Financeiros'!$G$43)^(1/12)-1)</f>
        <v>0</v>
      </c>
      <c r="K444" s="1312">
        <f t="shared" si="290"/>
        <v>0</v>
      </c>
      <c r="L444" s="1312">
        <f>IF(AND(C444&gt;$F$61,'Instrumentos Financeiros'!C444&lt;'Instrumentos Financeiros'!$F$61+'Instrumentos Financeiros'!$F$11+1),PMT(((1+'Instrumentos Financeiros'!$G$43)^(1/12)-1),$F$11,-$I$61),0)</f>
        <v>0</v>
      </c>
      <c r="M444" s="1312">
        <f t="shared" si="273"/>
        <v>0</v>
      </c>
      <c r="N444" s="1312">
        <f>O443*((1+'Instrumentos Financeiros'!$G$43)^(1/12)-1)</f>
        <v>0</v>
      </c>
      <c r="O444" s="1312">
        <f t="shared" si="291"/>
        <v>0</v>
      </c>
      <c r="P444" s="1312">
        <f>IF(AND(C444&gt;$F$62,'Instrumentos Financeiros'!C444&lt;'Instrumentos Financeiros'!$F$62+'Instrumentos Financeiros'!$F$11+1),PMT(((1+'Instrumentos Financeiros'!$H$43)^(1/12)-1),$F$11,-$I$62),0)</f>
        <v>0</v>
      </c>
      <c r="Q444" s="1312">
        <f t="shared" si="274"/>
        <v>0</v>
      </c>
      <c r="R444" s="1312">
        <f>S443*((1+'Instrumentos Financeiros'!$H$43)^(1/12)-1)</f>
        <v>0</v>
      </c>
      <c r="S444" s="1312">
        <f t="shared" si="292"/>
        <v>0</v>
      </c>
      <c r="T444" s="1312">
        <f>IF(AND(C444&gt;$F$63,'Instrumentos Financeiros'!C444&lt;'Instrumentos Financeiros'!$F$63+'Instrumentos Financeiros'!$F$11+1),PMT(((1+'Instrumentos Financeiros'!$H$43)^(1/12)-1),$F$11,-$I$63),0)</f>
        <v>0</v>
      </c>
      <c r="U444" s="1312">
        <f t="shared" si="275"/>
        <v>0</v>
      </c>
      <c r="V444" s="1312">
        <f>W443*((1+'Instrumentos Financeiros'!$H$43)^(1/12)-1)</f>
        <v>0</v>
      </c>
      <c r="W444" s="1312">
        <f t="shared" si="293"/>
        <v>0</v>
      </c>
      <c r="X444" s="1312">
        <f>IF(AND(C444&gt;$F$64,'Instrumentos Financeiros'!C444&lt;'Instrumentos Financeiros'!$F$64+'Instrumentos Financeiros'!$F$11+1),PMT(((1+'Instrumentos Financeiros'!$H$43)^(1/12)-1),$F$11,-$I$64),0)</f>
        <v>0</v>
      </c>
      <c r="Y444" s="1312">
        <f t="shared" si="276"/>
        <v>0</v>
      </c>
      <c r="Z444" s="1312">
        <f>AA443*((1+'Instrumentos Financeiros'!$H$43)^(1/12)-1)</f>
        <v>0</v>
      </c>
      <c r="AA444" s="1312">
        <f t="shared" si="294"/>
        <v>0</v>
      </c>
      <c r="AB444" s="1312">
        <f>IF(AND(C444&gt;$F$65,'Instrumentos Financeiros'!C444&lt;'Instrumentos Financeiros'!$F$65+'Instrumentos Financeiros'!$F$11+1),PMT(((1+'Instrumentos Financeiros'!$H$43)^(1/12)-1),$F$11,-$I$65),0)</f>
        <v>0</v>
      </c>
      <c r="AC444" s="1312">
        <f t="shared" si="277"/>
        <v>3.3102765655283015E-11</v>
      </c>
      <c r="AD444" s="1312">
        <f>AE443*((1+'Instrumentos Financeiros'!$H$43)^(1/12)-1)</f>
        <v>-3.3102765655283015E-11</v>
      </c>
      <c r="AE444" s="1312">
        <f t="shared" si="295"/>
        <v>-7.6886723713870054E-9</v>
      </c>
      <c r="AF444" s="1312">
        <f>IF(AND(C444&gt;$F$66,'Instrumentos Financeiros'!C444&lt;'Instrumentos Financeiros'!$F$66+'Instrumentos Financeiros'!$F$11+1),PMT(((1+'Instrumentos Financeiros'!$I$43)^(1/12)-1),$F$11,-$I$66),0)</f>
        <v>0</v>
      </c>
      <c r="AG444" s="1312">
        <f t="shared" si="278"/>
        <v>3.2677042465079426E-11</v>
      </c>
      <c r="AH444" s="1312">
        <f>AI443*((1+'Instrumentos Financeiros'!$I$43)^(1/12)-1)</f>
        <v>-3.2677042465079426E-11</v>
      </c>
      <c r="AI444" s="1312">
        <f t="shared" si="296"/>
        <v>-7.5897910221830402E-9</v>
      </c>
      <c r="AJ444" s="1312">
        <f>IF(AND(C444&gt;$F$67,'Instrumentos Financeiros'!C444&lt;'Instrumentos Financeiros'!$F$67+'Instrumentos Financeiros'!$F$11+1),PMT(((1+'Instrumentos Financeiros'!$I$43)^(1/12)-1),$F$11,-$I$67),0)</f>
        <v>0</v>
      </c>
      <c r="AK444" s="1312">
        <f t="shared" si="279"/>
        <v>3.2256794353199037E-11</v>
      </c>
      <c r="AL444" s="1312">
        <f>AM443*((1+'Instrumentos Financeiros'!$I$43)^(1/12)-1)</f>
        <v>-3.2256794353199037E-11</v>
      </c>
      <c r="AM444" s="1312">
        <f t="shared" si="297"/>
        <v>-7.4921813517225715E-9</v>
      </c>
      <c r="AN444" s="1312">
        <f>IF(AND(C444&gt;$F$68,'Instrumentos Financeiros'!C444&lt;'Instrumentos Financeiros'!$F$68+'Instrumentos Financeiros'!$F$11+1),PMT(((1+'Instrumentos Financeiros'!$I$43)^(1/12)-1),$F$11,-$I$68),0)</f>
        <v>0</v>
      </c>
      <c r="AO444" s="1312">
        <f t="shared" si="280"/>
        <v>3.184195090655809E-11</v>
      </c>
      <c r="AP444" s="1312">
        <f>AQ443*((1+'Instrumentos Financeiros'!$I$43)^(1/12)-1)</f>
        <v>-3.184195090655809E-11</v>
      </c>
      <c r="AQ444" s="1312">
        <f t="shared" si="298"/>
        <v>-7.3958270053862519E-9</v>
      </c>
      <c r="AR444" s="1312">
        <f>IF(AND(C444&gt;$F$69,'Instrumentos Financeiros'!C444&lt;'Instrumentos Financeiros'!$F$69+'Instrumentos Financeiros'!$F$11+1),PMT(((1+'Instrumentos Financeiros'!$I$43)^(1/12)-1),$F$11,-$I$69),0)</f>
        <v>0</v>
      </c>
      <c r="AS444" s="1312">
        <f t="shared" si="281"/>
        <v>0</v>
      </c>
      <c r="AT444" s="1312">
        <f>AU443*((1+'Instrumentos Financeiros'!$I$43)^(1/12)-1)</f>
        <v>0</v>
      </c>
      <c r="AU444" s="1312">
        <f t="shared" si="299"/>
        <v>0</v>
      </c>
      <c r="AV444" s="1312">
        <f>IF(AND(C444&gt;$F$70,'Instrumentos Financeiros'!C444&lt;'Instrumentos Financeiros'!$F$70+'Instrumentos Financeiros'!$F$11+1),PMT(((1+'Instrumentos Financeiros'!$J$43)^(1/12)-1),$F$11,-$I$70),0)</f>
        <v>0</v>
      </c>
      <c r="AW444" s="1312">
        <f t="shared" si="282"/>
        <v>0</v>
      </c>
      <c r="AX444" s="1312">
        <f>AY443*((1+'Instrumentos Financeiros'!$J$43)^(1/12)-1)</f>
        <v>0</v>
      </c>
      <c r="AY444" s="1312">
        <f t="shared" si="300"/>
        <v>0</v>
      </c>
      <c r="AZ444" s="1312">
        <f>IF(AND(C444&gt;$F$71,'Instrumentos Financeiros'!C444&lt;'Instrumentos Financeiros'!$F$71+'Instrumentos Financeiros'!$F$11+1),PMT(((1+'Instrumentos Financeiros'!$J$43)^(1/12)-1),$F$11,-$I$71),0)</f>
        <v>0</v>
      </c>
      <c r="BA444" s="1312">
        <f t="shared" si="283"/>
        <v>0</v>
      </c>
      <c r="BB444" s="1312">
        <f>BC443*((1+'Instrumentos Financeiros'!$J$43)^(1/12)-1)</f>
        <v>0</v>
      </c>
      <c r="BC444" s="1312">
        <f t="shared" si="301"/>
        <v>0</v>
      </c>
      <c r="BD444" s="1312">
        <f>IF(AND(C444&gt;$F$72,'Instrumentos Financeiros'!C444&lt;'Instrumentos Financeiros'!$F$72+'Instrumentos Financeiros'!$F$11+1),PMT(((1+'Instrumentos Financeiros'!$J$43)^(1/12)-1),$F$11,-'Instrumentos Financeiros'!$G$7*$G$72),0)</f>
        <v>0</v>
      </c>
      <c r="BE444" s="1312">
        <f t="shared" si="284"/>
        <v>0</v>
      </c>
      <c r="BF444" s="1312">
        <f>BG443*((1+'Instrumentos Financeiros'!$J$43)^(1/12)-1)</f>
        <v>0</v>
      </c>
      <c r="BG444" s="1312">
        <f t="shared" si="302"/>
        <v>0</v>
      </c>
      <c r="BH444" s="1312">
        <f>IF(AND(C444&gt;$F$73,'Instrumentos Financeiros'!C444&lt;'Instrumentos Financeiros'!$F$73+'Instrumentos Financeiros'!$F$11+1),PMT(((1+'Instrumentos Financeiros'!$J$43)^(1/12)-1),$F$11,-$I$73),0)</f>
        <v>0</v>
      </c>
      <c r="BI444" s="1312">
        <f t="shared" si="285"/>
        <v>0</v>
      </c>
      <c r="BJ444" s="1312">
        <f>BK443*((1+'Instrumentos Financeiros'!$J$43)^(1/12)-1)</f>
        <v>0</v>
      </c>
      <c r="BK444" s="1312">
        <f t="shared" si="303"/>
        <v>0</v>
      </c>
      <c r="BL444" s="1312">
        <f>IF(AND(C444&gt;$F$77,'Instrumentos Financeiros'!C444&lt;'Instrumentos Financeiros'!$F$77+'Instrumentos Financeiros'!$F$12+1),PMT(((1+'Instrumentos Financeiros'!$K$43)^(1/12)-1),$F$12,-$I$77),0)</f>
        <v>0</v>
      </c>
      <c r="BM444" s="1312">
        <f t="shared" si="304"/>
        <v>8.9973202224193712E-14</v>
      </c>
      <c r="BN444" s="1312">
        <f>BO443*((1+'Instrumentos Financeiros'!$K$43)^(1/12)-1)</f>
        <v>-8.9973202224193712E-14</v>
      </c>
      <c r="BO444" s="1312">
        <f t="shared" si="305"/>
        <v>-2.0897784834965013E-11</v>
      </c>
      <c r="BP444" s="1312">
        <f>IF(AND(C444&gt;$F$78,'Instrumentos Financeiros'!C444&lt;'Instrumentos Financeiros'!$F$78+'Instrumentos Financeiros'!$F$12+1),PMT(((1+'Instrumentos Financeiros'!$L$43)^(1/12)-1),$F$12,-$I$78),0)</f>
        <v>0</v>
      </c>
      <c r="BQ444" s="1312">
        <f t="shared" si="306"/>
        <v>8.8816088069968862E-14</v>
      </c>
      <c r="BR444" s="1312">
        <f>BS443*((1+'Instrumentos Financeiros'!$L$43)^(1/12)-1)</f>
        <v>-8.8816088069968862E-14</v>
      </c>
      <c r="BS444" s="1312">
        <f t="shared" si="307"/>
        <v>-2.0629025670828239E-11</v>
      </c>
      <c r="BT444" s="1312">
        <f>IF(AND(C444&gt;$F$79,'Instrumentos Financeiros'!C444&lt;'Instrumentos Financeiros'!$F$79+'Instrumentos Financeiros'!$F$12+1),PMT(((1+'Instrumentos Financeiros'!$L$43)^(1/12)-1),$F$12,-$I$79),0)</f>
        <v>0</v>
      </c>
      <c r="BU444" s="1312">
        <f t="shared" si="308"/>
        <v>8.7673855159634512E-14</v>
      </c>
      <c r="BV444" s="1312">
        <f>BW443*((1+'Instrumentos Financeiros'!$L$43)^(1/12)-1)</f>
        <v>-8.7673855159634512E-14</v>
      </c>
      <c r="BW444" s="1312">
        <f t="shared" si="309"/>
        <v>-2.0363722925105085E-11</v>
      </c>
      <c r="BX444" s="1312">
        <f>IF(AND(C444&gt;$F$80,'Instrumentos Financeiros'!C444&lt;'Instrumentos Financeiros'!$F$80+'Instrumentos Financeiros'!$F$12+1),PMT(((1+'Instrumentos Financeiros'!$L$43)^(1/12)-1),$F$12,-$I$80),0)</f>
        <v>0</v>
      </c>
      <c r="BY444" s="1312">
        <f t="shared" si="310"/>
        <v>8.6546312110673275E-14</v>
      </c>
      <c r="BZ444" s="1312">
        <f>CA443*((1+'Instrumentos Financeiros'!$L$43)^(1/12)-1)</f>
        <v>-8.6546312110673275E-14</v>
      </c>
      <c r="CA444" s="1312">
        <f t="shared" si="311"/>
        <v>-2.0101832145996901E-11</v>
      </c>
      <c r="CB444" s="1312">
        <f>IF(AND(C444&gt;$F$83,'Instrumentos Financeiros'!C444&lt;'Instrumentos Financeiros'!$F$83+'Instrumentos Financeiros'!$F$13+1),PMT(((1+'Instrumentos Financeiros'!$P$43)^(1/12)-1),$F$13,-$I$83),0)</f>
        <v>0</v>
      </c>
      <c r="CC444" s="1312">
        <f t="shared" si="312"/>
        <v>7.9176294339955303E-12</v>
      </c>
      <c r="CD444" s="1312">
        <f>CE443*((1+'Instrumentos Financeiros'!$P$43)^(1/12)-1)</f>
        <v>-7.9176294339955303E-12</v>
      </c>
      <c r="CE444" s="1312">
        <f t="shared" si="313"/>
        <v>-1.8390021942570379E-9</v>
      </c>
      <c r="CF444" s="1312">
        <f>IF(AND(C444&gt;$F$84,'Instrumentos Financeiros'!C444&lt;'Instrumentos Financeiros'!$F$84+'Instrumentos Financeiros'!$F$13+1),PMT(((1+'Instrumentos Financeiros'!$Q$43)^(1/12)-1),$F$13,-$I$84),0)</f>
        <v>30503.390100238979</v>
      </c>
      <c r="CG444" s="1312">
        <f t="shared" si="314"/>
        <v>30372.060980541079</v>
      </c>
      <c r="CH444" s="1312">
        <f>CI443*((1+'Instrumentos Financeiros'!$Q$43)^(1/12)-1)</f>
        <v>131.32911969790129</v>
      </c>
      <c r="CI444" s="1312">
        <f t="shared" si="315"/>
        <v>-1.8153514247387648E-9</v>
      </c>
      <c r="CJ444" s="1312">
        <f>IF(AND(C444&gt;$F$85,'Instrumentos Financeiros'!C444&lt;'Instrumentos Financeiros'!$F$85+'Instrumentos Financeiros'!$F$13+1),PMT(((1+'Instrumentos Financeiros'!$Q$43)^(1/12)-1),$F$13,-$I$85),0)</f>
        <v>30503.390100238979</v>
      </c>
      <c r="CK444" s="1312">
        <f t="shared" si="316"/>
        <v>29981.45643624584</v>
      </c>
      <c r="CL444" s="1312">
        <f>CM443*((1+'Instrumentos Financeiros'!$Q$43)^(1/12)-1)</f>
        <v>521.93366399313879</v>
      </c>
      <c r="CM444" s="1312">
        <f t="shared" si="317"/>
        <v>90724.454842692154</v>
      </c>
      <c r="CN444" s="1312">
        <f>IF(AND(C444&gt;$F$86,'Instrumentos Financeiros'!C444&lt;'Instrumentos Financeiros'!$F$86+'Instrumentos Financeiros'!$F$13+1),PMT(((1+'Instrumentos Financeiros'!$Q$43)^(1/12)-1),$F$13,-$I$86),0)</f>
        <v>30503.390100238979</v>
      </c>
      <c r="CO444" s="1312">
        <f t="shared" si="318"/>
        <v>29595.8753215467</v>
      </c>
      <c r="CP444" s="1312">
        <f>CQ443*((1+'Instrumentos Financeiros'!$Q$43)^(1/12)-1)</f>
        <v>907.51477869228006</v>
      </c>
      <c r="CQ444" s="1312">
        <f t="shared" si="319"/>
        <v>180282.13393174304</v>
      </c>
      <c r="CR444" s="1312">
        <f t="shared" si="288"/>
        <v>91510.170300716942</v>
      </c>
      <c r="CS444" s="1312">
        <f t="shared" si="288"/>
        <v>89949.392738333743</v>
      </c>
      <c r="CT444" s="1312">
        <f t="shared" si="288"/>
        <v>1560.7775623831953</v>
      </c>
      <c r="CU444" s="1312">
        <f t="shared" si="288"/>
        <v>271006.5887744046</v>
      </c>
    </row>
    <row r="445" spans="3:99" x14ac:dyDescent="0.35">
      <c r="C445" s="1315">
        <f t="shared" si="289"/>
        <v>352</v>
      </c>
      <c r="D445" s="1312">
        <f>IF(AND(C445&gt;$F$59,'Instrumentos Financeiros'!C445&lt;'Instrumentos Financeiros'!$F$59+'Instrumentos Financeiros'!$F$11+1),PMT(((1+'Instrumentos Financeiros'!$G$43)^(1/12)-1),$F$11,-$I$59),0)</f>
        <v>0</v>
      </c>
      <c r="E445" s="1312">
        <f t="shared" si="286"/>
        <v>-1.3391964422241617E-11</v>
      </c>
      <c r="F445" s="1312">
        <f>G444*((1+'Instrumentos Financeiros'!$G$43)^(1/12)-1)</f>
        <v>1.3391964422241617E-11</v>
      </c>
      <c r="G445" s="1312">
        <f t="shared" si="320"/>
        <v>3.2942882706792672E-9</v>
      </c>
      <c r="H445" s="1312">
        <f>IF(AND(C445&gt;$F$60,'Instrumentos Financeiros'!C445&lt;'Instrumentos Financeiros'!$F$60+'Instrumentos Financeiros'!$F$11+1),PMT(((1+'Instrumentos Financeiros'!$G$43)^(1/12)-1),$F$11,-$I$60),0)</f>
        <v>0</v>
      </c>
      <c r="I445" s="1312">
        <f t="shared" si="272"/>
        <v>0</v>
      </c>
      <c r="J445" s="1312">
        <f>K444*((1+'Instrumentos Financeiros'!$G$43)^(1/12)-1)</f>
        <v>0</v>
      </c>
      <c r="K445" s="1312">
        <f t="shared" si="290"/>
        <v>0</v>
      </c>
      <c r="L445" s="1312">
        <f>IF(AND(C445&gt;$F$61,'Instrumentos Financeiros'!C445&lt;'Instrumentos Financeiros'!$F$61+'Instrumentos Financeiros'!$F$11+1),PMT(((1+'Instrumentos Financeiros'!$G$43)^(1/12)-1),$F$11,-$I$61),0)</f>
        <v>0</v>
      </c>
      <c r="M445" s="1312">
        <f t="shared" si="273"/>
        <v>0</v>
      </c>
      <c r="N445" s="1312">
        <f>O444*((1+'Instrumentos Financeiros'!$G$43)^(1/12)-1)</f>
        <v>0</v>
      </c>
      <c r="O445" s="1312">
        <f t="shared" si="291"/>
        <v>0</v>
      </c>
      <c r="P445" s="1312">
        <f>IF(AND(C445&gt;$F$62,'Instrumentos Financeiros'!C445&lt;'Instrumentos Financeiros'!$F$62+'Instrumentos Financeiros'!$F$11+1),PMT(((1+'Instrumentos Financeiros'!$H$43)^(1/12)-1),$F$11,-$I$62),0)</f>
        <v>0</v>
      </c>
      <c r="Q445" s="1312">
        <f t="shared" si="274"/>
        <v>0</v>
      </c>
      <c r="R445" s="1312">
        <f>S444*((1+'Instrumentos Financeiros'!$H$43)^(1/12)-1)</f>
        <v>0</v>
      </c>
      <c r="S445" s="1312">
        <f t="shared" si="292"/>
        <v>0</v>
      </c>
      <c r="T445" s="1312">
        <f>IF(AND(C445&gt;$F$63,'Instrumentos Financeiros'!C445&lt;'Instrumentos Financeiros'!$F$63+'Instrumentos Financeiros'!$F$11+1),PMT(((1+'Instrumentos Financeiros'!$H$43)^(1/12)-1),$F$11,-$I$63),0)</f>
        <v>0</v>
      </c>
      <c r="U445" s="1312">
        <f t="shared" si="275"/>
        <v>0</v>
      </c>
      <c r="V445" s="1312">
        <f>W444*((1+'Instrumentos Financeiros'!$H$43)^(1/12)-1)</f>
        <v>0</v>
      </c>
      <c r="W445" s="1312">
        <f t="shared" si="293"/>
        <v>0</v>
      </c>
      <c r="X445" s="1312">
        <f>IF(AND(C445&gt;$F$64,'Instrumentos Financeiros'!C445&lt;'Instrumentos Financeiros'!$F$64+'Instrumentos Financeiros'!$F$11+1),PMT(((1+'Instrumentos Financeiros'!$H$43)^(1/12)-1),$F$11,-$I$64),0)</f>
        <v>0</v>
      </c>
      <c r="Y445" s="1312">
        <f t="shared" si="276"/>
        <v>0</v>
      </c>
      <c r="Z445" s="1312">
        <f>AA444*((1+'Instrumentos Financeiros'!$H$43)^(1/12)-1)</f>
        <v>0</v>
      </c>
      <c r="AA445" s="1312">
        <f t="shared" si="294"/>
        <v>0</v>
      </c>
      <c r="AB445" s="1312">
        <f>IF(AND(C445&gt;$F$65,'Instrumentos Financeiros'!C445&lt;'Instrumentos Financeiros'!$F$65+'Instrumentos Financeiros'!$F$11+1),PMT(((1+'Instrumentos Financeiros'!$H$43)^(1/12)-1),$F$11,-$I$65),0)</f>
        <v>0</v>
      </c>
      <c r="AC445" s="1312">
        <f t="shared" si="277"/>
        <v>3.3245902371486097E-11</v>
      </c>
      <c r="AD445" s="1312">
        <f>AE444*((1+'Instrumentos Financeiros'!$H$43)^(1/12)-1)</f>
        <v>-3.3245902371486097E-11</v>
      </c>
      <c r="AE445" s="1312">
        <f t="shared" si="295"/>
        <v>-7.7219182737584908E-9</v>
      </c>
      <c r="AF445" s="1312">
        <f>IF(AND(C445&gt;$F$66,'Instrumentos Financeiros'!C445&lt;'Instrumentos Financeiros'!$F$66+'Instrumentos Financeiros'!$F$11+1),PMT(((1+'Instrumentos Financeiros'!$I$43)^(1/12)-1),$F$11,-$I$66),0)</f>
        <v>0</v>
      </c>
      <c r="AG445" s="1312">
        <f t="shared" si="278"/>
        <v>3.2818338349610264E-11</v>
      </c>
      <c r="AH445" s="1312">
        <f>AI444*((1+'Instrumentos Financeiros'!$I$43)^(1/12)-1)</f>
        <v>-3.2818338349610264E-11</v>
      </c>
      <c r="AI445" s="1312">
        <f t="shared" si="296"/>
        <v>-7.6226093605326498E-9</v>
      </c>
      <c r="AJ445" s="1312">
        <f>IF(AND(C445&gt;$F$67,'Instrumentos Financeiros'!C445&lt;'Instrumentos Financeiros'!$F$67+'Instrumentos Financeiros'!$F$11+1),PMT(((1+'Instrumentos Financeiros'!$I$43)^(1/12)-1),$F$11,-$I$67),0)</f>
        <v>0</v>
      </c>
      <c r="AK445" s="1312">
        <f t="shared" si="279"/>
        <v>3.2396273080355426E-11</v>
      </c>
      <c r="AL445" s="1312">
        <f>AM444*((1+'Instrumentos Financeiros'!$I$43)^(1/12)-1)</f>
        <v>-3.2396273080355426E-11</v>
      </c>
      <c r="AM445" s="1312">
        <f t="shared" si="297"/>
        <v>-7.5245776248029269E-9</v>
      </c>
      <c r="AN445" s="1312">
        <f>IF(AND(C445&gt;$F$68,'Instrumentos Financeiros'!C445&lt;'Instrumentos Financeiros'!$F$68+'Instrumentos Financeiros'!$F$11+1),PMT(((1+'Instrumentos Financeiros'!$I$43)^(1/12)-1),$F$11,-$I$68),0)</f>
        <v>0</v>
      </c>
      <c r="AO445" s="1312">
        <f t="shared" si="280"/>
        <v>3.1979635846170901E-11</v>
      </c>
      <c r="AP445" s="1312">
        <f>AQ444*((1+'Instrumentos Financeiros'!$I$43)^(1/12)-1)</f>
        <v>-3.1979635846170901E-11</v>
      </c>
      <c r="AQ445" s="1312">
        <f t="shared" si="298"/>
        <v>-7.4278066412324232E-9</v>
      </c>
      <c r="AR445" s="1312">
        <f>IF(AND(C445&gt;$F$69,'Instrumentos Financeiros'!C445&lt;'Instrumentos Financeiros'!$F$69+'Instrumentos Financeiros'!$F$11+1),PMT(((1+'Instrumentos Financeiros'!$I$43)^(1/12)-1),$F$11,-$I$69),0)</f>
        <v>0</v>
      </c>
      <c r="AS445" s="1312">
        <f t="shared" si="281"/>
        <v>0</v>
      </c>
      <c r="AT445" s="1312">
        <f>AU444*((1+'Instrumentos Financeiros'!$I$43)^(1/12)-1)</f>
        <v>0</v>
      </c>
      <c r="AU445" s="1312">
        <f t="shared" si="299"/>
        <v>0</v>
      </c>
      <c r="AV445" s="1312">
        <f>IF(AND(C445&gt;$F$70,'Instrumentos Financeiros'!C445&lt;'Instrumentos Financeiros'!$F$70+'Instrumentos Financeiros'!$F$11+1),PMT(((1+'Instrumentos Financeiros'!$J$43)^(1/12)-1),$F$11,-$I$70),0)</f>
        <v>0</v>
      </c>
      <c r="AW445" s="1312">
        <f t="shared" si="282"/>
        <v>0</v>
      </c>
      <c r="AX445" s="1312">
        <f>AY444*((1+'Instrumentos Financeiros'!$J$43)^(1/12)-1)</f>
        <v>0</v>
      </c>
      <c r="AY445" s="1312">
        <f t="shared" si="300"/>
        <v>0</v>
      </c>
      <c r="AZ445" s="1312">
        <f>IF(AND(C445&gt;$F$71,'Instrumentos Financeiros'!C445&lt;'Instrumentos Financeiros'!$F$71+'Instrumentos Financeiros'!$F$11+1),PMT(((1+'Instrumentos Financeiros'!$J$43)^(1/12)-1),$F$11,-$I$71),0)</f>
        <v>0</v>
      </c>
      <c r="BA445" s="1312">
        <f t="shared" si="283"/>
        <v>0</v>
      </c>
      <c r="BB445" s="1312">
        <f>BC444*((1+'Instrumentos Financeiros'!$J$43)^(1/12)-1)</f>
        <v>0</v>
      </c>
      <c r="BC445" s="1312">
        <f t="shared" si="301"/>
        <v>0</v>
      </c>
      <c r="BD445" s="1312">
        <f>IF(AND(C445&gt;$F$72,'Instrumentos Financeiros'!C445&lt;'Instrumentos Financeiros'!$F$72+'Instrumentos Financeiros'!$F$11+1),PMT(((1+'Instrumentos Financeiros'!$J$43)^(1/12)-1),$F$11,-'Instrumentos Financeiros'!$G$7*$G$72),0)</f>
        <v>0</v>
      </c>
      <c r="BE445" s="1312">
        <f t="shared" si="284"/>
        <v>0</v>
      </c>
      <c r="BF445" s="1312">
        <f>BG444*((1+'Instrumentos Financeiros'!$J$43)^(1/12)-1)</f>
        <v>0</v>
      </c>
      <c r="BG445" s="1312">
        <f t="shared" si="302"/>
        <v>0</v>
      </c>
      <c r="BH445" s="1312">
        <f>IF(AND(C445&gt;$F$73,'Instrumentos Financeiros'!C445&lt;'Instrumentos Financeiros'!$F$73+'Instrumentos Financeiros'!$F$11+1),PMT(((1+'Instrumentos Financeiros'!$J$43)^(1/12)-1),$F$11,-$I$73),0)</f>
        <v>0</v>
      </c>
      <c r="BI445" s="1312">
        <f t="shared" si="285"/>
        <v>0</v>
      </c>
      <c r="BJ445" s="1312">
        <f>BK444*((1+'Instrumentos Financeiros'!$J$43)^(1/12)-1)</f>
        <v>0</v>
      </c>
      <c r="BK445" s="1312">
        <f t="shared" si="303"/>
        <v>0</v>
      </c>
      <c r="BL445" s="1312">
        <f>IF(AND(C445&gt;$F$77,'Instrumentos Financeiros'!C445&lt;'Instrumentos Financeiros'!$F$77+'Instrumentos Financeiros'!$F$12+1),PMT(((1+'Instrumentos Financeiros'!$K$43)^(1/12)-1),$F$12,-$I$77),0)</f>
        <v>0</v>
      </c>
      <c r="BM445" s="1312">
        <f t="shared" si="304"/>
        <v>9.036224732232108E-14</v>
      </c>
      <c r="BN445" s="1312">
        <f>BO444*((1+'Instrumentos Financeiros'!$K$43)^(1/12)-1)</f>
        <v>-9.036224732232108E-14</v>
      </c>
      <c r="BO445" s="1312">
        <f t="shared" si="305"/>
        <v>-2.0988147082287333E-11</v>
      </c>
      <c r="BP445" s="1312">
        <f>IF(AND(C445&gt;$F$78,'Instrumentos Financeiros'!C445&lt;'Instrumentos Financeiros'!$F$78+'Instrumentos Financeiros'!$F$12+1),PMT(((1+'Instrumentos Financeiros'!$L$43)^(1/12)-1),$F$12,-$I$78),0)</f>
        <v>0</v>
      </c>
      <c r="BQ445" s="1312">
        <f t="shared" si="306"/>
        <v>8.9200129793996551E-14</v>
      </c>
      <c r="BR445" s="1312">
        <f>BS444*((1+'Instrumentos Financeiros'!$L$43)^(1/12)-1)</f>
        <v>-8.9200129793996551E-14</v>
      </c>
      <c r="BS445" s="1312">
        <f t="shared" si="307"/>
        <v>-2.0718225800622234E-11</v>
      </c>
      <c r="BT445" s="1312">
        <f>IF(AND(C445&gt;$F$79,'Instrumentos Financeiros'!C445&lt;'Instrumentos Financeiros'!$F$79+'Instrumentos Financeiros'!$F$12+1),PMT(((1+'Instrumentos Financeiros'!$L$43)^(1/12)-1),$F$12,-$I$79),0)</f>
        <v>0</v>
      </c>
      <c r="BU445" s="1312">
        <f t="shared" si="308"/>
        <v>8.8052957856221806E-14</v>
      </c>
      <c r="BV445" s="1312">
        <f>BW444*((1+'Instrumentos Financeiros'!$L$43)^(1/12)-1)</f>
        <v>-8.8052957856221806E-14</v>
      </c>
      <c r="BW445" s="1312">
        <f t="shared" si="309"/>
        <v>-2.0451775882961306E-11</v>
      </c>
      <c r="BX445" s="1312">
        <f>IF(AND(C445&gt;$F$80,'Instrumentos Financeiros'!C445&lt;'Instrumentos Financeiros'!$F$80+'Instrumentos Financeiros'!$F$12+1),PMT(((1+'Instrumentos Financeiros'!$L$43)^(1/12)-1),$F$12,-$I$80),0)</f>
        <v>0</v>
      </c>
      <c r="BY445" s="1312">
        <f t="shared" si="310"/>
        <v>8.6920539298939403E-14</v>
      </c>
      <c r="BZ445" s="1312">
        <f>CA444*((1+'Instrumentos Financeiros'!$L$43)^(1/12)-1)</f>
        <v>-8.6920539298939403E-14</v>
      </c>
      <c r="CA445" s="1312">
        <f t="shared" si="311"/>
        <v>-2.0188752685295841E-11</v>
      </c>
      <c r="CB445" s="1312">
        <f>IF(AND(C445&gt;$F$83,'Instrumentos Financeiros'!C445&lt;'Instrumentos Financeiros'!$F$83+'Instrumentos Financeiros'!$F$13+1),PMT(((1+'Instrumentos Financeiros'!$P$43)^(1/12)-1),$F$13,-$I$83),0)</f>
        <v>0</v>
      </c>
      <c r="CC445" s="1312">
        <f t="shared" si="312"/>
        <v>7.9518653491784706E-12</v>
      </c>
      <c r="CD445" s="1312">
        <f>CE444*((1+'Instrumentos Financeiros'!$P$43)^(1/12)-1)</f>
        <v>-7.9518653491784706E-12</v>
      </c>
      <c r="CE445" s="1312">
        <f t="shared" si="313"/>
        <v>-1.8469540596062163E-9</v>
      </c>
      <c r="CF445" s="1312">
        <f>IF(AND(C445&gt;$F$84,'Instrumentos Financeiros'!C445&lt;'Instrumentos Financeiros'!$F$84+'Instrumentos Financeiros'!$F$13+1),PMT(((1+'Instrumentos Financeiros'!$Q$43)^(1/12)-1),$F$13,-$I$84),0)</f>
        <v>0</v>
      </c>
      <c r="CG445" s="1312">
        <f t="shared" si="314"/>
        <v>7.8495991663533093E-12</v>
      </c>
      <c r="CH445" s="1312">
        <f>CI444*((1+'Instrumentos Financeiros'!$Q$43)^(1/12)-1)</f>
        <v>-7.8495991663533093E-12</v>
      </c>
      <c r="CI445" s="1312">
        <f t="shared" si="315"/>
        <v>-1.8232010239051181E-9</v>
      </c>
      <c r="CJ445" s="1312">
        <f>IF(AND(C445&gt;$F$85,'Instrumentos Financeiros'!C445&lt;'Instrumentos Financeiros'!$F$85+'Instrumentos Financeiros'!$F$13+1),PMT(((1+'Instrumentos Financeiros'!$Q$43)^(1/12)-1),$F$13,-$I$85),0)</f>
        <v>30503.390100238979</v>
      </c>
      <c r="CK445" s="1312">
        <f t="shared" si="316"/>
        <v>30111.096577675689</v>
      </c>
      <c r="CL445" s="1312">
        <f>CM444*((1+'Instrumentos Financeiros'!$Q$43)^(1/12)-1)</f>
        <v>392.29352256328866</v>
      </c>
      <c r="CM445" s="1312">
        <f t="shared" si="317"/>
        <v>60613.358265016461</v>
      </c>
      <c r="CN445" s="1312">
        <f>IF(AND(C445&gt;$F$86,'Instrumentos Financeiros'!C445&lt;'Instrumentos Financeiros'!$F$86+'Instrumentos Financeiros'!$F$13+1),PMT(((1+'Instrumentos Financeiros'!$Q$43)^(1/12)-1),$F$13,-$I$86),0)</f>
        <v>30503.390100238979</v>
      </c>
      <c r="CO445" s="1312">
        <f t="shared" si="318"/>
        <v>29723.848206072318</v>
      </c>
      <c r="CP445" s="1312">
        <f>CQ444*((1+'Instrumentos Financeiros'!$Q$43)^(1/12)-1)</f>
        <v>779.54189416666236</v>
      </c>
      <c r="CQ445" s="1312">
        <f t="shared" si="319"/>
        <v>150558.28572567072</v>
      </c>
      <c r="CR445" s="1312">
        <f t="shared" si="288"/>
        <v>61006.780200477959</v>
      </c>
      <c r="CS445" s="1312">
        <f t="shared" si="288"/>
        <v>59834.944783748142</v>
      </c>
      <c r="CT445" s="1312">
        <f t="shared" si="288"/>
        <v>1171.8354167298178</v>
      </c>
      <c r="CU445" s="1312">
        <f t="shared" si="288"/>
        <v>211171.64399065642</v>
      </c>
    </row>
    <row r="446" spans="3:99" x14ac:dyDescent="0.35">
      <c r="C446" s="1315">
        <f t="shared" si="289"/>
        <v>353</v>
      </c>
      <c r="D446" s="1312">
        <f>IF(AND(C446&gt;$F$59,'Instrumentos Financeiros'!C446&lt;'Instrumentos Financeiros'!$F$59+'Instrumentos Financeiros'!$F$11+1),PMT(((1+'Instrumentos Financeiros'!$G$43)^(1/12)-1),$F$11,-$I$59),0)</f>
        <v>0</v>
      </c>
      <c r="E446" s="1312">
        <f t="shared" si="286"/>
        <v>-1.3446627750291502E-11</v>
      </c>
      <c r="F446" s="1312">
        <f>G445*((1+'Instrumentos Financeiros'!$G$43)^(1/12)-1)</f>
        <v>1.3446627750291502E-11</v>
      </c>
      <c r="G446" s="1312">
        <f t="shared" si="320"/>
        <v>3.3077348984295588E-9</v>
      </c>
      <c r="H446" s="1312">
        <f>IF(AND(C446&gt;$F$60,'Instrumentos Financeiros'!C446&lt;'Instrumentos Financeiros'!$F$60+'Instrumentos Financeiros'!$F$11+1),PMT(((1+'Instrumentos Financeiros'!$G$43)^(1/12)-1),$F$11,-$I$60),0)</f>
        <v>0</v>
      </c>
      <c r="I446" s="1312">
        <f t="shared" si="272"/>
        <v>0</v>
      </c>
      <c r="J446" s="1312">
        <f>K445*((1+'Instrumentos Financeiros'!$G$43)^(1/12)-1)</f>
        <v>0</v>
      </c>
      <c r="K446" s="1312">
        <f t="shared" si="290"/>
        <v>0</v>
      </c>
      <c r="L446" s="1312">
        <f>IF(AND(C446&gt;$F$61,'Instrumentos Financeiros'!C446&lt;'Instrumentos Financeiros'!$F$61+'Instrumentos Financeiros'!$F$11+1),PMT(((1+'Instrumentos Financeiros'!$G$43)^(1/12)-1),$F$11,-$I$61),0)</f>
        <v>0</v>
      </c>
      <c r="M446" s="1312">
        <f t="shared" si="273"/>
        <v>0</v>
      </c>
      <c r="N446" s="1312">
        <f>O445*((1+'Instrumentos Financeiros'!$G$43)^(1/12)-1)</f>
        <v>0</v>
      </c>
      <c r="O446" s="1312">
        <f t="shared" si="291"/>
        <v>0</v>
      </c>
      <c r="P446" s="1312">
        <f>IF(AND(C446&gt;$F$62,'Instrumentos Financeiros'!C446&lt;'Instrumentos Financeiros'!$F$62+'Instrumentos Financeiros'!$F$11+1),PMT(((1+'Instrumentos Financeiros'!$H$43)^(1/12)-1),$F$11,-$I$62),0)</f>
        <v>0</v>
      </c>
      <c r="Q446" s="1312">
        <f t="shared" si="274"/>
        <v>0</v>
      </c>
      <c r="R446" s="1312">
        <f>S445*((1+'Instrumentos Financeiros'!$H$43)^(1/12)-1)</f>
        <v>0</v>
      </c>
      <c r="S446" s="1312">
        <f t="shared" si="292"/>
        <v>0</v>
      </c>
      <c r="T446" s="1312">
        <f>IF(AND(C446&gt;$F$63,'Instrumentos Financeiros'!C446&lt;'Instrumentos Financeiros'!$F$63+'Instrumentos Financeiros'!$F$11+1),PMT(((1+'Instrumentos Financeiros'!$H$43)^(1/12)-1),$F$11,-$I$63),0)</f>
        <v>0</v>
      </c>
      <c r="U446" s="1312">
        <f t="shared" si="275"/>
        <v>0</v>
      </c>
      <c r="V446" s="1312">
        <f>W445*((1+'Instrumentos Financeiros'!$H$43)^(1/12)-1)</f>
        <v>0</v>
      </c>
      <c r="W446" s="1312">
        <f t="shared" si="293"/>
        <v>0</v>
      </c>
      <c r="X446" s="1312">
        <f>IF(AND(C446&gt;$F$64,'Instrumentos Financeiros'!C446&lt;'Instrumentos Financeiros'!$F$64+'Instrumentos Financeiros'!$F$11+1),PMT(((1+'Instrumentos Financeiros'!$H$43)^(1/12)-1),$F$11,-$I$64),0)</f>
        <v>0</v>
      </c>
      <c r="Y446" s="1312">
        <f t="shared" si="276"/>
        <v>0</v>
      </c>
      <c r="Z446" s="1312">
        <f>AA445*((1+'Instrumentos Financeiros'!$H$43)^(1/12)-1)</f>
        <v>0</v>
      </c>
      <c r="AA446" s="1312">
        <f t="shared" si="294"/>
        <v>0</v>
      </c>
      <c r="AB446" s="1312">
        <f>IF(AND(C446&gt;$F$65,'Instrumentos Financeiros'!C446&lt;'Instrumentos Financeiros'!$F$65+'Instrumentos Financeiros'!$F$11+1),PMT(((1+'Instrumentos Financeiros'!$H$43)^(1/12)-1),$F$11,-$I$65),0)</f>
        <v>0</v>
      </c>
      <c r="AC446" s="1312">
        <f t="shared" si="277"/>
        <v>3.3389658012395919E-11</v>
      </c>
      <c r="AD446" s="1312">
        <f>AE445*((1+'Instrumentos Financeiros'!$H$43)^(1/12)-1)</f>
        <v>-3.3389658012395919E-11</v>
      </c>
      <c r="AE446" s="1312">
        <f t="shared" si="295"/>
        <v>-7.7553079317708868E-9</v>
      </c>
      <c r="AF446" s="1312">
        <f>IF(AND(C446&gt;$F$66,'Instrumentos Financeiros'!C446&lt;'Instrumentos Financeiros'!$F$66+'Instrumentos Financeiros'!$F$11+1),PMT(((1+'Instrumentos Financeiros'!$I$43)^(1/12)-1),$F$11,-$I$66),0)</f>
        <v>0</v>
      </c>
      <c r="AG446" s="1312">
        <f t="shared" si="278"/>
        <v>3.2960245199071801E-11</v>
      </c>
      <c r="AH446" s="1312">
        <f>AI445*((1+'Instrumentos Financeiros'!$I$43)^(1/12)-1)</f>
        <v>-3.2960245199071801E-11</v>
      </c>
      <c r="AI446" s="1312">
        <f t="shared" si="296"/>
        <v>-7.6555696057317224E-9</v>
      </c>
      <c r="AJ446" s="1312">
        <f>IF(AND(C446&gt;$F$67,'Instrumentos Financeiros'!C446&lt;'Instrumentos Financeiros'!$F$67+'Instrumentos Financeiros'!$F$11+1),PMT(((1+'Instrumentos Financeiros'!$I$43)^(1/12)-1),$F$11,-$I$67),0)</f>
        <v>0</v>
      </c>
      <c r="AK446" s="1312">
        <f t="shared" si="279"/>
        <v>3.2536354915034406E-11</v>
      </c>
      <c r="AL446" s="1312">
        <f>AM445*((1+'Instrumentos Financeiros'!$I$43)^(1/12)-1)</f>
        <v>-3.2536354915034406E-11</v>
      </c>
      <c r="AM446" s="1312">
        <f t="shared" si="297"/>
        <v>-7.5571139797179609E-9</v>
      </c>
      <c r="AN446" s="1312">
        <f>IF(AND(C446&gt;$F$68,'Instrumentos Financeiros'!C446&lt;'Instrumentos Financeiros'!$F$68+'Instrumentos Financeiros'!$F$11+1),PMT(((1+'Instrumentos Financeiros'!$I$43)^(1/12)-1),$F$11,-$I$68),0)</f>
        <v>0</v>
      </c>
      <c r="AO446" s="1312">
        <f t="shared" si="280"/>
        <v>3.2117916136949593E-11</v>
      </c>
      <c r="AP446" s="1312">
        <f>AQ445*((1+'Instrumentos Financeiros'!$I$43)^(1/12)-1)</f>
        <v>-3.2117916136949593E-11</v>
      </c>
      <c r="AQ446" s="1312">
        <f t="shared" si="298"/>
        <v>-7.4599245573693722E-9</v>
      </c>
      <c r="AR446" s="1312">
        <f>IF(AND(C446&gt;$F$69,'Instrumentos Financeiros'!C446&lt;'Instrumentos Financeiros'!$F$69+'Instrumentos Financeiros'!$F$11+1),PMT(((1+'Instrumentos Financeiros'!$I$43)^(1/12)-1),$F$11,-$I$69),0)</f>
        <v>0</v>
      </c>
      <c r="AS446" s="1312">
        <f t="shared" si="281"/>
        <v>0</v>
      </c>
      <c r="AT446" s="1312">
        <f>AU445*((1+'Instrumentos Financeiros'!$I$43)^(1/12)-1)</f>
        <v>0</v>
      </c>
      <c r="AU446" s="1312">
        <f t="shared" si="299"/>
        <v>0</v>
      </c>
      <c r="AV446" s="1312">
        <f>IF(AND(C446&gt;$F$70,'Instrumentos Financeiros'!C446&lt;'Instrumentos Financeiros'!$F$70+'Instrumentos Financeiros'!$F$11+1),PMT(((1+'Instrumentos Financeiros'!$J$43)^(1/12)-1),$F$11,-$I$70),0)</f>
        <v>0</v>
      </c>
      <c r="AW446" s="1312">
        <f t="shared" si="282"/>
        <v>0</v>
      </c>
      <c r="AX446" s="1312">
        <f>AY445*((1+'Instrumentos Financeiros'!$J$43)^(1/12)-1)</f>
        <v>0</v>
      </c>
      <c r="AY446" s="1312">
        <f t="shared" si="300"/>
        <v>0</v>
      </c>
      <c r="AZ446" s="1312">
        <f>IF(AND(C446&gt;$F$71,'Instrumentos Financeiros'!C446&lt;'Instrumentos Financeiros'!$F$71+'Instrumentos Financeiros'!$F$11+1),PMT(((1+'Instrumentos Financeiros'!$J$43)^(1/12)-1),$F$11,-$I$71),0)</f>
        <v>0</v>
      </c>
      <c r="BA446" s="1312">
        <f t="shared" si="283"/>
        <v>0</v>
      </c>
      <c r="BB446" s="1312">
        <f>BC445*((1+'Instrumentos Financeiros'!$J$43)^(1/12)-1)</f>
        <v>0</v>
      </c>
      <c r="BC446" s="1312">
        <f t="shared" si="301"/>
        <v>0</v>
      </c>
      <c r="BD446" s="1312">
        <f>IF(AND(C446&gt;$F$72,'Instrumentos Financeiros'!C446&lt;'Instrumentos Financeiros'!$F$72+'Instrumentos Financeiros'!$F$11+1),PMT(((1+'Instrumentos Financeiros'!$J$43)^(1/12)-1),$F$11,-'Instrumentos Financeiros'!$G$7*$G$72),0)</f>
        <v>0</v>
      </c>
      <c r="BE446" s="1312">
        <f t="shared" si="284"/>
        <v>0</v>
      </c>
      <c r="BF446" s="1312">
        <f>BG445*((1+'Instrumentos Financeiros'!$J$43)^(1/12)-1)</f>
        <v>0</v>
      </c>
      <c r="BG446" s="1312">
        <f t="shared" si="302"/>
        <v>0</v>
      </c>
      <c r="BH446" s="1312">
        <f>IF(AND(C446&gt;$F$73,'Instrumentos Financeiros'!C446&lt;'Instrumentos Financeiros'!$F$73+'Instrumentos Financeiros'!$F$11+1),PMT(((1+'Instrumentos Financeiros'!$J$43)^(1/12)-1),$F$11,-$I$73),0)</f>
        <v>0</v>
      </c>
      <c r="BI446" s="1312">
        <f t="shared" si="285"/>
        <v>0</v>
      </c>
      <c r="BJ446" s="1312">
        <f>BK445*((1+'Instrumentos Financeiros'!$J$43)^(1/12)-1)</f>
        <v>0</v>
      </c>
      <c r="BK446" s="1312">
        <f t="shared" si="303"/>
        <v>0</v>
      </c>
      <c r="BL446" s="1312">
        <f>IF(AND(C446&gt;$F$77,'Instrumentos Financeiros'!C446&lt;'Instrumentos Financeiros'!$F$77+'Instrumentos Financeiros'!$F$12+1),PMT(((1+'Instrumentos Financeiros'!$K$43)^(1/12)-1),$F$12,-$I$77),0)</f>
        <v>0</v>
      </c>
      <c r="BM446" s="1312">
        <f t="shared" si="304"/>
        <v>9.0752974655654445E-14</v>
      </c>
      <c r="BN446" s="1312">
        <f>BO445*((1+'Instrumentos Financeiros'!$K$43)^(1/12)-1)</f>
        <v>-9.0752974655654445E-14</v>
      </c>
      <c r="BO446" s="1312">
        <f t="shared" si="305"/>
        <v>-2.1078900056942986E-11</v>
      </c>
      <c r="BP446" s="1312">
        <f>IF(AND(C446&gt;$F$78,'Instrumentos Financeiros'!C446&lt;'Instrumentos Financeiros'!$F$78+'Instrumentos Financeiros'!$F$12+1),PMT(((1+'Instrumentos Financeiros'!$L$43)^(1/12)-1),$F$12,-$I$78),0)</f>
        <v>0</v>
      </c>
      <c r="BQ446" s="1312">
        <f t="shared" si="306"/>
        <v>8.9585832118586575E-14</v>
      </c>
      <c r="BR446" s="1312">
        <f>BS445*((1+'Instrumentos Financeiros'!$L$43)^(1/12)-1)</f>
        <v>-8.9585832118586575E-14</v>
      </c>
      <c r="BS446" s="1312">
        <f t="shared" si="307"/>
        <v>-2.080781163274082E-11</v>
      </c>
      <c r="BT446" s="1312">
        <f>IF(AND(C446&gt;$F$79,'Instrumentos Financeiros'!C446&lt;'Instrumentos Financeiros'!$F$79+'Instrumentos Financeiros'!$F$12+1),PMT(((1+'Instrumentos Financeiros'!$L$43)^(1/12)-1),$F$12,-$I$79),0)</f>
        <v>0</v>
      </c>
      <c r="BU446" s="1312">
        <f t="shared" si="308"/>
        <v>8.8433699796963445E-14</v>
      </c>
      <c r="BV446" s="1312">
        <f>BW445*((1+'Instrumentos Financeiros'!$L$43)^(1/12)-1)</f>
        <v>-8.8433699796963445E-14</v>
      </c>
      <c r="BW446" s="1312">
        <f t="shared" si="309"/>
        <v>-2.0540209582758269E-11</v>
      </c>
      <c r="BX446" s="1312">
        <f>IF(AND(C446&gt;$F$80,'Instrumentos Financeiros'!C446&lt;'Instrumentos Financeiros'!$F$80+'Instrumentos Financeiros'!$F$12+1),PMT(((1+'Instrumentos Financeiros'!$L$43)^(1/12)-1),$F$12,-$I$80),0)</f>
        <v>0</v>
      </c>
      <c r="BY446" s="1312">
        <f t="shared" si="310"/>
        <v>8.7296384649609246E-14</v>
      </c>
      <c r="BZ446" s="1312">
        <f>CA445*((1+'Instrumentos Financeiros'!$L$43)^(1/12)-1)</f>
        <v>-8.7296384649609246E-14</v>
      </c>
      <c r="CA446" s="1312">
        <f t="shared" si="311"/>
        <v>-2.027604906994545E-11</v>
      </c>
      <c r="CB446" s="1312">
        <f>IF(AND(C446&gt;$F$83,'Instrumentos Financeiros'!C446&lt;'Instrumentos Financeiros'!$F$83+'Instrumentos Financeiros'!$F$13+1),PMT(((1+'Instrumentos Financeiros'!$P$43)^(1/12)-1),$F$13,-$I$83),0)</f>
        <v>0</v>
      </c>
      <c r="CC446" s="1312">
        <f t="shared" si="312"/>
        <v>7.9862493008284095E-12</v>
      </c>
      <c r="CD446" s="1312">
        <f>CE445*((1+'Instrumentos Financeiros'!$P$43)^(1/12)-1)</f>
        <v>-7.9862493008284095E-12</v>
      </c>
      <c r="CE446" s="1312">
        <f t="shared" si="313"/>
        <v>-1.8549403089070447E-9</v>
      </c>
      <c r="CF446" s="1312">
        <f>IF(AND(C446&gt;$F$84,'Instrumentos Financeiros'!C446&lt;'Instrumentos Financeiros'!$F$84+'Instrumentos Financeiros'!$F$13+1),PMT(((1+'Instrumentos Financeiros'!$Q$43)^(1/12)-1),$F$13,-$I$84),0)</f>
        <v>0</v>
      </c>
      <c r="CG446" s="1312">
        <f t="shared" si="314"/>
        <v>7.8835409179242396E-12</v>
      </c>
      <c r="CH446" s="1312">
        <f>CI445*((1+'Instrumentos Financeiros'!$Q$43)^(1/12)-1)</f>
        <v>-7.8835409179242396E-12</v>
      </c>
      <c r="CI446" s="1312">
        <f t="shared" si="315"/>
        <v>-1.8310845648230423E-9</v>
      </c>
      <c r="CJ446" s="1312">
        <f>IF(AND(C446&gt;$F$85,'Instrumentos Financeiros'!C446&lt;'Instrumentos Financeiros'!$F$85+'Instrumentos Financeiros'!$F$13+1),PMT(((1+'Instrumentos Financeiros'!$Q$43)^(1/12)-1),$F$13,-$I$85),0)</f>
        <v>30503.390100238979</v>
      </c>
      <c r="CK446" s="1312">
        <f t="shared" si="316"/>
        <v>30241.297284477198</v>
      </c>
      <c r="CL446" s="1312">
        <f>CM445*((1+'Instrumentos Financeiros'!$Q$43)^(1/12)-1)</f>
        <v>262.09281576178319</v>
      </c>
      <c r="CM446" s="1312">
        <f t="shared" si="317"/>
        <v>30372.060980539263</v>
      </c>
      <c r="CN446" s="1312">
        <f>IF(AND(C446&gt;$F$86,'Instrumentos Financeiros'!C446&lt;'Instrumentos Financeiros'!$F$86+'Instrumentos Financeiros'!$F$13+1),PMT(((1+'Instrumentos Financeiros'!$Q$43)^(1/12)-1),$F$13,-$I$86),0)</f>
        <v>30503.390100238979</v>
      </c>
      <c r="CO446" s="1312">
        <f t="shared" si="318"/>
        <v>29852.374446732731</v>
      </c>
      <c r="CP446" s="1312">
        <f>CQ445*((1+'Instrumentos Financeiros'!$Q$43)^(1/12)-1)</f>
        <v>651.01565350624969</v>
      </c>
      <c r="CQ446" s="1312">
        <f t="shared" si="319"/>
        <v>120705.91127893799</v>
      </c>
      <c r="CR446" s="1312">
        <f t="shared" si="288"/>
        <v>61006.780200477959</v>
      </c>
      <c r="CS446" s="1312">
        <f t="shared" si="288"/>
        <v>60093.671731210066</v>
      </c>
      <c r="CT446" s="1312">
        <f t="shared" si="288"/>
        <v>913.10846926789907</v>
      </c>
      <c r="CU446" s="1312">
        <f t="shared" si="288"/>
        <v>151077.97225944637</v>
      </c>
    </row>
    <row r="447" spans="3:99" x14ac:dyDescent="0.35">
      <c r="C447" s="1315">
        <f t="shared" si="289"/>
        <v>354</v>
      </c>
      <c r="D447" s="1312">
        <f>IF(AND(C447&gt;$F$59,'Instrumentos Financeiros'!C447&lt;'Instrumentos Financeiros'!$F$59+'Instrumentos Financeiros'!$F$11+1),PMT(((1+'Instrumentos Financeiros'!$G$43)^(1/12)-1),$F$11,-$I$59),0)</f>
        <v>0</v>
      </c>
      <c r="E447" s="1312">
        <f t="shared" si="286"/>
        <v>-1.3501514203145133E-11</v>
      </c>
      <c r="F447" s="1312">
        <f>G446*((1+'Instrumentos Financeiros'!$G$43)^(1/12)-1)</f>
        <v>1.3501514203145133E-11</v>
      </c>
      <c r="G447" s="1312">
        <f t="shared" si="320"/>
        <v>3.3212364126327041E-9</v>
      </c>
      <c r="H447" s="1312">
        <f>IF(AND(C447&gt;$F$60,'Instrumentos Financeiros'!C447&lt;'Instrumentos Financeiros'!$F$60+'Instrumentos Financeiros'!$F$11+1),PMT(((1+'Instrumentos Financeiros'!$G$43)^(1/12)-1),$F$11,-$I$60),0)</f>
        <v>0</v>
      </c>
      <c r="I447" s="1312">
        <f t="shared" si="272"/>
        <v>0</v>
      </c>
      <c r="J447" s="1312">
        <f>K446*((1+'Instrumentos Financeiros'!$G$43)^(1/12)-1)</f>
        <v>0</v>
      </c>
      <c r="K447" s="1312">
        <f t="shared" si="290"/>
        <v>0</v>
      </c>
      <c r="L447" s="1312">
        <f>IF(AND(C447&gt;$F$61,'Instrumentos Financeiros'!C447&lt;'Instrumentos Financeiros'!$F$61+'Instrumentos Financeiros'!$F$11+1),PMT(((1+'Instrumentos Financeiros'!$G$43)^(1/12)-1),$F$11,-$I$61),0)</f>
        <v>0</v>
      </c>
      <c r="M447" s="1312">
        <f t="shared" si="273"/>
        <v>0</v>
      </c>
      <c r="N447" s="1312">
        <f>O446*((1+'Instrumentos Financeiros'!$G$43)^(1/12)-1)</f>
        <v>0</v>
      </c>
      <c r="O447" s="1312">
        <f t="shared" si="291"/>
        <v>0</v>
      </c>
      <c r="P447" s="1312">
        <f>IF(AND(C447&gt;$F$62,'Instrumentos Financeiros'!C447&lt;'Instrumentos Financeiros'!$F$62+'Instrumentos Financeiros'!$F$11+1),PMT(((1+'Instrumentos Financeiros'!$H$43)^(1/12)-1),$F$11,-$I$62),0)</f>
        <v>0</v>
      </c>
      <c r="Q447" s="1312">
        <f t="shared" si="274"/>
        <v>0</v>
      </c>
      <c r="R447" s="1312">
        <f>S446*((1+'Instrumentos Financeiros'!$H$43)^(1/12)-1)</f>
        <v>0</v>
      </c>
      <c r="S447" s="1312">
        <f t="shared" si="292"/>
        <v>0</v>
      </c>
      <c r="T447" s="1312">
        <f>IF(AND(C447&gt;$F$63,'Instrumentos Financeiros'!C447&lt;'Instrumentos Financeiros'!$F$63+'Instrumentos Financeiros'!$F$11+1),PMT(((1+'Instrumentos Financeiros'!$H$43)^(1/12)-1),$F$11,-$I$63),0)</f>
        <v>0</v>
      </c>
      <c r="U447" s="1312">
        <f t="shared" si="275"/>
        <v>0</v>
      </c>
      <c r="V447" s="1312">
        <f>W446*((1+'Instrumentos Financeiros'!$H$43)^(1/12)-1)</f>
        <v>0</v>
      </c>
      <c r="W447" s="1312">
        <f t="shared" si="293"/>
        <v>0</v>
      </c>
      <c r="X447" s="1312">
        <f>IF(AND(C447&gt;$F$64,'Instrumentos Financeiros'!C447&lt;'Instrumentos Financeiros'!$F$64+'Instrumentos Financeiros'!$F$11+1),PMT(((1+'Instrumentos Financeiros'!$H$43)^(1/12)-1),$F$11,-$I$64),0)</f>
        <v>0</v>
      </c>
      <c r="Y447" s="1312">
        <f t="shared" si="276"/>
        <v>0</v>
      </c>
      <c r="Z447" s="1312">
        <f>AA446*((1+'Instrumentos Financeiros'!$H$43)^(1/12)-1)</f>
        <v>0</v>
      </c>
      <c r="AA447" s="1312">
        <f t="shared" si="294"/>
        <v>0</v>
      </c>
      <c r="AB447" s="1312">
        <f>IF(AND(C447&gt;$F$65,'Instrumentos Financeiros'!C447&lt;'Instrumentos Financeiros'!$F$65+'Instrumentos Financeiros'!$F$11+1),PMT(((1+'Instrumentos Financeiros'!$H$43)^(1/12)-1),$F$11,-$I$65),0)</f>
        <v>0</v>
      </c>
      <c r="AC447" s="1312">
        <f t="shared" si="277"/>
        <v>3.3534035254249596E-11</v>
      </c>
      <c r="AD447" s="1312">
        <f>AE446*((1+'Instrumentos Financeiros'!$H$43)^(1/12)-1)</f>
        <v>-3.3534035254249596E-11</v>
      </c>
      <c r="AE447" s="1312">
        <f t="shared" si="295"/>
        <v>-7.7888419670251368E-9</v>
      </c>
      <c r="AF447" s="1312">
        <f>IF(AND(C447&gt;$F$66,'Instrumentos Financeiros'!C447&lt;'Instrumentos Financeiros'!$F$66+'Instrumentos Financeiros'!$F$11+1),PMT(((1+'Instrumentos Financeiros'!$I$43)^(1/12)-1),$F$11,-$I$66),0)</f>
        <v>0</v>
      </c>
      <c r="AG447" s="1312">
        <f t="shared" si="278"/>
        <v>3.3102765655283015E-11</v>
      </c>
      <c r="AH447" s="1312">
        <f>AI446*((1+'Instrumentos Financeiros'!$I$43)^(1/12)-1)</f>
        <v>-3.3102765655283015E-11</v>
      </c>
      <c r="AI447" s="1312">
        <f t="shared" si="296"/>
        <v>-7.6886723713870054E-9</v>
      </c>
      <c r="AJ447" s="1312">
        <f>IF(AND(C447&gt;$F$67,'Instrumentos Financeiros'!C447&lt;'Instrumentos Financeiros'!$F$67+'Instrumentos Financeiros'!$F$11+1),PMT(((1+'Instrumentos Financeiros'!$I$43)^(1/12)-1),$F$11,-$I$67),0)</f>
        <v>0</v>
      </c>
      <c r="AK447" s="1312">
        <f t="shared" si="279"/>
        <v>3.2677042465079426E-11</v>
      </c>
      <c r="AL447" s="1312">
        <f>AM446*((1+'Instrumentos Financeiros'!$I$43)^(1/12)-1)</f>
        <v>-3.2677042465079426E-11</v>
      </c>
      <c r="AM447" s="1312">
        <f t="shared" si="297"/>
        <v>-7.5897910221830402E-9</v>
      </c>
      <c r="AN447" s="1312">
        <f>IF(AND(C447&gt;$F$68,'Instrumentos Financeiros'!C447&lt;'Instrumentos Financeiros'!$F$68+'Instrumentos Financeiros'!$F$11+1),PMT(((1+'Instrumentos Financeiros'!$I$43)^(1/12)-1),$F$11,-$I$68),0)</f>
        <v>0</v>
      </c>
      <c r="AO447" s="1312">
        <f t="shared" si="280"/>
        <v>3.2256794353199037E-11</v>
      </c>
      <c r="AP447" s="1312">
        <f>AQ446*((1+'Instrumentos Financeiros'!$I$43)^(1/12)-1)</f>
        <v>-3.2256794353199037E-11</v>
      </c>
      <c r="AQ447" s="1312">
        <f t="shared" si="298"/>
        <v>-7.4921813517225715E-9</v>
      </c>
      <c r="AR447" s="1312">
        <f>IF(AND(C447&gt;$F$69,'Instrumentos Financeiros'!C447&lt;'Instrumentos Financeiros'!$F$69+'Instrumentos Financeiros'!$F$11+1),PMT(((1+'Instrumentos Financeiros'!$I$43)^(1/12)-1),$F$11,-$I$69),0)</f>
        <v>0</v>
      </c>
      <c r="AS447" s="1312">
        <f t="shared" si="281"/>
        <v>0</v>
      </c>
      <c r="AT447" s="1312">
        <f>AU446*((1+'Instrumentos Financeiros'!$I$43)^(1/12)-1)</f>
        <v>0</v>
      </c>
      <c r="AU447" s="1312">
        <f t="shared" si="299"/>
        <v>0</v>
      </c>
      <c r="AV447" s="1312">
        <f>IF(AND(C447&gt;$F$70,'Instrumentos Financeiros'!C447&lt;'Instrumentos Financeiros'!$F$70+'Instrumentos Financeiros'!$F$11+1),PMT(((1+'Instrumentos Financeiros'!$J$43)^(1/12)-1),$F$11,-$I$70),0)</f>
        <v>0</v>
      </c>
      <c r="AW447" s="1312">
        <f t="shared" si="282"/>
        <v>0</v>
      </c>
      <c r="AX447" s="1312">
        <f>AY446*((1+'Instrumentos Financeiros'!$J$43)^(1/12)-1)</f>
        <v>0</v>
      </c>
      <c r="AY447" s="1312">
        <f t="shared" si="300"/>
        <v>0</v>
      </c>
      <c r="AZ447" s="1312">
        <f>IF(AND(C447&gt;$F$71,'Instrumentos Financeiros'!C447&lt;'Instrumentos Financeiros'!$F$71+'Instrumentos Financeiros'!$F$11+1),PMT(((1+'Instrumentos Financeiros'!$J$43)^(1/12)-1),$F$11,-$I$71),0)</f>
        <v>0</v>
      </c>
      <c r="BA447" s="1312">
        <f t="shared" si="283"/>
        <v>0</v>
      </c>
      <c r="BB447" s="1312">
        <f>BC446*((1+'Instrumentos Financeiros'!$J$43)^(1/12)-1)</f>
        <v>0</v>
      </c>
      <c r="BC447" s="1312">
        <f t="shared" si="301"/>
        <v>0</v>
      </c>
      <c r="BD447" s="1312">
        <f>IF(AND(C447&gt;$F$72,'Instrumentos Financeiros'!C447&lt;'Instrumentos Financeiros'!$F$72+'Instrumentos Financeiros'!$F$11+1),PMT(((1+'Instrumentos Financeiros'!$J$43)^(1/12)-1),$F$11,-'Instrumentos Financeiros'!$G$7*$G$72),0)</f>
        <v>0</v>
      </c>
      <c r="BE447" s="1312">
        <f t="shared" si="284"/>
        <v>0</v>
      </c>
      <c r="BF447" s="1312">
        <f>BG446*((1+'Instrumentos Financeiros'!$J$43)^(1/12)-1)</f>
        <v>0</v>
      </c>
      <c r="BG447" s="1312">
        <f t="shared" si="302"/>
        <v>0</v>
      </c>
      <c r="BH447" s="1312">
        <f>IF(AND(C447&gt;$F$73,'Instrumentos Financeiros'!C447&lt;'Instrumentos Financeiros'!$F$73+'Instrumentos Financeiros'!$F$11+1),PMT(((1+'Instrumentos Financeiros'!$J$43)^(1/12)-1),$F$11,-$I$73),0)</f>
        <v>0</v>
      </c>
      <c r="BI447" s="1312">
        <f t="shared" si="285"/>
        <v>0</v>
      </c>
      <c r="BJ447" s="1312">
        <f>BK446*((1+'Instrumentos Financeiros'!$J$43)^(1/12)-1)</f>
        <v>0</v>
      </c>
      <c r="BK447" s="1312">
        <f t="shared" si="303"/>
        <v>0</v>
      </c>
      <c r="BL447" s="1312">
        <f>IF(AND(C447&gt;$F$77,'Instrumentos Financeiros'!C447&lt;'Instrumentos Financeiros'!$F$77+'Instrumentos Financeiros'!$F$12+1),PMT(((1+'Instrumentos Financeiros'!$K$43)^(1/12)-1),$F$12,-$I$77),0)</f>
        <v>0</v>
      </c>
      <c r="BM447" s="1312">
        <f t="shared" si="304"/>
        <v>9.1145391498196987E-14</v>
      </c>
      <c r="BN447" s="1312">
        <f>BO446*((1+'Instrumentos Financeiros'!$K$43)^(1/12)-1)</f>
        <v>-9.1145391498196987E-14</v>
      </c>
      <c r="BO447" s="1312">
        <f t="shared" si="305"/>
        <v>-2.1170045448441183E-11</v>
      </c>
      <c r="BP447" s="1312">
        <f>IF(AND(C447&gt;$F$78,'Instrumentos Financeiros'!C447&lt;'Instrumentos Financeiros'!$F$78+'Instrumentos Financeiros'!$F$12+1),PMT(((1+'Instrumentos Financeiros'!$L$43)^(1/12)-1),$F$12,-$I$78),0)</f>
        <v>0</v>
      </c>
      <c r="BQ447" s="1312">
        <f t="shared" si="306"/>
        <v>8.9973202224193712E-14</v>
      </c>
      <c r="BR447" s="1312">
        <f>BS446*((1+'Instrumentos Financeiros'!$L$43)^(1/12)-1)</f>
        <v>-8.9973202224193712E-14</v>
      </c>
      <c r="BS447" s="1312">
        <f t="shared" si="307"/>
        <v>-2.0897784834965013E-11</v>
      </c>
      <c r="BT447" s="1312">
        <f>IF(AND(C447&gt;$F$79,'Instrumentos Financeiros'!C447&lt;'Instrumentos Financeiros'!$F$79+'Instrumentos Financeiros'!$F$12+1),PMT(((1+'Instrumentos Financeiros'!$L$43)^(1/12)-1),$F$12,-$I$79),0)</f>
        <v>0</v>
      </c>
      <c r="BU447" s="1312">
        <f t="shared" si="308"/>
        <v>8.8816088069968862E-14</v>
      </c>
      <c r="BV447" s="1312">
        <f>BW446*((1+'Instrumentos Financeiros'!$L$43)^(1/12)-1)</f>
        <v>-8.8816088069968862E-14</v>
      </c>
      <c r="BW447" s="1312">
        <f t="shared" si="309"/>
        <v>-2.0629025670828239E-11</v>
      </c>
      <c r="BX447" s="1312">
        <f>IF(AND(C447&gt;$F$80,'Instrumentos Financeiros'!C447&lt;'Instrumentos Financeiros'!$F$80+'Instrumentos Financeiros'!$F$12+1),PMT(((1+'Instrumentos Financeiros'!$L$43)^(1/12)-1),$F$12,-$I$80),0)</f>
        <v>0</v>
      </c>
      <c r="BY447" s="1312">
        <f t="shared" si="310"/>
        <v>8.7673855159634512E-14</v>
      </c>
      <c r="BZ447" s="1312">
        <f>CA446*((1+'Instrumentos Financeiros'!$L$43)^(1/12)-1)</f>
        <v>-8.7673855159634512E-14</v>
      </c>
      <c r="CA447" s="1312">
        <f t="shared" si="311"/>
        <v>-2.0363722925105085E-11</v>
      </c>
      <c r="CB447" s="1312">
        <f>IF(AND(C447&gt;$F$83,'Instrumentos Financeiros'!C447&lt;'Instrumentos Financeiros'!$F$83+'Instrumentos Financeiros'!$F$13+1),PMT(((1+'Instrumentos Financeiros'!$P$43)^(1/12)-1),$F$13,-$I$83),0)</f>
        <v>0</v>
      </c>
      <c r="CC447" s="1312">
        <f t="shared" si="312"/>
        <v>8.0207819290566294E-12</v>
      </c>
      <c r="CD447" s="1312">
        <f>CE446*((1+'Instrumentos Financeiros'!$P$43)^(1/12)-1)</f>
        <v>-8.0207819290566294E-12</v>
      </c>
      <c r="CE447" s="1312">
        <f t="shared" si="313"/>
        <v>-1.8629610908361014E-9</v>
      </c>
      <c r="CF447" s="1312">
        <f>IF(AND(C447&gt;$F$84,'Instrumentos Financeiros'!C447&lt;'Instrumentos Financeiros'!$F$84+'Instrumentos Financeiros'!$F$13+1),PMT(((1+'Instrumentos Financeiros'!$Q$43)^(1/12)-1),$F$13,-$I$84),0)</f>
        <v>0</v>
      </c>
      <c r="CG447" s="1312">
        <f t="shared" si="314"/>
        <v>7.9176294339955303E-12</v>
      </c>
      <c r="CH447" s="1312">
        <f>CI446*((1+'Instrumentos Financeiros'!$Q$43)^(1/12)-1)</f>
        <v>-7.9176294339955303E-12</v>
      </c>
      <c r="CI447" s="1312">
        <f t="shared" si="315"/>
        <v>-1.8390021942570379E-9</v>
      </c>
      <c r="CJ447" s="1312">
        <f>IF(AND(C447&gt;$F$85,'Instrumentos Financeiros'!C447&lt;'Instrumentos Financeiros'!$F$85+'Instrumentos Financeiros'!$F$13+1),PMT(((1+'Instrumentos Financeiros'!$Q$43)^(1/12)-1),$F$13,-$I$85),0)</f>
        <v>30503.390100238979</v>
      </c>
      <c r="CK447" s="1312">
        <f t="shared" si="316"/>
        <v>30372.060980541079</v>
      </c>
      <c r="CL447" s="1312">
        <f>CM446*((1+'Instrumentos Financeiros'!$Q$43)^(1/12)-1)</f>
        <v>131.32911969790129</v>
      </c>
      <c r="CM447" s="1312">
        <f t="shared" si="317"/>
        <v>-1.8153514247387648E-9</v>
      </c>
      <c r="CN447" s="1312">
        <f>IF(AND(C447&gt;$F$86,'Instrumentos Financeiros'!C447&lt;'Instrumentos Financeiros'!$F$86+'Instrumentos Financeiros'!$F$13+1),PMT(((1+'Instrumentos Financeiros'!$Q$43)^(1/12)-1),$F$13,-$I$86),0)</f>
        <v>30503.390100238979</v>
      </c>
      <c r="CO447" s="1312">
        <f t="shared" si="318"/>
        <v>29981.45643624584</v>
      </c>
      <c r="CP447" s="1312">
        <f>CQ446*((1+'Instrumentos Financeiros'!$Q$43)^(1/12)-1)</f>
        <v>521.93366399313879</v>
      </c>
      <c r="CQ447" s="1312">
        <f t="shared" si="319"/>
        <v>90724.454842692154</v>
      </c>
      <c r="CR447" s="1312">
        <f t="shared" si="288"/>
        <v>61006.780200477959</v>
      </c>
      <c r="CS447" s="1312">
        <f t="shared" si="288"/>
        <v>60353.517416787057</v>
      </c>
      <c r="CT447" s="1312">
        <f t="shared" si="288"/>
        <v>653.26278369090574</v>
      </c>
      <c r="CU447" s="1312">
        <f t="shared" si="288"/>
        <v>90724.45484265931</v>
      </c>
    </row>
    <row r="448" spans="3:99" x14ac:dyDescent="0.35">
      <c r="C448" s="1315">
        <f t="shared" si="289"/>
        <v>355</v>
      </c>
      <c r="D448" s="1312">
        <f>IF(AND(C448&gt;$F$59,'Instrumentos Financeiros'!C448&lt;'Instrumentos Financeiros'!$F$59+'Instrumentos Financeiros'!$F$11+1),PMT(((1+'Instrumentos Financeiros'!$G$43)^(1/12)-1),$F$11,-$I$59),0)</f>
        <v>0</v>
      </c>
      <c r="E448" s="1312">
        <f t="shared" si="286"/>
        <v>-1.3556624691553464E-11</v>
      </c>
      <c r="F448" s="1312">
        <f>G447*((1+'Instrumentos Financeiros'!$G$43)^(1/12)-1)</f>
        <v>1.3556624691553464E-11</v>
      </c>
      <c r="G448" s="1312">
        <f t="shared" si="320"/>
        <v>3.3347930373242574E-9</v>
      </c>
      <c r="H448" s="1312">
        <f>IF(AND(C448&gt;$F$60,'Instrumentos Financeiros'!C448&lt;'Instrumentos Financeiros'!$F$60+'Instrumentos Financeiros'!$F$11+1),PMT(((1+'Instrumentos Financeiros'!$G$43)^(1/12)-1),$F$11,-$I$60),0)</f>
        <v>0</v>
      </c>
      <c r="I448" s="1312">
        <f t="shared" si="272"/>
        <v>0</v>
      </c>
      <c r="J448" s="1312">
        <f>K447*((1+'Instrumentos Financeiros'!$G$43)^(1/12)-1)</f>
        <v>0</v>
      </c>
      <c r="K448" s="1312">
        <f t="shared" si="290"/>
        <v>0</v>
      </c>
      <c r="L448" s="1312">
        <f>IF(AND(C448&gt;$F$61,'Instrumentos Financeiros'!C448&lt;'Instrumentos Financeiros'!$F$61+'Instrumentos Financeiros'!$F$11+1),PMT(((1+'Instrumentos Financeiros'!$G$43)^(1/12)-1),$F$11,-$I$61),0)</f>
        <v>0</v>
      </c>
      <c r="M448" s="1312">
        <f t="shared" si="273"/>
        <v>0</v>
      </c>
      <c r="N448" s="1312">
        <f>O447*((1+'Instrumentos Financeiros'!$G$43)^(1/12)-1)</f>
        <v>0</v>
      </c>
      <c r="O448" s="1312">
        <f t="shared" si="291"/>
        <v>0</v>
      </c>
      <c r="P448" s="1312">
        <f>IF(AND(C448&gt;$F$62,'Instrumentos Financeiros'!C448&lt;'Instrumentos Financeiros'!$F$62+'Instrumentos Financeiros'!$F$11+1),PMT(((1+'Instrumentos Financeiros'!$H$43)^(1/12)-1),$F$11,-$I$62),0)</f>
        <v>0</v>
      </c>
      <c r="Q448" s="1312">
        <f t="shared" si="274"/>
        <v>0</v>
      </c>
      <c r="R448" s="1312">
        <f>S447*((1+'Instrumentos Financeiros'!$H$43)^(1/12)-1)</f>
        <v>0</v>
      </c>
      <c r="S448" s="1312">
        <f t="shared" si="292"/>
        <v>0</v>
      </c>
      <c r="T448" s="1312">
        <f>IF(AND(C448&gt;$F$63,'Instrumentos Financeiros'!C448&lt;'Instrumentos Financeiros'!$F$63+'Instrumentos Financeiros'!$F$11+1),PMT(((1+'Instrumentos Financeiros'!$H$43)^(1/12)-1),$F$11,-$I$63),0)</f>
        <v>0</v>
      </c>
      <c r="U448" s="1312">
        <f t="shared" si="275"/>
        <v>0</v>
      </c>
      <c r="V448" s="1312">
        <f>W447*((1+'Instrumentos Financeiros'!$H$43)^(1/12)-1)</f>
        <v>0</v>
      </c>
      <c r="W448" s="1312">
        <f t="shared" si="293"/>
        <v>0</v>
      </c>
      <c r="X448" s="1312">
        <f>IF(AND(C448&gt;$F$64,'Instrumentos Financeiros'!C448&lt;'Instrumentos Financeiros'!$F$64+'Instrumentos Financeiros'!$F$11+1),PMT(((1+'Instrumentos Financeiros'!$H$43)^(1/12)-1),$F$11,-$I$64),0)</f>
        <v>0</v>
      </c>
      <c r="Y448" s="1312">
        <f t="shared" si="276"/>
        <v>0</v>
      </c>
      <c r="Z448" s="1312">
        <f>AA447*((1+'Instrumentos Financeiros'!$H$43)^(1/12)-1)</f>
        <v>0</v>
      </c>
      <c r="AA448" s="1312">
        <f t="shared" si="294"/>
        <v>0</v>
      </c>
      <c r="AB448" s="1312">
        <f>IF(AND(C448&gt;$F$65,'Instrumentos Financeiros'!C448&lt;'Instrumentos Financeiros'!$F$65+'Instrumentos Financeiros'!$F$11+1),PMT(((1+'Instrumentos Financeiros'!$H$43)^(1/12)-1),$F$11,-$I$65),0)</f>
        <v>0</v>
      </c>
      <c r="AC448" s="1312">
        <f t="shared" si="277"/>
        <v>3.367903678485632E-11</v>
      </c>
      <c r="AD448" s="1312">
        <f>AE447*((1+'Instrumentos Financeiros'!$H$43)^(1/12)-1)</f>
        <v>-3.367903678485632E-11</v>
      </c>
      <c r="AE448" s="1312">
        <f t="shared" si="295"/>
        <v>-7.8225210038099934E-9</v>
      </c>
      <c r="AF448" s="1312">
        <f>IF(AND(C448&gt;$F$66,'Instrumentos Financeiros'!C448&lt;'Instrumentos Financeiros'!$F$66+'Instrumentos Financeiros'!$F$11+1),PMT(((1+'Instrumentos Financeiros'!$I$43)^(1/12)-1),$F$11,-$I$66),0)</f>
        <v>0</v>
      </c>
      <c r="AG448" s="1312">
        <f t="shared" si="278"/>
        <v>3.3245902371486097E-11</v>
      </c>
      <c r="AH448" s="1312">
        <f>AI447*((1+'Instrumentos Financeiros'!$I$43)^(1/12)-1)</f>
        <v>-3.3245902371486097E-11</v>
      </c>
      <c r="AI448" s="1312">
        <f t="shared" si="296"/>
        <v>-7.7219182737584908E-9</v>
      </c>
      <c r="AJ448" s="1312">
        <f>IF(AND(C448&gt;$F$67,'Instrumentos Financeiros'!C448&lt;'Instrumentos Financeiros'!$F$67+'Instrumentos Financeiros'!$F$11+1),PMT(((1+'Instrumentos Financeiros'!$I$43)^(1/12)-1),$F$11,-$I$67),0)</f>
        <v>0</v>
      </c>
      <c r="AK448" s="1312">
        <f t="shared" si="279"/>
        <v>3.2818338349610264E-11</v>
      </c>
      <c r="AL448" s="1312">
        <f>AM447*((1+'Instrumentos Financeiros'!$I$43)^(1/12)-1)</f>
        <v>-3.2818338349610264E-11</v>
      </c>
      <c r="AM448" s="1312">
        <f t="shared" si="297"/>
        <v>-7.6226093605326498E-9</v>
      </c>
      <c r="AN448" s="1312">
        <f>IF(AND(C448&gt;$F$68,'Instrumentos Financeiros'!C448&lt;'Instrumentos Financeiros'!$F$68+'Instrumentos Financeiros'!$F$11+1),PMT(((1+'Instrumentos Financeiros'!$I$43)^(1/12)-1),$F$11,-$I$68),0)</f>
        <v>0</v>
      </c>
      <c r="AO448" s="1312">
        <f t="shared" si="280"/>
        <v>3.2396273080355426E-11</v>
      </c>
      <c r="AP448" s="1312">
        <f>AQ447*((1+'Instrumentos Financeiros'!$I$43)^(1/12)-1)</f>
        <v>-3.2396273080355426E-11</v>
      </c>
      <c r="AQ448" s="1312">
        <f t="shared" si="298"/>
        <v>-7.5245776248029269E-9</v>
      </c>
      <c r="AR448" s="1312">
        <f>IF(AND(C448&gt;$F$69,'Instrumentos Financeiros'!C448&lt;'Instrumentos Financeiros'!$F$69+'Instrumentos Financeiros'!$F$11+1),PMT(((1+'Instrumentos Financeiros'!$I$43)^(1/12)-1),$F$11,-$I$69),0)</f>
        <v>0</v>
      </c>
      <c r="AS448" s="1312">
        <f t="shared" si="281"/>
        <v>0</v>
      </c>
      <c r="AT448" s="1312">
        <f>AU447*((1+'Instrumentos Financeiros'!$I$43)^(1/12)-1)</f>
        <v>0</v>
      </c>
      <c r="AU448" s="1312">
        <f t="shared" si="299"/>
        <v>0</v>
      </c>
      <c r="AV448" s="1312">
        <f>IF(AND(C448&gt;$F$70,'Instrumentos Financeiros'!C448&lt;'Instrumentos Financeiros'!$F$70+'Instrumentos Financeiros'!$F$11+1),PMT(((1+'Instrumentos Financeiros'!$J$43)^(1/12)-1),$F$11,-$I$70),0)</f>
        <v>0</v>
      </c>
      <c r="AW448" s="1312">
        <f t="shared" si="282"/>
        <v>0</v>
      </c>
      <c r="AX448" s="1312">
        <f>AY447*((1+'Instrumentos Financeiros'!$J$43)^(1/12)-1)</f>
        <v>0</v>
      </c>
      <c r="AY448" s="1312">
        <f t="shared" si="300"/>
        <v>0</v>
      </c>
      <c r="AZ448" s="1312">
        <f>IF(AND(C448&gt;$F$71,'Instrumentos Financeiros'!C448&lt;'Instrumentos Financeiros'!$F$71+'Instrumentos Financeiros'!$F$11+1),PMT(((1+'Instrumentos Financeiros'!$J$43)^(1/12)-1),$F$11,-$I$71),0)</f>
        <v>0</v>
      </c>
      <c r="BA448" s="1312">
        <f t="shared" si="283"/>
        <v>0</v>
      </c>
      <c r="BB448" s="1312">
        <f>BC447*((1+'Instrumentos Financeiros'!$J$43)^(1/12)-1)</f>
        <v>0</v>
      </c>
      <c r="BC448" s="1312">
        <f t="shared" si="301"/>
        <v>0</v>
      </c>
      <c r="BD448" s="1312">
        <f>IF(AND(C448&gt;$F$72,'Instrumentos Financeiros'!C448&lt;'Instrumentos Financeiros'!$F$72+'Instrumentos Financeiros'!$F$11+1),PMT(((1+'Instrumentos Financeiros'!$J$43)^(1/12)-1),$F$11,-'Instrumentos Financeiros'!$G$7*$G$72),0)</f>
        <v>0</v>
      </c>
      <c r="BE448" s="1312">
        <f t="shared" si="284"/>
        <v>0</v>
      </c>
      <c r="BF448" s="1312">
        <f>BG447*((1+'Instrumentos Financeiros'!$J$43)^(1/12)-1)</f>
        <v>0</v>
      </c>
      <c r="BG448" s="1312">
        <f t="shared" si="302"/>
        <v>0</v>
      </c>
      <c r="BH448" s="1312">
        <f>IF(AND(C448&gt;$F$73,'Instrumentos Financeiros'!C448&lt;'Instrumentos Financeiros'!$F$73+'Instrumentos Financeiros'!$F$11+1),PMT(((1+'Instrumentos Financeiros'!$J$43)^(1/12)-1),$F$11,-$I$73),0)</f>
        <v>0</v>
      </c>
      <c r="BI448" s="1312">
        <f t="shared" si="285"/>
        <v>0</v>
      </c>
      <c r="BJ448" s="1312">
        <f>BK447*((1+'Instrumentos Financeiros'!$J$43)^(1/12)-1)</f>
        <v>0</v>
      </c>
      <c r="BK448" s="1312">
        <f t="shared" si="303"/>
        <v>0</v>
      </c>
      <c r="BL448" s="1312">
        <f>IF(AND(C448&gt;$F$77,'Instrumentos Financeiros'!C448&lt;'Instrumentos Financeiros'!$F$77+'Instrumentos Financeiros'!$F$12+1),PMT(((1+'Instrumentos Financeiros'!$K$43)^(1/12)-1),$F$12,-$I$77),0)</f>
        <v>0</v>
      </c>
      <c r="BM448" s="1312">
        <f t="shared" si="304"/>
        <v>9.1539505155404792E-14</v>
      </c>
      <c r="BN448" s="1312">
        <f>BO447*((1+'Instrumentos Financeiros'!$K$43)^(1/12)-1)</f>
        <v>-9.1539505155404792E-14</v>
      </c>
      <c r="BO448" s="1312">
        <f t="shared" si="305"/>
        <v>-2.1261584953596589E-11</v>
      </c>
      <c r="BP448" s="1312">
        <f>IF(AND(C448&gt;$F$78,'Instrumentos Financeiros'!C448&lt;'Instrumentos Financeiros'!$F$78+'Instrumentos Financeiros'!$F$12+1),PMT(((1+'Instrumentos Financeiros'!$L$43)^(1/12)-1),$F$12,-$I$78),0)</f>
        <v>0</v>
      </c>
      <c r="BQ448" s="1312">
        <f t="shared" si="306"/>
        <v>9.036224732232108E-14</v>
      </c>
      <c r="BR448" s="1312">
        <f>BS447*((1+'Instrumentos Financeiros'!$L$43)^(1/12)-1)</f>
        <v>-9.036224732232108E-14</v>
      </c>
      <c r="BS448" s="1312">
        <f t="shared" si="307"/>
        <v>-2.0988147082287333E-11</v>
      </c>
      <c r="BT448" s="1312">
        <f>IF(AND(C448&gt;$F$79,'Instrumentos Financeiros'!C448&lt;'Instrumentos Financeiros'!$F$79+'Instrumentos Financeiros'!$F$12+1),PMT(((1+'Instrumentos Financeiros'!$L$43)^(1/12)-1),$F$12,-$I$79),0)</f>
        <v>0</v>
      </c>
      <c r="BU448" s="1312">
        <f t="shared" si="308"/>
        <v>8.9200129793996551E-14</v>
      </c>
      <c r="BV448" s="1312">
        <f>BW447*((1+'Instrumentos Financeiros'!$L$43)^(1/12)-1)</f>
        <v>-8.9200129793996551E-14</v>
      </c>
      <c r="BW448" s="1312">
        <f t="shared" si="309"/>
        <v>-2.0718225800622234E-11</v>
      </c>
      <c r="BX448" s="1312">
        <f>IF(AND(C448&gt;$F$80,'Instrumentos Financeiros'!C448&lt;'Instrumentos Financeiros'!$F$80+'Instrumentos Financeiros'!$F$12+1),PMT(((1+'Instrumentos Financeiros'!$L$43)^(1/12)-1),$F$12,-$I$80),0)</f>
        <v>0</v>
      </c>
      <c r="BY448" s="1312">
        <f t="shared" si="310"/>
        <v>8.8052957856221806E-14</v>
      </c>
      <c r="BZ448" s="1312">
        <f>CA447*((1+'Instrumentos Financeiros'!$L$43)^(1/12)-1)</f>
        <v>-8.8052957856221806E-14</v>
      </c>
      <c r="CA448" s="1312">
        <f t="shared" si="311"/>
        <v>-2.0451775882961306E-11</v>
      </c>
      <c r="CB448" s="1312">
        <f>IF(AND(C448&gt;$F$83,'Instrumentos Financeiros'!C448&lt;'Instrumentos Financeiros'!$F$83+'Instrumentos Financeiros'!$F$13+1),PMT(((1+'Instrumentos Financeiros'!$P$43)^(1/12)-1),$F$13,-$I$83),0)</f>
        <v>0</v>
      </c>
      <c r="CC448" s="1312">
        <f t="shared" si="312"/>
        <v>8.0554638767422592E-12</v>
      </c>
      <c r="CD448" s="1312">
        <f>CE447*((1+'Instrumentos Financeiros'!$P$43)^(1/12)-1)</f>
        <v>-8.0554638767422592E-12</v>
      </c>
      <c r="CE448" s="1312">
        <f t="shared" si="313"/>
        <v>-1.8710165547128435E-9</v>
      </c>
      <c r="CF448" s="1312">
        <f>IF(AND(C448&gt;$F$84,'Instrumentos Financeiros'!C448&lt;'Instrumentos Financeiros'!$F$84+'Instrumentos Financeiros'!$F$13+1),PMT(((1+'Instrumentos Financeiros'!$Q$43)^(1/12)-1),$F$13,-$I$84),0)</f>
        <v>0</v>
      </c>
      <c r="CG448" s="1312">
        <f t="shared" si="314"/>
        <v>7.9518653491784706E-12</v>
      </c>
      <c r="CH448" s="1312">
        <f>CI447*((1+'Instrumentos Financeiros'!$Q$43)^(1/12)-1)</f>
        <v>-7.9518653491784706E-12</v>
      </c>
      <c r="CI448" s="1312">
        <f t="shared" si="315"/>
        <v>-1.8469540596062163E-9</v>
      </c>
      <c r="CJ448" s="1312">
        <f>IF(AND(C448&gt;$F$85,'Instrumentos Financeiros'!C448&lt;'Instrumentos Financeiros'!$F$85+'Instrumentos Financeiros'!$F$13+1),PMT(((1+'Instrumentos Financeiros'!$Q$43)^(1/12)-1),$F$13,-$I$85),0)</f>
        <v>0</v>
      </c>
      <c r="CK448" s="1312">
        <f t="shared" si="316"/>
        <v>7.8495991663533093E-12</v>
      </c>
      <c r="CL448" s="1312">
        <f>CM447*((1+'Instrumentos Financeiros'!$Q$43)^(1/12)-1)</f>
        <v>-7.8495991663533093E-12</v>
      </c>
      <c r="CM448" s="1312">
        <f t="shared" si="317"/>
        <v>-1.8232010239051181E-9</v>
      </c>
      <c r="CN448" s="1312">
        <f>IF(AND(C448&gt;$F$86,'Instrumentos Financeiros'!C448&lt;'Instrumentos Financeiros'!$F$86+'Instrumentos Financeiros'!$F$13+1),PMT(((1+'Instrumentos Financeiros'!$Q$43)^(1/12)-1),$F$13,-$I$86),0)</f>
        <v>30503.390100238979</v>
      </c>
      <c r="CO448" s="1312">
        <f t="shared" si="318"/>
        <v>30111.096577675689</v>
      </c>
      <c r="CP448" s="1312">
        <f>CQ447*((1+'Instrumentos Financeiros'!$Q$43)^(1/12)-1)</f>
        <v>392.29352256328866</v>
      </c>
      <c r="CQ448" s="1312">
        <f t="shared" si="319"/>
        <v>60613.358265016461</v>
      </c>
      <c r="CR448" s="1312">
        <f t="shared" si="288"/>
        <v>30503.390100238979</v>
      </c>
      <c r="CS448" s="1312">
        <f t="shared" si="288"/>
        <v>30111.096577675831</v>
      </c>
      <c r="CT448" s="1312">
        <f t="shared" si="288"/>
        <v>392.29352256314587</v>
      </c>
      <c r="CU448" s="1312">
        <f t="shared" si="288"/>
        <v>60613.358264983479</v>
      </c>
    </row>
    <row r="449" spans="3:99" x14ac:dyDescent="0.35">
      <c r="C449" s="1315">
        <f t="shared" si="289"/>
        <v>356</v>
      </c>
      <c r="D449" s="1312">
        <f>IF(AND(C449&gt;$F$59,'Instrumentos Financeiros'!C449&lt;'Instrumentos Financeiros'!$F$59+'Instrumentos Financeiros'!$F$11+1),PMT(((1+'Instrumentos Financeiros'!$G$43)^(1/12)-1),$F$11,-$I$59),0)</f>
        <v>0</v>
      </c>
      <c r="E449" s="1312">
        <f t="shared" si="286"/>
        <v>-1.3611960129984948E-11</v>
      </c>
      <c r="F449" s="1312">
        <f>G448*((1+'Instrumentos Financeiros'!$G$43)^(1/12)-1)</f>
        <v>1.3611960129984948E-11</v>
      </c>
      <c r="G449" s="1312">
        <f t="shared" si="320"/>
        <v>3.3484049974542421E-9</v>
      </c>
      <c r="H449" s="1312">
        <f>IF(AND(C449&gt;$F$60,'Instrumentos Financeiros'!C449&lt;'Instrumentos Financeiros'!$F$60+'Instrumentos Financeiros'!$F$11+1),PMT(((1+'Instrumentos Financeiros'!$G$43)^(1/12)-1),$F$11,-$I$60),0)</f>
        <v>0</v>
      </c>
      <c r="I449" s="1312">
        <f t="shared" si="272"/>
        <v>0</v>
      </c>
      <c r="J449" s="1312">
        <f>K448*((1+'Instrumentos Financeiros'!$G$43)^(1/12)-1)</f>
        <v>0</v>
      </c>
      <c r="K449" s="1312">
        <f t="shared" si="290"/>
        <v>0</v>
      </c>
      <c r="L449" s="1312">
        <f>IF(AND(C449&gt;$F$61,'Instrumentos Financeiros'!C449&lt;'Instrumentos Financeiros'!$F$61+'Instrumentos Financeiros'!$F$11+1),PMT(((1+'Instrumentos Financeiros'!$G$43)^(1/12)-1),$F$11,-$I$61),0)</f>
        <v>0</v>
      </c>
      <c r="M449" s="1312">
        <f t="shared" si="273"/>
        <v>0</v>
      </c>
      <c r="N449" s="1312">
        <f>O448*((1+'Instrumentos Financeiros'!$G$43)^(1/12)-1)</f>
        <v>0</v>
      </c>
      <c r="O449" s="1312">
        <f t="shared" si="291"/>
        <v>0</v>
      </c>
      <c r="P449" s="1312">
        <f>IF(AND(C449&gt;$F$62,'Instrumentos Financeiros'!C449&lt;'Instrumentos Financeiros'!$F$62+'Instrumentos Financeiros'!$F$11+1),PMT(((1+'Instrumentos Financeiros'!$H$43)^(1/12)-1),$F$11,-$I$62),0)</f>
        <v>0</v>
      </c>
      <c r="Q449" s="1312">
        <f t="shared" si="274"/>
        <v>0</v>
      </c>
      <c r="R449" s="1312">
        <f>S448*((1+'Instrumentos Financeiros'!$H$43)^(1/12)-1)</f>
        <v>0</v>
      </c>
      <c r="S449" s="1312">
        <f t="shared" si="292"/>
        <v>0</v>
      </c>
      <c r="T449" s="1312">
        <f>IF(AND(C449&gt;$F$63,'Instrumentos Financeiros'!C449&lt;'Instrumentos Financeiros'!$F$63+'Instrumentos Financeiros'!$F$11+1),PMT(((1+'Instrumentos Financeiros'!$H$43)^(1/12)-1),$F$11,-$I$63),0)</f>
        <v>0</v>
      </c>
      <c r="U449" s="1312">
        <f t="shared" si="275"/>
        <v>0</v>
      </c>
      <c r="V449" s="1312">
        <f>W448*((1+'Instrumentos Financeiros'!$H$43)^(1/12)-1)</f>
        <v>0</v>
      </c>
      <c r="W449" s="1312">
        <f t="shared" si="293"/>
        <v>0</v>
      </c>
      <c r="X449" s="1312">
        <f>IF(AND(C449&gt;$F$64,'Instrumentos Financeiros'!C449&lt;'Instrumentos Financeiros'!$F$64+'Instrumentos Financeiros'!$F$11+1),PMT(((1+'Instrumentos Financeiros'!$H$43)^(1/12)-1),$F$11,-$I$64),0)</f>
        <v>0</v>
      </c>
      <c r="Y449" s="1312">
        <f t="shared" si="276"/>
        <v>0</v>
      </c>
      <c r="Z449" s="1312">
        <f>AA448*((1+'Instrumentos Financeiros'!$H$43)^(1/12)-1)</f>
        <v>0</v>
      </c>
      <c r="AA449" s="1312">
        <f t="shared" si="294"/>
        <v>0</v>
      </c>
      <c r="AB449" s="1312">
        <f>IF(AND(C449&gt;$F$65,'Instrumentos Financeiros'!C449&lt;'Instrumentos Financeiros'!$F$65+'Instrumentos Financeiros'!$F$11+1),PMT(((1+'Instrumentos Financeiros'!$H$43)^(1/12)-1),$F$11,-$I$65),0)</f>
        <v>0</v>
      </c>
      <c r="AC449" s="1312">
        <f t="shared" si="277"/>
        <v>3.3824665303647408E-11</v>
      </c>
      <c r="AD449" s="1312">
        <f>AE448*((1+'Instrumentos Financeiros'!$H$43)^(1/12)-1)</f>
        <v>-3.3824665303647408E-11</v>
      </c>
      <c r="AE449" s="1312">
        <f t="shared" si="295"/>
        <v>-7.8563456691136404E-9</v>
      </c>
      <c r="AF449" s="1312">
        <f>IF(AND(C449&gt;$F$66,'Instrumentos Financeiros'!C449&lt;'Instrumentos Financeiros'!$F$66+'Instrumentos Financeiros'!$F$11+1),PMT(((1+'Instrumentos Financeiros'!$I$43)^(1/12)-1),$F$11,-$I$66),0)</f>
        <v>0</v>
      </c>
      <c r="AG449" s="1312">
        <f t="shared" si="278"/>
        <v>3.3389658012395919E-11</v>
      </c>
      <c r="AH449" s="1312">
        <f>AI448*((1+'Instrumentos Financeiros'!$I$43)^(1/12)-1)</f>
        <v>-3.3389658012395919E-11</v>
      </c>
      <c r="AI449" s="1312">
        <f t="shared" si="296"/>
        <v>-7.7553079317708868E-9</v>
      </c>
      <c r="AJ449" s="1312">
        <f>IF(AND(C449&gt;$F$67,'Instrumentos Financeiros'!C449&lt;'Instrumentos Financeiros'!$F$67+'Instrumentos Financeiros'!$F$11+1),PMT(((1+'Instrumentos Financeiros'!$I$43)^(1/12)-1),$F$11,-$I$67),0)</f>
        <v>0</v>
      </c>
      <c r="AK449" s="1312">
        <f t="shared" si="279"/>
        <v>3.2960245199071801E-11</v>
      </c>
      <c r="AL449" s="1312">
        <f>AM448*((1+'Instrumentos Financeiros'!$I$43)^(1/12)-1)</f>
        <v>-3.2960245199071801E-11</v>
      </c>
      <c r="AM449" s="1312">
        <f t="shared" si="297"/>
        <v>-7.6555696057317224E-9</v>
      </c>
      <c r="AN449" s="1312">
        <f>IF(AND(C449&gt;$F$68,'Instrumentos Financeiros'!C449&lt;'Instrumentos Financeiros'!$F$68+'Instrumentos Financeiros'!$F$11+1),PMT(((1+'Instrumentos Financeiros'!$I$43)^(1/12)-1),$F$11,-$I$68),0)</f>
        <v>0</v>
      </c>
      <c r="AO449" s="1312">
        <f t="shared" si="280"/>
        <v>3.2536354915034406E-11</v>
      </c>
      <c r="AP449" s="1312">
        <f>AQ448*((1+'Instrumentos Financeiros'!$I$43)^(1/12)-1)</f>
        <v>-3.2536354915034406E-11</v>
      </c>
      <c r="AQ449" s="1312">
        <f t="shared" si="298"/>
        <v>-7.5571139797179609E-9</v>
      </c>
      <c r="AR449" s="1312">
        <f>IF(AND(C449&gt;$F$69,'Instrumentos Financeiros'!C449&lt;'Instrumentos Financeiros'!$F$69+'Instrumentos Financeiros'!$F$11+1),PMT(((1+'Instrumentos Financeiros'!$I$43)^(1/12)-1),$F$11,-$I$69),0)</f>
        <v>0</v>
      </c>
      <c r="AS449" s="1312">
        <f t="shared" si="281"/>
        <v>0</v>
      </c>
      <c r="AT449" s="1312">
        <f>AU448*((1+'Instrumentos Financeiros'!$I$43)^(1/12)-1)</f>
        <v>0</v>
      </c>
      <c r="AU449" s="1312">
        <f t="shared" si="299"/>
        <v>0</v>
      </c>
      <c r="AV449" s="1312">
        <f>IF(AND(C449&gt;$F$70,'Instrumentos Financeiros'!C449&lt;'Instrumentos Financeiros'!$F$70+'Instrumentos Financeiros'!$F$11+1),PMT(((1+'Instrumentos Financeiros'!$J$43)^(1/12)-1),$F$11,-$I$70),0)</f>
        <v>0</v>
      </c>
      <c r="AW449" s="1312">
        <f t="shared" si="282"/>
        <v>0</v>
      </c>
      <c r="AX449" s="1312">
        <f>AY448*((1+'Instrumentos Financeiros'!$J$43)^(1/12)-1)</f>
        <v>0</v>
      </c>
      <c r="AY449" s="1312">
        <f t="shared" si="300"/>
        <v>0</v>
      </c>
      <c r="AZ449" s="1312">
        <f>IF(AND(C449&gt;$F$71,'Instrumentos Financeiros'!C449&lt;'Instrumentos Financeiros'!$F$71+'Instrumentos Financeiros'!$F$11+1),PMT(((1+'Instrumentos Financeiros'!$J$43)^(1/12)-1),$F$11,-$I$71),0)</f>
        <v>0</v>
      </c>
      <c r="BA449" s="1312">
        <f t="shared" si="283"/>
        <v>0</v>
      </c>
      <c r="BB449" s="1312">
        <f>BC448*((1+'Instrumentos Financeiros'!$J$43)^(1/12)-1)</f>
        <v>0</v>
      </c>
      <c r="BC449" s="1312">
        <f t="shared" si="301"/>
        <v>0</v>
      </c>
      <c r="BD449" s="1312">
        <f>IF(AND(C449&gt;$F$72,'Instrumentos Financeiros'!C449&lt;'Instrumentos Financeiros'!$F$72+'Instrumentos Financeiros'!$F$11+1),PMT(((1+'Instrumentos Financeiros'!$J$43)^(1/12)-1),$F$11,-'Instrumentos Financeiros'!$G$7*$G$72),0)</f>
        <v>0</v>
      </c>
      <c r="BE449" s="1312">
        <f t="shared" si="284"/>
        <v>0</v>
      </c>
      <c r="BF449" s="1312">
        <f>BG448*((1+'Instrumentos Financeiros'!$J$43)^(1/12)-1)</f>
        <v>0</v>
      </c>
      <c r="BG449" s="1312">
        <f t="shared" si="302"/>
        <v>0</v>
      </c>
      <c r="BH449" s="1312">
        <f>IF(AND(C449&gt;$F$73,'Instrumentos Financeiros'!C449&lt;'Instrumentos Financeiros'!$F$73+'Instrumentos Financeiros'!$F$11+1),PMT(((1+'Instrumentos Financeiros'!$J$43)^(1/12)-1),$F$11,-$I$73),0)</f>
        <v>0</v>
      </c>
      <c r="BI449" s="1312">
        <f t="shared" si="285"/>
        <v>0</v>
      </c>
      <c r="BJ449" s="1312">
        <f>BK448*((1+'Instrumentos Financeiros'!$J$43)^(1/12)-1)</f>
        <v>0</v>
      </c>
      <c r="BK449" s="1312">
        <f t="shared" si="303"/>
        <v>0</v>
      </c>
      <c r="BL449" s="1312">
        <f>IF(AND(C449&gt;$F$77,'Instrumentos Financeiros'!C449&lt;'Instrumentos Financeiros'!$F$77+'Instrumentos Financeiros'!$F$12+1),PMT(((1+'Instrumentos Financeiros'!$K$43)^(1/12)-1),$F$12,-$I$77),0)</f>
        <v>0</v>
      </c>
      <c r="BM449" s="1312">
        <f t="shared" si="304"/>
        <v>9.19353229643228E-14</v>
      </c>
      <c r="BN449" s="1312">
        <f>BO448*((1+'Instrumentos Financeiros'!$K$43)^(1/12)-1)</f>
        <v>-9.19353229643228E-14</v>
      </c>
      <c r="BO449" s="1312">
        <f t="shared" si="305"/>
        <v>-2.1353520276560912E-11</v>
      </c>
      <c r="BP449" s="1312">
        <f>IF(AND(C449&gt;$F$78,'Instrumentos Financeiros'!C449&lt;'Instrumentos Financeiros'!$F$78+'Instrumentos Financeiros'!$F$12+1),PMT(((1+'Instrumentos Financeiros'!$L$43)^(1/12)-1),$F$12,-$I$78),0)</f>
        <v>0</v>
      </c>
      <c r="BQ449" s="1312">
        <f t="shared" si="306"/>
        <v>9.0752974655654445E-14</v>
      </c>
      <c r="BR449" s="1312">
        <f>BS448*((1+'Instrumentos Financeiros'!$L$43)^(1/12)-1)</f>
        <v>-9.0752974655654445E-14</v>
      </c>
      <c r="BS449" s="1312">
        <f t="shared" si="307"/>
        <v>-2.1078900056942986E-11</v>
      </c>
      <c r="BT449" s="1312">
        <f>IF(AND(C449&gt;$F$79,'Instrumentos Financeiros'!C449&lt;'Instrumentos Financeiros'!$F$79+'Instrumentos Financeiros'!$F$12+1),PMT(((1+'Instrumentos Financeiros'!$L$43)^(1/12)-1),$F$12,-$I$79),0)</f>
        <v>0</v>
      </c>
      <c r="BU449" s="1312">
        <f t="shared" si="308"/>
        <v>8.9585832118586575E-14</v>
      </c>
      <c r="BV449" s="1312">
        <f>BW448*((1+'Instrumentos Financeiros'!$L$43)^(1/12)-1)</f>
        <v>-8.9585832118586575E-14</v>
      </c>
      <c r="BW449" s="1312">
        <f t="shared" si="309"/>
        <v>-2.080781163274082E-11</v>
      </c>
      <c r="BX449" s="1312">
        <f>IF(AND(C449&gt;$F$80,'Instrumentos Financeiros'!C449&lt;'Instrumentos Financeiros'!$F$80+'Instrumentos Financeiros'!$F$12+1),PMT(((1+'Instrumentos Financeiros'!$L$43)^(1/12)-1),$F$12,-$I$80),0)</f>
        <v>0</v>
      </c>
      <c r="BY449" s="1312">
        <f t="shared" si="310"/>
        <v>8.8433699796963445E-14</v>
      </c>
      <c r="BZ449" s="1312">
        <f>CA448*((1+'Instrumentos Financeiros'!$L$43)^(1/12)-1)</f>
        <v>-8.8433699796963445E-14</v>
      </c>
      <c r="CA449" s="1312">
        <f t="shared" si="311"/>
        <v>-2.0540209582758269E-11</v>
      </c>
      <c r="CB449" s="1312">
        <f>IF(AND(C449&gt;$F$83,'Instrumentos Financeiros'!C449&lt;'Instrumentos Financeiros'!$F$83+'Instrumentos Financeiros'!$F$13+1),PMT(((1+'Instrumentos Financeiros'!$P$43)^(1/12)-1),$F$13,-$I$83),0)</f>
        <v>0</v>
      </c>
      <c r="CC449" s="1312">
        <f t="shared" si="312"/>
        <v>8.0902957895442472E-12</v>
      </c>
      <c r="CD449" s="1312">
        <f>CE448*((1+'Instrumentos Financeiros'!$P$43)^(1/12)-1)</f>
        <v>-8.0902957895442472E-12</v>
      </c>
      <c r="CE449" s="1312">
        <f t="shared" si="313"/>
        <v>-1.8791068505023877E-9</v>
      </c>
      <c r="CF449" s="1312">
        <f>IF(AND(C449&gt;$F$84,'Instrumentos Financeiros'!C449&lt;'Instrumentos Financeiros'!$F$84+'Instrumentos Financeiros'!$F$13+1),PMT(((1+'Instrumentos Financeiros'!$Q$43)^(1/12)-1),$F$13,-$I$84),0)</f>
        <v>0</v>
      </c>
      <c r="CG449" s="1312">
        <f t="shared" si="314"/>
        <v>7.9862493008284095E-12</v>
      </c>
      <c r="CH449" s="1312">
        <f>CI448*((1+'Instrumentos Financeiros'!$Q$43)^(1/12)-1)</f>
        <v>-7.9862493008284095E-12</v>
      </c>
      <c r="CI449" s="1312">
        <f t="shared" si="315"/>
        <v>-1.8549403089070447E-9</v>
      </c>
      <c r="CJ449" s="1312">
        <f>IF(AND(C449&gt;$F$85,'Instrumentos Financeiros'!C449&lt;'Instrumentos Financeiros'!$F$85+'Instrumentos Financeiros'!$F$13+1),PMT(((1+'Instrumentos Financeiros'!$Q$43)^(1/12)-1),$F$13,-$I$85),0)</f>
        <v>0</v>
      </c>
      <c r="CK449" s="1312">
        <f t="shared" si="316"/>
        <v>7.8835409179242396E-12</v>
      </c>
      <c r="CL449" s="1312">
        <f>CM448*((1+'Instrumentos Financeiros'!$Q$43)^(1/12)-1)</f>
        <v>-7.8835409179242396E-12</v>
      </c>
      <c r="CM449" s="1312">
        <f t="shared" si="317"/>
        <v>-1.8310845648230423E-9</v>
      </c>
      <c r="CN449" s="1312">
        <f>IF(AND(C449&gt;$F$86,'Instrumentos Financeiros'!C449&lt;'Instrumentos Financeiros'!$F$86+'Instrumentos Financeiros'!$F$13+1),PMT(((1+'Instrumentos Financeiros'!$Q$43)^(1/12)-1),$F$13,-$I$86),0)</f>
        <v>30503.390100238979</v>
      </c>
      <c r="CO449" s="1312">
        <f t="shared" si="318"/>
        <v>30241.297284477198</v>
      </c>
      <c r="CP449" s="1312">
        <f>CQ448*((1+'Instrumentos Financeiros'!$Q$43)^(1/12)-1)</f>
        <v>262.09281576178319</v>
      </c>
      <c r="CQ449" s="1312">
        <f t="shared" si="319"/>
        <v>30372.060980539263</v>
      </c>
      <c r="CR449" s="1312">
        <f t="shared" si="288"/>
        <v>30503.390100238979</v>
      </c>
      <c r="CS449" s="1312">
        <f t="shared" si="288"/>
        <v>30241.297284477339</v>
      </c>
      <c r="CT449" s="1312">
        <f t="shared" si="288"/>
        <v>262.09281576163977</v>
      </c>
      <c r="CU449" s="1312">
        <f t="shared" si="288"/>
        <v>30372.060980506139</v>
      </c>
    </row>
    <row r="450" spans="3:99" x14ac:dyDescent="0.35">
      <c r="C450" s="1315">
        <f t="shared" si="289"/>
        <v>357</v>
      </c>
      <c r="D450" s="1312">
        <f>IF(AND(C450&gt;$F$59,'Instrumentos Financeiros'!C450&lt;'Instrumentos Financeiros'!$F$59+'Instrumentos Financeiros'!$F$11+1),PMT(((1+'Instrumentos Financeiros'!$G$43)^(1/12)-1),$F$11,-$I$59),0)</f>
        <v>0</v>
      </c>
      <c r="E450" s="1312">
        <f t="shared" si="286"/>
        <v>-1.3667521436640717E-11</v>
      </c>
      <c r="F450" s="1312">
        <f>G449*((1+'Instrumentos Financeiros'!$G$43)^(1/12)-1)</f>
        <v>1.3667521436640717E-11</v>
      </c>
      <c r="G450" s="1312">
        <f t="shared" si="320"/>
        <v>3.362072518890883E-9</v>
      </c>
      <c r="H450" s="1312">
        <f>IF(AND(C450&gt;$F$60,'Instrumentos Financeiros'!C450&lt;'Instrumentos Financeiros'!$F$60+'Instrumentos Financeiros'!$F$11+1),PMT(((1+'Instrumentos Financeiros'!$G$43)^(1/12)-1),$F$11,-$I$60),0)</f>
        <v>0</v>
      </c>
      <c r="I450" s="1312">
        <f t="shared" si="272"/>
        <v>0</v>
      </c>
      <c r="J450" s="1312">
        <f>K449*((1+'Instrumentos Financeiros'!$G$43)^(1/12)-1)</f>
        <v>0</v>
      </c>
      <c r="K450" s="1312">
        <f t="shared" si="290"/>
        <v>0</v>
      </c>
      <c r="L450" s="1312">
        <f>IF(AND(C450&gt;$F$61,'Instrumentos Financeiros'!C450&lt;'Instrumentos Financeiros'!$F$61+'Instrumentos Financeiros'!$F$11+1),PMT(((1+'Instrumentos Financeiros'!$G$43)^(1/12)-1),$F$11,-$I$61),0)</f>
        <v>0</v>
      </c>
      <c r="M450" s="1312">
        <f t="shared" si="273"/>
        <v>0</v>
      </c>
      <c r="N450" s="1312">
        <f>O449*((1+'Instrumentos Financeiros'!$G$43)^(1/12)-1)</f>
        <v>0</v>
      </c>
      <c r="O450" s="1312">
        <f t="shared" si="291"/>
        <v>0</v>
      </c>
      <c r="P450" s="1312">
        <f>IF(AND(C450&gt;$F$62,'Instrumentos Financeiros'!C450&lt;'Instrumentos Financeiros'!$F$62+'Instrumentos Financeiros'!$F$11+1),PMT(((1+'Instrumentos Financeiros'!$H$43)^(1/12)-1),$F$11,-$I$62),0)</f>
        <v>0</v>
      </c>
      <c r="Q450" s="1312">
        <f t="shared" si="274"/>
        <v>0</v>
      </c>
      <c r="R450" s="1312">
        <f>S449*((1+'Instrumentos Financeiros'!$H$43)^(1/12)-1)</f>
        <v>0</v>
      </c>
      <c r="S450" s="1312">
        <f t="shared" si="292"/>
        <v>0</v>
      </c>
      <c r="T450" s="1312">
        <f>IF(AND(C450&gt;$F$63,'Instrumentos Financeiros'!C450&lt;'Instrumentos Financeiros'!$F$63+'Instrumentos Financeiros'!$F$11+1),PMT(((1+'Instrumentos Financeiros'!$H$43)^(1/12)-1),$F$11,-$I$63),0)</f>
        <v>0</v>
      </c>
      <c r="U450" s="1312">
        <f t="shared" si="275"/>
        <v>0</v>
      </c>
      <c r="V450" s="1312">
        <f>W449*((1+'Instrumentos Financeiros'!$H$43)^(1/12)-1)</f>
        <v>0</v>
      </c>
      <c r="W450" s="1312">
        <f t="shared" si="293"/>
        <v>0</v>
      </c>
      <c r="X450" s="1312">
        <f>IF(AND(C450&gt;$F$64,'Instrumentos Financeiros'!C450&lt;'Instrumentos Financeiros'!$F$64+'Instrumentos Financeiros'!$F$11+1),PMT(((1+'Instrumentos Financeiros'!$H$43)^(1/12)-1),$F$11,-$I$64),0)</f>
        <v>0</v>
      </c>
      <c r="Y450" s="1312">
        <f t="shared" si="276"/>
        <v>0</v>
      </c>
      <c r="Z450" s="1312">
        <f>AA449*((1+'Instrumentos Financeiros'!$H$43)^(1/12)-1)</f>
        <v>0</v>
      </c>
      <c r="AA450" s="1312">
        <f t="shared" si="294"/>
        <v>0</v>
      </c>
      <c r="AB450" s="1312">
        <f>IF(AND(C450&gt;$F$65,'Instrumentos Financeiros'!C450&lt;'Instrumentos Financeiros'!$F$65+'Instrumentos Financeiros'!$F$11+1),PMT(((1+'Instrumentos Financeiros'!$H$43)^(1/12)-1),$F$11,-$I$65),0)</f>
        <v>0</v>
      </c>
      <c r="AC450" s="1312">
        <f t="shared" si="277"/>
        <v>3.3970923521726526E-11</v>
      </c>
      <c r="AD450" s="1312">
        <f>AE449*((1+'Instrumentos Financeiros'!$H$43)^(1/12)-1)</f>
        <v>-3.3970923521726526E-11</v>
      </c>
      <c r="AE450" s="1312">
        <f t="shared" si="295"/>
        <v>-7.8903165926353677E-9</v>
      </c>
      <c r="AF450" s="1312">
        <f>IF(AND(C450&gt;$F$66,'Instrumentos Financeiros'!C450&lt;'Instrumentos Financeiros'!$F$66+'Instrumentos Financeiros'!$F$11+1),PMT(((1+'Instrumentos Financeiros'!$I$43)^(1/12)-1),$F$11,-$I$66),0)</f>
        <v>0</v>
      </c>
      <c r="AG450" s="1312">
        <f t="shared" si="278"/>
        <v>3.3534035254249596E-11</v>
      </c>
      <c r="AH450" s="1312">
        <f>AI449*((1+'Instrumentos Financeiros'!$I$43)^(1/12)-1)</f>
        <v>-3.3534035254249596E-11</v>
      </c>
      <c r="AI450" s="1312">
        <f t="shared" si="296"/>
        <v>-7.7888419670251368E-9</v>
      </c>
      <c r="AJ450" s="1312">
        <f>IF(AND(C450&gt;$F$67,'Instrumentos Financeiros'!C450&lt;'Instrumentos Financeiros'!$F$67+'Instrumentos Financeiros'!$F$11+1),PMT(((1+'Instrumentos Financeiros'!$I$43)^(1/12)-1),$F$11,-$I$67),0)</f>
        <v>0</v>
      </c>
      <c r="AK450" s="1312">
        <f t="shared" si="279"/>
        <v>3.3102765655283015E-11</v>
      </c>
      <c r="AL450" s="1312">
        <f>AM449*((1+'Instrumentos Financeiros'!$I$43)^(1/12)-1)</f>
        <v>-3.3102765655283015E-11</v>
      </c>
      <c r="AM450" s="1312">
        <f t="shared" si="297"/>
        <v>-7.6886723713870054E-9</v>
      </c>
      <c r="AN450" s="1312">
        <f>IF(AND(C450&gt;$F$68,'Instrumentos Financeiros'!C450&lt;'Instrumentos Financeiros'!$F$68+'Instrumentos Financeiros'!$F$11+1),PMT(((1+'Instrumentos Financeiros'!$I$43)^(1/12)-1),$F$11,-$I$68),0)</f>
        <v>0</v>
      </c>
      <c r="AO450" s="1312">
        <f t="shared" si="280"/>
        <v>3.2677042465079426E-11</v>
      </c>
      <c r="AP450" s="1312">
        <f>AQ449*((1+'Instrumentos Financeiros'!$I$43)^(1/12)-1)</f>
        <v>-3.2677042465079426E-11</v>
      </c>
      <c r="AQ450" s="1312">
        <f t="shared" si="298"/>
        <v>-7.5897910221830402E-9</v>
      </c>
      <c r="AR450" s="1312">
        <f>IF(AND(C450&gt;$F$69,'Instrumentos Financeiros'!C450&lt;'Instrumentos Financeiros'!$F$69+'Instrumentos Financeiros'!$F$11+1),PMT(((1+'Instrumentos Financeiros'!$I$43)^(1/12)-1),$F$11,-$I$69),0)</f>
        <v>0</v>
      </c>
      <c r="AS450" s="1312">
        <f t="shared" si="281"/>
        <v>0</v>
      </c>
      <c r="AT450" s="1312">
        <f>AU449*((1+'Instrumentos Financeiros'!$I$43)^(1/12)-1)</f>
        <v>0</v>
      </c>
      <c r="AU450" s="1312">
        <f t="shared" si="299"/>
        <v>0</v>
      </c>
      <c r="AV450" s="1312">
        <f>IF(AND(C450&gt;$F$70,'Instrumentos Financeiros'!C450&lt;'Instrumentos Financeiros'!$F$70+'Instrumentos Financeiros'!$F$11+1),PMT(((1+'Instrumentos Financeiros'!$J$43)^(1/12)-1),$F$11,-$I$70),0)</f>
        <v>0</v>
      </c>
      <c r="AW450" s="1312">
        <f t="shared" si="282"/>
        <v>0</v>
      </c>
      <c r="AX450" s="1312">
        <f>AY449*((1+'Instrumentos Financeiros'!$J$43)^(1/12)-1)</f>
        <v>0</v>
      </c>
      <c r="AY450" s="1312">
        <f t="shared" si="300"/>
        <v>0</v>
      </c>
      <c r="AZ450" s="1312">
        <f>IF(AND(C450&gt;$F$71,'Instrumentos Financeiros'!C450&lt;'Instrumentos Financeiros'!$F$71+'Instrumentos Financeiros'!$F$11+1),PMT(((1+'Instrumentos Financeiros'!$J$43)^(1/12)-1),$F$11,-$I$71),0)</f>
        <v>0</v>
      </c>
      <c r="BA450" s="1312">
        <f t="shared" si="283"/>
        <v>0</v>
      </c>
      <c r="BB450" s="1312">
        <f>BC449*((1+'Instrumentos Financeiros'!$J$43)^(1/12)-1)</f>
        <v>0</v>
      </c>
      <c r="BC450" s="1312">
        <f t="shared" si="301"/>
        <v>0</v>
      </c>
      <c r="BD450" s="1312">
        <f>IF(AND(C450&gt;$F$72,'Instrumentos Financeiros'!C450&lt;'Instrumentos Financeiros'!$F$72+'Instrumentos Financeiros'!$F$11+1),PMT(((1+'Instrumentos Financeiros'!$J$43)^(1/12)-1),$F$11,-'Instrumentos Financeiros'!$G$7*$G$72),0)</f>
        <v>0</v>
      </c>
      <c r="BE450" s="1312">
        <f t="shared" si="284"/>
        <v>0</v>
      </c>
      <c r="BF450" s="1312">
        <f>BG449*((1+'Instrumentos Financeiros'!$J$43)^(1/12)-1)</f>
        <v>0</v>
      </c>
      <c r="BG450" s="1312">
        <f t="shared" si="302"/>
        <v>0</v>
      </c>
      <c r="BH450" s="1312">
        <f>IF(AND(C450&gt;$F$73,'Instrumentos Financeiros'!C450&lt;'Instrumentos Financeiros'!$F$73+'Instrumentos Financeiros'!$F$11+1),PMT(((1+'Instrumentos Financeiros'!$J$43)^(1/12)-1),$F$11,-$I$73),0)</f>
        <v>0</v>
      </c>
      <c r="BI450" s="1312">
        <f t="shared" si="285"/>
        <v>0</v>
      </c>
      <c r="BJ450" s="1312">
        <f>BK449*((1+'Instrumentos Financeiros'!$J$43)^(1/12)-1)</f>
        <v>0</v>
      </c>
      <c r="BK450" s="1312">
        <f t="shared" si="303"/>
        <v>0</v>
      </c>
      <c r="BL450" s="1312">
        <f>IF(AND(C450&gt;$F$77,'Instrumentos Financeiros'!C450&lt;'Instrumentos Financeiros'!$F$77+'Instrumentos Financeiros'!$F$12+1),PMT(((1+'Instrumentos Financeiros'!$K$43)^(1/12)-1),$F$12,-$I$77),0)</f>
        <v>0</v>
      </c>
      <c r="BM450" s="1312">
        <f t="shared" si="304"/>
        <v>9.233285229372139E-14</v>
      </c>
      <c r="BN450" s="1312">
        <f>BO449*((1+'Instrumentos Financeiros'!$K$43)^(1/12)-1)</f>
        <v>-9.233285229372139E-14</v>
      </c>
      <c r="BO450" s="1312">
        <f t="shared" si="305"/>
        <v>-2.1445853128854633E-11</v>
      </c>
      <c r="BP450" s="1312">
        <f>IF(AND(C450&gt;$F$78,'Instrumentos Financeiros'!C450&lt;'Instrumentos Financeiros'!$F$78+'Instrumentos Financeiros'!$F$12+1),PMT(((1+'Instrumentos Financeiros'!$L$43)^(1/12)-1),$F$12,-$I$78),0)</f>
        <v>0</v>
      </c>
      <c r="BQ450" s="1312">
        <f t="shared" si="306"/>
        <v>9.1145391498196987E-14</v>
      </c>
      <c r="BR450" s="1312">
        <f>BS449*((1+'Instrumentos Financeiros'!$L$43)^(1/12)-1)</f>
        <v>-9.1145391498196987E-14</v>
      </c>
      <c r="BS450" s="1312">
        <f t="shared" si="307"/>
        <v>-2.1170045448441183E-11</v>
      </c>
      <c r="BT450" s="1312">
        <f>IF(AND(C450&gt;$F$79,'Instrumentos Financeiros'!C450&lt;'Instrumentos Financeiros'!$F$79+'Instrumentos Financeiros'!$F$12+1),PMT(((1+'Instrumentos Financeiros'!$L$43)^(1/12)-1),$F$12,-$I$79),0)</f>
        <v>0</v>
      </c>
      <c r="BU450" s="1312">
        <f t="shared" si="308"/>
        <v>8.9973202224193712E-14</v>
      </c>
      <c r="BV450" s="1312">
        <f>BW449*((1+'Instrumentos Financeiros'!$L$43)^(1/12)-1)</f>
        <v>-8.9973202224193712E-14</v>
      </c>
      <c r="BW450" s="1312">
        <f t="shared" si="309"/>
        <v>-2.0897784834965013E-11</v>
      </c>
      <c r="BX450" s="1312">
        <f>IF(AND(C450&gt;$F$80,'Instrumentos Financeiros'!C450&lt;'Instrumentos Financeiros'!$F$80+'Instrumentos Financeiros'!$F$12+1),PMT(((1+'Instrumentos Financeiros'!$L$43)^(1/12)-1),$F$12,-$I$80),0)</f>
        <v>0</v>
      </c>
      <c r="BY450" s="1312">
        <f t="shared" si="310"/>
        <v>8.8816088069968862E-14</v>
      </c>
      <c r="BZ450" s="1312">
        <f>CA449*((1+'Instrumentos Financeiros'!$L$43)^(1/12)-1)</f>
        <v>-8.8816088069968862E-14</v>
      </c>
      <c r="CA450" s="1312">
        <f t="shared" si="311"/>
        <v>-2.0629025670828239E-11</v>
      </c>
      <c r="CB450" s="1312">
        <f>IF(AND(C450&gt;$F$83,'Instrumentos Financeiros'!C450&lt;'Instrumentos Financeiros'!$F$83+'Instrumentos Financeiros'!$F$13+1),PMT(((1+'Instrumentos Financeiros'!$P$43)^(1/12)-1),$F$13,-$I$83),0)</f>
        <v>0</v>
      </c>
      <c r="CC450" s="1312">
        <f t="shared" si="312"/>
        <v>8.1252783159133751E-12</v>
      </c>
      <c r="CD450" s="1312">
        <f>CE449*((1+'Instrumentos Financeiros'!$P$43)^(1/12)-1)</f>
        <v>-8.1252783159133751E-12</v>
      </c>
      <c r="CE450" s="1312">
        <f t="shared" si="313"/>
        <v>-1.887232128818301E-9</v>
      </c>
      <c r="CF450" s="1312">
        <f>IF(AND(C450&gt;$F$84,'Instrumentos Financeiros'!C450&lt;'Instrumentos Financeiros'!$F$84+'Instrumentos Financeiros'!$F$13+1),PMT(((1+'Instrumentos Financeiros'!$Q$43)^(1/12)-1),$F$13,-$I$84),0)</f>
        <v>0</v>
      </c>
      <c r="CG450" s="1312">
        <f t="shared" si="314"/>
        <v>8.0207819290566294E-12</v>
      </c>
      <c r="CH450" s="1312">
        <f>CI449*((1+'Instrumentos Financeiros'!$Q$43)^(1/12)-1)</f>
        <v>-8.0207819290566294E-12</v>
      </c>
      <c r="CI450" s="1312">
        <f t="shared" si="315"/>
        <v>-1.8629610908361014E-9</v>
      </c>
      <c r="CJ450" s="1312">
        <f>IF(AND(C450&gt;$F$85,'Instrumentos Financeiros'!C450&lt;'Instrumentos Financeiros'!$F$85+'Instrumentos Financeiros'!$F$13+1),PMT(((1+'Instrumentos Financeiros'!$Q$43)^(1/12)-1),$F$13,-$I$85),0)</f>
        <v>0</v>
      </c>
      <c r="CK450" s="1312">
        <f t="shared" si="316"/>
        <v>7.9176294339955303E-12</v>
      </c>
      <c r="CL450" s="1312">
        <f>CM449*((1+'Instrumentos Financeiros'!$Q$43)^(1/12)-1)</f>
        <v>-7.9176294339955303E-12</v>
      </c>
      <c r="CM450" s="1312">
        <f t="shared" si="317"/>
        <v>-1.8390021942570379E-9</v>
      </c>
      <c r="CN450" s="1312">
        <f>IF(AND(C450&gt;$F$86,'Instrumentos Financeiros'!C450&lt;'Instrumentos Financeiros'!$F$86+'Instrumentos Financeiros'!$F$13+1),PMT(((1+'Instrumentos Financeiros'!$Q$43)^(1/12)-1),$F$13,-$I$86),0)</f>
        <v>30503.390100238979</v>
      </c>
      <c r="CO450" s="1312">
        <f t="shared" si="318"/>
        <v>30372.060980541079</v>
      </c>
      <c r="CP450" s="1312">
        <f>CQ449*((1+'Instrumentos Financeiros'!$Q$43)^(1/12)-1)</f>
        <v>131.32911969790129</v>
      </c>
      <c r="CQ450" s="1312">
        <f t="shared" si="319"/>
        <v>-1.8153514247387648E-9</v>
      </c>
      <c r="CR450" s="1312">
        <f t="shared" si="288"/>
        <v>30503.390100238979</v>
      </c>
      <c r="CS450" s="1312">
        <f t="shared" si="288"/>
        <v>30372.060980541224</v>
      </c>
      <c r="CT450" s="1312">
        <f t="shared" si="288"/>
        <v>131.32911969775725</v>
      </c>
      <c r="CU450" s="1312">
        <f t="shared" si="288"/>
        <v>-3.5084238982072956E-8</v>
      </c>
    </row>
    <row r="451" spans="3:99" x14ac:dyDescent="0.35">
      <c r="C451" s="1315">
        <f t="shared" si="289"/>
        <v>358</v>
      </c>
      <c r="D451" s="1312">
        <f>IF(AND(C451&gt;$F$59,'Instrumentos Financeiros'!C451&lt;'Instrumentos Financeiros'!$F$59+'Instrumentos Financeiros'!$F$11+1),PMT(((1+'Instrumentos Financeiros'!$G$43)^(1/12)-1),$F$11,-$I$59),0)</f>
        <v>0</v>
      </c>
      <c r="E451" s="1312">
        <f t="shared" si="286"/>
        <v>-1.3723309533469821E-11</v>
      </c>
      <c r="F451" s="1312">
        <f>G450*((1+'Instrumentos Financeiros'!$G$43)^(1/12)-1)</f>
        <v>1.3723309533469821E-11</v>
      </c>
      <c r="G451" s="1312">
        <f t="shared" si="320"/>
        <v>3.375795828424353E-9</v>
      </c>
      <c r="H451" s="1312">
        <f>IF(AND(C451&gt;$F$60,'Instrumentos Financeiros'!C451&lt;'Instrumentos Financeiros'!$F$60+'Instrumentos Financeiros'!$F$11+1),PMT(((1+'Instrumentos Financeiros'!$G$43)^(1/12)-1),$F$11,-$I$60),0)</f>
        <v>0</v>
      </c>
      <c r="I451" s="1312">
        <f t="shared" si="272"/>
        <v>0</v>
      </c>
      <c r="J451" s="1312">
        <f>K450*((1+'Instrumentos Financeiros'!$G$43)^(1/12)-1)</f>
        <v>0</v>
      </c>
      <c r="K451" s="1312">
        <f t="shared" si="290"/>
        <v>0</v>
      </c>
      <c r="L451" s="1312">
        <f>IF(AND(C451&gt;$F$61,'Instrumentos Financeiros'!C451&lt;'Instrumentos Financeiros'!$F$61+'Instrumentos Financeiros'!$F$11+1),PMT(((1+'Instrumentos Financeiros'!$G$43)^(1/12)-1),$F$11,-$I$61),0)</f>
        <v>0</v>
      </c>
      <c r="M451" s="1312">
        <f t="shared" si="273"/>
        <v>0</v>
      </c>
      <c r="N451" s="1312">
        <f>O450*((1+'Instrumentos Financeiros'!$G$43)^(1/12)-1)</f>
        <v>0</v>
      </c>
      <c r="O451" s="1312">
        <f t="shared" si="291"/>
        <v>0</v>
      </c>
      <c r="P451" s="1312">
        <f>IF(AND(C451&gt;$F$62,'Instrumentos Financeiros'!C451&lt;'Instrumentos Financeiros'!$F$62+'Instrumentos Financeiros'!$F$11+1),PMT(((1+'Instrumentos Financeiros'!$H$43)^(1/12)-1),$F$11,-$I$62),0)</f>
        <v>0</v>
      </c>
      <c r="Q451" s="1312">
        <f t="shared" si="274"/>
        <v>0</v>
      </c>
      <c r="R451" s="1312">
        <f>S450*((1+'Instrumentos Financeiros'!$H$43)^(1/12)-1)</f>
        <v>0</v>
      </c>
      <c r="S451" s="1312">
        <f t="shared" si="292"/>
        <v>0</v>
      </c>
      <c r="T451" s="1312">
        <f>IF(AND(C451&gt;$F$63,'Instrumentos Financeiros'!C451&lt;'Instrumentos Financeiros'!$F$63+'Instrumentos Financeiros'!$F$11+1),PMT(((1+'Instrumentos Financeiros'!$H$43)^(1/12)-1),$F$11,-$I$63),0)</f>
        <v>0</v>
      </c>
      <c r="U451" s="1312">
        <f t="shared" si="275"/>
        <v>0</v>
      </c>
      <c r="V451" s="1312">
        <f>W450*((1+'Instrumentos Financeiros'!$H$43)^(1/12)-1)</f>
        <v>0</v>
      </c>
      <c r="W451" s="1312">
        <f t="shared" si="293"/>
        <v>0</v>
      </c>
      <c r="X451" s="1312">
        <f>IF(AND(C451&gt;$F$64,'Instrumentos Financeiros'!C451&lt;'Instrumentos Financeiros'!$F$64+'Instrumentos Financeiros'!$F$11+1),PMT(((1+'Instrumentos Financeiros'!$H$43)^(1/12)-1),$F$11,-$I$64),0)</f>
        <v>0</v>
      </c>
      <c r="Y451" s="1312">
        <f t="shared" si="276"/>
        <v>0</v>
      </c>
      <c r="Z451" s="1312">
        <f>AA450*((1+'Instrumentos Financeiros'!$H$43)^(1/12)-1)</f>
        <v>0</v>
      </c>
      <c r="AA451" s="1312">
        <f t="shared" si="294"/>
        <v>0</v>
      </c>
      <c r="AB451" s="1312">
        <f>IF(AND(C451&gt;$F$65,'Instrumentos Financeiros'!C451&lt;'Instrumentos Financeiros'!$F$65+'Instrumentos Financeiros'!$F$11+1),PMT(((1+'Instrumentos Financeiros'!$H$43)^(1/12)-1),$F$11,-$I$65),0)</f>
        <v>0</v>
      </c>
      <c r="AC451" s="1312">
        <f t="shared" si="277"/>
        <v>3.4117814161920216E-11</v>
      </c>
      <c r="AD451" s="1312">
        <f>AE450*((1+'Instrumentos Financeiros'!$H$43)^(1/12)-1)</f>
        <v>-3.4117814161920216E-11</v>
      </c>
      <c r="AE451" s="1312">
        <f t="shared" si="295"/>
        <v>-7.9244344067972887E-9</v>
      </c>
      <c r="AF451" s="1312">
        <f>IF(AND(C451&gt;$F$66,'Instrumentos Financeiros'!C451&lt;'Instrumentos Financeiros'!$F$66+'Instrumentos Financeiros'!$F$11+1),PMT(((1+'Instrumentos Financeiros'!$I$43)^(1/12)-1),$F$11,-$I$66),0)</f>
        <v>0</v>
      </c>
      <c r="AG451" s="1312">
        <f t="shared" si="278"/>
        <v>3.367903678485632E-11</v>
      </c>
      <c r="AH451" s="1312">
        <f>AI450*((1+'Instrumentos Financeiros'!$I$43)^(1/12)-1)</f>
        <v>-3.367903678485632E-11</v>
      </c>
      <c r="AI451" s="1312">
        <f t="shared" si="296"/>
        <v>-7.8225210038099934E-9</v>
      </c>
      <c r="AJ451" s="1312">
        <f>IF(AND(C451&gt;$F$67,'Instrumentos Financeiros'!C451&lt;'Instrumentos Financeiros'!$F$67+'Instrumentos Financeiros'!$F$11+1),PMT(((1+'Instrumentos Financeiros'!$I$43)^(1/12)-1),$F$11,-$I$67),0)</f>
        <v>0</v>
      </c>
      <c r="AK451" s="1312">
        <f t="shared" si="279"/>
        <v>3.3245902371486097E-11</v>
      </c>
      <c r="AL451" s="1312">
        <f>AM450*((1+'Instrumentos Financeiros'!$I$43)^(1/12)-1)</f>
        <v>-3.3245902371486097E-11</v>
      </c>
      <c r="AM451" s="1312">
        <f t="shared" si="297"/>
        <v>-7.7219182737584908E-9</v>
      </c>
      <c r="AN451" s="1312">
        <f>IF(AND(C451&gt;$F$68,'Instrumentos Financeiros'!C451&lt;'Instrumentos Financeiros'!$F$68+'Instrumentos Financeiros'!$F$11+1),PMT(((1+'Instrumentos Financeiros'!$I$43)^(1/12)-1),$F$11,-$I$68),0)</f>
        <v>0</v>
      </c>
      <c r="AO451" s="1312">
        <f t="shared" si="280"/>
        <v>3.2818338349610264E-11</v>
      </c>
      <c r="AP451" s="1312">
        <f>AQ450*((1+'Instrumentos Financeiros'!$I$43)^(1/12)-1)</f>
        <v>-3.2818338349610264E-11</v>
      </c>
      <c r="AQ451" s="1312">
        <f t="shared" si="298"/>
        <v>-7.6226093605326498E-9</v>
      </c>
      <c r="AR451" s="1312">
        <f>IF(AND(C451&gt;$F$69,'Instrumentos Financeiros'!C451&lt;'Instrumentos Financeiros'!$F$69+'Instrumentos Financeiros'!$F$11+1),PMT(((1+'Instrumentos Financeiros'!$I$43)^(1/12)-1),$F$11,-$I$69),0)</f>
        <v>0</v>
      </c>
      <c r="AS451" s="1312">
        <f t="shared" si="281"/>
        <v>0</v>
      </c>
      <c r="AT451" s="1312">
        <f>AU450*((1+'Instrumentos Financeiros'!$I$43)^(1/12)-1)</f>
        <v>0</v>
      </c>
      <c r="AU451" s="1312">
        <f t="shared" si="299"/>
        <v>0</v>
      </c>
      <c r="AV451" s="1312">
        <f>IF(AND(C451&gt;$F$70,'Instrumentos Financeiros'!C451&lt;'Instrumentos Financeiros'!$F$70+'Instrumentos Financeiros'!$F$11+1),PMT(((1+'Instrumentos Financeiros'!$J$43)^(1/12)-1),$F$11,-$I$70),0)</f>
        <v>0</v>
      </c>
      <c r="AW451" s="1312">
        <f t="shared" si="282"/>
        <v>0</v>
      </c>
      <c r="AX451" s="1312">
        <f>AY450*((1+'Instrumentos Financeiros'!$J$43)^(1/12)-1)</f>
        <v>0</v>
      </c>
      <c r="AY451" s="1312">
        <f t="shared" si="300"/>
        <v>0</v>
      </c>
      <c r="AZ451" s="1312">
        <f>IF(AND(C451&gt;$F$71,'Instrumentos Financeiros'!C451&lt;'Instrumentos Financeiros'!$F$71+'Instrumentos Financeiros'!$F$11+1),PMT(((1+'Instrumentos Financeiros'!$J$43)^(1/12)-1),$F$11,-$I$71),0)</f>
        <v>0</v>
      </c>
      <c r="BA451" s="1312">
        <f t="shared" si="283"/>
        <v>0</v>
      </c>
      <c r="BB451" s="1312">
        <f>BC450*((1+'Instrumentos Financeiros'!$J$43)^(1/12)-1)</f>
        <v>0</v>
      </c>
      <c r="BC451" s="1312">
        <f t="shared" si="301"/>
        <v>0</v>
      </c>
      <c r="BD451" s="1312">
        <f>IF(AND(C451&gt;$F$72,'Instrumentos Financeiros'!C451&lt;'Instrumentos Financeiros'!$F$72+'Instrumentos Financeiros'!$F$11+1),PMT(((1+'Instrumentos Financeiros'!$J$43)^(1/12)-1),$F$11,-'Instrumentos Financeiros'!$G$7*$G$72),0)</f>
        <v>0</v>
      </c>
      <c r="BE451" s="1312">
        <f t="shared" si="284"/>
        <v>0</v>
      </c>
      <c r="BF451" s="1312">
        <f>BG450*((1+'Instrumentos Financeiros'!$J$43)^(1/12)-1)</f>
        <v>0</v>
      </c>
      <c r="BG451" s="1312">
        <f t="shared" si="302"/>
        <v>0</v>
      </c>
      <c r="BH451" s="1312">
        <f>IF(AND(C451&gt;$F$73,'Instrumentos Financeiros'!C451&lt;'Instrumentos Financeiros'!$F$73+'Instrumentos Financeiros'!$F$11+1),PMT(((1+'Instrumentos Financeiros'!$J$43)^(1/12)-1),$F$11,-$I$73),0)</f>
        <v>0</v>
      </c>
      <c r="BI451" s="1312">
        <f t="shared" si="285"/>
        <v>0</v>
      </c>
      <c r="BJ451" s="1312">
        <f>BK450*((1+'Instrumentos Financeiros'!$J$43)^(1/12)-1)</f>
        <v>0</v>
      </c>
      <c r="BK451" s="1312">
        <f t="shared" si="303"/>
        <v>0</v>
      </c>
      <c r="BL451" s="1312">
        <f>IF(AND(C451&gt;$F$77,'Instrumentos Financeiros'!C451&lt;'Instrumentos Financeiros'!$F$77+'Instrumentos Financeiros'!$F$12+1),PMT(((1+'Instrumentos Financeiros'!$K$43)^(1/12)-1),$F$12,-$I$77),0)</f>
        <v>0</v>
      </c>
      <c r="BM451" s="1312">
        <f t="shared" si="304"/>
        <v>9.2732100544233599E-14</v>
      </c>
      <c r="BN451" s="1312">
        <f>BO450*((1+'Instrumentos Financeiros'!$K$43)^(1/12)-1)</f>
        <v>-9.2732100544233599E-14</v>
      </c>
      <c r="BO451" s="1312">
        <f t="shared" si="305"/>
        <v>-2.1538585229398866E-11</v>
      </c>
      <c r="BP451" s="1312">
        <f>IF(AND(C451&gt;$F$78,'Instrumentos Financeiros'!C451&lt;'Instrumentos Financeiros'!$F$78+'Instrumentos Financeiros'!$F$12+1),PMT(((1+'Instrumentos Financeiros'!$L$43)^(1/12)-1),$F$12,-$I$78),0)</f>
        <v>0</v>
      </c>
      <c r="BQ451" s="1312">
        <f t="shared" si="306"/>
        <v>9.1539505155404792E-14</v>
      </c>
      <c r="BR451" s="1312">
        <f>BS450*((1+'Instrumentos Financeiros'!$L$43)^(1/12)-1)</f>
        <v>-9.1539505155404792E-14</v>
      </c>
      <c r="BS451" s="1312">
        <f t="shared" si="307"/>
        <v>-2.1261584953596589E-11</v>
      </c>
      <c r="BT451" s="1312">
        <f>IF(AND(C451&gt;$F$79,'Instrumentos Financeiros'!C451&lt;'Instrumentos Financeiros'!$F$79+'Instrumentos Financeiros'!$F$12+1),PMT(((1+'Instrumentos Financeiros'!$L$43)^(1/12)-1),$F$12,-$I$79),0)</f>
        <v>0</v>
      </c>
      <c r="BU451" s="1312">
        <f t="shared" si="308"/>
        <v>9.036224732232108E-14</v>
      </c>
      <c r="BV451" s="1312">
        <f>BW450*((1+'Instrumentos Financeiros'!$L$43)^(1/12)-1)</f>
        <v>-9.036224732232108E-14</v>
      </c>
      <c r="BW451" s="1312">
        <f t="shared" si="309"/>
        <v>-2.0988147082287333E-11</v>
      </c>
      <c r="BX451" s="1312">
        <f>IF(AND(C451&gt;$F$80,'Instrumentos Financeiros'!C451&lt;'Instrumentos Financeiros'!$F$80+'Instrumentos Financeiros'!$F$12+1),PMT(((1+'Instrumentos Financeiros'!$L$43)^(1/12)-1),$F$12,-$I$80),0)</f>
        <v>0</v>
      </c>
      <c r="BY451" s="1312">
        <f t="shared" si="310"/>
        <v>8.9200129793996551E-14</v>
      </c>
      <c r="BZ451" s="1312">
        <f>CA450*((1+'Instrumentos Financeiros'!$L$43)^(1/12)-1)</f>
        <v>-8.9200129793996551E-14</v>
      </c>
      <c r="CA451" s="1312">
        <f t="shared" si="311"/>
        <v>-2.0718225800622234E-11</v>
      </c>
      <c r="CB451" s="1312">
        <f>IF(AND(C451&gt;$F$83,'Instrumentos Financeiros'!C451&lt;'Instrumentos Financeiros'!$F$83+'Instrumentos Financeiros'!$F$13+1),PMT(((1+'Instrumentos Financeiros'!$P$43)^(1/12)-1),$F$13,-$I$83),0)</f>
        <v>0</v>
      </c>
      <c r="CC451" s="1312">
        <f t="shared" si="312"/>
        <v>8.160412107104334E-12</v>
      </c>
      <c r="CD451" s="1312">
        <f>CE450*((1+'Instrumentos Financeiros'!$P$43)^(1/12)-1)</f>
        <v>-8.160412107104334E-12</v>
      </c>
      <c r="CE451" s="1312">
        <f t="shared" si="313"/>
        <v>-1.8953925409254052E-9</v>
      </c>
      <c r="CF451" s="1312">
        <f>IF(AND(C451&gt;$F$84,'Instrumentos Financeiros'!C451&lt;'Instrumentos Financeiros'!$F$84+'Instrumentos Financeiros'!$F$13+1),PMT(((1+'Instrumentos Financeiros'!$Q$43)^(1/12)-1),$F$13,-$I$84),0)</f>
        <v>0</v>
      </c>
      <c r="CG451" s="1312">
        <f t="shared" si="314"/>
        <v>8.0554638767422592E-12</v>
      </c>
      <c r="CH451" s="1312">
        <f>CI450*((1+'Instrumentos Financeiros'!$Q$43)^(1/12)-1)</f>
        <v>-8.0554638767422592E-12</v>
      </c>
      <c r="CI451" s="1312">
        <f t="shared" si="315"/>
        <v>-1.8710165547128435E-9</v>
      </c>
      <c r="CJ451" s="1312">
        <f>IF(AND(C451&gt;$F$85,'Instrumentos Financeiros'!C451&lt;'Instrumentos Financeiros'!$F$85+'Instrumentos Financeiros'!$F$13+1),PMT(((1+'Instrumentos Financeiros'!$Q$43)^(1/12)-1),$F$13,-$I$85),0)</f>
        <v>0</v>
      </c>
      <c r="CK451" s="1312">
        <f t="shared" si="316"/>
        <v>7.9518653491784706E-12</v>
      </c>
      <c r="CL451" s="1312">
        <f>CM450*((1+'Instrumentos Financeiros'!$Q$43)^(1/12)-1)</f>
        <v>-7.9518653491784706E-12</v>
      </c>
      <c r="CM451" s="1312">
        <f t="shared" si="317"/>
        <v>-1.8469540596062163E-9</v>
      </c>
      <c r="CN451" s="1312">
        <f>IF(AND(C451&gt;$F$86,'Instrumentos Financeiros'!C451&lt;'Instrumentos Financeiros'!$F$86+'Instrumentos Financeiros'!$F$13+1),PMT(((1+'Instrumentos Financeiros'!$Q$43)^(1/12)-1),$F$13,-$I$86),0)</f>
        <v>0</v>
      </c>
      <c r="CO451" s="1312">
        <f t="shared" si="318"/>
        <v>7.8495991663533093E-12</v>
      </c>
      <c r="CP451" s="1312">
        <f>CQ450*((1+'Instrumentos Financeiros'!$Q$43)^(1/12)-1)</f>
        <v>-7.8495991663533093E-12</v>
      </c>
      <c r="CQ451" s="1312">
        <f t="shared" si="319"/>
        <v>-1.8232010239051181E-9</v>
      </c>
      <c r="CR451" s="1312">
        <f t="shared" si="288"/>
        <v>0</v>
      </c>
      <c r="CS451" s="1312">
        <f t="shared" si="288"/>
        <v>1.5251895661659744E-10</v>
      </c>
      <c r="CT451" s="1312">
        <f t="shared" si="288"/>
        <v>-1.5251895661659744E-10</v>
      </c>
      <c r="CU451" s="1312">
        <f t="shared" si="288"/>
        <v>-3.523675793868956E-8</v>
      </c>
    </row>
    <row r="452" spans="3:99" x14ac:dyDescent="0.35">
      <c r="C452" s="1315">
        <f t="shared" si="289"/>
        <v>359</v>
      </c>
      <c r="D452" s="1312">
        <f>IF(AND(C452&gt;$F$59,'Instrumentos Financeiros'!C452&lt;'Instrumentos Financeiros'!$F$59+'Instrumentos Financeiros'!$F$11+1),PMT(((1+'Instrumentos Financeiros'!$G$43)^(1/12)-1),$F$11,-$I$59),0)</f>
        <v>0</v>
      </c>
      <c r="E452" s="1312">
        <f t="shared" si="286"/>
        <v>-1.3779325346184519E-11</v>
      </c>
      <c r="F452" s="1312">
        <f>G451*((1+'Instrumentos Financeiros'!$G$43)^(1/12)-1)</f>
        <v>1.3779325346184519E-11</v>
      </c>
      <c r="G452" s="1312">
        <f t="shared" si="320"/>
        <v>3.3895751537705377E-9</v>
      </c>
      <c r="H452" s="1312">
        <f>IF(AND(C452&gt;$F$60,'Instrumentos Financeiros'!C452&lt;'Instrumentos Financeiros'!$F$60+'Instrumentos Financeiros'!$F$11+1),PMT(((1+'Instrumentos Financeiros'!$G$43)^(1/12)-1),$F$11,-$I$60),0)</f>
        <v>0</v>
      </c>
      <c r="I452" s="1312">
        <f t="shared" si="272"/>
        <v>0</v>
      </c>
      <c r="J452" s="1312">
        <f>K451*((1+'Instrumentos Financeiros'!$G$43)^(1/12)-1)</f>
        <v>0</v>
      </c>
      <c r="K452" s="1312">
        <f t="shared" si="290"/>
        <v>0</v>
      </c>
      <c r="L452" s="1312">
        <f>IF(AND(C452&gt;$F$61,'Instrumentos Financeiros'!C452&lt;'Instrumentos Financeiros'!$F$61+'Instrumentos Financeiros'!$F$11+1),PMT(((1+'Instrumentos Financeiros'!$G$43)^(1/12)-1),$F$11,-$I$61),0)</f>
        <v>0</v>
      </c>
      <c r="M452" s="1312">
        <f t="shared" si="273"/>
        <v>0</v>
      </c>
      <c r="N452" s="1312">
        <f>O451*((1+'Instrumentos Financeiros'!$G$43)^(1/12)-1)</f>
        <v>0</v>
      </c>
      <c r="O452" s="1312">
        <f t="shared" si="291"/>
        <v>0</v>
      </c>
      <c r="P452" s="1312">
        <f>IF(AND(C452&gt;$F$62,'Instrumentos Financeiros'!C452&lt;'Instrumentos Financeiros'!$F$62+'Instrumentos Financeiros'!$F$11+1),PMT(((1+'Instrumentos Financeiros'!$H$43)^(1/12)-1),$F$11,-$I$62),0)</f>
        <v>0</v>
      </c>
      <c r="Q452" s="1312">
        <f t="shared" si="274"/>
        <v>0</v>
      </c>
      <c r="R452" s="1312">
        <f>S451*((1+'Instrumentos Financeiros'!$H$43)^(1/12)-1)</f>
        <v>0</v>
      </c>
      <c r="S452" s="1312">
        <f t="shared" si="292"/>
        <v>0</v>
      </c>
      <c r="T452" s="1312">
        <f>IF(AND(C452&gt;$F$63,'Instrumentos Financeiros'!C452&lt;'Instrumentos Financeiros'!$F$63+'Instrumentos Financeiros'!$F$11+1),PMT(((1+'Instrumentos Financeiros'!$H$43)^(1/12)-1),$F$11,-$I$63),0)</f>
        <v>0</v>
      </c>
      <c r="U452" s="1312">
        <f t="shared" si="275"/>
        <v>0</v>
      </c>
      <c r="V452" s="1312">
        <f>W451*((1+'Instrumentos Financeiros'!$H$43)^(1/12)-1)</f>
        <v>0</v>
      </c>
      <c r="W452" s="1312">
        <f t="shared" si="293"/>
        <v>0</v>
      </c>
      <c r="X452" s="1312">
        <f>IF(AND(C452&gt;$F$64,'Instrumentos Financeiros'!C452&lt;'Instrumentos Financeiros'!$F$64+'Instrumentos Financeiros'!$F$11+1),PMT(((1+'Instrumentos Financeiros'!$H$43)^(1/12)-1),$F$11,-$I$64),0)</f>
        <v>0</v>
      </c>
      <c r="Y452" s="1312">
        <f t="shared" si="276"/>
        <v>0</v>
      </c>
      <c r="Z452" s="1312">
        <f>AA451*((1+'Instrumentos Financeiros'!$H$43)^(1/12)-1)</f>
        <v>0</v>
      </c>
      <c r="AA452" s="1312">
        <f t="shared" si="294"/>
        <v>0</v>
      </c>
      <c r="AB452" s="1312">
        <f>IF(AND(C452&gt;$F$65,'Instrumentos Financeiros'!C452&lt;'Instrumentos Financeiros'!$F$65+'Instrumentos Financeiros'!$F$11+1),PMT(((1+'Instrumentos Financeiros'!$H$43)^(1/12)-1),$F$11,-$I$65),0)</f>
        <v>0</v>
      </c>
      <c r="AC452" s="1312">
        <f t="shared" si="277"/>
        <v>3.426533995882852E-11</v>
      </c>
      <c r="AD452" s="1312">
        <f>AE451*((1+'Instrumentos Financeiros'!$H$43)^(1/12)-1)</f>
        <v>-3.426533995882852E-11</v>
      </c>
      <c r="AE452" s="1312">
        <f t="shared" si="295"/>
        <v>-7.9586997467561167E-9</v>
      </c>
      <c r="AF452" s="1312">
        <f>IF(AND(C452&gt;$F$66,'Instrumentos Financeiros'!C452&lt;'Instrumentos Financeiros'!$F$66+'Instrumentos Financeiros'!$F$11+1),PMT(((1+'Instrumentos Financeiros'!$I$43)^(1/12)-1),$F$11,-$I$66),0)</f>
        <v>0</v>
      </c>
      <c r="AG452" s="1312">
        <f t="shared" si="278"/>
        <v>3.3824665303647408E-11</v>
      </c>
      <c r="AH452" s="1312">
        <f>AI451*((1+'Instrumentos Financeiros'!$I$43)^(1/12)-1)</f>
        <v>-3.3824665303647408E-11</v>
      </c>
      <c r="AI452" s="1312">
        <f t="shared" si="296"/>
        <v>-7.8563456691136404E-9</v>
      </c>
      <c r="AJ452" s="1312">
        <f>IF(AND(C452&gt;$F$67,'Instrumentos Financeiros'!C452&lt;'Instrumentos Financeiros'!$F$67+'Instrumentos Financeiros'!$F$11+1),PMT(((1+'Instrumentos Financeiros'!$I$43)^(1/12)-1),$F$11,-$I$67),0)</f>
        <v>0</v>
      </c>
      <c r="AK452" s="1312">
        <f t="shared" si="279"/>
        <v>3.3389658012395919E-11</v>
      </c>
      <c r="AL452" s="1312">
        <f>AM451*((1+'Instrumentos Financeiros'!$I$43)^(1/12)-1)</f>
        <v>-3.3389658012395919E-11</v>
      </c>
      <c r="AM452" s="1312">
        <f t="shared" si="297"/>
        <v>-7.7553079317708868E-9</v>
      </c>
      <c r="AN452" s="1312">
        <f>IF(AND(C452&gt;$F$68,'Instrumentos Financeiros'!C452&lt;'Instrumentos Financeiros'!$F$68+'Instrumentos Financeiros'!$F$11+1),PMT(((1+'Instrumentos Financeiros'!$I$43)^(1/12)-1),$F$11,-$I$68),0)</f>
        <v>0</v>
      </c>
      <c r="AO452" s="1312">
        <f t="shared" si="280"/>
        <v>3.2960245199071801E-11</v>
      </c>
      <c r="AP452" s="1312">
        <f>AQ451*((1+'Instrumentos Financeiros'!$I$43)^(1/12)-1)</f>
        <v>-3.2960245199071801E-11</v>
      </c>
      <c r="AQ452" s="1312">
        <f t="shared" si="298"/>
        <v>-7.6555696057317224E-9</v>
      </c>
      <c r="AR452" s="1312">
        <f>IF(AND(C452&gt;$F$69,'Instrumentos Financeiros'!C452&lt;'Instrumentos Financeiros'!$F$69+'Instrumentos Financeiros'!$F$11+1),PMT(((1+'Instrumentos Financeiros'!$I$43)^(1/12)-1),$F$11,-$I$69),0)</f>
        <v>0</v>
      </c>
      <c r="AS452" s="1312">
        <f t="shared" si="281"/>
        <v>0</v>
      </c>
      <c r="AT452" s="1312">
        <f>AU451*((1+'Instrumentos Financeiros'!$I$43)^(1/12)-1)</f>
        <v>0</v>
      </c>
      <c r="AU452" s="1312">
        <f t="shared" si="299"/>
        <v>0</v>
      </c>
      <c r="AV452" s="1312">
        <f>IF(AND(C452&gt;$F$70,'Instrumentos Financeiros'!C452&lt;'Instrumentos Financeiros'!$F$70+'Instrumentos Financeiros'!$F$11+1),PMT(((1+'Instrumentos Financeiros'!$J$43)^(1/12)-1),$F$11,-$I$70),0)</f>
        <v>0</v>
      </c>
      <c r="AW452" s="1312">
        <f t="shared" si="282"/>
        <v>0</v>
      </c>
      <c r="AX452" s="1312">
        <f>AY451*((1+'Instrumentos Financeiros'!$J$43)^(1/12)-1)</f>
        <v>0</v>
      </c>
      <c r="AY452" s="1312">
        <f t="shared" si="300"/>
        <v>0</v>
      </c>
      <c r="AZ452" s="1312">
        <f>IF(AND(C452&gt;$F$71,'Instrumentos Financeiros'!C452&lt;'Instrumentos Financeiros'!$F$71+'Instrumentos Financeiros'!$F$11+1),PMT(((1+'Instrumentos Financeiros'!$J$43)^(1/12)-1),$F$11,-$I$71),0)</f>
        <v>0</v>
      </c>
      <c r="BA452" s="1312">
        <f t="shared" si="283"/>
        <v>0</v>
      </c>
      <c r="BB452" s="1312">
        <f>BC451*((1+'Instrumentos Financeiros'!$J$43)^(1/12)-1)</f>
        <v>0</v>
      </c>
      <c r="BC452" s="1312">
        <f t="shared" si="301"/>
        <v>0</v>
      </c>
      <c r="BD452" s="1312">
        <f>IF(AND(C452&gt;$F$72,'Instrumentos Financeiros'!C452&lt;'Instrumentos Financeiros'!$F$72+'Instrumentos Financeiros'!$F$11+1),PMT(((1+'Instrumentos Financeiros'!$J$43)^(1/12)-1),$F$11,-'Instrumentos Financeiros'!$G$7*$G$72),0)</f>
        <v>0</v>
      </c>
      <c r="BE452" s="1312">
        <f t="shared" si="284"/>
        <v>0</v>
      </c>
      <c r="BF452" s="1312">
        <f>BG451*((1+'Instrumentos Financeiros'!$J$43)^(1/12)-1)</f>
        <v>0</v>
      </c>
      <c r="BG452" s="1312">
        <f t="shared" si="302"/>
        <v>0</v>
      </c>
      <c r="BH452" s="1312">
        <f>IF(AND(C452&gt;$F$73,'Instrumentos Financeiros'!C452&lt;'Instrumentos Financeiros'!$F$73+'Instrumentos Financeiros'!$F$11+1),PMT(((1+'Instrumentos Financeiros'!$J$43)^(1/12)-1),$F$11,-$I$73),0)</f>
        <v>0</v>
      </c>
      <c r="BI452" s="1312">
        <f t="shared" si="285"/>
        <v>0</v>
      </c>
      <c r="BJ452" s="1312">
        <f>BK451*((1+'Instrumentos Financeiros'!$J$43)^(1/12)-1)</f>
        <v>0</v>
      </c>
      <c r="BK452" s="1312">
        <f t="shared" si="303"/>
        <v>0</v>
      </c>
      <c r="BL452" s="1312">
        <f>IF(AND(C452&gt;$F$77,'Instrumentos Financeiros'!C452&lt;'Instrumentos Financeiros'!$F$77+'Instrumentos Financeiros'!$F$12+1),PMT(((1+'Instrumentos Financeiros'!$K$43)^(1/12)-1),$F$12,-$I$77),0)</f>
        <v>0</v>
      </c>
      <c r="BM452" s="1312">
        <f t="shared" si="304"/>
        <v>9.3133075148492916E-14</v>
      </c>
      <c r="BN452" s="1312">
        <f>BO451*((1+'Instrumentos Financeiros'!$K$43)^(1/12)-1)</f>
        <v>-9.3133075148492916E-14</v>
      </c>
      <c r="BO452" s="1312">
        <f t="shared" si="305"/>
        <v>-2.1631718304547358E-11</v>
      </c>
      <c r="BP452" s="1312">
        <f>IF(AND(C452&gt;$F$78,'Instrumentos Financeiros'!C452&lt;'Instrumentos Financeiros'!$F$78+'Instrumentos Financeiros'!$F$12+1),PMT(((1+'Instrumentos Financeiros'!$L$43)^(1/12)-1),$F$12,-$I$78),0)</f>
        <v>0</v>
      </c>
      <c r="BQ452" s="1312">
        <f t="shared" si="306"/>
        <v>9.19353229643228E-14</v>
      </c>
      <c r="BR452" s="1312">
        <f>BS451*((1+'Instrumentos Financeiros'!$L$43)^(1/12)-1)</f>
        <v>-9.19353229643228E-14</v>
      </c>
      <c r="BS452" s="1312">
        <f t="shared" si="307"/>
        <v>-2.1353520276560912E-11</v>
      </c>
      <c r="BT452" s="1312">
        <f>IF(AND(C452&gt;$F$79,'Instrumentos Financeiros'!C452&lt;'Instrumentos Financeiros'!$F$79+'Instrumentos Financeiros'!$F$12+1),PMT(((1+'Instrumentos Financeiros'!$L$43)^(1/12)-1),$F$12,-$I$79),0)</f>
        <v>0</v>
      </c>
      <c r="BU452" s="1312">
        <f t="shared" si="308"/>
        <v>9.0752974655654445E-14</v>
      </c>
      <c r="BV452" s="1312">
        <f>BW451*((1+'Instrumentos Financeiros'!$L$43)^(1/12)-1)</f>
        <v>-9.0752974655654445E-14</v>
      </c>
      <c r="BW452" s="1312">
        <f t="shared" si="309"/>
        <v>-2.1078900056942986E-11</v>
      </c>
      <c r="BX452" s="1312">
        <f>IF(AND(C452&gt;$F$80,'Instrumentos Financeiros'!C452&lt;'Instrumentos Financeiros'!$F$80+'Instrumentos Financeiros'!$F$12+1),PMT(((1+'Instrumentos Financeiros'!$L$43)^(1/12)-1),$F$12,-$I$80),0)</f>
        <v>0</v>
      </c>
      <c r="BY452" s="1312">
        <f t="shared" si="310"/>
        <v>8.9585832118586575E-14</v>
      </c>
      <c r="BZ452" s="1312">
        <f>CA451*((1+'Instrumentos Financeiros'!$L$43)^(1/12)-1)</f>
        <v>-8.9585832118586575E-14</v>
      </c>
      <c r="CA452" s="1312">
        <f t="shared" si="311"/>
        <v>-2.080781163274082E-11</v>
      </c>
      <c r="CB452" s="1312">
        <f>IF(AND(C452&gt;$F$83,'Instrumentos Financeiros'!C452&lt;'Instrumentos Financeiros'!$F$83+'Instrumentos Financeiros'!$F$13+1),PMT(((1+'Instrumentos Financeiros'!$P$43)^(1/12)-1),$F$13,-$I$83),0)</f>
        <v>0</v>
      </c>
      <c r="CC452" s="1312">
        <f t="shared" si="312"/>
        <v>8.1956978171878464E-12</v>
      </c>
      <c r="CD452" s="1312">
        <f>CE451*((1+'Instrumentos Financeiros'!$P$43)^(1/12)-1)</f>
        <v>-8.1956978171878464E-12</v>
      </c>
      <c r="CE452" s="1312">
        <f t="shared" si="313"/>
        <v>-1.9035882387425929E-9</v>
      </c>
      <c r="CF452" s="1312">
        <f>IF(AND(C452&gt;$F$84,'Instrumentos Financeiros'!C452&lt;'Instrumentos Financeiros'!$F$84+'Instrumentos Financeiros'!$F$13+1),PMT(((1+'Instrumentos Financeiros'!$Q$43)^(1/12)-1),$F$13,-$I$84),0)</f>
        <v>0</v>
      </c>
      <c r="CG452" s="1312">
        <f t="shared" si="314"/>
        <v>8.0902957895442472E-12</v>
      </c>
      <c r="CH452" s="1312">
        <f>CI451*((1+'Instrumentos Financeiros'!$Q$43)^(1/12)-1)</f>
        <v>-8.0902957895442472E-12</v>
      </c>
      <c r="CI452" s="1312">
        <f t="shared" si="315"/>
        <v>-1.8791068505023877E-9</v>
      </c>
      <c r="CJ452" s="1312">
        <f>IF(AND(C452&gt;$F$85,'Instrumentos Financeiros'!C452&lt;'Instrumentos Financeiros'!$F$85+'Instrumentos Financeiros'!$F$13+1),PMT(((1+'Instrumentos Financeiros'!$Q$43)^(1/12)-1),$F$13,-$I$85),0)</f>
        <v>0</v>
      </c>
      <c r="CK452" s="1312">
        <f t="shared" si="316"/>
        <v>7.9862493008284095E-12</v>
      </c>
      <c r="CL452" s="1312">
        <f>CM451*((1+'Instrumentos Financeiros'!$Q$43)^(1/12)-1)</f>
        <v>-7.9862493008284095E-12</v>
      </c>
      <c r="CM452" s="1312">
        <f t="shared" si="317"/>
        <v>-1.8549403089070447E-9</v>
      </c>
      <c r="CN452" s="1312">
        <f>IF(AND(C452&gt;$F$86,'Instrumentos Financeiros'!C452&lt;'Instrumentos Financeiros'!$F$86+'Instrumentos Financeiros'!$F$13+1),PMT(((1+'Instrumentos Financeiros'!$Q$43)^(1/12)-1),$F$13,-$I$86),0)</f>
        <v>0</v>
      </c>
      <c r="CO452" s="1312">
        <f t="shared" si="318"/>
        <v>7.8835409179242396E-12</v>
      </c>
      <c r="CP452" s="1312">
        <f>CQ451*((1+'Instrumentos Financeiros'!$Q$43)^(1/12)-1)</f>
        <v>-7.8835409179242396E-12</v>
      </c>
      <c r="CQ452" s="1312">
        <f t="shared" si="319"/>
        <v>-1.8310845648230423E-9</v>
      </c>
      <c r="CR452" s="1312">
        <f t="shared" si="288"/>
        <v>0</v>
      </c>
      <c r="CS452" s="1312">
        <f t="shared" si="288"/>
        <v>1.5318177415813097E-10</v>
      </c>
      <c r="CT452" s="1312">
        <f t="shared" si="288"/>
        <v>-1.5318177415813097E-10</v>
      </c>
      <c r="CU452" s="1312">
        <f t="shared" si="288"/>
        <v>-3.5389939712847693E-8</v>
      </c>
    </row>
    <row r="453" spans="3:99" x14ac:dyDescent="0.35">
      <c r="C453" s="1317">
        <f t="shared" si="289"/>
        <v>360</v>
      </c>
      <c r="D453" s="1314">
        <f>IF(AND(C453&gt;$F$59,'Instrumentos Financeiros'!C453&lt;'Instrumentos Financeiros'!$F$59+'Instrumentos Financeiros'!$F$11+1),PMT(((1+'Instrumentos Financeiros'!$G$43)^(1/12)-1),$F$11,-$I$59),0)</f>
        <v>0</v>
      </c>
      <c r="E453" s="1314">
        <f t="shared" si="286"/>
        <v>-1.3835569804275644E-11</v>
      </c>
      <c r="F453" s="1314">
        <f>G452*((1+'Instrumentos Financeiros'!$G$43)^(1/12)-1)</f>
        <v>1.3835569804275644E-11</v>
      </c>
      <c r="G453" s="1314">
        <f t="shared" si="320"/>
        <v>3.4034107235748135E-9</v>
      </c>
      <c r="H453" s="1314">
        <f>IF(AND(C453&gt;$F$60,'Instrumentos Financeiros'!C453&lt;'Instrumentos Financeiros'!$F$60+'Instrumentos Financeiros'!$F$11+1),PMT(((1+'Instrumentos Financeiros'!$G$43)^(1/12)-1),$F$11,-$I$60),0)</f>
        <v>0</v>
      </c>
      <c r="I453" s="1314">
        <f t="shared" si="272"/>
        <v>0</v>
      </c>
      <c r="J453" s="1314">
        <f>K452*((1+'Instrumentos Financeiros'!$G$43)^(1/12)-1)</f>
        <v>0</v>
      </c>
      <c r="K453" s="1314">
        <f t="shared" si="290"/>
        <v>0</v>
      </c>
      <c r="L453" s="1314">
        <f>IF(AND(C453&gt;$F$61,'Instrumentos Financeiros'!C453&lt;'Instrumentos Financeiros'!$F$61+'Instrumentos Financeiros'!$F$11+1),PMT(((1+'Instrumentos Financeiros'!$G$43)^(1/12)-1),$F$11,-$I$61),0)</f>
        <v>0</v>
      </c>
      <c r="M453" s="1314">
        <f t="shared" si="273"/>
        <v>0</v>
      </c>
      <c r="N453" s="1314">
        <f>O452*((1+'Instrumentos Financeiros'!$G$43)^(1/12)-1)</f>
        <v>0</v>
      </c>
      <c r="O453" s="1314">
        <f t="shared" si="291"/>
        <v>0</v>
      </c>
      <c r="P453" s="1314">
        <f>IF(AND(C453&gt;$F$62,'Instrumentos Financeiros'!C453&lt;'Instrumentos Financeiros'!$F$62+'Instrumentos Financeiros'!$F$11+1),PMT(((1+'Instrumentos Financeiros'!$H$43)^(1/12)-1),$F$11,-$I$62),0)</f>
        <v>0</v>
      </c>
      <c r="Q453" s="1314">
        <f t="shared" si="274"/>
        <v>0</v>
      </c>
      <c r="R453" s="1314">
        <f>S452*((1+'Instrumentos Financeiros'!$H$43)^(1/12)-1)</f>
        <v>0</v>
      </c>
      <c r="S453" s="1314">
        <f t="shared" si="292"/>
        <v>0</v>
      </c>
      <c r="T453" s="1314">
        <f>IF(AND(C453&gt;$F$63,'Instrumentos Financeiros'!C453&lt;'Instrumentos Financeiros'!$F$63+'Instrumentos Financeiros'!$F$11+1),PMT(((1+'Instrumentos Financeiros'!$H$43)^(1/12)-1),$F$11,-$I$63),0)</f>
        <v>0</v>
      </c>
      <c r="U453" s="1314">
        <f t="shared" si="275"/>
        <v>0</v>
      </c>
      <c r="V453" s="1314">
        <f>W452*((1+'Instrumentos Financeiros'!$H$43)^(1/12)-1)</f>
        <v>0</v>
      </c>
      <c r="W453" s="1314">
        <f t="shared" si="293"/>
        <v>0</v>
      </c>
      <c r="X453" s="1314">
        <f>IF(AND(C453&gt;$F$64,'Instrumentos Financeiros'!C453&lt;'Instrumentos Financeiros'!$F$64+'Instrumentos Financeiros'!$F$11+1),PMT(((1+'Instrumentos Financeiros'!$H$43)^(1/12)-1),$F$11,-$I$64),0)</f>
        <v>0</v>
      </c>
      <c r="Y453" s="1314">
        <f t="shared" si="276"/>
        <v>0</v>
      </c>
      <c r="Z453" s="1314">
        <f>AA452*((1+'Instrumentos Financeiros'!$H$43)^(1/12)-1)</f>
        <v>0</v>
      </c>
      <c r="AA453" s="1314">
        <f t="shared" si="294"/>
        <v>0</v>
      </c>
      <c r="AB453" s="1312">
        <f>IF(AND(C453&gt;$F$65,'Instrumentos Financeiros'!C453&lt;'Instrumentos Financeiros'!$F$65+'Instrumentos Financeiros'!$F$11+1),PMT(((1+'Instrumentos Financeiros'!$H$43)^(1/12)-1),$F$11,-$I$65),0)</f>
        <v>0</v>
      </c>
      <c r="AC453" s="1314">
        <f t="shared" si="277"/>
        <v>3.4413503658875931E-11</v>
      </c>
      <c r="AD453" s="1314">
        <f>AE452*((1+'Instrumentos Financeiros'!$H$43)^(1/12)-1)</f>
        <v>-3.4413503658875931E-11</v>
      </c>
      <c r="AE453" s="1314">
        <f t="shared" si="295"/>
        <v>-7.9931132504149929E-9</v>
      </c>
      <c r="AF453" s="1314">
        <f>IF(AND(C453&gt;$F$66,'Instrumentos Financeiros'!C453&lt;'Instrumentos Financeiros'!$F$66+'Instrumentos Financeiros'!$F$11+1),PMT(((1+'Instrumentos Financeiros'!$I$43)^(1/12)-1),$F$11,-$I$66),0)</f>
        <v>0</v>
      </c>
      <c r="AG453" s="1314">
        <f t="shared" si="278"/>
        <v>3.3970923521726526E-11</v>
      </c>
      <c r="AH453" s="1314">
        <f>AI452*((1+'Instrumentos Financeiros'!$I$43)^(1/12)-1)</f>
        <v>-3.3970923521726526E-11</v>
      </c>
      <c r="AI453" s="1314">
        <f t="shared" si="296"/>
        <v>-7.8903165926353677E-9</v>
      </c>
      <c r="AJ453" s="1314">
        <f>IF(AND(C453&gt;$F$67,'Instrumentos Financeiros'!C453&lt;'Instrumentos Financeiros'!$F$67+'Instrumentos Financeiros'!$F$11+1),PMT(((1+'Instrumentos Financeiros'!$I$43)^(1/12)-1),$F$11,-$I$67),0)</f>
        <v>0</v>
      </c>
      <c r="AK453" s="1314">
        <f t="shared" si="279"/>
        <v>3.3534035254249596E-11</v>
      </c>
      <c r="AL453" s="1314">
        <f>AM452*((1+'Instrumentos Financeiros'!$I$43)^(1/12)-1)</f>
        <v>-3.3534035254249596E-11</v>
      </c>
      <c r="AM453" s="1314">
        <f t="shared" si="297"/>
        <v>-7.7888419670251368E-9</v>
      </c>
      <c r="AN453" s="1314">
        <f>IF(AND(C453&gt;$F$68,'Instrumentos Financeiros'!C453&lt;'Instrumentos Financeiros'!$F$68+'Instrumentos Financeiros'!$F$11+1),PMT(((1+'Instrumentos Financeiros'!$I$43)^(1/12)-1),$F$11,-$I$68),0)</f>
        <v>0</v>
      </c>
      <c r="AO453" s="1314">
        <f t="shared" si="280"/>
        <v>3.3102765655283015E-11</v>
      </c>
      <c r="AP453" s="1314">
        <f>AQ452*((1+'Instrumentos Financeiros'!$I$43)^(1/12)-1)</f>
        <v>-3.3102765655283015E-11</v>
      </c>
      <c r="AQ453" s="1314">
        <f t="shared" si="298"/>
        <v>-7.6886723713870054E-9</v>
      </c>
      <c r="AR453" s="1314">
        <f>IF(AND(C453&gt;$F$69,'Instrumentos Financeiros'!C453&lt;'Instrumentos Financeiros'!$F$69+'Instrumentos Financeiros'!$F$11+1),PMT(((1+'Instrumentos Financeiros'!$I$43)^(1/12)-1),$F$11,-$I$69),0)</f>
        <v>0</v>
      </c>
      <c r="AS453" s="1314">
        <f t="shared" si="281"/>
        <v>0</v>
      </c>
      <c r="AT453" s="1314">
        <f>AU452*((1+'Instrumentos Financeiros'!$I$43)^(1/12)-1)</f>
        <v>0</v>
      </c>
      <c r="AU453" s="1314">
        <f t="shared" si="299"/>
        <v>0</v>
      </c>
      <c r="AV453" s="1314">
        <f>IF(AND(C453&gt;$F$70,'Instrumentos Financeiros'!C453&lt;'Instrumentos Financeiros'!$F$70+'Instrumentos Financeiros'!$F$11+1),PMT(((1+'Instrumentos Financeiros'!$J$43)^(1/12)-1),$F$11,-$I$70),0)</f>
        <v>0</v>
      </c>
      <c r="AW453" s="1314">
        <f t="shared" si="282"/>
        <v>0</v>
      </c>
      <c r="AX453" s="1314">
        <f>AY452*((1+'Instrumentos Financeiros'!$J$43)^(1/12)-1)</f>
        <v>0</v>
      </c>
      <c r="AY453" s="1314">
        <f t="shared" si="300"/>
        <v>0</v>
      </c>
      <c r="AZ453" s="1314">
        <f>IF(AND(C453&gt;$F$71,'Instrumentos Financeiros'!C453&lt;'Instrumentos Financeiros'!$F$71+'Instrumentos Financeiros'!$F$11+1),PMT(((1+'Instrumentos Financeiros'!$J$43)^(1/12)-1),$F$11,-$I$71),0)</f>
        <v>0</v>
      </c>
      <c r="BA453" s="1314">
        <f t="shared" si="283"/>
        <v>0</v>
      </c>
      <c r="BB453" s="1314">
        <f>BC452*((1+'Instrumentos Financeiros'!$J$43)^(1/12)-1)</f>
        <v>0</v>
      </c>
      <c r="BC453" s="1314">
        <f t="shared" si="301"/>
        <v>0</v>
      </c>
      <c r="BD453" s="1314">
        <f>IF(AND(C453&gt;$F$72,'Instrumentos Financeiros'!C453&lt;'Instrumentos Financeiros'!$F$72+'Instrumentos Financeiros'!$F$11+1),PMT(((1+'Instrumentos Financeiros'!$J$43)^(1/12)-1),$F$11,-'Instrumentos Financeiros'!$G$7*$G$72),0)</f>
        <v>0</v>
      </c>
      <c r="BE453" s="1314">
        <f t="shared" si="284"/>
        <v>0</v>
      </c>
      <c r="BF453" s="1314">
        <f>BG452*((1+'Instrumentos Financeiros'!$J$43)^(1/12)-1)</f>
        <v>0</v>
      </c>
      <c r="BG453" s="1314">
        <f t="shared" si="302"/>
        <v>0</v>
      </c>
      <c r="BH453" s="1314">
        <f>IF(AND(C453&gt;$F$73,'Instrumentos Financeiros'!C453&lt;'Instrumentos Financeiros'!$F$73+'Instrumentos Financeiros'!$F$11+1),PMT(((1+'Instrumentos Financeiros'!$J$43)^(1/12)-1),$F$11,-$I$73),0)</f>
        <v>0</v>
      </c>
      <c r="BI453" s="1314">
        <f t="shared" si="285"/>
        <v>0</v>
      </c>
      <c r="BJ453" s="1314">
        <f>BK452*((1+'Instrumentos Financeiros'!$J$43)^(1/12)-1)</f>
        <v>0</v>
      </c>
      <c r="BK453" s="1314">
        <f t="shared" si="303"/>
        <v>0</v>
      </c>
      <c r="BL453" s="1314">
        <f>IF(AND(C453&gt;$F$77,'Instrumentos Financeiros'!C453&lt;'Instrumentos Financeiros'!$F$77+'Instrumentos Financeiros'!$F$12+1),PMT(((1+'Instrumentos Financeiros'!$K$43)^(1/12)-1),$F$12,-$I$77),0)</f>
        <v>0</v>
      </c>
      <c r="BM453" s="1314">
        <f t="shared" si="304"/>
        <v>9.3535783571271567E-14</v>
      </c>
      <c r="BN453" s="1314">
        <f>BO452*((1+'Instrumentos Financeiros'!$K$43)^(1/12)-1)</f>
        <v>-9.3535783571271567E-14</v>
      </c>
      <c r="BO453" s="1314">
        <f t="shared" si="305"/>
        <v>-2.1725254088118629E-11</v>
      </c>
      <c r="BP453" s="1314">
        <f>IF(AND(C453&gt;$F$78,'Instrumentos Financeiros'!C453&lt;'Instrumentos Financeiros'!$F$78+'Instrumentos Financeiros'!$F$12+1),PMT(((1+'Instrumentos Financeiros'!$L$43)^(1/12)-1),$F$12,-$I$78),0)</f>
        <v>0</v>
      </c>
      <c r="BQ453" s="1314">
        <f t="shared" si="306"/>
        <v>9.233285229372139E-14</v>
      </c>
      <c r="BR453" s="1314">
        <f>BS452*((1+'Instrumentos Financeiros'!$L$43)^(1/12)-1)</f>
        <v>-9.233285229372139E-14</v>
      </c>
      <c r="BS453" s="1314">
        <f t="shared" si="307"/>
        <v>-2.1445853128854633E-11</v>
      </c>
      <c r="BT453" s="1314">
        <f>IF(AND(C453&gt;$F$79,'Instrumentos Financeiros'!C453&lt;'Instrumentos Financeiros'!$F$79+'Instrumentos Financeiros'!$F$12+1),PMT(((1+'Instrumentos Financeiros'!$L$43)^(1/12)-1),$F$12,-$I$79),0)</f>
        <v>0</v>
      </c>
      <c r="BU453" s="1314">
        <f t="shared" si="308"/>
        <v>9.1145391498196987E-14</v>
      </c>
      <c r="BV453" s="1314">
        <f>BW452*((1+'Instrumentos Financeiros'!$L$43)^(1/12)-1)</f>
        <v>-9.1145391498196987E-14</v>
      </c>
      <c r="BW453" s="1314">
        <f t="shared" si="309"/>
        <v>-2.1170045448441183E-11</v>
      </c>
      <c r="BX453" s="1314">
        <f>IF(AND(C453&gt;$F$80,'Instrumentos Financeiros'!C453&lt;'Instrumentos Financeiros'!$F$80+'Instrumentos Financeiros'!$F$12+1),PMT(((1+'Instrumentos Financeiros'!$L$43)^(1/12)-1),$F$12,-$I$80),0)</f>
        <v>0</v>
      </c>
      <c r="BY453" s="1314">
        <f t="shared" si="310"/>
        <v>8.9973202224193712E-14</v>
      </c>
      <c r="BZ453" s="1314">
        <f>CA452*((1+'Instrumentos Financeiros'!$L$43)^(1/12)-1)</f>
        <v>-8.9973202224193712E-14</v>
      </c>
      <c r="CA453" s="1314">
        <f t="shared" si="311"/>
        <v>-2.0897784834965013E-11</v>
      </c>
      <c r="CB453" s="1314">
        <f>IF(AND(C453&gt;$F$83,'Instrumentos Financeiros'!C453&lt;'Instrumentos Financeiros'!$F$83+'Instrumentos Financeiros'!$F$13+1),PMT(((1+'Instrumentos Financeiros'!$P$43)^(1/12)-1),$F$13,-$I$83),0)</f>
        <v>0</v>
      </c>
      <c r="CC453" s="1314">
        <f t="shared" si="312"/>
        <v>8.2311361030628464E-12</v>
      </c>
      <c r="CD453" s="1314">
        <f>CE452*((1+'Instrumentos Financeiros'!$P$43)^(1/12)-1)</f>
        <v>-8.2311361030628464E-12</v>
      </c>
      <c r="CE453" s="1314">
        <f t="shared" si="313"/>
        <v>-1.9118193748456559E-9</v>
      </c>
      <c r="CF453" s="1314">
        <f>IF(AND(C453&gt;$F$84,'Instrumentos Financeiros'!C453&lt;'Instrumentos Financeiros'!$F$84+'Instrumentos Financeiros'!$F$13+1),PMT(((1+'Instrumentos Financeiros'!$Q$43)^(1/12)-1),$F$13,-$I$84),0)</f>
        <v>0</v>
      </c>
      <c r="CG453" s="1314">
        <f t="shared" si="314"/>
        <v>8.1252783159133751E-12</v>
      </c>
      <c r="CH453" s="1314">
        <f>CI452*((1+'Instrumentos Financeiros'!$Q$43)^(1/12)-1)</f>
        <v>-8.1252783159133751E-12</v>
      </c>
      <c r="CI453" s="1314">
        <f t="shared" si="315"/>
        <v>-1.887232128818301E-9</v>
      </c>
      <c r="CJ453" s="1314">
        <f>IF(AND(C453&gt;$F$85,'Instrumentos Financeiros'!C453&lt;'Instrumentos Financeiros'!$F$85+'Instrumentos Financeiros'!$F$13+1),PMT(((1+'Instrumentos Financeiros'!$Q$43)^(1/12)-1),$F$13,-$I$85),0)</f>
        <v>0</v>
      </c>
      <c r="CK453" s="1314">
        <f t="shared" si="316"/>
        <v>8.0207819290566294E-12</v>
      </c>
      <c r="CL453" s="1314">
        <f>CM452*((1+'Instrumentos Financeiros'!$Q$43)^(1/12)-1)</f>
        <v>-8.0207819290566294E-12</v>
      </c>
      <c r="CM453" s="1314">
        <f t="shared" si="317"/>
        <v>-1.8629610908361014E-9</v>
      </c>
      <c r="CN453" s="1314">
        <f>IF(AND(C453&gt;$F$86,'Instrumentos Financeiros'!C453&lt;'Instrumentos Financeiros'!$F$86+'Instrumentos Financeiros'!$F$13+1),PMT(((1+'Instrumentos Financeiros'!$Q$43)^(1/12)-1),$F$13,-$I$86),0)</f>
        <v>0</v>
      </c>
      <c r="CO453" s="1314">
        <f t="shared" si="318"/>
        <v>7.9176294339955303E-12</v>
      </c>
      <c r="CP453" s="1314">
        <f>CQ452*((1+'Instrumentos Financeiros'!$Q$43)^(1/12)-1)</f>
        <v>-7.9176294339955303E-12</v>
      </c>
      <c r="CQ453" s="1314">
        <f t="shared" si="319"/>
        <v>-1.8390021942570379E-9</v>
      </c>
      <c r="CR453" s="1314">
        <f t="shared" si="288"/>
        <v>0</v>
      </c>
      <c r="CS453" s="1314">
        <f t="shared" si="288"/>
        <v>1.5384747129747523E-10</v>
      </c>
      <c r="CT453" s="1314">
        <f t="shared" si="288"/>
        <v>-1.5384747129747523E-10</v>
      </c>
      <c r="CU453" s="1314">
        <f t="shared" si="288"/>
        <v>-3.5543787184145173E-8</v>
      </c>
    </row>
  </sheetData>
  <sheetProtection algorithmName="SHA-512" hashValue="K0W2fy1p4hS5mSywZlm+cp0RYDO26kqhoxXDNUjhTLJrwCFQAa36HbG4Dx0o5Wv30tor9nMm+caWXH4igXBeOQ==" saltValue="R5/rpGkVK14Vrjg8aM1/PA==" spinCount="100000" sheet="1" objects="1" scenarios="1"/>
  <mergeCells count="26">
    <mergeCell ref="CB91:CE91"/>
    <mergeCell ref="CF91:CI91"/>
    <mergeCell ref="CJ91:CM91"/>
    <mergeCell ref="CN91:CQ91"/>
    <mergeCell ref="BD91:BG91"/>
    <mergeCell ref="BH91:BK91"/>
    <mergeCell ref="BL91:BO91"/>
    <mergeCell ref="BP91:BS91"/>
    <mergeCell ref="BT91:BW91"/>
    <mergeCell ref="BX91:CA91"/>
    <mergeCell ref="AZ91:BC91"/>
    <mergeCell ref="C90:C92"/>
    <mergeCell ref="BL90:CA90"/>
    <mergeCell ref="CB90:CQ90"/>
    <mergeCell ref="CR90:CU91"/>
    <mergeCell ref="H91:K91"/>
    <mergeCell ref="L91:O91"/>
    <mergeCell ref="P91:S91"/>
    <mergeCell ref="T91:W91"/>
    <mergeCell ref="X91:AA91"/>
    <mergeCell ref="AB91:AE91"/>
    <mergeCell ref="AF91:AI91"/>
    <mergeCell ref="AJ91:AM91"/>
    <mergeCell ref="AN91:AQ91"/>
    <mergeCell ref="AR91:AU91"/>
    <mergeCell ref="AV91:AY91"/>
  </mergeCells>
  <dataValidations count="1">
    <dataValidation type="decimal" operator="greaterThanOrEqual" allowBlank="1" showInputMessage="1" showErrorMessage="1" errorTitle="Entrada de dados" error="Entrada de dados números positivos" sqref="G26:AJ26" xr:uid="{B92B54E2-6B02-4ABF-AAE3-6F15B7AD7E73}">
      <formula1>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&amp;C_x000D_&amp;1#&amp;"Aptos"&amp;10&amp;K000000 INFORMAÇÃO CONTROLADA</oddFooter>
  </headerFooter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7BDEA-651F-4860-B01C-F4F1F4E9960A}">
  <sheetPr codeName="Planilha21">
    <tabColor theme="7" tint="0.79998168889431442"/>
  </sheetPr>
  <dimension ref="A2:AK90"/>
  <sheetViews>
    <sheetView showGridLines="0" topLeftCell="A32" zoomScale="62" zoomScaleNormal="100" workbookViewId="0">
      <selection activeCell="E83" sqref="E83"/>
    </sheetView>
  </sheetViews>
  <sheetFormatPr defaultColWidth="9.08984375" defaultRowHeight="14.5" x14ac:dyDescent="0.35"/>
  <cols>
    <col min="1" max="1" width="6.81640625" customWidth="1"/>
    <col min="2" max="2" width="5.453125" customWidth="1"/>
    <col min="3" max="3" width="4.08984375" customWidth="1"/>
    <col min="4" max="4" width="37" bestFit="1" customWidth="1"/>
    <col min="5" max="5" width="12.6328125" bestFit="1" customWidth="1"/>
    <col min="6" max="7" width="11.453125" bestFit="1" customWidth="1"/>
    <col min="8" max="8" width="14.36328125" style="162" bestFit="1" customWidth="1"/>
    <col min="9" max="9" width="12.81640625" style="162" bestFit="1" customWidth="1"/>
    <col min="10" max="34" width="14" style="162" bestFit="1" customWidth="1"/>
    <col min="35" max="37" width="12.453125" style="162" bestFit="1" customWidth="1"/>
    <col min="38" max="16384" width="9.08984375" style="162"/>
  </cols>
  <sheetData>
    <row r="2" spans="1:37" ht="21" x14ac:dyDescent="0.5">
      <c r="B2" s="292" t="s">
        <v>1315</v>
      </c>
      <c r="C2" s="114"/>
      <c r="D2" s="115"/>
    </row>
    <row r="3" spans="1:37" ht="18.5" x14ac:dyDescent="0.45">
      <c r="B3" s="113"/>
      <c r="C3" s="114"/>
      <c r="D3" s="115"/>
    </row>
    <row r="4" spans="1:37" ht="18.5" x14ac:dyDescent="0.45">
      <c r="B4" s="113" t="s">
        <v>67</v>
      </c>
      <c r="C4" s="114"/>
      <c r="D4" s="115"/>
    </row>
    <row r="5" spans="1:37" ht="13" x14ac:dyDescent="0.3">
      <c r="A5" s="162"/>
      <c r="B5" s="293"/>
      <c r="C5" s="293" t="s">
        <v>1316</v>
      </c>
      <c r="D5" s="294"/>
      <c r="E5" s="294"/>
      <c r="F5" s="294"/>
      <c r="G5" s="294"/>
      <c r="H5" s="294">
        <v>1</v>
      </c>
      <c r="I5" s="294">
        <f>H5+1</f>
        <v>2</v>
      </c>
      <c r="J5" s="294">
        <f t="shared" ref="J5" si="0">I5+1</f>
        <v>3</v>
      </c>
      <c r="K5" s="294">
        <f t="shared" ref="K5" si="1">J5+1</f>
        <v>4</v>
      </c>
      <c r="L5" s="294">
        <f t="shared" ref="L5" si="2">K5+1</f>
        <v>5</v>
      </c>
      <c r="M5" s="294">
        <f t="shared" ref="M5" si="3">L5+1</f>
        <v>6</v>
      </c>
      <c r="N5" s="294">
        <f t="shared" ref="N5" si="4">M5+1</f>
        <v>7</v>
      </c>
      <c r="O5" s="294">
        <f t="shared" ref="O5" si="5">N5+1</f>
        <v>8</v>
      </c>
      <c r="P5" s="294">
        <f t="shared" ref="P5" si="6">O5+1</f>
        <v>9</v>
      </c>
      <c r="Q5" s="294">
        <f t="shared" ref="Q5" si="7">P5+1</f>
        <v>10</v>
      </c>
      <c r="R5" s="294">
        <f t="shared" ref="R5" si="8">Q5+1</f>
        <v>11</v>
      </c>
      <c r="S5" s="294">
        <f t="shared" ref="S5" si="9">R5+1</f>
        <v>12</v>
      </c>
      <c r="T5" s="294">
        <f t="shared" ref="T5" si="10">S5+1</f>
        <v>13</v>
      </c>
      <c r="U5" s="294">
        <f t="shared" ref="U5" si="11">T5+1</f>
        <v>14</v>
      </c>
      <c r="V5" s="294">
        <f t="shared" ref="V5" si="12">U5+1</f>
        <v>15</v>
      </c>
      <c r="W5" s="294">
        <f t="shared" ref="W5" si="13">V5+1</f>
        <v>16</v>
      </c>
      <c r="X5" s="294">
        <f t="shared" ref="X5" si="14">W5+1</f>
        <v>17</v>
      </c>
      <c r="Y5" s="294">
        <f t="shared" ref="Y5" si="15">X5+1</f>
        <v>18</v>
      </c>
      <c r="Z5" s="294">
        <f t="shared" ref="Z5" si="16">Y5+1</f>
        <v>19</v>
      </c>
      <c r="AA5" s="294">
        <f t="shared" ref="AA5" si="17">Z5+1</f>
        <v>20</v>
      </c>
      <c r="AB5" s="294">
        <f t="shared" ref="AB5" si="18">AA5+1</f>
        <v>21</v>
      </c>
      <c r="AC5" s="294">
        <f t="shared" ref="AC5" si="19">AB5+1</f>
        <v>22</v>
      </c>
      <c r="AD5" s="294">
        <f t="shared" ref="AD5" si="20">AC5+1</f>
        <v>23</v>
      </c>
      <c r="AE5" s="294">
        <f t="shared" ref="AE5" si="21">AD5+1</f>
        <v>24</v>
      </c>
      <c r="AF5" s="294">
        <f t="shared" ref="AF5" si="22">AE5+1</f>
        <v>25</v>
      </c>
      <c r="AG5" s="294">
        <f t="shared" ref="AG5" si="23">AF5+1</f>
        <v>26</v>
      </c>
      <c r="AH5" s="294">
        <f t="shared" ref="AH5" si="24">AG5+1</f>
        <v>27</v>
      </c>
      <c r="AI5" s="294">
        <f t="shared" ref="AI5" si="25">AH5+1</f>
        <v>28</v>
      </c>
      <c r="AJ5" s="294">
        <f t="shared" ref="AJ5" si="26">AI5+1</f>
        <v>29</v>
      </c>
      <c r="AK5" s="294">
        <f t="shared" ref="AK5" si="27">AJ5+1</f>
        <v>30</v>
      </c>
    </row>
    <row r="6" spans="1:37" ht="13" x14ac:dyDescent="0.3">
      <c r="A6" s="162"/>
      <c r="B6" s="290"/>
      <c r="C6" s="286" t="s">
        <v>1317</v>
      </c>
      <c r="D6" s="280"/>
      <c r="E6" s="162"/>
      <c r="F6" s="162"/>
      <c r="G6" s="162"/>
      <c r="H6" s="519">
        <f>'Premissas Geração de Resíduos'!D81</f>
        <v>70821.699330000003</v>
      </c>
      <c r="I6" s="519">
        <f>'Premissas Geração de Resíduos'!E81</f>
        <v>71150.655130999992</v>
      </c>
      <c r="J6" s="519">
        <f>'Premissas Geração de Resíduos'!F81</f>
        <v>71479.610932000011</v>
      </c>
      <c r="K6" s="519">
        <f>'Premissas Geração de Resíduos'!G81</f>
        <v>71808.566733</v>
      </c>
      <c r="L6" s="519">
        <f>'Premissas Geração de Resíduos'!H81</f>
        <v>72137.522534000018</v>
      </c>
      <c r="M6" s="519">
        <f>'Premissas Geração de Resíduos'!I81</f>
        <v>72466.212597999998</v>
      </c>
      <c r="N6" s="519">
        <f>'Premissas Geração de Resíduos'!J81</f>
        <v>72752.049519000022</v>
      </c>
      <c r="O6" s="519">
        <f>'Premissas Geração de Resíduos'!K81</f>
        <v>73037.886440000002</v>
      </c>
      <c r="P6" s="519">
        <f>'Premissas Geração de Resíduos'!L81</f>
        <v>73323.723361000011</v>
      </c>
      <c r="Q6" s="519">
        <f>'Premissas Geração de Resíduos'!M81</f>
        <v>73609.560282000006</v>
      </c>
      <c r="R6" s="519">
        <f>'Premissas Geração de Resíduos'!N81</f>
        <v>73894.872302000003</v>
      </c>
      <c r="S6" s="519">
        <f>'Premissas Geração de Resíduos'!O81</f>
        <v>74060.079649000007</v>
      </c>
      <c r="T6" s="519">
        <f>'Premissas Geração de Resíduos'!P81</f>
        <v>74225.286995999995</v>
      </c>
      <c r="U6" s="519">
        <f>'Premissas Geração de Resíduos'!Q81</f>
        <v>74390.494342999998</v>
      </c>
      <c r="V6" s="519">
        <f>'Premissas Geração de Resíduos'!R81</f>
        <v>74555.701690000016</v>
      </c>
      <c r="W6" s="519">
        <f>'Premissas Geração de Resíduos'!S81</f>
        <v>74721.693727999998</v>
      </c>
      <c r="X6" s="519">
        <f>'Premissas Geração de Resíduos'!T81</f>
        <v>74788.096990999984</v>
      </c>
      <c r="Y6" s="519">
        <f>'Premissas Geração de Resíduos'!U81</f>
        <v>74854.500253999984</v>
      </c>
      <c r="Z6" s="519">
        <f>'Premissas Geração de Resíduos'!V81</f>
        <v>74920.903516999999</v>
      </c>
      <c r="AA6" s="519">
        <f>'Premissas Geração de Resíduos'!W81</f>
        <v>74987.306780000014</v>
      </c>
      <c r="AB6" s="519">
        <f>'Premissas Geração de Resíduos'!X81</f>
        <v>75053.914119000008</v>
      </c>
      <c r="AC6" s="519">
        <f>'Premissas Geração de Resíduos'!Y81</f>
        <v>75120.317381999979</v>
      </c>
      <c r="AD6" s="519">
        <f>'Premissas Geração de Resíduos'!Z81</f>
        <v>75186.720644999979</v>
      </c>
      <c r="AE6" s="519">
        <f>'Premissas Geração de Resíduos'!AA81</f>
        <v>75253.123907999994</v>
      </c>
      <c r="AF6" s="519">
        <f>'Premissas Geração de Resíduos'!AB81</f>
        <v>75319.527170999994</v>
      </c>
      <c r="AG6" s="519">
        <f>'Premissas Geração de Resíduos'!AC81</f>
        <v>75385.930433999994</v>
      </c>
      <c r="AH6" s="519">
        <f>'Premissas Geração de Resíduos'!AD81</f>
        <v>75452.333696999995</v>
      </c>
      <c r="AI6" s="519">
        <f>'Premissas Geração de Resíduos'!AE81</f>
        <v>75518.736959999995</v>
      </c>
      <c r="AJ6" s="519">
        <f>'Premissas Geração de Resíduos'!AF81</f>
        <v>75585.14022299998</v>
      </c>
      <c r="AK6" s="519">
        <f>'Premissas Geração de Resíduos'!AG81</f>
        <v>75651.543485999995</v>
      </c>
    </row>
    <row r="7" spans="1:37" ht="13" x14ac:dyDescent="0.3">
      <c r="A7" s="162"/>
      <c r="B7" s="290"/>
      <c r="C7" s="286" t="s">
        <v>37</v>
      </c>
      <c r="D7" s="280"/>
      <c r="E7" s="162"/>
      <c r="F7" s="162"/>
      <c r="G7" s="162"/>
      <c r="H7" s="519">
        <f>'Premissas Geração de Resíduos'!D142</f>
        <v>16643.099342549998</v>
      </c>
      <c r="I7" s="519">
        <f>'Premissas Geração de Resíduos'!E142</f>
        <v>16720.403955785001</v>
      </c>
      <c r="J7" s="519">
        <f>'Premissas Geração de Resíduos'!F142</f>
        <v>16797.708569019997</v>
      </c>
      <c r="K7" s="519">
        <f>'Premissas Geração de Resíduos'!G142</f>
        <v>16875.013182254996</v>
      </c>
      <c r="L7" s="519">
        <f>'Premissas Geração de Resíduos'!H142</f>
        <v>16952.317795489998</v>
      </c>
      <c r="M7" s="519">
        <f>'Premissas Geração de Resíduos'!I142</f>
        <v>17029.559960529998</v>
      </c>
      <c r="N7" s="519">
        <f>'Premissas Geração de Resíduos'!J142</f>
        <v>17096.731636964996</v>
      </c>
      <c r="O7" s="519">
        <f>'Premissas Geração de Resíduos'!K142</f>
        <v>17163.903313399998</v>
      </c>
      <c r="P7" s="519">
        <f>'Premissas Geração de Resíduos'!L142</f>
        <v>17231.074989834997</v>
      </c>
      <c r="Q7" s="519">
        <f>'Premissas Geração de Resíduos'!M142</f>
        <v>17298.246666269999</v>
      </c>
      <c r="R7" s="519">
        <f>'Premissas Geração de Resíduos'!N142</f>
        <v>17365.294990969996</v>
      </c>
      <c r="S7" s="519">
        <f>'Premissas Geração de Resíduos'!O142</f>
        <v>17404.118717514997</v>
      </c>
      <c r="T7" s="519">
        <f>'Premissas Geração de Resíduos'!P142</f>
        <v>17442.942444059994</v>
      </c>
      <c r="U7" s="519">
        <f>'Premissas Geração de Resíduos'!Q142</f>
        <v>17481.766170604991</v>
      </c>
      <c r="V7" s="519">
        <f>'Premissas Geração de Resíduos'!R142</f>
        <v>17520.589897149999</v>
      </c>
      <c r="W7" s="519">
        <f>'Premissas Geração de Resíduos'!S142</f>
        <v>17559.598026079995</v>
      </c>
      <c r="X7" s="519">
        <f>'Premissas Geração de Resíduos'!T142</f>
        <v>17575.202792884997</v>
      </c>
      <c r="Y7" s="519">
        <f>'Premissas Geração de Resíduos'!U142</f>
        <v>17590.807559689994</v>
      </c>
      <c r="Z7" s="519">
        <f>'Premissas Geração de Resíduos'!V142</f>
        <v>17606.412326494999</v>
      </c>
      <c r="AA7" s="519">
        <f>'Premissas Geração de Resíduos'!W142</f>
        <v>17622.017093299997</v>
      </c>
      <c r="AB7" s="519">
        <f>'Premissas Geração de Resíduos'!X142</f>
        <v>17637.669817964994</v>
      </c>
      <c r="AC7" s="519">
        <f>'Premissas Geração de Resíduos'!Y142</f>
        <v>17653.274584769999</v>
      </c>
      <c r="AD7" s="519">
        <f>'Premissas Geração de Resíduos'!Z142</f>
        <v>17668.879351574997</v>
      </c>
      <c r="AE7" s="519">
        <f>'Premissas Geração de Resíduos'!AA142</f>
        <v>17684.484118379998</v>
      </c>
      <c r="AF7" s="519">
        <f>'Premissas Geração de Resíduos'!AB142</f>
        <v>17700.088885184996</v>
      </c>
      <c r="AG7" s="519">
        <f>'Premissas Geração de Resíduos'!AC142</f>
        <v>17715.693651989997</v>
      </c>
      <c r="AH7" s="519">
        <f>'Premissas Geração de Resíduos'!AD142</f>
        <v>17731.298418794999</v>
      </c>
      <c r="AI7" s="519">
        <f>'Premissas Geração de Resíduos'!AE142</f>
        <v>17746.9031856</v>
      </c>
      <c r="AJ7" s="519">
        <f>'Premissas Geração de Resíduos'!AF142</f>
        <v>17762.507952404998</v>
      </c>
      <c r="AK7" s="519">
        <f>'Premissas Geração de Resíduos'!AG142</f>
        <v>17778.112719209999</v>
      </c>
    </row>
    <row r="8" spans="1:37" ht="13" x14ac:dyDescent="0.3">
      <c r="A8" s="162"/>
      <c r="B8" s="296"/>
      <c r="C8" s="297"/>
      <c r="D8" s="298"/>
      <c r="E8" s="299"/>
      <c r="F8" s="299"/>
      <c r="G8" s="299"/>
      <c r="H8" s="520">
        <f>SUM(H6:H7)</f>
        <v>87464.798672550009</v>
      </c>
      <c r="I8" s="520">
        <f t="shared" ref="I8:AK8" si="28">SUM(I6:I7)</f>
        <v>87871.059086784997</v>
      </c>
      <c r="J8" s="520">
        <f t="shared" si="28"/>
        <v>88277.319501020014</v>
      </c>
      <c r="K8" s="520">
        <f t="shared" si="28"/>
        <v>88683.579915254988</v>
      </c>
      <c r="L8" s="520">
        <f t="shared" si="28"/>
        <v>89089.84032949002</v>
      </c>
      <c r="M8" s="520">
        <f t="shared" si="28"/>
        <v>89495.772558529992</v>
      </c>
      <c r="N8" s="520">
        <f t="shared" si="28"/>
        <v>89848.781155965014</v>
      </c>
      <c r="O8" s="520">
        <f t="shared" si="28"/>
        <v>90201.789753399993</v>
      </c>
      <c r="P8" s="520">
        <f t="shared" si="28"/>
        <v>90554.798350835015</v>
      </c>
      <c r="Q8" s="520">
        <f t="shared" si="28"/>
        <v>90907.806948270008</v>
      </c>
      <c r="R8" s="520">
        <f t="shared" si="28"/>
        <v>91260.16729297</v>
      </c>
      <c r="S8" s="520">
        <f t="shared" si="28"/>
        <v>91464.198366515004</v>
      </c>
      <c r="T8" s="520">
        <f t="shared" si="28"/>
        <v>91668.229440059993</v>
      </c>
      <c r="U8" s="520">
        <f t="shared" si="28"/>
        <v>91872.260513604997</v>
      </c>
      <c r="V8" s="520">
        <f t="shared" si="28"/>
        <v>92076.291587150015</v>
      </c>
      <c r="W8" s="520">
        <f t="shared" si="28"/>
        <v>92281.291754079997</v>
      </c>
      <c r="X8" s="520">
        <f t="shared" si="28"/>
        <v>92363.299783884984</v>
      </c>
      <c r="Y8" s="520">
        <f t="shared" si="28"/>
        <v>92445.307813689986</v>
      </c>
      <c r="Z8" s="520">
        <f t="shared" si="28"/>
        <v>92527.315843495002</v>
      </c>
      <c r="AA8" s="520">
        <f t="shared" si="28"/>
        <v>92609.323873300018</v>
      </c>
      <c r="AB8" s="520">
        <f t="shared" si="28"/>
        <v>92691.583936965006</v>
      </c>
      <c r="AC8" s="520">
        <f t="shared" si="28"/>
        <v>92773.591966769978</v>
      </c>
      <c r="AD8" s="520">
        <f t="shared" si="28"/>
        <v>92855.59999657498</v>
      </c>
      <c r="AE8" s="520">
        <f t="shared" si="28"/>
        <v>92937.608026379996</v>
      </c>
      <c r="AF8" s="520">
        <f t="shared" si="28"/>
        <v>93019.616056184983</v>
      </c>
      <c r="AG8" s="520">
        <f t="shared" si="28"/>
        <v>93101.624085989984</v>
      </c>
      <c r="AH8" s="520">
        <f t="shared" si="28"/>
        <v>93183.632115794986</v>
      </c>
      <c r="AI8" s="520">
        <f t="shared" si="28"/>
        <v>93265.640145599988</v>
      </c>
      <c r="AJ8" s="520">
        <f t="shared" si="28"/>
        <v>93347.648175404975</v>
      </c>
      <c r="AK8" s="520">
        <f t="shared" si="28"/>
        <v>93429.656205209991</v>
      </c>
    </row>
    <row r="9" spans="1:37" ht="13" x14ac:dyDescent="0.3">
      <c r="A9" s="162"/>
      <c r="B9" s="300"/>
      <c r="C9" s="301"/>
      <c r="D9" s="301" t="s">
        <v>1318</v>
      </c>
      <c r="E9" s="302"/>
      <c r="F9" s="302"/>
      <c r="G9" s="303"/>
      <c r="H9" s="521">
        <f>IFERROR(H7/H8,0)</f>
        <v>0.19028340080971656</v>
      </c>
      <c r="I9" s="521">
        <f t="shared" ref="I9:AK9" si="29">IFERROR(I7/I8,0)</f>
        <v>0.19028340080971662</v>
      </c>
      <c r="J9" s="521">
        <f t="shared" si="29"/>
        <v>0.19028340080971654</v>
      </c>
      <c r="K9" s="521">
        <f t="shared" si="29"/>
        <v>0.19028340080971656</v>
      </c>
      <c r="L9" s="521">
        <f t="shared" si="29"/>
        <v>0.19028340080971654</v>
      </c>
      <c r="M9" s="521">
        <f t="shared" si="29"/>
        <v>0.19028340080971659</v>
      </c>
      <c r="N9" s="521">
        <f t="shared" si="29"/>
        <v>0.19028340080971654</v>
      </c>
      <c r="O9" s="521">
        <f t="shared" si="29"/>
        <v>0.19028340080971659</v>
      </c>
      <c r="P9" s="521">
        <f t="shared" si="29"/>
        <v>0.19028340080971654</v>
      </c>
      <c r="Q9" s="521">
        <f t="shared" si="29"/>
        <v>0.19028340080971656</v>
      </c>
      <c r="R9" s="521">
        <f t="shared" si="29"/>
        <v>0.19028340080971656</v>
      </c>
      <c r="S9" s="521">
        <f t="shared" si="29"/>
        <v>0.19028340080971656</v>
      </c>
      <c r="T9" s="521">
        <f t="shared" si="29"/>
        <v>0.19028340080971656</v>
      </c>
      <c r="U9" s="521">
        <f t="shared" si="29"/>
        <v>0.19028340080971651</v>
      </c>
      <c r="V9" s="521">
        <f t="shared" si="29"/>
        <v>0.19028340080971656</v>
      </c>
      <c r="W9" s="521">
        <f t="shared" si="29"/>
        <v>0.19028340080971656</v>
      </c>
      <c r="X9" s="521">
        <f t="shared" si="29"/>
        <v>0.19028340080971659</v>
      </c>
      <c r="Y9" s="521">
        <f t="shared" si="29"/>
        <v>0.19028340080971656</v>
      </c>
      <c r="Z9" s="521">
        <f t="shared" si="29"/>
        <v>0.19028340080971659</v>
      </c>
      <c r="AA9" s="521">
        <f t="shared" si="29"/>
        <v>0.19028340080971654</v>
      </c>
      <c r="AB9" s="521">
        <f t="shared" si="29"/>
        <v>0.19028340080971651</v>
      </c>
      <c r="AC9" s="521">
        <f t="shared" si="29"/>
        <v>0.19028340080971662</v>
      </c>
      <c r="AD9" s="521">
        <f t="shared" si="29"/>
        <v>0.19028340080971662</v>
      </c>
      <c r="AE9" s="521">
        <f t="shared" si="29"/>
        <v>0.19028340080971659</v>
      </c>
      <c r="AF9" s="521">
        <f t="shared" si="29"/>
        <v>0.19028340080971659</v>
      </c>
      <c r="AG9" s="521">
        <f t="shared" si="29"/>
        <v>0.19028340080971659</v>
      </c>
      <c r="AH9" s="521">
        <f t="shared" si="29"/>
        <v>0.19028340080971662</v>
      </c>
      <c r="AI9" s="521">
        <f t="shared" si="29"/>
        <v>0.19028340080971662</v>
      </c>
      <c r="AJ9" s="521">
        <f t="shared" si="29"/>
        <v>0.19028340080971662</v>
      </c>
      <c r="AK9" s="521">
        <f t="shared" si="29"/>
        <v>0.19028340080971662</v>
      </c>
    </row>
    <row r="10" spans="1:37" ht="13" x14ac:dyDescent="0.3">
      <c r="A10" s="162"/>
      <c r="B10" s="290"/>
      <c r="C10" s="295"/>
      <c r="D10" s="280"/>
      <c r="E10" s="162"/>
      <c r="F10" s="162"/>
      <c r="G10" s="162"/>
    </row>
    <row r="11" spans="1:37" ht="18.5" x14ac:dyDescent="0.45">
      <c r="B11" s="113" t="s">
        <v>1319</v>
      </c>
      <c r="C11" s="114"/>
      <c r="D11" s="115"/>
    </row>
    <row r="12" spans="1:37" x14ac:dyDescent="0.35">
      <c r="B12" s="318"/>
      <c r="C12" s="318" t="s">
        <v>1316</v>
      </c>
      <c r="D12" s="319"/>
      <c r="E12" s="319"/>
      <c r="F12" s="319"/>
      <c r="G12" s="319"/>
      <c r="H12" s="319">
        <v>1</v>
      </c>
      <c r="I12" s="319">
        <f>H12+1</f>
        <v>2</v>
      </c>
      <c r="J12" s="319">
        <f t="shared" ref="J12" si="30">I12+1</f>
        <v>3</v>
      </c>
      <c r="K12" s="319">
        <f t="shared" ref="K12" si="31">J12+1</f>
        <v>4</v>
      </c>
      <c r="L12" s="319">
        <f t="shared" ref="L12" si="32">K12+1</f>
        <v>5</v>
      </c>
      <c r="M12" s="319">
        <f t="shared" ref="M12" si="33">L12+1</f>
        <v>6</v>
      </c>
      <c r="N12" s="319">
        <f t="shared" ref="N12" si="34">M12+1</f>
        <v>7</v>
      </c>
      <c r="O12" s="319">
        <f t="shared" ref="O12" si="35">N12+1</f>
        <v>8</v>
      </c>
      <c r="P12" s="319">
        <f t="shared" ref="P12" si="36">O12+1</f>
        <v>9</v>
      </c>
      <c r="Q12" s="319">
        <f t="shared" ref="Q12" si="37">P12+1</f>
        <v>10</v>
      </c>
      <c r="R12" s="319">
        <f t="shared" ref="R12" si="38">Q12+1</f>
        <v>11</v>
      </c>
      <c r="S12" s="319">
        <f t="shared" ref="S12" si="39">R12+1</f>
        <v>12</v>
      </c>
      <c r="T12" s="319">
        <f t="shared" ref="T12" si="40">S12+1</f>
        <v>13</v>
      </c>
      <c r="U12" s="319">
        <f t="shared" ref="U12" si="41">T12+1</f>
        <v>14</v>
      </c>
      <c r="V12" s="319">
        <f t="shared" ref="V12" si="42">U12+1</f>
        <v>15</v>
      </c>
      <c r="W12" s="319">
        <f t="shared" ref="W12" si="43">V12+1</f>
        <v>16</v>
      </c>
      <c r="X12" s="319">
        <f t="shared" ref="X12" si="44">W12+1</f>
        <v>17</v>
      </c>
      <c r="Y12" s="319">
        <f t="shared" ref="Y12" si="45">X12+1</f>
        <v>18</v>
      </c>
      <c r="Z12" s="319">
        <f t="shared" ref="Z12" si="46">Y12+1</f>
        <v>19</v>
      </c>
      <c r="AA12" s="319">
        <f t="shared" ref="AA12" si="47">Z12+1</f>
        <v>20</v>
      </c>
      <c r="AB12" s="319">
        <f t="shared" ref="AB12" si="48">AA12+1</f>
        <v>21</v>
      </c>
      <c r="AC12" s="319">
        <f t="shared" ref="AC12" si="49">AB12+1</f>
        <v>22</v>
      </c>
      <c r="AD12" s="319">
        <f t="shared" ref="AD12" si="50">AC12+1</f>
        <v>23</v>
      </c>
      <c r="AE12" s="319">
        <f t="shared" ref="AE12" si="51">AD12+1</f>
        <v>24</v>
      </c>
      <c r="AF12" s="319">
        <f t="shared" ref="AF12" si="52">AE12+1</f>
        <v>25</v>
      </c>
      <c r="AG12" s="319">
        <f t="shared" ref="AG12" si="53">AF12+1</f>
        <v>26</v>
      </c>
      <c r="AH12" s="319">
        <f t="shared" ref="AH12" si="54">AG12+1</f>
        <v>27</v>
      </c>
      <c r="AI12" s="319">
        <f t="shared" ref="AI12" si="55">AH12+1</f>
        <v>28</v>
      </c>
      <c r="AJ12" s="319">
        <f t="shared" ref="AJ12" si="56">AI12+1</f>
        <v>29</v>
      </c>
      <c r="AK12" s="319">
        <f t="shared" ref="AK12" si="57">AJ12+1</f>
        <v>30</v>
      </c>
    </row>
    <row r="13" spans="1:37" ht="6" customHeight="1" x14ac:dyDescent="0.35">
      <c r="B13" s="320"/>
      <c r="C13" s="320"/>
      <c r="D13" s="321"/>
      <c r="E13" s="321"/>
      <c r="F13" s="321"/>
      <c r="G13" s="321"/>
      <c r="H13" s="321"/>
      <c r="I13" s="321"/>
      <c r="J13" s="321"/>
      <c r="K13" s="321"/>
      <c r="L13" s="321"/>
      <c r="M13" s="321"/>
      <c r="N13" s="321"/>
      <c r="O13" s="321"/>
      <c r="P13" s="321"/>
      <c r="Q13" s="321"/>
      <c r="R13" s="321"/>
      <c r="S13" s="321"/>
      <c r="T13" s="321"/>
      <c r="U13" s="321"/>
      <c r="V13" s="321"/>
      <c r="W13" s="321"/>
      <c r="X13" s="321"/>
      <c r="Y13" s="321"/>
      <c r="Z13" s="321"/>
      <c r="AA13" s="321"/>
      <c r="AB13" s="321"/>
      <c r="AC13" s="321"/>
      <c r="AD13" s="321"/>
      <c r="AE13" s="321"/>
      <c r="AF13" s="321"/>
      <c r="AG13" s="321"/>
      <c r="AH13" s="321"/>
      <c r="AI13" s="321"/>
      <c r="AJ13" s="321"/>
      <c r="AK13" s="321"/>
    </row>
    <row r="14" spans="1:37" ht="15.5" x14ac:dyDescent="0.35">
      <c r="B14" s="309" t="s">
        <v>452</v>
      </c>
      <c r="C14" s="309"/>
      <c r="D14" s="309"/>
      <c r="E14" s="25"/>
      <c r="F14" s="25"/>
      <c r="G14" s="25"/>
      <c r="H14" s="526">
        <f>SUM(H16:H18)</f>
        <v>670497.00125506066</v>
      </c>
      <c r="I14" s="526">
        <f t="shared" ref="I14:AK14" si="58">SUM(I16:I18)</f>
        <v>0</v>
      </c>
      <c r="J14" s="526">
        <f t="shared" si="58"/>
        <v>0</v>
      </c>
      <c r="K14" s="526">
        <f t="shared" si="58"/>
        <v>0</v>
      </c>
      <c r="L14" s="526">
        <f t="shared" si="58"/>
        <v>0</v>
      </c>
      <c r="M14" s="526">
        <f t="shared" si="58"/>
        <v>0</v>
      </c>
      <c r="N14" s="526">
        <f t="shared" si="58"/>
        <v>0</v>
      </c>
      <c r="O14" s="526">
        <f t="shared" si="58"/>
        <v>0</v>
      </c>
      <c r="P14" s="526">
        <f t="shared" si="58"/>
        <v>0</v>
      </c>
      <c r="Q14" s="526">
        <f t="shared" si="58"/>
        <v>0</v>
      </c>
      <c r="R14" s="526">
        <f t="shared" si="58"/>
        <v>0</v>
      </c>
      <c r="S14" s="526">
        <f t="shared" si="58"/>
        <v>0</v>
      </c>
      <c r="T14" s="526">
        <f t="shared" si="58"/>
        <v>0</v>
      </c>
      <c r="U14" s="526">
        <f t="shared" si="58"/>
        <v>0</v>
      </c>
      <c r="V14" s="526">
        <f t="shared" si="58"/>
        <v>0</v>
      </c>
      <c r="W14" s="526">
        <f t="shared" si="58"/>
        <v>0</v>
      </c>
      <c r="X14" s="526">
        <f t="shared" si="58"/>
        <v>0</v>
      </c>
      <c r="Y14" s="526">
        <f t="shared" si="58"/>
        <v>0</v>
      </c>
      <c r="Z14" s="526">
        <f t="shared" si="58"/>
        <v>0</v>
      </c>
      <c r="AA14" s="526">
        <f t="shared" si="58"/>
        <v>0</v>
      </c>
      <c r="AB14" s="526">
        <f t="shared" si="58"/>
        <v>0</v>
      </c>
      <c r="AC14" s="526">
        <f t="shared" si="58"/>
        <v>0</v>
      </c>
      <c r="AD14" s="526">
        <f t="shared" si="58"/>
        <v>0</v>
      </c>
      <c r="AE14" s="526">
        <f t="shared" si="58"/>
        <v>0</v>
      </c>
      <c r="AF14" s="526">
        <f t="shared" si="58"/>
        <v>0</v>
      </c>
      <c r="AG14" s="526">
        <f t="shared" si="58"/>
        <v>0</v>
      </c>
      <c r="AH14" s="526">
        <f t="shared" si="58"/>
        <v>0</v>
      </c>
      <c r="AI14" s="526">
        <f t="shared" si="58"/>
        <v>0</v>
      </c>
      <c r="AJ14" s="526">
        <f t="shared" si="58"/>
        <v>0</v>
      </c>
      <c r="AK14" s="526">
        <f t="shared" si="58"/>
        <v>0</v>
      </c>
    </row>
    <row r="15" spans="1:37" ht="5.25" customHeight="1" thickBot="1" x14ac:dyDescent="0.4">
      <c r="B15" s="99"/>
      <c r="C15" s="99"/>
      <c r="D15" s="99"/>
      <c r="H15" s="527"/>
      <c r="I15" s="527"/>
      <c r="J15" s="527"/>
      <c r="K15" s="527"/>
      <c r="L15" s="527"/>
      <c r="M15" s="527"/>
      <c r="N15" s="527"/>
      <c r="O15" s="527"/>
      <c r="P15" s="527"/>
      <c r="Q15" s="527"/>
      <c r="R15" s="527"/>
      <c r="S15" s="527"/>
      <c r="T15" s="527"/>
      <c r="U15" s="527"/>
      <c r="V15" s="527"/>
      <c r="W15" s="527"/>
      <c r="X15" s="527"/>
      <c r="Y15" s="527"/>
      <c r="Z15" s="527"/>
      <c r="AA15" s="527"/>
      <c r="AB15" s="527"/>
      <c r="AC15" s="527"/>
      <c r="AD15" s="527"/>
      <c r="AE15" s="527"/>
      <c r="AF15" s="527"/>
      <c r="AG15" s="527"/>
      <c r="AH15" s="527"/>
      <c r="AI15" s="527"/>
      <c r="AJ15" s="527"/>
      <c r="AK15" s="527"/>
    </row>
    <row r="16" spans="1:37" ht="19" thickBot="1" x14ac:dyDescent="0.5">
      <c r="B16" s="113"/>
      <c r="C16" s="162"/>
      <c r="D16" s="162" t="s">
        <v>102</v>
      </c>
      <c r="E16" s="291"/>
      <c r="F16" s="522">
        <v>1</v>
      </c>
      <c r="H16" s="528">
        <f>H9*$F$16*'CAPEX E OPEX'!F3</f>
        <v>573020.82797570841</v>
      </c>
      <c r="I16" s="528">
        <f>I9*$F$16*'CAPEX E OPEX'!G3</f>
        <v>0</v>
      </c>
      <c r="J16" s="528">
        <f>J9*$F$16*'CAPEX E OPEX'!H3</f>
        <v>0</v>
      </c>
      <c r="K16" s="528">
        <f>K9*$F$16*'CAPEX E OPEX'!I3</f>
        <v>0</v>
      </c>
      <c r="L16" s="528">
        <f>L9*$F$16*'CAPEX E OPEX'!J3</f>
        <v>0</v>
      </c>
      <c r="M16" s="528">
        <f>M9*$F$16*'CAPEX E OPEX'!K3</f>
        <v>0</v>
      </c>
      <c r="N16" s="528">
        <f>N9*$F$16*'CAPEX E OPEX'!L3</f>
        <v>0</v>
      </c>
      <c r="O16" s="528">
        <f>O9*$F$16*'CAPEX E OPEX'!M3</f>
        <v>0</v>
      </c>
      <c r="P16" s="528">
        <f>P9*$F$16*'CAPEX E OPEX'!N3</f>
        <v>0</v>
      </c>
      <c r="Q16" s="528">
        <f>Q9*$F$16*'CAPEX E OPEX'!O3</f>
        <v>0</v>
      </c>
      <c r="R16" s="528">
        <f>R9*$F$16*'CAPEX E OPEX'!P3</f>
        <v>0</v>
      </c>
      <c r="S16" s="528">
        <f>S9*$F$16*'CAPEX E OPEX'!Q3</f>
        <v>0</v>
      </c>
      <c r="T16" s="528">
        <f>T9*$F$16*'CAPEX E OPEX'!R3</f>
        <v>0</v>
      </c>
      <c r="U16" s="528">
        <f>U9*$F$16*'CAPEX E OPEX'!S3</f>
        <v>0</v>
      </c>
      <c r="V16" s="528">
        <f>V9*$F$16*'CAPEX E OPEX'!T3</f>
        <v>0</v>
      </c>
      <c r="W16" s="528">
        <f>W9*$F$16*'CAPEX E OPEX'!U3</f>
        <v>0</v>
      </c>
      <c r="X16" s="528">
        <f>X9*$F$16*'CAPEX E OPEX'!V3</f>
        <v>0</v>
      </c>
      <c r="Y16" s="528">
        <f>Y9*$F$16*'CAPEX E OPEX'!W3</f>
        <v>0</v>
      </c>
      <c r="Z16" s="528">
        <f>Z9*$F$16*'CAPEX E OPEX'!X3</f>
        <v>0</v>
      </c>
      <c r="AA16" s="528">
        <f>AA9*$F$16*'CAPEX E OPEX'!Y3</f>
        <v>0</v>
      </c>
      <c r="AB16" s="528">
        <f>AB9*$F$16*'CAPEX E OPEX'!Z3</f>
        <v>0</v>
      </c>
      <c r="AC16" s="528">
        <f>AC9*$F$16*'CAPEX E OPEX'!AA3</f>
        <v>0</v>
      </c>
      <c r="AD16" s="528">
        <f>AD9*$F$16*'CAPEX E OPEX'!AB3</f>
        <v>0</v>
      </c>
      <c r="AE16" s="528">
        <f>AE9*$F$16*'CAPEX E OPEX'!AC3</f>
        <v>0</v>
      </c>
      <c r="AF16" s="528">
        <f>AF9*$F$16*'CAPEX E OPEX'!AD3</f>
        <v>0</v>
      </c>
      <c r="AG16" s="528">
        <f>AG9*$F$16*'CAPEX E OPEX'!AE3</f>
        <v>0</v>
      </c>
      <c r="AH16" s="528">
        <f>AH9*$F$16*'CAPEX E OPEX'!AF3</f>
        <v>0</v>
      </c>
      <c r="AI16" s="528">
        <f>AI9*$F$16*'CAPEX E OPEX'!AG3</f>
        <v>0</v>
      </c>
      <c r="AJ16" s="528">
        <f>AJ9*$F$16*'CAPEX E OPEX'!AH3</f>
        <v>0</v>
      </c>
      <c r="AK16" s="528">
        <f>AK9*$F$16*'CAPEX E OPEX'!AI3</f>
        <v>0</v>
      </c>
    </row>
    <row r="17" spans="1:37" ht="19" thickBot="1" x14ac:dyDescent="0.5">
      <c r="B17" s="113"/>
      <c r="C17" s="162"/>
      <c r="D17" s="162" t="s">
        <v>104</v>
      </c>
      <c r="E17" s="291"/>
      <c r="F17" s="522">
        <v>1</v>
      </c>
      <c r="H17" s="528">
        <f>H9*$F$17*'CAPEX E OPEX'!F13</f>
        <v>97476.17327935221</v>
      </c>
      <c r="I17" s="528">
        <f>I9*$F$17*'CAPEX E OPEX'!G13</f>
        <v>0</v>
      </c>
      <c r="J17" s="528">
        <f>J9*$F$17*'CAPEX E OPEX'!H13</f>
        <v>0</v>
      </c>
      <c r="K17" s="528">
        <f>K9*$F$17*'CAPEX E OPEX'!I13</f>
        <v>0</v>
      </c>
      <c r="L17" s="528">
        <f>L9*$F$17*'CAPEX E OPEX'!J13</f>
        <v>0</v>
      </c>
      <c r="M17" s="528">
        <f>M9*$F$17*'CAPEX E OPEX'!K13</f>
        <v>0</v>
      </c>
      <c r="N17" s="528">
        <f>N9*$F$17*'CAPEX E OPEX'!L13</f>
        <v>0</v>
      </c>
      <c r="O17" s="528">
        <f>O9*$F$17*'CAPEX E OPEX'!M13</f>
        <v>0</v>
      </c>
      <c r="P17" s="528">
        <f>P9*$F$17*'CAPEX E OPEX'!N13</f>
        <v>0</v>
      </c>
      <c r="Q17" s="528">
        <f>Q9*$F$17*'CAPEX E OPEX'!O13</f>
        <v>0</v>
      </c>
      <c r="R17" s="528">
        <f>R9*$F$17*'CAPEX E OPEX'!P13</f>
        <v>0</v>
      </c>
      <c r="S17" s="528">
        <f>S9*$F$17*'CAPEX E OPEX'!Q13</f>
        <v>0</v>
      </c>
      <c r="T17" s="528">
        <f>T9*$F$17*'CAPEX E OPEX'!R13</f>
        <v>0</v>
      </c>
      <c r="U17" s="528">
        <f>U9*$F$17*'CAPEX E OPEX'!S13</f>
        <v>0</v>
      </c>
      <c r="V17" s="528">
        <f>V9*$F$17*'CAPEX E OPEX'!T13</f>
        <v>0</v>
      </c>
      <c r="W17" s="528">
        <f>W9*$F$17*'CAPEX E OPEX'!U13</f>
        <v>0</v>
      </c>
      <c r="X17" s="528">
        <f>X9*$F$17*'CAPEX E OPEX'!V13</f>
        <v>0</v>
      </c>
      <c r="Y17" s="528">
        <f>Y9*$F$17*'CAPEX E OPEX'!W13</f>
        <v>0</v>
      </c>
      <c r="Z17" s="528">
        <f>Z9*$F$17*'CAPEX E OPEX'!X13</f>
        <v>0</v>
      </c>
      <c r="AA17" s="528">
        <f>AA9*$F$17*'CAPEX E OPEX'!Y13</f>
        <v>0</v>
      </c>
      <c r="AB17" s="528">
        <f>AB9*$F$17*'CAPEX E OPEX'!Z13</f>
        <v>0</v>
      </c>
      <c r="AC17" s="528">
        <f>AC9*$F$17*'CAPEX E OPEX'!AA13</f>
        <v>0</v>
      </c>
      <c r="AD17" s="528">
        <f>AD9*$F$17*'CAPEX E OPEX'!AB13</f>
        <v>0</v>
      </c>
      <c r="AE17" s="528">
        <f>AE9*$F$17*'CAPEX E OPEX'!AC13</f>
        <v>0</v>
      </c>
      <c r="AF17" s="528">
        <f>AF9*$F$17*'CAPEX E OPEX'!AD13</f>
        <v>0</v>
      </c>
      <c r="AG17" s="528">
        <f>AG9*$F$17*'CAPEX E OPEX'!AE13</f>
        <v>0</v>
      </c>
      <c r="AH17" s="528">
        <f>AH9*$F$17*'CAPEX E OPEX'!AF13</f>
        <v>0</v>
      </c>
      <c r="AI17" s="528">
        <f>AI9*$F$17*'CAPEX E OPEX'!AG13</f>
        <v>0</v>
      </c>
      <c r="AJ17" s="528">
        <f>AJ9*$F$17*'CAPEX E OPEX'!AH13</f>
        <v>0</v>
      </c>
      <c r="AK17" s="528">
        <f>AK9*$F$17*'CAPEX E OPEX'!AI13</f>
        <v>0</v>
      </c>
    </row>
    <row r="18" spans="1:37" ht="19" thickBot="1" x14ac:dyDescent="0.5">
      <c r="B18" s="113"/>
      <c r="C18" s="162"/>
      <c r="D18" s="162" t="s">
        <v>453</v>
      </c>
      <c r="E18" s="291"/>
      <c r="F18" s="522">
        <v>0</v>
      </c>
      <c r="H18" s="528">
        <f>H9*$F$18*'CAPEX E OPEX'!F23</f>
        <v>0</v>
      </c>
      <c r="I18" s="528">
        <f>I9*$F$18*'CAPEX E OPEX'!G23</f>
        <v>0</v>
      </c>
      <c r="J18" s="528">
        <f>J9*$F$18*'CAPEX E OPEX'!H23</f>
        <v>0</v>
      </c>
      <c r="K18" s="528">
        <f>K9*$F$18*'CAPEX E OPEX'!I23</f>
        <v>0</v>
      </c>
      <c r="L18" s="528">
        <f>L9*$F$18*'CAPEX E OPEX'!J23</f>
        <v>0</v>
      </c>
      <c r="M18" s="528">
        <f>M9*$F$18*'CAPEX E OPEX'!K23</f>
        <v>0</v>
      </c>
      <c r="N18" s="528">
        <f>N9*$F$18*'CAPEX E OPEX'!L23</f>
        <v>0</v>
      </c>
      <c r="O18" s="528">
        <f>O9*$F$18*'CAPEX E OPEX'!M23</f>
        <v>0</v>
      </c>
      <c r="P18" s="528">
        <f>P9*$F$18*'CAPEX E OPEX'!N23</f>
        <v>0</v>
      </c>
      <c r="Q18" s="528">
        <f>Q9*$F$18*'CAPEX E OPEX'!O23</f>
        <v>0</v>
      </c>
      <c r="R18" s="528">
        <f>R9*$F$18*'CAPEX E OPEX'!P23</f>
        <v>0</v>
      </c>
      <c r="S18" s="528">
        <f>S9*$F$18*'CAPEX E OPEX'!Q23</f>
        <v>0</v>
      </c>
      <c r="T18" s="528">
        <f>T9*$F$18*'CAPEX E OPEX'!R23</f>
        <v>0</v>
      </c>
      <c r="U18" s="528">
        <f>U9*$F$18*'CAPEX E OPEX'!S23</f>
        <v>0</v>
      </c>
      <c r="V18" s="528">
        <f>V9*$F$18*'CAPEX E OPEX'!T23</f>
        <v>0</v>
      </c>
      <c r="W18" s="528">
        <f>W9*$F$18*'CAPEX E OPEX'!U23</f>
        <v>0</v>
      </c>
      <c r="X18" s="528">
        <f>X9*$F$18*'CAPEX E OPEX'!V23</f>
        <v>0</v>
      </c>
      <c r="Y18" s="528">
        <f>Y9*$F$18*'CAPEX E OPEX'!W23</f>
        <v>0</v>
      </c>
      <c r="Z18" s="528">
        <f>Z9*$F$18*'CAPEX E OPEX'!X23</f>
        <v>0</v>
      </c>
      <c r="AA18" s="528">
        <f>AA9*$F$18*'CAPEX E OPEX'!Y23</f>
        <v>0</v>
      </c>
      <c r="AB18" s="528">
        <f>AB9*$F$18*'CAPEX E OPEX'!Z23</f>
        <v>0</v>
      </c>
      <c r="AC18" s="528">
        <f>AC9*$F$18*'CAPEX E OPEX'!AA23</f>
        <v>0</v>
      </c>
      <c r="AD18" s="528">
        <f>AD9*$F$18*'CAPEX E OPEX'!AB23</f>
        <v>0</v>
      </c>
      <c r="AE18" s="528">
        <f>AE9*$F$18*'CAPEX E OPEX'!AC23</f>
        <v>0</v>
      </c>
      <c r="AF18" s="528">
        <f>AF9*$F$18*'CAPEX E OPEX'!AD23</f>
        <v>0</v>
      </c>
      <c r="AG18" s="528">
        <f>AG9*$F$18*'CAPEX E OPEX'!AE23</f>
        <v>0</v>
      </c>
      <c r="AH18" s="528">
        <f>AH9*$F$18*'CAPEX E OPEX'!AF23</f>
        <v>0</v>
      </c>
      <c r="AI18" s="528">
        <f>AI9*$F$18*'CAPEX E OPEX'!AG23</f>
        <v>0</v>
      </c>
      <c r="AJ18" s="528">
        <f>AJ9*$F$18*'CAPEX E OPEX'!AH23</f>
        <v>0</v>
      </c>
      <c r="AK18" s="528">
        <f>AK9*$F$18*'CAPEX E OPEX'!AI23</f>
        <v>0</v>
      </c>
    </row>
    <row r="19" spans="1:37" x14ac:dyDescent="0.35">
      <c r="B19" s="324"/>
      <c r="C19" s="324"/>
      <c r="D19" s="325"/>
      <c r="E19" s="325"/>
      <c r="F19" s="325"/>
      <c r="G19" s="325"/>
      <c r="H19" s="529"/>
      <c r="I19" s="529"/>
      <c r="J19" s="529"/>
      <c r="K19" s="529"/>
      <c r="L19" s="529"/>
      <c r="M19" s="529"/>
      <c r="N19" s="529"/>
      <c r="O19" s="529"/>
      <c r="P19" s="529"/>
      <c r="Q19" s="529"/>
      <c r="R19" s="529"/>
      <c r="S19" s="529"/>
      <c r="T19" s="529"/>
      <c r="U19" s="529"/>
      <c r="V19" s="529"/>
      <c r="W19" s="529"/>
      <c r="X19" s="529"/>
      <c r="Y19" s="529"/>
      <c r="Z19" s="529"/>
      <c r="AA19" s="529"/>
      <c r="AB19" s="529"/>
      <c r="AC19" s="529"/>
      <c r="AD19" s="529"/>
      <c r="AE19" s="529"/>
      <c r="AF19" s="529"/>
      <c r="AG19" s="529"/>
      <c r="AH19" s="529"/>
      <c r="AI19" s="529"/>
      <c r="AJ19" s="529"/>
      <c r="AK19" s="529"/>
    </row>
    <row r="20" spans="1:37" ht="15.5" x14ac:dyDescent="0.35">
      <c r="B20" s="322" t="s">
        <v>454</v>
      </c>
      <c r="C20" s="322"/>
      <c r="D20" s="322"/>
      <c r="E20" s="323"/>
      <c r="F20" s="323"/>
      <c r="G20" s="323"/>
      <c r="H20" s="530">
        <f>SUM(H22:H26)</f>
        <v>4642196.8216599189</v>
      </c>
      <c r="I20" s="530">
        <f t="shared" ref="I20:AK20" si="59">SUM(I22:I26)</f>
        <v>285425.10121457494</v>
      </c>
      <c r="J20" s="530">
        <f t="shared" si="59"/>
        <v>771178.70392712532</v>
      </c>
      <c r="K20" s="530">
        <f t="shared" si="59"/>
        <v>433711.60102833994</v>
      </c>
      <c r="L20" s="530">
        <f t="shared" si="59"/>
        <v>13226.44696356275</v>
      </c>
      <c r="M20" s="530">
        <f t="shared" si="59"/>
        <v>0</v>
      </c>
      <c r="N20" s="530">
        <f t="shared" si="59"/>
        <v>0</v>
      </c>
      <c r="O20" s="530">
        <f t="shared" si="59"/>
        <v>0</v>
      </c>
      <c r="P20" s="530">
        <f t="shared" si="59"/>
        <v>0</v>
      </c>
      <c r="Q20" s="530">
        <f t="shared" si="59"/>
        <v>170802.38032388661</v>
      </c>
      <c r="R20" s="530">
        <f t="shared" si="59"/>
        <v>3314327.2841052627</v>
      </c>
      <c r="S20" s="530">
        <f t="shared" si="59"/>
        <v>0</v>
      </c>
      <c r="T20" s="530">
        <f t="shared" si="59"/>
        <v>0</v>
      </c>
      <c r="U20" s="530">
        <f t="shared" si="59"/>
        <v>30592.585425101192</v>
      </c>
      <c r="V20" s="530">
        <f t="shared" si="59"/>
        <v>13226.446963562752</v>
      </c>
      <c r="W20" s="530">
        <f t="shared" si="59"/>
        <v>0</v>
      </c>
      <c r="X20" s="530">
        <f t="shared" si="59"/>
        <v>0</v>
      </c>
      <c r="Y20" s="530">
        <f t="shared" si="59"/>
        <v>433711.60102833994</v>
      </c>
      <c r="Z20" s="530">
        <f t="shared" si="59"/>
        <v>0</v>
      </c>
      <c r="AA20" s="530">
        <f t="shared" si="59"/>
        <v>170802.38032388658</v>
      </c>
      <c r="AB20" s="530">
        <f t="shared" si="59"/>
        <v>1257589.7243724689</v>
      </c>
      <c r="AC20" s="530">
        <f t="shared" si="59"/>
        <v>0</v>
      </c>
      <c r="AD20" s="530">
        <f t="shared" si="59"/>
        <v>0</v>
      </c>
      <c r="AE20" s="530">
        <f t="shared" si="59"/>
        <v>464304.18645344122</v>
      </c>
      <c r="AF20" s="530">
        <f t="shared" si="59"/>
        <v>13226.446963562754</v>
      </c>
      <c r="AG20" s="530">
        <f t="shared" si="59"/>
        <v>0</v>
      </c>
      <c r="AH20" s="530">
        <f t="shared" si="59"/>
        <v>0</v>
      </c>
      <c r="AI20" s="530">
        <f t="shared" si="59"/>
        <v>0</v>
      </c>
      <c r="AJ20" s="530">
        <f t="shared" si="59"/>
        <v>0</v>
      </c>
      <c r="AK20" s="530">
        <f t="shared" si="59"/>
        <v>446938.0479919028</v>
      </c>
    </row>
    <row r="21" spans="1:37" ht="6" customHeight="1" thickBot="1" x14ac:dyDescent="0.4">
      <c r="B21" s="99"/>
      <c r="C21" s="99"/>
      <c r="D21" s="99"/>
      <c r="H21" s="527"/>
      <c r="I21" s="527"/>
      <c r="J21" s="527"/>
      <c r="K21" s="527"/>
      <c r="L21" s="527"/>
      <c r="M21" s="527"/>
      <c r="N21" s="527"/>
      <c r="O21" s="527"/>
      <c r="P21" s="527"/>
      <c r="Q21" s="527"/>
      <c r="R21" s="527"/>
      <c r="S21" s="527"/>
      <c r="T21" s="527"/>
      <c r="U21" s="527"/>
      <c r="V21" s="527"/>
      <c r="W21" s="527"/>
      <c r="X21" s="527"/>
      <c r="Y21" s="527"/>
      <c r="Z21" s="527"/>
      <c r="AA21" s="527"/>
      <c r="AB21" s="527"/>
      <c r="AC21" s="527"/>
      <c r="AD21" s="527"/>
      <c r="AE21" s="527"/>
      <c r="AF21" s="527"/>
      <c r="AG21" s="527"/>
      <c r="AH21" s="527"/>
      <c r="AI21" s="527"/>
      <c r="AJ21" s="527"/>
      <c r="AK21" s="527"/>
    </row>
    <row r="22" spans="1:37" ht="15" thickBot="1" x14ac:dyDescent="0.4">
      <c r="A22" s="162"/>
      <c r="B22" s="290"/>
      <c r="C22" s="291" t="s">
        <v>366</v>
      </c>
      <c r="D22" s="162"/>
      <c r="F22" s="522">
        <v>0</v>
      </c>
      <c r="H22" s="528">
        <f>H9*$F$22*'CAPEX E OPEX'!F38</f>
        <v>0</v>
      </c>
      <c r="I22" s="528">
        <f>I9*$F$22*'CAPEX E OPEX'!G38</f>
        <v>0</v>
      </c>
      <c r="J22" s="528">
        <f>J9*$F$22*'CAPEX E OPEX'!H38</f>
        <v>0</v>
      </c>
      <c r="K22" s="528">
        <f>K9*$F$22*'CAPEX E OPEX'!I38</f>
        <v>0</v>
      </c>
      <c r="L22" s="528">
        <f>L9*$F$22*'CAPEX E OPEX'!J38</f>
        <v>0</v>
      </c>
      <c r="M22" s="528">
        <f>M9*$F$22*'CAPEX E OPEX'!K38</f>
        <v>0</v>
      </c>
      <c r="N22" s="528">
        <f>N9*$F$22*'CAPEX E OPEX'!L38</f>
        <v>0</v>
      </c>
      <c r="O22" s="528">
        <f>O9*$F$22*'CAPEX E OPEX'!M38</f>
        <v>0</v>
      </c>
      <c r="P22" s="528">
        <f>P9*$F$22*'CAPEX E OPEX'!N38</f>
        <v>0</v>
      </c>
      <c r="Q22" s="528">
        <f>Q9*$F$22*'CAPEX E OPEX'!O38</f>
        <v>0</v>
      </c>
      <c r="R22" s="528">
        <f>R9*$F$22*'CAPEX E OPEX'!P38</f>
        <v>0</v>
      </c>
      <c r="S22" s="528">
        <f>S9*$F$22*'CAPEX E OPEX'!Q38</f>
        <v>0</v>
      </c>
      <c r="T22" s="528">
        <f>T9*$F$22*'CAPEX E OPEX'!R38</f>
        <v>0</v>
      </c>
      <c r="U22" s="528">
        <f>U9*$F$22*'CAPEX E OPEX'!S38</f>
        <v>0</v>
      </c>
      <c r="V22" s="528">
        <f>V9*$F$22*'CAPEX E OPEX'!T38</f>
        <v>0</v>
      </c>
      <c r="W22" s="528">
        <f>W9*$F$22*'CAPEX E OPEX'!U38</f>
        <v>0</v>
      </c>
      <c r="X22" s="528">
        <f>X9*$F$22*'CAPEX E OPEX'!V38</f>
        <v>0</v>
      </c>
      <c r="Y22" s="528">
        <f>Y9*$F$22*'CAPEX E OPEX'!W38</f>
        <v>0</v>
      </c>
      <c r="Z22" s="528">
        <f>Z9*$F$22*'CAPEX E OPEX'!X38</f>
        <v>0</v>
      </c>
      <c r="AA22" s="528">
        <f>AA9*$F$22*'CAPEX E OPEX'!Y38</f>
        <v>0</v>
      </c>
      <c r="AB22" s="528">
        <f>AB9*$F$22*'CAPEX E OPEX'!Z38</f>
        <v>0</v>
      </c>
      <c r="AC22" s="528">
        <f>AC9*$F$22*'CAPEX E OPEX'!AA38</f>
        <v>0</v>
      </c>
      <c r="AD22" s="528">
        <f>AD9*$F$22*'CAPEX E OPEX'!AB38</f>
        <v>0</v>
      </c>
      <c r="AE22" s="528">
        <f>AE9*$F$22*'CAPEX E OPEX'!AC38</f>
        <v>0</v>
      </c>
      <c r="AF22" s="528">
        <f>AF9*$F$22*'CAPEX E OPEX'!AD38</f>
        <v>0</v>
      </c>
      <c r="AG22" s="528">
        <f>AG9*$F$22*'CAPEX E OPEX'!AE38</f>
        <v>0</v>
      </c>
      <c r="AH22" s="528">
        <f>AH9*$F$22*'CAPEX E OPEX'!AF38</f>
        <v>0</v>
      </c>
      <c r="AI22" s="528">
        <f>AI9*$F$22*'CAPEX E OPEX'!AG38</f>
        <v>0</v>
      </c>
      <c r="AJ22" s="528">
        <f>AJ9*$F$22*'CAPEX E OPEX'!AH38</f>
        <v>0</v>
      </c>
      <c r="AK22" s="528">
        <f>AK9*$F$22*'CAPEX E OPEX'!AI38</f>
        <v>0</v>
      </c>
    </row>
    <row r="23" spans="1:37" ht="15" thickBot="1" x14ac:dyDescent="0.4">
      <c r="A23" s="162"/>
      <c r="B23" s="290"/>
      <c r="C23" s="291" t="s">
        <v>456</v>
      </c>
      <c r="D23" s="162"/>
      <c r="E23" s="291"/>
      <c r="F23" s="522">
        <v>1</v>
      </c>
      <c r="H23" s="528">
        <f>H9*$F$23*'CAPEX E OPEX'!F48</f>
        <v>3988765.3853036431</v>
      </c>
      <c r="I23" s="528">
        <f>I9*$F$23*'CAPEX E OPEX'!G48</f>
        <v>0</v>
      </c>
      <c r="J23" s="528">
        <f>J9*$F$23*'CAPEX E OPEX'!H48</f>
        <v>38240.731781376504</v>
      </c>
      <c r="K23" s="528">
        <f>K9*$F$23*'CAPEX E OPEX'!I48</f>
        <v>0</v>
      </c>
      <c r="L23" s="528">
        <f>L9*$F$23*'CAPEX E OPEX'!J48</f>
        <v>0</v>
      </c>
      <c r="M23" s="528">
        <f>M9*$F$23*'CAPEX E OPEX'!K48</f>
        <v>0</v>
      </c>
      <c r="N23" s="528">
        <f>N9*$F$23*'CAPEX E OPEX'!L48</f>
        <v>0</v>
      </c>
      <c r="O23" s="528">
        <f>O9*$F$23*'CAPEX E OPEX'!M48</f>
        <v>0</v>
      </c>
      <c r="P23" s="528">
        <f>P9*$F$23*'CAPEX E OPEX'!N48</f>
        <v>0</v>
      </c>
      <c r="Q23" s="528">
        <f>Q9*$F$23*'CAPEX E OPEX'!O48</f>
        <v>66213.95012145747</v>
      </c>
      <c r="R23" s="528">
        <f>R9*$F$23*'CAPEX E OPEX'!P48</f>
        <v>797423.50202429132</v>
      </c>
      <c r="S23" s="528">
        <f>S9*$F$23*'CAPEX E OPEX'!Q48</f>
        <v>0</v>
      </c>
      <c r="T23" s="528">
        <f>T9*$F$23*'CAPEX E OPEX'!R48</f>
        <v>0</v>
      </c>
      <c r="U23" s="528">
        <f>U9*$F$23*'CAPEX E OPEX'!S48</f>
        <v>30592.585425101192</v>
      </c>
      <c r="V23" s="528">
        <f>V9*$F$23*'CAPEX E OPEX'!T48</f>
        <v>0</v>
      </c>
      <c r="W23" s="528">
        <f>W9*$F$23*'CAPEX E OPEX'!U48</f>
        <v>0</v>
      </c>
      <c r="X23" s="528">
        <f>X9*$F$23*'CAPEX E OPEX'!V48</f>
        <v>0</v>
      </c>
      <c r="Y23" s="528">
        <f>Y9*$F$23*'CAPEX E OPEX'!W48</f>
        <v>0</v>
      </c>
      <c r="Z23" s="528">
        <f>Z9*$F$23*'CAPEX E OPEX'!X48</f>
        <v>0</v>
      </c>
      <c r="AA23" s="528">
        <f>AA9*$F$23*'CAPEX E OPEX'!Y48</f>
        <v>66213.950121457456</v>
      </c>
      <c r="AB23" s="528">
        <f>AB9*$F$23*'CAPEX E OPEX'!Z48</f>
        <v>797423.50202429108</v>
      </c>
      <c r="AC23" s="528">
        <f>AC9*$F$23*'CAPEX E OPEX'!AA48</f>
        <v>0</v>
      </c>
      <c r="AD23" s="528">
        <f>AD9*$F$23*'CAPEX E OPEX'!AB48</f>
        <v>0</v>
      </c>
      <c r="AE23" s="528">
        <f>AE9*$F$23*'CAPEX E OPEX'!AC48</f>
        <v>30592.585425101206</v>
      </c>
      <c r="AF23" s="528">
        <f>AF9*$F$23*'CAPEX E OPEX'!AD48</f>
        <v>0</v>
      </c>
      <c r="AG23" s="528">
        <f>AG9*$F$23*'CAPEX E OPEX'!AE48</f>
        <v>0</v>
      </c>
      <c r="AH23" s="528">
        <f>AH9*$F$23*'CAPEX E OPEX'!AF48</f>
        <v>0</v>
      </c>
      <c r="AI23" s="528">
        <f>AI9*$F$23*'CAPEX E OPEX'!AG48</f>
        <v>0</v>
      </c>
      <c r="AJ23" s="528">
        <f>AJ9*$F$23*'CAPEX E OPEX'!AH48</f>
        <v>0</v>
      </c>
      <c r="AK23" s="528">
        <f>AK9*$F$23*'CAPEX E OPEX'!AI48</f>
        <v>0</v>
      </c>
    </row>
    <row r="24" spans="1:37" ht="15" thickBot="1" x14ac:dyDescent="0.4">
      <c r="A24" s="162"/>
      <c r="B24" s="290"/>
      <c r="C24" s="291" t="s">
        <v>1320</v>
      </c>
      <c r="D24" s="162"/>
      <c r="E24" s="291"/>
      <c r="F24" s="522">
        <v>0</v>
      </c>
      <c r="H24" s="528">
        <f>H9*$F$24*'CAPEX E OPEX'!F58</f>
        <v>0</v>
      </c>
      <c r="I24" s="528">
        <f>I9*$F$24*'CAPEX E OPEX'!G58</f>
        <v>0</v>
      </c>
      <c r="J24" s="528">
        <f>J9*$F$24*'CAPEX E OPEX'!H58</f>
        <v>0</v>
      </c>
      <c r="K24" s="528">
        <f>K9*$F$24*'CAPEX E OPEX'!I58</f>
        <v>0</v>
      </c>
      <c r="L24" s="528">
        <f>L9*$F$24*'CAPEX E OPEX'!J58</f>
        <v>0</v>
      </c>
      <c r="M24" s="528">
        <f>M9*$F$24*'CAPEX E OPEX'!K58</f>
        <v>0</v>
      </c>
      <c r="N24" s="528">
        <f>N9*$F$24*'CAPEX E OPEX'!L58</f>
        <v>0</v>
      </c>
      <c r="O24" s="528">
        <f>O9*$F$24*'CAPEX E OPEX'!M58</f>
        <v>0</v>
      </c>
      <c r="P24" s="528">
        <f>P9*$F$24*'CAPEX E OPEX'!N58</f>
        <v>0</v>
      </c>
      <c r="Q24" s="528">
        <f>Q9*$F$24*'CAPEX E OPEX'!O58</f>
        <v>0</v>
      </c>
      <c r="R24" s="528">
        <f>R9*$F$24*'CAPEX E OPEX'!P58</f>
        <v>0</v>
      </c>
      <c r="S24" s="528">
        <f>S9*$F$24*'CAPEX E OPEX'!Q58</f>
        <v>0</v>
      </c>
      <c r="T24" s="528">
        <f>T9*$F$24*'CAPEX E OPEX'!R58</f>
        <v>0</v>
      </c>
      <c r="U24" s="528">
        <f>U9*$F$24*'CAPEX E OPEX'!S58</f>
        <v>0</v>
      </c>
      <c r="V24" s="528">
        <f>V9*$F$24*'CAPEX E OPEX'!T58</f>
        <v>0</v>
      </c>
      <c r="W24" s="528">
        <f>W9*$F$24*'CAPEX E OPEX'!U58</f>
        <v>0</v>
      </c>
      <c r="X24" s="528">
        <f>X9*$F$24*'CAPEX E OPEX'!V58</f>
        <v>0</v>
      </c>
      <c r="Y24" s="528">
        <f>Y9*$F$24*'CAPEX E OPEX'!W58</f>
        <v>0</v>
      </c>
      <c r="Z24" s="528">
        <f>Z9*$F$24*'CAPEX E OPEX'!X58</f>
        <v>0</v>
      </c>
      <c r="AA24" s="528">
        <f>AA9*$F$24*'CAPEX E OPEX'!Y58</f>
        <v>0</v>
      </c>
      <c r="AB24" s="528">
        <f>AB9*$F$24*'CAPEX E OPEX'!Z58</f>
        <v>0</v>
      </c>
      <c r="AC24" s="528">
        <f>AC9*$F$24*'CAPEX E OPEX'!AA58</f>
        <v>0</v>
      </c>
      <c r="AD24" s="528">
        <f>AD9*$F$24*'CAPEX E OPEX'!AB58</f>
        <v>0</v>
      </c>
      <c r="AE24" s="528">
        <f>AE9*$F$24*'CAPEX E OPEX'!AC58</f>
        <v>0</v>
      </c>
      <c r="AF24" s="528">
        <f>AF9*$F$24*'CAPEX E OPEX'!AD58</f>
        <v>0</v>
      </c>
      <c r="AG24" s="528">
        <f>AG9*$F$24*'CAPEX E OPEX'!AE58</f>
        <v>0</v>
      </c>
      <c r="AH24" s="528">
        <f>AH9*$F$24*'CAPEX E OPEX'!AF58</f>
        <v>0</v>
      </c>
      <c r="AI24" s="528">
        <f>AI9*$F$24*'CAPEX E OPEX'!AG58</f>
        <v>0</v>
      </c>
      <c r="AJ24" s="528">
        <f>AJ9*$F$24*'CAPEX E OPEX'!AH58</f>
        <v>0</v>
      </c>
      <c r="AK24" s="528">
        <f>AK9*$F$24*'CAPEX E OPEX'!AI58</f>
        <v>0</v>
      </c>
    </row>
    <row r="25" spans="1:37" ht="15" thickBot="1" x14ac:dyDescent="0.4">
      <c r="A25" s="162"/>
      <c r="B25" s="290"/>
      <c r="C25" s="291" t="s">
        <v>458</v>
      </c>
      <c r="D25" s="162"/>
      <c r="E25" s="291"/>
      <c r="F25" s="522">
        <v>1</v>
      </c>
      <c r="H25" s="528">
        <f>H9*$F$25*'CAPEX E OPEX'!F68</f>
        <v>460166.22234817804</v>
      </c>
      <c r="I25" s="528">
        <f>I9*$F$25*'CAPEX E OPEX'!G68</f>
        <v>285425.10121457494</v>
      </c>
      <c r="J25" s="528">
        <f>J9*$F$25*'CAPEX E OPEX'!H68</f>
        <v>732937.97214574879</v>
      </c>
      <c r="K25" s="528">
        <f>K9*$F$25*'CAPEX E OPEX'!I68</f>
        <v>433711.60102833994</v>
      </c>
      <c r="L25" s="528">
        <f>L9*$F$25*'CAPEX E OPEX'!J68</f>
        <v>0</v>
      </c>
      <c r="M25" s="528">
        <f>M9*$F$25*'CAPEX E OPEX'!K68</f>
        <v>0</v>
      </c>
      <c r="N25" s="528">
        <f>N9*$F$25*'CAPEX E OPEX'!L68</f>
        <v>0</v>
      </c>
      <c r="O25" s="528">
        <f>O9*$F$25*'CAPEX E OPEX'!M68</f>
        <v>0</v>
      </c>
      <c r="P25" s="528">
        <f>P9*$F$25*'CAPEX E OPEX'!N68</f>
        <v>0</v>
      </c>
      <c r="Q25" s="528">
        <f>Q9*$F$25*'CAPEX E OPEX'!O68</f>
        <v>0</v>
      </c>
      <c r="R25" s="528">
        <f>R9*$F$25*'CAPEX E OPEX'!P68</f>
        <v>2516903.7820809712</v>
      </c>
      <c r="S25" s="528">
        <f>S9*$F$25*'CAPEX E OPEX'!Q68</f>
        <v>0</v>
      </c>
      <c r="T25" s="528">
        <f>T9*$F$25*'CAPEX E OPEX'!R68</f>
        <v>0</v>
      </c>
      <c r="U25" s="528">
        <f>U9*$F$25*'CAPEX E OPEX'!S68</f>
        <v>0</v>
      </c>
      <c r="V25" s="528">
        <f>V9*$F$25*'CAPEX E OPEX'!T68</f>
        <v>0</v>
      </c>
      <c r="W25" s="528">
        <f>W9*$F$25*'CAPEX E OPEX'!U68</f>
        <v>0</v>
      </c>
      <c r="X25" s="528">
        <f>X9*$F$25*'CAPEX E OPEX'!V68</f>
        <v>0</v>
      </c>
      <c r="Y25" s="528">
        <f>Y9*$F$25*'CAPEX E OPEX'!W68</f>
        <v>433711.60102833994</v>
      </c>
      <c r="Z25" s="528">
        <f>Z9*$F$25*'CAPEX E OPEX'!X68</f>
        <v>0</v>
      </c>
      <c r="AA25" s="528">
        <f>AA9*$F$25*'CAPEX E OPEX'!Y68</f>
        <v>0</v>
      </c>
      <c r="AB25" s="528">
        <f>AB9*$F$25*'CAPEX E OPEX'!Z68</f>
        <v>460166.22234817786</v>
      </c>
      <c r="AC25" s="528">
        <f>AC9*$F$25*'CAPEX E OPEX'!AA68</f>
        <v>0</v>
      </c>
      <c r="AD25" s="528">
        <f>AD9*$F$25*'CAPEX E OPEX'!AB68</f>
        <v>0</v>
      </c>
      <c r="AE25" s="528">
        <f>AE9*$F$25*'CAPEX E OPEX'!AC68</f>
        <v>433711.60102834</v>
      </c>
      <c r="AF25" s="528">
        <f>AF9*$F$25*'CAPEX E OPEX'!AD68</f>
        <v>0</v>
      </c>
      <c r="AG25" s="528">
        <f>AG9*$F$25*'CAPEX E OPEX'!AE68</f>
        <v>0</v>
      </c>
      <c r="AH25" s="528">
        <f>AH9*$F$25*'CAPEX E OPEX'!AF68</f>
        <v>0</v>
      </c>
      <c r="AI25" s="528">
        <f>AI9*$F$25*'CAPEX E OPEX'!AG68</f>
        <v>0</v>
      </c>
      <c r="AJ25" s="528">
        <f>AJ9*$F$25*'CAPEX E OPEX'!AH68</f>
        <v>0</v>
      </c>
      <c r="AK25" s="528">
        <f>AK9*$F$25*'CAPEX E OPEX'!AI68</f>
        <v>433711.60102834005</v>
      </c>
    </row>
    <row r="26" spans="1:37" x14ac:dyDescent="0.35">
      <c r="A26" s="162"/>
      <c r="B26" s="290"/>
      <c r="C26" s="291" t="s">
        <v>462</v>
      </c>
      <c r="D26" s="162"/>
      <c r="E26" s="291"/>
      <c r="F26" s="523">
        <v>1</v>
      </c>
      <c r="H26" s="528">
        <f>H9*$F$26*'CAPEX E OPEX'!F78</f>
        <v>193265.21400809716</v>
      </c>
      <c r="I26" s="528">
        <f>I9*$F$26*'CAPEX E OPEX'!G78</f>
        <v>0</v>
      </c>
      <c r="J26" s="528">
        <f>J9*$F$26*'CAPEX E OPEX'!H78</f>
        <v>0</v>
      </c>
      <c r="K26" s="528">
        <f>K9*$F$26*'CAPEX E OPEX'!I78</f>
        <v>0</v>
      </c>
      <c r="L26" s="528">
        <f>L9*$F$26*'CAPEX E OPEX'!J78</f>
        <v>13226.44696356275</v>
      </c>
      <c r="M26" s="528">
        <f>M9*$F$26*'CAPEX E OPEX'!K78</f>
        <v>0</v>
      </c>
      <c r="N26" s="528">
        <f>N9*$F$26*'CAPEX E OPEX'!L78</f>
        <v>0</v>
      </c>
      <c r="O26" s="528">
        <f>O9*$F$26*'CAPEX E OPEX'!M78</f>
        <v>0</v>
      </c>
      <c r="P26" s="528">
        <f>P9*$F$26*'CAPEX E OPEX'!N78</f>
        <v>0</v>
      </c>
      <c r="Q26" s="528">
        <f>Q9*$F$26*'CAPEX E OPEX'!O78</f>
        <v>104588.43020242914</v>
      </c>
      <c r="R26" s="528">
        <f>R9*$F$26*'CAPEX E OPEX'!P78</f>
        <v>0</v>
      </c>
      <c r="S26" s="528">
        <f>S9*$F$26*'CAPEX E OPEX'!Q78</f>
        <v>0</v>
      </c>
      <c r="T26" s="528">
        <f>T9*$F$26*'CAPEX E OPEX'!R78</f>
        <v>0</v>
      </c>
      <c r="U26" s="528">
        <f>U9*$F$26*'CAPEX E OPEX'!S78</f>
        <v>0</v>
      </c>
      <c r="V26" s="528">
        <f>V9*$F$26*'CAPEX E OPEX'!T78</f>
        <v>13226.446963562752</v>
      </c>
      <c r="W26" s="528">
        <f>W9*$F$26*'CAPEX E OPEX'!U78</f>
        <v>0</v>
      </c>
      <c r="X26" s="528">
        <f>X9*$F$26*'CAPEX E OPEX'!V78</f>
        <v>0</v>
      </c>
      <c r="Y26" s="528">
        <f>Y9*$F$26*'CAPEX E OPEX'!W78</f>
        <v>0</v>
      </c>
      <c r="Z26" s="528">
        <f>Z9*$F$26*'CAPEX E OPEX'!X78</f>
        <v>0</v>
      </c>
      <c r="AA26" s="528">
        <f>AA9*$F$26*'CAPEX E OPEX'!Y78</f>
        <v>104588.43020242912</v>
      </c>
      <c r="AB26" s="528">
        <f>AB9*$F$26*'CAPEX E OPEX'!Z78</f>
        <v>0</v>
      </c>
      <c r="AC26" s="528">
        <f>AC9*$F$26*'CAPEX E OPEX'!AA78</f>
        <v>0</v>
      </c>
      <c r="AD26" s="528">
        <f>AD9*$F$26*'CAPEX E OPEX'!AB78</f>
        <v>0</v>
      </c>
      <c r="AE26" s="528">
        <f>AE9*$F$26*'CAPEX E OPEX'!AC78</f>
        <v>0</v>
      </c>
      <c r="AF26" s="528">
        <f>AF9*$F$26*'CAPEX E OPEX'!AD78</f>
        <v>13226.446963562754</v>
      </c>
      <c r="AG26" s="528">
        <f>AG9*$F$26*'CAPEX E OPEX'!AE78</f>
        <v>0</v>
      </c>
      <c r="AH26" s="528">
        <f>AH9*$F$26*'CAPEX E OPEX'!AF78</f>
        <v>0</v>
      </c>
      <c r="AI26" s="528">
        <f>AI9*$F$26*'CAPEX E OPEX'!AG78</f>
        <v>0</v>
      </c>
      <c r="AJ26" s="528">
        <f>AJ9*$F$26*'CAPEX E OPEX'!AH78</f>
        <v>0</v>
      </c>
      <c r="AK26" s="528">
        <f>AK9*$F$26*'CAPEX E OPEX'!AI78</f>
        <v>13226.446963562757</v>
      </c>
    </row>
    <row r="27" spans="1:37" ht="6" customHeight="1" x14ac:dyDescent="0.35">
      <c r="A27" s="162"/>
      <c r="B27" s="290"/>
      <c r="C27" s="291"/>
      <c r="D27" s="162"/>
      <c r="E27" s="291"/>
      <c r="F27" s="291"/>
      <c r="H27" s="528"/>
      <c r="I27" s="528"/>
      <c r="J27" s="528"/>
      <c r="K27" s="528"/>
      <c r="L27" s="528"/>
      <c r="M27" s="528"/>
      <c r="N27" s="528"/>
      <c r="O27" s="528"/>
      <c r="P27" s="528"/>
      <c r="Q27" s="528"/>
      <c r="R27" s="528"/>
      <c r="S27" s="528"/>
      <c r="T27" s="528"/>
      <c r="U27" s="528"/>
      <c r="V27" s="528"/>
      <c r="W27" s="528"/>
      <c r="X27" s="528"/>
      <c r="Y27" s="528"/>
      <c r="Z27" s="528"/>
      <c r="AA27" s="528"/>
      <c r="AB27" s="528"/>
      <c r="AC27" s="528"/>
      <c r="AD27" s="528"/>
      <c r="AE27" s="528"/>
      <c r="AF27" s="528"/>
      <c r="AG27" s="528"/>
      <c r="AH27" s="528"/>
      <c r="AI27" s="528"/>
      <c r="AJ27" s="528"/>
      <c r="AK27" s="528"/>
    </row>
    <row r="28" spans="1:37" ht="15.5" x14ac:dyDescent="0.35">
      <c r="B28" s="309" t="s">
        <v>461</v>
      </c>
      <c r="C28" s="310"/>
      <c r="D28" s="25"/>
      <c r="E28" s="311"/>
      <c r="F28" s="25"/>
      <c r="G28" s="25"/>
      <c r="H28" s="526">
        <f t="shared" ref="H28:AK28" si="60">SUM(H30:H39)</f>
        <v>4720885.4581483295</v>
      </c>
      <c r="I28" s="526">
        <f t="shared" si="60"/>
        <v>4694372.9593341546</v>
      </c>
      <c r="J28" s="526">
        <f t="shared" si="60"/>
        <v>3258979.5812202105</v>
      </c>
      <c r="K28" s="526">
        <f t="shared" si="60"/>
        <v>3262638.4406319028</v>
      </c>
      <c r="L28" s="526">
        <f t="shared" si="60"/>
        <v>1121212.5994983206</v>
      </c>
      <c r="M28" s="526">
        <f t="shared" si="60"/>
        <v>1120187.32476182</v>
      </c>
      <c r="N28" s="526">
        <f t="shared" si="60"/>
        <v>1121168.1456509666</v>
      </c>
      <c r="O28" s="526">
        <f t="shared" si="60"/>
        <v>1117979.6852323071</v>
      </c>
      <c r="P28" s="526">
        <f t="shared" si="60"/>
        <v>1126120.3989966903</v>
      </c>
      <c r="Q28" s="526">
        <f t="shared" si="60"/>
        <v>1116644.9298204132</v>
      </c>
      <c r="R28" s="526">
        <f t="shared" si="60"/>
        <v>1439835.585814395</v>
      </c>
      <c r="S28" s="526">
        <f t="shared" si="60"/>
        <v>1427497.8404447101</v>
      </c>
      <c r="T28" s="526">
        <f t="shared" si="60"/>
        <v>1426945.2311885676</v>
      </c>
      <c r="U28" s="526">
        <f t="shared" si="60"/>
        <v>1426498.3543537238</v>
      </c>
      <c r="V28" s="526">
        <f t="shared" si="60"/>
        <v>1428039.3902758891</v>
      </c>
      <c r="W28" s="526">
        <f t="shared" si="60"/>
        <v>1425428.7669261147</v>
      </c>
      <c r="X28" s="526">
        <f t="shared" si="60"/>
        <v>1434004.4841109999</v>
      </c>
      <c r="Y28" s="526">
        <f t="shared" si="60"/>
        <v>1425680.785441146</v>
      </c>
      <c r="Z28" s="526">
        <f t="shared" si="60"/>
        <v>1423603.6263631654</v>
      </c>
      <c r="AA28" s="526">
        <f t="shared" si="60"/>
        <v>1423945.0967494538</v>
      </c>
      <c r="AB28" s="526">
        <f t="shared" si="60"/>
        <v>1427071.4075642673</v>
      </c>
      <c r="AC28" s="526">
        <f t="shared" si="60"/>
        <v>1421922.566166108</v>
      </c>
      <c r="AD28" s="526">
        <f t="shared" si="60"/>
        <v>1423518.1382576465</v>
      </c>
      <c r="AE28" s="526">
        <f t="shared" si="60"/>
        <v>1422477.2497052965</v>
      </c>
      <c r="AF28" s="526">
        <f t="shared" si="60"/>
        <v>1429565.5806277345</v>
      </c>
      <c r="AG28" s="526">
        <f t="shared" si="60"/>
        <v>1419768.984615677</v>
      </c>
      <c r="AH28" s="526">
        <f t="shared" si="60"/>
        <v>1419108.9499246341</v>
      </c>
      <c r="AI28" s="526">
        <f t="shared" si="60"/>
        <v>1418544.4485440389</v>
      </c>
      <c r="AJ28" s="526">
        <f t="shared" si="60"/>
        <v>1417979.3544526768</v>
      </c>
      <c r="AK28" s="526">
        <f t="shared" si="60"/>
        <v>1418977.9508185196</v>
      </c>
    </row>
    <row r="29" spans="1:37" ht="8.25" customHeight="1" x14ac:dyDescent="0.35">
      <c r="B29" s="99"/>
      <c r="C29" s="114"/>
      <c r="E29" s="77"/>
      <c r="H29" s="527"/>
      <c r="I29" s="527"/>
      <c r="J29" s="527"/>
      <c r="K29" s="527"/>
      <c r="L29" s="527"/>
      <c r="M29" s="527"/>
      <c r="N29" s="527"/>
      <c r="O29" s="527"/>
      <c r="P29" s="527"/>
      <c r="Q29" s="527"/>
      <c r="R29" s="527"/>
      <c r="S29" s="527"/>
      <c r="T29" s="527"/>
      <c r="U29" s="527"/>
      <c r="V29" s="527"/>
      <c r="W29" s="527"/>
      <c r="X29" s="527"/>
      <c r="Y29" s="527"/>
      <c r="Z29" s="527"/>
      <c r="AA29" s="527"/>
      <c r="AB29" s="527"/>
      <c r="AC29" s="527"/>
      <c r="AD29" s="527"/>
      <c r="AE29" s="527"/>
      <c r="AF29" s="527"/>
      <c r="AG29" s="527"/>
      <c r="AH29" s="527"/>
      <c r="AI29" s="527"/>
      <c r="AJ29" s="527"/>
      <c r="AK29" s="527"/>
    </row>
    <row r="30" spans="1:37" ht="19" thickBot="1" x14ac:dyDescent="0.5">
      <c r="B30" s="113"/>
      <c r="C30" s="291" t="s">
        <v>366</v>
      </c>
      <c r="D30" s="291"/>
      <c r="E30" s="291"/>
      <c r="F30" s="524">
        <v>0</v>
      </c>
      <c r="H30" s="528">
        <f>H9*$F$30*'CAPEX E OPEX'!F94</f>
        <v>0</v>
      </c>
      <c r="I30" s="528">
        <f>I9*$F$30*'CAPEX E OPEX'!G94</f>
        <v>0</v>
      </c>
      <c r="J30" s="528">
        <f>J9*$F$30*'CAPEX E OPEX'!H94</f>
        <v>0</v>
      </c>
      <c r="K30" s="528">
        <f>K9*$F$30*'CAPEX E OPEX'!I94</f>
        <v>0</v>
      </c>
      <c r="L30" s="528">
        <f>L9*$F$30*'CAPEX E OPEX'!J94</f>
        <v>0</v>
      </c>
      <c r="M30" s="528">
        <f>M9*$F$30*'CAPEX E OPEX'!K94</f>
        <v>0</v>
      </c>
      <c r="N30" s="528">
        <f>N9*$F$30*'CAPEX E OPEX'!L94</f>
        <v>0</v>
      </c>
      <c r="O30" s="528">
        <f>O9*$F$30*'CAPEX E OPEX'!M94</f>
        <v>0</v>
      </c>
      <c r="P30" s="528">
        <f>P9*$F$30*'CAPEX E OPEX'!N94</f>
        <v>0</v>
      </c>
      <c r="Q30" s="528">
        <f>Q9*$F$30*'CAPEX E OPEX'!O94</f>
        <v>0</v>
      </c>
      <c r="R30" s="528">
        <f>R9*$F$30*'CAPEX E OPEX'!P94</f>
        <v>0</v>
      </c>
      <c r="S30" s="528">
        <f>S9*$F$30*'CAPEX E OPEX'!Q94</f>
        <v>0</v>
      </c>
      <c r="T30" s="528">
        <f>T9*$F$30*'CAPEX E OPEX'!R94</f>
        <v>0</v>
      </c>
      <c r="U30" s="528">
        <f>U9*$F$30*'CAPEX E OPEX'!S94</f>
        <v>0</v>
      </c>
      <c r="V30" s="528">
        <f>V9*$F$30*'CAPEX E OPEX'!T94</f>
        <v>0</v>
      </c>
      <c r="W30" s="528">
        <f>W9*$F$30*'CAPEX E OPEX'!U94</f>
        <v>0</v>
      </c>
      <c r="X30" s="528">
        <f>X9*$F$30*'CAPEX E OPEX'!V94</f>
        <v>0</v>
      </c>
      <c r="Y30" s="528">
        <f>Y9*$F$30*'CAPEX E OPEX'!W94</f>
        <v>0</v>
      </c>
      <c r="Z30" s="528">
        <f>Z9*$F$30*'CAPEX E OPEX'!X94</f>
        <v>0</v>
      </c>
      <c r="AA30" s="528">
        <f>AA9*$F$30*'CAPEX E OPEX'!Y94</f>
        <v>0</v>
      </c>
      <c r="AB30" s="528">
        <f>AB9*$F$30*'CAPEX E OPEX'!Z94</f>
        <v>0</v>
      </c>
      <c r="AC30" s="528">
        <f>AC9*$F$30*'CAPEX E OPEX'!AA94</f>
        <v>0</v>
      </c>
      <c r="AD30" s="528">
        <f>AD9*$F$30*'CAPEX E OPEX'!AB94</f>
        <v>0</v>
      </c>
      <c r="AE30" s="528">
        <f>AE9*$F$30*'CAPEX E OPEX'!AC94</f>
        <v>0</v>
      </c>
      <c r="AF30" s="528">
        <f>AF9*$F$30*'CAPEX E OPEX'!AD94</f>
        <v>0</v>
      </c>
      <c r="AG30" s="528">
        <f>AG9*$F$30*'CAPEX E OPEX'!AE94</f>
        <v>0</v>
      </c>
      <c r="AH30" s="528">
        <f>AH9*$F$30*'CAPEX E OPEX'!AF94</f>
        <v>0</v>
      </c>
      <c r="AI30" s="528">
        <f>AI9*$F$30*'CAPEX E OPEX'!AG94</f>
        <v>0</v>
      </c>
      <c r="AJ30" s="528">
        <f>AJ9*$F$30*'CAPEX E OPEX'!AH94</f>
        <v>0</v>
      </c>
      <c r="AK30" s="528">
        <f>AK9*$F$30*'CAPEX E OPEX'!AI94</f>
        <v>0</v>
      </c>
    </row>
    <row r="31" spans="1:37" ht="19" thickBot="1" x14ac:dyDescent="0.5">
      <c r="B31" s="113"/>
      <c r="C31" s="291" t="s">
        <v>456</v>
      </c>
      <c r="D31" s="291"/>
      <c r="E31" s="291"/>
      <c r="F31" s="522">
        <v>1</v>
      </c>
      <c r="H31" s="528">
        <f>H9*$F$31*'CAPEX E OPEX'!F104</f>
        <v>2574850.9474898777</v>
      </c>
      <c r="I31" s="528">
        <f>I9*$F$31*'CAPEX E OPEX'!G104</f>
        <v>2574850.9474898786</v>
      </c>
      <c r="J31" s="528">
        <f>J9*$F$31*'CAPEX E OPEX'!H104</f>
        <v>536229.38781376509</v>
      </c>
      <c r="K31" s="528">
        <f>K9*$F$31*'CAPEX E OPEX'!I104</f>
        <v>536229.38781376509</v>
      </c>
      <c r="L31" s="528">
        <f>L9*$F$31*'CAPEX E OPEX'!J104</f>
        <v>536229.38781376509</v>
      </c>
      <c r="M31" s="528">
        <f>M9*$F$31*'CAPEX E OPEX'!K104</f>
        <v>536229.38781376521</v>
      </c>
      <c r="N31" s="528">
        <f>N9*$F$31*'CAPEX E OPEX'!L104</f>
        <v>536229.38781376509</v>
      </c>
      <c r="O31" s="528">
        <f>O9*$F$31*'CAPEX E OPEX'!M104</f>
        <v>536229.38781376521</v>
      </c>
      <c r="P31" s="528">
        <f>P9*$F$31*'CAPEX E OPEX'!N104</f>
        <v>536229.38781376509</v>
      </c>
      <c r="Q31" s="528">
        <f>Q9*$F$31*'CAPEX E OPEX'!O104</f>
        <v>536229.38781376509</v>
      </c>
      <c r="R31" s="528">
        <f>R9*$F$31*'CAPEX E OPEX'!P104</f>
        <v>536229.38781376509</v>
      </c>
      <c r="S31" s="528">
        <f>S9*$F$31*'CAPEX E OPEX'!Q104</f>
        <v>536229.38781376509</v>
      </c>
      <c r="T31" s="528">
        <f>T9*$F$31*'CAPEX E OPEX'!R104</f>
        <v>536229.38781376509</v>
      </c>
      <c r="U31" s="528">
        <f>U9*$F$31*'CAPEX E OPEX'!S104</f>
        <v>536229.38781376497</v>
      </c>
      <c r="V31" s="528">
        <f>V9*$F$31*'CAPEX E OPEX'!T104</f>
        <v>536229.38781376509</v>
      </c>
      <c r="W31" s="528">
        <f>W9*$F$31*'CAPEX E OPEX'!U104</f>
        <v>536229.38781376509</v>
      </c>
      <c r="X31" s="528">
        <f>X9*$F$31*'CAPEX E OPEX'!V104</f>
        <v>536229.38781376521</v>
      </c>
      <c r="Y31" s="528">
        <f>Y9*$F$31*'CAPEX E OPEX'!W104</f>
        <v>536229.38781376509</v>
      </c>
      <c r="Z31" s="528">
        <f>Z9*$F$31*'CAPEX E OPEX'!X104</f>
        <v>536229.38781376521</v>
      </c>
      <c r="AA31" s="528">
        <f>AA9*$F$31*'CAPEX E OPEX'!Y104</f>
        <v>536229.38781376509</v>
      </c>
      <c r="AB31" s="528">
        <f>AB9*$F$31*'CAPEX E OPEX'!Z104</f>
        <v>536229.38781376497</v>
      </c>
      <c r="AC31" s="528">
        <f>AC9*$F$31*'CAPEX E OPEX'!AA104</f>
        <v>536229.38781376532</v>
      </c>
      <c r="AD31" s="528">
        <f>AD9*$F$31*'CAPEX E OPEX'!AB104</f>
        <v>536229.38781376532</v>
      </c>
      <c r="AE31" s="528">
        <f>AE9*$F$31*'CAPEX E OPEX'!AC104</f>
        <v>536229.38781376521</v>
      </c>
      <c r="AF31" s="528">
        <f>AF9*$F$31*'CAPEX E OPEX'!AD104</f>
        <v>536229.38781376521</v>
      </c>
      <c r="AG31" s="528">
        <f>AG9*$F$31*'CAPEX E OPEX'!AE104</f>
        <v>536229.38781376521</v>
      </c>
      <c r="AH31" s="528">
        <f>AH9*$F$31*'CAPEX E OPEX'!AF104</f>
        <v>536229.38781376532</v>
      </c>
      <c r="AI31" s="528">
        <f>AI9*$F$31*'CAPEX E OPEX'!AG104</f>
        <v>536229.38781376532</v>
      </c>
      <c r="AJ31" s="528">
        <f>AJ9*$F$31*'CAPEX E OPEX'!AH104</f>
        <v>536229.38781376532</v>
      </c>
      <c r="AK31" s="528">
        <f>AK9*$F$31*'CAPEX E OPEX'!AI104</f>
        <v>536229.38781376532</v>
      </c>
    </row>
    <row r="32" spans="1:37" ht="19" thickBot="1" x14ac:dyDescent="0.5">
      <c r="B32" s="113"/>
      <c r="C32" s="291" t="s">
        <v>1320</v>
      </c>
      <c r="D32" s="291"/>
      <c r="E32" s="291"/>
      <c r="F32" s="522">
        <v>0</v>
      </c>
      <c r="H32" s="528">
        <f>H9*$F$32*'CAPEX E OPEX'!F114</f>
        <v>0</v>
      </c>
      <c r="I32" s="528">
        <f>I9*$F$32*'CAPEX E OPEX'!G114</f>
        <v>0</v>
      </c>
      <c r="J32" s="528">
        <f>J9*$F$32*'CAPEX E OPEX'!H114</f>
        <v>0</v>
      </c>
      <c r="K32" s="528">
        <f>K9*$F$32*'CAPEX E OPEX'!I114</f>
        <v>0</v>
      </c>
      <c r="L32" s="528">
        <f>L9*$F$32*'CAPEX E OPEX'!J114</f>
        <v>0</v>
      </c>
      <c r="M32" s="528">
        <f>M9*$F$32*'CAPEX E OPEX'!K114</f>
        <v>0</v>
      </c>
      <c r="N32" s="528">
        <f>N9*$F$32*'CAPEX E OPEX'!L114</f>
        <v>0</v>
      </c>
      <c r="O32" s="528">
        <f>O9*$F$32*'CAPEX E OPEX'!M114</f>
        <v>0</v>
      </c>
      <c r="P32" s="528">
        <f>P9*$F$32*'CAPEX E OPEX'!N114</f>
        <v>0</v>
      </c>
      <c r="Q32" s="528">
        <f>Q9*$F$32*'CAPEX E OPEX'!O114</f>
        <v>0</v>
      </c>
      <c r="R32" s="528">
        <f>R9*$F$32*'CAPEX E OPEX'!P114</f>
        <v>0</v>
      </c>
      <c r="S32" s="528">
        <f>S9*$F$32*'CAPEX E OPEX'!Q114</f>
        <v>0</v>
      </c>
      <c r="T32" s="528">
        <f>T9*$F$32*'CAPEX E OPEX'!R114</f>
        <v>0</v>
      </c>
      <c r="U32" s="528">
        <f>U9*$F$32*'CAPEX E OPEX'!S114</f>
        <v>0</v>
      </c>
      <c r="V32" s="528">
        <f>V9*$F$32*'CAPEX E OPEX'!T114</f>
        <v>0</v>
      </c>
      <c r="W32" s="528">
        <f>W9*$F$32*'CAPEX E OPEX'!U114</f>
        <v>0</v>
      </c>
      <c r="X32" s="528">
        <f>X9*$F$32*'CAPEX E OPEX'!V114</f>
        <v>0</v>
      </c>
      <c r="Y32" s="528">
        <f>Y9*$F$32*'CAPEX E OPEX'!W114</f>
        <v>0</v>
      </c>
      <c r="Z32" s="528">
        <f>Z9*$F$32*'CAPEX E OPEX'!X114</f>
        <v>0</v>
      </c>
      <c r="AA32" s="528">
        <f>AA9*$F$32*'CAPEX E OPEX'!Y114</f>
        <v>0</v>
      </c>
      <c r="AB32" s="528">
        <f>AB9*$F$32*'CAPEX E OPEX'!Z114</f>
        <v>0</v>
      </c>
      <c r="AC32" s="528">
        <f>AC9*$F$32*'CAPEX E OPEX'!AA114</f>
        <v>0</v>
      </c>
      <c r="AD32" s="528">
        <f>AD9*$F$32*'CAPEX E OPEX'!AB114</f>
        <v>0</v>
      </c>
      <c r="AE32" s="528">
        <f>AE9*$F$32*'CAPEX E OPEX'!AC114</f>
        <v>0</v>
      </c>
      <c r="AF32" s="528">
        <f>AF9*$F$32*'CAPEX E OPEX'!AD114</f>
        <v>0</v>
      </c>
      <c r="AG32" s="528">
        <f>AG9*$F$32*'CAPEX E OPEX'!AE114</f>
        <v>0</v>
      </c>
      <c r="AH32" s="528">
        <f>AH9*$F$32*'CAPEX E OPEX'!AF114</f>
        <v>0</v>
      </c>
      <c r="AI32" s="528">
        <f>AI9*$F$32*'CAPEX E OPEX'!AG114</f>
        <v>0</v>
      </c>
      <c r="AJ32" s="528">
        <f>AJ9*$F$32*'CAPEX E OPEX'!AH114</f>
        <v>0</v>
      </c>
      <c r="AK32" s="528">
        <f>AK9*$F$32*'CAPEX E OPEX'!AI114</f>
        <v>0</v>
      </c>
    </row>
    <row r="33" spans="2:37" ht="19" thickBot="1" x14ac:dyDescent="0.5">
      <c r="B33" s="113"/>
      <c r="C33" s="291" t="s">
        <v>458</v>
      </c>
      <c r="D33" s="291"/>
      <c r="E33" s="291"/>
      <c r="F33" s="522">
        <v>1</v>
      </c>
      <c r="H33" s="528">
        <f>H9*$F$33*'CAPEX E OPEX'!F124</f>
        <v>1784798.8284210525</v>
      </c>
      <c r="I33" s="528">
        <f>I9*$F$33*'CAPEX E OPEX'!G124</f>
        <v>1787433.4010526319</v>
      </c>
      <c r="J33" s="528">
        <f>J9*$F$33*'CAPEX E OPEX'!H124</f>
        <v>2578196.4284210517</v>
      </c>
      <c r="K33" s="528">
        <f>K9*$F$33*'CAPEX E OPEX'!I124</f>
        <v>2584101.4189878539</v>
      </c>
      <c r="L33" s="528">
        <f>L9*$F$33*'CAPEX E OPEX'!J124</f>
        <v>445217.32813765167</v>
      </c>
      <c r="M33" s="528">
        <f>M9*$F$33*'CAPEX E OPEX'!K124</f>
        <v>445217.32813765178</v>
      </c>
      <c r="N33" s="528">
        <f>N9*$F$33*'CAPEX E OPEX'!L124</f>
        <v>445217.32813765167</v>
      </c>
      <c r="O33" s="528">
        <f>O9*$F$33*'CAPEX E OPEX'!M124</f>
        <v>445217.32813765178</v>
      </c>
      <c r="P33" s="528">
        <f>P9*$F$33*'CAPEX E OPEX'!N124</f>
        <v>445217.32813765167</v>
      </c>
      <c r="Q33" s="528">
        <f>Q9*$F$33*'CAPEX E OPEX'!O124</f>
        <v>445217.32813765173</v>
      </c>
      <c r="R33" s="528">
        <f>R9*$F$33*'CAPEX E OPEX'!P124</f>
        <v>769822.51987854228</v>
      </c>
      <c r="S33" s="528">
        <f>S9*$F$33*'CAPEX E OPEX'!Q124</f>
        <v>769822.51987854228</v>
      </c>
      <c r="T33" s="528">
        <f>T9*$F$33*'CAPEX E OPEX'!R124</f>
        <v>769822.51987854228</v>
      </c>
      <c r="U33" s="528">
        <f>U9*$F$33*'CAPEX E OPEX'!S124</f>
        <v>769822.51987854205</v>
      </c>
      <c r="V33" s="528">
        <f>V9*$F$33*'CAPEX E OPEX'!T124</f>
        <v>769822.51987854228</v>
      </c>
      <c r="W33" s="528">
        <f>W9*$F$33*'CAPEX E OPEX'!U124</f>
        <v>769822.51987854228</v>
      </c>
      <c r="X33" s="528">
        <f>X9*$F$33*'CAPEX E OPEX'!V124</f>
        <v>769822.5198785424</v>
      </c>
      <c r="Y33" s="528">
        <f>Y9*$F$33*'CAPEX E OPEX'!W124</f>
        <v>769822.51987854228</v>
      </c>
      <c r="Z33" s="528">
        <f>Z9*$F$33*'CAPEX E OPEX'!X124</f>
        <v>769822.5198785424</v>
      </c>
      <c r="AA33" s="528">
        <f>AA9*$F$33*'CAPEX E OPEX'!Y124</f>
        <v>769822.51987854217</v>
      </c>
      <c r="AB33" s="528">
        <f>AB9*$F$33*'CAPEX E OPEX'!Z124</f>
        <v>769822.51987854205</v>
      </c>
      <c r="AC33" s="528">
        <f>AC9*$F$33*'CAPEX E OPEX'!AA124</f>
        <v>769822.51987854252</v>
      </c>
      <c r="AD33" s="528">
        <f>AD9*$F$33*'CAPEX E OPEX'!AB124</f>
        <v>769822.51987854252</v>
      </c>
      <c r="AE33" s="528">
        <f>AE9*$F$33*'CAPEX E OPEX'!AC124</f>
        <v>769822.5198785424</v>
      </c>
      <c r="AF33" s="528">
        <f>AF9*$F$33*'CAPEX E OPEX'!AD124</f>
        <v>769822.5198785424</v>
      </c>
      <c r="AG33" s="528">
        <f>AG9*$F$33*'CAPEX E OPEX'!AE124</f>
        <v>769822.5198785424</v>
      </c>
      <c r="AH33" s="528">
        <f>AH9*$F$33*'CAPEX E OPEX'!AF124</f>
        <v>769822.51987854252</v>
      </c>
      <c r="AI33" s="528">
        <f>AI9*$F$33*'CAPEX E OPEX'!AG124</f>
        <v>769822.51987854252</v>
      </c>
      <c r="AJ33" s="528">
        <f>AJ9*$F$33*'CAPEX E OPEX'!AH124</f>
        <v>769822.51987854252</v>
      </c>
      <c r="AK33" s="528">
        <f>AK9*$F$33*'CAPEX E OPEX'!AI124</f>
        <v>769822.51987854252</v>
      </c>
    </row>
    <row r="34" spans="2:37" ht="19" thickBot="1" x14ac:dyDescent="0.5">
      <c r="B34" s="113"/>
      <c r="C34" s="291" t="s">
        <v>462</v>
      </c>
      <c r="D34" s="291"/>
      <c r="E34" s="291"/>
      <c r="F34" s="522">
        <v>1</v>
      </c>
      <c r="H34" s="528">
        <f>H9*$F$34*'CAPEX E OPEX'!F134</f>
        <v>290855.66578947363</v>
      </c>
      <c r="I34" s="528">
        <f>I9*$F$34*'CAPEX E OPEX'!G134</f>
        <v>287997.39979757089</v>
      </c>
      <c r="J34" s="528">
        <f>J9*$F$34*'CAPEX E OPEX'!H134</f>
        <v>103421.99866396759</v>
      </c>
      <c r="K34" s="528">
        <f>K9*$F$34*'CAPEX E OPEX'!I134</f>
        <v>103421.99866396761</v>
      </c>
      <c r="L34" s="528">
        <f>L9*$F$34*'CAPEX E OPEX'!J134</f>
        <v>103421.99866396759</v>
      </c>
      <c r="M34" s="528">
        <f>M9*$F$34*'CAPEX E OPEX'!K134</f>
        <v>103421.99866396762</v>
      </c>
      <c r="N34" s="528">
        <f>N9*$F$34*'CAPEX E OPEX'!L134</f>
        <v>103421.99866396759</v>
      </c>
      <c r="O34" s="528">
        <f>O9*$F$34*'CAPEX E OPEX'!M134</f>
        <v>103421.99866396762</v>
      </c>
      <c r="P34" s="528">
        <f>P9*$F$34*'CAPEX E OPEX'!N134</f>
        <v>103421.99866396759</v>
      </c>
      <c r="Q34" s="528">
        <f>Q9*$F$34*'CAPEX E OPEX'!O134</f>
        <v>103421.99866396761</v>
      </c>
      <c r="R34" s="528">
        <f>R9*$F$34*'CAPEX E OPEX'!P134</f>
        <v>103421.99866396761</v>
      </c>
      <c r="S34" s="528">
        <f>S9*$F$34*'CAPEX E OPEX'!Q134</f>
        <v>103421.99866396761</v>
      </c>
      <c r="T34" s="528">
        <f>T9*$F$34*'CAPEX E OPEX'!R134</f>
        <v>103421.99866396761</v>
      </c>
      <c r="U34" s="528">
        <f>U9*$F$34*'CAPEX E OPEX'!S134</f>
        <v>103421.99866396758</v>
      </c>
      <c r="V34" s="528">
        <f>V9*$F$34*'CAPEX E OPEX'!T134</f>
        <v>103421.99866396761</v>
      </c>
      <c r="W34" s="528">
        <f>W9*$F$34*'CAPEX E OPEX'!U134</f>
        <v>103421.99866396761</v>
      </c>
      <c r="X34" s="528">
        <f>X9*$F$34*'CAPEX E OPEX'!V134</f>
        <v>103421.99866396762</v>
      </c>
      <c r="Y34" s="528">
        <f>Y9*$F$34*'CAPEX E OPEX'!W134</f>
        <v>103421.99866396761</v>
      </c>
      <c r="Z34" s="528">
        <f>Z9*$F$34*'CAPEX E OPEX'!X134</f>
        <v>103421.99866396762</v>
      </c>
      <c r="AA34" s="528">
        <f>AA9*$F$34*'CAPEX E OPEX'!Y134</f>
        <v>103421.99866396759</v>
      </c>
      <c r="AB34" s="528">
        <f>AB9*$F$34*'CAPEX E OPEX'!Z134</f>
        <v>103421.99866396758</v>
      </c>
      <c r="AC34" s="528">
        <f>AC9*$F$34*'CAPEX E OPEX'!AA134</f>
        <v>103421.99866396764</v>
      </c>
      <c r="AD34" s="528">
        <f>AD9*$F$34*'CAPEX E OPEX'!AB134</f>
        <v>103421.99866396764</v>
      </c>
      <c r="AE34" s="528">
        <f>AE9*$F$34*'CAPEX E OPEX'!AC134</f>
        <v>103421.99866396762</v>
      </c>
      <c r="AF34" s="528">
        <f>AF9*$F$34*'CAPEX E OPEX'!AD134</f>
        <v>103421.99866396762</v>
      </c>
      <c r="AG34" s="528">
        <f>AG9*$F$34*'CAPEX E OPEX'!AE134</f>
        <v>103421.99866396762</v>
      </c>
      <c r="AH34" s="528">
        <f>AH9*$F$34*'CAPEX E OPEX'!AF134</f>
        <v>103421.99866396764</v>
      </c>
      <c r="AI34" s="528">
        <f>AI9*$F$34*'CAPEX E OPEX'!AG134</f>
        <v>103421.99866396764</v>
      </c>
      <c r="AJ34" s="528">
        <f>AJ9*$F$34*'CAPEX E OPEX'!AH134</f>
        <v>103421.99866396764</v>
      </c>
      <c r="AK34" s="528">
        <f>AK9*$F$34*'CAPEX E OPEX'!AI134</f>
        <v>103421.99866396764</v>
      </c>
    </row>
    <row r="35" spans="2:37" ht="19" thickBot="1" x14ac:dyDescent="0.5">
      <c r="B35" s="113"/>
      <c r="C35" s="291" t="s">
        <v>463</v>
      </c>
      <c r="D35" s="291"/>
      <c r="E35" s="291"/>
      <c r="H35" s="481"/>
      <c r="I35" s="481"/>
      <c r="J35" s="481"/>
      <c r="K35" s="481"/>
      <c r="L35" s="481"/>
      <c r="M35" s="481"/>
      <c r="N35" s="481"/>
      <c r="O35" s="481"/>
      <c r="P35" s="481"/>
      <c r="Q35" s="481"/>
      <c r="R35" s="481"/>
      <c r="S35" s="481"/>
      <c r="T35" s="481"/>
      <c r="U35" s="481"/>
      <c r="V35" s="481"/>
      <c r="W35" s="481"/>
      <c r="X35" s="481"/>
      <c r="Y35" s="481"/>
      <c r="Z35" s="481"/>
      <c r="AA35" s="481"/>
      <c r="AB35" s="481"/>
      <c r="AC35" s="481"/>
      <c r="AD35" s="481"/>
      <c r="AE35" s="481"/>
      <c r="AF35" s="481"/>
      <c r="AG35" s="481"/>
      <c r="AH35" s="481"/>
      <c r="AI35" s="481"/>
      <c r="AJ35" s="481"/>
      <c r="AK35" s="481"/>
    </row>
    <row r="36" spans="2:37" ht="19" thickBot="1" x14ac:dyDescent="0.5">
      <c r="B36" s="113"/>
      <c r="C36" s="162"/>
      <c r="D36" s="162" t="s">
        <v>464</v>
      </c>
      <c r="E36" s="291"/>
      <c r="F36" s="522">
        <v>0</v>
      </c>
      <c r="H36" s="528">
        <f>H9*$F$36*'CAPEX E OPEX'!F145</f>
        <v>0</v>
      </c>
      <c r="I36" s="528">
        <f>I9*$F$36*'CAPEX E OPEX'!G145</f>
        <v>0</v>
      </c>
      <c r="J36" s="528">
        <f>J9*$F$36*'CAPEX E OPEX'!H145</f>
        <v>0</v>
      </c>
      <c r="K36" s="528">
        <f>K9*$F$36*'CAPEX E OPEX'!I145</f>
        <v>0</v>
      </c>
      <c r="L36" s="528">
        <f>L9*$F$36*'CAPEX E OPEX'!J145</f>
        <v>0</v>
      </c>
      <c r="M36" s="528">
        <f>M9*$F$36*'CAPEX E OPEX'!K145</f>
        <v>0</v>
      </c>
      <c r="N36" s="528">
        <f>N9*$F$36*'CAPEX E OPEX'!L145</f>
        <v>0</v>
      </c>
      <c r="O36" s="528">
        <f>O9*$F$36*'CAPEX E OPEX'!M145</f>
        <v>0</v>
      </c>
      <c r="P36" s="528">
        <f>P9*$F$36*'CAPEX E OPEX'!N145</f>
        <v>0</v>
      </c>
      <c r="Q36" s="528">
        <f>Q9*$F$36*'CAPEX E OPEX'!O145</f>
        <v>0</v>
      </c>
      <c r="R36" s="528">
        <f>R9*$F$36*'CAPEX E OPEX'!P145</f>
        <v>0</v>
      </c>
      <c r="S36" s="528">
        <f>S9*$F$36*'CAPEX E OPEX'!Q145</f>
        <v>0</v>
      </c>
      <c r="T36" s="528">
        <f>T9*$F$36*'CAPEX E OPEX'!R145</f>
        <v>0</v>
      </c>
      <c r="U36" s="528">
        <f>U9*$F$36*'CAPEX E OPEX'!S145</f>
        <v>0</v>
      </c>
      <c r="V36" s="528">
        <f>V9*$F$36*'CAPEX E OPEX'!T145</f>
        <v>0</v>
      </c>
      <c r="W36" s="528">
        <f>W9*$F$36*'CAPEX E OPEX'!U145</f>
        <v>0</v>
      </c>
      <c r="X36" s="528">
        <f>X9*$F$36*'CAPEX E OPEX'!V145</f>
        <v>0</v>
      </c>
      <c r="Y36" s="528">
        <f>Y9*$F$36*'CAPEX E OPEX'!W145</f>
        <v>0</v>
      </c>
      <c r="Z36" s="528">
        <f>Z9*$F$36*'CAPEX E OPEX'!X145</f>
        <v>0</v>
      </c>
      <c r="AA36" s="528">
        <f>AA9*$F$36*'CAPEX E OPEX'!Y145</f>
        <v>0</v>
      </c>
      <c r="AB36" s="528">
        <f>AB9*$F$36*'CAPEX E OPEX'!Z145</f>
        <v>0</v>
      </c>
      <c r="AC36" s="528">
        <f>AC9*$F$36*'CAPEX E OPEX'!AA145</f>
        <v>0</v>
      </c>
      <c r="AD36" s="528">
        <f>AD9*$F$36*'CAPEX E OPEX'!AB145</f>
        <v>0</v>
      </c>
      <c r="AE36" s="528">
        <f>AE9*$F$36*'CAPEX E OPEX'!AC145</f>
        <v>0</v>
      </c>
      <c r="AF36" s="528">
        <f>AF9*$F$36*'CAPEX E OPEX'!AD145</f>
        <v>0</v>
      </c>
      <c r="AG36" s="528">
        <f>AG9*$F$36*'CAPEX E OPEX'!AE145</f>
        <v>0</v>
      </c>
      <c r="AH36" s="528">
        <f>AH9*$F$36*'CAPEX E OPEX'!AF145</f>
        <v>0</v>
      </c>
      <c r="AI36" s="528">
        <f>AI9*$F$36*'CAPEX E OPEX'!AG145</f>
        <v>0</v>
      </c>
      <c r="AJ36" s="528">
        <f>AJ9*$F$36*'CAPEX E OPEX'!AH145</f>
        <v>0</v>
      </c>
      <c r="AK36" s="528">
        <f>AK9*$F$36*'CAPEX E OPEX'!AI145</f>
        <v>0</v>
      </c>
    </row>
    <row r="37" spans="2:37" ht="19" thickBot="1" x14ac:dyDescent="0.5">
      <c r="B37" s="113"/>
      <c r="C37" s="162"/>
      <c r="D37" s="162" t="s">
        <v>1321</v>
      </c>
      <c r="E37" s="291"/>
      <c r="F37" s="522">
        <v>0</v>
      </c>
      <c r="H37" s="528">
        <f>H9*$F$37*'CAPEX E OPEX'!F155</f>
        <v>0</v>
      </c>
      <c r="I37" s="528">
        <f>I9*$F$37*'CAPEX E OPEX'!G155</f>
        <v>0</v>
      </c>
      <c r="J37" s="528">
        <f>J9*$F$37*'CAPEX E OPEX'!H155</f>
        <v>0</v>
      </c>
      <c r="K37" s="528">
        <f>K9*$F$37*'CAPEX E OPEX'!I155</f>
        <v>0</v>
      </c>
      <c r="L37" s="528">
        <f>L9*$F$37*'CAPEX E OPEX'!J155</f>
        <v>0</v>
      </c>
      <c r="M37" s="528">
        <f>M9*$F$37*'CAPEX E OPEX'!K155</f>
        <v>0</v>
      </c>
      <c r="N37" s="528">
        <f>N9*$F$37*'CAPEX E OPEX'!L155</f>
        <v>0</v>
      </c>
      <c r="O37" s="528">
        <f>O9*$F$37*'CAPEX E OPEX'!M155</f>
        <v>0</v>
      </c>
      <c r="P37" s="528">
        <f>P9*$F$37*'CAPEX E OPEX'!N155</f>
        <v>0</v>
      </c>
      <c r="Q37" s="528">
        <f>Q9*$F$37*'CAPEX E OPEX'!O155</f>
        <v>0</v>
      </c>
      <c r="R37" s="528">
        <f>R9*$F$37*'CAPEX E OPEX'!P155</f>
        <v>0</v>
      </c>
      <c r="S37" s="528">
        <f>S9*$F$37*'CAPEX E OPEX'!Q155</f>
        <v>0</v>
      </c>
      <c r="T37" s="528">
        <f>T9*$F$37*'CAPEX E OPEX'!R155</f>
        <v>0</v>
      </c>
      <c r="U37" s="528">
        <f>U9*$F$37*'CAPEX E OPEX'!S155</f>
        <v>0</v>
      </c>
      <c r="V37" s="528">
        <f>V9*$F$37*'CAPEX E OPEX'!T155</f>
        <v>0</v>
      </c>
      <c r="W37" s="528">
        <f>W9*$F$37*'CAPEX E OPEX'!U155</f>
        <v>0</v>
      </c>
      <c r="X37" s="528">
        <f>X9*$F$37*'CAPEX E OPEX'!V155</f>
        <v>0</v>
      </c>
      <c r="Y37" s="528">
        <f>Y9*$F$37*'CAPEX E OPEX'!W155</f>
        <v>0</v>
      </c>
      <c r="Z37" s="528">
        <f>Z9*$F$37*'CAPEX E OPEX'!X155</f>
        <v>0</v>
      </c>
      <c r="AA37" s="528">
        <f>AA9*$F$37*'CAPEX E OPEX'!Y155</f>
        <v>0</v>
      </c>
      <c r="AB37" s="528">
        <f>AB9*$F$37*'CAPEX E OPEX'!Z155</f>
        <v>0</v>
      </c>
      <c r="AC37" s="528">
        <f>AC9*$F$37*'CAPEX E OPEX'!AA155</f>
        <v>0</v>
      </c>
      <c r="AD37" s="528">
        <f>AD9*$F$37*'CAPEX E OPEX'!AB155</f>
        <v>0</v>
      </c>
      <c r="AE37" s="528">
        <f>AE9*$F$37*'CAPEX E OPEX'!AC155</f>
        <v>0</v>
      </c>
      <c r="AF37" s="528">
        <f>AF9*$F$37*'CAPEX E OPEX'!AD155</f>
        <v>0</v>
      </c>
      <c r="AG37" s="528">
        <f>AG9*$F$37*'CAPEX E OPEX'!AE155</f>
        <v>0</v>
      </c>
      <c r="AH37" s="528">
        <f>AH9*$F$37*'CAPEX E OPEX'!AF155</f>
        <v>0</v>
      </c>
      <c r="AI37" s="528">
        <f>AI9*$F$37*'CAPEX E OPEX'!AG155</f>
        <v>0</v>
      </c>
      <c r="AJ37" s="528">
        <f>AJ9*$F$37*'CAPEX E OPEX'!AH155</f>
        <v>0</v>
      </c>
      <c r="AK37" s="528">
        <f>AK9*$F$37*'CAPEX E OPEX'!AI155</f>
        <v>0</v>
      </c>
    </row>
    <row r="38" spans="2:37" ht="19" thickBot="1" x14ac:dyDescent="0.5">
      <c r="B38" s="113"/>
      <c r="C38" s="162"/>
      <c r="D38" s="162" t="s">
        <v>470</v>
      </c>
      <c r="E38" s="291"/>
      <c r="F38" s="522">
        <v>1</v>
      </c>
      <c r="H38" s="528">
        <f>H9*$F$38*'CAPEX E OPEX'!F225</f>
        <v>70380.01644792546</v>
      </c>
      <c r="I38" s="528">
        <f>I9*$F$38*'CAPEX E OPEX'!G225</f>
        <v>44091.210994073204</v>
      </c>
      <c r="J38" s="528">
        <f>J9*$F$38*'CAPEX E OPEX'!H225</f>
        <v>41131.76632142617</v>
      </c>
      <c r="K38" s="528">
        <f>K9*$F$38*'CAPEX E OPEX'!I225</f>
        <v>38885.635166316402</v>
      </c>
      <c r="L38" s="528">
        <f>L9*$F$38*'CAPEX E OPEX'!J225</f>
        <v>36343.884882936189</v>
      </c>
      <c r="M38" s="528">
        <f>M9*$F$38*'CAPEX E OPEX'!K225</f>
        <v>35318.610146435349</v>
      </c>
      <c r="N38" s="528">
        <f>N9*$F$38*'CAPEX E OPEX'!L225</f>
        <v>36299.431035582267</v>
      </c>
      <c r="O38" s="528">
        <f>O9*$F$38*'CAPEX E OPEX'!M225</f>
        <v>33110.970616922445</v>
      </c>
      <c r="P38" s="528">
        <f>P9*$F$38*'CAPEX E OPEX'!N225</f>
        <v>41251.68438130604</v>
      </c>
      <c r="Q38" s="528">
        <f>Q9*$F$38*'CAPEX E OPEX'!O225</f>
        <v>31776.215205028631</v>
      </c>
      <c r="R38" s="528">
        <f>R9*$F$38*'CAPEX E OPEX'!P225</f>
        <v>30361.679458120005</v>
      </c>
      <c r="S38" s="528">
        <f>S9*$F$38*'CAPEX E OPEX'!Q225</f>
        <v>18023.934088435017</v>
      </c>
      <c r="T38" s="528">
        <f>T9*$F$38*'CAPEX E OPEX'!R225</f>
        <v>17471.324832292412</v>
      </c>
      <c r="U38" s="528">
        <f>U9*$F$38*'CAPEX E OPEX'!S225</f>
        <v>17024.447997449268</v>
      </c>
      <c r="V38" s="528">
        <f>V9*$F$38*'CAPEX E OPEX'!T225</f>
        <v>18565.4839196141</v>
      </c>
      <c r="W38" s="528">
        <f>W9*$F$38*'CAPEX E OPEX'!U225</f>
        <v>15954.860569839529</v>
      </c>
      <c r="X38" s="528">
        <f>X9*$F$38*'CAPEX E OPEX'!V225</f>
        <v>24530.577754724476</v>
      </c>
      <c r="Y38" s="528">
        <f>Y9*$F$38*'CAPEX E OPEX'!W225</f>
        <v>16206.87908487091</v>
      </c>
      <c r="Z38" s="528">
        <f>Z9*$F$38*'CAPEX E OPEX'!X225</f>
        <v>14129.720006890198</v>
      </c>
      <c r="AA38" s="528">
        <f>AA9*$F$38*'CAPEX E OPEX'!Y225</f>
        <v>14471.190393179078</v>
      </c>
      <c r="AB38" s="528">
        <f>AB9*$F$38*'CAPEX E OPEX'!Z225</f>
        <v>17597.50120799262</v>
      </c>
      <c r="AC38" s="528">
        <f>AC9*$F$38*'CAPEX E OPEX'!AA225</f>
        <v>12448.65980983239</v>
      </c>
      <c r="AD38" s="528">
        <f>AD9*$F$38*'CAPEX E OPEX'!AB225</f>
        <v>14044.2319013709</v>
      </c>
      <c r="AE38" s="528">
        <f>AE9*$F$38*'CAPEX E OPEX'!AC225</f>
        <v>13003.343349021116</v>
      </c>
      <c r="AF38" s="528">
        <f>AF9*$F$38*'CAPEX E OPEX'!AD225</f>
        <v>20091.674271459153</v>
      </c>
      <c r="AG38" s="528">
        <f>AG9*$F$38*'CAPEX E OPEX'!AE225</f>
        <v>10295.078259401607</v>
      </c>
      <c r="AH38" s="528">
        <f>AH9*$F$38*'CAPEX E OPEX'!AF225</f>
        <v>9635.0435683586038</v>
      </c>
      <c r="AI38" s="528">
        <f>AI9*$F$38*'CAPEX E OPEX'!AG225</f>
        <v>9070.542187763338</v>
      </c>
      <c r="AJ38" s="528">
        <f>AJ9*$F$38*'CAPEX E OPEX'!AH225</f>
        <v>8505.4480964012346</v>
      </c>
      <c r="AK38" s="528">
        <f>AK9*$F$38*'CAPEX E OPEX'!AI225</f>
        <v>9504.0444622439554</v>
      </c>
    </row>
    <row r="39" spans="2:37" ht="15" thickBot="1" x14ac:dyDescent="0.4">
      <c r="C39" s="291" t="s">
        <v>471</v>
      </c>
      <c r="F39" s="522">
        <v>0</v>
      </c>
      <c r="H39" s="528">
        <f>H9*$F$39*'CAPEX E OPEX'!F235</f>
        <v>0</v>
      </c>
      <c r="I39" s="528">
        <f>I9*$F$39*'CAPEX E OPEX'!G235</f>
        <v>0</v>
      </c>
      <c r="J39" s="528">
        <f>J9*$F$39*'CAPEX E OPEX'!H235</f>
        <v>0</v>
      </c>
      <c r="K39" s="528">
        <f>K9*$F$39*'CAPEX E OPEX'!I235</f>
        <v>0</v>
      </c>
      <c r="L39" s="528">
        <f>L9*$F$39*'CAPEX E OPEX'!J235</f>
        <v>0</v>
      </c>
      <c r="M39" s="528">
        <f>M9*$F$39*'CAPEX E OPEX'!K235</f>
        <v>0</v>
      </c>
      <c r="N39" s="528">
        <f>N9*$F$39*'CAPEX E OPEX'!L235</f>
        <v>0</v>
      </c>
      <c r="O39" s="528">
        <f>O9*$F$39*'CAPEX E OPEX'!M235</f>
        <v>0</v>
      </c>
      <c r="P39" s="528">
        <f>P9*$F$39*'CAPEX E OPEX'!N235</f>
        <v>0</v>
      </c>
      <c r="Q39" s="528">
        <f>Q9*$F$39*'CAPEX E OPEX'!O235</f>
        <v>0</v>
      </c>
      <c r="R39" s="528">
        <f>R9*$F$39*'CAPEX E OPEX'!P235</f>
        <v>0</v>
      </c>
      <c r="S39" s="528">
        <f>S9*$F$39*'CAPEX E OPEX'!Q235</f>
        <v>0</v>
      </c>
      <c r="T39" s="528">
        <f>T9*$F$39*'CAPEX E OPEX'!R235</f>
        <v>0</v>
      </c>
      <c r="U39" s="528">
        <f>U9*$F$39*'CAPEX E OPEX'!S235</f>
        <v>0</v>
      </c>
      <c r="V39" s="528">
        <f>V9*$F$39*'CAPEX E OPEX'!T235</f>
        <v>0</v>
      </c>
      <c r="W39" s="528">
        <f>W9*$F$39*'CAPEX E OPEX'!U235</f>
        <v>0</v>
      </c>
      <c r="X39" s="528">
        <f>X9*$F$39*'CAPEX E OPEX'!V235</f>
        <v>0</v>
      </c>
      <c r="Y39" s="528">
        <f>Y9*$F$39*'CAPEX E OPEX'!W235</f>
        <v>0</v>
      </c>
      <c r="Z39" s="528">
        <f>Z9*$F$39*'CAPEX E OPEX'!X235</f>
        <v>0</v>
      </c>
      <c r="AA39" s="528">
        <f>AA9*$F$39*'CAPEX E OPEX'!Y235</f>
        <v>0</v>
      </c>
      <c r="AB39" s="528">
        <f>AB9*$F$39*'CAPEX E OPEX'!Z235</f>
        <v>0</v>
      </c>
      <c r="AC39" s="528">
        <f>AC9*$F$39*'CAPEX E OPEX'!AA235</f>
        <v>0</v>
      </c>
      <c r="AD39" s="528">
        <f>AD9*$F$39*'CAPEX E OPEX'!AB235</f>
        <v>0</v>
      </c>
      <c r="AE39" s="528">
        <f>AE9*$F$39*'CAPEX E OPEX'!AC235</f>
        <v>0</v>
      </c>
      <c r="AF39" s="528">
        <f>AF9*$F$39*'CAPEX E OPEX'!AD235</f>
        <v>0</v>
      </c>
      <c r="AG39" s="528">
        <f>AG9*$F$39*'CAPEX E OPEX'!AE235</f>
        <v>0</v>
      </c>
      <c r="AH39" s="528">
        <f>AH9*$F$39*'CAPEX E OPEX'!AF235</f>
        <v>0</v>
      </c>
      <c r="AI39" s="528">
        <f>AI9*$F$39*'CAPEX E OPEX'!AG235</f>
        <v>0</v>
      </c>
      <c r="AJ39" s="528">
        <f>AJ9*$F$39*'CAPEX E OPEX'!AH235</f>
        <v>0</v>
      </c>
      <c r="AK39" s="528">
        <f>AK9*$F$39*'CAPEX E OPEX'!AI235</f>
        <v>0</v>
      </c>
    </row>
    <row r="40" spans="2:37" x14ac:dyDescent="0.35">
      <c r="H40" s="481"/>
      <c r="I40" s="481"/>
      <c r="J40" s="481"/>
      <c r="K40" s="481"/>
      <c r="L40" s="481"/>
      <c r="M40" s="481"/>
      <c r="N40" s="481"/>
      <c r="O40" s="481"/>
      <c r="P40" s="481"/>
      <c r="Q40" s="481"/>
      <c r="R40" s="481"/>
      <c r="S40" s="481"/>
      <c r="T40" s="481"/>
      <c r="U40" s="481"/>
      <c r="V40" s="481"/>
      <c r="W40" s="481"/>
      <c r="X40" s="481"/>
      <c r="Y40" s="481"/>
      <c r="Z40" s="481"/>
      <c r="AA40" s="481"/>
      <c r="AB40" s="481"/>
      <c r="AC40" s="481"/>
      <c r="AD40" s="481"/>
      <c r="AE40" s="481"/>
      <c r="AF40" s="481"/>
      <c r="AG40" s="481"/>
      <c r="AH40" s="481"/>
      <c r="AI40" s="481"/>
      <c r="AJ40" s="481"/>
      <c r="AK40" s="481"/>
    </row>
    <row r="41" spans="2:37" ht="6" customHeight="1" x14ac:dyDescent="0.45">
      <c r="B41" s="312"/>
      <c r="C41" s="53"/>
      <c r="D41" s="53"/>
      <c r="E41" s="313"/>
      <c r="F41" s="53"/>
      <c r="G41" s="53"/>
      <c r="H41" s="531"/>
      <c r="I41" s="531"/>
      <c r="J41" s="531"/>
      <c r="K41" s="531"/>
      <c r="L41" s="531"/>
      <c r="M41" s="531"/>
      <c r="N41" s="531"/>
      <c r="O41" s="531"/>
      <c r="P41" s="531"/>
      <c r="Q41" s="531"/>
      <c r="R41" s="531"/>
      <c r="S41" s="531"/>
      <c r="T41" s="531"/>
      <c r="U41" s="531"/>
      <c r="V41" s="531"/>
      <c r="W41" s="531"/>
      <c r="X41" s="531"/>
      <c r="Y41" s="531"/>
      <c r="Z41" s="531"/>
      <c r="AA41" s="531"/>
      <c r="AB41" s="531"/>
      <c r="AC41" s="531"/>
      <c r="AD41" s="531"/>
      <c r="AE41" s="531"/>
      <c r="AF41" s="531"/>
      <c r="AG41" s="531"/>
      <c r="AH41" s="531"/>
      <c r="AI41" s="531"/>
      <c r="AJ41" s="531"/>
      <c r="AK41" s="531"/>
    </row>
    <row r="42" spans="2:37" ht="7.5" customHeight="1" thickBot="1" x14ac:dyDescent="0.5">
      <c r="B42" s="113"/>
      <c r="E42" s="77"/>
      <c r="H42" s="481"/>
      <c r="I42" s="481"/>
      <c r="J42" s="481"/>
      <c r="K42" s="481"/>
      <c r="L42" s="481"/>
      <c r="M42" s="481"/>
      <c r="N42" s="481"/>
      <c r="O42" s="481"/>
      <c r="P42" s="481"/>
      <c r="Q42" s="481"/>
      <c r="R42" s="481"/>
      <c r="S42" s="481"/>
      <c r="T42" s="481"/>
      <c r="U42" s="481"/>
      <c r="V42" s="481"/>
      <c r="W42" s="481"/>
      <c r="X42" s="481"/>
      <c r="Y42" s="481"/>
      <c r="Z42" s="481"/>
      <c r="AA42" s="481"/>
      <c r="AB42" s="481"/>
      <c r="AC42" s="481"/>
      <c r="AD42" s="481"/>
      <c r="AE42" s="481"/>
      <c r="AF42" s="481"/>
      <c r="AG42" s="481"/>
      <c r="AH42" s="481"/>
      <c r="AI42" s="481"/>
      <c r="AJ42" s="481"/>
      <c r="AK42" s="481"/>
    </row>
    <row r="43" spans="2:37" ht="19.5" thickTop="1" thickBot="1" x14ac:dyDescent="0.5">
      <c r="B43" s="113" t="s">
        <v>80</v>
      </c>
      <c r="E43" s="525">
        <v>223.66837788691851</v>
      </c>
      <c r="F43" t="s">
        <v>1322</v>
      </c>
      <c r="H43" s="480">
        <f>IF(H5&gt;'Premissas Gerais'!$E$7,0,$E$43*H7)</f>
        <v>3722535.0329589979</v>
      </c>
      <c r="I43" s="480">
        <f>IF(I5&gt;'Premissas Gerais'!$E$7,0,$E$43*I7)</f>
        <v>3739825.6304044467</v>
      </c>
      <c r="J43" s="480">
        <f>IF(J5&gt;'Premissas Gerais'!$E$7,0,$E$43*J7)</f>
        <v>3757116.2278498937</v>
      </c>
      <c r="K43" s="480">
        <f>IF(K5&gt;'Premissas Gerais'!$E$7,0,$E$43*K7)</f>
        <v>3774406.8252953417</v>
      </c>
      <c r="L43" s="480">
        <f>IF(L5&gt;'Premissas Gerais'!$E$7,0,$E$43*L7)</f>
        <v>3791697.4227407901</v>
      </c>
      <c r="M43" s="480">
        <f>IF(M5&gt;'Premissas Gerais'!$E$7,0,$E$43*M7)</f>
        <v>3808974.0524997604</v>
      </c>
      <c r="N43" s="480">
        <f>IF(N5&gt;'Premissas Gerais'!$E$7,0,$E$43*N7)</f>
        <v>3823998.2324079215</v>
      </c>
      <c r="O43" s="480">
        <f>IF(O5&gt;'Premissas Gerais'!$E$7,0,$E$43*O7)</f>
        <v>3839022.4123160834</v>
      </c>
      <c r="P43" s="480">
        <f>IF(P5&gt;'Premissas Gerais'!$E$7,0,$E$43*P7)</f>
        <v>3854046.5922242445</v>
      </c>
      <c r="Q43" s="480">
        <f>IF(Q5&gt;'Premissas Gerais'!$E$7,0,$E$43*Q7)</f>
        <v>3869070.7721324065</v>
      </c>
      <c r="R43" s="480">
        <f>IF(R5&gt;'Premissas Gerais'!$E$7,0,$E$43*R7)</f>
        <v>3884067.3621580903</v>
      </c>
      <c r="S43" s="480">
        <f>IF(S5&gt;'Premissas Gerais'!$E$7,0,$E$43*S7)</f>
        <v>3892751.0020979359</v>
      </c>
      <c r="T43" s="480">
        <f>IF(T5&gt;'Premissas Gerais'!$E$7,0,$E$43*T7)</f>
        <v>3901434.6420377805</v>
      </c>
      <c r="U43" s="480">
        <f>IF(U5&gt;'Premissas Gerais'!$E$7,0,$E$43*U7)</f>
        <v>3910118.2819776256</v>
      </c>
      <c r="V43" s="480">
        <f>IF(V5&gt;'Premissas Gerais'!$E$7,0,$E$43*V7)</f>
        <v>3918801.9219174725</v>
      </c>
      <c r="W43" s="480">
        <f>IF(W5&gt;'Premissas Gerais'!$E$7,0,$E$43*W7)</f>
        <v>3927526.8068396486</v>
      </c>
      <c r="X43" s="480">
        <f>IF(X5&gt;'Premissas Gerais'!$E$7,0,$E$43*X7)</f>
        <v>3931017.0997182271</v>
      </c>
      <c r="Y43" s="480">
        <f>IF(Y5&gt;'Premissas Gerais'!$E$7,0,$E$43*Y7)</f>
        <v>3934507.3925968045</v>
      </c>
      <c r="Z43" s="480">
        <f>IF(Z5&gt;'Premissas Gerais'!$E$7,0,$E$43*Z7)</f>
        <v>3937997.6854753834</v>
      </c>
      <c r="AA43" s="480">
        <f>IF(AA5&gt;'Premissas Gerais'!$E$7,0,$E$43*AA7)</f>
        <v>3941487.9783539609</v>
      </c>
      <c r="AB43" s="480">
        <f>IF(AB5&gt;'Premissas Gerais'!$E$7,0,$E$43*AB7)</f>
        <v>3944988.9978892915</v>
      </c>
      <c r="AC43" s="480">
        <f>IF(AC5&gt;'Premissas Gerais'!$E$7,0,$E$43*AC7)</f>
        <v>3948479.2907678704</v>
      </c>
      <c r="AD43" s="480">
        <f>IF(AD5&gt;'Premissas Gerais'!$E$7,0,$E$43*AD7)</f>
        <v>3951969.5836464479</v>
      </c>
      <c r="AE43" s="480">
        <f>IF(AE5&gt;'Premissas Gerais'!$E$7,0,$E$43*AE7)</f>
        <v>3955459.8765250263</v>
      </c>
      <c r="AF43" s="480">
        <f>IF(AF5&gt;'Premissas Gerais'!$E$7,0,$E$43*AF7)</f>
        <v>3958950.1694036038</v>
      </c>
      <c r="AG43" s="480">
        <f>IF(AG5&gt;'Premissas Gerais'!$E$7,0,$E$43*AG7)</f>
        <v>3962440.4622821822</v>
      </c>
      <c r="AH43" s="480">
        <f>IF(AH5&gt;'Premissas Gerais'!$E$7,0,$E$43*AH7)</f>
        <v>3965930.7551607601</v>
      </c>
      <c r="AI43" s="480">
        <f>IF(AI5&gt;'Premissas Gerais'!$E$7,0,$E$43*AI7)</f>
        <v>3969421.0480393386</v>
      </c>
      <c r="AJ43" s="480">
        <f>IF(AJ5&gt;'Premissas Gerais'!$E$7,0,$E$43*AJ7)</f>
        <v>3972911.340917916</v>
      </c>
      <c r="AK43" s="480">
        <f>IF(AK5&gt;'Premissas Gerais'!$E$7,0,$E$43*AK7)</f>
        <v>3976401.6337964945</v>
      </c>
    </row>
    <row r="44" spans="2:37" ht="8.25" customHeight="1" thickTop="1" x14ac:dyDescent="0.35">
      <c r="B44" s="315"/>
      <c r="C44" s="315"/>
      <c r="D44" s="316"/>
      <c r="E44" s="53"/>
      <c r="F44" s="53"/>
      <c r="G44" s="53"/>
      <c r="H44" s="314"/>
      <c r="I44" s="314"/>
      <c r="J44" s="314"/>
      <c r="K44" s="314"/>
      <c r="L44" s="314"/>
      <c r="M44" s="314"/>
      <c r="N44" s="314"/>
      <c r="O44" s="314"/>
      <c r="P44" s="314"/>
      <c r="Q44" s="314"/>
      <c r="R44" s="314"/>
      <c r="S44" s="314"/>
      <c r="T44" s="314"/>
      <c r="U44" s="314"/>
      <c r="V44" s="314"/>
      <c r="W44" s="314"/>
      <c r="X44" s="314"/>
      <c r="Y44" s="314"/>
      <c r="Z44" s="314"/>
      <c r="AA44" s="314"/>
      <c r="AB44" s="314"/>
      <c r="AC44" s="314"/>
      <c r="AD44" s="314"/>
      <c r="AE44" s="314"/>
      <c r="AF44" s="314"/>
      <c r="AG44" s="314"/>
      <c r="AH44" s="314"/>
      <c r="AI44" s="314"/>
      <c r="AJ44" s="314"/>
      <c r="AK44" s="314"/>
    </row>
    <row r="45" spans="2:37" x14ac:dyDescent="0.35">
      <c r="B45" s="114"/>
      <c r="C45" s="114"/>
      <c r="D45" s="115"/>
    </row>
    <row r="46" spans="2:37" x14ac:dyDescent="0.35">
      <c r="B46" s="116" t="s">
        <v>401</v>
      </c>
      <c r="C46" s="114"/>
      <c r="D46" s="114"/>
    </row>
    <row r="47" spans="2:37" x14ac:dyDescent="0.35">
      <c r="B47" s="117" t="s">
        <v>96</v>
      </c>
      <c r="C47" s="118"/>
      <c r="D47" s="119"/>
      <c r="E47" s="190">
        <v>1</v>
      </c>
      <c r="F47" s="190">
        <f>E47+1</f>
        <v>2</v>
      </c>
      <c r="G47" s="190">
        <f t="shared" ref="G47:AH47" si="61">F47+1</f>
        <v>3</v>
      </c>
      <c r="H47" s="190">
        <f t="shared" si="61"/>
        <v>4</v>
      </c>
      <c r="I47" s="190">
        <f t="shared" si="61"/>
        <v>5</v>
      </c>
      <c r="J47" s="190">
        <f t="shared" si="61"/>
        <v>6</v>
      </c>
      <c r="K47" s="190">
        <f t="shared" si="61"/>
        <v>7</v>
      </c>
      <c r="L47" s="190">
        <f t="shared" si="61"/>
        <v>8</v>
      </c>
      <c r="M47" s="190">
        <f t="shared" si="61"/>
        <v>9</v>
      </c>
      <c r="N47" s="190">
        <f t="shared" si="61"/>
        <v>10</v>
      </c>
      <c r="O47" s="190">
        <f t="shared" si="61"/>
        <v>11</v>
      </c>
      <c r="P47" s="190">
        <f t="shared" si="61"/>
        <v>12</v>
      </c>
      <c r="Q47" s="190">
        <f t="shared" si="61"/>
        <v>13</v>
      </c>
      <c r="R47" s="190">
        <f t="shared" si="61"/>
        <v>14</v>
      </c>
      <c r="S47" s="190">
        <f t="shared" si="61"/>
        <v>15</v>
      </c>
      <c r="T47" s="190">
        <f t="shared" si="61"/>
        <v>16</v>
      </c>
      <c r="U47" s="190">
        <f t="shared" si="61"/>
        <v>17</v>
      </c>
      <c r="V47" s="190">
        <f t="shared" si="61"/>
        <v>18</v>
      </c>
      <c r="W47" s="190">
        <f t="shared" si="61"/>
        <v>19</v>
      </c>
      <c r="X47" s="190">
        <f t="shared" si="61"/>
        <v>20</v>
      </c>
      <c r="Y47" s="190">
        <f t="shared" si="61"/>
        <v>21</v>
      </c>
      <c r="Z47" s="190">
        <f t="shared" si="61"/>
        <v>22</v>
      </c>
      <c r="AA47" s="190">
        <f t="shared" si="61"/>
        <v>23</v>
      </c>
      <c r="AB47" s="190">
        <f t="shared" si="61"/>
        <v>24</v>
      </c>
      <c r="AC47" s="190">
        <f t="shared" si="61"/>
        <v>25</v>
      </c>
      <c r="AD47" s="190">
        <f t="shared" si="61"/>
        <v>26</v>
      </c>
      <c r="AE47" s="190">
        <f t="shared" si="61"/>
        <v>27</v>
      </c>
      <c r="AF47" s="190">
        <f t="shared" si="61"/>
        <v>28</v>
      </c>
      <c r="AG47" s="190">
        <f t="shared" si="61"/>
        <v>29</v>
      </c>
      <c r="AH47" s="190">
        <f t="shared" si="61"/>
        <v>30</v>
      </c>
    </row>
    <row r="48" spans="2:37" ht="7.5" customHeight="1" x14ac:dyDescent="0.35">
      <c r="B48" s="120"/>
      <c r="C48" s="120"/>
      <c r="D48" s="121"/>
      <c r="E48" s="149"/>
      <c r="F48" s="149"/>
    </row>
    <row r="49" spans="1:34" x14ac:dyDescent="0.35">
      <c r="B49" s="122" t="s">
        <v>402</v>
      </c>
      <c r="C49" s="123"/>
      <c r="D49" s="124"/>
      <c r="E49" s="381">
        <f>SUM(E50:E50)</f>
        <v>3722535.0329589979</v>
      </c>
      <c r="F49" s="381">
        <f t="shared" ref="F49:AH49" si="62">SUM(F50:F50)</f>
        <v>3739825.6304044467</v>
      </c>
      <c r="G49" s="381">
        <f t="shared" si="62"/>
        <v>3757116.2278498937</v>
      </c>
      <c r="H49" s="532">
        <f t="shared" si="62"/>
        <v>3774406.8252953417</v>
      </c>
      <c r="I49" s="532">
        <f t="shared" si="62"/>
        <v>3791697.4227407901</v>
      </c>
      <c r="J49" s="532">
        <f t="shared" si="62"/>
        <v>3808974.0524997604</v>
      </c>
      <c r="K49" s="532">
        <f t="shared" si="62"/>
        <v>3823998.2324079215</v>
      </c>
      <c r="L49" s="532">
        <f t="shared" si="62"/>
        <v>3839022.4123160834</v>
      </c>
      <c r="M49" s="532">
        <f t="shared" si="62"/>
        <v>3854046.5922242445</v>
      </c>
      <c r="N49" s="532">
        <f t="shared" si="62"/>
        <v>3869070.7721324065</v>
      </c>
      <c r="O49" s="532">
        <f t="shared" si="62"/>
        <v>3884067.3621580903</v>
      </c>
      <c r="P49" s="532">
        <f t="shared" si="62"/>
        <v>3892751.0020979359</v>
      </c>
      <c r="Q49" s="532">
        <f t="shared" si="62"/>
        <v>3901434.6420377805</v>
      </c>
      <c r="R49" s="532">
        <f t="shared" si="62"/>
        <v>3910118.2819776256</v>
      </c>
      <c r="S49" s="532">
        <f t="shared" si="62"/>
        <v>3918801.9219174725</v>
      </c>
      <c r="T49" s="532">
        <f t="shared" si="62"/>
        <v>3927526.8068396486</v>
      </c>
      <c r="U49" s="532">
        <f t="shared" si="62"/>
        <v>3931017.0997182271</v>
      </c>
      <c r="V49" s="532">
        <f t="shared" si="62"/>
        <v>3934507.3925968045</v>
      </c>
      <c r="W49" s="532">
        <f t="shared" si="62"/>
        <v>3937997.6854753834</v>
      </c>
      <c r="X49" s="532">
        <f t="shared" si="62"/>
        <v>3941487.9783539609</v>
      </c>
      <c r="Y49" s="532">
        <f t="shared" si="62"/>
        <v>3944988.9978892915</v>
      </c>
      <c r="Z49" s="532">
        <f t="shared" si="62"/>
        <v>3948479.2907678704</v>
      </c>
      <c r="AA49" s="532">
        <f t="shared" si="62"/>
        <v>3951969.5836464479</v>
      </c>
      <c r="AB49" s="532">
        <f t="shared" si="62"/>
        <v>3955459.8765250263</v>
      </c>
      <c r="AC49" s="532">
        <f t="shared" si="62"/>
        <v>3958950.1694036038</v>
      </c>
      <c r="AD49" s="532">
        <f t="shared" si="62"/>
        <v>3962440.4622821822</v>
      </c>
      <c r="AE49" s="532">
        <f t="shared" si="62"/>
        <v>3965930.7551607601</v>
      </c>
      <c r="AF49" s="532">
        <f t="shared" si="62"/>
        <v>3969421.0480393386</v>
      </c>
      <c r="AG49" s="532">
        <f t="shared" si="62"/>
        <v>3972911.340917916</v>
      </c>
      <c r="AH49" s="532">
        <f t="shared" si="62"/>
        <v>3976401.6337964945</v>
      </c>
    </row>
    <row r="50" spans="1:34" x14ac:dyDescent="0.35">
      <c r="B50" s="184" t="s">
        <v>403</v>
      </c>
      <c r="C50" s="182" t="s">
        <v>1323</v>
      </c>
      <c r="D50" s="126"/>
      <c r="E50" s="382">
        <f>H43</f>
        <v>3722535.0329589979</v>
      </c>
      <c r="F50" s="382">
        <f t="shared" ref="F50:AH50" si="63">I43</f>
        <v>3739825.6304044467</v>
      </c>
      <c r="G50" s="382">
        <f t="shared" si="63"/>
        <v>3757116.2278498937</v>
      </c>
      <c r="H50" s="382">
        <f t="shared" si="63"/>
        <v>3774406.8252953417</v>
      </c>
      <c r="I50" s="382">
        <f t="shared" si="63"/>
        <v>3791697.4227407901</v>
      </c>
      <c r="J50" s="382">
        <f t="shared" si="63"/>
        <v>3808974.0524997604</v>
      </c>
      <c r="K50" s="382">
        <f t="shared" si="63"/>
        <v>3823998.2324079215</v>
      </c>
      <c r="L50" s="382">
        <f t="shared" si="63"/>
        <v>3839022.4123160834</v>
      </c>
      <c r="M50" s="382">
        <f t="shared" si="63"/>
        <v>3854046.5922242445</v>
      </c>
      <c r="N50" s="382">
        <f t="shared" si="63"/>
        <v>3869070.7721324065</v>
      </c>
      <c r="O50" s="382">
        <f t="shared" si="63"/>
        <v>3884067.3621580903</v>
      </c>
      <c r="P50" s="382">
        <f t="shared" si="63"/>
        <v>3892751.0020979359</v>
      </c>
      <c r="Q50" s="382">
        <f t="shared" si="63"/>
        <v>3901434.6420377805</v>
      </c>
      <c r="R50" s="382">
        <f t="shared" si="63"/>
        <v>3910118.2819776256</v>
      </c>
      <c r="S50" s="382">
        <f t="shared" si="63"/>
        <v>3918801.9219174725</v>
      </c>
      <c r="T50" s="382">
        <f t="shared" si="63"/>
        <v>3927526.8068396486</v>
      </c>
      <c r="U50" s="382">
        <f t="shared" si="63"/>
        <v>3931017.0997182271</v>
      </c>
      <c r="V50" s="382">
        <f t="shared" si="63"/>
        <v>3934507.3925968045</v>
      </c>
      <c r="W50" s="382">
        <f t="shared" si="63"/>
        <v>3937997.6854753834</v>
      </c>
      <c r="X50" s="382">
        <f t="shared" si="63"/>
        <v>3941487.9783539609</v>
      </c>
      <c r="Y50" s="382">
        <f t="shared" si="63"/>
        <v>3944988.9978892915</v>
      </c>
      <c r="Z50" s="382">
        <f t="shared" si="63"/>
        <v>3948479.2907678704</v>
      </c>
      <c r="AA50" s="382">
        <f t="shared" si="63"/>
        <v>3951969.5836464479</v>
      </c>
      <c r="AB50" s="382">
        <f t="shared" si="63"/>
        <v>3955459.8765250263</v>
      </c>
      <c r="AC50" s="382">
        <f t="shared" si="63"/>
        <v>3958950.1694036038</v>
      </c>
      <c r="AD50" s="382">
        <f t="shared" si="63"/>
        <v>3962440.4622821822</v>
      </c>
      <c r="AE50" s="382">
        <f t="shared" si="63"/>
        <v>3965930.7551607601</v>
      </c>
      <c r="AF50" s="382">
        <f t="shared" si="63"/>
        <v>3969421.0480393386</v>
      </c>
      <c r="AG50" s="382">
        <f t="shared" si="63"/>
        <v>3972911.340917916</v>
      </c>
      <c r="AH50" s="382">
        <f t="shared" si="63"/>
        <v>3976401.6337964945</v>
      </c>
    </row>
    <row r="51" spans="1:34" s="291" customFormat="1" x14ac:dyDescent="0.35">
      <c r="A51" s="77"/>
      <c r="B51" s="186" t="s">
        <v>409</v>
      </c>
      <c r="C51" s="122"/>
      <c r="D51" s="191"/>
      <c r="E51" s="381">
        <f>SUM(E52:E56)</f>
        <v>-226826.71625143618</v>
      </c>
      <c r="F51" s="381">
        <f t="shared" ref="F51:AH51" si="64">SUM(F52:F56)</f>
        <v>-227830.4967272683</v>
      </c>
      <c r="G51" s="381">
        <f t="shared" si="64"/>
        <v>-228834.27720310033</v>
      </c>
      <c r="H51" s="532">
        <f t="shared" si="64"/>
        <v>-229838.05767893244</v>
      </c>
      <c r="I51" s="532">
        <f t="shared" si="64"/>
        <v>-230841.8381547645</v>
      </c>
      <c r="J51" s="532">
        <f t="shared" si="64"/>
        <v>-231845.51221130334</v>
      </c>
      <c r="K51" s="532">
        <f t="shared" si="64"/>
        <v>-232689.38554514595</v>
      </c>
      <c r="L51" s="532">
        <f t="shared" si="64"/>
        <v>-233533.25887898865</v>
      </c>
      <c r="M51" s="532">
        <f t="shared" si="64"/>
        <v>-234377.13221283126</v>
      </c>
      <c r="N51" s="532">
        <f t="shared" si="64"/>
        <v>-235221.00554667396</v>
      </c>
      <c r="O51" s="532">
        <f t="shared" si="64"/>
        <v>-236063.20538222173</v>
      </c>
      <c r="P51" s="532">
        <f t="shared" si="64"/>
        <v>-236523.8664851255</v>
      </c>
      <c r="Q51" s="532">
        <f t="shared" si="64"/>
        <v>-236984.52758802928</v>
      </c>
      <c r="R51" s="532">
        <f t="shared" si="64"/>
        <v>-237445.18869093311</v>
      </c>
      <c r="S51" s="532">
        <f t="shared" si="64"/>
        <v>-237905.84979383697</v>
      </c>
      <c r="T51" s="532">
        <f t="shared" si="64"/>
        <v>-238368.49196382088</v>
      </c>
      <c r="U51" s="532">
        <f t="shared" si="64"/>
        <v>-238515.44554082392</v>
      </c>
      <c r="V51" s="532">
        <f t="shared" si="64"/>
        <v>-238662.39911782686</v>
      </c>
      <c r="W51" s="532">
        <f t="shared" si="64"/>
        <v>-238809.35269482993</v>
      </c>
      <c r="X51" s="532">
        <f t="shared" si="64"/>
        <v>-238956.3062718329</v>
      </c>
      <c r="Y51" s="532">
        <f t="shared" si="64"/>
        <v>-239104.55918916874</v>
      </c>
      <c r="Z51" s="532">
        <f t="shared" si="64"/>
        <v>-239251.51276617177</v>
      </c>
      <c r="AA51" s="532">
        <f t="shared" si="64"/>
        <v>-239398.46634317475</v>
      </c>
      <c r="AB51" s="532">
        <f t="shared" si="64"/>
        <v>-239545.41992017772</v>
      </c>
      <c r="AC51" s="532">
        <f t="shared" si="64"/>
        <v>-239692.37349718073</v>
      </c>
      <c r="AD51" s="532">
        <f t="shared" si="64"/>
        <v>-239839.32707418373</v>
      </c>
      <c r="AE51" s="532">
        <f t="shared" si="64"/>
        <v>-239986.28065118671</v>
      </c>
      <c r="AF51" s="532">
        <f t="shared" si="64"/>
        <v>-240133.23422818974</v>
      </c>
      <c r="AG51" s="532">
        <f t="shared" si="64"/>
        <v>-240280.18780519272</v>
      </c>
      <c r="AH51" s="532">
        <f t="shared" si="64"/>
        <v>-240427.1413821957</v>
      </c>
    </row>
    <row r="52" spans="1:34" x14ac:dyDescent="0.35">
      <c r="B52" s="185" t="s">
        <v>408</v>
      </c>
      <c r="C52" s="287" t="s">
        <v>131</v>
      </c>
      <c r="D52" s="126"/>
      <c r="E52" s="382">
        <f>-'Tributos RPU'!G7</f>
        <v>-24196.477714233486</v>
      </c>
      <c r="F52" s="382">
        <f>-'Tributos RPU'!H7</f>
        <v>-24308.866597628901</v>
      </c>
      <c r="G52" s="382">
        <f>-'Tributos RPU'!I7</f>
        <v>-24421.255481024309</v>
      </c>
      <c r="H52" s="382">
        <f>-'Tributos RPU'!J7</f>
        <v>-24533.644364419721</v>
      </c>
      <c r="I52" s="382">
        <f>-'Tributos RPU'!K7</f>
        <v>-24646.033247815136</v>
      </c>
      <c r="J52" s="382">
        <f>-'Tributos RPU'!L7</f>
        <v>-24758.331341248442</v>
      </c>
      <c r="K52" s="382">
        <f>-'Tributos RPU'!M7</f>
        <v>-24855.988510651488</v>
      </c>
      <c r="L52" s="382">
        <f>-'Tributos RPU'!N7</f>
        <v>-24953.645680054542</v>
      </c>
      <c r="M52" s="382">
        <f>-'Tributos RPU'!O7</f>
        <v>-25051.302849457588</v>
      </c>
      <c r="N52" s="382">
        <f>-'Tributos RPU'!P7</f>
        <v>-25148.960018860642</v>
      </c>
      <c r="O52" s="382">
        <f>-'Tributos RPU'!Q7</f>
        <v>-25246.437854027587</v>
      </c>
      <c r="P52" s="382">
        <f>-'Tributos RPU'!R7</f>
        <v>-25302.881513636581</v>
      </c>
      <c r="Q52" s="382">
        <f>-'Tributos RPU'!S7</f>
        <v>-25359.325173245572</v>
      </c>
      <c r="R52" s="382">
        <f>-'Tributos RPU'!T7</f>
        <v>-25415.768832854566</v>
      </c>
      <c r="S52" s="382">
        <f>-'Tributos RPU'!U7</f>
        <v>-25472.212492463572</v>
      </c>
      <c r="T52" s="382">
        <f>-'Tributos RPU'!V7</f>
        <v>-25528.924244457714</v>
      </c>
      <c r="U52" s="382">
        <f>-'Tributos RPU'!W7</f>
        <v>-25551.611148168475</v>
      </c>
      <c r="V52" s="382">
        <f>-'Tributos RPU'!X7</f>
        <v>-25574.298051879228</v>
      </c>
      <c r="W52" s="382">
        <f>-'Tributos RPU'!Y7</f>
        <v>-25596.984955589993</v>
      </c>
      <c r="X52" s="382">
        <f>-'Tributos RPU'!Z7</f>
        <v>-25619.671859300746</v>
      </c>
      <c r="Y52" s="382">
        <f>-'Tributos RPU'!AA7</f>
        <v>-25642.428486280394</v>
      </c>
      <c r="Z52" s="382">
        <f>-'Tributos RPU'!AB7</f>
        <v>-25665.115389991155</v>
      </c>
      <c r="AA52" s="382">
        <f>-'Tributos RPU'!AC7</f>
        <v>-25687.802293701909</v>
      </c>
      <c r="AB52" s="382">
        <f>-'Tributos RPU'!AD7</f>
        <v>-25710.489197412669</v>
      </c>
      <c r="AC52" s="382">
        <f>-'Tributos RPU'!AE7</f>
        <v>-25733.176101123423</v>
      </c>
      <c r="AD52" s="382">
        <f>-'Tributos RPU'!AF7</f>
        <v>-25755.863004834184</v>
      </c>
      <c r="AE52" s="382">
        <f>-'Tributos RPU'!AG7</f>
        <v>-25778.549908544941</v>
      </c>
      <c r="AF52" s="382">
        <f>-'Tributos RPU'!AH7</f>
        <v>-25801.236812255698</v>
      </c>
      <c r="AG52" s="382">
        <f>-'Tributos RPU'!AI7</f>
        <v>-25823.923715966452</v>
      </c>
      <c r="AH52" s="382">
        <f>-'Tributos RPU'!AJ7</f>
        <v>-25846.610619677213</v>
      </c>
    </row>
    <row r="53" spans="1:34" x14ac:dyDescent="0.35">
      <c r="B53" s="185" t="s">
        <v>408</v>
      </c>
      <c r="C53" s="116" t="s">
        <v>133</v>
      </c>
      <c r="D53" s="130"/>
      <c r="E53" s="383">
        <f>-'Tributos RPU'!G8</f>
        <v>-111676.05098876993</v>
      </c>
      <c r="F53" s="383">
        <f>-'Tributos RPU'!H8</f>
        <v>-112194.7689121334</v>
      </c>
      <c r="G53" s="383">
        <f>-'Tributos RPU'!I8</f>
        <v>-112713.48683549681</v>
      </c>
      <c r="H53" s="383">
        <f>-'Tributos RPU'!J8</f>
        <v>-113232.20475886024</v>
      </c>
      <c r="I53" s="383">
        <f>-'Tributos RPU'!K8</f>
        <v>-113750.9226822237</v>
      </c>
      <c r="J53" s="383">
        <f>-'Tributos RPU'!L8</f>
        <v>-114269.22157499281</v>
      </c>
      <c r="K53" s="383">
        <f>-'Tributos RPU'!M8</f>
        <v>-114719.94697223764</v>
      </c>
      <c r="L53" s="383">
        <f>-'Tributos RPU'!N8</f>
        <v>-115170.67236948251</v>
      </c>
      <c r="M53" s="383">
        <f>-'Tributos RPU'!O8</f>
        <v>-115621.39776672733</v>
      </c>
      <c r="N53" s="383">
        <f>-'Tributos RPU'!P8</f>
        <v>-116072.1231639722</v>
      </c>
      <c r="O53" s="383">
        <f>-'Tributos RPU'!Q8</f>
        <v>-116522.02086474271</v>
      </c>
      <c r="P53" s="383">
        <f>-'Tributos RPU'!R8</f>
        <v>-116782.53006293807</v>
      </c>
      <c r="Q53" s="383">
        <f>-'Tributos RPU'!S8</f>
        <v>-117043.03926113341</v>
      </c>
      <c r="R53" s="383">
        <f>-'Tributos RPU'!T8</f>
        <v>-117303.54845932877</v>
      </c>
      <c r="S53" s="383">
        <f>-'Tributos RPU'!U8</f>
        <v>-117564.05765752417</v>
      </c>
      <c r="T53" s="383">
        <f>-'Tributos RPU'!V8</f>
        <v>-117825.80420518946</v>
      </c>
      <c r="U53" s="383">
        <f>-'Tributos RPU'!W8</f>
        <v>-117930.51299154681</v>
      </c>
      <c r="V53" s="383">
        <f>-'Tributos RPU'!X8</f>
        <v>-118035.22177790414</v>
      </c>
      <c r="W53" s="383">
        <f>-'Tributos RPU'!Y8</f>
        <v>-118139.93056426149</v>
      </c>
      <c r="X53" s="383">
        <f>-'Tributos RPU'!Z8</f>
        <v>-118244.63935061882</v>
      </c>
      <c r="Y53" s="383">
        <f>-'Tributos RPU'!AA8</f>
        <v>-118349.66993667874</v>
      </c>
      <c r="Z53" s="383">
        <f>-'Tributos RPU'!AB8</f>
        <v>-118454.3787230361</v>
      </c>
      <c r="AA53" s="383">
        <f>-'Tributos RPU'!AC8</f>
        <v>-118559.08750939343</v>
      </c>
      <c r="AB53" s="383">
        <f>-'Tributos RPU'!AD8</f>
        <v>-118663.79629575078</v>
      </c>
      <c r="AC53" s="383">
        <f>-'Tributos RPU'!AE8</f>
        <v>-118768.50508210811</v>
      </c>
      <c r="AD53" s="383">
        <f>-'Tributos RPU'!AF8</f>
        <v>-118873.21386846546</v>
      </c>
      <c r="AE53" s="383">
        <f>-'Tributos RPU'!AG8</f>
        <v>-118977.9226548228</v>
      </c>
      <c r="AF53" s="383">
        <f>-'Tributos RPU'!AH8</f>
        <v>-119082.63144118016</v>
      </c>
      <c r="AG53" s="383">
        <f>-'Tributos RPU'!AI8</f>
        <v>-119187.34022753748</v>
      </c>
      <c r="AH53" s="383">
        <f>-'Tributos RPU'!AJ8</f>
        <v>-119292.04901389482</v>
      </c>
    </row>
    <row r="54" spans="1:34" x14ac:dyDescent="0.35">
      <c r="B54" s="185" t="s">
        <v>408</v>
      </c>
      <c r="C54" s="116" t="s">
        <v>134</v>
      </c>
      <c r="D54" s="130"/>
      <c r="E54" s="383">
        <f>-'Tributos RPU'!G20</f>
        <v>-90954.187548432761</v>
      </c>
      <c r="F54" s="383">
        <f>-'Tributos RPU'!H20</f>
        <v>-91326.861217505997</v>
      </c>
      <c r="G54" s="383">
        <f>-'Tributos RPU'!I20</f>
        <v>-91699.534886579204</v>
      </c>
      <c r="H54" s="383">
        <f>-'Tributos RPU'!J20</f>
        <v>-92072.208555652469</v>
      </c>
      <c r="I54" s="383">
        <f>-'Tributos RPU'!K20</f>
        <v>-92444.88222472569</v>
      </c>
      <c r="J54" s="383">
        <f>-'Tributos RPU'!L20</f>
        <v>-92817.959295062086</v>
      </c>
      <c r="K54" s="383">
        <f>-'Tributos RPU'!M20</f>
        <v>-93113.450062256845</v>
      </c>
      <c r="L54" s="383">
        <f>-'Tributos RPU'!N20</f>
        <v>-93408.940829451603</v>
      </c>
      <c r="M54" s="383">
        <f>-'Tributos RPU'!O20</f>
        <v>-93704.431596646347</v>
      </c>
      <c r="N54" s="383">
        <f>-'Tributos RPU'!P20</f>
        <v>-93999.92236384112</v>
      </c>
      <c r="O54" s="383">
        <f>-'Tributos RPU'!Q20</f>
        <v>-94294.746663451413</v>
      </c>
      <c r="P54" s="383">
        <f>-'Tributos RPU'!R20</f>
        <v>-94438.454908550862</v>
      </c>
      <c r="Q54" s="383">
        <f>-'Tributos RPU'!S20</f>
        <v>-94582.163153650312</v>
      </c>
      <c r="R54" s="383">
        <f>-'Tributos RPU'!T20</f>
        <v>-94725.871398749761</v>
      </c>
      <c r="S54" s="383">
        <f>-'Tributos RPU'!U20</f>
        <v>-94869.579643849225</v>
      </c>
      <c r="T54" s="383">
        <f>-'Tributos RPU'!V20</f>
        <v>-95013.763514173726</v>
      </c>
      <c r="U54" s="383">
        <f>-'Tributos RPU'!W20</f>
        <v>-95033.321401108624</v>
      </c>
      <c r="V54" s="383">
        <f>-'Tributos RPU'!X20</f>
        <v>-95052.879288043507</v>
      </c>
      <c r="W54" s="383">
        <f>-'Tributos RPU'!Y20</f>
        <v>-95072.437174978433</v>
      </c>
      <c r="X54" s="383">
        <f>-'Tributos RPU'!Z20</f>
        <v>-95091.995061913331</v>
      </c>
      <c r="Y54" s="383">
        <f>-'Tributos RPU'!AA20</f>
        <v>-95112.46076620961</v>
      </c>
      <c r="Z54" s="383">
        <f>-'Tributos RPU'!AB20</f>
        <v>-95132.018653144522</v>
      </c>
      <c r="AA54" s="383">
        <f>-'Tributos RPU'!AC20</f>
        <v>-95151.576540079419</v>
      </c>
      <c r="AB54" s="383">
        <f>-'Tributos RPU'!AD20</f>
        <v>-95171.134427014273</v>
      </c>
      <c r="AC54" s="383">
        <f>-'Tributos RPU'!AE20</f>
        <v>-95190.692313949199</v>
      </c>
      <c r="AD54" s="383">
        <f>-'Tributos RPU'!AF20</f>
        <v>-95210.250200884097</v>
      </c>
      <c r="AE54" s="383">
        <f>-'Tributos RPU'!AG20</f>
        <v>-95229.808087818979</v>
      </c>
      <c r="AF54" s="383">
        <f>-'Tributos RPU'!AH20</f>
        <v>-95249.365974753891</v>
      </c>
      <c r="AG54" s="383">
        <f>-'Tributos RPU'!AI20</f>
        <v>-95268.923861688774</v>
      </c>
      <c r="AH54" s="383">
        <f>-'Tributos RPU'!AJ20</f>
        <v>-95288.481748623657</v>
      </c>
    </row>
    <row r="55" spans="1:34" x14ac:dyDescent="0.35">
      <c r="B55" s="185" t="s">
        <v>403</v>
      </c>
      <c r="C55" s="116" t="s">
        <v>410</v>
      </c>
      <c r="D55" s="130"/>
      <c r="E55" s="383">
        <v>0</v>
      </c>
      <c r="F55" s="383">
        <v>0</v>
      </c>
      <c r="G55" s="383">
        <v>0</v>
      </c>
      <c r="H55" s="383">
        <v>0</v>
      </c>
      <c r="I55" s="383">
        <v>0</v>
      </c>
      <c r="J55" s="383">
        <v>0</v>
      </c>
      <c r="K55" s="383">
        <v>0</v>
      </c>
      <c r="L55" s="383">
        <v>0</v>
      </c>
      <c r="M55" s="383">
        <v>0</v>
      </c>
      <c r="N55" s="383">
        <v>0</v>
      </c>
      <c r="O55" s="383">
        <v>0</v>
      </c>
      <c r="P55" s="383">
        <v>0</v>
      </c>
      <c r="Q55" s="383">
        <v>0</v>
      </c>
      <c r="R55" s="383">
        <v>0</v>
      </c>
      <c r="S55" s="383">
        <v>0</v>
      </c>
      <c r="T55" s="383">
        <v>0</v>
      </c>
      <c r="U55" s="383">
        <v>0</v>
      </c>
      <c r="V55" s="383">
        <v>0</v>
      </c>
      <c r="W55" s="383">
        <v>0</v>
      </c>
      <c r="X55" s="383">
        <v>0</v>
      </c>
      <c r="Y55" s="383">
        <v>0</v>
      </c>
      <c r="Z55" s="383">
        <v>0</v>
      </c>
      <c r="AA55" s="383">
        <v>0</v>
      </c>
      <c r="AB55" s="383">
        <v>0</v>
      </c>
      <c r="AC55" s="383">
        <v>0</v>
      </c>
      <c r="AD55" s="383">
        <v>0</v>
      </c>
      <c r="AE55" s="383">
        <v>0</v>
      </c>
      <c r="AF55" s="383">
        <v>0</v>
      </c>
      <c r="AG55" s="383">
        <v>0</v>
      </c>
      <c r="AH55" s="383">
        <v>0</v>
      </c>
    </row>
    <row r="56" spans="1:34" ht="6.75" customHeight="1" x14ac:dyDescent="0.35">
      <c r="B56" s="187"/>
      <c r="C56" s="127"/>
      <c r="D56" s="128"/>
      <c r="E56" s="384"/>
      <c r="F56" s="384"/>
      <c r="G56" s="384"/>
      <c r="H56" s="533"/>
      <c r="I56" s="533"/>
      <c r="J56" s="533"/>
      <c r="K56" s="533"/>
      <c r="L56" s="533"/>
      <c r="M56" s="533"/>
      <c r="N56" s="533"/>
      <c r="O56" s="533"/>
      <c r="P56" s="533"/>
      <c r="Q56" s="533"/>
      <c r="R56" s="533"/>
      <c r="S56" s="533"/>
      <c r="T56" s="533"/>
      <c r="U56" s="533"/>
      <c r="V56" s="533"/>
      <c r="W56" s="533"/>
      <c r="X56" s="533"/>
      <c r="Y56" s="533"/>
      <c r="Z56" s="533"/>
      <c r="AA56" s="533"/>
      <c r="AB56" s="533"/>
      <c r="AC56" s="533"/>
      <c r="AD56" s="533"/>
      <c r="AE56" s="533"/>
      <c r="AF56" s="533"/>
      <c r="AG56" s="533"/>
      <c r="AH56" s="533"/>
    </row>
    <row r="57" spans="1:34" ht="4.5" customHeight="1" x14ac:dyDescent="0.35">
      <c r="B57" s="114"/>
      <c r="C57" s="129"/>
      <c r="D57" s="129"/>
      <c r="E57" s="385"/>
      <c r="F57" s="385"/>
      <c r="G57" s="385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534"/>
      <c r="X57" s="534"/>
      <c r="Y57" s="534"/>
      <c r="Z57" s="534"/>
      <c r="AA57" s="534"/>
      <c r="AB57" s="534"/>
      <c r="AC57" s="534"/>
      <c r="AD57" s="534"/>
      <c r="AE57" s="534"/>
      <c r="AF57" s="534"/>
      <c r="AG57" s="534"/>
      <c r="AH57" s="534"/>
    </row>
    <row r="58" spans="1:34" s="291" customFormat="1" x14ac:dyDescent="0.35">
      <c r="A58" s="77"/>
      <c r="B58" s="131" t="s">
        <v>411</v>
      </c>
      <c r="C58" s="131"/>
      <c r="D58" s="192"/>
      <c r="E58" s="386">
        <f>E49+E51</f>
        <v>3495708.3167075617</v>
      </c>
      <c r="F58" s="386">
        <f t="shared" ref="F58:AH58" si="65">F49+F51</f>
        <v>3511995.1336771785</v>
      </c>
      <c r="G58" s="386">
        <f t="shared" si="65"/>
        <v>3528281.9506467935</v>
      </c>
      <c r="H58" s="535">
        <f t="shared" si="65"/>
        <v>3544568.7676164093</v>
      </c>
      <c r="I58" s="535">
        <f t="shared" si="65"/>
        <v>3560855.5845860257</v>
      </c>
      <c r="J58" s="535">
        <f t="shared" si="65"/>
        <v>3577128.5402884572</v>
      </c>
      <c r="K58" s="535">
        <f t="shared" si="65"/>
        <v>3591308.8468627753</v>
      </c>
      <c r="L58" s="535">
        <f t="shared" si="65"/>
        <v>3605489.1534370948</v>
      </c>
      <c r="M58" s="535">
        <f t="shared" si="65"/>
        <v>3619669.4600114133</v>
      </c>
      <c r="N58" s="535">
        <f t="shared" si="65"/>
        <v>3633849.7665857323</v>
      </c>
      <c r="O58" s="535">
        <f t="shared" si="65"/>
        <v>3648004.1567758685</v>
      </c>
      <c r="P58" s="535">
        <f t="shared" si="65"/>
        <v>3656227.1356128105</v>
      </c>
      <c r="Q58" s="535">
        <f t="shared" si="65"/>
        <v>3664450.1144497511</v>
      </c>
      <c r="R58" s="535">
        <f t="shared" si="65"/>
        <v>3672673.0932866926</v>
      </c>
      <c r="S58" s="535">
        <f t="shared" si="65"/>
        <v>3680896.0721236356</v>
      </c>
      <c r="T58" s="535">
        <f t="shared" si="65"/>
        <v>3689158.3148758276</v>
      </c>
      <c r="U58" s="535">
        <f t="shared" si="65"/>
        <v>3692501.6541774031</v>
      </c>
      <c r="V58" s="535">
        <f t="shared" si="65"/>
        <v>3695844.9934789776</v>
      </c>
      <c r="W58" s="535">
        <f t="shared" si="65"/>
        <v>3699188.3327805535</v>
      </c>
      <c r="X58" s="535">
        <f t="shared" si="65"/>
        <v>3702531.672082128</v>
      </c>
      <c r="Y58" s="535">
        <f t="shared" si="65"/>
        <v>3705884.4387001228</v>
      </c>
      <c r="Z58" s="535">
        <f t="shared" si="65"/>
        <v>3709227.7780016987</v>
      </c>
      <c r="AA58" s="535">
        <f t="shared" si="65"/>
        <v>3712571.1173032732</v>
      </c>
      <c r="AB58" s="535">
        <f t="shared" si="65"/>
        <v>3715914.4566048486</v>
      </c>
      <c r="AC58" s="535">
        <f t="shared" si="65"/>
        <v>3719257.7959064231</v>
      </c>
      <c r="AD58" s="535">
        <f t="shared" si="65"/>
        <v>3722601.1352079986</v>
      </c>
      <c r="AE58" s="535">
        <f t="shared" si="65"/>
        <v>3725944.4745095735</v>
      </c>
      <c r="AF58" s="535">
        <f t="shared" si="65"/>
        <v>3729287.813811149</v>
      </c>
      <c r="AG58" s="535">
        <f t="shared" si="65"/>
        <v>3732631.1531127235</v>
      </c>
      <c r="AH58" s="535">
        <f t="shared" si="65"/>
        <v>3735974.4924142989</v>
      </c>
    </row>
    <row r="59" spans="1:34" ht="5.25" customHeight="1" x14ac:dyDescent="0.35">
      <c r="B59" s="114"/>
      <c r="C59" s="129"/>
      <c r="D59" s="129"/>
      <c r="E59" s="383"/>
      <c r="F59" s="383"/>
      <c r="G59" s="383"/>
      <c r="H59" s="536"/>
      <c r="I59" s="536"/>
      <c r="J59" s="536"/>
      <c r="K59" s="536"/>
      <c r="L59" s="536"/>
      <c r="M59" s="536"/>
      <c r="N59" s="536"/>
      <c r="O59" s="536"/>
      <c r="P59" s="536"/>
      <c r="Q59" s="536"/>
      <c r="R59" s="536"/>
      <c r="S59" s="536"/>
      <c r="T59" s="536"/>
      <c r="U59" s="536"/>
      <c r="V59" s="536"/>
      <c r="W59" s="536"/>
      <c r="X59" s="536"/>
      <c r="Y59" s="536"/>
      <c r="Z59" s="536"/>
      <c r="AA59" s="536"/>
      <c r="AB59" s="536"/>
      <c r="AC59" s="536"/>
      <c r="AD59" s="536"/>
      <c r="AE59" s="536"/>
      <c r="AF59" s="536"/>
      <c r="AG59" s="536"/>
      <c r="AH59" s="536"/>
    </row>
    <row r="60" spans="1:34" x14ac:dyDescent="0.35">
      <c r="B60" s="122" t="s">
        <v>412</v>
      </c>
      <c r="C60" s="123"/>
      <c r="D60" s="124"/>
      <c r="E60" s="381">
        <f>SUM(E61:E61)</f>
        <v>-5391382.4594033901</v>
      </c>
      <c r="F60" s="381">
        <f t="shared" ref="F60:AH60" si="66">SUM(F61:F61)</f>
        <v>-4694372.9593341546</v>
      </c>
      <c r="G60" s="381">
        <f t="shared" si="66"/>
        <v>-3258979.5812202105</v>
      </c>
      <c r="H60" s="532">
        <f t="shared" si="66"/>
        <v>-3262638.4406319028</v>
      </c>
      <c r="I60" s="532">
        <f t="shared" si="66"/>
        <v>-1121212.5994983206</v>
      </c>
      <c r="J60" s="532">
        <f t="shared" si="66"/>
        <v>-1120187.32476182</v>
      </c>
      <c r="K60" s="532">
        <f t="shared" si="66"/>
        <v>-1121168.1456509666</v>
      </c>
      <c r="L60" s="532">
        <f t="shared" si="66"/>
        <v>-1117979.6852323071</v>
      </c>
      <c r="M60" s="532">
        <f t="shared" si="66"/>
        <v>-1126120.3989966903</v>
      </c>
      <c r="N60" s="532">
        <f t="shared" si="66"/>
        <v>-1116644.9298204132</v>
      </c>
      <c r="O60" s="532">
        <f t="shared" si="66"/>
        <v>-1439835.585814395</v>
      </c>
      <c r="P60" s="532">
        <f t="shared" si="66"/>
        <v>-1427497.8404447101</v>
      </c>
      <c r="Q60" s="532">
        <f t="shared" si="66"/>
        <v>-1426945.2311885676</v>
      </c>
      <c r="R60" s="532">
        <f t="shared" si="66"/>
        <v>-1426498.3543537238</v>
      </c>
      <c r="S60" s="532">
        <f t="shared" si="66"/>
        <v>-1428039.3902758891</v>
      </c>
      <c r="T60" s="532">
        <f t="shared" si="66"/>
        <v>-1425428.7669261147</v>
      </c>
      <c r="U60" s="532">
        <f t="shared" si="66"/>
        <v>-1434004.4841109999</v>
      </c>
      <c r="V60" s="532">
        <f t="shared" si="66"/>
        <v>-1425680.785441146</v>
      </c>
      <c r="W60" s="532">
        <f t="shared" si="66"/>
        <v>-1423603.6263631654</v>
      </c>
      <c r="X60" s="532">
        <f t="shared" si="66"/>
        <v>-1423945.0967494538</v>
      </c>
      <c r="Y60" s="532">
        <f t="shared" si="66"/>
        <v>-1427071.4075642673</v>
      </c>
      <c r="Z60" s="532">
        <f t="shared" si="66"/>
        <v>-1421922.566166108</v>
      </c>
      <c r="AA60" s="532">
        <f t="shared" si="66"/>
        <v>-1423518.1382576465</v>
      </c>
      <c r="AB60" s="532">
        <f t="shared" si="66"/>
        <v>-1422477.2497052965</v>
      </c>
      <c r="AC60" s="532">
        <f t="shared" si="66"/>
        <v>-1429565.5806277345</v>
      </c>
      <c r="AD60" s="532">
        <f t="shared" si="66"/>
        <v>-1419768.984615677</v>
      </c>
      <c r="AE60" s="532">
        <f t="shared" si="66"/>
        <v>-1419108.9499246341</v>
      </c>
      <c r="AF60" s="532">
        <f t="shared" si="66"/>
        <v>-1418544.4485440389</v>
      </c>
      <c r="AG60" s="532">
        <f t="shared" si="66"/>
        <v>-1417979.3544526768</v>
      </c>
      <c r="AH60" s="532">
        <f t="shared" si="66"/>
        <v>-1418977.9508185196</v>
      </c>
    </row>
    <row r="61" spans="1:34" x14ac:dyDescent="0.35">
      <c r="B61" s="185" t="s">
        <v>408</v>
      </c>
      <c r="C61" s="126" t="s">
        <v>413</v>
      </c>
      <c r="D61" s="126"/>
      <c r="E61" s="382">
        <f t="shared" ref="E61:AH61" si="67">IFERROR(-H28-H14,0)</f>
        <v>-5391382.4594033901</v>
      </c>
      <c r="F61" s="382">
        <f t="shared" si="67"/>
        <v>-4694372.9593341546</v>
      </c>
      <c r="G61" s="382">
        <f t="shared" si="67"/>
        <v>-3258979.5812202105</v>
      </c>
      <c r="H61" s="382">
        <f t="shared" si="67"/>
        <v>-3262638.4406319028</v>
      </c>
      <c r="I61" s="382">
        <f t="shared" si="67"/>
        <v>-1121212.5994983206</v>
      </c>
      <c r="J61" s="382">
        <f t="shared" si="67"/>
        <v>-1120187.32476182</v>
      </c>
      <c r="K61" s="382">
        <f t="shared" si="67"/>
        <v>-1121168.1456509666</v>
      </c>
      <c r="L61" s="382">
        <f t="shared" si="67"/>
        <v>-1117979.6852323071</v>
      </c>
      <c r="M61" s="382">
        <f t="shared" si="67"/>
        <v>-1126120.3989966903</v>
      </c>
      <c r="N61" s="382">
        <f t="shared" si="67"/>
        <v>-1116644.9298204132</v>
      </c>
      <c r="O61" s="382">
        <f t="shared" si="67"/>
        <v>-1439835.585814395</v>
      </c>
      <c r="P61" s="382">
        <f t="shared" si="67"/>
        <v>-1427497.8404447101</v>
      </c>
      <c r="Q61" s="382">
        <f t="shared" si="67"/>
        <v>-1426945.2311885676</v>
      </c>
      <c r="R61" s="382">
        <f t="shared" si="67"/>
        <v>-1426498.3543537238</v>
      </c>
      <c r="S61" s="382">
        <f t="shared" si="67"/>
        <v>-1428039.3902758891</v>
      </c>
      <c r="T61" s="382">
        <f t="shared" si="67"/>
        <v>-1425428.7669261147</v>
      </c>
      <c r="U61" s="382">
        <f t="shared" si="67"/>
        <v>-1434004.4841109999</v>
      </c>
      <c r="V61" s="382">
        <f t="shared" si="67"/>
        <v>-1425680.785441146</v>
      </c>
      <c r="W61" s="382">
        <f t="shared" si="67"/>
        <v>-1423603.6263631654</v>
      </c>
      <c r="X61" s="382">
        <f t="shared" si="67"/>
        <v>-1423945.0967494538</v>
      </c>
      <c r="Y61" s="382">
        <f t="shared" si="67"/>
        <v>-1427071.4075642673</v>
      </c>
      <c r="Z61" s="382">
        <f t="shared" si="67"/>
        <v>-1421922.566166108</v>
      </c>
      <c r="AA61" s="382">
        <f t="shared" si="67"/>
        <v>-1423518.1382576465</v>
      </c>
      <c r="AB61" s="382">
        <f t="shared" si="67"/>
        <v>-1422477.2497052965</v>
      </c>
      <c r="AC61" s="382">
        <f t="shared" si="67"/>
        <v>-1429565.5806277345</v>
      </c>
      <c r="AD61" s="382">
        <f t="shared" si="67"/>
        <v>-1419768.984615677</v>
      </c>
      <c r="AE61" s="382">
        <f t="shared" si="67"/>
        <v>-1419108.9499246341</v>
      </c>
      <c r="AF61" s="382">
        <f t="shared" si="67"/>
        <v>-1418544.4485440389</v>
      </c>
      <c r="AG61" s="382">
        <f t="shared" si="67"/>
        <v>-1417979.3544526768</v>
      </c>
      <c r="AH61" s="382">
        <f t="shared" si="67"/>
        <v>-1418977.9508185196</v>
      </c>
    </row>
    <row r="62" spans="1:34" ht="6" customHeight="1" x14ac:dyDescent="0.35">
      <c r="B62" s="129"/>
      <c r="C62" s="129"/>
      <c r="D62" s="134"/>
      <c r="E62" s="383"/>
      <c r="F62" s="383"/>
      <c r="G62" s="383"/>
      <c r="H62" s="536"/>
      <c r="I62" s="536"/>
      <c r="J62" s="536"/>
      <c r="K62" s="536"/>
      <c r="L62" s="536"/>
      <c r="M62" s="536"/>
      <c r="N62" s="536"/>
      <c r="O62" s="536"/>
      <c r="P62" s="536"/>
      <c r="Q62" s="536"/>
      <c r="R62" s="536"/>
      <c r="S62" s="536"/>
      <c r="T62" s="536"/>
      <c r="U62" s="536"/>
      <c r="V62" s="536"/>
      <c r="W62" s="536"/>
      <c r="X62" s="536"/>
      <c r="Y62" s="536"/>
      <c r="Z62" s="536"/>
      <c r="AA62" s="536"/>
      <c r="AB62" s="536"/>
      <c r="AC62" s="536"/>
      <c r="AD62" s="536"/>
      <c r="AE62" s="536"/>
      <c r="AF62" s="536"/>
      <c r="AG62" s="536"/>
      <c r="AH62" s="536"/>
    </row>
    <row r="63" spans="1:34" x14ac:dyDescent="0.35">
      <c r="B63" s="131" t="s">
        <v>414</v>
      </c>
      <c r="C63" s="132"/>
      <c r="D63" s="133"/>
      <c r="E63" s="386">
        <f>E58+E60</f>
        <v>-1895674.1426958283</v>
      </c>
      <c r="F63" s="386">
        <f t="shared" ref="F63:AH63" si="68">F58+F60</f>
        <v>-1182377.8256569761</v>
      </c>
      <c r="G63" s="386">
        <f t="shared" si="68"/>
        <v>269302.36942658294</v>
      </c>
      <c r="H63" s="535">
        <f t="shared" si="68"/>
        <v>281930.32698450657</v>
      </c>
      <c r="I63" s="535">
        <f t="shared" si="68"/>
        <v>2439642.9850877048</v>
      </c>
      <c r="J63" s="535">
        <f t="shared" si="68"/>
        <v>2456941.2155266372</v>
      </c>
      <c r="K63" s="535">
        <f t="shared" si="68"/>
        <v>2470140.7012118087</v>
      </c>
      <c r="L63" s="535">
        <f t="shared" si="68"/>
        <v>2487509.4682047879</v>
      </c>
      <c r="M63" s="535">
        <f t="shared" si="68"/>
        <v>2493549.061014723</v>
      </c>
      <c r="N63" s="535">
        <f t="shared" si="68"/>
        <v>2517204.8367653191</v>
      </c>
      <c r="O63" s="535">
        <f t="shared" si="68"/>
        <v>2208168.5709614735</v>
      </c>
      <c r="P63" s="535">
        <f t="shared" si="68"/>
        <v>2228729.2951681004</v>
      </c>
      <c r="Q63" s="535">
        <f t="shared" si="68"/>
        <v>2237504.8832611833</v>
      </c>
      <c r="R63" s="535">
        <f t="shared" si="68"/>
        <v>2246174.738932969</v>
      </c>
      <c r="S63" s="535">
        <f t="shared" si="68"/>
        <v>2252856.6818477465</v>
      </c>
      <c r="T63" s="535">
        <f t="shared" si="68"/>
        <v>2263729.5479497127</v>
      </c>
      <c r="U63" s="535">
        <f t="shared" si="68"/>
        <v>2258497.1700664032</v>
      </c>
      <c r="V63" s="535">
        <f t="shared" si="68"/>
        <v>2270164.2080378318</v>
      </c>
      <c r="W63" s="535">
        <f t="shared" si="68"/>
        <v>2275584.7064173883</v>
      </c>
      <c r="X63" s="535">
        <f t="shared" si="68"/>
        <v>2278586.5753326742</v>
      </c>
      <c r="Y63" s="535">
        <f t="shared" si="68"/>
        <v>2278813.0311358552</v>
      </c>
      <c r="Z63" s="535">
        <f t="shared" si="68"/>
        <v>2287305.2118355907</v>
      </c>
      <c r="AA63" s="535">
        <f t="shared" si="68"/>
        <v>2289052.9790456267</v>
      </c>
      <c r="AB63" s="535">
        <f t="shared" si="68"/>
        <v>2293437.2068995521</v>
      </c>
      <c r="AC63" s="535">
        <f t="shared" si="68"/>
        <v>2289692.2152786888</v>
      </c>
      <c r="AD63" s="535">
        <f t="shared" si="68"/>
        <v>2302832.1505923215</v>
      </c>
      <c r="AE63" s="535">
        <f t="shared" si="68"/>
        <v>2306835.5245849397</v>
      </c>
      <c r="AF63" s="535">
        <f t="shared" si="68"/>
        <v>2310743.3652671101</v>
      </c>
      <c r="AG63" s="535">
        <f t="shared" si="68"/>
        <v>2314651.7986600464</v>
      </c>
      <c r="AH63" s="535">
        <f t="shared" si="68"/>
        <v>2316996.5415957794</v>
      </c>
    </row>
    <row r="64" spans="1:34" x14ac:dyDescent="0.35">
      <c r="B64" s="185" t="s">
        <v>408</v>
      </c>
      <c r="C64" s="126" t="s">
        <v>415</v>
      </c>
      <c r="D64" s="126"/>
      <c r="E64" s="387">
        <f>'Tributos RPU'!G28</f>
        <v>-273802.80263671983</v>
      </c>
      <c r="F64" s="387">
        <f>'Tributos RPU'!H28</f>
        <v>-275186.05043235573</v>
      </c>
      <c r="G64" s="387">
        <f>'Tributos RPU'!I28</f>
        <v>-276569.2982279915</v>
      </c>
      <c r="H64" s="387">
        <f>'Tributos RPU'!J28</f>
        <v>-277952.54602362734</v>
      </c>
      <c r="I64" s="387">
        <f>'Tributos RPU'!K28</f>
        <v>-279335.79381926323</v>
      </c>
      <c r="J64" s="387">
        <f>'Tributos RPU'!L28</f>
        <v>-280717.92419998086</v>
      </c>
      <c r="K64" s="387">
        <f>'Tributos RPU'!M28</f>
        <v>-281919.85859263374</v>
      </c>
      <c r="L64" s="387">
        <f>'Tributos RPU'!N28</f>
        <v>-283121.79298528668</v>
      </c>
      <c r="M64" s="387">
        <f>'Tributos RPU'!O28</f>
        <v>-284323.72737793956</v>
      </c>
      <c r="N64" s="387">
        <f>'Tributos RPU'!P28</f>
        <v>-285525.6617705925</v>
      </c>
      <c r="O64" s="387">
        <f>'Tributos RPU'!Q28</f>
        <v>-286725.38897264726</v>
      </c>
      <c r="P64" s="387">
        <f>'Tributos RPU'!R28</f>
        <v>-287420.08016783488</v>
      </c>
      <c r="Q64" s="387">
        <f>'Tributos RPU'!S28</f>
        <v>-288114.77136302245</v>
      </c>
      <c r="R64" s="387">
        <f>'Tributos RPU'!T28</f>
        <v>-288809.46255821007</v>
      </c>
      <c r="S64" s="387">
        <f>'Tributos RPU'!U28</f>
        <v>-289504.15375339781</v>
      </c>
      <c r="T64" s="387">
        <f>'Tributos RPU'!V28</f>
        <v>-290202.14454717189</v>
      </c>
      <c r="U64" s="387">
        <f>'Tributos RPU'!W28</f>
        <v>-290481.36797745817</v>
      </c>
      <c r="V64" s="387">
        <f>'Tributos RPU'!X28</f>
        <v>-290760.59140774439</v>
      </c>
      <c r="W64" s="387">
        <f>'Tributos RPU'!Y28</f>
        <v>-291039.81483803067</v>
      </c>
      <c r="X64" s="387">
        <f>'Tributos RPU'!Z28</f>
        <v>-291319.03826831689</v>
      </c>
      <c r="Y64" s="387">
        <f>'Tributos RPU'!AA28</f>
        <v>-291599.11983114335</v>
      </c>
      <c r="Z64" s="387">
        <f>'Tributos RPU'!AB28</f>
        <v>-291878.34326142963</v>
      </c>
      <c r="AA64" s="387">
        <f>'Tributos RPU'!AC28</f>
        <v>-292157.56669171585</v>
      </c>
      <c r="AB64" s="387">
        <f>'Tributos RPU'!AD28</f>
        <v>-292436.79012200213</v>
      </c>
      <c r="AC64" s="387">
        <f>'Tributos RPU'!AE28</f>
        <v>-292716.01355228829</v>
      </c>
      <c r="AD64" s="387">
        <f>'Tributos RPU'!AF28</f>
        <v>-292995.23698257457</v>
      </c>
      <c r="AE64" s="387">
        <f>'Tributos RPU'!AG28</f>
        <v>-293274.46041286079</v>
      </c>
      <c r="AF64" s="387">
        <f>'Tributos RPU'!AH28</f>
        <v>-293553.68384314707</v>
      </c>
      <c r="AG64" s="387">
        <f>'Tributos RPU'!AI28</f>
        <v>-293832.90727343329</v>
      </c>
      <c r="AH64" s="387">
        <f>'Tributos RPU'!AJ28</f>
        <v>-294112.13070371957</v>
      </c>
    </row>
    <row r="65" spans="2:37" x14ac:dyDescent="0.35">
      <c r="B65" s="187" t="s">
        <v>408</v>
      </c>
      <c r="C65" s="188" t="s">
        <v>147</v>
      </c>
      <c r="D65" s="128"/>
      <c r="E65" s="388">
        <f>'Tributos RPU'!G31</f>
        <v>-107209.00894921913</v>
      </c>
      <c r="F65" s="388">
        <f>'Tributos RPU'!H31</f>
        <v>-107706.97815564806</v>
      </c>
      <c r="G65" s="388">
        <f>'Tributos RPU'!I31</f>
        <v>-108204.94736207694</v>
      </c>
      <c r="H65" s="388">
        <f>'Tributos RPU'!J31</f>
        <v>-108702.91656850584</v>
      </c>
      <c r="I65" s="388">
        <f>'Tributos RPU'!K31</f>
        <v>-109200.88577493475</v>
      </c>
      <c r="J65" s="388">
        <f>'Tributos RPU'!L31</f>
        <v>-109698.4527119931</v>
      </c>
      <c r="K65" s="388">
        <f>'Tributos RPU'!M31</f>
        <v>-110131.14909334814</v>
      </c>
      <c r="L65" s="388">
        <f>'Tributos RPU'!N31</f>
        <v>-110563.84547470319</v>
      </c>
      <c r="M65" s="388">
        <f>'Tributos RPU'!O31</f>
        <v>-110996.54185605823</v>
      </c>
      <c r="N65" s="388">
        <f>'Tributos RPU'!P31</f>
        <v>-111429.2382374133</v>
      </c>
      <c r="O65" s="388">
        <f>'Tributos RPU'!Q31</f>
        <v>-111861.14003015301</v>
      </c>
      <c r="P65" s="388">
        <f>'Tributos RPU'!R31</f>
        <v>-112111.22886042055</v>
      </c>
      <c r="Q65" s="388">
        <f>'Tributos RPU'!S31</f>
        <v>-112361.31769068808</v>
      </c>
      <c r="R65" s="388">
        <f>'Tributos RPU'!T31</f>
        <v>-112611.40652095563</v>
      </c>
      <c r="S65" s="388">
        <f>'Tributos RPU'!U31</f>
        <v>-112861.4953512232</v>
      </c>
      <c r="T65" s="388">
        <f>'Tributos RPU'!V31</f>
        <v>-113112.77203698187</v>
      </c>
      <c r="U65" s="388">
        <f>'Tributos RPU'!W31</f>
        <v>-113213.29247188494</v>
      </c>
      <c r="V65" s="388">
        <f>'Tributos RPU'!X31</f>
        <v>-113313.81290678798</v>
      </c>
      <c r="W65" s="388">
        <f>'Tributos RPU'!Y31</f>
        <v>-113414.33334169103</v>
      </c>
      <c r="X65" s="388">
        <f>'Tributos RPU'!Z31</f>
        <v>-113514.85377659407</v>
      </c>
      <c r="Y65" s="388">
        <f>'Tributos RPU'!AA31</f>
        <v>-113615.6831392116</v>
      </c>
      <c r="Z65" s="388">
        <f>'Tributos RPU'!AB31</f>
        <v>-113716.20357411467</v>
      </c>
      <c r="AA65" s="388">
        <f>'Tributos RPU'!AC31</f>
        <v>-113816.72400901771</v>
      </c>
      <c r="AB65" s="388">
        <f>'Tributos RPU'!AD31</f>
        <v>-113917.24444392076</v>
      </c>
      <c r="AC65" s="388">
        <f>'Tributos RPU'!AE31</f>
        <v>-114017.76487882379</v>
      </c>
      <c r="AD65" s="388">
        <f>'Tributos RPU'!AF31</f>
        <v>-114118.28531372684</v>
      </c>
      <c r="AE65" s="388">
        <f>'Tributos RPU'!AG31</f>
        <v>-114218.80574862988</v>
      </c>
      <c r="AF65" s="388">
        <f>'Tributos RPU'!AH31</f>
        <v>-114319.32618353295</v>
      </c>
      <c r="AG65" s="388">
        <f>'Tributos RPU'!AI31</f>
        <v>-114419.84661843599</v>
      </c>
      <c r="AH65" s="388">
        <f>'Tributos RPU'!AJ31</f>
        <v>-114520.36705333904</v>
      </c>
    </row>
    <row r="66" spans="2:37" ht="8.25" customHeight="1" x14ac:dyDescent="0.35">
      <c r="B66" s="129"/>
      <c r="C66" s="129"/>
      <c r="D66" s="129"/>
      <c r="E66" s="383"/>
      <c r="F66" s="383"/>
      <c r="G66" s="383"/>
      <c r="H66" s="536"/>
      <c r="I66" s="536"/>
      <c r="J66" s="536"/>
      <c r="K66" s="536"/>
      <c r="L66" s="536"/>
      <c r="M66" s="536"/>
      <c r="N66" s="536"/>
      <c r="O66" s="536"/>
      <c r="P66" s="536"/>
      <c r="Q66" s="536"/>
      <c r="R66" s="536"/>
      <c r="S66" s="536"/>
      <c r="T66" s="536"/>
      <c r="U66" s="536"/>
      <c r="V66" s="536"/>
      <c r="W66" s="536"/>
      <c r="X66" s="536"/>
      <c r="Y66" s="536"/>
      <c r="Z66" s="536"/>
      <c r="AA66" s="536"/>
      <c r="AB66" s="536"/>
      <c r="AC66" s="536"/>
      <c r="AD66" s="536"/>
      <c r="AE66" s="536"/>
      <c r="AF66" s="536"/>
      <c r="AG66" s="536"/>
      <c r="AH66" s="536"/>
    </row>
    <row r="67" spans="2:37" x14ac:dyDescent="0.35">
      <c r="B67" s="131" t="s">
        <v>416</v>
      </c>
      <c r="C67" s="132"/>
      <c r="D67" s="133"/>
      <c r="E67" s="389">
        <f>E63+E64+E65</f>
        <v>-2276685.9542817674</v>
      </c>
      <c r="F67" s="389">
        <f t="shared" ref="F67:AH67" si="69">F63+F64+F65</f>
        <v>-1565270.8542449798</v>
      </c>
      <c r="G67" s="389">
        <f t="shared" si="69"/>
        <v>-115471.8761634855</v>
      </c>
      <c r="H67" s="537">
        <f t="shared" si="69"/>
        <v>-104725.13560762661</v>
      </c>
      <c r="I67" s="537">
        <f t="shared" si="69"/>
        <v>2051106.3054935071</v>
      </c>
      <c r="J67" s="537">
        <f t="shared" si="69"/>
        <v>2066524.8386146633</v>
      </c>
      <c r="K67" s="537">
        <f t="shared" si="69"/>
        <v>2078089.693525827</v>
      </c>
      <c r="L67" s="537">
        <f t="shared" si="69"/>
        <v>2093823.8297447981</v>
      </c>
      <c r="M67" s="537">
        <f t="shared" si="69"/>
        <v>2098228.7917807251</v>
      </c>
      <c r="N67" s="537">
        <f t="shared" si="69"/>
        <v>2120249.9367573136</v>
      </c>
      <c r="O67" s="537">
        <f t="shared" si="69"/>
        <v>1809582.0419586732</v>
      </c>
      <c r="P67" s="537">
        <f t="shared" si="69"/>
        <v>1829197.9861398449</v>
      </c>
      <c r="Q67" s="537">
        <f t="shared" si="69"/>
        <v>1837028.7942074726</v>
      </c>
      <c r="R67" s="537">
        <f t="shared" si="69"/>
        <v>1844753.8698538032</v>
      </c>
      <c r="S67" s="537">
        <f t="shared" si="69"/>
        <v>1850491.0327431255</v>
      </c>
      <c r="T67" s="537">
        <f t="shared" si="69"/>
        <v>1860414.6313655591</v>
      </c>
      <c r="U67" s="537">
        <f t="shared" si="69"/>
        <v>1854802.5096170602</v>
      </c>
      <c r="V67" s="537">
        <f t="shared" si="69"/>
        <v>1866089.8037232994</v>
      </c>
      <c r="W67" s="537">
        <f t="shared" si="69"/>
        <v>1871130.5582376667</v>
      </c>
      <c r="X67" s="537">
        <f t="shared" si="69"/>
        <v>1873752.683287763</v>
      </c>
      <c r="Y67" s="537">
        <f t="shared" si="69"/>
        <v>1873598.2281655003</v>
      </c>
      <c r="Z67" s="537">
        <f t="shared" si="69"/>
        <v>1881710.6650000464</v>
      </c>
      <c r="AA67" s="537">
        <f t="shared" si="69"/>
        <v>1883078.6883448933</v>
      </c>
      <c r="AB67" s="537">
        <f t="shared" si="69"/>
        <v>1887083.1723336293</v>
      </c>
      <c r="AC67" s="537">
        <f t="shared" si="69"/>
        <v>1882958.4368475766</v>
      </c>
      <c r="AD67" s="537">
        <f t="shared" si="69"/>
        <v>1895718.62829602</v>
      </c>
      <c r="AE67" s="537">
        <f t="shared" si="69"/>
        <v>1899342.258423449</v>
      </c>
      <c r="AF67" s="537">
        <f t="shared" si="69"/>
        <v>1902870.3552404302</v>
      </c>
      <c r="AG67" s="537">
        <f t="shared" si="69"/>
        <v>1906399.0447681772</v>
      </c>
      <c r="AH67" s="537">
        <f t="shared" si="69"/>
        <v>1908364.0438387208</v>
      </c>
    </row>
    <row r="68" spans="2:37" x14ac:dyDescent="0.35">
      <c r="B68" s="136" t="s">
        <v>417</v>
      </c>
      <c r="C68" s="137" t="s">
        <v>148</v>
      </c>
      <c r="D68" s="137"/>
      <c r="E68" s="390">
        <f>-'Capital de Giro RPU'!G16</f>
        <v>-163821.82286875427</v>
      </c>
      <c r="F68" s="390">
        <f>-'Capital de Giro RPU'!H16</f>
        <v>-3271.4218327320414</v>
      </c>
      <c r="G68" s="390">
        <f>-'Capital de Giro RPU'!I16</f>
        <v>-76436.378462952969</v>
      </c>
      <c r="H68" s="390">
        <f>-'Capital de Giro RPU'!J16</f>
        <v>-1704.5852402959135</v>
      </c>
      <c r="I68" s="390">
        <f>-'Capital de Giro RPU'!K16</f>
        <v>-113101.53255464183</v>
      </c>
      <c r="J68" s="390">
        <f>-'Capital de Giro RPU'!L16</f>
        <v>-1946.2498287149356</v>
      </c>
      <c r="K68" s="390">
        <f>-'Capital de Giro RPU'!M16</f>
        <v>-1597.6482238796889</v>
      </c>
      <c r="L68" s="390">
        <f>-'Capital de Giro RPU'!N16</f>
        <v>-1814.1642477302812</v>
      </c>
      <c r="M68" s="390">
        <f>-'Capital de Giro RPU'!O16</f>
        <v>-1225.8259787272546</v>
      </c>
      <c r="N68" s="390">
        <f>-'Capital de Giro RPU'!P16</f>
        <v>-2140.6565224450314</v>
      </c>
      <c r="O68" s="390">
        <f>-'Capital de Giro RPU'!Q16</f>
        <v>15138.131120896491</v>
      </c>
      <c r="P68" s="390">
        <f>-'Capital de Giro RPU'!R16</f>
        <v>-1595.7846764762653</v>
      </c>
      <c r="Q68" s="390">
        <f>-'Capital de Giro RPU'!S16</f>
        <v>-983.76773075887468</v>
      </c>
      <c r="R68" s="390">
        <f>-'Capital de Giro RPU'!T16</f>
        <v>-978.27691309479997</v>
      </c>
      <c r="S68" s="390">
        <f>-'Capital de Giro RPU'!U16</f>
        <v>-875.04210255271755</v>
      </c>
      <c r="T68" s="390">
        <f>-'Capital de Giro RPU'!V16</f>
        <v>-1095.1963304575766</v>
      </c>
      <c r="U68" s="390">
        <f>-'Capital de Giro RPU'!W16</f>
        <v>58.327902663964778</v>
      </c>
      <c r="V68" s="390">
        <f>-'Capital de Giro RPU'!X16</f>
        <v>-819.28002448892221</v>
      </c>
      <c r="W68" s="390">
        <f>-'Capital de Giro RPU'!Y16</f>
        <v>-494.88936446723528</v>
      </c>
      <c r="X68" s="390">
        <f>-'Capital de Giro RPU'!Z16</f>
        <v>-369.28689341526479</v>
      </c>
      <c r="Y68" s="390">
        <f>-'Capital de Giro RPU'!AA16</f>
        <v>-225.78637291974155</v>
      </c>
      <c r="Z68" s="390">
        <f>-'Capital de Giro RPU'!AB16</f>
        <v>-654.40569195791613</v>
      </c>
      <c r="AA68" s="390">
        <f>-'Capital de Giro RPU'!AC16</f>
        <v>-304.15981402702164</v>
      </c>
      <c r="AB68" s="390">
        <f>-'Capital de Giro RPU'!AD16</f>
        <v>-441.07453229872044</v>
      </c>
      <c r="AC68" s="390">
        <f>-'Capital de Giro RPU'!AE16</f>
        <v>-18.91393728350522</v>
      </c>
      <c r="AD68" s="390">
        <f>-'Capital de Giro RPU'!AF16</f>
        <v>-895.76943657954689</v>
      </c>
      <c r="AE68" s="390">
        <f>-'Capital de Giro RPU'!AG16</f>
        <v>-421.29631211387459</v>
      </c>
      <c r="AF68" s="390">
        <f>-'Capital de Giro RPU'!AH16</f>
        <v>-416.33514710806776</v>
      </c>
      <c r="AG68" s="390">
        <f>-'Capital de Giro RPU'!AI16</f>
        <v>-416.36592732381541</v>
      </c>
      <c r="AH68" s="390">
        <f>-'Capital de Giro RPU'!AJ16</f>
        <v>362869.45794463763</v>
      </c>
    </row>
    <row r="69" spans="2:37" ht="6" customHeight="1" x14ac:dyDescent="0.35">
      <c r="B69" s="114"/>
      <c r="C69" s="114"/>
      <c r="D69" s="135"/>
      <c r="E69" s="391"/>
      <c r="F69" s="391"/>
      <c r="G69" s="391"/>
      <c r="H69" s="538"/>
      <c r="I69" s="538"/>
      <c r="J69" s="538"/>
      <c r="K69" s="538"/>
      <c r="L69" s="538"/>
      <c r="M69" s="538"/>
      <c r="N69" s="538"/>
      <c r="O69" s="538"/>
      <c r="P69" s="538"/>
      <c r="Q69" s="538"/>
      <c r="R69" s="538"/>
      <c r="S69" s="538"/>
      <c r="T69" s="538"/>
      <c r="U69" s="538"/>
      <c r="V69" s="538"/>
      <c r="W69" s="538"/>
      <c r="X69" s="538"/>
      <c r="Y69" s="538"/>
      <c r="Z69" s="538"/>
      <c r="AA69" s="538"/>
      <c r="AB69" s="538"/>
      <c r="AC69" s="538"/>
      <c r="AD69" s="538"/>
      <c r="AE69" s="538"/>
      <c r="AF69" s="538"/>
      <c r="AG69" s="538"/>
      <c r="AH69" s="538"/>
    </row>
    <row r="70" spans="2:37" x14ac:dyDescent="0.35">
      <c r="B70" s="131" t="s">
        <v>418</v>
      </c>
      <c r="C70" s="133"/>
      <c r="D70" s="138"/>
      <c r="E70" s="386">
        <f>E67+E68</f>
        <v>-2440507.7771505215</v>
      </c>
      <c r="F70" s="386">
        <f t="shared" ref="F70:AH70" si="70">F67+F68</f>
        <v>-1568542.276077712</v>
      </c>
      <c r="G70" s="386">
        <f t="shared" si="70"/>
        <v>-191908.25462643849</v>
      </c>
      <c r="H70" s="535">
        <f t="shared" si="70"/>
        <v>-106429.72084792252</v>
      </c>
      <c r="I70" s="535">
        <f t="shared" si="70"/>
        <v>1938004.7729388652</v>
      </c>
      <c r="J70" s="535">
        <f t="shared" si="70"/>
        <v>2064578.5887859485</v>
      </c>
      <c r="K70" s="535">
        <f t="shared" si="70"/>
        <v>2076492.0453019473</v>
      </c>
      <c r="L70" s="535">
        <f t="shared" si="70"/>
        <v>2092009.6654970679</v>
      </c>
      <c r="M70" s="535">
        <f t="shared" si="70"/>
        <v>2097002.9658019978</v>
      </c>
      <c r="N70" s="535">
        <f t="shared" si="70"/>
        <v>2118109.2802348686</v>
      </c>
      <c r="O70" s="535">
        <f t="shared" si="70"/>
        <v>1824720.1730795696</v>
      </c>
      <c r="P70" s="535">
        <f t="shared" si="70"/>
        <v>1827602.2014633687</v>
      </c>
      <c r="Q70" s="535">
        <f t="shared" si="70"/>
        <v>1836045.0264767138</v>
      </c>
      <c r="R70" s="535">
        <f t="shared" si="70"/>
        <v>1843775.5929407084</v>
      </c>
      <c r="S70" s="535">
        <f t="shared" si="70"/>
        <v>1849615.9906405727</v>
      </c>
      <c r="T70" s="535">
        <f t="shared" si="70"/>
        <v>1859319.4350351016</v>
      </c>
      <c r="U70" s="535">
        <f t="shared" si="70"/>
        <v>1854860.8375197242</v>
      </c>
      <c r="V70" s="535">
        <f t="shared" si="70"/>
        <v>1865270.5236988105</v>
      </c>
      <c r="W70" s="535">
        <f t="shared" si="70"/>
        <v>1870635.6688731995</v>
      </c>
      <c r="X70" s="535">
        <f t="shared" si="70"/>
        <v>1873383.3963943478</v>
      </c>
      <c r="Y70" s="535">
        <f t="shared" si="70"/>
        <v>1873372.4417925805</v>
      </c>
      <c r="Z70" s="535">
        <f t="shared" si="70"/>
        <v>1881056.2593080886</v>
      </c>
      <c r="AA70" s="535">
        <f t="shared" si="70"/>
        <v>1882774.5285308664</v>
      </c>
      <c r="AB70" s="535">
        <f t="shared" si="70"/>
        <v>1886642.0978013305</v>
      </c>
      <c r="AC70" s="535">
        <f t="shared" si="70"/>
        <v>1882939.5229102932</v>
      </c>
      <c r="AD70" s="535">
        <f t="shared" si="70"/>
        <v>1894822.8588594403</v>
      </c>
      <c r="AE70" s="535">
        <f t="shared" si="70"/>
        <v>1898920.9621113352</v>
      </c>
      <c r="AF70" s="535">
        <f t="shared" si="70"/>
        <v>1902454.0200933223</v>
      </c>
      <c r="AG70" s="535">
        <f t="shared" si="70"/>
        <v>1905982.6788408533</v>
      </c>
      <c r="AH70" s="535">
        <f t="shared" si="70"/>
        <v>2271233.5017833584</v>
      </c>
    </row>
    <row r="71" spans="2:37" x14ac:dyDescent="0.35">
      <c r="B71" s="189" t="s">
        <v>408</v>
      </c>
      <c r="C71" s="137" t="s">
        <v>419</v>
      </c>
      <c r="D71" s="137"/>
      <c r="E71" s="390">
        <f t="shared" ref="E71:AH71" si="71">-H20</f>
        <v>-4642196.8216599189</v>
      </c>
      <c r="F71" s="390">
        <f t="shared" si="71"/>
        <v>-285425.10121457494</v>
      </c>
      <c r="G71" s="390">
        <f t="shared" si="71"/>
        <v>-771178.70392712532</v>
      </c>
      <c r="H71" s="390">
        <f t="shared" si="71"/>
        <v>-433711.60102833994</v>
      </c>
      <c r="I71" s="390">
        <f t="shared" si="71"/>
        <v>-13226.44696356275</v>
      </c>
      <c r="J71" s="390">
        <f t="shared" si="71"/>
        <v>0</v>
      </c>
      <c r="K71" s="390">
        <f t="shared" si="71"/>
        <v>0</v>
      </c>
      <c r="L71" s="390">
        <f t="shared" si="71"/>
        <v>0</v>
      </c>
      <c r="M71" s="390">
        <f t="shared" si="71"/>
        <v>0</v>
      </c>
      <c r="N71" s="390">
        <f t="shared" si="71"/>
        <v>-170802.38032388661</v>
      </c>
      <c r="O71" s="390">
        <f t="shared" si="71"/>
        <v>-3314327.2841052627</v>
      </c>
      <c r="P71" s="390">
        <f t="shared" si="71"/>
        <v>0</v>
      </c>
      <c r="Q71" s="390">
        <f t="shared" si="71"/>
        <v>0</v>
      </c>
      <c r="R71" s="390">
        <f t="shared" si="71"/>
        <v>-30592.585425101192</v>
      </c>
      <c r="S71" s="390">
        <f t="shared" si="71"/>
        <v>-13226.446963562752</v>
      </c>
      <c r="T71" s="390">
        <f t="shared" si="71"/>
        <v>0</v>
      </c>
      <c r="U71" s="390">
        <f t="shared" si="71"/>
        <v>0</v>
      </c>
      <c r="V71" s="390">
        <f t="shared" si="71"/>
        <v>-433711.60102833994</v>
      </c>
      <c r="W71" s="390">
        <f t="shared" si="71"/>
        <v>0</v>
      </c>
      <c r="X71" s="390">
        <f t="shared" si="71"/>
        <v>-170802.38032388658</v>
      </c>
      <c r="Y71" s="390">
        <f t="shared" si="71"/>
        <v>-1257589.7243724689</v>
      </c>
      <c r="Z71" s="390">
        <f t="shared" si="71"/>
        <v>0</v>
      </c>
      <c r="AA71" s="390">
        <f t="shared" si="71"/>
        <v>0</v>
      </c>
      <c r="AB71" s="390">
        <f t="shared" si="71"/>
        <v>-464304.18645344122</v>
      </c>
      <c r="AC71" s="390">
        <f t="shared" si="71"/>
        <v>-13226.446963562754</v>
      </c>
      <c r="AD71" s="390">
        <f t="shared" si="71"/>
        <v>0</v>
      </c>
      <c r="AE71" s="390">
        <f t="shared" si="71"/>
        <v>0</v>
      </c>
      <c r="AF71" s="390">
        <f t="shared" si="71"/>
        <v>0</v>
      </c>
      <c r="AG71" s="390">
        <f t="shared" si="71"/>
        <v>0</v>
      </c>
      <c r="AH71" s="390">
        <f t="shared" si="71"/>
        <v>-446938.0479919028</v>
      </c>
    </row>
    <row r="72" spans="2:37" ht="4.5" customHeight="1" x14ac:dyDescent="0.35">
      <c r="B72" s="129"/>
      <c r="C72" s="129"/>
      <c r="D72" s="135"/>
      <c r="E72" s="150"/>
      <c r="F72" s="150"/>
      <c r="G72" s="150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</row>
    <row r="73" spans="2:37" x14ac:dyDescent="0.35">
      <c r="B73" s="541" t="s">
        <v>420</v>
      </c>
      <c r="C73" s="542"/>
      <c r="D73" s="543"/>
      <c r="E73" s="539">
        <f>E70+E71</f>
        <v>-7082704.5988104399</v>
      </c>
      <c r="F73" s="539">
        <f t="shared" ref="F73:AH73" si="72">F70+F71</f>
        <v>-1853967.3772922868</v>
      </c>
      <c r="G73" s="539">
        <f t="shared" si="72"/>
        <v>-963086.9585535638</v>
      </c>
      <c r="H73" s="540">
        <f t="shared" si="72"/>
        <v>-540141.32187626243</v>
      </c>
      <c r="I73" s="540">
        <f t="shared" si="72"/>
        <v>1924778.3259753024</v>
      </c>
      <c r="J73" s="540">
        <f t="shared" si="72"/>
        <v>2064578.5887859485</v>
      </c>
      <c r="K73" s="540">
        <f t="shared" si="72"/>
        <v>2076492.0453019473</v>
      </c>
      <c r="L73" s="540">
        <f t="shared" si="72"/>
        <v>2092009.6654970679</v>
      </c>
      <c r="M73" s="540">
        <f t="shared" si="72"/>
        <v>2097002.9658019978</v>
      </c>
      <c r="N73" s="540">
        <f t="shared" si="72"/>
        <v>1947306.899910982</v>
      </c>
      <c r="O73" s="540">
        <f t="shared" si="72"/>
        <v>-1489607.1110256931</v>
      </c>
      <c r="P73" s="540">
        <f t="shared" si="72"/>
        <v>1827602.2014633687</v>
      </c>
      <c r="Q73" s="540">
        <f t="shared" si="72"/>
        <v>1836045.0264767138</v>
      </c>
      <c r="R73" s="540">
        <f t="shared" si="72"/>
        <v>1813183.0075156072</v>
      </c>
      <c r="S73" s="540">
        <f t="shared" si="72"/>
        <v>1836389.5436770099</v>
      </c>
      <c r="T73" s="540">
        <f t="shared" si="72"/>
        <v>1859319.4350351016</v>
      </c>
      <c r="U73" s="540">
        <f t="shared" si="72"/>
        <v>1854860.8375197242</v>
      </c>
      <c r="V73" s="540">
        <f t="shared" si="72"/>
        <v>1431558.9226704706</v>
      </c>
      <c r="W73" s="540">
        <f t="shared" si="72"/>
        <v>1870635.6688731995</v>
      </c>
      <c r="X73" s="540">
        <f t="shared" si="72"/>
        <v>1702581.0160704611</v>
      </c>
      <c r="Y73" s="540">
        <f t="shared" si="72"/>
        <v>615782.71742011164</v>
      </c>
      <c r="Z73" s="540">
        <f t="shared" si="72"/>
        <v>1881056.2593080886</v>
      </c>
      <c r="AA73" s="540">
        <f t="shared" si="72"/>
        <v>1882774.5285308664</v>
      </c>
      <c r="AB73" s="540">
        <f t="shared" si="72"/>
        <v>1422337.9113478893</v>
      </c>
      <c r="AC73" s="540">
        <f t="shared" si="72"/>
        <v>1869713.0759467303</v>
      </c>
      <c r="AD73" s="540">
        <f t="shared" si="72"/>
        <v>1894822.8588594403</v>
      </c>
      <c r="AE73" s="540">
        <f t="shared" si="72"/>
        <v>1898920.9621113352</v>
      </c>
      <c r="AF73" s="540">
        <f t="shared" si="72"/>
        <v>1902454.0200933223</v>
      </c>
      <c r="AG73" s="540">
        <f t="shared" si="72"/>
        <v>1905982.6788408533</v>
      </c>
      <c r="AH73" s="540">
        <f t="shared" si="72"/>
        <v>1824295.4537914556</v>
      </c>
    </row>
    <row r="74" spans="2:37" x14ac:dyDescent="0.35">
      <c r="B74" s="541" t="s">
        <v>421</v>
      </c>
      <c r="C74" s="542"/>
      <c r="D74" s="543"/>
      <c r="E74" s="539">
        <f>E73</f>
        <v>-7082704.5988104399</v>
      </c>
      <c r="F74" s="539">
        <f>IF(F47&gt;'Premissas Gerais'!$E$7,0,F73+E74)</f>
        <v>-8936671.9761027265</v>
      </c>
      <c r="G74" s="539">
        <f>IF(G47&gt;'Premissas Gerais'!$E$7,0,G73+F74)</f>
        <v>-9899758.9346562903</v>
      </c>
      <c r="H74" s="540">
        <f>IF(H47&gt;'Premissas Gerais'!$E$7,0,H73+G74)</f>
        <v>-10439900.256532554</v>
      </c>
      <c r="I74" s="540">
        <f>IF(I47&gt;'Premissas Gerais'!$E$7,0,I73+H74)</f>
        <v>-8515121.930557251</v>
      </c>
      <c r="J74" s="540">
        <f>IF(J47&gt;'Premissas Gerais'!$E$7,0,J73+I74)</f>
        <v>-6450543.3417713027</v>
      </c>
      <c r="K74" s="540">
        <f>IF(K47&gt;'Premissas Gerais'!$E$7,0,K73+J74)</f>
        <v>-4374051.296469355</v>
      </c>
      <c r="L74" s="540">
        <f>IF(L47&gt;'Premissas Gerais'!$E$7,0,L73+K74)</f>
        <v>-2282041.6309722872</v>
      </c>
      <c r="M74" s="540">
        <f>IF(M47&gt;'Premissas Gerais'!$E$7,0,M73+L74)</f>
        <v>-185038.66517028934</v>
      </c>
      <c r="N74" s="540">
        <f>IF(N47&gt;'Premissas Gerais'!$E$7,0,N73+M74)</f>
        <v>1762268.2347406927</v>
      </c>
      <c r="O74" s="540">
        <f>IF(O47&gt;'Premissas Gerais'!$E$7,0,O73+N74)</f>
        <v>272661.12371499953</v>
      </c>
      <c r="P74" s="540">
        <f>IF(P47&gt;'Premissas Gerais'!$E$7,0,P73+O74)</f>
        <v>2100263.325178368</v>
      </c>
      <c r="Q74" s="540">
        <f>IF(Q47&gt;'Premissas Gerais'!$E$7,0,Q73+P74)</f>
        <v>3936308.3516550818</v>
      </c>
      <c r="R74" s="540">
        <f>IF(R47&gt;'Premissas Gerais'!$E$7,0,R73+Q74)</f>
        <v>5749491.3591706892</v>
      </c>
      <c r="S74" s="540">
        <f>IF(S47&gt;'Premissas Gerais'!$E$7,0,S73+R74)</f>
        <v>7585880.9028476989</v>
      </c>
      <c r="T74" s="540">
        <f>IF(T47&gt;'Premissas Gerais'!$E$7,0,T73+S74)</f>
        <v>9445200.3378828</v>
      </c>
      <c r="U74" s="540">
        <f>IF(U47&gt;'Premissas Gerais'!$E$7,0,U73+T74)</f>
        <v>11300061.175402524</v>
      </c>
      <c r="V74" s="540">
        <f>IF(V47&gt;'Premissas Gerais'!$E$7,0,V73+U74)</f>
        <v>12731620.098072995</v>
      </c>
      <c r="W74" s="540">
        <f>IF(W47&gt;'Premissas Gerais'!$E$7,0,W73+V74)</f>
        <v>14602255.766946195</v>
      </c>
      <c r="X74" s="540">
        <f>IF(X47&gt;'Premissas Gerais'!$E$7,0,X73+W74)</f>
        <v>16304836.783016656</v>
      </c>
      <c r="Y74" s="540">
        <f>IF(Y47&gt;'Premissas Gerais'!$E$7,0,Y73+X74)</f>
        <v>16920619.500436768</v>
      </c>
      <c r="Z74" s="540">
        <f>IF(Z47&gt;'Premissas Gerais'!$E$7,0,Z73+Y74)</f>
        <v>18801675.759744857</v>
      </c>
      <c r="AA74" s="540">
        <f>IF(AA47&gt;'Premissas Gerais'!$E$7,0,AA73+Z74)</f>
        <v>20684450.288275722</v>
      </c>
      <c r="AB74" s="540">
        <f>IF(AB47&gt;'Premissas Gerais'!$E$7,0,AB73+AA74)</f>
        <v>22106788.199623611</v>
      </c>
      <c r="AC74" s="540">
        <f>IF(AC47&gt;'Premissas Gerais'!$E$7,0,AC73+AB74)</f>
        <v>23976501.27557034</v>
      </c>
      <c r="AD74" s="540">
        <f>IF(AD47&gt;'Premissas Gerais'!$E$7,0,AD73+AC74)</f>
        <v>25871324.134429783</v>
      </c>
      <c r="AE74" s="540">
        <f>IF(AE47&gt;'Premissas Gerais'!$E$7,0,AE73+AD74)</f>
        <v>27770245.096541118</v>
      </c>
      <c r="AF74" s="540">
        <f>IF(AF47&gt;'Premissas Gerais'!$E$7,0,AF73+AE74)</f>
        <v>29672699.11663444</v>
      </c>
      <c r="AG74" s="540">
        <f>IF(AG47&gt;'Premissas Gerais'!$E$7,0,AG73+AF74)</f>
        <v>31578681.795475293</v>
      </c>
      <c r="AH74" s="540">
        <f>IF(AH47&gt;'Premissas Gerais'!$E$7,0,AH73+AG74)</f>
        <v>33402977.249266747</v>
      </c>
    </row>
    <row r="75" spans="2:37" ht="3.75" customHeight="1" x14ac:dyDescent="0.35">
      <c r="B75" s="129"/>
      <c r="C75" s="129"/>
      <c r="D75" s="135"/>
      <c r="E75" s="150"/>
      <c r="F75" s="251"/>
      <c r="G75" s="251"/>
      <c r="H75" s="305"/>
      <c r="I75" s="305"/>
      <c r="J75" s="305"/>
      <c r="K75" s="305"/>
      <c r="L75" s="305"/>
      <c r="M75" s="305"/>
      <c r="N75" s="305"/>
      <c r="O75" s="305"/>
      <c r="P75" s="305"/>
      <c r="Q75" s="305"/>
      <c r="R75" s="305"/>
      <c r="S75" s="305"/>
      <c r="T75" s="305"/>
      <c r="U75" s="305"/>
      <c r="V75" s="305"/>
      <c r="W75" s="305"/>
      <c r="X75" s="305"/>
      <c r="Y75" s="305"/>
      <c r="Z75" s="305"/>
      <c r="AA75" s="305"/>
      <c r="AB75" s="305"/>
      <c r="AC75" s="305"/>
      <c r="AD75" s="305"/>
      <c r="AE75" s="305"/>
      <c r="AF75" s="305"/>
      <c r="AG75" s="305"/>
      <c r="AH75" s="305"/>
    </row>
    <row r="76" spans="2:37" x14ac:dyDescent="0.35">
      <c r="B76" s="125"/>
      <c r="C76" s="125"/>
      <c r="D76" s="125"/>
      <c r="E76" s="151"/>
      <c r="F76" s="250"/>
    </row>
    <row r="77" spans="2:37" hidden="1" x14ac:dyDescent="0.35">
      <c r="B77" s="214"/>
      <c r="C77" s="214" t="s">
        <v>422</v>
      </c>
      <c r="D77" s="214"/>
      <c r="E77" s="214"/>
      <c r="F77" s="214" t="str">
        <f>IF(AND(F74&gt;0,E74&lt;0),1,"")</f>
        <v/>
      </c>
      <c r="G77" s="214" t="str">
        <f t="shared" ref="G77:AH77" si="73">IF(AND(G74&gt;0,F74&lt;0),1,"")</f>
        <v/>
      </c>
      <c r="H77" s="306" t="str">
        <f t="shared" si="73"/>
        <v/>
      </c>
      <c r="I77" s="306" t="str">
        <f t="shared" si="73"/>
        <v/>
      </c>
      <c r="J77" s="306" t="str">
        <f t="shared" si="73"/>
        <v/>
      </c>
      <c r="K77" s="306" t="str">
        <f t="shared" si="73"/>
        <v/>
      </c>
      <c r="L77" s="306" t="str">
        <f t="shared" si="73"/>
        <v/>
      </c>
      <c r="M77" s="306" t="str">
        <f t="shared" si="73"/>
        <v/>
      </c>
      <c r="N77" s="306">
        <f t="shared" si="73"/>
        <v>1</v>
      </c>
      <c r="O77" s="306" t="str">
        <f t="shared" si="73"/>
        <v/>
      </c>
      <c r="P77" s="306" t="str">
        <f t="shared" si="73"/>
        <v/>
      </c>
      <c r="Q77" s="306" t="str">
        <f t="shared" si="73"/>
        <v/>
      </c>
      <c r="R77" s="306" t="str">
        <f t="shared" si="73"/>
        <v/>
      </c>
      <c r="S77" s="306" t="str">
        <f t="shared" si="73"/>
        <v/>
      </c>
      <c r="T77" s="306" t="str">
        <f t="shared" si="73"/>
        <v/>
      </c>
      <c r="U77" s="306" t="str">
        <f t="shared" si="73"/>
        <v/>
      </c>
      <c r="V77" s="306" t="str">
        <f t="shared" si="73"/>
        <v/>
      </c>
      <c r="W77" s="306" t="str">
        <f t="shared" si="73"/>
        <v/>
      </c>
      <c r="X77" s="306" t="str">
        <f t="shared" si="73"/>
        <v/>
      </c>
      <c r="Y77" s="306" t="str">
        <f t="shared" si="73"/>
        <v/>
      </c>
      <c r="Z77" s="306" t="str">
        <f t="shared" si="73"/>
        <v/>
      </c>
      <c r="AA77" s="306" t="str">
        <f t="shared" si="73"/>
        <v/>
      </c>
      <c r="AB77" s="306" t="str">
        <f t="shared" si="73"/>
        <v/>
      </c>
      <c r="AC77" s="306" t="str">
        <f t="shared" si="73"/>
        <v/>
      </c>
      <c r="AD77" s="306" t="str">
        <f t="shared" si="73"/>
        <v/>
      </c>
      <c r="AE77" s="306" t="str">
        <f t="shared" si="73"/>
        <v/>
      </c>
      <c r="AF77" s="306" t="str">
        <f t="shared" si="73"/>
        <v/>
      </c>
      <c r="AG77" s="306" t="str">
        <f t="shared" si="73"/>
        <v/>
      </c>
      <c r="AH77" s="306" t="str">
        <f t="shared" si="73"/>
        <v/>
      </c>
      <c r="AI77" s="306" t="e">
        <f>IF(AND(#REF!&gt;0,AH74&lt;0),1,"")</f>
        <v>#REF!</v>
      </c>
      <c r="AJ77" s="306" t="e">
        <f>IF(AND(#REF!&gt;0,#REF!&lt;0),1,"")</f>
        <v>#REF!</v>
      </c>
      <c r="AK77" s="306" t="e">
        <f>IF(AND(#REF!&gt;0,#REF!&lt;0),1,"")</f>
        <v>#REF!</v>
      </c>
    </row>
    <row r="78" spans="2:37" hidden="1" x14ac:dyDescent="0.35">
      <c r="B78" s="215"/>
      <c r="C78" s="215" t="s">
        <v>423</v>
      </c>
      <c r="D78" s="215"/>
      <c r="E78" s="216">
        <f>E47</f>
        <v>1</v>
      </c>
      <c r="F78" s="216">
        <f t="shared" ref="F78:AH78" si="74">F47</f>
        <v>2</v>
      </c>
      <c r="G78" s="216">
        <f t="shared" si="74"/>
        <v>3</v>
      </c>
      <c r="H78" s="307">
        <f t="shared" si="74"/>
        <v>4</v>
      </c>
      <c r="I78" s="307">
        <f t="shared" si="74"/>
        <v>5</v>
      </c>
      <c r="J78" s="307">
        <f t="shared" si="74"/>
        <v>6</v>
      </c>
      <c r="K78" s="307">
        <f t="shared" si="74"/>
        <v>7</v>
      </c>
      <c r="L78" s="307">
        <f t="shared" si="74"/>
        <v>8</v>
      </c>
      <c r="M78" s="307">
        <f t="shared" si="74"/>
        <v>9</v>
      </c>
      <c r="N78" s="307">
        <f t="shared" si="74"/>
        <v>10</v>
      </c>
      <c r="O78" s="307">
        <f t="shared" si="74"/>
        <v>11</v>
      </c>
      <c r="P78" s="307">
        <f t="shared" si="74"/>
        <v>12</v>
      </c>
      <c r="Q78" s="307">
        <f t="shared" si="74"/>
        <v>13</v>
      </c>
      <c r="R78" s="307">
        <f t="shared" si="74"/>
        <v>14</v>
      </c>
      <c r="S78" s="307">
        <f t="shared" si="74"/>
        <v>15</v>
      </c>
      <c r="T78" s="307">
        <f t="shared" si="74"/>
        <v>16</v>
      </c>
      <c r="U78" s="307">
        <f t="shared" si="74"/>
        <v>17</v>
      </c>
      <c r="V78" s="307">
        <f t="shared" si="74"/>
        <v>18</v>
      </c>
      <c r="W78" s="307">
        <f t="shared" si="74"/>
        <v>19</v>
      </c>
      <c r="X78" s="307">
        <f t="shared" si="74"/>
        <v>20</v>
      </c>
      <c r="Y78" s="307">
        <f t="shared" si="74"/>
        <v>21</v>
      </c>
      <c r="Z78" s="307">
        <f t="shared" si="74"/>
        <v>22</v>
      </c>
      <c r="AA78" s="307">
        <f t="shared" si="74"/>
        <v>23</v>
      </c>
      <c r="AB78" s="307">
        <f t="shared" si="74"/>
        <v>24</v>
      </c>
      <c r="AC78" s="307">
        <f t="shared" si="74"/>
        <v>25</v>
      </c>
      <c r="AD78" s="307">
        <f t="shared" si="74"/>
        <v>26</v>
      </c>
      <c r="AE78" s="307">
        <f t="shared" si="74"/>
        <v>27</v>
      </c>
      <c r="AF78" s="307">
        <f t="shared" si="74"/>
        <v>28</v>
      </c>
      <c r="AG78" s="307">
        <f t="shared" si="74"/>
        <v>29</v>
      </c>
      <c r="AH78" s="307">
        <f t="shared" si="74"/>
        <v>30</v>
      </c>
      <c r="AI78" s="307" t="e">
        <f>#REF!</f>
        <v>#REF!</v>
      </c>
      <c r="AJ78" s="307" t="e">
        <f>#REF!</f>
        <v>#REF!</v>
      </c>
      <c r="AK78" s="307" t="e">
        <f>#REF!</f>
        <v>#REF!</v>
      </c>
    </row>
    <row r="79" spans="2:37" ht="15" thickBot="1" x14ac:dyDescent="0.4">
      <c r="B79" s="217"/>
      <c r="C79" s="217"/>
      <c r="D79" s="217"/>
      <c r="E79" s="218"/>
      <c r="F79" s="218"/>
      <c r="G79" s="219"/>
      <c r="H79" s="308"/>
      <c r="I79" s="308"/>
      <c r="J79" s="308"/>
      <c r="K79" s="308"/>
      <c r="L79" s="308"/>
      <c r="M79" s="308"/>
      <c r="N79" s="308"/>
      <c r="O79" s="308"/>
      <c r="P79" s="308"/>
      <c r="Q79" s="308"/>
      <c r="R79" s="308"/>
      <c r="S79" s="308"/>
      <c r="T79" s="308"/>
      <c r="U79" s="308"/>
      <c r="V79" s="308"/>
      <c r="W79" s="308"/>
      <c r="X79" s="308"/>
      <c r="Y79" s="308"/>
      <c r="Z79" s="308"/>
      <c r="AA79" s="308"/>
      <c r="AB79" s="308"/>
      <c r="AC79" s="308"/>
      <c r="AD79" s="308"/>
      <c r="AE79" s="308"/>
      <c r="AF79" s="308"/>
      <c r="AG79" s="308"/>
      <c r="AH79" s="308"/>
      <c r="AI79" s="308"/>
      <c r="AJ79" s="308"/>
      <c r="AK79" s="308"/>
    </row>
    <row r="80" spans="2:37" x14ac:dyDescent="0.35">
      <c r="B80" s="139"/>
      <c r="C80" s="139"/>
      <c r="D80" s="140"/>
      <c r="E80" s="139"/>
      <c r="F80" s="139"/>
    </row>
    <row r="81" spans="2:6" x14ac:dyDescent="0.35">
      <c r="B81" s="141" t="s">
        <v>432</v>
      </c>
      <c r="C81" s="142"/>
      <c r="D81" s="142"/>
      <c r="E81" s="377">
        <f>IRR(E73:AH73,0.7%)</f>
        <v>0.11686514968839634</v>
      </c>
      <c r="F81" s="152"/>
    </row>
    <row r="82" spans="2:6" x14ac:dyDescent="0.35">
      <c r="B82" s="143" t="s">
        <v>433</v>
      </c>
      <c r="C82" s="144"/>
      <c r="D82" s="144"/>
      <c r="E82" s="378">
        <f>(1+E81)^(1/12)-1</f>
        <v>9.2530292980739226E-3</v>
      </c>
      <c r="F82" s="153"/>
    </row>
    <row r="83" spans="2:6" x14ac:dyDescent="0.35">
      <c r="B83" s="145" t="s">
        <v>434</v>
      </c>
      <c r="C83" s="146"/>
      <c r="D83" s="146"/>
      <c r="E83" s="379">
        <f>NPV(WACC!$E$39,'Cálculo Valor RPU'!F73:AH73)+E73</f>
        <v>14.605395324528217</v>
      </c>
      <c r="F83" s="154"/>
    </row>
    <row r="84" spans="2:6" x14ac:dyDescent="0.35">
      <c r="B84" s="147" t="s">
        <v>435</v>
      </c>
      <c r="C84" s="148"/>
      <c r="D84" s="148"/>
      <c r="E84" s="380">
        <f>HLOOKUP(1,E77:AK78,2,TRUE)</f>
        <v>10</v>
      </c>
      <c r="F84" s="155"/>
    </row>
    <row r="86" spans="2:6" x14ac:dyDescent="0.35">
      <c r="E86" s="96"/>
    </row>
    <row r="87" spans="2:6" x14ac:dyDescent="0.35">
      <c r="E87" s="96"/>
    </row>
    <row r="88" spans="2:6" x14ac:dyDescent="0.35">
      <c r="E88" s="96"/>
    </row>
    <row r="90" spans="2:6" x14ac:dyDescent="0.35">
      <c r="E90" s="96"/>
    </row>
  </sheetData>
  <sheetProtection algorithmName="SHA-512" hashValue="6F4hvf/4997rufWoHEKnEXJXJQwHsfaxEaSjahHkE5ttZtQu9Wbwvj3uLubiLknoQBJQXhUW7eyLZ4IUHcdtlw==" saltValue="QxKDoP/jx9W+OB89LljDiA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A4DDFF-AA7A-4B3C-AA1B-878A75321814}">
  <sheetPr codeName="Planilha22">
    <tabColor theme="7" tint="0.79998168889431442"/>
  </sheetPr>
  <dimension ref="C2:AJ28"/>
  <sheetViews>
    <sheetView showGridLines="0" workbookViewId="0">
      <selection activeCell="A10" sqref="A10"/>
    </sheetView>
  </sheetViews>
  <sheetFormatPr defaultColWidth="8.81640625" defaultRowHeight="14.5" x14ac:dyDescent="0.35"/>
  <cols>
    <col min="1" max="2" width="2.08984375" customWidth="1"/>
    <col min="7" max="7" width="12.453125" bestFit="1" customWidth="1"/>
    <col min="8" max="8" width="12" customWidth="1"/>
    <col min="9" max="36" width="12.453125" bestFit="1" customWidth="1"/>
  </cols>
  <sheetData>
    <row r="2" spans="3:36" ht="21" x14ac:dyDescent="0.5">
      <c r="C2" s="98" t="s">
        <v>595</v>
      </c>
      <c r="D2" s="76"/>
      <c r="E2" s="76"/>
      <c r="F2" s="76"/>
      <c r="G2" s="76"/>
      <c r="H2" s="76"/>
      <c r="I2" s="76"/>
      <c r="J2" s="76"/>
      <c r="K2" s="75"/>
      <c r="L2" s="75"/>
      <c r="M2" s="75"/>
      <c r="N2" s="75"/>
      <c r="O2" s="75"/>
      <c r="P2" s="75"/>
      <c r="Q2" s="75"/>
      <c r="R2" s="75"/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  <c r="AE2" s="75"/>
      <c r="AF2" s="75"/>
      <c r="AG2" s="75"/>
      <c r="AH2" s="75"/>
      <c r="AI2" s="75"/>
      <c r="AJ2" s="75"/>
    </row>
    <row r="4" spans="3:36" x14ac:dyDescent="0.35">
      <c r="C4" s="101" t="s">
        <v>96</v>
      </c>
      <c r="D4" s="101"/>
      <c r="E4" s="101"/>
      <c r="F4" s="101"/>
      <c r="G4" s="101">
        <v>1</v>
      </c>
      <c r="H4" s="101">
        <f>G4+1</f>
        <v>2</v>
      </c>
      <c r="I4" s="101">
        <f t="shared" ref="I4:AJ4" si="0">H4+1</f>
        <v>3</v>
      </c>
      <c r="J4" s="101">
        <f t="shared" si="0"/>
        <v>4</v>
      </c>
      <c r="K4" s="101">
        <f t="shared" si="0"/>
        <v>5</v>
      </c>
      <c r="L4" s="101">
        <f t="shared" si="0"/>
        <v>6</v>
      </c>
      <c r="M4" s="101">
        <f t="shared" si="0"/>
        <v>7</v>
      </c>
      <c r="N4" s="101">
        <f t="shared" si="0"/>
        <v>8</v>
      </c>
      <c r="O4" s="101">
        <f t="shared" si="0"/>
        <v>9</v>
      </c>
      <c r="P4" s="101">
        <f t="shared" si="0"/>
        <v>10</v>
      </c>
      <c r="Q4" s="101">
        <f t="shared" si="0"/>
        <v>11</v>
      </c>
      <c r="R4" s="101">
        <f t="shared" si="0"/>
        <v>12</v>
      </c>
      <c r="S4" s="101">
        <f t="shared" si="0"/>
        <v>13</v>
      </c>
      <c r="T4" s="101">
        <f t="shared" si="0"/>
        <v>14</v>
      </c>
      <c r="U4" s="101">
        <f t="shared" si="0"/>
        <v>15</v>
      </c>
      <c r="V4" s="101">
        <f t="shared" si="0"/>
        <v>16</v>
      </c>
      <c r="W4" s="101">
        <f t="shared" si="0"/>
        <v>17</v>
      </c>
      <c r="X4" s="101">
        <f t="shared" si="0"/>
        <v>18</v>
      </c>
      <c r="Y4" s="101">
        <f t="shared" si="0"/>
        <v>19</v>
      </c>
      <c r="Z4" s="101">
        <f t="shared" si="0"/>
        <v>20</v>
      </c>
      <c r="AA4" s="101">
        <f t="shared" si="0"/>
        <v>21</v>
      </c>
      <c r="AB4" s="101">
        <f t="shared" si="0"/>
        <v>22</v>
      </c>
      <c r="AC4" s="101">
        <f t="shared" si="0"/>
        <v>23</v>
      </c>
      <c r="AD4" s="101">
        <f t="shared" si="0"/>
        <v>24</v>
      </c>
      <c r="AE4" s="101">
        <f t="shared" si="0"/>
        <v>25</v>
      </c>
      <c r="AF4" s="101">
        <f t="shared" si="0"/>
        <v>26</v>
      </c>
      <c r="AG4" s="101">
        <f t="shared" si="0"/>
        <v>27</v>
      </c>
      <c r="AH4" s="101">
        <f t="shared" si="0"/>
        <v>28</v>
      </c>
      <c r="AI4" s="101">
        <f t="shared" si="0"/>
        <v>29</v>
      </c>
      <c r="AJ4" s="101">
        <f t="shared" si="0"/>
        <v>30</v>
      </c>
    </row>
    <row r="5" spans="3:36" ht="9.75" customHeight="1" x14ac:dyDescent="0.35">
      <c r="C5" s="173"/>
      <c r="D5" s="193"/>
      <c r="E5" s="173"/>
      <c r="F5" s="173"/>
      <c r="G5" s="173"/>
    </row>
    <row r="6" spans="3:36" x14ac:dyDescent="0.35">
      <c r="C6" s="145" t="s">
        <v>596</v>
      </c>
      <c r="D6" s="146"/>
      <c r="E6" s="146"/>
      <c r="F6" s="146"/>
      <c r="G6" s="504">
        <f t="shared" ref="G6:AJ6" si="1">SUM(G7:G7)</f>
        <v>458942.67529631488</v>
      </c>
      <c r="H6" s="504">
        <f t="shared" si="1"/>
        <v>461074.3927895893</v>
      </c>
      <c r="I6" s="504">
        <f t="shared" si="1"/>
        <v>463206.11028286361</v>
      </c>
      <c r="J6" s="504">
        <f t="shared" si="1"/>
        <v>465337.82777613803</v>
      </c>
      <c r="K6" s="504">
        <f t="shared" si="1"/>
        <v>467469.54526941251</v>
      </c>
      <c r="L6" s="504">
        <f t="shared" si="1"/>
        <v>469599.54071914853</v>
      </c>
      <c r="M6" s="504">
        <f t="shared" si="1"/>
        <v>471451.83687220945</v>
      </c>
      <c r="N6" s="504">
        <f t="shared" si="1"/>
        <v>473304.13302527054</v>
      </c>
      <c r="O6" s="504">
        <f t="shared" si="1"/>
        <v>475156.42917833157</v>
      </c>
      <c r="P6" s="504">
        <f t="shared" si="1"/>
        <v>477008.72533139255</v>
      </c>
      <c r="Q6" s="504">
        <f t="shared" si="1"/>
        <v>478857.61999209336</v>
      </c>
      <c r="R6" s="504">
        <f t="shared" si="1"/>
        <v>479928.20573810168</v>
      </c>
      <c r="S6" s="504">
        <f t="shared" si="1"/>
        <v>480998.79148410988</v>
      </c>
      <c r="T6" s="504">
        <f t="shared" si="1"/>
        <v>482069.3772301182</v>
      </c>
      <c r="U6" s="504">
        <f t="shared" si="1"/>
        <v>483139.96297612676</v>
      </c>
      <c r="V6" s="504">
        <f t="shared" si="1"/>
        <v>484215.63371995662</v>
      </c>
      <c r="W6" s="504">
        <f t="shared" si="1"/>
        <v>484645.94380087731</v>
      </c>
      <c r="X6" s="504">
        <f t="shared" si="1"/>
        <v>485076.25388179778</v>
      </c>
      <c r="Y6" s="504">
        <f t="shared" si="1"/>
        <v>485506.56396271847</v>
      </c>
      <c r="Z6" s="504">
        <f t="shared" si="1"/>
        <v>485936.87404363905</v>
      </c>
      <c r="AA6" s="504">
        <f t="shared" si="1"/>
        <v>486368.50658909074</v>
      </c>
      <c r="AB6" s="504">
        <f t="shared" si="1"/>
        <v>486798.81667001144</v>
      </c>
      <c r="AC6" s="504">
        <f t="shared" si="1"/>
        <v>487229.1267509319</v>
      </c>
      <c r="AD6" s="504">
        <f t="shared" si="1"/>
        <v>487659.4368318526</v>
      </c>
      <c r="AE6" s="504">
        <f t="shared" si="1"/>
        <v>488089.74691277306</v>
      </c>
      <c r="AF6" s="504">
        <f t="shared" si="1"/>
        <v>488520.05699369364</v>
      </c>
      <c r="AG6" s="504">
        <f t="shared" si="1"/>
        <v>488950.36707461427</v>
      </c>
      <c r="AH6" s="504">
        <f t="shared" si="1"/>
        <v>489380.67715553491</v>
      </c>
      <c r="AI6" s="504">
        <f t="shared" si="1"/>
        <v>489810.98723645543</v>
      </c>
      <c r="AJ6" s="504">
        <f t="shared" si="1"/>
        <v>490241.29731737607</v>
      </c>
    </row>
    <row r="7" spans="3:36" x14ac:dyDescent="0.35">
      <c r="C7" s="210"/>
      <c r="D7" s="195" t="s">
        <v>151</v>
      </c>
      <c r="E7" s="195"/>
      <c r="F7" s="195"/>
      <c r="G7" s="505">
        <f>IF(G4&gt;'Premissas Gerais'!$E$7,0,'Cálculo Valor RPU'!E50/365*'Capital de Giro RPU'!$E$19)</f>
        <v>458942.67529631488</v>
      </c>
      <c r="H7" s="505">
        <f>IF(H4&gt;'Premissas Gerais'!$E$7,0,'Cálculo Valor RPU'!F50/365*'Capital de Giro RPU'!$E$19)</f>
        <v>461074.3927895893</v>
      </c>
      <c r="I7" s="505">
        <f>IF(I4&gt;'Premissas Gerais'!$E$7,0,'Cálculo Valor RPU'!G50/365*'Capital de Giro RPU'!$E$19)</f>
        <v>463206.11028286361</v>
      </c>
      <c r="J7" s="505">
        <f>IF(J4&gt;'Premissas Gerais'!$E$7,0,'Cálculo Valor RPU'!H50/365*'Capital de Giro RPU'!$E$19)</f>
        <v>465337.82777613803</v>
      </c>
      <c r="K7" s="505">
        <f>IF(K4&gt;'Premissas Gerais'!$E$7,0,'Cálculo Valor RPU'!I50/365*'Capital de Giro RPU'!$E$19)</f>
        <v>467469.54526941251</v>
      </c>
      <c r="L7" s="505">
        <f>IF(L4&gt;'Premissas Gerais'!$E$7,0,'Cálculo Valor RPU'!J50/365*'Capital de Giro RPU'!$E$19)</f>
        <v>469599.54071914853</v>
      </c>
      <c r="M7" s="505">
        <f>IF(M4&gt;'Premissas Gerais'!$E$7,0,'Cálculo Valor RPU'!K50/365*'Capital de Giro RPU'!$E$19)</f>
        <v>471451.83687220945</v>
      </c>
      <c r="N7" s="505">
        <f>IF(N4&gt;'Premissas Gerais'!$E$7,0,'Cálculo Valor RPU'!L50/365*'Capital de Giro RPU'!$E$19)</f>
        <v>473304.13302527054</v>
      </c>
      <c r="O7" s="505">
        <f>IF(O4&gt;'Premissas Gerais'!$E$7,0,'Cálculo Valor RPU'!M50/365*'Capital de Giro RPU'!$E$19)</f>
        <v>475156.42917833157</v>
      </c>
      <c r="P7" s="505">
        <f>IF(P4&gt;'Premissas Gerais'!$E$7,0,'Cálculo Valor RPU'!N50/365*'Capital de Giro RPU'!$E$19)</f>
        <v>477008.72533139255</v>
      </c>
      <c r="Q7" s="505">
        <f>IF(Q4&gt;'Premissas Gerais'!$E$7,0,'Cálculo Valor RPU'!O50/365*'Capital de Giro RPU'!$E$19)</f>
        <v>478857.61999209336</v>
      </c>
      <c r="R7" s="505">
        <f>IF(R4&gt;'Premissas Gerais'!$E$7,0,'Cálculo Valor RPU'!P50/365*'Capital de Giro RPU'!$E$19)</f>
        <v>479928.20573810168</v>
      </c>
      <c r="S7" s="505">
        <f>IF(S4&gt;'Premissas Gerais'!$E$7,0,'Cálculo Valor RPU'!Q50/365*'Capital de Giro RPU'!$E$19)</f>
        <v>480998.79148410988</v>
      </c>
      <c r="T7" s="505">
        <f>IF(T4&gt;'Premissas Gerais'!$E$7,0,'Cálculo Valor RPU'!R50/365*'Capital de Giro RPU'!$E$19)</f>
        <v>482069.3772301182</v>
      </c>
      <c r="U7" s="505">
        <f>IF(U4&gt;'Premissas Gerais'!$E$7,0,'Cálculo Valor RPU'!S50/365*'Capital de Giro RPU'!$E$19)</f>
        <v>483139.96297612676</v>
      </c>
      <c r="V7" s="505">
        <f>IF(V4&gt;'Premissas Gerais'!$E$7,0,'Cálculo Valor RPU'!T50/365*'Capital de Giro RPU'!$E$19)</f>
        <v>484215.63371995662</v>
      </c>
      <c r="W7" s="505">
        <f>IF(W4&gt;'Premissas Gerais'!$E$7,0,'Cálculo Valor RPU'!U50/365*'Capital de Giro RPU'!$E$19)</f>
        <v>484645.94380087731</v>
      </c>
      <c r="X7" s="505">
        <f>IF(X4&gt;'Premissas Gerais'!$E$7,0,'Cálculo Valor RPU'!V50/365*'Capital de Giro RPU'!$E$19)</f>
        <v>485076.25388179778</v>
      </c>
      <c r="Y7" s="505">
        <f>IF(Y4&gt;'Premissas Gerais'!$E$7,0,'Cálculo Valor RPU'!W50/365*'Capital de Giro RPU'!$E$19)</f>
        <v>485506.56396271847</v>
      </c>
      <c r="Z7" s="505">
        <f>IF(Z4&gt;'Premissas Gerais'!$E$7,0,'Cálculo Valor RPU'!X50/365*'Capital de Giro RPU'!$E$19)</f>
        <v>485936.87404363905</v>
      </c>
      <c r="AA7" s="505">
        <f>IF(AA4&gt;'Premissas Gerais'!$E$7,0,'Cálculo Valor RPU'!Y50/365*'Capital de Giro RPU'!$E$19)</f>
        <v>486368.50658909074</v>
      </c>
      <c r="AB7" s="505">
        <f>IF(AB4&gt;'Premissas Gerais'!$E$7,0,'Cálculo Valor RPU'!Z50/365*'Capital de Giro RPU'!$E$19)</f>
        <v>486798.81667001144</v>
      </c>
      <c r="AC7" s="505">
        <f>IF(AC4&gt;'Premissas Gerais'!$E$7,0,'Cálculo Valor RPU'!AA50/365*'Capital de Giro RPU'!$E$19)</f>
        <v>487229.1267509319</v>
      </c>
      <c r="AD7" s="505">
        <f>IF(AD4&gt;'Premissas Gerais'!$E$7,0,'Cálculo Valor RPU'!AB50/365*'Capital de Giro RPU'!$E$19)</f>
        <v>487659.4368318526</v>
      </c>
      <c r="AE7" s="505">
        <f>IF(AE4&gt;'Premissas Gerais'!$E$7,0,'Cálculo Valor RPU'!AC50/365*'Capital de Giro RPU'!$E$19)</f>
        <v>488089.74691277306</v>
      </c>
      <c r="AF7" s="505">
        <f>IF(AF4&gt;'Premissas Gerais'!$E$7,0,'Cálculo Valor RPU'!AD50/365*'Capital de Giro RPU'!$E$19)</f>
        <v>488520.05699369364</v>
      </c>
      <c r="AG7" s="505">
        <f>IF(AG4&gt;'Premissas Gerais'!$E$7,0,'Cálculo Valor RPU'!AE50/365*'Capital de Giro RPU'!$E$19)</f>
        <v>488950.36707461427</v>
      </c>
      <c r="AH7" s="505">
        <f>IF(AH4&gt;'Premissas Gerais'!$E$7,0,'Cálculo Valor RPU'!AF50/365*'Capital de Giro RPU'!$E$19)</f>
        <v>489380.67715553491</v>
      </c>
      <c r="AI7" s="505">
        <f>IF(AI4&gt;'Premissas Gerais'!$E$7,0,'Cálculo Valor RPU'!AG50/365*'Capital de Giro RPU'!$E$19)</f>
        <v>489810.98723645543</v>
      </c>
      <c r="AJ7" s="505">
        <f>IF(AJ4&gt;'Premissas Gerais'!$E$7,0,'Cálculo Valor RPU'!AH50/365*'Capital de Giro RPU'!$E$19)</f>
        <v>490241.29731737607</v>
      </c>
    </row>
    <row r="8" spans="3:36" ht="9.75" customHeight="1" x14ac:dyDescent="0.35">
      <c r="C8" s="196"/>
      <c r="D8" s="198"/>
      <c r="E8" s="198"/>
      <c r="F8" s="198"/>
      <c r="G8" s="506"/>
      <c r="H8" s="506"/>
      <c r="I8" s="506"/>
      <c r="J8" s="506"/>
      <c r="K8" s="506"/>
      <c r="L8" s="506"/>
      <c r="M8" s="506"/>
      <c r="N8" s="506"/>
      <c r="O8" s="506"/>
      <c r="P8" s="506"/>
      <c r="Q8" s="506"/>
      <c r="R8" s="506"/>
      <c r="S8" s="506"/>
      <c r="T8" s="506"/>
      <c r="U8" s="506"/>
      <c r="V8" s="506"/>
      <c r="W8" s="506"/>
      <c r="X8" s="506"/>
      <c r="Y8" s="506"/>
      <c r="Z8" s="506"/>
      <c r="AA8" s="506"/>
      <c r="AB8" s="506"/>
      <c r="AC8" s="506"/>
      <c r="AD8" s="506"/>
      <c r="AE8" s="506"/>
      <c r="AF8" s="506"/>
      <c r="AG8" s="506"/>
      <c r="AH8" s="506"/>
      <c r="AI8" s="506"/>
      <c r="AJ8" s="506"/>
    </row>
    <row r="9" spans="3:36" x14ac:dyDescent="0.35">
      <c r="C9" s="145" t="s">
        <v>597</v>
      </c>
      <c r="D9" s="146"/>
      <c r="E9" s="146"/>
      <c r="F9" s="146"/>
      <c r="G9" s="504">
        <f>SUM(G10:G12)</f>
        <v>295120.8524275606</v>
      </c>
      <c r="H9" s="504">
        <f t="shared" ref="H9:AJ9" si="2">SUM(H10:H12)</f>
        <v>293981.14808810299</v>
      </c>
      <c r="I9" s="504">
        <f t="shared" si="2"/>
        <v>219676.48711842432</v>
      </c>
      <c r="J9" s="504">
        <f t="shared" si="2"/>
        <v>220103.61937140283</v>
      </c>
      <c r="K9" s="504">
        <f t="shared" si="2"/>
        <v>109133.80431003546</v>
      </c>
      <c r="L9" s="504">
        <f t="shared" si="2"/>
        <v>109317.54993105656</v>
      </c>
      <c r="M9" s="504">
        <f t="shared" si="2"/>
        <v>109572.19786023779</v>
      </c>
      <c r="N9" s="504">
        <f t="shared" si="2"/>
        <v>109610.32976556863</v>
      </c>
      <c r="O9" s="504">
        <f t="shared" si="2"/>
        <v>110236.79993990238</v>
      </c>
      <c r="P9" s="504">
        <f t="shared" si="2"/>
        <v>109948.43957051831</v>
      </c>
      <c r="Q9" s="504">
        <f t="shared" si="2"/>
        <v>126935.46535211563</v>
      </c>
      <c r="R9" s="504">
        <f t="shared" si="2"/>
        <v>126410.26642164767</v>
      </c>
      <c r="S9" s="504">
        <f t="shared" si="2"/>
        <v>126497.08443689701</v>
      </c>
      <c r="T9" s="504">
        <f t="shared" si="2"/>
        <v>126589.39326981055</v>
      </c>
      <c r="U9" s="504">
        <f t="shared" si="2"/>
        <v>126784.9369132664</v>
      </c>
      <c r="V9" s="504">
        <f t="shared" si="2"/>
        <v>126765.41132663863</v>
      </c>
      <c r="W9" s="504">
        <f t="shared" si="2"/>
        <v>127254.04931022333</v>
      </c>
      <c r="X9" s="504">
        <f t="shared" si="2"/>
        <v>126865.07936665483</v>
      </c>
      <c r="Y9" s="504">
        <f t="shared" si="2"/>
        <v>126800.50008310829</v>
      </c>
      <c r="Z9" s="504">
        <f t="shared" si="2"/>
        <v>126861.52327061363</v>
      </c>
      <c r="AA9" s="504">
        <f t="shared" si="2"/>
        <v>127067.36944314557</v>
      </c>
      <c r="AB9" s="504">
        <f t="shared" si="2"/>
        <v>126843.27383210837</v>
      </c>
      <c r="AC9" s="504">
        <f t="shared" si="2"/>
        <v>126969.42409900179</v>
      </c>
      <c r="AD9" s="504">
        <f t="shared" si="2"/>
        <v>126958.65964762378</v>
      </c>
      <c r="AE9" s="504">
        <f t="shared" si="2"/>
        <v>127370.0557912607</v>
      </c>
      <c r="AF9" s="504">
        <f t="shared" si="2"/>
        <v>126904.59643560176</v>
      </c>
      <c r="AG9" s="504">
        <f t="shared" si="2"/>
        <v>126913.61020440856</v>
      </c>
      <c r="AH9" s="504">
        <f t="shared" si="2"/>
        <v>126927.58513822111</v>
      </c>
      <c r="AI9" s="504">
        <f t="shared" si="2"/>
        <v>126941.52929181782</v>
      </c>
      <c r="AJ9" s="504">
        <f t="shared" si="2"/>
        <v>127036.67785819733</v>
      </c>
    </row>
    <row r="10" spans="3:36" x14ac:dyDescent="0.35">
      <c r="C10" s="194"/>
      <c r="D10" s="195" t="s">
        <v>152</v>
      </c>
      <c r="E10" s="195"/>
      <c r="F10" s="195"/>
      <c r="G10" s="507">
        <f>IF(G4&gt;'Premissas Gerais'!$E$7,0,'Cálculo Valor RPU'!H28*'Capital de Giro RPU'!$G$26/365*$E$20)</f>
        <v>102305.05988336116</v>
      </c>
      <c r="H10" s="507">
        <f>IF(H4&gt;'Premissas Gerais'!$E$7,0,'Cálculo Valor RPU'!I28*'Capital de Giro RPU'!$G$26/365*$E$20)</f>
        <v>101730.51453527181</v>
      </c>
      <c r="I10" s="507">
        <f>IF(I4&gt;'Premissas Gerais'!$E$7,0,'Cálculo Valor RPU'!J28*'Capital de Giro RPU'!$G$26/365*$E$20)</f>
        <v>70624.484362337855</v>
      </c>
      <c r="J10" s="507">
        <f>IF(J4&gt;'Premissas Gerais'!$E$7,0,'Cálculo Valor RPU'!K28*'Capital de Giro RPU'!$G$26/365*$E$20)</f>
        <v>70703.774536720695</v>
      </c>
      <c r="K10" s="507">
        <f>IF(K4&gt;'Premissas Gerais'!$E$7,0,'Cálculo Valor RPU'!L28*'Capital de Giro RPU'!$G$26/365*$E$20)</f>
        <v>24297.501634078129</v>
      </c>
      <c r="L10" s="507">
        <f>IF(L4&gt;'Premissas Gerais'!$E$7,0,'Cálculo Valor RPU'!M28*'Capital de Giro RPU'!$G$26/365*$E$20)</f>
        <v>24275.283176493329</v>
      </c>
      <c r="M10" s="507">
        <f>IF(M4&gt;'Premissas Gerais'!$E$7,0,'Cálculo Valor RPU'!N28*'Capital de Giro RPU'!$G$26/365*$E$20)</f>
        <v>24296.538286512099</v>
      </c>
      <c r="N10" s="507">
        <f>IF(N4&gt;'Premissas Gerais'!$E$7,0,'Cálculo Valor RPU'!O28*'Capital de Giro RPU'!$G$26/365*$E$20)</f>
        <v>24227.44200426622</v>
      </c>
      <c r="O10" s="507">
        <f>IF(O4&gt;'Premissas Gerais'!$E$7,0,'Cálculo Valor RPU'!P28*'Capital de Giro RPU'!$G$26/365*$E$20)</f>
        <v>24403.857258680211</v>
      </c>
      <c r="P10" s="507">
        <f>IF(P4&gt;'Premissas Gerais'!$E$7,0,'Cálculo Valor RPU'!Q28*'Capital de Giro RPU'!$G$26/365*$E$20)</f>
        <v>24198.51687283611</v>
      </c>
      <c r="Q10" s="507">
        <f>IF(Q4&gt;'Premissas Gerais'!$E$7,0,'Cálculo Valor RPU'!R28*'Capital de Giro RPU'!$G$26/365*$E$20)</f>
        <v>31202.296080852688</v>
      </c>
      <c r="R10" s="507">
        <f>IF(R4&gt;'Premissas Gerais'!$E$7,0,'Cálculo Valor RPU'!S28*'Capital de Giro RPU'!$G$26/365*$E$20)</f>
        <v>30934.928064818181</v>
      </c>
      <c r="S10" s="507">
        <f>IF(S4&gt;'Premissas Gerais'!$E$7,0,'Cálculo Valor RPU'!T28*'Capital de Giro RPU'!$G$26/365*$E$20)</f>
        <v>30922.952615817579</v>
      </c>
      <c r="T10" s="507">
        <f>IF(T4&gt;'Premissas Gerais'!$E$7,0,'Cálculo Valor RPU'!U28*'Capital de Giro RPU'!$G$26/365*$E$20)</f>
        <v>30913.268466148093</v>
      </c>
      <c r="U10" s="507">
        <f>IF(U4&gt;'Premissas Gerais'!$E$7,0,'Cálculo Valor RPU'!V28*'Capital de Giro RPU'!$G$26/365*$E$20)</f>
        <v>30946.663847946103</v>
      </c>
      <c r="V10" s="507">
        <f>IF(V4&gt;'Premissas Gerais'!$E$7,0,'Cálculo Valor RPU'!W28*'Capital de Giro RPU'!$G$26/365*$E$20)</f>
        <v>30890.089719956919</v>
      </c>
      <c r="W10" s="507">
        <f>IF(W4&gt;'Premissas Gerais'!$E$7,0,'Cálculo Valor RPU'!X28*'Capital de Giro RPU'!$G$26/365*$E$20)</f>
        <v>31075.931818419216</v>
      </c>
      <c r="X10" s="507">
        <f>IF(X4&gt;'Premissas Gerais'!$E$7,0,'Cálculo Valor RPU'!Y28*'Capital de Giro RPU'!$G$26/365*$E$20)</f>
        <v>30895.551146526264</v>
      </c>
      <c r="Y10" s="507">
        <f>IF(Y4&gt;'Premissas Gerais'!$E$7,0,'Cálculo Valor RPU'!Z28*'Capital de Giro RPU'!$G$26/365*$E$20)</f>
        <v>30850.537581646557</v>
      </c>
      <c r="Z10" s="507">
        <f>IF(Z4&gt;'Premissas Gerais'!$E$7,0,'Cálculo Valor RPU'!AA28*'Capital de Giro RPU'!$G$26/365*$E$20)</f>
        <v>30857.93749605399</v>
      </c>
      <c r="AA10" s="507">
        <f>IF(AA4&gt;'Premissas Gerais'!$E$7,0,'Cálculo Valor RPU'!AB28*'Capital de Giro RPU'!$G$26/365*$E$20)</f>
        <v>30925.686950676205</v>
      </c>
      <c r="AB10" s="507">
        <f>IF(AB4&gt;'Premissas Gerais'!$E$7,0,'Cálculo Valor RPU'!AC28*'Capital de Giro RPU'!$G$26/365*$E$20)</f>
        <v>30814.107770829884</v>
      </c>
      <c r="AC10" s="507">
        <f>IF(AC4&gt;'Premissas Gerais'!$E$7,0,'Cálculo Valor RPU'!AD28*'Capital de Giro RPU'!$G$26/365*$E$20)</f>
        <v>30848.684991527181</v>
      </c>
      <c r="AD10" s="507">
        <f>IF(AD4&gt;'Premissas Gerais'!$E$7,0,'Cálculo Valor RPU'!AE28*'Capital de Giro RPU'!$G$26/365*$E$20)</f>
        <v>30826.128171069642</v>
      </c>
      <c r="AE10" s="507">
        <f>IF(AE4&gt;'Premissas Gerais'!$E$7,0,'Cálculo Valor RPU'!AF28*'Capital de Giro RPU'!$G$26/365*$E$20)</f>
        <v>30979.737515317011</v>
      </c>
      <c r="AF10" s="507">
        <f>IF(AF4&gt;'Premissas Gerais'!$E$7,0,'Cálculo Valor RPU'!AG28*'Capital de Giro RPU'!$G$26/365*$E$20)</f>
        <v>30767.438074766771</v>
      </c>
      <c r="AG10" s="507">
        <f>IF(AG4&gt;'Premissas Gerais'!$E$7,0,'Cálculo Valor RPU'!AH28*'Capital de Giro RPU'!$G$26/365*$E$20)</f>
        <v>30753.134637585154</v>
      </c>
      <c r="AH10" s="507">
        <f>IF(AH4&gt;'Premissas Gerais'!$E$7,0,'Cálculo Valor RPU'!AI28*'Capital de Giro RPU'!$G$26/365*$E$20)</f>
        <v>30740.901477501517</v>
      </c>
      <c r="AI10" s="507">
        <f>IF(AI4&gt;'Premissas Gerais'!$E$7,0,'Cálculo Valor RPU'!AJ28*'Capital de Giro RPU'!$G$26/365*$E$20)</f>
        <v>30728.655472939652</v>
      </c>
      <c r="AJ10" s="507">
        <f>IF(AJ4&gt;'Premissas Gerais'!$E$7,0,'Cálculo Valor RPU'!AK28*'Capital de Giro RPU'!$G$26/365*$E$20)</f>
        <v>30750.29579061153</v>
      </c>
    </row>
    <row r="11" spans="3:36" x14ac:dyDescent="0.35">
      <c r="C11" s="199"/>
      <c r="D11" s="200" t="s">
        <v>598</v>
      </c>
      <c r="E11" s="200"/>
      <c r="F11" s="200"/>
      <c r="G11" s="508">
        <f>IF(G4&gt;'Premissas Gerais'!$E$7,0,'Cálculo Valor RPU'!H28*(1-'Capital de Giro RPU'!$G$26)/365*$E$21)</f>
        <v>142856.46148907271</v>
      </c>
      <c r="H11" s="508">
        <f>IF(H4&gt;'Premissas Gerais'!$E$7,0,'Cálculo Valor RPU'!I28*(1-'Capital de Giro RPU'!$G$26)/365*$E$21)</f>
        <v>142054.17941732935</v>
      </c>
      <c r="I11" s="508">
        <f>IF(I4&gt;'Premissas Gerais'!$E$7,0,'Cálculo Valor RPU'!J28*(1-'Capital de Giro RPU'!$G$26)/365*$E$21)</f>
        <v>98618.425540209573</v>
      </c>
      <c r="J11" s="508">
        <f>IF(J4&gt;'Premissas Gerais'!$E$7,0,'Cálculo Valor RPU'!K28*(1-'Capital de Giro RPU'!$G$26)/365*$E$21)</f>
        <v>98729.144538430177</v>
      </c>
      <c r="K11" s="508">
        <f>IF(K4&gt;'Premissas Gerais'!$E$7,0,'Cálculo Valor RPU'!L28*(1-'Capital de Giro RPU'!$G$26)/365*$E$21)</f>
        <v>33928.479299330269</v>
      </c>
      <c r="L11" s="508">
        <f>IF(L4&gt;'Premissas Gerais'!$E$7,0,'Cálculo Valor RPU'!M28*(1-'Capital de Giro RPU'!$G$26)/365*$E$21)</f>
        <v>33897.453949910319</v>
      </c>
      <c r="M11" s="508">
        <f>IF(M4&gt;'Premissas Gerais'!$E$7,0,'Cálculo Valor RPU'!N28*(1-'Capital de Giro RPU'!$G$26)/365*$E$21)</f>
        <v>33927.134102674077</v>
      </c>
      <c r="N11" s="508">
        <f>IF(N4&gt;'Premissas Gerais'!$E$7,0,'Cálculo Valor RPU'!O28*(1-'Capital de Giro RPU'!$G$26)/365*$E$21)</f>
        <v>33830.649623852114</v>
      </c>
      <c r="O11" s="508">
        <f>IF(O4&gt;'Premissas Gerais'!$E$7,0,'Cálculo Valor RPU'!P28*(1-'Capital de Giro RPU'!$G$26)/365*$E$21)</f>
        <v>34076.991877373199</v>
      </c>
      <c r="P11" s="508">
        <f>IF(P4&gt;'Premissas Gerais'!$E$7,0,'Cálculo Valor RPU'!Q28*(1-'Capital de Giro RPU'!$G$26)/365*$E$21)</f>
        <v>33790.259227434544</v>
      </c>
      <c r="Q11" s="508">
        <f>IF(Q4&gt;'Premissas Gerais'!$E$7,0,'Cálculo Valor RPU'!R28*(1-'Capital de Giro RPU'!$G$26)/365*$E$21)</f>
        <v>43570.177404000853</v>
      </c>
      <c r="R11" s="508">
        <f>IF(R4&gt;'Premissas Gerais'!$E$7,0,'Cálculo Valor RPU'!S28*(1-'Capital de Giro RPU'!$G$26)/365*$E$21)</f>
        <v>43196.830780387223</v>
      </c>
      <c r="S11" s="508">
        <f>IF(S4&gt;'Premissas Gerais'!$E$7,0,'Cálculo Valor RPU'!T28*(1-'Capital de Giro RPU'!$G$26)/365*$E$21)</f>
        <v>43180.108535457002</v>
      </c>
      <c r="T11" s="508">
        <f>IF(T4&gt;'Premissas Gerais'!$E$7,0,'Cálculo Valor RPU'!U28*(1-'Capital de Giro RPU'!$G$26)/365*$E$21)</f>
        <v>43166.585808859811</v>
      </c>
      <c r="U11" s="508">
        <f>IF(U4&gt;'Premissas Gerais'!$E$7,0,'Cálculo Valor RPU'!V28*(1-'Capital de Giro RPU'!$G$26)/365*$E$21)</f>
        <v>43213.218361337458</v>
      </c>
      <c r="V11" s="508">
        <f>IF(V4&gt;'Premissas Gerais'!$E$7,0,'Cálculo Valor RPU'!W28*(1-'Capital de Giro RPU'!$G$26)/365*$E$21)</f>
        <v>43134.219534245436</v>
      </c>
      <c r="W11" s="508">
        <f>IF(W4&gt;'Premissas Gerais'!$E$7,0,'Cálculo Valor RPU'!X28*(1-'Capital de Giro RPU'!$G$26)/365*$E$21)</f>
        <v>43393.725218639702</v>
      </c>
      <c r="X11" s="508">
        <f>IF(X4&gt;'Premissas Gerais'!$E$7,0,'Cálculo Valor RPU'!Y28*(1-'Capital de Giro RPU'!$G$26)/365*$E$21)</f>
        <v>43141.845746236017</v>
      </c>
      <c r="Y11" s="508">
        <f>IF(Y4&gt;'Premissas Gerais'!$E$7,0,'Cálculo Valor RPU'!Z28*(1-'Capital de Giro RPU'!$G$26)/365*$E$21)</f>
        <v>43078.989826841062</v>
      </c>
      <c r="Z11" s="508">
        <f>IF(Z4&gt;'Premissas Gerais'!$E$7,0,'Cálculo Valor RPU'!AA28*(1-'Capital de Giro RPU'!$G$26)/365*$E$21)</f>
        <v>43089.322899210827</v>
      </c>
      <c r="AA11" s="508">
        <f>IF(AA4&gt;'Premissas Gerais'!$E$7,0,'Cálculo Valor RPU'!AB28*(1-'Capital de Giro RPU'!$G$26)/365*$E$21)</f>
        <v>43183.926698535899</v>
      </c>
      <c r="AB11" s="508">
        <f>IF(AB4&gt;'Premissas Gerais'!$E$7,0,'Cálculo Valor RPU'!AC28*(1-'Capital de Giro RPU'!$G$26)/365*$E$21)</f>
        <v>43028.120066616888</v>
      </c>
      <c r="AC11" s="508">
        <f>IF(AC4&gt;'Premissas Gerais'!$E$7,0,'Cálculo Valor RPU'!AD28*(1-'Capital de Giro RPU'!$G$26)/365*$E$21)</f>
        <v>43076.402912084886</v>
      </c>
      <c r="AD11" s="508">
        <f>IF(AD4&gt;'Premissas Gerais'!$E$7,0,'Cálculo Valor RPU'!AE28*(1-'Capital de Giro RPU'!$G$26)/365*$E$21)</f>
        <v>43044.905080436271</v>
      </c>
      <c r="AE11" s="508">
        <f>IF(AE4&gt;'Premissas Gerais'!$E$7,0,'Cálculo Valor RPU'!AF28*(1-'Capital de Giro RPU'!$G$26)/365*$E$21)</f>
        <v>43259.401679097704</v>
      </c>
      <c r="AF11" s="508">
        <f>IF(AF4&gt;'Premissas Gerais'!$E$7,0,'Cálculo Valor RPU'!AG28*(1-'Capital de Giro RPU'!$G$26)/365*$E$21)</f>
        <v>42962.951563260875</v>
      </c>
      <c r="AG11" s="508">
        <f>IF(AG4&gt;'Premissas Gerais'!$E$7,0,'Cálculo Valor RPU'!AH28*(1-'Capital de Giro RPU'!$G$26)/365*$E$21)</f>
        <v>42942.978568521154</v>
      </c>
      <c r="AH11" s="508">
        <f>IF(AH4&gt;'Premissas Gerais'!$E$7,0,'Cálculo Valor RPU'!AI28*(1-'Capital de Giro RPU'!$G$26)/365*$E$21)</f>
        <v>42925.896461689197</v>
      </c>
      <c r="AI11" s="508">
        <f>IF(AI4&gt;'Premissas Gerais'!$E$7,0,'Cálculo Valor RPU'!AJ28*(1-'Capital de Giro RPU'!$G$26)/365*$E$21)</f>
        <v>42908.796419119637</v>
      </c>
      <c r="AJ11" s="508">
        <f>IF(AJ4&gt;'Premissas Gerais'!$E$7,0,'Cálculo Valor RPU'!AK28*(1-'Capital de Giro RPU'!$G$26)/365*$E$21)</f>
        <v>42939.01446709915</v>
      </c>
    </row>
    <row r="12" spans="3:36" x14ac:dyDescent="0.35">
      <c r="C12" s="196"/>
      <c r="D12" s="197" t="s">
        <v>599</v>
      </c>
      <c r="E12" s="197"/>
      <c r="F12" s="197"/>
      <c r="G12" s="509">
        <f>'Tributos RPU'!G36/365*'Capital de Giro RPU'!$E$22</f>
        <v>49959.331055126728</v>
      </c>
      <c r="H12" s="509">
        <f>'Tributos RPU'!H36/365*'Capital de Giro RPU'!$E$22</f>
        <v>50196.454135501823</v>
      </c>
      <c r="I12" s="509">
        <f>'Tributos RPU'!I36/365*'Capital de Giro RPU'!$E$22</f>
        <v>50433.577215876881</v>
      </c>
      <c r="J12" s="509">
        <f>'Tributos RPU'!J36/365*'Capital de Giro RPU'!$E$22</f>
        <v>50670.700296251969</v>
      </c>
      <c r="K12" s="509">
        <f>'Tributos RPU'!K36/365*'Capital de Giro RPU'!$E$22</f>
        <v>50907.82337662705</v>
      </c>
      <c r="L12" s="509">
        <f>'Tributos RPU'!L36/365*'Capital de Giro RPU'!$E$22</f>
        <v>51144.812804652924</v>
      </c>
      <c r="M12" s="509">
        <f>'Tributos RPU'!M36/365*'Capital de Giro RPU'!$E$22</f>
        <v>51348.525471051609</v>
      </c>
      <c r="N12" s="509">
        <f>'Tributos RPU'!N36/365*'Capital de Giro RPU'!$E$22</f>
        <v>51552.238137450295</v>
      </c>
      <c r="O12" s="509">
        <f>'Tributos RPU'!O36/365*'Capital de Giro RPU'!$E$22</f>
        <v>51755.950803848966</v>
      </c>
      <c r="P12" s="509">
        <f>'Tributos RPU'!P36/365*'Capital de Giro RPU'!$E$22</f>
        <v>51959.663470247659</v>
      </c>
      <c r="Q12" s="509">
        <f>'Tributos RPU'!Q36/365*'Capital de Giro RPU'!$E$22</f>
        <v>52162.991867262077</v>
      </c>
      <c r="R12" s="509">
        <f>'Tributos RPU'!R36/365*'Capital de Giro RPU'!$E$22</f>
        <v>52278.507576442265</v>
      </c>
      <c r="S12" s="509">
        <f>'Tributos RPU'!S36/365*'Capital de Giro RPU'!$E$22</f>
        <v>52394.023285622439</v>
      </c>
      <c r="T12" s="509">
        <f>'Tributos RPU'!T36/365*'Capital de Giro RPU'!$E$22</f>
        <v>52509.538994802642</v>
      </c>
      <c r="U12" s="509">
        <f>'Tributos RPU'!U36/365*'Capital de Giro RPU'!$E$22</f>
        <v>52625.054703982845</v>
      </c>
      <c r="V12" s="509">
        <f>'Tributos RPU'!V36/365*'Capital de Giro RPU'!$E$22</f>
        <v>52741.102072436275</v>
      </c>
      <c r="W12" s="509">
        <f>'Tributos RPU'!W36/365*'Capital de Giro RPU'!$E$22</f>
        <v>52784.392273164412</v>
      </c>
      <c r="X12" s="509">
        <f>'Tributos RPU'!X36/365*'Capital de Giro RPU'!$E$22</f>
        <v>52827.682473892542</v>
      </c>
      <c r="Y12" s="509">
        <f>'Tributos RPU'!Y36/365*'Capital de Giro RPU'!$E$22</f>
        <v>52870.97267462068</v>
      </c>
      <c r="Z12" s="509">
        <f>'Tributos RPU'!Z36/365*'Capital de Giro RPU'!$E$22</f>
        <v>52914.26287534881</v>
      </c>
      <c r="AA12" s="509">
        <f>'Tributos RPU'!AA36/365*'Capital de Giro RPU'!$E$22</f>
        <v>52957.755793933466</v>
      </c>
      <c r="AB12" s="509">
        <f>'Tributos RPU'!AB36/365*'Capital de Giro RPU'!$E$22</f>
        <v>53001.045994661603</v>
      </c>
      <c r="AC12" s="509">
        <f>'Tributos RPU'!AC36/365*'Capital de Giro RPU'!$E$22</f>
        <v>53044.336195389726</v>
      </c>
      <c r="AD12" s="509">
        <f>'Tributos RPU'!AD36/365*'Capital de Giro RPU'!$E$22</f>
        <v>53087.626396117856</v>
      </c>
      <c r="AE12" s="509">
        <f>'Tributos RPU'!AE36/365*'Capital de Giro RPU'!$E$22</f>
        <v>53130.916596845986</v>
      </c>
      <c r="AF12" s="509">
        <f>'Tributos RPU'!AF36/365*'Capital de Giro RPU'!$E$22</f>
        <v>53174.206797574123</v>
      </c>
      <c r="AG12" s="509">
        <f>'Tributos RPU'!AG36/365*'Capital de Giro RPU'!$E$22</f>
        <v>53217.496998302246</v>
      </c>
      <c r="AH12" s="509">
        <f>'Tributos RPU'!AH36/365*'Capital de Giro RPU'!$E$22</f>
        <v>53260.787199030397</v>
      </c>
      <c r="AI12" s="509">
        <f>'Tributos RPU'!AI36/365*'Capital de Giro RPU'!$E$22</f>
        <v>53304.07739975852</v>
      </c>
      <c r="AJ12" s="509">
        <f>'Tributos RPU'!AJ36/365*'Capital de Giro RPU'!$E$22</f>
        <v>53347.367600486657</v>
      </c>
    </row>
    <row r="13" spans="3:36" ht="10.5" customHeight="1" x14ac:dyDescent="0.35">
      <c r="C13" s="196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8"/>
      <c r="T13" s="198"/>
      <c r="U13" s="198"/>
      <c r="V13" s="198"/>
      <c r="W13" s="198"/>
      <c r="X13" s="198"/>
      <c r="Y13" s="198"/>
      <c r="Z13" s="198"/>
      <c r="AA13" s="198"/>
      <c r="AB13" s="198"/>
      <c r="AC13" s="198"/>
      <c r="AD13" s="198"/>
      <c r="AE13" s="198"/>
      <c r="AF13" s="198"/>
      <c r="AG13" s="198"/>
      <c r="AH13" s="198"/>
      <c r="AI13" s="198"/>
      <c r="AJ13" s="198"/>
    </row>
    <row r="14" spans="3:36" ht="15" thickBot="1" x14ac:dyDescent="0.4">
      <c r="C14" s="177" t="s">
        <v>600</v>
      </c>
      <c r="D14" s="518"/>
      <c r="E14" s="518"/>
      <c r="F14" s="518"/>
      <c r="G14" s="514">
        <f>G6-G9</f>
        <v>163821.82286875427</v>
      </c>
      <c r="H14" s="514">
        <f t="shared" ref="H14:AJ14" si="3">H6-H9</f>
        <v>167093.24470148631</v>
      </c>
      <c r="I14" s="514">
        <f t="shared" si="3"/>
        <v>243529.62316443928</v>
      </c>
      <c r="J14" s="514">
        <f t="shared" si="3"/>
        <v>245234.2084047352</v>
      </c>
      <c r="K14" s="514">
        <f t="shared" si="3"/>
        <v>358335.74095937703</v>
      </c>
      <c r="L14" s="514">
        <f t="shared" si="3"/>
        <v>360281.99078809196</v>
      </c>
      <c r="M14" s="514">
        <f t="shared" si="3"/>
        <v>361879.63901197165</v>
      </c>
      <c r="N14" s="514">
        <f t="shared" si="3"/>
        <v>363693.80325970193</v>
      </c>
      <c r="O14" s="514">
        <f t="shared" si="3"/>
        <v>364919.62923842919</v>
      </c>
      <c r="P14" s="514">
        <f t="shared" si="3"/>
        <v>367060.28576087422</v>
      </c>
      <c r="Q14" s="514">
        <f t="shared" si="3"/>
        <v>351922.15463997773</v>
      </c>
      <c r="R14" s="514">
        <f t="shared" si="3"/>
        <v>353517.93931645399</v>
      </c>
      <c r="S14" s="514">
        <f t="shared" si="3"/>
        <v>354501.70704721287</v>
      </c>
      <c r="T14" s="514">
        <f t="shared" si="3"/>
        <v>355479.98396030767</v>
      </c>
      <c r="U14" s="514">
        <f t="shared" si="3"/>
        <v>356355.02606286039</v>
      </c>
      <c r="V14" s="514">
        <f t="shared" si="3"/>
        <v>357450.22239331796</v>
      </c>
      <c r="W14" s="514">
        <f t="shared" si="3"/>
        <v>357391.894490654</v>
      </c>
      <c r="X14" s="514">
        <f t="shared" si="3"/>
        <v>358211.17451514292</v>
      </c>
      <c r="Y14" s="514">
        <f t="shared" si="3"/>
        <v>358706.06387961016</v>
      </c>
      <c r="Z14" s="514">
        <f t="shared" si="3"/>
        <v>359075.35077302542</v>
      </c>
      <c r="AA14" s="514">
        <f t="shared" si="3"/>
        <v>359301.13714594516</v>
      </c>
      <c r="AB14" s="514">
        <f t="shared" si="3"/>
        <v>359955.54283790308</v>
      </c>
      <c r="AC14" s="514">
        <f t="shared" si="3"/>
        <v>360259.7026519301</v>
      </c>
      <c r="AD14" s="514">
        <f t="shared" si="3"/>
        <v>360700.77718422882</v>
      </c>
      <c r="AE14" s="514">
        <f t="shared" si="3"/>
        <v>360719.69112151233</v>
      </c>
      <c r="AF14" s="514">
        <f t="shared" si="3"/>
        <v>361615.46055809187</v>
      </c>
      <c r="AG14" s="514">
        <f t="shared" si="3"/>
        <v>362036.75687020575</v>
      </c>
      <c r="AH14" s="514">
        <f t="shared" si="3"/>
        <v>362453.09201731381</v>
      </c>
      <c r="AI14" s="514">
        <f t="shared" si="3"/>
        <v>362869.45794463763</v>
      </c>
      <c r="AJ14" s="514">
        <f t="shared" si="3"/>
        <v>363204.61945917876</v>
      </c>
    </row>
    <row r="15" spans="3:36" ht="5.25" customHeight="1" thickTop="1" x14ac:dyDescent="0.35">
      <c r="C15" s="79"/>
      <c r="D15" s="79"/>
      <c r="E15" s="201"/>
      <c r="F15" s="201"/>
      <c r="G15" s="201"/>
      <c r="H15" s="201"/>
      <c r="I15" s="201"/>
      <c r="J15" s="201"/>
      <c r="K15" s="201"/>
      <c r="L15" s="201"/>
      <c r="M15" s="201"/>
      <c r="N15" s="201"/>
      <c r="O15" s="201"/>
      <c r="P15" s="201"/>
      <c r="Q15" s="201"/>
      <c r="R15" s="201"/>
      <c r="S15" s="201"/>
      <c r="T15" s="201"/>
      <c r="U15" s="201"/>
      <c r="V15" s="201"/>
      <c r="W15" s="201"/>
      <c r="X15" s="201"/>
      <c r="Y15" s="201"/>
      <c r="Z15" s="201"/>
      <c r="AA15" s="201"/>
      <c r="AB15" s="201"/>
      <c r="AC15" s="201"/>
      <c r="AD15" s="201"/>
      <c r="AE15" s="201"/>
      <c r="AF15" s="201"/>
      <c r="AG15" s="201"/>
      <c r="AH15" s="201"/>
      <c r="AI15" s="201"/>
      <c r="AJ15" s="201"/>
    </row>
    <row r="16" spans="3:36" ht="15" thickBot="1" x14ac:dyDescent="0.4">
      <c r="C16" s="177" t="s">
        <v>601</v>
      </c>
      <c r="D16" s="518"/>
      <c r="E16" s="518"/>
      <c r="F16" s="518"/>
      <c r="G16" s="514">
        <f>G14</f>
        <v>163821.82286875427</v>
      </c>
      <c r="H16" s="514">
        <f>IF(H4&gt;'Premissas Gerais'!$E$7,0,IF(H4='Premissas Gerais'!$E$7,-'Capital de Giro RPU'!H14+H14-'Capital de Giro RPU'!G14,'Capital de Giro RPU'!H14-'Capital de Giro RPU'!G14))</f>
        <v>3271.4218327320414</v>
      </c>
      <c r="I16" s="514">
        <f>IF(I4&gt;'Premissas Gerais'!$E$7,0,IF(I4='Premissas Gerais'!$E$7,-'Capital de Giro RPU'!I14+I14-'Capital de Giro RPU'!H14,'Capital de Giro RPU'!I14-'Capital de Giro RPU'!H14))</f>
        <v>76436.378462952969</v>
      </c>
      <c r="J16" s="514">
        <f>IF(J4&gt;'Premissas Gerais'!$E$7,0,IF(J4='Premissas Gerais'!$E$7,-'Capital de Giro RPU'!J14+J14-'Capital de Giro RPU'!I14,'Capital de Giro RPU'!J14-'Capital de Giro RPU'!I14))</f>
        <v>1704.5852402959135</v>
      </c>
      <c r="K16" s="514">
        <f>IF(K4&gt;'Premissas Gerais'!$E$7,0,IF(K4='Premissas Gerais'!$E$7,-'Capital de Giro RPU'!K14+K14-'Capital de Giro RPU'!J14,'Capital de Giro RPU'!K14-'Capital de Giro RPU'!J14))</f>
        <v>113101.53255464183</v>
      </c>
      <c r="L16" s="514">
        <f>IF(L4&gt;'Premissas Gerais'!$E$7,0,IF(L4='Premissas Gerais'!$E$7,-'Capital de Giro RPU'!L14+L14-'Capital de Giro RPU'!K14,'Capital de Giro RPU'!L14-'Capital de Giro RPU'!K14))</f>
        <v>1946.2498287149356</v>
      </c>
      <c r="M16" s="514">
        <f>IF(M4&gt;'Premissas Gerais'!$E$7,0,IF(M4='Premissas Gerais'!$E$7,-'Capital de Giro RPU'!M14+M14-'Capital de Giro RPU'!L14,'Capital de Giro RPU'!M14-'Capital de Giro RPU'!L14))</f>
        <v>1597.6482238796889</v>
      </c>
      <c r="N16" s="514">
        <f>IF(N4&gt;'Premissas Gerais'!$E$7,0,IF(N4='Premissas Gerais'!$E$7,-'Capital de Giro RPU'!N14+N14-'Capital de Giro RPU'!M14,'Capital de Giro RPU'!N14-'Capital de Giro RPU'!M14))</f>
        <v>1814.1642477302812</v>
      </c>
      <c r="O16" s="514">
        <f>IF(O4&gt;'Premissas Gerais'!$E$7,0,IF(O4='Premissas Gerais'!$E$7,-'Capital de Giro RPU'!O14+O14-'Capital de Giro RPU'!N14,'Capital de Giro RPU'!O14-'Capital de Giro RPU'!N14))</f>
        <v>1225.8259787272546</v>
      </c>
      <c r="P16" s="514">
        <f>IF(P4&gt;'Premissas Gerais'!$E$7,0,IF(P4='Premissas Gerais'!$E$7,-'Capital de Giro RPU'!P14+P14-'Capital de Giro RPU'!O14,'Capital de Giro RPU'!P14-'Capital de Giro RPU'!O14))</f>
        <v>2140.6565224450314</v>
      </c>
      <c r="Q16" s="514">
        <f>IF(Q4&gt;'Premissas Gerais'!$E$7,0,IF(Q4='Premissas Gerais'!$E$7,-'Capital de Giro RPU'!Q14+Q14-'Capital de Giro RPU'!P14,'Capital de Giro RPU'!Q14-'Capital de Giro RPU'!P14))</f>
        <v>-15138.131120896491</v>
      </c>
      <c r="R16" s="514">
        <f>IF(R4&gt;'Premissas Gerais'!$E$7,0,IF(R4='Premissas Gerais'!$E$7,-'Capital de Giro RPU'!R14+R14-'Capital de Giro RPU'!Q14,'Capital de Giro RPU'!R14-'Capital de Giro RPU'!Q14))</f>
        <v>1595.7846764762653</v>
      </c>
      <c r="S16" s="514">
        <f>IF(S4&gt;'Premissas Gerais'!$E$7,0,IF(S4='Premissas Gerais'!$E$7,-'Capital de Giro RPU'!S14+S14-'Capital de Giro RPU'!R14,'Capital de Giro RPU'!S14-'Capital de Giro RPU'!R14))</f>
        <v>983.76773075887468</v>
      </c>
      <c r="T16" s="514">
        <f>IF(T4&gt;'Premissas Gerais'!$E$7,0,IF(T4='Premissas Gerais'!$E$7,-'Capital de Giro RPU'!T14+T14-'Capital de Giro RPU'!S14,'Capital de Giro RPU'!T14-'Capital de Giro RPU'!S14))</f>
        <v>978.27691309479997</v>
      </c>
      <c r="U16" s="514">
        <f>IF(U4&gt;'Premissas Gerais'!$E$7,0,IF(U4='Premissas Gerais'!$E$7,-'Capital de Giro RPU'!U14+U14-'Capital de Giro RPU'!T14,'Capital de Giro RPU'!U14-'Capital de Giro RPU'!T14))</f>
        <v>875.04210255271755</v>
      </c>
      <c r="V16" s="514">
        <f>IF(V4&gt;'Premissas Gerais'!$E$7,0,IF(V4='Premissas Gerais'!$E$7,-'Capital de Giro RPU'!V14+V14-'Capital de Giro RPU'!U14,'Capital de Giro RPU'!V14-'Capital de Giro RPU'!U14))</f>
        <v>1095.1963304575766</v>
      </c>
      <c r="W16" s="514">
        <f>IF(W4&gt;'Premissas Gerais'!$E$7,0,IF(W4='Premissas Gerais'!$E$7,-'Capital de Giro RPU'!W14+W14-'Capital de Giro RPU'!V14,'Capital de Giro RPU'!W14-'Capital de Giro RPU'!V14))</f>
        <v>-58.327902663964778</v>
      </c>
      <c r="X16" s="514">
        <f>IF(X4&gt;'Premissas Gerais'!$E$7,0,IF(X4='Premissas Gerais'!$E$7,-'Capital de Giro RPU'!X14+X14-'Capital de Giro RPU'!W14,'Capital de Giro RPU'!X14-'Capital de Giro RPU'!W14))</f>
        <v>819.28002448892221</v>
      </c>
      <c r="Y16" s="514">
        <f>IF(Y4&gt;'Premissas Gerais'!$E$7,0,IF(Y4='Premissas Gerais'!$E$7,-'Capital de Giro RPU'!Y14+Y14-'Capital de Giro RPU'!X14,'Capital de Giro RPU'!Y14-'Capital de Giro RPU'!X14))</f>
        <v>494.88936446723528</v>
      </c>
      <c r="Z16" s="514">
        <f>IF(Z4&gt;'Premissas Gerais'!$E$7,0,IF(Z4='Premissas Gerais'!$E$7,-'Capital de Giro RPU'!Z14+Z14-'Capital de Giro RPU'!Y14,'Capital de Giro RPU'!Z14-'Capital de Giro RPU'!Y14))</f>
        <v>369.28689341526479</v>
      </c>
      <c r="AA16" s="514">
        <f>IF(AA4&gt;'Premissas Gerais'!$E$7,0,IF(AA4='Premissas Gerais'!$E$7,-'Capital de Giro RPU'!AA14+AA14-'Capital de Giro RPU'!Z14,'Capital de Giro RPU'!AA14-'Capital de Giro RPU'!Z14))</f>
        <v>225.78637291974155</v>
      </c>
      <c r="AB16" s="514">
        <f>IF(AB4&gt;'Premissas Gerais'!$E$7,0,IF(AB4='Premissas Gerais'!$E$7,-'Capital de Giro RPU'!AB14+AB14-'Capital de Giro RPU'!AA14,'Capital de Giro RPU'!AB14-'Capital de Giro RPU'!AA14))</f>
        <v>654.40569195791613</v>
      </c>
      <c r="AC16" s="514">
        <f>IF(AC4&gt;'Premissas Gerais'!$E$7,0,IF(AC4='Premissas Gerais'!$E$7,-'Capital de Giro RPU'!AC14+AC14-'Capital de Giro RPU'!AB14,'Capital de Giro RPU'!AC14-'Capital de Giro RPU'!AB14))</f>
        <v>304.15981402702164</v>
      </c>
      <c r="AD16" s="514">
        <f>IF(AD4&gt;'Premissas Gerais'!$E$7,0,IF(AD4='Premissas Gerais'!$E$7,-'Capital de Giro RPU'!AD14+AD14-'Capital de Giro RPU'!AC14,'Capital de Giro RPU'!AD14-'Capital de Giro RPU'!AC14))</f>
        <v>441.07453229872044</v>
      </c>
      <c r="AE16" s="514">
        <f>IF(AE4&gt;'Premissas Gerais'!$E$7,0,IF(AE4='Premissas Gerais'!$E$7,-'Capital de Giro RPU'!AE14+AE14-'Capital de Giro RPU'!AD14,'Capital de Giro RPU'!AE14-'Capital de Giro RPU'!AD14))</f>
        <v>18.91393728350522</v>
      </c>
      <c r="AF16" s="514">
        <f>IF(AF4&gt;'Premissas Gerais'!$E$7,0,IF(AF4='Premissas Gerais'!$E$7,-'Capital de Giro RPU'!AF14+AF14-'Capital de Giro RPU'!AE14,'Capital de Giro RPU'!AF14-'Capital de Giro RPU'!AE14))</f>
        <v>895.76943657954689</v>
      </c>
      <c r="AG16" s="514">
        <f>IF(AG4&gt;'Premissas Gerais'!$E$7,0,IF(AG4='Premissas Gerais'!$E$7,-'Capital de Giro RPU'!AG14+AG14-'Capital de Giro RPU'!AF14,'Capital de Giro RPU'!AG14-'Capital de Giro RPU'!AF14))</f>
        <v>421.29631211387459</v>
      </c>
      <c r="AH16" s="514">
        <f>IF(AH4&gt;'Premissas Gerais'!$E$7,0,IF(AH4='Premissas Gerais'!$E$7,-'Capital de Giro RPU'!AH14+AH14-'Capital de Giro RPU'!AG14,'Capital de Giro RPU'!AH14-'Capital de Giro RPU'!AG14))</f>
        <v>416.33514710806776</v>
      </c>
      <c r="AI16" s="514">
        <f>IF(AI4&gt;'Premissas Gerais'!$E$7,0,IF(AI4='Premissas Gerais'!$E$7,-'Capital de Giro RPU'!AI14+AI14-'Capital de Giro RPU'!AH14,'Capital de Giro RPU'!AI14-'Capital de Giro RPU'!AH14))</f>
        <v>416.36592732381541</v>
      </c>
      <c r="AJ16" s="514">
        <f>IF(AJ4&gt;'Premissas Gerais'!$E$7,0,IF(AJ4='Premissas Gerais'!$E$7,-'Capital de Giro RPU'!AJ14+AJ14-'Capital de Giro RPU'!AI14,'Capital de Giro RPU'!AJ14-'Capital de Giro RPU'!AI14))</f>
        <v>-362869.45794463763</v>
      </c>
    </row>
    <row r="17" spans="3:8" ht="15" thickTop="1" x14ac:dyDescent="0.35"/>
    <row r="18" spans="3:8" x14ac:dyDescent="0.35">
      <c r="C18" s="206" t="s">
        <v>149</v>
      </c>
      <c r="D18" s="202"/>
      <c r="E18" s="202" t="s">
        <v>150</v>
      </c>
      <c r="F18" s="203"/>
    </row>
    <row r="19" spans="3:8" x14ac:dyDescent="0.35">
      <c r="C19" s="207" t="s">
        <v>151</v>
      </c>
      <c r="D19" s="204"/>
      <c r="E19" s="516">
        <f>'Premissas Gerais'!E122</f>
        <v>45</v>
      </c>
      <c r="F19" s="205"/>
    </row>
    <row r="20" spans="3:8" x14ac:dyDescent="0.35">
      <c r="C20" s="211" t="s">
        <v>152</v>
      </c>
      <c r="D20" s="212"/>
      <c r="E20" s="517">
        <f>'Premissas Gerais'!E123</f>
        <v>30</v>
      </c>
      <c r="F20" s="213"/>
    </row>
    <row r="21" spans="3:8" x14ac:dyDescent="0.35">
      <c r="C21" s="211" t="s">
        <v>153</v>
      </c>
      <c r="D21" s="212"/>
      <c r="E21" s="517">
        <f>'Premissas Gerais'!E124</f>
        <v>15</v>
      </c>
      <c r="F21" s="213"/>
    </row>
    <row r="22" spans="3:8" x14ac:dyDescent="0.35">
      <c r="C22" s="211" t="s">
        <v>154</v>
      </c>
      <c r="D22" s="212"/>
      <c r="E22" s="517">
        <f>'Premissas Gerais'!E125</f>
        <v>30</v>
      </c>
      <c r="F22" s="213"/>
    </row>
    <row r="23" spans="3:8" ht="4.5" customHeight="1" x14ac:dyDescent="0.35"/>
    <row r="24" spans="3:8" x14ac:dyDescent="0.35">
      <c r="C24" s="110"/>
    </row>
    <row r="26" spans="3:8" x14ac:dyDescent="0.35">
      <c r="C26" s="208" t="s">
        <v>602</v>
      </c>
      <c r="G26" s="1318">
        <f>'Capital de Giro'!G18</f>
        <v>0.26366061471918023</v>
      </c>
      <c r="H26" s="209"/>
    </row>
    <row r="28" spans="3:8" x14ac:dyDescent="0.35">
      <c r="C28" s="79"/>
    </row>
  </sheetData>
  <sheetProtection algorithmName="SHA-512" hashValue="Tr3UgCGsFhF/l60541vpSIAx5HnHbm/H0WtBdLbfia61NhW3gK+6b7ELENQpKmUDDrLnEul0GJeK0jMo7H4Htw==" saltValue="h6c+t/TubJaog9GxdPjEVQ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28A6F-5994-4FAF-8773-C8B26C3DF829}">
  <sheetPr codeName="Plan20">
    <tabColor theme="7" tint="0.79998168889431442"/>
  </sheetPr>
  <dimension ref="A1:AJ55"/>
  <sheetViews>
    <sheetView showGridLines="0" topLeftCell="A16" workbookViewId="0">
      <selection activeCell="A3" sqref="A3"/>
    </sheetView>
  </sheetViews>
  <sheetFormatPr defaultColWidth="9.08984375" defaultRowHeight="12" x14ac:dyDescent="0.3"/>
  <cols>
    <col min="1" max="1" width="9.08984375" style="79"/>
    <col min="2" max="2" width="3.6328125" style="79" customWidth="1"/>
    <col min="3" max="4" width="4.08984375" style="79" customWidth="1"/>
    <col min="5" max="5" width="41.81640625" style="79" bestFit="1" customWidth="1"/>
    <col min="6" max="6" width="10.08984375" style="79" customWidth="1"/>
    <col min="7" max="36" width="11.453125" style="79" customWidth="1"/>
    <col min="37" max="16384" width="9.08984375" style="79"/>
  </cols>
  <sheetData>
    <row r="1" spans="1:36" x14ac:dyDescent="0.3">
      <c r="A1" s="173"/>
      <c r="G1" s="199"/>
    </row>
    <row r="2" spans="1:36" x14ac:dyDescent="0.3">
      <c r="A2" s="173"/>
      <c r="G2" s="199"/>
    </row>
    <row r="3" spans="1:36" ht="12.5" thickBot="1" x14ac:dyDescent="0.35">
      <c r="A3" s="252"/>
      <c r="C3" s="253" t="s">
        <v>696</v>
      </c>
      <c r="D3" s="253"/>
      <c r="H3" s="254"/>
    </row>
    <row r="4" spans="1:36" s="252" customFormat="1" ht="12.5" thickTop="1" x14ac:dyDescent="0.35">
      <c r="A4" s="173"/>
      <c r="C4" s="255" t="s">
        <v>666</v>
      </c>
      <c r="D4" s="256"/>
      <c r="E4" s="257"/>
      <c r="F4" s="258"/>
      <c r="G4" s="258">
        <v>1</v>
      </c>
      <c r="H4" s="258">
        <v>2</v>
      </c>
      <c r="I4" s="258">
        <v>3</v>
      </c>
      <c r="J4" s="258">
        <v>4</v>
      </c>
      <c r="K4" s="258">
        <v>5</v>
      </c>
      <c r="L4" s="258">
        <v>6</v>
      </c>
      <c r="M4" s="258">
        <v>7</v>
      </c>
      <c r="N4" s="258">
        <v>8</v>
      </c>
      <c r="O4" s="258">
        <v>9</v>
      </c>
      <c r="P4" s="258">
        <v>10</v>
      </c>
      <c r="Q4" s="258">
        <v>11</v>
      </c>
      <c r="R4" s="258">
        <v>12</v>
      </c>
      <c r="S4" s="258">
        <v>13</v>
      </c>
      <c r="T4" s="258">
        <v>14</v>
      </c>
      <c r="U4" s="258">
        <v>15</v>
      </c>
      <c r="V4" s="258">
        <v>16</v>
      </c>
      <c r="W4" s="258">
        <v>17</v>
      </c>
      <c r="X4" s="258">
        <v>18</v>
      </c>
      <c r="Y4" s="258">
        <v>19</v>
      </c>
      <c r="Z4" s="258">
        <v>20</v>
      </c>
      <c r="AA4" s="258">
        <v>21</v>
      </c>
      <c r="AB4" s="258">
        <v>22</v>
      </c>
      <c r="AC4" s="258">
        <v>23</v>
      </c>
      <c r="AD4" s="258">
        <v>24</v>
      </c>
      <c r="AE4" s="258">
        <v>25</v>
      </c>
      <c r="AF4" s="258">
        <v>26</v>
      </c>
      <c r="AG4" s="258">
        <v>27</v>
      </c>
      <c r="AH4" s="258">
        <v>28</v>
      </c>
      <c r="AI4" s="258">
        <v>29</v>
      </c>
      <c r="AJ4" s="258">
        <v>30</v>
      </c>
    </row>
    <row r="5" spans="1:36" s="173" customFormat="1" x14ac:dyDescent="0.3">
      <c r="A5" s="199"/>
      <c r="D5" s="193"/>
    </row>
    <row r="6" spans="1:36" x14ac:dyDescent="0.3">
      <c r="E6" s="199" t="s">
        <v>130</v>
      </c>
      <c r="F6" s="199"/>
      <c r="G6" s="451">
        <f>'Cálculo Valor RPU'!H43</f>
        <v>3722535.0329589979</v>
      </c>
      <c r="H6" s="451">
        <f>'Cálculo Valor RPU'!I43</f>
        <v>3739825.6304044467</v>
      </c>
      <c r="I6" s="451">
        <f>'Cálculo Valor RPU'!J43</f>
        <v>3757116.2278498937</v>
      </c>
      <c r="J6" s="451">
        <f>'Cálculo Valor RPU'!K43</f>
        <v>3774406.8252953417</v>
      </c>
      <c r="K6" s="451">
        <f>'Cálculo Valor RPU'!L43</f>
        <v>3791697.4227407901</v>
      </c>
      <c r="L6" s="451">
        <f>'Cálculo Valor RPU'!M43</f>
        <v>3808974.0524997604</v>
      </c>
      <c r="M6" s="451">
        <f>'Cálculo Valor RPU'!N43</f>
        <v>3823998.2324079215</v>
      </c>
      <c r="N6" s="451">
        <f>'Cálculo Valor RPU'!O43</f>
        <v>3839022.4123160834</v>
      </c>
      <c r="O6" s="451">
        <f>'Cálculo Valor RPU'!P43</f>
        <v>3854046.5922242445</v>
      </c>
      <c r="P6" s="451">
        <f>'Cálculo Valor RPU'!Q43</f>
        <v>3869070.7721324065</v>
      </c>
      <c r="Q6" s="451">
        <f>'Cálculo Valor RPU'!R43</f>
        <v>3884067.3621580903</v>
      </c>
      <c r="R6" s="451">
        <f>'Cálculo Valor RPU'!S43</f>
        <v>3892751.0020979359</v>
      </c>
      <c r="S6" s="451">
        <f>'Cálculo Valor RPU'!T43</f>
        <v>3901434.6420377805</v>
      </c>
      <c r="T6" s="451">
        <f>'Cálculo Valor RPU'!U43</f>
        <v>3910118.2819776256</v>
      </c>
      <c r="U6" s="451">
        <f>'Cálculo Valor RPU'!V43</f>
        <v>3918801.9219174725</v>
      </c>
      <c r="V6" s="451">
        <f>'Cálculo Valor RPU'!W43</f>
        <v>3927526.8068396486</v>
      </c>
      <c r="W6" s="451">
        <f>'Cálculo Valor RPU'!X43</f>
        <v>3931017.0997182271</v>
      </c>
      <c r="X6" s="451">
        <f>'Cálculo Valor RPU'!Y43</f>
        <v>3934507.3925968045</v>
      </c>
      <c r="Y6" s="451">
        <f>'Cálculo Valor RPU'!Z43</f>
        <v>3937997.6854753834</v>
      </c>
      <c r="Z6" s="451">
        <f>'Cálculo Valor RPU'!AA43</f>
        <v>3941487.9783539609</v>
      </c>
      <c r="AA6" s="451">
        <f>'Cálculo Valor RPU'!AB43</f>
        <v>3944988.9978892915</v>
      </c>
      <c r="AB6" s="451">
        <f>'Cálculo Valor RPU'!AC43</f>
        <v>3948479.2907678704</v>
      </c>
      <c r="AC6" s="451">
        <f>'Cálculo Valor RPU'!AD43</f>
        <v>3951969.5836464479</v>
      </c>
      <c r="AD6" s="451">
        <f>'Cálculo Valor RPU'!AE43</f>
        <v>3955459.8765250263</v>
      </c>
      <c r="AE6" s="451">
        <f>'Cálculo Valor RPU'!AF43</f>
        <v>3958950.1694036038</v>
      </c>
      <c r="AF6" s="451">
        <f>'Cálculo Valor RPU'!AG43</f>
        <v>3962440.4622821822</v>
      </c>
      <c r="AG6" s="451">
        <f>'Cálculo Valor RPU'!AH43</f>
        <v>3965930.7551607601</v>
      </c>
      <c r="AH6" s="451">
        <f>'Cálculo Valor RPU'!AI43</f>
        <v>3969421.0480393386</v>
      </c>
      <c r="AI6" s="451">
        <f>'Cálculo Valor RPU'!AJ43</f>
        <v>3972911.340917916</v>
      </c>
      <c r="AJ6" s="451">
        <f>'Cálculo Valor RPU'!AK43</f>
        <v>3976401.6337964945</v>
      </c>
    </row>
    <row r="7" spans="1:36" x14ac:dyDescent="0.3">
      <c r="E7" s="260" t="s">
        <v>131</v>
      </c>
      <c r="F7" s="515">
        <f>'Premissas Gerais'!G99</f>
        <v>6.4999999999999997E-3</v>
      </c>
      <c r="G7" s="451">
        <f>$F7*G$6</f>
        <v>24196.477714233486</v>
      </c>
      <c r="H7" s="451">
        <f t="shared" ref="H7:AJ8" si="0">$F7*H$6</f>
        <v>24308.866597628901</v>
      </c>
      <c r="I7" s="451">
        <f t="shared" si="0"/>
        <v>24421.255481024309</v>
      </c>
      <c r="J7" s="451">
        <f t="shared" si="0"/>
        <v>24533.644364419721</v>
      </c>
      <c r="K7" s="451">
        <f t="shared" si="0"/>
        <v>24646.033247815136</v>
      </c>
      <c r="L7" s="451">
        <f t="shared" si="0"/>
        <v>24758.331341248442</v>
      </c>
      <c r="M7" s="451">
        <f t="shared" si="0"/>
        <v>24855.988510651488</v>
      </c>
      <c r="N7" s="451">
        <f t="shared" si="0"/>
        <v>24953.645680054542</v>
      </c>
      <c r="O7" s="451">
        <f t="shared" si="0"/>
        <v>25051.302849457588</v>
      </c>
      <c r="P7" s="451">
        <f t="shared" si="0"/>
        <v>25148.960018860642</v>
      </c>
      <c r="Q7" s="451">
        <f t="shared" si="0"/>
        <v>25246.437854027587</v>
      </c>
      <c r="R7" s="451">
        <f t="shared" si="0"/>
        <v>25302.881513636581</v>
      </c>
      <c r="S7" s="451">
        <f t="shared" si="0"/>
        <v>25359.325173245572</v>
      </c>
      <c r="T7" s="451">
        <f t="shared" si="0"/>
        <v>25415.768832854566</v>
      </c>
      <c r="U7" s="451">
        <f t="shared" si="0"/>
        <v>25472.212492463572</v>
      </c>
      <c r="V7" s="451">
        <f t="shared" si="0"/>
        <v>25528.924244457714</v>
      </c>
      <c r="W7" s="451">
        <f t="shared" si="0"/>
        <v>25551.611148168475</v>
      </c>
      <c r="X7" s="451">
        <f t="shared" si="0"/>
        <v>25574.298051879228</v>
      </c>
      <c r="Y7" s="451">
        <f t="shared" si="0"/>
        <v>25596.984955589993</v>
      </c>
      <c r="Z7" s="451">
        <f t="shared" si="0"/>
        <v>25619.671859300746</v>
      </c>
      <c r="AA7" s="451">
        <f t="shared" si="0"/>
        <v>25642.428486280394</v>
      </c>
      <c r="AB7" s="451">
        <f t="shared" si="0"/>
        <v>25665.115389991155</v>
      </c>
      <c r="AC7" s="451">
        <f t="shared" si="0"/>
        <v>25687.802293701909</v>
      </c>
      <c r="AD7" s="451">
        <f t="shared" si="0"/>
        <v>25710.489197412669</v>
      </c>
      <c r="AE7" s="451">
        <f t="shared" si="0"/>
        <v>25733.176101123423</v>
      </c>
      <c r="AF7" s="451">
        <f t="shared" si="0"/>
        <v>25755.863004834184</v>
      </c>
      <c r="AG7" s="451">
        <f t="shared" si="0"/>
        <v>25778.549908544941</v>
      </c>
      <c r="AH7" s="451">
        <f t="shared" si="0"/>
        <v>25801.236812255698</v>
      </c>
      <c r="AI7" s="451">
        <f t="shared" si="0"/>
        <v>25823.923715966452</v>
      </c>
      <c r="AJ7" s="451">
        <f t="shared" si="0"/>
        <v>25846.610619677213</v>
      </c>
    </row>
    <row r="8" spans="1:36" x14ac:dyDescent="0.3">
      <c r="A8" s="261"/>
      <c r="E8" s="260" t="s">
        <v>133</v>
      </c>
      <c r="F8" s="515">
        <f>'Premissas Gerais'!G100</f>
        <v>0.03</v>
      </c>
      <c r="G8" s="451">
        <f>$F8*G$6</f>
        <v>111676.05098876993</v>
      </c>
      <c r="H8" s="451">
        <f t="shared" si="0"/>
        <v>112194.7689121334</v>
      </c>
      <c r="I8" s="451">
        <f t="shared" si="0"/>
        <v>112713.48683549681</v>
      </c>
      <c r="J8" s="451">
        <f t="shared" si="0"/>
        <v>113232.20475886024</v>
      </c>
      <c r="K8" s="451">
        <f t="shared" si="0"/>
        <v>113750.9226822237</v>
      </c>
      <c r="L8" s="451">
        <f t="shared" si="0"/>
        <v>114269.22157499281</v>
      </c>
      <c r="M8" s="451">
        <f t="shared" si="0"/>
        <v>114719.94697223764</v>
      </c>
      <c r="N8" s="451">
        <f t="shared" si="0"/>
        <v>115170.67236948251</v>
      </c>
      <c r="O8" s="451">
        <f t="shared" si="0"/>
        <v>115621.39776672733</v>
      </c>
      <c r="P8" s="451">
        <f t="shared" si="0"/>
        <v>116072.1231639722</v>
      </c>
      <c r="Q8" s="451">
        <f t="shared" si="0"/>
        <v>116522.02086474271</v>
      </c>
      <c r="R8" s="451">
        <f t="shared" si="0"/>
        <v>116782.53006293807</v>
      </c>
      <c r="S8" s="451">
        <f t="shared" si="0"/>
        <v>117043.03926113341</v>
      </c>
      <c r="T8" s="451">
        <f t="shared" si="0"/>
        <v>117303.54845932877</v>
      </c>
      <c r="U8" s="451">
        <f t="shared" si="0"/>
        <v>117564.05765752417</v>
      </c>
      <c r="V8" s="451">
        <f t="shared" si="0"/>
        <v>117825.80420518946</v>
      </c>
      <c r="W8" s="451">
        <f t="shared" si="0"/>
        <v>117930.51299154681</v>
      </c>
      <c r="X8" s="451">
        <f t="shared" si="0"/>
        <v>118035.22177790414</v>
      </c>
      <c r="Y8" s="451">
        <f t="shared" si="0"/>
        <v>118139.93056426149</v>
      </c>
      <c r="Z8" s="451">
        <f t="shared" si="0"/>
        <v>118244.63935061882</v>
      </c>
      <c r="AA8" s="451">
        <f t="shared" si="0"/>
        <v>118349.66993667874</v>
      </c>
      <c r="AB8" s="451">
        <f t="shared" si="0"/>
        <v>118454.3787230361</v>
      </c>
      <c r="AC8" s="451">
        <f t="shared" si="0"/>
        <v>118559.08750939343</v>
      </c>
      <c r="AD8" s="451">
        <f t="shared" si="0"/>
        <v>118663.79629575078</v>
      </c>
      <c r="AE8" s="451">
        <f t="shared" si="0"/>
        <v>118768.50508210811</v>
      </c>
      <c r="AF8" s="451">
        <f t="shared" si="0"/>
        <v>118873.21386846546</v>
      </c>
      <c r="AG8" s="451">
        <f t="shared" si="0"/>
        <v>118977.9226548228</v>
      </c>
      <c r="AH8" s="451">
        <f t="shared" si="0"/>
        <v>119082.63144118016</v>
      </c>
      <c r="AI8" s="451">
        <f t="shared" si="0"/>
        <v>119187.34022753748</v>
      </c>
      <c r="AJ8" s="451">
        <f t="shared" si="0"/>
        <v>119292.04901389482</v>
      </c>
    </row>
    <row r="9" spans="1:36" x14ac:dyDescent="0.3">
      <c r="A9" s="261"/>
      <c r="G9" s="451"/>
      <c r="H9" s="451"/>
      <c r="I9" s="451"/>
      <c r="J9" s="451"/>
      <c r="K9" s="451"/>
      <c r="L9" s="451"/>
      <c r="M9" s="451"/>
      <c r="N9" s="451"/>
      <c r="O9" s="451"/>
      <c r="P9" s="451"/>
      <c r="Q9" s="451"/>
      <c r="R9" s="451"/>
      <c r="S9" s="451"/>
      <c r="T9" s="451"/>
      <c r="U9" s="451"/>
      <c r="V9" s="451"/>
      <c r="W9" s="451"/>
      <c r="X9" s="451"/>
      <c r="Y9" s="451"/>
      <c r="Z9" s="451"/>
      <c r="AA9" s="451"/>
      <c r="AB9" s="451"/>
      <c r="AC9" s="451"/>
      <c r="AD9" s="451"/>
      <c r="AE9" s="451"/>
      <c r="AF9" s="451"/>
      <c r="AG9" s="451"/>
      <c r="AH9" s="451"/>
      <c r="AI9" s="451"/>
      <c r="AJ9" s="451"/>
    </row>
    <row r="10" spans="1:36" ht="12.5" thickBot="1" x14ac:dyDescent="0.35">
      <c r="E10" s="199"/>
      <c r="F10" s="199"/>
      <c r="G10" s="451"/>
      <c r="H10" s="451"/>
      <c r="I10" s="451"/>
      <c r="J10" s="451"/>
      <c r="K10" s="451"/>
      <c r="L10" s="451"/>
      <c r="M10" s="451"/>
      <c r="N10" s="451"/>
      <c r="O10" s="451"/>
      <c r="P10" s="451"/>
      <c r="Q10" s="451"/>
      <c r="R10" s="451"/>
      <c r="S10" s="451"/>
      <c r="T10" s="451"/>
      <c r="U10" s="451"/>
      <c r="V10" s="451"/>
      <c r="W10" s="451"/>
      <c r="X10" s="451"/>
      <c r="Y10" s="451"/>
      <c r="Z10" s="451"/>
      <c r="AA10" s="451"/>
      <c r="AB10" s="451"/>
      <c r="AC10" s="451"/>
      <c r="AD10" s="451"/>
      <c r="AE10" s="451"/>
      <c r="AF10" s="451"/>
      <c r="AG10" s="451"/>
      <c r="AH10" s="451"/>
      <c r="AI10" s="451"/>
      <c r="AJ10" s="451"/>
    </row>
    <row r="11" spans="1:36" ht="15" thickBot="1" x14ac:dyDescent="0.4">
      <c r="E11" s="222" t="s">
        <v>1</v>
      </c>
      <c r="F11" s="450">
        <f>'Premissas Gerais'!G103</f>
        <v>0.03</v>
      </c>
      <c r="G11" s="451">
        <f>IF(G4&gt;'Premissas Gerais'!$E$7,0,'Premissas Geração de Resíduos'!D132*'Cálculo Valor RPU'!$E$43*$F$11)</f>
        <v>888.01022777030448</v>
      </c>
      <c r="H11" s="451">
        <f>IF(H4&gt;'Premissas Gerais'!$E$7,0,'Premissas Geração de Resíduos'!E132*'Cálculo Valor RPU'!$E$43*$F$11)</f>
        <v>882.96853457705902</v>
      </c>
      <c r="I11" s="451">
        <f>IF(I4&gt;'Premissas Gerais'!$E$7,0,'Premissas Geração de Resíduos'!F132*'Cálculo Valor RPU'!$E$43*$F$11)</f>
        <v>877.92684138381367</v>
      </c>
      <c r="J11" s="451">
        <f>IF(J4&gt;'Premissas Gerais'!$E$7,0,'Premissas Geração de Resíduos'!G132*'Cálculo Valor RPU'!$E$43*$F$11)</f>
        <v>872.8851481905682</v>
      </c>
      <c r="K11" s="451">
        <f>IF(K4&gt;'Premissas Gerais'!$E$7,0,'Premissas Geração de Resíduos'!H132*'Cálculo Valor RPU'!$E$43*$F$11)</f>
        <v>867.8434549973224</v>
      </c>
      <c r="L11" s="451">
        <f>IF(L4&gt;'Premissas Gerais'!$E$7,0,'Premissas Geração de Resíduos'!I132*'Cálculo Valor RPU'!$E$43*$F$11)</f>
        <v>862.80176180407716</v>
      </c>
      <c r="M11" s="451">
        <f>IF(M4&gt;'Premissas Gerais'!$E$7,0,'Premissas Geração de Resíduos'!J132*'Cálculo Valor RPU'!$E$43*$F$11)</f>
        <v>856.41561709263271</v>
      </c>
      <c r="N11" s="451">
        <f>IF(N4&gt;'Premissas Gerais'!$E$7,0,'Premissas Geração de Resíduos'!K132*'Cálculo Valor RPU'!$E$43*$F$11)</f>
        <v>850.02947238118861</v>
      </c>
      <c r="O11" s="451">
        <f>IF(O4&gt;'Premissas Gerais'!$E$7,0,'Premissas Geração de Resíduos'!L132*'Cálculo Valor RPU'!$E$43*$F$11)</f>
        <v>843.64332766974417</v>
      </c>
      <c r="P11" s="451">
        <f>IF(P4&gt;'Premissas Gerais'!$E$7,0,'Premissas Geração de Resíduos'!M132*'Cálculo Valor RPU'!$E$43*$F$11)</f>
        <v>837.25718295829995</v>
      </c>
      <c r="Q11" s="451">
        <f>IF(Q4&gt;'Premissas Gerais'!$E$7,0,'Premissas Geração de Resíduos'!N132*'Cálculo Valor RPU'!$E$43*$F$11)</f>
        <v>831.54326400595505</v>
      </c>
      <c r="R11" s="451">
        <f>IF(R4&gt;'Premissas Gerais'!$E$7,0,'Premissas Geração de Resíduos'!O132*'Cálculo Valor RPU'!$E$43*$F$11)</f>
        <v>824.14878065586163</v>
      </c>
      <c r="S11" s="451">
        <f>IF(S4&gt;'Premissas Gerais'!$E$7,0,'Premissas Geração de Resíduos'!P132*'Cálculo Valor RPU'!$E$43*$F$11)</f>
        <v>816.75429730576832</v>
      </c>
      <c r="T11" s="451">
        <f>IF(T4&gt;'Premissas Gerais'!$E$7,0,'Premissas Geração de Resíduos'!Q132*'Cálculo Valor RPU'!$E$43*$F$11)</f>
        <v>809.35981395567489</v>
      </c>
      <c r="U11" s="451">
        <f>IF(U4&gt;'Premissas Gerais'!$E$7,0,'Premissas Geração de Resíduos'!R132*'Cálculo Valor RPU'!$E$43*$F$11)</f>
        <v>801.96533060558158</v>
      </c>
      <c r="V11" s="451">
        <f>IF(V4&gt;'Premissas Gerais'!$E$7,0,'Premissas Geração de Resíduos'!S132*'Cálculo Valor RPU'!$E$43*$F$11)</f>
        <v>794.90696013503793</v>
      </c>
      <c r="W11" s="451">
        <f>IF(W4&gt;'Premissas Gerais'!$E$7,0,'Premissas Geração de Resíduos'!T132*'Cálculo Valor RPU'!$E$43*$F$11)</f>
        <v>787.17636390539485</v>
      </c>
      <c r="X11" s="451">
        <f>IF(X4&gt;'Premissas Gerais'!$E$7,0,'Premissas Geração de Resíduos'!U132*'Cálculo Valor RPU'!$E$43*$F$11)</f>
        <v>779.44576767575177</v>
      </c>
      <c r="Y11" s="451">
        <f>IF(Y4&gt;'Premissas Gerais'!$E$7,0,'Premissas Geração de Resíduos'!V132*'Cálculo Valor RPU'!$E$43*$F$11)</f>
        <v>771.71517144610868</v>
      </c>
      <c r="Z11" s="451">
        <f>IF(Z4&gt;'Premissas Gerais'!$E$7,0,'Premissas Geração de Resíduos'!W132*'Cálculo Valor RPU'!$E$43*$F$11)</f>
        <v>763.9845752164656</v>
      </c>
      <c r="AA11" s="451">
        <f>IF(AA4&gt;'Premissas Gerais'!$E$7,0,'Premissas Geração de Resíduos'!X132*'Cálculo Valor RPU'!$E$43*$F$11)</f>
        <v>755.5817532277232</v>
      </c>
      <c r="AB11" s="451">
        <f>IF(AB4&gt;'Premissas Gerais'!$E$7,0,'Premissas Geração de Resíduos'!Y132*'Cálculo Valor RPU'!$E$43*$F$11)</f>
        <v>747.85115699808</v>
      </c>
      <c r="AC11" s="451">
        <f>IF(AC4&gt;'Premissas Gerais'!$E$7,0,'Premissas Geração de Resíduos'!Z132*'Cálculo Valor RPU'!$E$43*$F$11)</f>
        <v>740.12056076843692</v>
      </c>
      <c r="AD11" s="451">
        <f>IF(AD4&gt;'Premissas Gerais'!$E$7,0,'Premissas Geração de Resíduos'!AA132*'Cálculo Valor RPU'!$E$43*$F$11)</f>
        <v>732.38996453879395</v>
      </c>
      <c r="AE11" s="451">
        <f>IF(AE4&gt;'Premissas Gerais'!$E$7,0,'Premissas Geração de Resíduos'!AB132*'Cálculo Valor RPU'!$E$43*$F$11)</f>
        <v>724.65936830915075</v>
      </c>
      <c r="AF11" s="451">
        <f>IF(AF4&gt;'Premissas Gerais'!$E$7,0,'Premissas Geração de Resíduos'!AC132*'Cálculo Valor RPU'!$E$43*$F$11)</f>
        <v>716.92877207950778</v>
      </c>
      <c r="AG11" s="451">
        <f>IF(AG4&gt;'Premissas Gerais'!$E$7,0,'Premissas Geração de Resíduos'!AD132*'Cálculo Valor RPU'!$E$43*$F$11)</f>
        <v>709.1981758498647</v>
      </c>
      <c r="AH11" s="451">
        <f>IF(AH4&gt;'Premissas Gerais'!$E$7,0,'Premissas Geração de Resíduos'!AE132*'Cálculo Valor RPU'!$E$43*$F$11)</f>
        <v>701.4675796202215</v>
      </c>
      <c r="AI11" s="451">
        <f>IF(AI4&gt;'Premissas Gerais'!$E$7,0,'Premissas Geração de Resíduos'!AF132*'Cálculo Valor RPU'!$E$43*$F$11)</f>
        <v>693.73698339057853</v>
      </c>
      <c r="AJ11" s="451">
        <f>IF(AJ4&gt;'Premissas Gerais'!$E$7,0,'Premissas Geração de Resíduos'!AG132*'Cálculo Valor RPU'!$E$43*$F$11)</f>
        <v>686.00638716093545</v>
      </c>
    </row>
    <row r="12" spans="1:36" ht="15" thickBot="1" x14ac:dyDescent="0.4">
      <c r="E12" s="223" t="s">
        <v>2</v>
      </c>
      <c r="F12" s="450">
        <f>'Premissas Gerais'!G104</f>
        <v>0.05</v>
      </c>
      <c r="G12" s="451">
        <f>IF(G4&gt;'Premissas Gerais'!$E$7,0,'Premissas Geração de Resíduos'!D133*'Cálculo Valor RPU'!$E$43*$F$12)</f>
        <v>17317.453571956965</v>
      </c>
      <c r="H12" s="451">
        <f>IF(H4&gt;'Premissas Gerais'!$E$7,0,'Premissas Geração de Resíduos'!E133*'Cálculo Valor RPU'!$E$43*$F$12)</f>
        <v>17327.200516425357</v>
      </c>
      <c r="I12" s="451">
        <f>IF(I4&gt;'Premissas Gerais'!$E$7,0,'Premissas Geração de Resíduos'!F133*'Cálculo Valor RPU'!$E$43*$F$12)</f>
        <v>17336.947460893745</v>
      </c>
      <c r="J12" s="451">
        <f>IF(J4&gt;'Premissas Gerais'!$E$7,0,'Premissas Geração de Resíduos'!G133*'Cálculo Valor RPU'!$E$43*$F$12)</f>
        <v>17346.694405362137</v>
      </c>
      <c r="K12" s="451">
        <f>IF(K4&gt;'Premissas Gerais'!$E$7,0,'Premissas Geração de Resíduos'!H133*'Cálculo Valor RPU'!$E$43*$F$12)</f>
        <v>17356.441349830529</v>
      </c>
      <c r="L12" s="451">
        <f>IF(L4&gt;'Premissas Gerais'!$E$7,0,'Premissas Geração de Resíduos'!I133*'Cálculo Valor RPU'!$E$43*$F$12)</f>
        <v>17367.334993648139</v>
      </c>
      <c r="M12" s="451">
        <f>IF(M4&gt;'Premissas Gerais'!$E$7,0,'Premissas Geração de Resíduos'!J133*'Cálculo Valor RPU'!$E$43*$F$12)</f>
        <v>17341.534258290634</v>
      </c>
      <c r="N12" s="451">
        <f>IF(N4&gt;'Premissas Gerais'!$E$7,0,'Premissas Geração de Resíduos'!K133*'Cálculo Valor RPU'!$E$43*$F$12)</f>
        <v>17315.733522933133</v>
      </c>
      <c r="O12" s="451">
        <f>IF(O4&gt;'Premissas Gerais'!$E$7,0,'Premissas Geração de Resíduos'!L133*'Cálculo Valor RPU'!$E$43*$F$12)</f>
        <v>17289.932787575624</v>
      </c>
      <c r="P12" s="451">
        <f>IF(P4&gt;'Premissas Gerais'!$E$7,0,'Premissas Geração de Resíduos'!M133*'Cálculo Valor RPU'!$E$43*$F$12)</f>
        <v>17264.132052218119</v>
      </c>
      <c r="Q12" s="451">
        <f>IF(Q4&gt;'Premissas Gerais'!$E$7,0,'Premissas Geração de Resíduos'!N133*'Cálculo Valor RPU'!$E$43*$F$12)</f>
        <v>17238.331316860618</v>
      </c>
      <c r="R12" s="451">
        <f>IF(R4&gt;'Premissas Gerais'!$E$7,0,'Premissas Geração de Resíduos'!O133*'Cálculo Valor RPU'!$E$43*$F$12)</f>
        <v>17188.449895169444</v>
      </c>
      <c r="S12" s="451">
        <f>IF(S4&gt;'Premissas Gerais'!$E$7,0,'Premissas Geração de Resíduos'!P133*'Cálculo Valor RPU'!$E$43*$F$12)</f>
        <v>17138.568473478266</v>
      </c>
      <c r="T12" s="451">
        <f>IF(T4&gt;'Premissas Gerais'!$E$7,0,'Premissas Geração de Resíduos'!Q133*'Cálculo Valor RPU'!$E$43*$F$12)</f>
        <v>17088.687051787088</v>
      </c>
      <c r="U12" s="451">
        <f>IF(U4&gt;'Premissas Gerais'!$E$7,0,'Premissas Geração de Resíduos'!R133*'Cálculo Valor RPU'!$E$43*$F$12)</f>
        <v>17038.805630095918</v>
      </c>
      <c r="V12" s="451">
        <f>IF(V4&gt;'Premissas Gerais'!$E$7,0,'Premissas Geração de Resíduos'!S133*'Cálculo Valor RPU'!$E$43*$F$12)</f>
        <v>16987.777509055519</v>
      </c>
      <c r="W12" s="451">
        <f>IF(W4&gt;'Premissas Gerais'!$E$7,0,'Premissas Geração de Resíduos'!T133*'Cálculo Valor RPU'!$E$43*$F$12)</f>
        <v>16916.108799729114</v>
      </c>
      <c r="X12" s="451">
        <f>IF(X4&gt;'Premissas Gerais'!$E$7,0,'Premissas Geração de Resíduos'!U133*'Cálculo Valor RPU'!$E$43*$F$12)</f>
        <v>16844.440090402717</v>
      </c>
      <c r="Y12" s="451">
        <f>IF(Y4&gt;'Premissas Gerais'!$E$7,0,'Premissas Geração de Resíduos'!V133*'Cálculo Valor RPU'!$E$43*$F$12)</f>
        <v>16772.771381076316</v>
      </c>
      <c r="Z12" s="451">
        <f>IF(Z4&gt;'Premissas Gerais'!$E$7,0,'Premissas Geração de Resíduos'!W133*'Cálculo Valor RPU'!$E$43*$F$12)</f>
        <v>16701.102671749915</v>
      </c>
      <c r="AA12" s="451">
        <f>IF(AA4&gt;'Premissas Gerais'!$E$7,0,'Premissas Geração de Resíduos'!X133*'Cálculo Valor RPU'!$E$43*$F$12)</f>
        <v>16630.007312098125</v>
      </c>
      <c r="AB12" s="451">
        <f>IF(AB4&gt;'Premissas Gerais'!$E$7,0,'Premissas Geração de Resíduos'!Y133*'Cálculo Valor RPU'!$E$43*$F$12)</f>
        <v>16558.338602771721</v>
      </c>
      <c r="AC12" s="451">
        <f>IF(AC4&gt;'Premissas Gerais'!$E$7,0,'Premissas Geração de Resíduos'!Z133*'Cálculo Valor RPU'!$E$43*$F$12)</f>
        <v>16486.669893445323</v>
      </c>
      <c r="AD12" s="451">
        <f>IF(AD4&gt;'Premissas Gerais'!$E$7,0,'Premissas Geração de Resíduos'!AA133*'Cálculo Valor RPU'!$E$43*$F$12)</f>
        <v>16415.001184118923</v>
      </c>
      <c r="AE12" s="451">
        <f>IF(AE4&gt;'Premissas Gerais'!$E$7,0,'Premissas Geração de Resíduos'!AB133*'Cálculo Valor RPU'!$E$43*$F$12)</f>
        <v>16343.33247479252</v>
      </c>
      <c r="AF12" s="451">
        <f>IF(AF4&gt;'Premissas Gerais'!$E$7,0,'Premissas Geração de Resíduos'!AC133*'Cálculo Valor RPU'!$E$43*$F$12)</f>
        <v>16271.663765466117</v>
      </c>
      <c r="AG12" s="451">
        <f>IF(AG4&gt;'Premissas Gerais'!$E$7,0,'Premissas Geração de Resíduos'!AD133*'Cálculo Valor RPU'!$E$43*$F$12)</f>
        <v>16199.995056139716</v>
      </c>
      <c r="AH12" s="451">
        <f>IF(AH4&gt;'Premissas Gerais'!$E$7,0,'Premissas Geração de Resíduos'!AE133*'Cálculo Valor RPU'!$E$43*$F$12)</f>
        <v>16128.326346813317</v>
      </c>
      <c r="AI12" s="451">
        <f>IF(AI4&gt;'Premissas Gerais'!$E$7,0,'Premissas Geração de Resíduos'!AF133*'Cálculo Valor RPU'!$E$43*$F$12)</f>
        <v>16056.657637486916</v>
      </c>
      <c r="AJ12" s="451">
        <f>IF(AJ4&gt;'Premissas Gerais'!$E$7,0,'Premissas Geração de Resíduos'!AG133*'Cálculo Valor RPU'!$E$43*$F$12)</f>
        <v>15984.988928160514</v>
      </c>
    </row>
    <row r="13" spans="1:36" ht="15" thickBot="1" x14ac:dyDescent="0.4">
      <c r="E13" s="223" t="s">
        <v>3</v>
      </c>
      <c r="F13" s="450">
        <f>'Premissas Gerais'!G105</f>
        <v>0.03</v>
      </c>
      <c r="G13" s="451">
        <f>IF(G4&gt;'Premissas Gerais'!$E$7,0,'Premissas Geração de Resíduos'!D134*'Cálculo Valor RPU'!$E$43*$F$13)</f>
        <v>1225.4675588382022</v>
      </c>
      <c r="H13" s="451">
        <f>IF(H4&gt;'Premissas Gerais'!$E$7,0,'Premissas Geração de Resíduos'!E134*'Cálculo Valor RPU'!$E$43*$F$13)</f>
        <v>1226.8120103564008</v>
      </c>
      <c r="I13" s="451">
        <f>IF(I4&gt;'Premissas Gerais'!$E$7,0,'Premissas Geração de Resíduos'!F134*'Cálculo Valor RPU'!$E$43*$F$13)</f>
        <v>1228.1564618745997</v>
      </c>
      <c r="J13" s="451">
        <f>IF(J4&gt;'Premissas Gerais'!$E$7,0,'Premissas Geração de Resíduos'!G134*'Cálculo Valor RPU'!$E$43*$F$13)</f>
        <v>1229.5009133927988</v>
      </c>
      <c r="K13" s="451">
        <f>IF(K4&gt;'Premissas Gerais'!$E$7,0,'Premissas Geração de Resíduos'!H134*'Cálculo Valor RPU'!$E$43*$F$13)</f>
        <v>1230.8453649109974</v>
      </c>
      <c r="L13" s="451">
        <f>IF(L4&gt;'Premissas Gerais'!$E$7,0,'Premissas Geração de Resíduos'!I134*'Cálculo Valor RPU'!$E$43*$F$13)</f>
        <v>1232.8620421882956</v>
      </c>
      <c r="M13" s="451">
        <f>IF(M4&gt;'Premissas Gerais'!$E$7,0,'Premissas Geração de Resíduos'!J134*'Cálculo Valor RPU'!$E$43*$F$13)</f>
        <v>1232.5259293087458</v>
      </c>
      <c r="N13" s="451">
        <f>IF(N4&gt;'Premissas Gerais'!$E$7,0,'Premissas Geração de Resíduos'!K134*'Cálculo Valor RPU'!$E$43*$F$13)</f>
        <v>1232.1898164291961</v>
      </c>
      <c r="O13" s="451">
        <f>IF(O4&gt;'Premissas Gerais'!$E$7,0,'Premissas Geração de Resíduos'!L134*'Cálculo Valor RPU'!$E$43*$F$13)</f>
        <v>1231.8537035496465</v>
      </c>
      <c r="P13" s="451">
        <f>IF(P4&gt;'Premissas Gerais'!$E$7,0,'Premissas Geração de Resíduos'!M134*'Cálculo Valor RPU'!$E$43*$F$13)</f>
        <v>1231.5175906700968</v>
      </c>
      <c r="Q13" s="451">
        <f>IF(Q4&gt;'Premissas Gerais'!$E$7,0,'Premissas Geração de Resíduos'!N134*'Cálculo Valor RPU'!$E$43*$F$13)</f>
        <v>1230.5092520314477</v>
      </c>
      <c r="R13" s="451">
        <f>IF(R4&gt;'Premissas Gerais'!$E$7,0,'Premissas Geração de Resíduos'!O134*'Cálculo Valor RPU'!$E$43*$F$13)</f>
        <v>1227.8203489950502</v>
      </c>
      <c r="S13" s="451">
        <f>IF(S4&gt;'Premissas Gerais'!$E$7,0,'Premissas Geração de Resíduos'!P134*'Cálculo Valor RPU'!$E$43*$F$13)</f>
        <v>1225.1314459586524</v>
      </c>
      <c r="T13" s="451">
        <f>IF(T4&gt;'Premissas Gerais'!$E$7,0,'Premissas Geração de Resíduos'!Q134*'Cálculo Valor RPU'!$E$43*$F$13)</f>
        <v>1222.4425429222551</v>
      </c>
      <c r="U13" s="451">
        <f>IF(U4&gt;'Premissas Gerais'!$E$7,0,'Premissas Geração de Resíduos'!R134*'Cálculo Valor RPU'!$E$43*$F$13)</f>
        <v>1219.7536398858572</v>
      </c>
      <c r="V13" s="451">
        <f>IF(V4&gt;'Premissas Gerais'!$E$7,0,'Premissas Geração de Resíduos'!S134*'Cálculo Valor RPU'!$E$43*$F$13)</f>
        <v>1217.4008497290097</v>
      </c>
      <c r="W13" s="451">
        <f>IF(W4&gt;'Premissas Gerais'!$E$7,0,'Premissas Geração de Resíduos'!T134*'Cálculo Valor RPU'!$E$43*$F$13)</f>
        <v>1213.3674951744131</v>
      </c>
      <c r="X13" s="451">
        <f>IF(X4&gt;'Premissas Gerais'!$E$7,0,'Premissas Geração de Resíduos'!U134*'Cálculo Valor RPU'!$E$43*$F$13)</f>
        <v>1209.3341406198165</v>
      </c>
      <c r="Y13" s="451">
        <f>IF(Y4&gt;'Premissas Gerais'!$E$7,0,'Premissas Geração de Resíduos'!V134*'Cálculo Valor RPU'!$E$43*$F$13)</f>
        <v>1205.3007860652203</v>
      </c>
      <c r="Z13" s="451">
        <f>IF(Z4&gt;'Premissas Gerais'!$E$7,0,'Premissas Geração de Resíduos'!W134*'Cálculo Valor RPU'!$E$43*$F$13)</f>
        <v>1201.267431510624</v>
      </c>
      <c r="AA13" s="451">
        <f>IF(AA4&gt;'Premissas Gerais'!$E$7,0,'Premissas Geração de Resíduos'!X134*'Cálculo Valor RPU'!$E$43*$F$13)</f>
        <v>1197.2340769560274</v>
      </c>
      <c r="AB13" s="451">
        <f>IF(AB4&gt;'Premissas Gerais'!$E$7,0,'Premissas Geração de Resíduos'!Y134*'Cálculo Valor RPU'!$E$43*$F$13)</f>
        <v>1193.2007224014312</v>
      </c>
      <c r="AC13" s="451">
        <f>IF(AC4&gt;'Premissas Gerais'!$E$7,0,'Premissas Geração de Resíduos'!Z134*'Cálculo Valor RPU'!$E$43*$F$13)</f>
        <v>1189.1673678468346</v>
      </c>
      <c r="AD13" s="451">
        <f>IF(AD4&gt;'Premissas Gerais'!$E$7,0,'Premissas Geração de Resíduos'!AA134*'Cálculo Valor RPU'!$E$43*$F$13)</f>
        <v>1185.1340132922383</v>
      </c>
      <c r="AE13" s="451">
        <f>IF(AE4&gt;'Premissas Gerais'!$E$7,0,'Premissas Geração de Resíduos'!AB134*'Cálculo Valor RPU'!$E$43*$F$13)</f>
        <v>1181.1006587376421</v>
      </c>
      <c r="AF13" s="451">
        <f>IF(AF4&gt;'Premissas Gerais'!$E$7,0,'Premissas Geração de Resíduos'!AC134*'Cálculo Valor RPU'!$E$43*$F$13)</f>
        <v>1177.0673041830455</v>
      </c>
      <c r="AG13" s="451">
        <f>IF(AG4&gt;'Premissas Gerais'!$E$7,0,'Premissas Geração de Resíduos'!AD134*'Cálculo Valor RPU'!$E$43*$F$13)</f>
        <v>1173.0339496284491</v>
      </c>
      <c r="AH13" s="451">
        <f>IF(AH4&gt;'Premissas Gerais'!$E$7,0,'Premissas Geração de Resíduos'!AE134*'Cálculo Valor RPU'!$E$43*$F$13)</f>
        <v>1169.000595073853</v>
      </c>
      <c r="AI13" s="451">
        <f>IF(AI4&gt;'Premissas Gerais'!$E$7,0,'Premissas Geração de Resíduos'!AF134*'Cálculo Valor RPU'!$E$43*$F$13)</f>
        <v>1164.9672405192566</v>
      </c>
      <c r="AJ13" s="451">
        <f>IF(AJ4&gt;'Premissas Gerais'!$E$7,0,'Premissas Geração de Resíduos'!AG134*'Cálculo Valor RPU'!$E$43*$F$13)</f>
        <v>1160.93388596466</v>
      </c>
    </row>
    <row r="14" spans="1:36" ht="15" thickBot="1" x14ac:dyDescent="0.4">
      <c r="E14" s="223" t="s">
        <v>4</v>
      </c>
      <c r="F14" s="450">
        <f>'Premissas Gerais'!G106</f>
        <v>0.02</v>
      </c>
      <c r="G14" s="451">
        <f>IF(G4&gt;'Premissas Gerais'!$E$7,0,'Premissas Geração de Resíduos'!D135*'Cálculo Valor RPU'!$E$43*$F$14)</f>
        <v>1951.9994855394405</v>
      </c>
      <c r="H14" s="451">
        <f>IF(H4&gt;'Premissas Gerais'!$E$7,0,'Premissas Geração de Resíduos'!E135*'Cálculo Valor RPU'!$E$43*$F$14)</f>
        <v>1970.0755473612148</v>
      </c>
      <c r="I14" s="451">
        <f>IF(I4&gt;'Premissas Gerais'!$E$7,0,'Premissas Geração de Resíduos'!F135*'Cálculo Valor RPU'!$E$43*$F$14)</f>
        <v>1988.1516091829888</v>
      </c>
      <c r="J14" s="451">
        <f>IF(J4&gt;'Premissas Gerais'!$E$7,0,'Premissas Geração de Resíduos'!G135*'Cálculo Valor RPU'!$E$43*$F$14)</f>
        <v>2006.2276710047629</v>
      </c>
      <c r="K14" s="451">
        <f>IF(K4&gt;'Premissas Gerais'!$E$7,0,'Premissas Geração de Resíduos'!H135*'Cálculo Valor RPU'!$E$43*$F$14)</f>
        <v>2024.3037328265368</v>
      </c>
      <c r="L14" s="451">
        <f>IF(L4&gt;'Premissas Gerais'!$E$7,0,'Premissas Geração de Resíduos'!I135*'Cálculo Valor RPU'!$E$43*$F$14)</f>
        <v>2042.1646034361472</v>
      </c>
      <c r="M14" s="451">
        <f>IF(M4&gt;'Premissas Gerais'!$E$7,0,'Premissas Geração de Resíduos'!J135*'Cálculo Valor RPU'!$E$43*$F$14)</f>
        <v>2057.8735619241179</v>
      </c>
      <c r="N14" s="451">
        <f>IF(N4&gt;'Premissas Gerais'!$E$7,0,'Premissas Geração de Resíduos'!K135*'Cálculo Valor RPU'!$E$43*$F$14)</f>
        <v>2073.5825204120874</v>
      </c>
      <c r="O14" s="451">
        <f>IF(O4&gt;'Premissas Gerais'!$E$7,0,'Premissas Geração de Resíduos'!L135*'Cálculo Valor RPU'!$E$43*$F$14)</f>
        <v>2089.2914789000579</v>
      </c>
      <c r="P14" s="451">
        <f>IF(P4&gt;'Premissas Gerais'!$E$7,0,'Premissas Geração de Resíduos'!M135*'Cálculo Valor RPU'!$E$43*$F$14)</f>
        <v>2105.0004373880283</v>
      </c>
      <c r="Q14" s="451">
        <f>IF(Q4&gt;'Premissas Gerais'!$E$7,0,'Premissas Geração de Resíduos'!N135*'Cálculo Valor RPU'!$E$43*$F$14)</f>
        <v>2120.4942046638348</v>
      </c>
      <c r="R14" s="451">
        <f>IF(R4&gt;'Premissas Gerais'!$E$7,0,'Premissas Geração de Resíduos'!O135*'Cálculo Valor RPU'!$E$43*$F$14)</f>
        <v>2132.9752949693457</v>
      </c>
      <c r="S14" s="451">
        <f>IF(S4&gt;'Premissas Gerais'!$E$7,0,'Premissas Geração de Resíduos'!P135*'Cálculo Valor RPU'!$E$43*$F$14)</f>
        <v>2145.4563852748561</v>
      </c>
      <c r="T14" s="451">
        <f>IF(T4&gt;'Premissas Gerais'!$E$7,0,'Premissas Geração de Resíduos'!Q135*'Cálculo Valor RPU'!$E$43*$F$14)</f>
        <v>2157.9374755803669</v>
      </c>
      <c r="U14" s="451">
        <f>IF(U4&gt;'Premissas Gerais'!$E$7,0,'Premissas Geração de Resíduos'!R135*'Cálculo Valor RPU'!$E$43*$F$14)</f>
        <v>2170.4185658858778</v>
      </c>
      <c r="V14" s="451">
        <f>IF(V4&gt;'Premissas Gerais'!$E$7,0,'Premissas Geração de Resíduos'!S135*'Cálculo Valor RPU'!$E$43*$F$14)</f>
        <v>2183.3300386157161</v>
      </c>
      <c r="W14" s="451">
        <f>IF(W4&gt;'Premissas Gerais'!$E$7,0,'Premissas Geração de Resíduos'!T135*'Cálculo Valor RPU'!$E$43*$F$14)</f>
        <v>2192.3680695266034</v>
      </c>
      <c r="X14" s="451">
        <f>IF(X4&gt;'Premissas Gerais'!$E$7,0,'Premissas Geração de Resíduos'!U135*'Cálculo Valor RPU'!$E$43*$F$14)</f>
        <v>2201.4061004374903</v>
      </c>
      <c r="Y14" s="451">
        <f>IF(Y4&gt;'Premissas Gerais'!$E$7,0,'Premissas Geração de Resíduos'!V135*'Cálculo Valor RPU'!$E$43*$F$14)</f>
        <v>2210.4441313483771</v>
      </c>
      <c r="Z14" s="451">
        <f>IF(Z4&gt;'Premissas Gerais'!$E$7,0,'Premissas Geração de Resíduos'!W135*'Cálculo Valor RPU'!$E$43*$F$14)</f>
        <v>2219.4821622592644</v>
      </c>
      <c r="AA14" s="451">
        <f>IF(AA4&gt;'Premissas Gerais'!$E$7,0,'Premissas Geração de Resíduos'!X135*'Cálculo Valor RPU'!$E$43*$F$14)</f>
        <v>2228.0898107458233</v>
      </c>
      <c r="AB14" s="451">
        <f>IF(AB4&gt;'Premissas Gerais'!$E$7,0,'Premissas Geração de Resíduos'!Y135*'Cálculo Valor RPU'!$E$43*$F$14)</f>
        <v>2237.1278416567111</v>
      </c>
      <c r="AC14" s="451">
        <f>IF(AC4&gt;'Premissas Gerais'!$E$7,0,'Premissas Geração de Resíduos'!Z135*'Cálculo Valor RPU'!$E$43*$F$14)</f>
        <v>2246.1658725675979</v>
      </c>
      <c r="AD14" s="451">
        <f>IF(AD4&gt;'Premissas Gerais'!$E$7,0,'Premissas Geração de Resíduos'!AA135*'Cálculo Valor RPU'!$E$43*$F$14)</f>
        <v>2255.2039034784848</v>
      </c>
      <c r="AE14" s="451">
        <f>IF(AE4&gt;'Premissas Gerais'!$E$7,0,'Premissas Geração de Resíduos'!AB135*'Cálculo Valor RPU'!$E$43*$F$14)</f>
        <v>2264.2419343893716</v>
      </c>
      <c r="AF14" s="451">
        <f>IF(AF4&gt;'Premissas Gerais'!$E$7,0,'Premissas Geração de Resíduos'!AC135*'Cálculo Valor RPU'!$E$43*$F$14)</f>
        <v>2273.2799653002589</v>
      </c>
      <c r="AG14" s="451">
        <f>IF(AG4&gt;'Premissas Gerais'!$E$7,0,'Premissas Geração de Resíduos'!AD135*'Cálculo Valor RPU'!$E$43*$F$14)</f>
        <v>2282.3179962111458</v>
      </c>
      <c r="AH14" s="451">
        <f>IF(AH4&gt;'Premissas Gerais'!$E$7,0,'Premissas Geração de Resíduos'!AE135*'Cálculo Valor RPU'!$E$43*$F$14)</f>
        <v>2291.3560271220331</v>
      </c>
      <c r="AI14" s="451">
        <f>IF(AI4&gt;'Premissas Gerais'!$E$7,0,'Premissas Geração de Resíduos'!AF135*'Cálculo Valor RPU'!$E$43*$F$14)</f>
        <v>2300.3940580329199</v>
      </c>
      <c r="AJ14" s="451">
        <f>IF(AJ4&gt;'Premissas Gerais'!$E$7,0,'Premissas Geração de Resíduos'!AG135*'Cálculo Valor RPU'!$E$43*$F$14)</f>
        <v>2309.4320889438072</v>
      </c>
    </row>
    <row r="15" spans="1:36" ht="15" thickBot="1" x14ac:dyDescent="0.4">
      <c r="E15" s="223" t="s">
        <v>5</v>
      </c>
      <c r="F15" s="450">
        <f>'Premissas Gerais'!G107</f>
        <v>0.02</v>
      </c>
      <c r="G15" s="451">
        <f>IF(G4&gt;'Premissas Gerais'!$E$7,0,'Premissas Geração de Resíduos'!D136*'Cálculo Valor RPU'!$E$43*$F$15)</f>
        <v>4544.1401810985999</v>
      </c>
      <c r="H15" s="451">
        <f>IF(H4&gt;'Premissas Gerais'!$E$7,0,'Premissas Geração de Resíduos'!E136*'Cálculo Valor RPU'!$E$43*$F$15)</f>
        <v>4563.6340700353803</v>
      </c>
      <c r="I15" s="451">
        <f>IF(I4&gt;'Premissas Gerais'!$E$7,0,'Premissas Geração de Resíduos'!F136*'Cálculo Valor RPU'!$E$43*$F$15)</f>
        <v>4583.1279589721617</v>
      </c>
      <c r="J15" s="451">
        <f>IF(J4&gt;'Premissas Gerais'!$E$7,0,'Premissas Geração de Resíduos'!G136*'Cálculo Valor RPU'!$E$43*$F$15)</f>
        <v>4602.621847908943</v>
      </c>
      <c r="K15" s="451">
        <f>IF(K4&gt;'Premissas Gerais'!$E$7,0,'Premissas Geração de Resíduos'!H136*'Cálculo Valor RPU'!$E$43*$F$15)</f>
        <v>4622.1157368457243</v>
      </c>
      <c r="L15" s="451">
        <f>IF(L4&gt;'Premissas Gerais'!$E$7,0,'Premissas Geração de Resíduos'!I136*'Cálculo Valor RPU'!$E$43*$F$15)</f>
        <v>4641.3802859126608</v>
      </c>
      <c r="M15" s="451">
        <f>IF(M4&gt;'Premissas Gerais'!$E$7,0,'Premissas Geração de Resíduos'!J136*'Cálculo Valor RPU'!$E$43*$F$15)</f>
        <v>4652.6179395350409</v>
      </c>
      <c r="N15" s="451">
        <f>IF(N4&gt;'Premissas Gerais'!$E$7,0,'Premissas Geração de Resíduos'!K136*'Cálculo Valor RPU'!$E$43*$F$15)</f>
        <v>4663.8555931574201</v>
      </c>
      <c r="O15" s="451">
        <f>IF(O4&gt;'Premissas Gerais'!$E$7,0,'Premissas Geração de Resíduos'!L136*'Cálculo Valor RPU'!$E$43*$F$15)</f>
        <v>4675.0932467798002</v>
      </c>
      <c r="P15" s="451">
        <f>IF(P4&gt;'Premissas Gerais'!$E$7,0,'Premissas Geração de Resíduos'!M136*'Cálculo Valor RPU'!$E$43*$F$15)</f>
        <v>4686.3309004021803</v>
      </c>
      <c r="Q15" s="451">
        <f>IF(Q4&gt;'Premissas Gerais'!$E$7,0,'Premissas Geração de Resíduos'!N136*'Cálculo Valor RPU'!$E$43*$F$15)</f>
        <v>4698.0272337642473</v>
      </c>
      <c r="R15" s="451">
        <f>IF(R4&gt;'Premissas Gerais'!$E$7,0,'Premissas Geração de Resíduos'!O136*'Cálculo Valor RPU'!$E$43*$F$15)</f>
        <v>4702.3846912912941</v>
      </c>
      <c r="S15" s="451">
        <f>IF(S4&gt;'Premissas Gerais'!$E$7,0,'Premissas Geração de Resíduos'!P136*'Cálculo Valor RPU'!$E$43*$F$15)</f>
        <v>4706.742148818339</v>
      </c>
      <c r="T15" s="451">
        <f>IF(T4&gt;'Premissas Gerais'!$E$7,0,'Premissas Geração de Resíduos'!Q136*'Cálculo Valor RPU'!$E$43*$F$15)</f>
        <v>4711.099606345384</v>
      </c>
      <c r="U15" s="451">
        <f>IF(U4&gt;'Premissas Gerais'!$E$7,0,'Premissas Geração de Resíduos'!R136*'Cálculo Valor RPU'!$E$43*$F$15)</f>
        <v>4715.4570638724299</v>
      </c>
      <c r="V15" s="451">
        <f>IF(V4&gt;'Premissas Gerais'!$E$7,0,'Premissas Geração de Resíduos'!S136*'Cálculo Valor RPU'!$E$43*$F$15)</f>
        <v>4720.2732011391645</v>
      </c>
      <c r="W15" s="451">
        <f>IF(W4&gt;'Premissas Gerais'!$E$7,0,'Premissas Geração de Resíduos'!T136*'Cálculo Valor RPU'!$E$43*$F$15)</f>
        <v>4717.5211227010295</v>
      </c>
      <c r="X15" s="451">
        <f>IF(X4&gt;'Premissas Gerais'!$E$7,0,'Premissas Geração de Resíduos'!U136*'Cálculo Valor RPU'!$E$43*$F$15)</f>
        <v>4714.7690442628946</v>
      </c>
      <c r="Y15" s="451">
        <f>IF(Y4&gt;'Premissas Gerais'!$E$7,0,'Premissas Geração de Resíduos'!V136*'Cálculo Valor RPU'!$E$43*$F$15)</f>
        <v>4712.0169658247623</v>
      </c>
      <c r="Z15" s="451">
        <f>IF(Z4&gt;'Premissas Gerais'!$E$7,0,'Premissas Geração de Resíduos'!W136*'Cálculo Valor RPU'!$E$43*$F$15)</f>
        <v>4709.2648873866283</v>
      </c>
      <c r="AA15" s="451">
        <f>IF(AA4&gt;'Premissas Gerais'!$E$7,0,'Premissas Geração de Resíduos'!X136*'Cálculo Valor RPU'!$E$43*$F$15)</f>
        <v>4706.5128089484942</v>
      </c>
      <c r="AB15" s="451">
        <f>IF(AB4&gt;'Premissas Gerais'!$E$7,0,'Premissas Geração de Resíduos'!Y136*'Cálculo Valor RPU'!$E$43*$F$15)</f>
        <v>4703.7607305103602</v>
      </c>
      <c r="AC15" s="451">
        <f>IF(AC4&gt;'Premissas Gerais'!$E$7,0,'Premissas Geração de Resíduos'!Z136*'Cálculo Valor RPU'!$E$43*$F$15)</f>
        <v>4701.0086520722271</v>
      </c>
      <c r="AD15" s="451">
        <f>IF(AD4&gt;'Premissas Gerais'!$E$7,0,'Premissas Geração de Resíduos'!AA136*'Cálculo Valor RPU'!$E$43*$F$15)</f>
        <v>4698.256573634093</v>
      </c>
      <c r="AE15" s="451">
        <f>IF(AE4&gt;'Premissas Gerais'!$E$7,0,'Premissas Geração de Resíduos'!AB136*'Cálculo Valor RPU'!$E$43*$F$15)</f>
        <v>4695.504495195959</v>
      </c>
      <c r="AF15" s="451">
        <f>IF(AF4&gt;'Premissas Gerais'!$E$7,0,'Premissas Geração de Resíduos'!AC136*'Cálculo Valor RPU'!$E$43*$F$15)</f>
        <v>4692.7524167578258</v>
      </c>
      <c r="AG15" s="451">
        <f>IF(AG4&gt;'Premissas Gerais'!$E$7,0,'Premissas Geração de Resíduos'!AD136*'Cálculo Valor RPU'!$E$43*$F$15)</f>
        <v>4690.0003383196909</v>
      </c>
      <c r="AH15" s="451">
        <f>IF(AH4&gt;'Premissas Gerais'!$E$7,0,'Premissas Geração de Resíduos'!AE136*'Cálculo Valor RPU'!$E$43*$F$15)</f>
        <v>4687.2482598815577</v>
      </c>
      <c r="AI15" s="451">
        <f>IF(AI4&gt;'Premissas Gerais'!$E$7,0,'Premissas Geração de Resíduos'!AF136*'Cálculo Valor RPU'!$E$43*$F$15)</f>
        <v>4684.4961814434237</v>
      </c>
      <c r="AJ15" s="451">
        <f>IF(AJ4&gt;'Premissas Gerais'!$E$7,0,'Premissas Geração de Resíduos'!AG136*'Cálculo Valor RPU'!$E$43*$F$15)</f>
        <v>4681.7441030052896</v>
      </c>
    </row>
    <row r="16" spans="1:36" ht="15" thickBot="1" x14ac:dyDescent="0.4">
      <c r="E16" s="223" t="s">
        <v>6</v>
      </c>
      <c r="F16" s="450">
        <f>'Premissas Gerais'!G108</f>
        <v>0.02</v>
      </c>
      <c r="G16" s="451">
        <f>IF(G4&gt;'Premissas Gerais'!$E$7,0,'Premissas Geração de Resíduos'!D137*'Cálculo Valor RPU'!$E$43*$F$16)</f>
        <v>48801.550071601865</v>
      </c>
      <c r="H16" s="451">
        <f>IF(H4&gt;'Premissas Gerais'!$E$7,0,'Premissas Geração de Resíduos'!E137*'Cálculo Valor RPU'!$E$43*$F$16)</f>
        <v>49063.866184998464</v>
      </c>
      <c r="I16" s="451">
        <f>IF(I4&gt;'Premissas Gerais'!$E$7,0,'Premissas Geração de Resíduos'!F137*'Cálculo Valor RPU'!$E$43*$F$16)</f>
        <v>49326.182298395048</v>
      </c>
      <c r="J16" s="451">
        <f>IF(J4&gt;'Premissas Gerais'!$E$7,0,'Premissas Geração de Resíduos'!G137*'Cálculo Valor RPU'!$E$43*$F$16)</f>
        <v>49588.498411791632</v>
      </c>
      <c r="K16" s="451">
        <f>IF(K4&gt;'Premissas Gerais'!$E$7,0,'Premissas Geração de Resíduos'!H137*'Cálculo Valor RPU'!$E$43*$F$16)</f>
        <v>49850.814525188216</v>
      </c>
      <c r="L16" s="451">
        <f>IF(L4&gt;'Premissas Gerais'!$E$7,0,'Premissas Geração de Resíduos'!I137*'Cálculo Valor RPU'!$E$43*$F$16)</f>
        <v>50112.847665431196</v>
      </c>
      <c r="M16" s="451">
        <f>IF(M4&gt;'Premissas Gerais'!$E$7,0,'Premissas Geração de Resíduos'!J137*'Cálculo Valor RPU'!$E$43*$F$16)</f>
        <v>50375.729725134988</v>
      </c>
      <c r="N16" s="451">
        <f>IF(N4&gt;'Premissas Gerais'!$E$7,0,'Premissas Geração de Resíduos'!K137*'Cálculo Valor RPU'!$E$43*$F$16)</f>
        <v>50638.611784838795</v>
      </c>
      <c r="O16" s="451">
        <f>IF(O4&gt;'Premissas Gerais'!$E$7,0,'Premissas Geração de Resíduos'!L137*'Cálculo Valor RPU'!$E$43*$F$16)</f>
        <v>50901.493844542594</v>
      </c>
      <c r="P16" s="451">
        <f>IF(P4&gt;'Premissas Gerais'!$E$7,0,'Premissas Geração de Resíduos'!M137*'Cálculo Valor RPU'!$E$43*$F$16)</f>
        <v>51164.375904246408</v>
      </c>
      <c r="Q16" s="451">
        <f>IF(Q4&gt;'Premissas Gerais'!$E$7,0,'Premissas Geração de Resíduos'!N137*'Cálculo Valor RPU'!$E$43*$F$16)</f>
        <v>51426.692017642985</v>
      </c>
      <c r="R16" s="451">
        <f>IF(R4&gt;'Premissas Gerais'!$E$7,0,'Premissas Geração de Resíduos'!O137*'Cálculo Valor RPU'!$E$43*$F$16)</f>
        <v>51603.550238649317</v>
      </c>
      <c r="S16" s="451">
        <f>IF(S4&gt;'Premissas Gerais'!$E$7,0,'Premissas Geração de Resíduos'!P137*'Cálculo Valor RPU'!$E$43*$F$16)</f>
        <v>51780.408459655642</v>
      </c>
      <c r="T16" s="451">
        <f>IF(T4&gt;'Premissas Gerais'!$E$7,0,'Premissas Geração de Resíduos'!Q137*'Cálculo Valor RPU'!$E$43*$F$16)</f>
        <v>51957.26668066196</v>
      </c>
      <c r="U16" s="451">
        <f>IF(U4&gt;'Premissas Gerais'!$E$7,0,'Premissas Geração de Resíduos'!R137*'Cálculo Valor RPU'!$E$43*$F$16)</f>
        <v>52134.124901668292</v>
      </c>
      <c r="V16" s="451">
        <f>IF(V4&gt;'Premissas Gerais'!$E$7,0,'Premissas Geração de Resíduos'!S137*'Cálculo Valor RPU'!$E$43*$F$16)</f>
        <v>52310.700149521006</v>
      </c>
      <c r="W16" s="451">
        <f>IF(W4&gt;'Premissas Gerais'!$E$7,0,'Premissas Geração de Resíduos'!T137*'Cálculo Valor RPU'!$E$43*$F$16)</f>
        <v>52417.381028432035</v>
      </c>
      <c r="X16" s="451">
        <f>IF(X4&gt;'Premissas Gerais'!$E$7,0,'Premissas Geração de Resíduos'!U137*'Cálculo Valor RPU'!$E$43*$F$16)</f>
        <v>52524.061907343043</v>
      </c>
      <c r="Y16" s="451">
        <f>IF(Y4&gt;'Premissas Gerais'!$E$7,0,'Premissas Geração de Resíduos'!V137*'Cálculo Valor RPU'!$E$43*$F$16)</f>
        <v>52630.742786254072</v>
      </c>
      <c r="Z16" s="451">
        <f>IF(Z4&gt;'Premissas Gerais'!$E$7,0,'Premissas Geração de Resíduos'!W137*'Cálculo Valor RPU'!$E$43*$F$16)</f>
        <v>52737.423665165086</v>
      </c>
      <c r="AA16" s="451">
        <f>IF(AA4&gt;'Premissas Gerais'!$E$7,0,'Premissas Geração de Resíduos'!X137*'Cálculo Valor RPU'!$E$43*$F$16)</f>
        <v>52843.821570922482</v>
      </c>
      <c r="AB16" s="451">
        <f>IF(AB4&gt;'Premissas Gerais'!$E$7,0,'Premissas Geração de Resíduos'!Y137*'Cálculo Valor RPU'!$E$43*$F$16)</f>
        <v>52950.502449833511</v>
      </c>
      <c r="AC16" s="451">
        <f>IF(AC4&gt;'Premissas Gerais'!$E$7,0,'Premissas Geração de Resíduos'!Z137*'Cálculo Valor RPU'!$E$43*$F$16)</f>
        <v>53057.183328744526</v>
      </c>
      <c r="AD16" s="451">
        <f>IF(AD4&gt;'Premissas Gerais'!$E$7,0,'Premissas Geração de Resíduos'!AA137*'Cálculo Valor RPU'!$E$43*$F$16)</f>
        <v>53163.864207655526</v>
      </c>
      <c r="AE16" s="451">
        <f>IF(AE4&gt;'Premissas Gerais'!$E$7,0,'Premissas Geração de Resíduos'!AB137*'Cálculo Valor RPU'!$E$43*$F$16)</f>
        <v>53270.545086566563</v>
      </c>
      <c r="AF16" s="451">
        <f>IF(AF4&gt;'Premissas Gerais'!$E$7,0,'Premissas Geração de Resíduos'!AC137*'Cálculo Valor RPU'!$E$43*$F$16)</f>
        <v>53377.225965477577</v>
      </c>
      <c r="AG16" s="451">
        <f>IF(AG4&gt;'Premissas Gerais'!$E$7,0,'Premissas Geração de Resíduos'!AD137*'Cálculo Valor RPU'!$E$43*$F$16)</f>
        <v>53483.906844388584</v>
      </c>
      <c r="AH16" s="451">
        <f>IF(AH4&gt;'Premissas Gerais'!$E$7,0,'Premissas Geração de Resíduos'!AE137*'Cálculo Valor RPU'!$E$43*$F$16)</f>
        <v>53590.587723299614</v>
      </c>
      <c r="AI16" s="451">
        <f>IF(AI4&gt;'Premissas Gerais'!$E$7,0,'Premissas Geração de Resíduos'!AF137*'Cálculo Valor RPU'!$E$43*$F$16)</f>
        <v>53697.268602210621</v>
      </c>
      <c r="AJ16" s="451">
        <f>IF(AJ4&gt;'Premissas Gerais'!$E$7,0,'Premissas Geração de Resíduos'!AG137*'Cálculo Valor RPU'!$E$43*$F$16)</f>
        <v>53803.949481121635</v>
      </c>
    </row>
    <row r="17" spans="1:36" ht="15" thickBot="1" x14ac:dyDescent="0.4">
      <c r="E17" s="223" t="s">
        <v>7</v>
      </c>
      <c r="F17" s="450">
        <f>'Premissas Gerais'!G109</f>
        <v>0.03</v>
      </c>
      <c r="G17" s="451">
        <f>IF(G4&gt;'Premissas Gerais'!$E$7,0,'Premissas Geração de Resíduos'!D138*'Cálculo Valor RPU'!$E$43*$F$17)</f>
        <v>6574.7153887016575</v>
      </c>
      <c r="H17" s="451">
        <f>IF(H4&gt;'Premissas Gerais'!$E$7,0,'Premissas Geração de Resíduos'!E138*'Cálculo Valor RPU'!$E$43*$F$17)</f>
        <v>6557.1708886585548</v>
      </c>
      <c r="I17" s="451">
        <f>IF(I4&gt;'Premissas Gerais'!$E$7,0,'Premissas Geração de Resíduos'!F138*'Cálculo Valor RPU'!$E$43*$F$17)</f>
        <v>6539.6263886154529</v>
      </c>
      <c r="J17" s="451">
        <f>IF(J4&gt;'Premissas Gerais'!$E$7,0,'Premissas Geração de Resíduos'!G138*'Cálculo Valor RPU'!$E$43*$F$17)</f>
        <v>6522.0818885723493</v>
      </c>
      <c r="K17" s="451">
        <f>IF(K4&gt;'Premissas Gerais'!$E$7,0,'Premissas Geração de Resíduos'!H138*'Cálculo Valor RPU'!$E$43*$F$17)</f>
        <v>6504.5373885292456</v>
      </c>
      <c r="L17" s="451">
        <f>IF(L4&gt;'Premissas Gerais'!$E$7,0,'Premissas Geração de Resíduos'!I138*'Cálculo Valor RPU'!$E$43*$F$17)</f>
        <v>6486.3048688766094</v>
      </c>
      <c r="M17" s="451">
        <f>IF(M4&gt;'Premissas Gerais'!$E$7,0,'Premissas Geração de Resíduos'!J138*'Cálculo Valor RPU'!$E$43*$F$17)</f>
        <v>6455.6879962523717</v>
      </c>
      <c r="N17" s="451">
        <f>IF(N4&gt;'Premissas Gerais'!$E$7,0,'Premissas Geração de Resíduos'!K138*'Cálculo Valor RPU'!$E$43*$F$17)</f>
        <v>6425.0711236281322</v>
      </c>
      <c r="O17" s="451">
        <f>IF(O4&gt;'Premissas Gerais'!$E$7,0,'Premissas Geração de Resíduos'!L138*'Cálculo Valor RPU'!$E$43*$F$17)</f>
        <v>6394.4542510038946</v>
      </c>
      <c r="P17" s="451">
        <f>IF(P4&gt;'Premissas Gerais'!$E$7,0,'Premissas Geração de Resíduos'!M138*'Cálculo Valor RPU'!$E$43*$F$17)</f>
        <v>6363.8373783796551</v>
      </c>
      <c r="Q17" s="451">
        <f>IF(Q4&gt;'Premissas Gerais'!$E$7,0,'Premissas Geração de Resíduos'!N138*'Cálculo Valor RPU'!$E$43*$F$17)</f>
        <v>6332.8764959506507</v>
      </c>
      <c r="R17" s="451">
        <f>IF(R4&gt;'Premissas Gerais'!$E$7,0,'Premissas Geração de Resíduos'!O138*'Cálculo Valor RPU'!$E$43*$F$17)</f>
        <v>6290.9072997691101</v>
      </c>
      <c r="S17" s="451">
        <f>IF(S4&gt;'Premissas Gerais'!$E$7,0,'Premissas Geração de Resíduos'!P138*'Cálculo Valor RPU'!$E$43*$F$17)</f>
        <v>6248.9381035875685</v>
      </c>
      <c r="T17" s="451">
        <f>IF(T4&gt;'Premissas Gerais'!$E$7,0,'Premissas Geração de Resíduos'!Q138*'Cálculo Valor RPU'!$E$43*$F$17)</f>
        <v>6206.9689074060288</v>
      </c>
      <c r="U17" s="451">
        <f>IF(U4&gt;'Premissas Gerais'!$E$7,0,'Premissas Geração de Resíduos'!R138*'Cálculo Valor RPU'!$E$43*$F$17)</f>
        <v>6164.9997112244882</v>
      </c>
      <c r="V17" s="451">
        <f>IF(V4&gt;'Premissas Gerais'!$E$7,0,'Premissas Geração de Resíduos'!S138*'Cálculo Valor RPU'!$E$43*$F$17)</f>
        <v>6122.3424954334141</v>
      </c>
      <c r="W17" s="451">
        <f>IF(W4&gt;'Premissas Gerais'!$E$7,0,'Premissas Geração de Resíduos'!T138*'Cálculo Valor RPU'!$E$43*$F$17)</f>
        <v>6076.9332012042059</v>
      </c>
      <c r="X17" s="451">
        <f>IF(X4&gt;'Premissas Gerais'!$E$7,0,'Premissas Geração de Resíduos'!U138*'Cálculo Valor RPU'!$E$43*$F$17)</f>
        <v>6031.5239069749987</v>
      </c>
      <c r="Y17" s="451">
        <f>IF(Y4&gt;'Premissas Gerais'!$E$7,0,'Premissas Geração de Resíduos'!V138*'Cálculo Valor RPU'!$E$43*$F$17)</f>
        <v>5986.1146127457914</v>
      </c>
      <c r="Z17" s="451">
        <f>IF(Z4&gt;'Premissas Gerais'!$E$7,0,'Premissas Geração de Resíduos'!W138*'Cálculo Valor RPU'!$E$43*$F$17)</f>
        <v>5940.7053185165842</v>
      </c>
      <c r="AA17" s="451">
        <f>IF(AA4&gt;'Premissas Gerais'!$E$7,0,'Premissas Geração de Resíduos'!X138*'Cálculo Valor RPU'!$E$43*$F$17)</f>
        <v>5895.9840438969095</v>
      </c>
      <c r="AB17" s="451">
        <f>IF(AB4&gt;'Premissas Gerais'!$E$7,0,'Premissas Geração de Resíduos'!Y138*'Cálculo Valor RPU'!$E$43*$F$17)</f>
        <v>5850.5747496677004</v>
      </c>
      <c r="AC17" s="451">
        <f>IF(AC4&gt;'Premissas Gerais'!$E$7,0,'Premissas Geração de Resíduos'!Z138*'Cálculo Valor RPU'!$E$43*$F$17)</f>
        <v>5805.1654554384932</v>
      </c>
      <c r="AD17" s="451">
        <f>IF(AD4&gt;'Premissas Gerais'!$E$7,0,'Premissas Geração de Resíduos'!AA138*'Cálculo Valor RPU'!$E$43*$F$17)</f>
        <v>5759.7561612092859</v>
      </c>
      <c r="AE17" s="451">
        <f>IF(AE4&gt;'Premissas Gerais'!$E$7,0,'Premissas Geração de Resíduos'!AB138*'Cálculo Valor RPU'!$E$43*$F$17)</f>
        <v>5714.3468669800777</v>
      </c>
      <c r="AF17" s="451">
        <f>IF(AF4&gt;'Premissas Gerais'!$E$7,0,'Premissas Geração de Resíduos'!AC138*'Cálculo Valor RPU'!$E$43*$F$17)</f>
        <v>5668.9375727508695</v>
      </c>
      <c r="AG17" s="451">
        <f>IF(AG4&gt;'Premissas Gerais'!$E$7,0,'Premissas Geração de Resíduos'!AD138*'Cálculo Valor RPU'!$E$43*$F$17)</f>
        <v>5623.5282785216623</v>
      </c>
      <c r="AH17" s="451">
        <f>IF(AH4&gt;'Premissas Gerais'!$E$7,0,'Premissas Geração de Resíduos'!AE138*'Cálculo Valor RPU'!$E$43*$F$17)</f>
        <v>5578.1189842924541</v>
      </c>
      <c r="AI17" s="451">
        <f>IF(AI4&gt;'Premissas Gerais'!$E$7,0,'Premissas Geração de Resíduos'!AF138*'Cálculo Valor RPU'!$E$43*$F$17)</f>
        <v>5532.7096900632459</v>
      </c>
      <c r="AJ17" s="451">
        <f>IF(AJ4&gt;'Premissas Gerais'!$E$7,0,'Premissas Geração de Resíduos'!AG138*'Cálculo Valor RPU'!$E$43*$F$17)</f>
        <v>5487.3003958340387</v>
      </c>
    </row>
    <row r="18" spans="1:36" ht="15" thickBot="1" x14ac:dyDescent="0.4">
      <c r="E18" s="223" t="s">
        <v>8</v>
      </c>
      <c r="F18" s="450">
        <f>'Premissas Gerais'!G110</f>
        <v>0.03</v>
      </c>
      <c r="G18" s="451">
        <f>IF(G4&gt;'Premissas Gerais'!$E$7,0,'Premissas Geração de Resíduos'!D139*'Cálculo Valor RPU'!$E$43*$F$18)</f>
        <v>5315.9835130602105</v>
      </c>
      <c r="H18" s="451">
        <f>IF(H4&gt;'Premissas Gerais'!$E$7,0,'Premissas Geração de Resíduos'!E139*'Cálculo Valor RPU'!$E$43*$F$18)</f>
        <v>5362.0808268989513</v>
      </c>
      <c r="I18" s="451">
        <f>IF(I4&gt;'Premissas Gerais'!$E$7,0,'Premissas Geração de Resíduos'!F139*'Cálculo Valor RPU'!$E$43*$F$18)</f>
        <v>5408.1781407376911</v>
      </c>
      <c r="J18" s="451">
        <f>IF(J4&gt;'Premissas Gerais'!$E$7,0,'Premissas Geração de Resíduos'!G139*'Cálculo Valor RPU'!$E$43*$F$18)</f>
        <v>5454.2754545764337</v>
      </c>
      <c r="K18" s="451">
        <f>IF(K4&gt;'Premissas Gerais'!$E$7,0,'Premissas Geração de Resíduos'!H139*'Cálculo Valor RPU'!$E$43*$F$18)</f>
        <v>5500.3727684151745</v>
      </c>
      <c r="L18" s="451">
        <f>IF(L4&gt;'Premissas Gerais'!$E$7,0,'Premissas Geração de Resíduos'!I139*'Cálculo Valor RPU'!$E$43*$F$18)</f>
        <v>5545.7820626443818</v>
      </c>
      <c r="M18" s="451">
        <f>IF(M4&gt;'Premissas Gerais'!$E$7,0,'Premissas Geração de Resíduos'!J139*'Cálculo Valor RPU'!$E$43*$F$18)</f>
        <v>5582.2471019496543</v>
      </c>
      <c r="N18" s="451">
        <f>IF(N4&gt;'Premissas Gerais'!$E$7,0,'Premissas Geração de Resíduos'!K139*'Cálculo Valor RPU'!$E$43*$F$18)</f>
        <v>5618.7121412549277</v>
      </c>
      <c r="O18" s="451">
        <f>IF(O4&gt;'Premissas Gerais'!$E$7,0,'Premissas Geração de Resíduos'!L139*'Cálculo Valor RPU'!$E$43*$F$18)</f>
        <v>5655.1771805602011</v>
      </c>
      <c r="P18" s="451">
        <f>IF(P4&gt;'Premissas Gerais'!$E$7,0,'Premissas Geração de Resíduos'!M139*'Cálculo Valor RPU'!$E$43*$F$18)</f>
        <v>5691.6422198654745</v>
      </c>
      <c r="Q18" s="451">
        <f>IF(Q4&gt;'Premissas Gerais'!$E$7,0,'Premissas Geração de Resíduos'!N139*'Cálculo Valor RPU'!$E$43*$F$18)</f>
        <v>5728.451268975512</v>
      </c>
      <c r="R18" s="451">
        <f>IF(R4&gt;'Premissas Gerais'!$E$7,0,'Premissas Geração de Resíduos'!O139*'Cálculo Valor RPU'!$E$43*$F$18)</f>
        <v>5757.6921023806844</v>
      </c>
      <c r="S18" s="451">
        <f>IF(S4&gt;'Premissas Gerais'!$E$7,0,'Premissas Geração de Resíduos'!P139*'Cálculo Valor RPU'!$E$43*$F$18)</f>
        <v>5786.932935785856</v>
      </c>
      <c r="T18" s="451">
        <f>IF(T4&gt;'Premissas Gerais'!$E$7,0,'Premissas Geração de Resíduos'!Q139*'Cálculo Valor RPU'!$E$43*$F$18)</f>
        <v>5816.1737691910284</v>
      </c>
      <c r="U18" s="451">
        <f>IF(U4&gt;'Premissas Gerais'!$E$7,0,'Premissas Geração de Resíduos'!R139*'Cálculo Valor RPU'!$E$43*$F$18)</f>
        <v>5845.4146025962</v>
      </c>
      <c r="V18" s="451">
        <f>IF(V4&gt;'Premissas Gerais'!$E$7,0,'Premissas Geração de Resíduos'!S139*'Cálculo Valor RPU'!$E$43*$F$18)</f>
        <v>5874.9994458061383</v>
      </c>
      <c r="W18" s="451">
        <f>IF(W4&gt;'Premissas Gerais'!$E$7,0,'Premissas Geração de Resíduos'!T139*'Cálculo Valor RPU'!$E$43*$F$18)</f>
        <v>5893.9199850683081</v>
      </c>
      <c r="X18" s="451">
        <f>IF(X4&gt;'Premissas Gerais'!$E$7,0,'Premissas Geração de Resíduos'!U139*'Cálculo Valor RPU'!$E$43*$F$18)</f>
        <v>5912.8405243304778</v>
      </c>
      <c r="Y18" s="451">
        <f>IF(Y4&gt;'Premissas Gerais'!$E$7,0,'Premissas Geração de Resíduos'!V139*'Cálculo Valor RPU'!$E$43*$F$18)</f>
        <v>5931.7610635926476</v>
      </c>
      <c r="Z18" s="451">
        <f>IF(Z4&gt;'Premissas Gerais'!$E$7,0,'Premissas Geração de Resíduos'!W139*'Cálculo Valor RPU'!$E$43*$F$18)</f>
        <v>5950.6816028548183</v>
      </c>
      <c r="AA18" s="451">
        <f>IF(AA4&gt;'Premissas Gerais'!$E$7,0,'Premissas Geração de Resíduos'!X139*'Cálculo Valor RPU'!$E$43*$F$18)</f>
        <v>5969.9461519217548</v>
      </c>
      <c r="AB18" s="451">
        <f>IF(AB4&gt;'Premissas Gerais'!$E$7,0,'Premissas Geração de Resíduos'!Y139*'Cálculo Valor RPU'!$E$43*$F$18)</f>
        <v>5988.8666911839236</v>
      </c>
      <c r="AC18" s="451">
        <f>IF(AC4&gt;'Premissas Gerais'!$E$7,0,'Premissas Geração de Resíduos'!Z139*'Cálculo Valor RPU'!$E$43*$F$18)</f>
        <v>6007.7872304460952</v>
      </c>
      <c r="AD18" s="451">
        <f>IF(AD4&gt;'Premissas Gerais'!$E$7,0,'Premissas Geração de Resíduos'!AA139*'Cálculo Valor RPU'!$E$43*$F$18)</f>
        <v>6026.707769708265</v>
      </c>
      <c r="AE18" s="451">
        <f>IF(AE4&gt;'Premissas Gerais'!$E$7,0,'Premissas Geração de Resíduos'!AB139*'Cálculo Valor RPU'!$E$43*$F$18)</f>
        <v>6045.6283089704348</v>
      </c>
      <c r="AF18" s="451">
        <f>IF(AF4&gt;'Premissas Gerais'!$E$7,0,'Premissas Geração de Resíduos'!AC139*'Cálculo Valor RPU'!$E$43*$F$18)</f>
        <v>6064.5488482326045</v>
      </c>
      <c r="AG18" s="451">
        <f>IF(AG4&gt;'Premissas Gerais'!$E$7,0,'Premissas Geração de Resíduos'!AD139*'Cálculo Valor RPU'!$E$43*$F$18)</f>
        <v>6083.4693874947743</v>
      </c>
      <c r="AH18" s="451">
        <f>IF(AH4&gt;'Premissas Gerais'!$E$7,0,'Premissas Geração de Resíduos'!AE139*'Cálculo Valor RPU'!$E$43*$F$18)</f>
        <v>6102.3899267569441</v>
      </c>
      <c r="AI18" s="451">
        <f>IF(AI4&gt;'Premissas Gerais'!$E$7,0,'Premissas Geração de Resíduos'!AF139*'Cálculo Valor RPU'!$E$43*$F$18)</f>
        <v>6121.3104660191148</v>
      </c>
      <c r="AJ18" s="451">
        <f>IF(AJ4&gt;'Premissas Gerais'!$E$7,0,'Premissas Geração de Resíduos'!AG139*'Cálculo Valor RPU'!$E$43*$F$18)</f>
        <v>6140.2310052812845</v>
      </c>
    </row>
    <row r="19" spans="1:36" ht="15" thickBot="1" x14ac:dyDescent="0.4">
      <c r="E19" s="223" t="s">
        <v>9</v>
      </c>
      <c r="F19" s="450">
        <f>'Premissas Gerais'!G111</f>
        <v>0.03</v>
      </c>
      <c r="G19" s="451">
        <f>IF(G4&gt;'Premissas Gerais'!$E$7,0,'Premissas Geração de Resíduos'!D140*'Cálculo Valor RPU'!$E$43*$F$19)</f>
        <v>4334.8675498655084</v>
      </c>
      <c r="H19" s="451">
        <f>IF(H4&gt;'Premissas Gerais'!$E$7,0,'Premissas Geração de Resíduos'!E140*'Cálculo Valor RPU'!$E$43*$F$19)</f>
        <v>4373.0526381946147</v>
      </c>
      <c r="I19" s="451">
        <f>IF(I4&gt;'Premissas Gerais'!$E$7,0,'Premissas Geração de Resíduos'!F140*'Cálculo Valor RPU'!$E$43*$F$19)</f>
        <v>4411.237726523721</v>
      </c>
      <c r="J19" s="451">
        <f>IF(J4&gt;'Premissas Gerais'!$E$7,0,'Premissas Geração de Resíduos'!G140*'Cálculo Valor RPU'!$E$43*$F$19)</f>
        <v>4449.4228148528291</v>
      </c>
      <c r="K19" s="451">
        <f>IF(K4&gt;'Premissas Gerais'!$E$7,0,'Premissas Geração de Resíduos'!H140*'Cálculo Valor RPU'!$E$43*$F$19)</f>
        <v>4487.6079031819345</v>
      </c>
      <c r="L19" s="451">
        <f>IF(L4&gt;'Premissas Gerais'!$E$7,0,'Premissas Geração de Resíduos'!I140*'Cálculo Valor RPU'!$E$43*$F$19)</f>
        <v>4526.4810111205743</v>
      </c>
      <c r="M19" s="451">
        <f>IF(M4&gt;'Premissas Gerais'!$E$7,0,'Premissas Geração de Resíduos'!J140*'Cálculo Valor RPU'!$E$43*$F$19)</f>
        <v>4558.8179327686466</v>
      </c>
      <c r="N19" s="451">
        <f>IF(N4&gt;'Premissas Gerais'!$E$7,0,'Premissas Geração de Resíduos'!K140*'Cálculo Valor RPU'!$E$43*$F$19)</f>
        <v>4591.154854416719</v>
      </c>
      <c r="O19" s="451">
        <f>IF(O4&gt;'Premissas Gerais'!$E$7,0,'Premissas Geração de Resíduos'!L140*'Cálculo Valor RPU'!$E$43*$F$19)</f>
        <v>4623.4917760647913</v>
      </c>
      <c r="P19" s="451">
        <f>IF(P4&gt;'Premissas Gerais'!$E$7,0,'Premissas Geração de Resíduos'!M140*'Cálculo Valor RPU'!$E$43*$F$19)</f>
        <v>4655.8286977128637</v>
      </c>
      <c r="Q19" s="451">
        <f>IF(Q4&gt;'Premissas Gerais'!$E$7,0,'Premissas Geração de Resíduos'!N140*'Cálculo Valor RPU'!$E$43*$F$19)</f>
        <v>4687.8216095561693</v>
      </c>
      <c r="R19" s="451">
        <f>IF(R4&gt;'Premissas Gerais'!$E$7,0,'Premissas Geração de Resíduos'!O140*'Cálculo Valor RPU'!$E$43*$F$19)</f>
        <v>4710.5262566707725</v>
      </c>
      <c r="S19" s="451">
        <f>IF(S4&gt;'Premissas Gerais'!$E$7,0,'Premissas Geração de Resíduos'!P140*'Cálculo Valor RPU'!$E$43*$F$19)</f>
        <v>4733.2309037853765</v>
      </c>
      <c r="T19" s="451">
        <f>IF(T4&gt;'Premissas Gerais'!$E$7,0,'Premissas Geração de Resíduos'!Q140*'Cálculo Valor RPU'!$E$43*$F$19)</f>
        <v>4755.9355508999797</v>
      </c>
      <c r="U19" s="451">
        <f>IF(U4&gt;'Premissas Gerais'!$E$7,0,'Premissas Geração de Resíduos'!R140*'Cálculo Valor RPU'!$E$43*$F$19)</f>
        <v>4778.6401980145838</v>
      </c>
      <c r="V19" s="451">
        <f>IF(V4&gt;'Premissas Gerais'!$E$7,0,'Premissas Geração de Resíduos'!S140*'Cálculo Valor RPU'!$E$43*$F$19)</f>
        <v>4802.0328647387214</v>
      </c>
      <c r="W19" s="451">
        <f>IF(W4&gt;'Premissas Gerais'!$E$7,0,'Premissas Geração de Resíduos'!T140*'Cálculo Valor RPU'!$E$43*$F$19)</f>
        <v>4818.5453353675248</v>
      </c>
      <c r="X19" s="451">
        <f>IF(X4&gt;'Premissas Gerais'!$E$7,0,'Premissas Geração de Resíduos'!U140*'Cálculo Valor RPU'!$E$43*$F$19)</f>
        <v>4835.0578059963264</v>
      </c>
      <c r="Y19" s="451">
        <f>IF(Y4&gt;'Premissas Gerais'!$E$7,0,'Premissas Geração de Resíduos'!V140*'Cálculo Valor RPU'!$E$43*$F$19)</f>
        <v>4851.5702766251288</v>
      </c>
      <c r="Z19" s="451">
        <f>IF(Z4&gt;'Premissas Gerais'!$E$7,0,'Premissas Geração de Resíduos'!W140*'Cálculo Valor RPU'!$E$43*$F$19)</f>
        <v>4868.0827472539331</v>
      </c>
      <c r="AA19" s="451">
        <f>IF(AA4&gt;'Premissas Gerais'!$E$7,0,'Premissas Geração de Resíduos'!X140*'Cálculo Valor RPU'!$E$43*$F$19)</f>
        <v>4885.28323749227</v>
      </c>
      <c r="AB19" s="451">
        <f>IF(AB4&gt;'Premissas Gerais'!$E$7,0,'Premissas Geração de Resíduos'!Y140*'Cálculo Valor RPU'!$E$43*$F$19)</f>
        <v>4901.7957081210725</v>
      </c>
      <c r="AC19" s="451">
        <f>IF(AC4&gt;'Premissas Gerais'!$E$7,0,'Premissas Geração de Resíduos'!Z140*'Cálculo Valor RPU'!$E$43*$F$19)</f>
        <v>4918.308178749875</v>
      </c>
      <c r="AD19" s="451">
        <f>IF(AD4&gt;'Premissas Gerais'!$E$7,0,'Premissas Geração de Resíduos'!AA140*'Cálculo Valor RPU'!$E$43*$F$19)</f>
        <v>4934.8206493786784</v>
      </c>
      <c r="AE19" s="451">
        <f>IF(AE4&gt;'Premissas Gerais'!$E$7,0,'Premissas Geração de Resíduos'!AB140*'Cálculo Valor RPU'!$E$43*$F$19)</f>
        <v>4951.3331200074808</v>
      </c>
      <c r="AF19" s="451">
        <f>IF(AF4&gt;'Premissas Gerais'!$E$7,0,'Premissas Geração de Resíduos'!AC140*'Cálculo Valor RPU'!$E$43*$F$19)</f>
        <v>4967.8455906362824</v>
      </c>
      <c r="AG19" s="451">
        <f>IF(AG4&gt;'Premissas Gerais'!$E$7,0,'Premissas Geração de Resíduos'!AD140*'Cálculo Valor RPU'!$E$43*$F$19)</f>
        <v>4984.3580612650858</v>
      </c>
      <c r="AH19" s="451">
        <f>IF(AH4&gt;'Premissas Gerais'!$E$7,0,'Premissas Geração de Resíduos'!AE140*'Cálculo Valor RPU'!$E$43*$F$19)</f>
        <v>5000.8705318938883</v>
      </c>
      <c r="AI19" s="451">
        <f>IF(AI4&gt;'Premissas Gerais'!$E$7,0,'Premissas Geração de Resíduos'!AF140*'Cálculo Valor RPU'!$E$43*$F$19)</f>
        <v>5017.3830025226925</v>
      </c>
      <c r="AJ19" s="451">
        <f>IF(AJ4&gt;'Premissas Gerais'!$E$7,0,'Premissas Geração de Resíduos'!AG140*'Cálculo Valor RPU'!$E$43*$F$19)</f>
        <v>5033.8954731514941</v>
      </c>
    </row>
    <row r="20" spans="1:36" x14ac:dyDescent="0.3">
      <c r="E20" s="260" t="s">
        <v>667</v>
      </c>
      <c r="F20" s="260"/>
      <c r="G20" s="452">
        <f t="shared" ref="G20:AJ20" si="1">SUM(G11:G19)</f>
        <v>90954.187548432761</v>
      </c>
      <c r="H20" s="452">
        <f t="shared" si="1"/>
        <v>91326.861217505997</v>
      </c>
      <c r="I20" s="452">
        <f t="shared" si="1"/>
        <v>91699.534886579204</v>
      </c>
      <c r="J20" s="452">
        <f t="shared" si="1"/>
        <v>92072.208555652469</v>
      </c>
      <c r="K20" s="452">
        <f t="shared" si="1"/>
        <v>92444.88222472569</v>
      </c>
      <c r="L20" s="452">
        <f t="shared" si="1"/>
        <v>92817.959295062086</v>
      </c>
      <c r="M20" s="452">
        <f t="shared" si="1"/>
        <v>93113.450062256845</v>
      </c>
      <c r="N20" s="452">
        <f t="shared" si="1"/>
        <v>93408.940829451603</v>
      </c>
      <c r="O20" s="452">
        <f t="shared" si="1"/>
        <v>93704.431596646347</v>
      </c>
      <c r="P20" s="452">
        <f t="shared" si="1"/>
        <v>93999.92236384112</v>
      </c>
      <c r="Q20" s="452">
        <f t="shared" si="1"/>
        <v>94294.746663451413</v>
      </c>
      <c r="R20" s="452">
        <f t="shared" si="1"/>
        <v>94438.454908550862</v>
      </c>
      <c r="S20" s="452">
        <f t="shared" si="1"/>
        <v>94582.163153650312</v>
      </c>
      <c r="T20" s="452">
        <f t="shared" si="1"/>
        <v>94725.871398749761</v>
      </c>
      <c r="U20" s="452">
        <f t="shared" si="1"/>
        <v>94869.579643849225</v>
      </c>
      <c r="V20" s="452">
        <f t="shared" si="1"/>
        <v>95013.763514173726</v>
      </c>
      <c r="W20" s="452">
        <f t="shared" si="1"/>
        <v>95033.321401108624</v>
      </c>
      <c r="X20" s="452">
        <f t="shared" si="1"/>
        <v>95052.879288043507</v>
      </c>
      <c r="Y20" s="452">
        <f t="shared" si="1"/>
        <v>95072.437174978433</v>
      </c>
      <c r="Z20" s="452">
        <f t="shared" si="1"/>
        <v>95091.995061913331</v>
      </c>
      <c r="AA20" s="452">
        <f t="shared" si="1"/>
        <v>95112.46076620961</v>
      </c>
      <c r="AB20" s="452">
        <f t="shared" si="1"/>
        <v>95132.018653144522</v>
      </c>
      <c r="AC20" s="452">
        <f t="shared" si="1"/>
        <v>95151.576540079419</v>
      </c>
      <c r="AD20" s="452">
        <f t="shared" si="1"/>
        <v>95171.134427014273</v>
      </c>
      <c r="AE20" s="452">
        <f t="shared" si="1"/>
        <v>95190.692313949199</v>
      </c>
      <c r="AF20" s="452">
        <f t="shared" si="1"/>
        <v>95210.250200884097</v>
      </c>
      <c r="AG20" s="452">
        <f t="shared" si="1"/>
        <v>95229.808087818979</v>
      </c>
      <c r="AH20" s="452">
        <f t="shared" si="1"/>
        <v>95249.365974753891</v>
      </c>
      <c r="AI20" s="452">
        <f t="shared" si="1"/>
        <v>95268.923861688774</v>
      </c>
      <c r="AJ20" s="452">
        <f t="shared" si="1"/>
        <v>95288.481748623657</v>
      </c>
    </row>
    <row r="21" spans="1:36" x14ac:dyDescent="0.3">
      <c r="G21" s="259"/>
      <c r="H21" s="259"/>
      <c r="I21" s="259"/>
      <c r="J21" s="259"/>
      <c r="K21" s="259"/>
      <c r="L21" s="259"/>
      <c r="M21" s="259"/>
      <c r="N21" s="259"/>
      <c r="O21" s="259"/>
      <c r="P21" s="259"/>
      <c r="Q21" s="259"/>
      <c r="R21" s="259"/>
      <c r="S21" s="259"/>
      <c r="T21" s="259"/>
      <c r="U21" s="259"/>
      <c r="V21" s="259"/>
      <c r="W21" s="259"/>
      <c r="X21" s="259"/>
      <c r="Y21" s="259"/>
      <c r="Z21" s="259"/>
      <c r="AA21" s="259"/>
      <c r="AB21" s="259"/>
      <c r="AC21" s="259"/>
      <c r="AD21" s="259"/>
      <c r="AE21" s="259"/>
      <c r="AF21" s="259"/>
      <c r="AG21" s="259"/>
      <c r="AH21" s="259"/>
      <c r="AI21" s="259"/>
      <c r="AJ21" s="259"/>
    </row>
    <row r="22" spans="1:36" ht="12.5" thickBot="1" x14ac:dyDescent="0.35">
      <c r="G22" s="259"/>
      <c r="H22" s="259"/>
      <c r="I22" s="259"/>
      <c r="J22" s="259"/>
      <c r="K22" s="259"/>
      <c r="L22" s="259"/>
      <c r="M22" s="259"/>
      <c r="N22" s="259"/>
      <c r="O22" s="259"/>
      <c r="P22" s="259"/>
      <c r="Q22" s="259"/>
      <c r="R22" s="259"/>
      <c r="S22" s="259"/>
      <c r="T22" s="259"/>
      <c r="U22" s="259"/>
      <c r="V22" s="259"/>
      <c r="W22" s="259"/>
      <c r="X22" s="259"/>
      <c r="Y22" s="259"/>
      <c r="Z22" s="259"/>
      <c r="AA22" s="259"/>
      <c r="AB22" s="259"/>
      <c r="AC22" s="259"/>
      <c r="AD22" s="259"/>
      <c r="AE22" s="259"/>
      <c r="AF22" s="259"/>
      <c r="AG22" s="259"/>
      <c r="AH22" s="259"/>
      <c r="AI22" s="259"/>
      <c r="AJ22" s="259"/>
    </row>
    <row r="23" spans="1:36" s="252" customFormat="1" ht="12.5" thickTop="1" x14ac:dyDescent="0.3">
      <c r="A23" s="79"/>
      <c r="C23" s="256" t="s">
        <v>697</v>
      </c>
      <c r="D23" s="256"/>
      <c r="E23" s="257"/>
      <c r="F23" s="258"/>
      <c r="G23" s="258">
        <f t="shared" ref="G23:AJ23" si="2">G4</f>
        <v>1</v>
      </c>
      <c r="H23" s="258">
        <f t="shared" si="2"/>
        <v>2</v>
      </c>
      <c r="I23" s="258">
        <f t="shared" si="2"/>
        <v>3</v>
      </c>
      <c r="J23" s="258">
        <f t="shared" si="2"/>
        <v>4</v>
      </c>
      <c r="K23" s="258">
        <f t="shared" si="2"/>
        <v>5</v>
      </c>
      <c r="L23" s="258">
        <f t="shared" si="2"/>
        <v>6</v>
      </c>
      <c r="M23" s="258">
        <f t="shared" si="2"/>
        <v>7</v>
      </c>
      <c r="N23" s="258">
        <f t="shared" si="2"/>
        <v>8</v>
      </c>
      <c r="O23" s="258">
        <f t="shared" si="2"/>
        <v>9</v>
      </c>
      <c r="P23" s="258">
        <f t="shared" si="2"/>
        <v>10</v>
      </c>
      <c r="Q23" s="258">
        <f t="shared" si="2"/>
        <v>11</v>
      </c>
      <c r="R23" s="258">
        <f t="shared" si="2"/>
        <v>12</v>
      </c>
      <c r="S23" s="258">
        <f t="shared" si="2"/>
        <v>13</v>
      </c>
      <c r="T23" s="258">
        <f t="shared" si="2"/>
        <v>14</v>
      </c>
      <c r="U23" s="258">
        <f t="shared" si="2"/>
        <v>15</v>
      </c>
      <c r="V23" s="258">
        <f t="shared" si="2"/>
        <v>16</v>
      </c>
      <c r="W23" s="258">
        <f t="shared" si="2"/>
        <v>17</v>
      </c>
      <c r="X23" s="258">
        <f t="shared" si="2"/>
        <v>18</v>
      </c>
      <c r="Y23" s="258">
        <f t="shared" si="2"/>
        <v>19</v>
      </c>
      <c r="Z23" s="258">
        <f t="shared" si="2"/>
        <v>20</v>
      </c>
      <c r="AA23" s="258">
        <f t="shared" si="2"/>
        <v>21</v>
      </c>
      <c r="AB23" s="258">
        <f t="shared" si="2"/>
        <v>22</v>
      </c>
      <c r="AC23" s="258">
        <f t="shared" si="2"/>
        <v>23</v>
      </c>
      <c r="AD23" s="258">
        <f t="shared" si="2"/>
        <v>24</v>
      </c>
      <c r="AE23" s="258">
        <f t="shared" si="2"/>
        <v>25</v>
      </c>
      <c r="AF23" s="258">
        <f t="shared" si="2"/>
        <v>26</v>
      </c>
      <c r="AG23" s="258">
        <f t="shared" si="2"/>
        <v>27</v>
      </c>
      <c r="AH23" s="258">
        <f t="shared" si="2"/>
        <v>28</v>
      </c>
      <c r="AI23" s="258">
        <f t="shared" si="2"/>
        <v>29</v>
      </c>
      <c r="AJ23" s="258">
        <f t="shared" si="2"/>
        <v>30</v>
      </c>
    </row>
    <row r="24" spans="1:36" x14ac:dyDescent="0.3">
      <c r="G24" s="259"/>
      <c r="H24" s="259"/>
      <c r="I24" s="259"/>
      <c r="J24" s="259"/>
      <c r="K24" s="259"/>
      <c r="L24" s="259"/>
      <c r="M24" s="259"/>
      <c r="N24" s="259"/>
      <c r="O24" s="259"/>
      <c r="P24" s="259"/>
      <c r="Q24" s="259"/>
      <c r="R24" s="259"/>
      <c r="S24" s="259"/>
      <c r="T24" s="259"/>
      <c r="U24" s="259"/>
      <c r="V24" s="259"/>
      <c r="W24" s="259"/>
      <c r="X24" s="259"/>
      <c r="Y24" s="259"/>
      <c r="Z24" s="259"/>
      <c r="AA24" s="259"/>
      <c r="AB24" s="259"/>
      <c r="AC24" s="259"/>
      <c r="AD24" s="259"/>
      <c r="AE24" s="259"/>
      <c r="AF24" s="259"/>
      <c r="AG24" s="259"/>
      <c r="AH24" s="259"/>
      <c r="AI24" s="259"/>
      <c r="AJ24" s="259"/>
    </row>
    <row r="25" spans="1:36" x14ac:dyDescent="0.3">
      <c r="E25" s="263" t="s">
        <v>698</v>
      </c>
      <c r="G25" s="452">
        <f t="shared" ref="G25:AJ25" si="3">G6*32%</f>
        <v>1191211.2105468793</v>
      </c>
      <c r="H25" s="452">
        <f t="shared" si="3"/>
        <v>1196744.2017294229</v>
      </c>
      <c r="I25" s="452">
        <f t="shared" si="3"/>
        <v>1202277.192911966</v>
      </c>
      <c r="J25" s="452">
        <f t="shared" si="3"/>
        <v>1207810.1840945093</v>
      </c>
      <c r="K25" s="452">
        <f t="shared" si="3"/>
        <v>1213343.1752770529</v>
      </c>
      <c r="L25" s="452">
        <f t="shared" si="3"/>
        <v>1218871.6967999234</v>
      </c>
      <c r="M25" s="452">
        <f t="shared" si="3"/>
        <v>1223679.434370535</v>
      </c>
      <c r="N25" s="452">
        <f t="shared" si="3"/>
        <v>1228487.1719411467</v>
      </c>
      <c r="O25" s="452">
        <f t="shared" si="3"/>
        <v>1233294.9095117582</v>
      </c>
      <c r="P25" s="452">
        <f t="shared" si="3"/>
        <v>1238102.64708237</v>
      </c>
      <c r="Q25" s="452">
        <f t="shared" si="3"/>
        <v>1242901.555890589</v>
      </c>
      <c r="R25" s="452">
        <f t="shared" si="3"/>
        <v>1245680.3206713395</v>
      </c>
      <c r="S25" s="452">
        <f t="shared" si="3"/>
        <v>1248459.0854520898</v>
      </c>
      <c r="T25" s="452">
        <f t="shared" si="3"/>
        <v>1251237.8502328403</v>
      </c>
      <c r="U25" s="452">
        <f t="shared" si="3"/>
        <v>1254016.6150135912</v>
      </c>
      <c r="V25" s="452">
        <f t="shared" si="3"/>
        <v>1256808.5781886876</v>
      </c>
      <c r="W25" s="452">
        <f t="shared" si="3"/>
        <v>1257925.4719098327</v>
      </c>
      <c r="X25" s="452">
        <f t="shared" si="3"/>
        <v>1259042.3656309776</v>
      </c>
      <c r="Y25" s="452">
        <f t="shared" si="3"/>
        <v>1260159.2593521227</v>
      </c>
      <c r="Z25" s="452">
        <f t="shared" si="3"/>
        <v>1261276.1530732675</v>
      </c>
      <c r="AA25" s="452">
        <f t="shared" si="3"/>
        <v>1262396.4793245734</v>
      </c>
      <c r="AB25" s="452">
        <f t="shared" si="3"/>
        <v>1263513.3730457185</v>
      </c>
      <c r="AC25" s="452">
        <f t="shared" si="3"/>
        <v>1264630.2667668634</v>
      </c>
      <c r="AD25" s="452">
        <f t="shared" si="3"/>
        <v>1265747.1604880085</v>
      </c>
      <c r="AE25" s="452">
        <f t="shared" si="3"/>
        <v>1266864.0542091532</v>
      </c>
      <c r="AF25" s="452">
        <f t="shared" si="3"/>
        <v>1267980.9479302983</v>
      </c>
      <c r="AG25" s="452">
        <f t="shared" si="3"/>
        <v>1269097.8416514432</v>
      </c>
      <c r="AH25" s="452">
        <f t="shared" si="3"/>
        <v>1270214.7353725883</v>
      </c>
      <c r="AI25" s="452">
        <f t="shared" si="3"/>
        <v>1271331.6290937332</v>
      </c>
      <c r="AJ25" s="452">
        <f t="shared" si="3"/>
        <v>1272448.5228148783</v>
      </c>
    </row>
    <row r="26" spans="1:36" x14ac:dyDescent="0.3">
      <c r="G26" s="451"/>
      <c r="H26" s="451"/>
      <c r="I26" s="451"/>
      <c r="J26" s="451"/>
      <c r="K26" s="451"/>
      <c r="L26" s="451"/>
      <c r="M26" s="451"/>
      <c r="N26" s="451"/>
      <c r="O26" s="451"/>
      <c r="P26" s="451"/>
      <c r="Q26" s="451"/>
      <c r="R26" s="451"/>
      <c r="S26" s="451"/>
      <c r="T26" s="451"/>
      <c r="U26" s="451"/>
      <c r="V26" s="451"/>
      <c r="W26" s="451"/>
      <c r="X26" s="451"/>
      <c r="Y26" s="451"/>
      <c r="Z26" s="451"/>
      <c r="AA26" s="451"/>
      <c r="AB26" s="451"/>
      <c r="AC26" s="451"/>
      <c r="AD26" s="451"/>
      <c r="AE26" s="451"/>
      <c r="AF26" s="451"/>
      <c r="AG26" s="451"/>
      <c r="AH26" s="451"/>
      <c r="AI26" s="451"/>
      <c r="AJ26" s="451"/>
    </row>
    <row r="27" spans="1:36" x14ac:dyDescent="0.3">
      <c r="C27" s="264"/>
      <c r="D27" s="264"/>
      <c r="E27" s="265" t="s">
        <v>415</v>
      </c>
      <c r="F27" s="26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6"/>
      <c r="S27" s="456"/>
      <c r="T27" s="456"/>
      <c r="U27" s="456"/>
      <c r="V27" s="456"/>
      <c r="W27" s="456"/>
      <c r="X27" s="456"/>
      <c r="Y27" s="456"/>
      <c r="Z27" s="456"/>
      <c r="AA27" s="456"/>
      <c r="AB27" s="456"/>
      <c r="AC27" s="456"/>
      <c r="AD27" s="456"/>
      <c r="AE27" s="456"/>
      <c r="AF27" s="456"/>
      <c r="AG27" s="456"/>
      <c r="AH27" s="456"/>
      <c r="AI27" s="456"/>
      <c r="AJ27" s="456"/>
    </row>
    <row r="28" spans="1:36" x14ac:dyDescent="0.3">
      <c r="C28" s="268"/>
      <c r="D28" s="268"/>
      <c r="E28" s="269" t="s">
        <v>681</v>
      </c>
      <c r="F28" s="268"/>
      <c r="G28" s="455">
        <f>-IF(G$25&lt;0,0,IF(G25&lt;=240000,G25*'Premissas Gerais'!G113,G25*'Premissas Gerais'!G113+(G25-240000)*'Premissas Gerais'!G114))</f>
        <v>-273802.80263671983</v>
      </c>
      <c r="H28" s="455">
        <f>-IF(H$25&lt;0,0,IF(H25&lt;=240000,H25*'Premissas Gerais'!G113,H25*'Premissas Gerais'!G113+(H25-240000)*'Premissas Gerais'!G114))</f>
        <v>-275186.05043235573</v>
      </c>
      <c r="I28" s="455">
        <f>-IF(I$25&lt;0,0,IF(I25&lt;=240000,I25*'Premissas Gerais'!G113,I25*'Premissas Gerais'!G113+(I25-240000)*'Premissas Gerais'!G114))</f>
        <v>-276569.2982279915</v>
      </c>
      <c r="J28" s="455">
        <f>-IF(J$25&lt;0,0,IF(J25&lt;=240000,J25*'Premissas Gerais'!G113,J25*'Premissas Gerais'!G113+(J25-240000)*'Premissas Gerais'!G114))</f>
        <v>-277952.54602362734</v>
      </c>
      <c r="K28" s="455">
        <f>-IF(K$25&lt;0,0,IF(K25&lt;=240000,K25*'Premissas Gerais'!G113,K25*'Premissas Gerais'!G113+(K25-240000)*'Premissas Gerais'!G114))</f>
        <v>-279335.79381926323</v>
      </c>
      <c r="L28" s="455">
        <f>-IF(L$25&lt;0,0,IF(L25&lt;=240000,L25*'Premissas Gerais'!G113,L25*'Premissas Gerais'!G113+(L25-240000)*'Premissas Gerais'!G114))</f>
        <v>-280717.92419998086</v>
      </c>
      <c r="M28" s="455">
        <f>-IF(M$25&lt;0,0,IF(M25&lt;=240000,M25*'Premissas Gerais'!G113,M25*'Premissas Gerais'!G113+(M25-240000)*'Premissas Gerais'!G114))</f>
        <v>-281919.85859263374</v>
      </c>
      <c r="N28" s="455">
        <f>-IF(N$25&lt;0,0,IF(N25&lt;=240000,N25*'Premissas Gerais'!G113,N25*'Premissas Gerais'!G113+(N25-240000)*'Premissas Gerais'!G114))</f>
        <v>-283121.79298528668</v>
      </c>
      <c r="O28" s="455">
        <f>-IF(O$25&lt;0,0,IF(O25&lt;=240000,O25*'Premissas Gerais'!G113,O25*'Premissas Gerais'!G113+(O25-240000)*'Premissas Gerais'!G114))</f>
        <v>-284323.72737793956</v>
      </c>
      <c r="P28" s="455">
        <f>-IF(P$25&lt;0,0,IF(P25&lt;=240000,P25*'Premissas Gerais'!G113,P25*'Premissas Gerais'!G113+(P25-240000)*'Premissas Gerais'!G114))</f>
        <v>-285525.6617705925</v>
      </c>
      <c r="Q28" s="455">
        <f>-IF(Q$25&lt;0,0,IF(Q25&lt;=240000,Q25*'Premissas Gerais'!G113,Q25*'Premissas Gerais'!G113+(Q25-240000)*'Premissas Gerais'!G114))</f>
        <v>-286725.38897264726</v>
      </c>
      <c r="R28" s="455">
        <f>-IF(R$25&lt;0,0,IF(R25&lt;=240000,R25*'Premissas Gerais'!G113,R25*'Premissas Gerais'!G113+(R25-240000)*'Premissas Gerais'!G114))</f>
        <v>-287420.08016783488</v>
      </c>
      <c r="S28" s="455">
        <f>-IF(S$25&lt;0,0,IF(S25&lt;=240000,S25*'Premissas Gerais'!G113,S25*'Premissas Gerais'!G113+(S25-240000)*'Premissas Gerais'!G114))</f>
        <v>-288114.77136302245</v>
      </c>
      <c r="T28" s="455">
        <f>-IF(T$25&lt;0,0,IF(T25&lt;=240000,T25*'Premissas Gerais'!G113,T25*'Premissas Gerais'!G113+(T25-240000)*'Premissas Gerais'!G114))</f>
        <v>-288809.46255821007</v>
      </c>
      <c r="U28" s="455">
        <f>-IF(U$25&lt;0,0,IF(U25&lt;=240000,U25*'Premissas Gerais'!G113,U25*'Premissas Gerais'!G113+(U25-240000)*'Premissas Gerais'!G114))</f>
        <v>-289504.15375339781</v>
      </c>
      <c r="V28" s="455">
        <f>-IF(V$25&lt;0,0,IF(V25&lt;=240000,V25*'Premissas Gerais'!G113,V25*'Premissas Gerais'!G113+(V25-240000)*'Premissas Gerais'!G114))</f>
        <v>-290202.14454717189</v>
      </c>
      <c r="W28" s="455">
        <f>-IF(W$25&lt;0,0,IF(W25&lt;=240000,W25*'Premissas Gerais'!G113,W25*'Premissas Gerais'!G113+(W25-240000)*'Premissas Gerais'!G114))</f>
        <v>-290481.36797745817</v>
      </c>
      <c r="X28" s="455">
        <f>-IF(X$25&lt;0,0,IF(X25&lt;=240000,X25*'Premissas Gerais'!G113,X25*'Premissas Gerais'!G113+(X25-240000)*'Premissas Gerais'!G114))</f>
        <v>-290760.59140774439</v>
      </c>
      <c r="Y28" s="455">
        <f>-IF(Y$25&lt;0,0,IF(Y25&lt;=240000,Y25*'Premissas Gerais'!G113,Y25*'Premissas Gerais'!G113+(Y25-240000)*'Premissas Gerais'!G114))</f>
        <v>-291039.81483803067</v>
      </c>
      <c r="Z28" s="455">
        <f>-IF(Z$25&lt;0,0,IF(Z25&lt;=240000,Z25*'Premissas Gerais'!G113,Z25*'Premissas Gerais'!G113+(Z25-240000)*'Premissas Gerais'!G114))</f>
        <v>-291319.03826831689</v>
      </c>
      <c r="AA28" s="455">
        <f>-IF(AA$25&lt;0,0,IF(AA25&lt;=240000,AA25*'Premissas Gerais'!G113,AA25*'Premissas Gerais'!G113+(AA25-240000)*'Premissas Gerais'!G114))</f>
        <v>-291599.11983114335</v>
      </c>
      <c r="AB28" s="455">
        <f>-IF(AB$25&lt;0,0,IF(AB25&lt;=240000,AB25*'Premissas Gerais'!G113,AB25*'Premissas Gerais'!G113+(AB25-240000)*'Premissas Gerais'!G114))</f>
        <v>-291878.34326142963</v>
      </c>
      <c r="AC28" s="455">
        <f>-IF(AC$25&lt;0,0,IF(AC25&lt;=240000,AC25*'Premissas Gerais'!G113,AC25*'Premissas Gerais'!G113+(AC25-240000)*'Premissas Gerais'!G114))</f>
        <v>-292157.56669171585</v>
      </c>
      <c r="AD28" s="455">
        <f>-IF(AD$25&lt;0,0,IF(AD25&lt;=240000,AD25*'Premissas Gerais'!G113,AD25*'Premissas Gerais'!G113+(AD25-240000)*'Premissas Gerais'!G114))</f>
        <v>-292436.79012200213</v>
      </c>
      <c r="AE28" s="455">
        <f>-IF(AE$25&lt;0,0,IF(AE25&lt;=240000,AE25*'Premissas Gerais'!G113,AE25*'Premissas Gerais'!G113+(AE25-240000)*'Premissas Gerais'!G114))</f>
        <v>-292716.01355228829</v>
      </c>
      <c r="AF28" s="455">
        <f>-IF(AF$25&lt;0,0,IF(AF25&lt;=240000,AF25*'Premissas Gerais'!G113,AF25*'Premissas Gerais'!G113+(AF25-240000)*'Premissas Gerais'!G114))</f>
        <v>-292995.23698257457</v>
      </c>
      <c r="AG28" s="455">
        <f>-IF(AG$25&lt;0,0,IF(AG25&lt;=240000,AG25*'Premissas Gerais'!G113,AG25*'Premissas Gerais'!G113+(AG25-240000)*'Premissas Gerais'!G114))</f>
        <v>-293274.46041286079</v>
      </c>
      <c r="AH28" s="455">
        <f>-IF(AH$25&lt;0,0,IF(AH25&lt;=240000,AH25*'Premissas Gerais'!G113,AH25*'Premissas Gerais'!G113+(AH25-240000)*'Premissas Gerais'!G114))</f>
        <v>-293553.68384314707</v>
      </c>
      <c r="AI28" s="455">
        <f>-IF(AI$25&lt;0,0,IF(AI25&lt;=240000,AI25*'Premissas Gerais'!G113,AI25*'Premissas Gerais'!G113+(AI25-240000)*'Premissas Gerais'!G114))</f>
        <v>-293832.90727343329</v>
      </c>
      <c r="AJ28" s="455">
        <f>-IF(AJ$25&lt;0,0,IF(AJ25&lt;=240000,AJ25*'Premissas Gerais'!G113,AJ25*'Premissas Gerais'!G113+(AJ25-240000)*'Premissas Gerais'!G114))</f>
        <v>-294112.13070371957</v>
      </c>
    </row>
    <row r="29" spans="1:36" x14ac:dyDescent="0.3">
      <c r="G29" s="451"/>
      <c r="H29" s="451"/>
      <c r="I29" s="451"/>
      <c r="J29" s="451"/>
      <c r="K29" s="451"/>
      <c r="L29" s="451"/>
      <c r="M29" s="451"/>
      <c r="N29" s="451"/>
      <c r="O29" s="451"/>
      <c r="P29" s="451"/>
      <c r="Q29" s="451"/>
      <c r="R29" s="451"/>
      <c r="S29" s="451"/>
      <c r="T29" s="451"/>
      <c r="U29" s="451"/>
      <c r="V29" s="451"/>
      <c r="W29" s="451"/>
      <c r="X29" s="451"/>
      <c r="Y29" s="451"/>
      <c r="Z29" s="451"/>
      <c r="AA29" s="451"/>
      <c r="AB29" s="451"/>
      <c r="AC29" s="451"/>
      <c r="AD29" s="451"/>
      <c r="AE29" s="451"/>
      <c r="AF29" s="451"/>
      <c r="AG29" s="451"/>
      <c r="AH29" s="451"/>
      <c r="AI29" s="451"/>
      <c r="AJ29" s="451"/>
    </row>
    <row r="30" spans="1:36" x14ac:dyDescent="0.3">
      <c r="C30" s="264"/>
      <c r="D30" s="264"/>
      <c r="E30" s="265" t="s">
        <v>147</v>
      </c>
      <c r="F30" s="467">
        <f>'Premissas Gerais'!G115</f>
        <v>0.09</v>
      </c>
      <c r="G30" s="456"/>
      <c r="H30" s="456"/>
      <c r="I30" s="456"/>
      <c r="J30" s="456"/>
      <c r="K30" s="456"/>
      <c r="L30" s="456"/>
      <c r="M30" s="456"/>
      <c r="N30" s="456"/>
      <c r="O30" s="456"/>
      <c r="P30" s="456"/>
      <c r="Q30" s="456"/>
      <c r="R30" s="456"/>
      <c r="S30" s="456"/>
      <c r="T30" s="456"/>
      <c r="U30" s="456"/>
      <c r="V30" s="456"/>
      <c r="W30" s="456"/>
      <c r="X30" s="456"/>
      <c r="Y30" s="456"/>
      <c r="Z30" s="456"/>
      <c r="AA30" s="456"/>
      <c r="AB30" s="456"/>
      <c r="AC30" s="456"/>
      <c r="AD30" s="456"/>
      <c r="AE30" s="456"/>
      <c r="AF30" s="456"/>
      <c r="AG30" s="456"/>
      <c r="AH30" s="456"/>
      <c r="AI30" s="456"/>
      <c r="AJ30" s="456"/>
    </row>
    <row r="31" spans="1:36" x14ac:dyDescent="0.3">
      <c r="C31" s="268"/>
      <c r="D31" s="268"/>
      <c r="E31" s="269" t="s">
        <v>685</v>
      </c>
      <c r="F31" s="268"/>
      <c r="G31" s="455">
        <f>-IF(G$25&lt;0,0,G$25*$F30)</f>
        <v>-107209.00894921913</v>
      </c>
      <c r="H31" s="455">
        <f t="shared" ref="H31:AJ31" si="4">-IF(H$25&lt;0,0,H$25*$F30)</f>
        <v>-107706.97815564806</v>
      </c>
      <c r="I31" s="455">
        <f t="shared" si="4"/>
        <v>-108204.94736207694</v>
      </c>
      <c r="J31" s="455">
        <f t="shared" si="4"/>
        <v>-108702.91656850584</v>
      </c>
      <c r="K31" s="455">
        <f t="shared" si="4"/>
        <v>-109200.88577493475</v>
      </c>
      <c r="L31" s="455">
        <f t="shared" si="4"/>
        <v>-109698.4527119931</v>
      </c>
      <c r="M31" s="455">
        <f t="shared" si="4"/>
        <v>-110131.14909334814</v>
      </c>
      <c r="N31" s="455">
        <f t="shared" si="4"/>
        <v>-110563.84547470319</v>
      </c>
      <c r="O31" s="455">
        <f t="shared" si="4"/>
        <v>-110996.54185605823</v>
      </c>
      <c r="P31" s="455">
        <f t="shared" si="4"/>
        <v>-111429.2382374133</v>
      </c>
      <c r="Q31" s="455">
        <f t="shared" si="4"/>
        <v>-111861.14003015301</v>
      </c>
      <c r="R31" s="455">
        <f t="shared" si="4"/>
        <v>-112111.22886042055</v>
      </c>
      <c r="S31" s="455">
        <f t="shared" si="4"/>
        <v>-112361.31769068808</v>
      </c>
      <c r="T31" s="455">
        <f t="shared" si="4"/>
        <v>-112611.40652095563</v>
      </c>
      <c r="U31" s="455">
        <f t="shared" si="4"/>
        <v>-112861.4953512232</v>
      </c>
      <c r="V31" s="455">
        <f t="shared" si="4"/>
        <v>-113112.77203698187</v>
      </c>
      <c r="W31" s="455">
        <f t="shared" si="4"/>
        <v>-113213.29247188494</v>
      </c>
      <c r="X31" s="455">
        <f t="shared" si="4"/>
        <v>-113313.81290678798</v>
      </c>
      <c r="Y31" s="455">
        <f t="shared" si="4"/>
        <v>-113414.33334169103</v>
      </c>
      <c r="Z31" s="455">
        <f t="shared" si="4"/>
        <v>-113514.85377659407</v>
      </c>
      <c r="AA31" s="455">
        <f t="shared" si="4"/>
        <v>-113615.6831392116</v>
      </c>
      <c r="AB31" s="455">
        <f t="shared" si="4"/>
        <v>-113716.20357411467</v>
      </c>
      <c r="AC31" s="455">
        <f t="shared" si="4"/>
        <v>-113816.72400901771</v>
      </c>
      <c r="AD31" s="455">
        <f t="shared" si="4"/>
        <v>-113917.24444392076</v>
      </c>
      <c r="AE31" s="455">
        <f t="shared" si="4"/>
        <v>-114017.76487882379</v>
      </c>
      <c r="AF31" s="455">
        <f t="shared" si="4"/>
        <v>-114118.28531372684</v>
      </c>
      <c r="AG31" s="455">
        <f t="shared" si="4"/>
        <v>-114218.80574862988</v>
      </c>
      <c r="AH31" s="455">
        <f t="shared" si="4"/>
        <v>-114319.32618353295</v>
      </c>
      <c r="AI31" s="455">
        <f t="shared" si="4"/>
        <v>-114419.84661843599</v>
      </c>
      <c r="AJ31" s="455">
        <f t="shared" si="4"/>
        <v>-114520.36705333904</v>
      </c>
    </row>
    <row r="32" spans="1:36" x14ac:dyDescent="0.3">
      <c r="G32" s="457"/>
      <c r="H32" s="457"/>
      <c r="I32" s="457"/>
      <c r="J32" s="457"/>
      <c r="K32" s="457"/>
      <c r="L32" s="457"/>
      <c r="M32" s="457"/>
      <c r="N32" s="457"/>
      <c r="O32" s="457"/>
      <c r="P32" s="457"/>
      <c r="Q32" s="457"/>
      <c r="R32" s="457"/>
      <c r="S32" s="457"/>
      <c r="T32" s="457"/>
      <c r="U32" s="457"/>
      <c r="V32" s="457"/>
      <c r="W32" s="457"/>
      <c r="X32" s="457"/>
      <c r="Y32" s="457"/>
      <c r="Z32" s="457"/>
      <c r="AA32" s="457"/>
      <c r="AB32" s="457"/>
      <c r="AC32" s="457"/>
      <c r="AD32" s="457"/>
      <c r="AE32" s="457"/>
      <c r="AF32" s="457"/>
      <c r="AG32" s="457"/>
      <c r="AH32" s="457"/>
      <c r="AI32" s="457"/>
      <c r="AJ32" s="457"/>
    </row>
    <row r="33" spans="3:36" x14ac:dyDescent="0.3">
      <c r="G33" s="457"/>
      <c r="H33" s="457"/>
      <c r="I33" s="457"/>
      <c r="J33" s="457"/>
      <c r="K33" s="457"/>
      <c r="L33" s="457"/>
      <c r="M33" s="457"/>
      <c r="N33" s="457"/>
      <c r="O33" s="457"/>
      <c r="P33" s="457"/>
      <c r="Q33" s="457"/>
      <c r="R33" s="457"/>
      <c r="S33" s="457"/>
      <c r="T33" s="457"/>
      <c r="U33" s="457"/>
      <c r="V33" s="457"/>
      <c r="W33" s="457"/>
      <c r="X33" s="457"/>
      <c r="Y33" s="457"/>
      <c r="Z33" s="457"/>
      <c r="AA33" s="457"/>
      <c r="AB33" s="457"/>
      <c r="AC33" s="457"/>
      <c r="AD33" s="457"/>
      <c r="AE33" s="457"/>
      <c r="AF33" s="457"/>
      <c r="AG33" s="457"/>
      <c r="AH33" s="457"/>
      <c r="AI33" s="457"/>
      <c r="AJ33" s="457"/>
    </row>
    <row r="34" spans="3:36" x14ac:dyDescent="0.3">
      <c r="G34" s="457"/>
      <c r="H34" s="457"/>
      <c r="I34" s="457"/>
      <c r="J34" s="457"/>
      <c r="K34" s="457"/>
      <c r="L34" s="457"/>
      <c r="M34" s="457"/>
      <c r="N34" s="457"/>
      <c r="O34" s="457"/>
      <c r="P34" s="457"/>
      <c r="Q34" s="457"/>
      <c r="R34" s="457"/>
      <c r="S34" s="457"/>
      <c r="T34" s="457"/>
      <c r="U34" s="457"/>
      <c r="V34" s="457"/>
      <c r="W34" s="457"/>
      <c r="X34" s="457"/>
      <c r="Y34" s="457"/>
      <c r="Z34" s="457"/>
      <c r="AA34" s="457"/>
      <c r="AB34" s="457"/>
      <c r="AC34" s="457"/>
      <c r="AD34" s="457"/>
      <c r="AE34" s="457"/>
      <c r="AF34" s="457"/>
      <c r="AG34" s="457"/>
      <c r="AH34" s="457"/>
      <c r="AI34" s="457"/>
      <c r="AJ34" s="457"/>
    </row>
    <row r="35" spans="3:36" x14ac:dyDescent="0.3">
      <c r="G35" s="457"/>
      <c r="H35" s="457"/>
      <c r="I35" s="457"/>
      <c r="J35" s="457"/>
      <c r="K35" s="457"/>
      <c r="L35" s="457"/>
      <c r="M35" s="457"/>
      <c r="N35" s="457"/>
      <c r="O35" s="457"/>
      <c r="P35" s="457"/>
      <c r="Q35" s="457"/>
      <c r="R35" s="457"/>
      <c r="S35" s="457"/>
      <c r="T35" s="457"/>
      <c r="U35" s="457"/>
      <c r="V35" s="457"/>
      <c r="W35" s="457"/>
      <c r="X35" s="457"/>
      <c r="Y35" s="457"/>
      <c r="Z35" s="457"/>
      <c r="AA35" s="457"/>
      <c r="AB35" s="457"/>
      <c r="AC35" s="457"/>
      <c r="AD35" s="457"/>
      <c r="AE35" s="457"/>
      <c r="AF35" s="457"/>
      <c r="AG35" s="457"/>
      <c r="AH35" s="457"/>
      <c r="AI35" s="457"/>
      <c r="AJ35" s="457"/>
    </row>
    <row r="36" spans="3:36" s="275" customFormat="1" x14ac:dyDescent="0.3">
      <c r="C36" s="274" t="s">
        <v>699</v>
      </c>
      <c r="D36" s="274"/>
      <c r="E36" s="265"/>
      <c r="F36" s="266"/>
      <c r="G36" s="458">
        <f>SUM(G7:G8,G20)-G28-G31</f>
        <v>607838.52783737518</v>
      </c>
      <c r="H36" s="458">
        <f t="shared" ref="H36:AJ36" si="5">SUM(H7:H8,H20:H20)-H28-H31</f>
        <v>610723.52531527216</v>
      </c>
      <c r="I36" s="458">
        <f t="shared" si="5"/>
        <v>613608.52279316878</v>
      </c>
      <c r="J36" s="458">
        <f t="shared" si="5"/>
        <v>616493.52027106564</v>
      </c>
      <c r="K36" s="458">
        <f t="shared" si="5"/>
        <v>619378.51774896251</v>
      </c>
      <c r="L36" s="458">
        <f t="shared" si="5"/>
        <v>622261.88912327727</v>
      </c>
      <c r="M36" s="458">
        <f t="shared" si="5"/>
        <v>624740.39323112788</v>
      </c>
      <c r="N36" s="458">
        <f t="shared" si="5"/>
        <v>627218.8973389786</v>
      </c>
      <c r="O36" s="458">
        <f t="shared" si="5"/>
        <v>629697.40144682908</v>
      </c>
      <c r="P36" s="458">
        <f t="shared" si="5"/>
        <v>632175.9055546798</v>
      </c>
      <c r="Q36" s="458">
        <f t="shared" si="5"/>
        <v>634649.73438502196</v>
      </c>
      <c r="R36" s="458">
        <f t="shared" si="5"/>
        <v>636055.17551338091</v>
      </c>
      <c r="S36" s="458">
        <f t="shared" si="5"/>
        <v>637460.61664173973</v>
      </c>
      <c r="T36" s="458">
        <f t="shared" si="5"/>
        <v>638866.05777009879</v>
      </c>
      <c r="U36" s="458">
        <f t="shared" si="5"/>
        <v>640271.49889845797</v>
      </c>
      <c r="V36" s="458">
        <f t="shared" si="5"/>
        <v>641683.40854797466</v>
      </c>
      <c r="W36" s="458">
        <f t="shared" si="5"/>
        <v>642210.10599016701</v>
      </c>
      <c r="X36" s="458">
        <f t="shared" si="5"/>
        <v>642736.80343235924</v>
      </c>
      <c r="Y36" s="458">
        <f t="shared" si="5"/>
        <v>643263.5008745516</v>
      </c>
      <c r="Z36" s="458">
        <f t="shared" si="5"/>
        <v>643790.19831674383</v>
      </c>
      <c r="AA36" s="458">
        <f t="shared" si="5"/>
        <v>644319.36215952376</v>
      </c>
      <c r="AB36" s="458">
        <f t="shared" si="5"/>
        <v>644846.05960171612</v>
      </c>
      <c r="AC36" s="458">
        <f t="shared" si="5"/>
        <v>645372.75704390835</v>
      </c>
      <c r="AD36" s="458">
        <f t="shared" si="5"/>
        <v>645899.45448610059</v>
      </c>
      <c r="AE36" s="458">
        <f t="shared" si="5"/>
        <v>646426.15192829282</v>
      </c>
      <c r="AF36" s="458">
        <f t="shared" si="5"/>
        <v>646952.84937048517</v>
      </c>
      <c r="AG36" s="458">
        <f t="shared" si="5"/>
        <v>647479.54681267729</v>
      </c>
      <c r="AH36" s="458">
        <f t="shared" si="5"/>
        <v>648006.24425486976</v>
      </c>
      <c r="AI36" s="458">
        <f t="shared" si="5"/>
        <v>648532.94169706199</v>
      </c>
      <c r="AJ36" s="458">
        <f t="shared" si="5"/>
        <v>649059.63913925434</v>
      </c>
    </row>
    <row r="38" spans="3:36" x14ac:dyDescent="0.3">
      <c r="G38" s="468"/>
    </row>
    <row r="39" spans="3:36" x14ac:dyDescent="0.3">
      <c r="G39" s="468"/>
    </row>
    <row r="42" spans="3:36" x14ac:dyDescent="0.3">
      <c r="C42" s="199" t="s">
        <v>689</v>
      </c>
    </row>
    <row r="43" spans="3:36" x14ac:dyDescent="0.3">
      <c r="C43" s="224" t="s">
        <v>135</v>
      </c>
    </row>
    <row r="44" spans="3:36" x14ac:dyDescent="0.3">
      <c r="C44" s="224" t="s">
        <v>136</v>
      </c>
    </row>
    <row r="45" spans="3:36" x14ac:dyDescent="0.3">
      <c r="C45" s="224" t="s">
        <v>137</v>
      </c>
    </row>
    <row r="46" spans="3:36" x14ac:dyDescent="0.3">
      <c r="C46" s="224" t="s">
        <v>138</v>
      </c>
    </row>
    <row r="47" spans="3:36" x14ac:dyDescent="0.3">
      <c r="C47" s="224" t="s">
        <v>690</v>
      </c>
    </row>
    <row r="48" spans="3:36" x14ac:dyDescent="0.3">
      <c r="C48" s="224" t="s">
        <v>139</v>
      </c>
    </row>
    <row r="49" spans="3:3" x14ac:dyDescent="0.3">
      <c r="C49" s="224" t="s">
        <v>691</v>
      </c>
    </row>
    <row r="50" spans="3:3" x14ac:dyDescent="0.3">
      <c r="C50" s="224" t="s">
        <v>692</v>
      </c>
    </row>
    <row r="51" spans="3:3" x14ac:dyDescent="0.3">
      <c r="C51" s="224" t="s">
        <v>142</v>
      </c>
    </row>
    <row r="52" spans="3:3" x14ac:dyDescent="0.3">
      <c r="C52" s="224" t="s">
        <v>693</v>
      </c>
    </row>
    <row r="53" spans="3:3" x14ac:dyDescent="0.3">
      <c r="C53" s="224" t="s">
        <v>694</v>
      </c>
    </row>
    <row r="54" spans="3:3" x14ac:dyDescent="0.3">
      <c r="C54" s="224" t="s">
        <v>143</v>
      </c>
    </row>
    <row r="55" spans="3:3" x14ac:dyDescent="0.3">
      <c r="C55" s="224" t="s">
        <v>695</v>
      </c>
    </row>
  </sheetData>
  <sheetProtection algorithmName="SHA-512" hashValue="pDWPU4VwxwAZtaC/aFenXgWM1jX6ZkftPY6imX27GwLXLGRbYKMTjNuT9Aoe/BwBXUo3zQUs1P6d77RCT8jHXw==" saltValue="bYP/lvADc3TMHc1isMVX4A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CDDB0-6128-4DC5-8059-99BD03F8E741}">
  <sheetPr codeName="Planilha34"/>
  <dimension ref="B2:M31"/>
  <sheetViews>
    <sheetView showGridLines="0" workbookViewId="0">
      <selection activeCell="G8" sqref="G8"/>
    </sheetView>
  </sheetViews>
  <sheetFormatPr defaultColWidth="8.81640625" defaultRowHeight="14.5" x14ac:dyDescent="0.35"/>
  <cols>
    <col min="1" max="1" width="4" customWidth="1"/>
    <col min="5" max="5" width="14" customWidth="1"/>
    <col min="6" max="6" width="15.6328125" customWidth="1"/>
    <col min="7" max="7" width="23.453125" customWidth="1"/>
  </cols>
  <sheetData>
    <row r="2" spans="2:13" ht="15" thickBot="1" x14ac:dyDescent="0.4"/>
    <row r="3" spans="2:13" ht="15" thickTop="1" x14ac:dyDescent="0.35">
      <c r="B3" s="344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6"/>
    </row>
    <row r="4" spans="2:13" ht="18.5" x14ac:dyDescent="0.45">
      <c r="B4" s="347"/>
      <c r="C4" s="556" t="s">
        <v>1324</v>
      </c>
      <c r="D4" s="349"/>
      <c r="E4" s="349"/>
      <c r="F4" s="349"/>
      <c r="G4" s="349"/>
      <c r="H4" s="349"/>
      <c r="I4" s="349"/>
      <c r="J4" s="349"/>
      <c r="K4" s="349"/>
      <c r="L4" s="349"/>
      <c r="M4" s="350"/>
    </row>
    <row r="5" spans="2:13" x14ac:dyDescent="0.35">
      <c r="B5" s="347"/>
      <c r="C5" s="349"/>
      <c r="D5" s="349"/>
      <c r="E5" s="349"/>
      <c r="F5" s="349"/>
      <c r="G5" s="348" t="s">
        <v>1325</v>
      </c>
      <c r="H5" s="349"/>
      <c r="I5" s="349"/>
      <c r="J5" s="349"/>
      <c r="K5" s="349"/>
      <c r="L5" s="349"/>
      <c r="M5" s="350"/>
    </row>
    <row r="6" spans="2:13" ht="15" thickBot="1" x14ac:dyDescent="0.4">
      <c r="B6" s="347"/>
      <c r="C6" s="348" t="s">
        <v>67</v>
      </c>
      <c r="D6" s="349"/>
      <c r="E6" s="349"/>
      <c r="F6" s="349"/>
      <c r="G6" s="348"/>
      <c r="H6" s="349"/>
      <c r="I6" s="349"/>
      <c r="J6" s="349"/>
      <c r="K6" s="349"/>
      <c r="L6" s="349"/>
      <c r="M6" s="350"/>
    </row>
    <row r="7" spans="2:13" ht="15" thickBot="1" x14ac:dyDescent="0.4">
      <c r="B7" s="347"/>
      <c r="C7" s="349" t="s">
        <v>1326</v>
      </c>
      <c r="D7" s="349"/>
      <c r="E7" s="349"/>
      <c r="F7" s="349"/>
      <c r="G7" s="355">
        <v>0</v>
      </c>
      <c r="H7" s="349"/>
      <c r="I7" s="349"/>
      <c r="J7" s="349"/>
      <c r="K7" s="349"/>
      <c r="L7" s="349"/>
      <c r="M7" s="350"/>
    </row>
    <row r="8" spans="2:13" ht="15" thickBot="1" x14ac:dyDescent="0.4">
      <c r="B8" s="347"/>
      <c r="C8" s="349" t="s">
        <v>1327</v>
      </c>
      <c r="D8" s="349"/>
      <c r="E8" s="349"/>
      <c r="F8" s="349"/>
      <c r="G8" s="355">
        <v>0</v>
      </c>
      <c r="H8" s="349"/>
      <c r="I8" s="349"/>
      <c r="J8" s="349"/>
      <c r="K8" s="349"/>
      <c r="L8" s="349"/>
      <c r="M8" s="350"/>
    </row>
    <row r="9" spans="2:13" ht="15" thickBot="1" x14ac:dyDescent="0.4">
      <c r="B9" s="347"/>
      <c r="C9" s="349"/>
      <c r="D9" s="349"/>
      <c r="E9" s="349"/>
      <c r="F9" s="349"/>
      <c r="G9" s="349"/>
      <c r="H9" s="349"/>
      <c r="I9" s="349"/>
      <c r="J9" s="349"/>
      <c r="K9" s="349"/>
      <c r="L9" s="349"/>
      <c r="M9" s="350"/>
    </row>
    <row r="10" spans="2:13" ht="15" thickBot="1" x14ac:dyDescent="0.4">
      <c r="B10" s="347"/>
      <c r="C10" s="348" t="s">
        <v>19</v>
      </c>
      <c r="D10" s="349"/>
      <c r="E10" s="349"/>
      <c r="F10" s="349"/>
      <c r="G10" s="355">
        <v>0</v>
      </c>
      <c r="H10" s="349"/>
      <c r="I10" s="349"/>
      <c r="J10" s="349"/>
      <c r="K10" s="349"/>
      <c r="L10" s="349"/>
      <c r="M10" s="350"/>
    </row>
    <row r="11" spans="2:13" x14ac:dyDescent="0.35">
      <c r="B11" s="347"/>
      <c r="C11" s="349"/>
      <c r="D11" s="349"/>
      <c r="E11" s="349"/>
      <c r="F11" s="349"/>
      <c r="G11" s="349"/>
      <c r="H11" s="349"/>
      <c r="I11" s="349"/>
      <c r="J11" s="349"/>
      <c r="K11" s="349"/>
      <c r="L11" s="349"/>
      <c r="M11" s="350"/>
    </row>
    <row r="12" spans="2:13" ht="15" thickBot="1" x14ac:dyDescent="0.4">
      <c r="B12" s="347"/>
      <c r="C12" s="348" t="s">
        <v>84</v>
      </c>
      <c r="D12" s="349"/>
      <c r="E12" s="349"/>
      <c r="F12" s="349"/>
      <c r="G12" s="349"/>
      <c r="H12" s="349"/>
      <c r="I12" s="349"/>
      <c r="J12" s="349"/>
      <c r="K12" s="349"/>
      <c r="L12" s="349"/>
      <c r="M12" s="350"/>
    </row>
    <row r="13" spans="2:13" ht="15" thickBot="1" x14ac:dyDescent="0.4">
      <c r="B13" s="347"/>
      <c r="C13" s="349" t="s">
        <v>1328</v>
      </c>
      <c r="D13" s="349"/>
      <c r="E13" s="349"/>
      <c r="F13" s="349"/>
      <c r="G13" s="355">
        <v>0</v>
      </c>
      <c r="H13" s="349"/>
      <c r="I13" s="349"/>
      <c r="J13" s="349"/>
      <c r="K13" s="349"/>
      <c r="L13" s="349"/>
      <c r="M13" s="350"/>
    </row>
    <row r="14" spans="2:13" x14ac:dyDescent="0.35">
      <c r="B14" s="347"/>
      <c r="C14" s="348"/>
      <c r="D14" s="349"/>
      <c r="E14" s="349"/>
      <c r="F14" s="349"/>
      <c r="G14" s="349"/>
      <c r="H14" s="349"/>
      <c r="I14" s="349"/>
      <c r="J14" s="349"/>
      <c r="K14" s="349"/>
      <c r="L14" s="349"/>
      <c r="M14" s="350"/>
    </row>
    <row r="15" spans="2:13" ht="15" thickBot="1" x14ac:dyDescent="0.4">
      <c r="B15" s="351"/>
      <c r="C15" s="352"/>
      <c r="D15" s="352"/>
      <c r="E15" s="352"/>
      <c r="F15" s="352"/>
      <c r="G15" s="352"/>
      <c r="H15" s="352"/>
      <c r="I15" s="352"/>
      <c r="J15" s="352"/>
      <c r="K15" s="352"/>
      <c r="L15" s="352"/>
      <c r="M15" s="353"/>
    </row>
    <row r="16" spans="2:13" ht="15.5" thickTop="1" thickBot="1" x14ac:dyDescent="0.4"/>
    <row r="17" spans="2:13" ht="15" thickTop="1" x14ac:dyDescent="0.35">
      <c r="B17" s="544"/>
      <c r="C17" s="545"/>
      <c r="D17" s="545"/>
      <c r="E17" s="545"/>
      <c r="F17" s="545"/>
      <c r="G17" s="545"/>
      <c r="H17" s="545"/>
      <c r="I17" s="545"/>
      <c r="J17" s="545"/>
      <c r="K17" s="545"/>
      <c r="L17" s="545"/>
      <c r="M17" s="546"/>
    </row>
    <row r="18" spans="2:13" x14ac:dyDescent="0.35">
      <c r="B18" s="547"/>
      <c r="C18" s="548" t="s">
        <v>50</v>
      </c>
      <c r="D18" s="548"/>
      <c r="E18" s="548"/>
      <c r="F18" s="548"/>
      <c r="G18" s="558">
        <f>'Fluxo de Caixa'!E55</f>
        <v>0</v>
      </c>
      <c r="H18" s="549"/>
      <c r="I18" s="549"/>
      <c r="J18" s="549"/>
      <c r="K18" s="549"/>
      <c r="L18" s="549"/>
      <c r="M18" s="550"/>
    </row>
    <row r="19" spans="2:13" x14ac:dyDescent="0.35">
      <c r="B19" s="547"/>
      <c r="C19" s="548" t="s">
        <v>51</v>
      </c>
      <c r="D19" s="548"/>
      <c r="E19" s="548"/>
      <c r="F19" s="548"/>
      <c r="G19" s="559">
        <f>'Fluxo de Caixa'!E53</f>
        <v>0.11686498859823247</v>
      </c>
      <c r="H19" s="549"/>
      <c r="I19" s="549"/>
      <c r="J19" s="549"/>
      <c r="K19" s="549"/>
      <c r="L19" s="549"/>
      <c r="M19" s="550"/>
    </row>
    <row r="20" spans="2:13" x14ac:dyDescent="0.35">
      <c r="B20" s="547"/>
      <c r="C20" s="549" t="s">
        <v>1329</v>
      </c>
      <c r="D20" s="549"/>
      <c r="E20" s="549"/>
      <c r="F20" s="549"/>
      <c r="G20" s="557">
        <f>'Fluxo de Caixa'!E54</f>
        <v>9.2530171673383954E-3</v>
      </c>
      <c r="H20" s="549"/>
      <c r="I20" s="549"/>
      <c r="J20" s="549"/>
      <c r="K20" s="549"/>
      <c r="L20" s="549"/>
      <c r="M20" s="550"/>
    </row>
    <row r="21" spans="2:13" x14ac:dyDescent="0.35">
      <c r="B21" s="547"/>
      <c r="C21" s="548" t="s">
        <v>56</v>
      </c>
      <c r="D21" s="549"/>
      <c r="E21" s="549"/>
      <c r="F21" s="549"/>
      <c r="G21" s="551">
        <f>'Premissas Gerais'!$E$35</f>
        <v>2.8567488023289074</v>
      </c>
      <c r="H21" s="549"/>
      <c r="I21" s="549"/>
      <c r="J21" s="549"/>
      <c r="K21" s="549"/>
      <c r="L21" s="549"/>
      <c r="M21" s="550"/>
    </row>
    <row r="22" spans="2:13" x14ac:dyDescent="0.35">
      <c r="B22" s="547"/>
      <c r="C22" s="548" t="s">
        <v>57</v>
      </c>
      <c r="D22" s="549"/>
      <c r="E22" s="549"/>
      <c r="F22" s="549"/>
      <c r="G22" s="552">
        <f>'Cálculo Valor RPU'!E43</f>
        <v>223.66837788691851</v>
      </c>
      <c r="H22" s="549"/>
      <c r="I22" s="549"/>
      <c r="J22" s="549"/>
      <c r="K22" s="549"/>
      <c r="L22" s="549"/>
      <c r="M22" s="550"/>
    </row>
    <row r="23" spans="2:13" ht="15" thickBot="1" x14ac:dyDescent="0.4">
      <c r="B23" s="553"/>
      <c r="C23" s="554"/>
      <c r="D23" s="554"/>
      <c r="E23" s="554"/>
      <c r="F23" s="554"/>
      <c r="G23" s="554"/>
      <c r="H23" s="554"/>
      <c r="I23" s="554"/>
      <c r="J23" s="554"/>
      <c r="K23" s="554"/>
      <c r="L23" s="554"/>
      <c r="M23" s="555"/>
    </row>
    <row r="24" spans="2:13" ht="15" thickTop="1" x14ac:dyDescent="0.35"/>
    <row r="25" spans="2:13" x14ac:dyDescent="0.35">
      <c r="B25" s="19" t="s">
        <v>1330</v>
      </c>
    </row>
    <row r="31" spans="2:13" x14ac:dyDescent="0.35">
      <c r="G31" s="1643"/>
    </row>
  </sheetData>
  <sheetProtection algorithmName="SHA-512" hashValue="BSeMRkeuWe75HAMUuvtr8QPYbxQ60FLgfRkbb3W45H3FC6ejzvjvU0G6kP0Sw227CZ1F4WWcdQRQbhKmv6BrBQ==" saltValue="+p6VRrZlSezsYNcQ54qKEw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77A3B-4AA9-4D8D-BDBB-9344DBED63B4}">
  <sheetPr codeName="Planilha20"/>
  <dimension ref="B2:R108"/>
  <sheetViews>
    <sheetView showGridLines="0" workbookViewId="0">
      <selection activeCell="A3" sqref="A3"/>
    </sheetView>
  </sheetViews>
  <sheetFormatPr defaultColWidth="8.81640625" defaultRowHeight="14.5" outlineLevelRow="1" x14ac:dyDescent="0.35"/>
  <cols>
    <col min="1" max="1" width="2.6328125" customWidth="1"/>
    <col min="2" max="2" width="3.453125" customWidth="1"/>
    <col min="3" max="3" width="31.453125" customWidth="1"/>
    <col min="4" max="4" width="19.08984375" bestFit="1" customWidth="1"/>
    <col min="5" max="5" width="11.6328125" bestFit="1" customWidth="1"/>
    <col min="6" max="6" width="12.453125" customWidth="1"/>
    <col min="7" max="7" width="10.36328125" bestFit="1" customWidth="1"/>
    <col min="8" max="8" width="10" bestFit="1" customWidth="1"/>
    <col min="9" max="9" width="9.6328125" bestFit="1" customWidth="1"/>
    <col min="10" max="10" width="11" customWidth="1"/>
    <col min="11" max="11" width="10.36328125" bestFit="1" customWidth="1"/>
    <col min="12" max="13" width="10.81640625" bestFit="1" customWidth="1"/>
    <col min="14" max="14" width="10.453125" bestFit="1" customWidth="1"/>
    <col min="15" max="17" width="8.6328125" bestFit="1" customWidth="1"/>
    <col min="18" max="18" width="10.36328125" bestFit="1" customWidth="1"/>
  </cols>
  <sheetData>
    <row r="2" spans="2:4" x14ac:dyDescent="0.35">
      <c r="C2" s="77" t="s">
        <v>1331</v>
      </c>
    </row>
    <row r="4" spans="2:4" x14ac:dyDescent="0.35">
      <c r="B4" t="s">
        <v>1332</v>
      </c>
      <c r="C4" s="77" t="s">
        <v>1333</v>
      </c>
    </row>
    <row r="5" spans="2:4" outlineLevel="1" x14ac:dyDescent="0.35"/>
    <row r="6" spans="2:4" ht="29" outlineLevel="1" x14ac:dyDescent="0.35">
      <c r="C6" s="1102" t="s">
        <v>1334</v>
      </c>
      <c r="D6" s="1105" t="s">
        <v>1335</v>
      </c>
    </row>
    <row r="7" spans="2:4" outlineLevel="1" x14ac:dyDescent="0.35">
      <c r="C7" s="1103" t="str">
        <f>'CAPEX E OPEX'!D3</f>
        <v>Ressarcimento de estudos</v>
      </c>
      <c r="D7" s="1104">
        <f>'CAPEX E OPEX'!E3</f>
        <v>3011407.33</v>
      </c>
    </row>
    <row r="8" spans="2:4" outlineLevel="1" x14ac:dyDescent="0.35">
      <c r="C8" s="1103" t="str">
        <f>'CAPEX E OPEX'!D23</f>
        <v>Infraestrutura SPE</v>
      </c>
      <c r="D8" s="1104">
        <f>'CAPEX E OPEX'!E23</f>
        <v>3166627.4000000004</v>
      </c>
    </row>
    <row r="9" spans="2:4" outlineLevel="1" x14ac:dyDescent="0.35">
      <c r="C9" s="1106" t="s">
        <v>200</v>
      </c>
      <c r="D9" s="1107">
        <f>SUM(D7:D8)</f>
        <v>6178034.7300000004</v>
      </c>
    </row>
    <row r="11" spans="2:4" x14ac:dyDescent="0.35">
      <c r="B11" t="s">
        <v>1336</v>
      </c>
      <c r="C11" s="77" t="s">
        <v>1337</v>
      </c>
    </row>
    <row r="12" spans="2:4" outlineLevel="1" x14ac:dyDescent="0.35">
      <c r="C12" s="77"/>
    </row>
    <row r="13" spans="2:4" ht="29" outlineLevel="1" x14ac:dyDescent="0.35">
      <c r="C13" s="1102" t="s">
        <v>1338</v>
      </c>
      <c r="D13" s="1105" t="s">
        <v>1339</v>
      </c>
    </row>
    <row r="14" spans="2:4" outlineLevel="1" x14ac:dyDescent="0.35">
      <c r="C14" s="1103" t="str">
        <f>'CAPEX E OPEX'!C38</f>
        <v>Coleta</v>
      </c>
      <c r="D14" s="1104">
        <f>'CAPEX E OPEX'!E38</f>
        <v>67352434.410000011</v>
      </c>
    </row>
    <row r="15" spans="2:4" outlineLevel="1" x14ac:dyDescent="0.35">
      <c r="C15" s="1103" t="str">
        <f>'CAPEX E OPEX'!C48</f>
        <v>Transbordo e Transporte</v>
      </c>
      <c r="D15" s="1104">
        <f>'CAPEX E OPEX'!E48</f>
        <v>30562130.840000004</v>
      </c>
    </row>
    <row r="16" spans="2:4" outlineLevel="1" x14ac:dyDescent="0.35">
      <c r="C16" s="1103" t="str">
        <f>'CAPEX E OPEX'!C58</f>
        <v>Triagem e Tratamento</v>
      </c>
      <c r="D16" s="1104">
        <f>'CAPEX E OPEX'!E58</f>
        <v>12127398.24</v>
      </c>
    </row>
    <row r="17" spans="2:7" outlineLevel="1" x14ac:dyDescent="0.35">
      <c r="C17" s="1103" t="str">
        <f>'CAPEX E OPEX'!C68</f>
        <v>Disposição Final</v>
      </c>
      <c r="D17" s="1104">
        <f>'CAPEX E OPEX'!E68</f>
        <v>32532767.849999994</v>
      </c>
    </row>
    <row r="18" spans="2:7" outlineLevel="1" x14ac:dyDescent="0.35">
      <c r="C18" s="1103" t="s">
        <v>473</v>
      </c>
      <c r="D18" s="1104">
        <f>'CAPEX E OPEX'!E78</f>
        <v>2392998.3400000008</v>
      </c>
    </row>
    <row r="19" spans="2:7" outlineLevel="1" x14ac:dyDescent="0.35">
      <c r="C19" s="1108" t="s">
        <v>200</v>
      </c>
      <c r="D19" s="1109">
        <f>SUM(D14:D18)</f>
        <v>144967729.68000001</v>
      </c>
      <c r="G19" s="97"/>
    </row>
    <row r="21" spans="2:7" x14ac:dyDescent="0.35">
      <c r="B21" t="s">
        <v>1340</v>
      </c>
      <c r="C21" s="77" t="s">
        <v>1341</v>
      </c>
    </row>
    <row r="22" spans="2:7" outlineLevel="1" x14ac:dyDescent="0.35">
      <c r="C22" s="77"/>
    </row>
    <row r="23" spans="2:7" ht="29" outlineLevel="1" x14ac:dyDescent="0.35">
      <c r="C23" s="220" t="s">
        <v>1342</v>
      </c>
      <c r="D23" s="1114" t="s">
        <v>1339</v>
      </c>
    </row>
    <row r="24" spans="2:7" outlineLevel="1" x14ac:dyDescent="0.35">
      <c r="C24" s="1110" t="str">
        <f>'CAPEX E OPEX'!C94</f>
        <v>Coleta</v>
      </c>
      <c r="D24" s="1111">
        <f>'CAPEX E OPEX'!E94</f>
        <v>397334998.14443761</v>
      </c>
      <c r="F24" s="96"/>
    </row>
    <row r="25" spans="2:7" outlineLevel="1" x14ac:dyDescent="0.35">
      <c r="C25" s="1110" t="str">
        <f>'CAPEX E OPEX'!C104</f>
        <v>Transbordo e Transporte</v>
      </c>
      <c r="D25" s="1111">
        <f>'CAPEX E OPEX'!E104</f>
        <v>105968910.93999991</v>
      </c>
    </row>
    <row r="26" spans="2:7" outlineLevel="1" x14ac:dyDescent="0.35">
      <c r="C26" s="1110" t="str">
        <f>'CAPEX E OPEX'!C114</f>
        <v>Triagem e Tratamento</v>
      </c>
      <c r="D26" s="1111">
        <f>'CAPEX E OPEX'!E114</f>
        <v>67250307.88000001</v>
      </c>
    </row>
    <row r="27" spans="2:7" outlineLevel="1" x14ac:dyDescent="0.35">
      <c r="C27" s="1110" t="str">
        <f>'CAPEX E OPEX'!C124</f>
        <v>Disposição Final</v>
      </c>
      <c r="D27" s="1111">
        <f>'CAPEX E OPEX'!E124</f>
        <v>140854558.67000002</v>
      </c>
    </row>
    <row r="28" spans="2:7" outlineLevel="1" x14ac:dyDescent="0.35">
      <c r="C28" s="1110" t="str">
        <f>'CAPEX E OPEX'!C134</f>
        <v>Socioambiental</v>
      </c>
      <c r="D28" s="1111">
        <f>'CAPEX E OPEX'!E134</f>
        <v>18260494.679999992</v>
      </c>
    </row>
    <row r="29" spans="2:7" outlineLevel="1" x14ac:dyDescent="0.35">
      <c r="C29" s="1110" t="str">
        <f>'CAPEX E OPEX'!D145</f>
        <v>Despesa com órgão regulador</v>
      </c>
      <c r="D29" s="1111">
        <f>'CAPEX E OPEX'!E145</f>
        <v>26361232.270298854</v>
      </c>
    </row>
    <row r="30" spans="2:7" outlineLevel="1" x14ac:dyDescent="0.35">
      <c r="C30" s="1110" t="str">
        <f>'CAPEX E OPEX'!D155</f>
        <v>Serviço de Registro e Liquidação</v>
      </c>
      <c r="D30" s="1111">
        <f>'CAPEX E OPEX'!E155</f>
        <v>102144750.58476892</v>
      </c>
    </row>
    <row r="31" spans="2:7" outlineLevel="1" x14ac:dyDescent="0.35">
      <c r="C31" s="1110" t="str">
        <f>'CAPEX E OPEX'!D165</f>
        <v>Sistema de Gestão</v>
      </c>
      <c r="D31" s="1111">
        <f>'CAPEX E OPEX'!E165</f>
        <v>2364045.5912278411</v>
      </c>
    </row>
    <row r="32" spans="2:7" outlineLevel="1" x14ac:dyDescent="0.35">
      <c r="C32" s="1110" t="str">
        <f>'CAPEX E OPEX'!D175</f>
        <v>Serviço de Impressão</v>
      </c>
      <c r="D32" s="1111">
        <f>'CAPEX E OPEX'!E175</f>
        <v>972556.04760178982</v>
      </c>
    </row>
    <row r="33" spans="3:7" outlineLevel="1" x14ac:dyDescent="0.35">
      <c r="C33" s="1110" t="str">
        <f>'CAPEX E OPEX'!D185</f>
        <v>Serviço de Postagem</v>
      </c>
      <c r="D33" s="1111">
        <f>'CAPEX E OPEX'!E185</f>
        <v>14514368.95834907</v>
      </c>
    </row>
    <row r="34" spans="3:7" outlineLevel="1" x14ac:dyDescent="0.35">
      <c r="C34" s="1110" t="str">
        <f>'CAPEX E OPEX'!D195</f>
        <v>Gestão administrativa da cobrança - protesto</v>
      </c>
      <c r="D34" s="1111">
        <f>'CAPEX E OPEX'!E195</f>
        <v>11610219.292509889</v>
      </c>
    </row>
    <row r="35" spans="3:7" outlineLevel="1" x14ac:dyDescent="0.35">
      <c r="C35" s="1110" t="str">
        <f>'CAPEX E OPEX'!D205</f>
        <v>Gestão administrativa da cobrança - equipe</v>
      </c>
      <c r="D35" s="1111">
        <f>'CAPEX E OPEX'!E205</f>
        <v>19245600</v>
      </c>
    </row>
    <row r="36" spans="3:7" outlineLevel="1" x14ac:dyDescent="0.35">
      <c r="C36" s="1110" t="str">
        <f>'CAPEX E OPEX'!D215</f>
        <v>Agente Financeiro</v>
      </c>
      <c r="D36" s="1111">
        <f>'CAPEX E OPEX'!E215</f>
        <v>2898000</v>
      </c>
    </row>
    <row r="37" spans="3:7" outlineLevel="1" x14ac:dyDescent="0.35">
      <c r="C37" s="1110" t="str">
        <f>'CAPEX E OPEX'!D225</f>
        <v>Seguros e Garantias</v>
      </c>
      <c r="D37" s="1111">
        <f>'CAPEX E OPEX'!E225</f>
        <v>3781333.9858096046</v>
      </c>
      <c r="F37" s="96"/>
      <c r="G37" s="97"/>
    </row>
    <row r="38" spans="3:7" outlineLevel="1" x14ac:dyDescent="0.35">
      <c r="C38" s="1110" t="str">
        <f>'CAPEX E OPEX'!C235</f>
        <v>Despesas Administrativas e de Pessoal SPE</v>
      </c>
      <c r="D38" s="1111">
        <f>'CAPEX E OPEX'!E235</f>
        <v>65719940.399999999</v>
      </c>
    </row>
    <row r="39" spans="3:7" outlineLevel="1" x14ac:dyDescent="0.35">
      <c r="C39" s="1110" t="str">
        <f>'CAPEX E OPEX'!C246</f>
        <v>Inclusão social e emancipação econômica de catadores</v>
      </c>
      <c r="D39" s="1111">
        <f>'CAPEX E OPEX'!E246</f>
        <v>43426342.427000009</v>
      </c>
    </row>
    <row r="40" spans="3:7" outlineLevel="1" x14ac:dyDescent="0.35">
      <c r="C40" s="1110" t="s">
        <v>472</v>
      </c>
      <c r="D40" s="1111">
        <v>10800000</v>
      </c>
    </row>
    <row r="41" spans="3:7" outlineLevel="1" x14ac:dyDescent="0.35">
      <c r="C41" s="1112" t="s">
        <v>200</v>
      </c>
      <c r="D41" s="1113">
        <f>SUM(D24:D40)</f>
        <v>1033507659.8720036</v>
      </c>
      <c r="F41" s="221"/>
    </row>
    <row r="42" spans="3:7" outlineLevel="1" x14ac:dyDescent="0.35"/>
    <row r="43" spans="3:7" ht="29" outlineLevel="1" x14ac:dyDescent="0.35">
      <c r="C43" s="220" t="s">
        <v>1342</v>
      </c>
      <c r="D43" s="1114" t="s">
        <v>1339</v>
      </c>
    </row>
    <row r="44" spans="3:7" outlineLevel="1" x14ac:dyDescent="0.35">
      <c r="C44" s="1110" t="str">
        <f>C24</f>
        <v>Coleta</v>
      </c>
      <c r="D44" s="1111">
        <f>D24</f>
        <v>397334998.14443761</v>
      </c>
    </row>
    <row r="45" spans="3:7" outlineLevel="1" x14ac:dyDescent="0.35">
      <c r="C45" s="1110" t="str">
        <f t="shared" ref="C45:D48" si="0">C25</f>
        <v>Transbordo e Transporte</v>
      </c>
      <c r="D45" s="1111">
        <f t="shared" si="0"/>
        <v>105968910.93999991</v>
      </c>
    </row>
    <row r="46" spans="3:7" outlineLevel="1" x14ac:dyDescent="0.35">
      <c r="C46" s="1110" t="str">
        <f t="shared" si="0"/>
        <v>Triagem e Tratamento</v>
      </c>
      <c r="D46" s="1111">
        <f t="shared" si="0"/>
        <v>67250307.88000001</v>
      </c>
    </row>
    <row r="47" spans="3:7" outlineLevel="1" x14ac:dyDescent="0.35">
      <c r="C47" s="1110" t="str">
        <f t="shared" si="0"/>
        <v>Disposição Final</v>
      </c>
      <c r="D47" s="1111">
        <f t="shared" si="0"/>
        <v>140854558.67000002</v>
      </c>
    </row>
    <row r="48" spans="3:7" outlineLevel="1" x14ac:dyDescent="0.35">
      <c r="C48" s="1110" t="str">
        <f t="shared" si="0"/>
        <v>Socioambiental</v>
      </c>
      <c r="D48" s="1111">
        <f t="shared" si="0"/>
        <v>18260494.679999992</v>
      </c>
    </row>
    <row r="49" spans="2:4" outlineLevel="1" x14ac:dyDescent="0.35">
      <c r="C49" s="1110" t="s">
        <v>1343</v>
      </c>
      <c r="D49" s="1111">
        <f>D29</f>
        <v>26361232.270298854</v>
      </c>
    </row>
    <row r="50" spans="2:4" outlineLevel="1" x14ac:dyDescent="0.35">
      <c r="C50" s="1110" t="s">
        <v>1344</v>
      </c>
      <c r="D50" s="1111">
        <f>SUM(D30:D37)</f>
        <v>157530874.4602671</v>
      </c>
    </row>
    <row r="51" spans="2:4" outlineLevel="1" x14ac:dyDescent="0.35">
      <c r="C51" s="1110" t="str">
        <f>C38</f>
        <v>Despesas Administrativas e de Pessoal SPE</v>
      </c>
      <c r="D51" s="1111">
        <f>D38</f>
        <v>65719940.399999999</v>
      </c>
    </row>
    <row r="52" spans="2:4" outlineLevel="1" x14ac:dyDescent="0.35">
      <c r="C52" s="1110" t="s">
        <v>1345</v>
      </c>
      <c r="D52" s="1111">
        <f>D39</f>
        <v>43426342.427000009</v>
      </c>
    </row>
    <row r="53" spans="2:4" outlineLevel="1" x14ac:dyDescent="0.35">
      <c r="C53" s="1110" t="str">
        <f>C40</f>
        <v>Consórcio Gestão Contratual</v>
      </c>
      <c r="D53" s="1111">
        <f>D40</f>
        <v>10800000</v>
      </c>
    </row>
    <row r="54" spans="2:4" outlineLevel="1" x14ac:dyDescent="0.35">
      <c r="C54" s="1112" t="s">
        <v>200</v>
      </c>
      <c r="D54" s="1113">
        <f>SUM(D44:D53)</f>
        <v>1033507659.8720034</v>
      </c>
    </row>
    <row r="55" spans="2:4" outlineLevel="1" x14ac:dyDescent="0.35"/>
    <row r="57" spans="2:4" x14ac:dyDescent="0.35">
      <c r="B57" t="s">
        <v>1346</v>
      </c>
      <c r="C57" s="77" t="s">
        <v>1347</v>
      </c>
    </row>
    <row r="58" spans="2:4" x14ac:dyDescent="0.35">
      <c r="C58" s="77"/>
    </row>
    <row r="59" spans="2:4" ht="29" outlineLevel="1" x14ac:dyDescent="0.35">
      <c r="C59" s="220" t="s">
        <v>1342</v>
      </c>
      <c r="D59" s="1114" t="s">
        <v>1339</v>
      </c>
    </row>
    <row r="60" spans="2:4" outlineLevel="1" x14ac:dyDescent="0.35">
      <c r="C60" s="1110" t="str">
        <f>'CAPEX E OPEX'!C94</f>
        <v>Coleta</v>
      </c>
      <c r="D60" s="1111">
        <f>'CAPEX E OPEX'!E94</f>
        <v>397334998.14443761</v>
      </c>
    </row>
    <row r="61" spans="2:4" outlineLevel="1" x14ac:dyDescent="0.35">
      <c r="C61" s="1110" t="str">
        <f>'CAPEX E OPEX'!C104</f>
        <v>Transbordo e Transporte</v>
      </c>
      <c r="D61" s="1111">
        <f>'CAPEX E OPEX'!E104</f>
        <v>105968910.93999991</v>
      </c>
    </row>
    <row r="62" spans="2:4" outlineLevel="1" x14ac:dyDescent="0.35">
      <c r="C62" s="1110" t="str">
        <f>'CAPEX E OPEX'!C114</f>
        <v>Triagem e Tratamento</v>
      </c>
      <c r="D62" s="1111">
        <f>'CAPEX E OPEX'!E114</f>
        <v>67250307.88000001</v>
      </c>
    </row>
    <row r="63" spans="2:4" outlineLevel="1" x14ac:dyDescent="0.35">
      <c r="C63" s="1110" t="str">
        <f>'CAPEX E OPEX'!C124</f>
        <v>Disposição Final</v>
      </c>
      <c r="D63" s="1111">
        <f>'CAPEX E OPEX'!E124</f>
        <v>140854558.67000002</v>
      </c>
    </row>
    <row r="64" spans="2:4" outlineLevel="1" x14ac:dyDescent="0.35">
      <c r="C64" s="1110" t="str">
        <f>'CAPEX E OPEX'!C134</f>
        <v>Socioambiental</v>
      </c>
      <c r="D64" s="1111">
        <f>'CAPEX E OPEX'!E134</f>
        <v>18260494.679999992</v>
      </c>
    </row>
    <row r="65" spans="2:7" outlineLevel="1" x14ac:dyDescent="0.35">
      <c r="C65" s="1110" t="str">
        <f>'CAPEX E OPEX'!D145</f>
        <v>Despesa com órgão regulador</v>
      </c>
      <c r="D65" s="1111">
        <f>'CAPEX E OPEX'!E145</f>
        <v>26361232.270298854</v>
      </c>
    </row>
    <row r="66" spans="2:7" outlineLevel="1" x14ac:dyDescent="0.35">
      <c r="C66" s="1110" t="str">
        <f>'CAPEX E OPEX'!D155</f>
        <v>Serviço de Registro e Liquidação</v>
      </c>
      <c r="D66" s="1111">
        <f>'CAPEX E OPEX'!E155</f>
        <v>102144750.58476892</v>
      </c>
      <c r="E66" s="96"/>
      <c r="F66" s="96"/>
      <c r="G66" s="96"/>
    </row>
    <row r="67" spans="2:7" outlineLevel="1" x14ac:dyDescent="0.35">
      <c r="C67" s="1110" t="str">
        <f>'CAPEX E OPEX'!D165</f>
        <v>Sistema de Gestão</v>
      </c>
      <c r="D67" s="1111">
        <f>'CAPEX E OPEX'!E165</f>
        <v>2364045.5912278411</v>
      </c>
      <c r="E67" s="96"/>
      <c r="F67" s="96"/>
      <c r="G67" s="96"/>
    </row>
    <row r="68" spans="2:7" outlineLevel="1" x14ac:dyDescent="0.35">
      <c r="C68" s="1110" t="str">
        <f>'CAPEX E OPEX'!D175</f>
        <v>Serviço de Impressão</v>
      </c>
      <c r="D68" s="1111">
        <f>'CAPEX E OPEX'!E175</f>
        <v>972556.04760178982</v>
      </c>
      <c r="E68" s="96"/>
      <c r="F68" s="96"/>
      <c r="G68" s="96"/>
    </row>
    <row r="69" spans="2:7" outlineLevel="1" x14ac:dyDescent="0.35">
      <c r="C69" s="1110" t="str">
        <f>'CAPEX E OPEX'!D185</f>
        <v>Serviço de Postagem</v>
      </c>
      <c r="D69" s="1111">
        <f>'CAPEX E OPEX'!E185</f>
        <v>14514368.95834907</v>
      </c>
      <c r="E69" s="96"/>
      <c r="F69" s="96"/>
      <c r="G69" s="96"/>
    </row>
    <row r="70" spans="2:7" outlineLevel="1" x14ac:dyDescent="0.35">
      <c r="C70" s="1110" t="str">
        <f>'CAPEX E OPEX'!D195</f>
        <v>Gestão administrativa da cobrança - protesto</v>
      </c>
      <c r="D70" s="1111">
        <f>'CAPEX E OPEX'!E195</f>
        <v>11610219.292509889</v>
      </c>
      <c r="E70" s="96"/>
      <c r="F70" s="96"/>
      <c r="G70" s="96"/>
    </row>
    <row r="71" spans="2:7" outlineLevel="1" x14ac:dyDescent="0.35">
      <c r="C71" s="1110" t="str">
        <f>'CAPEX E OPEX'!D205</f>
        <v>Gestão administrativa da cobrança - equipe</v>
      </c>
      <c r="D71" s="1111">
        <f>'CAPEX E OPEX'!E205</f>
        <v>19245600</v>
      </c>
      <c r="E71" s="96"/>
      <c r="F71" s="96"/>
      <c r="G71" s="96"/>
    </row>
    <row r="72" spans="2:7" outlineLevel="1" x14ac:dyDescent="0.35">
      <c r="C72" s="1110" t="str">
        <f>'CAPEX E OPEX'!D215</f>
        <v>Agente Financeiro</v>
      </c>
      <c r="D72" s="1111">
        <f>'CAPEX E OPEX'!E215</f>
        <v>2898000</v>
      </c>
      <c r="E72" s="96"/>
      <c r="F72" s="1710"/>
      <c r="G72" s="1710"/>
    </row>
    <row r="73" spans="2:7" outlineLevel="1" x14ac:dyDescent="0.35">
      <c r="C73" s="1110" t="str">
        <f>'CAPEX E OPEX'!D225</f>
        <v>Seguros e Garantias</v>
      </c>
      <c r="D73" s="1111">
        <f>'CAPEX E OPEX'!E225</f>
        <v>3781333.9858096046</v>
      </c>
    </row>
    <row r="74" spans="2:7" outlineLevel="1" x14ac:dyDescent="0.35">
      <c r="C74" s="1110" t="str">
        <f>'CAPEX E OPEX'!C235</f>
        <v>Despesas Administrativas e de Pessoal SPE</v>
      </c>
      <c r="D74" s="1111">
        <f>'CAPEX E OPEX'!E235</f>
        <v>65719940.399999999</v>
      </c>
    </row>
    <row r="75" spans="2:7" outlineLevel="1" x14ac:dyDescent="0.35">
      <c r="C75" s="1110" t="str">
        <f>'CAPEX E OPEX'!C245</f>
        <v>Consórcio Gestão Contratual</v>
      </c>
      <c r="D75" s="1111">
        <f>'CAPEX E OPEX'!E245</f>
        <v>18000000</v>
      </c>
    </row>
    <row r="76" spans="2:7" outlineLevel="1" x14ac:dyDescent="0.35">
      <c r="C76" s="1110" t="str">
        <f>'CAPEX E OPEX'!C246</f>
        <v>Inclusão social e emancipação econômica de catadores</v>
      </c>
      <c r="D76" s="1111">
        <f>'CAPEX E OPEX'!E246</f>
        <v>43426342.427000009</v>
      </c>
    </row>
    <row r="77" spans="2:7" outlineLevel="1" x14ac:dyDescent="0.35">
      <c r="C77" s="1112" t="s">
        <v>200</v>
      </c>
      <c r="D77" s="1113">
        <f>SUM(D60:D76)</f>
        <v>1040707659.8720036</v>
      </c>
    </row>
    <row r="79" spans="2:7" x14ac:dyDescent="0.35">
      <c r="B79" t="s">
        <v>1348</v>
      </c>
      <c r="C79" s="77" t="s">
        <v>1349</v>
      </c>
    </row>
    <row r="80" spans="2:7" outlineLevel="1" x14ac:dyDescent="0.35"/>
    <row r="81" spans="2:18" outlineLevel="1" x14ac:dyDescent="0.35">
      <c r="C81" s="1100" t="s">
        <v>470</v>
      </c>
      <c r="D81" s="1101" t="s">
        <v>1350</v>
      </c>
      <c r="E81" s="1101" t="s">
        <v>157</v>
      </c>
    </row>
    <row r="82" spans="2:18" ht="47.25" customHeight="1" outlineLevel="1" x14ac:dyDescent="0.35">
      <c r="C82" s="1493" t="s">
        <v>159</v>
      </c>
      <c r="D82" s="1494" t="s">
        <v>1351</v>
      </c>
      <c r="E82" s="1495">
        <f>'Premissas Gerais'!I130</f>
        <v>2E-3</v>
      </c>
      <c r="F82" s="221"/>
      <c r="G82" s="221"/>
      <c r="H82" s="221"/>
    </row>
    <row r="83" spans="2:18" outlineLevel="1" x14ac:dyDescent="0.35">
      <c r="C83" s="1493" t="s">
        <v>1352</v>
      </c>
      <c r="D83" s="1496">
        <f>'Premissas Gerais'!H132</f>
        <v>144967729.68000001</v>
      </c>
      <c r="E83" s="1495">
        <f>'Premissas Gerais'!I132</f>
        <v>3.5000000000000001E-3</v>
      </c>
      <c r="F83" s="221"/>
      <c r="G83" s="221"/>
      <c r="H83" s="221"/>
    </row>
    <row r="84" spans="2:18" outlineLevel="1" x14ac:dyDescent="0.35">
      <c r="C84" s="1493" t="s">
        <v>1353</v>
      </c>
      <c r="D84" s="1496">
        <f>'Premissas Gerais'!H133</f>
        <v>5000000</v>
      </c>
      <c r="E84" s="1495">
        <f>'Premissas Gerais'!I133</f>
        <v>5.4999999999999997E-3</v>
      </c>
      <c r="F84" s="221"/>
      <c r="G84" s="221"/>
      <c r="H84" s="221"/>
    </row>
    <row r="85" spans="2:18" outlineLevel="1" x14ac:dyDescent="0.35">
      <c r="C85" s="1493" t="s">
        <v>1354</v>
      </c>
      <c r="D85" s="1496">
        <f>'Premissas Gerais'!H134</f>
        <v>2500000</v>
      </c>
      <c r="E85" s="1495">
        <f>'Premissas Gerais'!I134</f>
        <v>4.4999999999999997E-3</v>
      </c>
      <c r="F85" s="221"/>
      <c r="G85" s="221"/>
      <c r="H85" s="221"/>
    </row>
    <row r="86" spans="2:18" outlineLevel="1" x14ac:dyDescent="0.35">
      <c r="F86" s="221"/>
      <c r="G86" s="221"/>
      <c r="H86" s="221"/>
    </row>
    <row r="88" spans="2:18" x14ac:dyDescent="0.35">
      <c r="B88" t="s">
        <v>1355</v>
      </c>
      <c r="C88" s="77" t="s">
        <v>1356</v>
      </c>
    </row>
    <row r="89" spans="2:18" ht="15" outlineLevel="1" thickBot="1" x14ac:dyDescent="0.4"/>
    <row r="90" spans="2:18" ht="15" outlineLevel="1" thickBot="1" x14ac:dyDescent="0.4">
      <c r="C90" s="2089" t="s">
        <v>1357</v>
      </c>
      <c r="D90" s="2090"/>
      <c r="E90" s="2090"/>
      <c r="F90" s="2090"/>
      <c r="G90" s="2090"/>
      <c r="H90" s="2090"/>
      <c r="I90" s="2090"/>
      <c r="J90" s="2090"/>
      <c r="K90" s="2090"/>
      <c r="L90" s="2090"/>
      <c r="M90" s="2090"/>
      <c r="N90" s="2090"/>
      <c r="O90" s="2090"/>
      <c r="P90" s="2090"/>
      <c r="Q90" s="2090"/>
      <c r="R90" s="2091"/>
    </row>
    <row r="91" spans="2:18" ht="15" outlineLevel="1" thickBot="1" x14ac:dyDescent="0.4">
      <c r="C91" s="1711"/>
      <c r="D91" s="1712" t="s">
        <v>209</v>
      </c>
      <c r="E91" s="1712" t="s">
        <v>210</v>
      </c>
      <c r="F91" s="1712" t="s">
        <v>211</v>
      </c>
      <c r="G91" s="1712" t="s">
        <v>212</v>
      </c>
      <c r="H91" s="1712" t="s">
        <v>213</v>
      </c>
      <c r="I91" s="1712" t="s">
        <v>214</v>
      </c>
      <c r="J91" s="1712" t="s">
        <v>215</v>
      </c>
      <c r="K91" s="1712" t="s">
        <v>216</v>
      </c>
      <c r="L91" s="1712" t="s">
        <v>217</v>
      </c>
      <c r="M91" s="1712" t="s">
        <v>218</v>
      </c>
      <c r="N91" s="1712" t="s">
        <v>219</v>
      </c>
      <c r="O91" s="1712" t="s">
        <v>220</v>
      </c>
      <c r="P91" s="1712" t="s">
        <v>221</v>
      </c>
      <c r="Q91" s="1712" t="s">
        <v>222</v>
      </c>
      <c r="R91" s="1712" t="s">
        <v>223</v>
      </c>
    </row>
    <row r="92" spans="2:18" ht="15" outlineLevel="1" thickBot="1" x14ac:dyDescent="0.4">
      <c r="C92" s="1718" t="str">
        <f>'CAPEX E OPEX'!$C$38</f>
        <v>Coleta</v>
      </c>
      <c r="D92" s="1713">
        <f>'CAPEX E OPEX'!F38</f>
        <v>14857558.729999997</v>
      </c>
      <c r="E92" s="1713">
        <f>'CAPEX E OPEX'!G38</f>
        <v>0</v>
      </c>
      <c r="F92" s="1713">
        <f>'CAPEX E OPEX'!H38</f>
        <v>0</v>
      </c>
      <c r="G92" s="1713">
        <f>'CAPEX E OPEX'!I38</f>
        <v>0</v>
      </c>
      <c r="H92" s="1713">
        <f>'CAPEX E OPEX'!J38</f>
        <v>0</v>
      </c>
      <c r="I92" s="1713">
        <f>'CAPEX E OPEX'!K38</f>
        <v>144335.12</v>
      </c>
      <c r="J92" s="1713">
        <f>'CAPEX E OPEX'!L38</f>
        <v>3238943.16</v>
      </c>
      <c r="K92" s="1713">
        <f>'CAPEX E OPEX'!M38</f>
        <v>80011.86</v>
      </c>
      <c r="L92" s="1713">
        <f>'CAPEX E OPEX'!N38</f>
        <v>13938778.340000002</v>
      </c>
      <c r="M92" s="1713">
        <f>'CAPEX E OPEX'!O38</f>
        <v>0</v>
      </c>
      <c r="N92" s="1713">
        <f>'CAPEX E OPEX'!P38</f>
        <v>144335.12</v>
      </c>
      <c r="O92" s="1713">
        <f>'CAPEX E OPEX'!Q38</f>
        <v>0</v>
      </c>
      <c r="P92" s="1713">
        <f>'CAPEX E OPEX'!R38</f>
        <v>0</v>
      </c>
      <c r="Q92" s="1713">
        <f>'CAPEX E OPEX'!S38</f>
        <v>0</v>
      </c>
      <c r="R92" s="1713">
        <f>'CAPEX E OPEX'!T38</f>
        <v>3238943.16</v>
      </c>
    </row>
    <row r="93" spans="2:18" ht="15" outlineLevel="1" thickBot="1" x14ac:dyDescent="0.4">
      <c r="C93" s="1719" t="str">
        <f>'CAPEX E OPEX'!$C$48</f>
        <v>Transbordo e Transporte</v>
      </c>
      <c r="D93" s="1714">
        <f>'CAPEX E OPEX'!F48</f>
        <v>20962235.109999999</v>
      </c>
      <c r="E93" s="1714">
        <f>'CAPEX E OPEX'!G48</f>
        <v>0</v>
      </c>
      <c r="F93" s="1714">
        <f>'CAPEX E OPEX'!H48</f>
        <v>200967.25</v>
      </c>
      <c r="G93" s="1714">
        <f>'CAPEX E OPEX'!I48</f>
        <v>0</v>
      </c>
      <c r="H93" s="1714">
        <f>'CAPEX E OPEX'!J48</f>
        <v>0</v>
      </c>
      <c r="I93" s="1714">
        <f>'CAPEX E OPEX'!K48</f>
        <v>0</v>
      </c>
      <c r="J93" s="1714">
        <f>'CAPEX E OPEX'!L48</f>
        <v>0</v>
      </c>
      <c r="K93" s="1714">
        <f>'CAPEX E OPEX'!M48</f>
        <v>0</v>
      </c>
      <c r="L93" s="1714">
        <f>'CAPEX E OPEX'!N48</f>
        <v>0</v>
      </c>
      <c r="M93" s="1714">
        <f>'CAPEX E OPEX'!O48</f>
        <v>347975.43999999994</v>
      </c>
      <c r="N93" s="1714">
        <f>'CAPEX E OPEX'!P48</f>
        <v>4190715</v>
      </c>
      <c r="O93" s="1714">
        <f>'CAPEX E OPEX'!Q48</f>
        <v>0</v>
      </c>
      <c r="P93" s="1714">
        <f>'CAPEX E OPEX'!R48</f>
        <v>0</v>
      </c>
      <c r="Q93" s="1714">
        <f>'CAPEX E OPEX'!S48</f>
        <v>160773.79999999996</v>
      </c>
      <c r="R93" s="1714">
        <f>'CAPEX E OPEX'!T48</f>
        <v>0</v>
      </c>
    </row>
    <row r="94" spans="2:18" ht="15" outlineLevel="1" thickBot="1" x14ac:dyDescent="0.4">
      <c r="C94" s="1718" t="str">
        <f>'CAPEX E OPEX'!$C$58</f>
        <v>Triagem e Tratamento</v>
      </c>
      <c r="D94" s="1713">
        <f>'CAPEX E OPEX'!F58</f>
        <v>5540379.915</v>
      </c>
      <c r="E94" s="1713">
        <f>'CAPEX E OPEX'!G58</f>
        <v>5404933.4850000003</v>
      </c>
      <c r="F94" s="1713">
        <f>'CAPEX E OPEX'!H58</f>
        <v>0</v>
      </c>
      <c r="G94" s="1713">
        <f>'CAPEX E OPEX'!I58</f>
        <v>0</v>
      </c>
      <c r="H94" s="1713">
        <f>'CAPEX E OPEX'!J58</f>
        <v>0</v>
      </c>
      <c r="I94" s="1713">
        <f>'CAPEX E OPEX'!K58</f>
        <v>0</v>
      </c>
      <c r="J94" s="1713">
        <f>'CAPEX E OPEX'!L58</f>
        <v>0</v>
      </c>
      <c r="K94" s="1713">
        <f>'CAPEX E OPEX'!M58</f>
        <v>0</v>
      </c>
      <c r="L94" s="1713">
        <f>'CAPEX E OPEX'!N58</f>
        <v>0</v>
      </c>
      <c r="M94" s="1713">
        <f>'CAPEX E OPEX'!O58</f>
        <v>455595.99</v>
      </c>
      <c r="N94" s="1713">
        <f>'CAPEX E OPEX'!P58</f>
        <v>135446.43</v>
      </c>
      <c r="O94" s="1713">
        <f>'CAPEX E OPEX'!Q58</f>
        <v>0</v>
      </c>
      <c r="P94" s="1713">
        <f>'CAPEX E OPEX'!R58</f>
        <v>0</v>
      </c>
      <c r="Q94" s="1713">
        <f>'CAPEX E OPEX'!S58</f>
        <v>0</v>
      </c>
      <c r="R94" s="1713">
        <f>'CAPEX E OPEX'!T58</f>
        <v>0</v>
      </c>
    </row>
    <row r="95" spans="2:18" ht="15" outlineLevel="1" thickBot="1" x14ac:dyDescent="0.4">
      <c r="C95" s="1719" t="str">
        <f>'CAPEX E OPEX'!$C$68</f>
        <v>Disposição Final</v>
      </c>
      <c r="D95" s="1714">
        <f>'CAPEX E OPEX'!F68</f>
        <v>2418320.36</v>
      </c>
      <c r="E95" s="1714">
        <f>'CAPEX E OPEX'!G68</f>
        <v>1500000</v>
      </c>
      <c r="F95" s="1714">
        <f>'CAPEX E OPEX'!H68</f>
        <v>3851822.96</v>
      </c>
      <c r="G95" s="1714">
        <f>'CAPEX E OPEX'!I68</f>
        <v>2279292.8819999998</v>
      </c>
      <c r="H95" s="1714">
        <f>'CAPEX E OPEX'!J68</f>
        <v>0</v>
      </c>
      <c r="I95" s="1714">
        <f>'CAPEX E OPEX'!K68</f>
        <v>0</v>
      </c>
      <c r="J95" s="1714">
        <f>'CAPEX E OPEX'!L68</f>
        <v>0</v>
      </c>
      <c r="K95" s="1714">
        <f>'CAPEX E OPEX'!M68</f>
        <v>0</v>
      </c>
      <c r="L95" s="1714">
        <f>'CAPEX E OPEX'!N68</f>
        <v>0</v>
      </c>
      <c r="M95" s="1714">
        <f>'CAPEX E OPEX'!O68</f>
        <v>0</v>
      </c>
      <c r="N95" s="1714">
        <f>'CAPEX E OPEX'!P68</f>
        <v>13227132.641999999</v>
      </c>
      <c r="O95" s="1714">
        <f>'CAPEX E OPEX'!Q68</f>
        <v>0</v>
      </c>
      <c r="P95" s="1714">
        <f>'CAPEX E OPEX'!R68</f>
        <v>0</v>
      </c>
      <c r="Q95" s="1714">
        <f>'CAPEX E OPEX'!S68</f>
        <v>0</v>
      </c>
      <c r="R95" s="1714">
        <f>'CAPEX E OPEX'!T68</f>
        <v>0</v>
      </c>
    </row>
    <row r="96" spans="2:18" ht="18.5" outlineLevel="1" thickBot="1" x14ac:dyDescent="0.4">
      <c r="C96" s="1718" t="s">
        <v>473</v>
      </c>
      <c r="D96" s="1715">
        <f>'CAPEX E OPEX'!F78</f>
        <v>1015670.3800000001</v>
      </c>
      <c r="E96" s="1715">
        <f>'CAPEX E OPEX'!G78</f>
        <v>0</v>
      </c>
      <c r="F96" s="1715">
        <f>'CAPEX E OPEX'!H78</f>
        <v>0</v>
      </c>
      <c r="G96" s="1715">
        <f>'CAPEX E OPEX'!I78</f>
        <v>0</v>
      </c>
      <c r="H96" s="1715">
        <f>'CAPEX E OPEX'!J78</f>
        <v>69509.200000000012</v>
      </c>
      <c r="I96" s="1715">
        <f>'CAPEX E OPEX'!K78</f>
        <v>0</v>
      </c>
      <c r="J96" s="1715">
        <f>'CAPEX E OPEX'!L78</f>
        <v>0</v>
      </c>
      <c r="K96" s="1715">
        <f>'CAPEX E OPEX'!M78</f>
        <v>0</v>
      </c>
      <c r="L96" s="1715">
        <f>'CAPEX E OPEX'!N78</f>
        <v>0</v>
      </c>
      <c r="M96" s="1715">
        <f>'CAPEX E OPEX'!O78</f>
        <v>549645.58000000007</v>
      </c>
      <c r="N96" s="1715">
        <f>'CAPEX E OPEX'!P78</f>
        <v>0</v>
      </c>
      <c r="O96" s="1715">
        <f>'CAPEX E OPEX'!Q78</f>
        <v>0</v>
      </c>
      <c r="P96" s="1715">
        <f>'CAPEX E OPEX'!R78</f>
        <v>0</v>
      </c>
      <c r="Q96" s="1715">
        <f>'CAPEX E OPEX'!S78</f>
        <v>0</v>
      </c>
      <c r="R96" s="1715">
        <f>'CAPEX E OPEX'!T78</f>
        <v>69509.200000000012</v>
      </c>
    </row>
    <row r="97" spans="3:18" ht="15" outlineLevel="1" thickBot="1" x14ac:dyDescent="0.4">
      <c r="C97" s="1720" t="s">
        <v>200</v>
      </c>
      <c r="D97" s="1717">
        <f>SUM(D92:D96)</f>
        <v>44794164.494999997</v>
      </c>
      <c r="E97" s="1717">
        <f t="shared" ref="E97:R97" si="1">SUM(E92:E96)</f>
        <v>6904933.4850000003</v>
      </c>
      <c r="F97" s="1717">
        <f t="shared" si="1"/>
        <v>4052790.21</v>
      </c>
      <c r="G97" s="1717">
        <f t="shared" si="1"/>
        <v>2279292.8819999998</v>
      </c>
      <c r="H97" s="1717">
        <f t="shared" si="1"/>
        <v>69509.200000000012</v>
      </c>
      <c r="I97" s="1717">
        <f t="shared" si="1"/>
        <v>144335.12</v>
      </c>
      <c r="J97" s="1717">
        <f t="shared" si="1"/>
        <v>3238943.16</v>
      </c>
      <c r="K97" s="1717">
        <f t="shared" si="1"/>
        <v>80011.86</v>
      </c>
      <c r="L97" s="1717">
        <f t="shared" si="1"/>
        <v>13938778.340000002</v>
      </c>
      <c r="M97" s="1717">
        <f t="shared" si="1"/>
        <v>1353217.01</v>
      </c>
      <c r="N97" s="1717">
        <f t="shared" si="1"/>
        <v>17697629.191999998</v>
      </c>
      <c r="O97" s="1717">
        <f t="shared" si="1"/>
        <v>0</v>
      </c>
      <c r="P97" s="1717">
        <f t="shared" si="1"/>
        <v>0</v>
      </c>
      <c r="Q97" s="1717">
        <f t="shared" si="1"/>
        <v>160773.79999999996</v>
      </c>
      <c r="R97" s="1717">
        <f t="shared" si="1"/>
        <v>3308452.3600000003</v>
      </c>
    </row>
    <row r="98" spans="3:18" ht="15" outlineLevel="1" thickBot="1" x14ac:dyDescent="0.4">
      <c r="C98" s="1721" t="s">
        <v>460</v>
      </c>
      <c r="D98" s="1716">
        <f>'CAPEX E OPEX'!F89</f>
        <v>0.308994040217627</v>
      </c>
      <c r="E98" s="1716">
        <f>'CAPEX E OPEX'!G89</f>
        <v>4.7630831359792042E-2</v>
      </c>
      <c r="F98" s="1716">
        <f>'CAPEX E OPEX'!H89</f>
        <v>2.7956499139126199E-2</v>
      </c>
      <c r="G98" s="1716">
        <f>'CAPEX E OPEX'!I89</f>
        <v>1.5722760417309998E-2</v>
      </c>
      <c r="H98" s="1716">
        <f>'CAPEX E OPEX'!J89</f>
        <v>4.7948050337432867E-4</v>
      </c>
      <c r="I98" s="1716">
        <f>'CAPEX E OPEX'!K89</f>
        <v>9.9563620344061098E-4</v>
      </c>
      <c r="J98" s="1716">
        <f>'CAPEX E OPEX'!L89</f>
        <v>2.2342511448234747E-2</v>
      </c>
      <c r="K98" s="1716">
        <f>'CAPEX E OPEX'!M89</f>
        <v>5.5192876495077355E-4</v>
      </c>
      <c r="L98" s="1716">
        <f>'CAPEX E OPEX'!N89</f>
        <v>9.6150904554884661E-2</v>
      </c>
      <c r="M98" s="1716">
        <f>'CAPEX E OPEX'!O89</f>
        <v>9.3346085572773661E-3</v>
      </c>
      <c r="N98" s="1716">
        <f>'CAPEX E OPEX'!P89</f>
        <v>0.12207978445317126</v>
      </c>
      <c r="O98" s="1716">
        <f>'CAPEX E OPEX'!Q89</f>
        <v>0</v>
      </c>
      <c r="P98" s="1716">
        <f>'CAPEX E OPEX'!R89</f>
        <v>0</v>
      </c>
      <c r="Q98" s="1716">
        <f>'CAPEX E OPEX'!S89</f>
        <v>1.1090316469388746E-3</v>
      </c>
      <c r="R98" s="1716">
        <f>'CAPEX E OPEX'!T89</f>
        <v>2.2821991951609076E-2</v>
      </c>
    </row>
    <row r="99" spans="3:18" outlineLevel="1" x14ac:dyDescent="0.35">
      <c r="C99" s="4"/>
    </row>
    <row r="100" spans="3:18" ht="15" outlineLevel="1" thickBot="1" x14ac:dyDescent="0.4">
      <c r="C100" s="1722"/>
      <c r="D100" s="1712">
        <f>'CAPEX E OPEX'!U37</f>
        <v>16</v>
      </c>
      <c r="E100" s="1712">
        <f>'CAPEX E OPEX'!V37</f>
        <v>17</v>
      </c>
      <c r="F100" s="1712">
        <f>'CAPEX E OPEX'!W37</f>
        <v>18</v>
      </c>
      <c r="G100" s="1712">
        <f>'CAPEX E OPEX'!X37</f>
        <v>19</v>
      </c>
      <c r="H100" s="1712">
        <f>'CAPEX E OPEX'!Y37</f>
        <v>20</v>
      </c>
      <c r="I100" s="1712">
        <f>'CAPEX E OPEX'!Z37</f>
        <v>21</v>
      </c>
      <c r="J100" s="1712">
        <f>'CAPEX E OPEX'!AA37</f>
        <v>22</v>
      </c>
      <c r="K100" s="1712">
        <f>'CAPEX E OPEX'!AB37</f>
        <v>23</v>
      </c>
      <c r="L100" s="1712">
        <f>'CAPEX E OPEX'!AC37</f>
        <v>24</v>
      </c>
      <c r="M100" s="1712">
        <f>'CAPEX E OPEX'!AD37</f>
        <v>25</v>
      </c>
      <c r="N100" s="1712">
        <f>'CAPEX E OPEX'!AE37</f>
        <v>26</v>
      </c>
      <c r="O100" s="1712">
        <f>'CAPEX E OPEX'!AF37</f>
        <v>27</v>
      </c>
      <c r="P100" s="1712">
        <f>'CAPEX E OPEX'!AG37</f>
        <v>28</v>
      </c>
      <c r="Q100" s="1712">
        <f>'CAPEX E OPEX'!AH37</f>
        <v>29</v>
      </c>
      <c r="R100" s="1712">
        <f>'CAPEX E OPEX'!AI37</f>
        <v>30</v>
      </c>
    </row>
    <row r="101" spans="3:18" ht="15" outlineLevel="1" thickBot="1" x14ac:dyDescent="0.4">
      <c r="C101" s="1718" t="str">
        <f>'CAPEX E OPEX'!$C$38</f>
        <v>Coleta</v>
      </c>
      <c r="D101" s="1713">
        <f>'CAPEX E OPEX'!U38</f>
        <v>224346.97999999998</v>
      </c>
      <c r="E101" s="1713">
        <f>'CAPEX E OPEX'!V38</f>
        <v>13938778.340000002</v>
      </c>
      <c r="F101" s="1713">
        <f>'CAPEX E OPEX'!W38</f>
        <v>0</v>
      </c>
      <c r="G101" s="1713">
        <f>'CAPEX E OPEX'!X38</f>
        <v>0</v>
      </c>
      <c r="H101" s="1713">
        <f>'CAPEX E OPEX'!Y38</f>
        <v>0</v>
      </c>
      <c r="I101" s="1713">
        <f>'CAPEX E OPEX'!Z38</f>
        <v>144335.12</v>
      </c>
      <c r="J101" s="1713">
        <f>'CAPEX E OPEX'!AA38</f>
        <v>0</v>
      </c>
      <c r="K101" s="1713">
        <f>'CAPEX E OPEX'!AB38</f>
        <v>3238943.16</v>
      </c>
      <c r="L101" s="1713">
        <f>'CAPEX E OPEX'!AC38</f>
        <v>80011.86</v>
      </c>
      <c r="M101" s="1713">
        <f>'CAPEX E OPEX'!AD38</f>
        <v>13938778.340000002</v>
      </c>
      <c r="N101" s="1713">
        <f>'CAPEX E OPEX'!AE38</f>
        <v>144335.12</v>
      </c>
      <c r="O101" s="1713">
        <f>'CAPEX E OPEX'!AF38</f>
        <v>0</v>
      </c>
      <c r="P101" s="1713">
        <f>'CAPEX E OPEX'!AG38</f>
        <v>0</v>
      </c>
      <c r="Q101" s="1713">
        <f>'CAPEX E OPEX'!AH38</f>
        <v>0</v>
      </c>
      <c r="R101" s="1713">
        <f>'CAPEX E OPEX'!AI38</f>
        <v>0</v>
      </c>
    </row>
    <row r="102" spans="3:18" ht="15" outlineLevel="1" thickBot="1" x14ac:dyDescent="0.4">
      <c r="C102" s="1719" t="str">
        <f>'CAPEX E OPEX'!$C$48</f>
        <v>Transbordo e Transporte</v>
      </c>
      <c r="D102" s="1714">
        <f>'CAPEX E OPEX'!U48</f>
        <v>0</v>
      </c>
      <c r="E102" s="1714">
        <f>'CAPEX E OPEX'!V48</f>
        <v>0</v>
      </c>
      <c r="F102" s="1714">
        <f>'CAPEX E OPEX'!W48</f>
        <v>0</v>
      </c>
      <c r="G102" s="1714">
        <f>'CAPEX E OPEX'!X48</f>
        <v>0</v>
      </c>
      <c r="H102" s="1714">
        <f>'CAPEX E OPEX'!Y48</f>
        <v>347975.43999999994</v>
      </c>
      <c r="I102" s="1714">
        <f>'CAPEX E OPEX'!Z48</f>
        <v>4190715</v>
      </c>
      <c r="J102" s="1714">
        <f>'CAPEX E OPEX'!AA48</f>
        <v>0</v>
      </c>
      <c r="K102" s="1714">
        <f>'CAPEX E OPEX'!AB48</f>
        <v>0</v>
      </c>
      <c r="L102" s="1714">
        <f>'CAPEX E OPEX'!AC48</f>
        <v>160773.79999999996</v>
      </c>
      <c r="M102" s="1714">
        <f>'CAPEX E OPEX'!AD48</f>
        <v>0</v>
      </c>
      <c r="N102" s="1714">
        <f>'CAPEX E OPEX'!AE48</f>
        <v>0</v>
      </c>
      <c r="O102" s="1714">
        <f>'CAPEX E OPEX'!AF48</f>
        <v>0</v>
      </c>
      <c r="P102" s="1714">
        <f>'CAPEX E OPEX'!AG48</f>
        <v>0</v>
      </c>
      <c r="Q102" s="1714">
        <f>'CAPEX E OPEX'!AH48</f>
        <v>0</v>
      </c>
      <c r="R102" s="1714">
        <f>'CAPEX E OPEX'!AI48</f>
        <v>0</v>
      </c>
    </row>
    <row r="103" spans="3:18" ht="15" outlineLevel="1" thickBot="1" x14ac:dyDescent="0.4">
      <c r="C103" s="1718" t="str">
        <f>'CAPEX E OPEX'!$C$58</f>
        <v>Triagem e Tratamento</v>
      </c>
      <c r="D103" s="1713">
        <f>'CAPEX E OPEX'!U58</f>
        <v>0</v>
      </c>
      <c r="E103" s="1713">
        <f>'CAPEX E OPEX'!V58</f>
        <v>0</v>
      </c>
      <c r="F103" s="1713">
        <f>'CAPEX E OPEX'!W58</f>
        <v>0</v>
      </c>
      <c r="G103" s="1713">
        <f>'CAPEX E OPEX'!X58</f>
        <v>0</v>
      </c>
      <c r="H103" s="1713">
        <f>'CAPEX E OPEX'!Y58</f>
        <v>455595.99</v>
      </c>
      <c r="I103" s="1713">
        <f>'CAPEX E OPEX'!Z58</f>
        <v>135446.43</v>
      </c>
      <c r="J103" s="1713">
        <f>'CAPEX E OPEX'!AA58</f>
        <v>0</v>
      </c>
      <c r="K103" s="1713">
        <f>'CAPEX E OPEX'!AB58</f>
        <v>0</v>
      </c>
      <c r="L103" s="1713">
        <f>'CAPEX E OPEX'!AC58</f>
        <v>0</v>
      </c>
      <c r="M103" s="1713">
        <f>'CAPEX E OPEX'!AD58</f>
        <v>0</v>
      </c>
      <c r="N103" s="1713">
        <f>'CAPEX E OPEX'!AE58</f>
        <v>0</v>
      </c>
      <c r="O103" s="1713">
        <f>'CAPEX E OPEX'!AF58</f>
        <v>0</v>
      </c>
      <c r="P103" s="1713">
        <f>'CAPEX E OPEX'!AG58</f>
        <v>0</v>
      </c>
      <c r="Q103" s="1713">
        <f>'CAPEX E OPEX'!AH58</f>
        <v>0</v>
      </c>
      <c r="R103" s="1713">
        <f>'CAPEX E OPEX'!AI58</f>
        <v>0</v>
      </c>
    </row>
    <row r="104" spans="3:18" ht="15" outlineLevel="1" thickBot="1" x14ac:dyDescent="0.4">
      <c r="C104" s="1719" t="str">
        <f>'CAPEX E OPEX'!$C$68</f>
        <v>Disposição Final</v>
      </c>
      <c r="D104" s="1714">
        <f>'CAPEX E OPEX'!U68</f>
        <v>0</v>
      </c>
      <c r="E104" s="1714">
        <f>'CAPEX E OPEX'!V68</f>
        <v>0</v>
      </c>
      <c r="F104" s="1714">
        <f>'CAPEX E OPEX'!W68</f>
        <v>2279292.8819999998</v>
      </c>
      <c r="G104" s="1714">
        <f>'CAPEX E OPEX'!X68</f>
        <v>0</v>
      </c>
      <c r="H104" s="1714">
        <f>'CAPEX E OPEX'!Y68</f>
        <v>0</v>
      </c>
      <c r="I104" s="1714">
        <f>'CAPEX E OPEX'!Z68</f>
        <v>2418320.36</v>
      </c>
      <c r="J104" s="1714">
        <f>'CAPEX E OPEX'!AA68</f>
        <v>0</v>
      </c>
      <c r="K104" s="1714">
        <f>'CAPEX E OPEX'!AB68</f>
        <v>0</v>
      </c>
      <c r="L104" s="1714">
        <f>'CAPEX E OPEX'!AC68</f>
        <v>2279292.8819999998</v>
      </c>
      <c r="M104" s="1714">
        <f>'CAPEX E OPEX'!AD68</f>
        <v>0</v>
      </c>
      <c r="N104" s="1714">
        <f>'CAPEX E OPEX'!AE68</f>
        <v>0</v>
      </c>
      <c r="O104" s="1714">
        <f>'CAPEX E OPEX'!AF68</f>
        <v>0</v>
      </c>
      <c r="P104" s="1714">
        <f>'CAPEX E OPEX'!AG68</f>
        <v>0</v>
      </c>
      <c r="Q104" s="1714">
        <f>'CAPEX E OPEX'!AH68</f>
        <v>0</v>
      </c>
      <c r="R104" s="1714">
        <f>'CAPEX E OPEX'!AI68</f>
        <v>2279292.8819999998</v>
      </c>
    </row>
    <row r="105" spans="3:18" ht="18.5" outlineLevel="1" thickBot="1" x14ac:dyDescent="0.4">
      <c r="C105" s="1718" t="s">
        <v>473</v>
      </c>
      <c r="D105" s="1715">
        <f>'CAPEX E OPEX'!U78</f>
        <v>0</v>
      </c>
      <c r="E105" s="1715">
        <f>'CAPEX E OPEX'!V78</f>
        <v>0</v>
      </c>
      <c r="F105" s="1715">
        <f>'CAPEX E OPEX'!W78</f>
        <v>0</v>
      </c>
      <c r="G105" s="1715">
        <f>'CAPEX E OPEX'!X78</f>
        <v>0</v>
      </c>
      <c r="H105" s="1715">
        <f>'CAPEX E OPEX'!Y78</f>
        <v>549645.58000000007</v>
      </c>
      <c r="I105" s="1715">
        <f>'CAPEX E OPEX'!Z78</f>
        <v>0</v>
      </c>
      <c r="J105" s="1715">
        <f>'CAPEX E OPEX'!AA78</f>
        <v>0</v>
      </c>
      <c r="K105" s="1715">
        <f>'CAPEX E OPEX'!AB78</f>
        <v>0</v>
      </c>
      <c r="L105" s="1715">
        <f>'CAPEX E OPEX'!AC78</f>
        <v>0</v>
      </c>
      <c r="M105" s="1715">
        <f>'CAPEX E OPEX'!AD78</f>
        <v>69509.200000000012</v>
      </c>
      <c r="N105" s="1715">
        <f>'CAPEX E OPEX'!AE78</f>
        <v>0</v>
      </c>
      <c r="O105" s="1715">
        <f>'CAPEX E OPEX'!AF78</f>
        <v>0</v>
      </c>
      <c r="P105" s="1715">
        <f>'CAPEX E OPEX'!AG78</f>
        <v>0</v>
      </c>
      <c r="Q105" s="1715">
        <f>'CAPEX E OPEX'!AH78</f>
        <v>0</v>
      </c>
      <c r="R105" s="1715">
        <f>'CAPEX E OPEX'!AI78</f>
        <v>69509.200000000012</v>
      </c>
    </row>
    <row r="106" spans="3:18" ht="15" outlineLevel="1" thickBot="1" x14ac:dyDescent="0.4">
      <c r="C106" s="1720" t="s">
        <v>200</v>
      </c>
      <c r="D106" s="1717">
        <f>SUM(D101:D105)</f>
        <v>224346.97999999998</v>
      </c>
      <c r="E106" s="1717">
        <f t="shared" ref="E106:R106" si="2">SUM(E101:E105)</f>
        <v>13938778.340000002</v>
      </c>
      <c r="F106" s="1717">
        <f t="shared" si="2"/>
        <v>2279292.8819999998</v>
      </c>
      <c r="G106" s="1717">
        <f t="shared" si="2"/>
        <v>0</v>
      </c>
      <c r="H106" s="1717">
        <f t="shared" si="2"/>
        <v>1353217.01</v>
      </c>
      <c r="I106" s="1717">
        <f t="shared" si="2"/>
        <v>6888816.9100000001</v>
      </c>
      <c r="J106" s="1717">
        <f t="shared" si="2"/>
        <v>0</v>
      </c>
      <c r="K106" s="1717">
        <f t="shared" si="2"/>
        <v>3238943.16</v>
      </c>
      <c r="L106" s="1717">
        <f t="shared" si="2"/>
        <v>2520078.5419999999</v>
      </c>
      <c r="M106" s="1717">
        <f t="shared" si="2"/>
        <v>14008287.540000001</v>
      </c>
      <c r="N106" s="1717">
        <f t="shared" si="2"/>
        <v>144335.12</v>
      </c>
      <c r="O106" s="1717">
        <f t="shared" si="2"/>
        <v>0</v>
      </c>
      <c r="P106" s="1717">
        <f t="shared" si="2"/>
        <v>0</v>
      </c>
      <c r="Q106" s="1717">
        <f t="shared" si="2"/>
        <v>0</v>
      </c>
      <c r="R106" s="1717">
        <f t="shared" si="2"/>
        <v>2348802.0819999999</v>
      </c>
    </row>
    <row r="107" spans="3:18" ht="15" outlineLevel="1" thickBot="1" x14ac:dyDescent="0.4">
      <c r="C107" s="1721" t="s">
        <v>460</v>
      </c>
      <c r="D107" s="1716">
        <f>'CAPEX E OPEX'!U89</f>
        <v>1.5475649683913844E-3</v>
      </c>
      <c r="E107" s="1716">
        <f>'CAPEX E OPEX'!V89</f>
        <v>9.6150904554884661E-2</v>
      </c>
      <c r="F107" s="1716">
        <f>'CAPEX E OPEX'!W89</f>
        <v>1.5722760417309998E-2</v>
      </c>
      <c r="G107" s="1716">
        <f>'CAPEX E OPEX'!X89</f>
        <v>0</v>
      </c>
      <c r="H107" s="1716">
        <f>'CAPEX E OPEX'!Y89</f>
        <v>9.3346085572773661E-3</v>
      </c>
      <c r="I107" s="1716">
        <f>'CAPEX E OPEX'!Z89</f>
        <v>4.7519657824581306E-2</v>
      </c>
      <c r="J107" s="1716">
        <f>'CAPEX E OPEX'!AA89</f>
        <v>0</v>
      </c>
      <c r="K107" s="1716">
        <f>'CAPEX E OPEX'!AB89</f>
        <v>2.2342511448234747E-2</v>
      </c>
      <c r="L107" s="1716">
        <f>'CAPEX E OPEX'!AC89</f>
        <v>1.7383720829199645E-2</v>
      </c>
      <c r="M107" s="1716">
        <f>'CAPEX E OPEX'!AD89</f>
        <v>9.6630385058258994E-2</v>
      </c>
      <c r="N107" s="1716">
        <f>'CAPEX E OPEX'!AE89</f>
        <v>9.9563620344061098E-4</v>
      </c>
      <c r="O107" s="1716">
        <f>'CAPEX E OPEX'!AF89</f>
        <v>0</v>
      </c>
      <c r="P107" s="1716">
        <f>'CAPEX E OPEX'!AG89</f>
        <v>0</v>
      </c>
      <c r="Q107" s="1716">
        <f>'CAPEX E OPEX'!AH89</f>
        <v>0</v>
      </c>
      <c r="R107" s="1716">
        <f>'CAPEX E OPEX'!AI89</f>
        <v>1.6202240920684327E-2</v>
      </c>
    </row>
    <row r="108" spans="3:18" outlineLevel="1" x14ac:dyDescent="0.35"/>
  </sheetData>
  <sheetProtection algorithmName="SHA-512" hashValue="ksLL92rtaDbTkjy6j6EtKLdwxESi4l4yRF8NalD7U7E/OlCDGIlYmxudHeFVxQVUIxIt0z92+20oM7D0jCaAKg==" saltValue="vL+WexmL91qTaC5DtmgSfA==" spinCount="100000" sheet="1" objects="1" scenarios="1"/>
  <mergeCells count="1">
    <mergeCell ref="C90:R90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headerFooter>
    <oddFooter>&amp;C_x000D_&amp;1#&amp;"Aptos"&amp;10&amp;K000000 INFORMAÇÃO CONTROLADA</oddFooter>
  </headerFooter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E6B9C-B623-430F-A7C4-5B03D6E71578}">
  <sheetPr codeName="Planilha35"/>
  <dimension ref="B2:AF213"/>
  <sheetViews>
    <sheetView showGridLines="0" topLeftCell="A58" zoomScaleNormal="100" workbookViewId="0">
      <selection activeCell="L166" sqref="L166"/>
    </sheetView>
  </sheetViews>
  <sheetFormatPr defaultColWidth="8.81640625" defaultRowHeight="14.5" x14ac:dyDescent="0.35"/>
  <cols>
    <col min="3" max="3" width="15.453125" bestFit="1" customWidth="1"/>
    <col min="4" max="32" width="12.6328125" bestFit="1" customWidth="1"/>
  </cols>
  <sheetData>
    <row r="2" spans="2:32" x14ac:dyDescent="0.35">
      <c r="B2" s="77" t="s">
        <v>1358</v>
      </c>
      <c r="C2" s="96"/>
      <c r="D2" s="96"/>
    </row>
    <row r="3" spans="2:32" x14ac:dyDescent="0.35">
      <c r="B3" s="77"/>
      <c r="C3" s="96"/>
      <c r="D3" s="96"/>
    </row>
    <row r="4" spans="2:32" x14ac:dyDescent="0.35">
      <c r="B4" t="s">
        <v>1332</v>
      </c>
      <c r="C4" s="77" t="s">
        <v>1359</v>
      </c>
    </row>
    <row r="5" spans="2:32" x14ac:dyDescent="0.35">
      <c r="B5" s="79" t="s">
        <v>1360</v>
      </c>
    </row>
    <row r="6" spans="2:32" x14ac:dyDescent="0.35">
      <c r="B6" s="240" t="s">
        <v>96</v>
      </c>
      <c r="C6" s="240">
        <v>1</v>
      </c>
      <c r="D6" s="240">
        <v>2</v>
      </c>
      <c r="E6" s="240">
        <v>3</v>
      </c>
      <c r="F6" s="240">
        <v>4</v>
      </c>
      <c r="G6" s="240">
        <v>5</v>
      </c>
      <c r="H6" s="240">
        <v>6</v>
      </c>
      <c r="I6" s="240">
        <v>7</v>
      </c>
      <c r="J6" s="240">
        <v>8</v>
      </c>
      <c r="K6" s="240">
        <v>9</v>
      </c>
      <c r="L6" s="240">
        <v>10</v>
      </c>
      <c r="M6" s="240">
        <v>11</v>
      </c>
      <c r="N6" s="240">
        <v>12</v>
      </c>
      <c r="O6" s="240">
        <v>13</v>
      </c>
      <c r="P6" s="240">
        <v>14</v>
      </c>
      <c r="Q6" s="240">
        <v>15</v>
      </c>
      <c r="R6" s="240">
        <v>16</v>
      </c>
      <c r="S6" s="240">
        <v>17</v>
      </c>
      <c r="T6" s="240">
        <v>18</v>
      </c>
      <c r="U6" s="240">
        <v>19</v>
      </c>
      <c r="V6" s="240">
        <v>20</v>
      </c>
      <c r="W6" s="240">
        <v>21</v>
      </c>
      <c r="X6" s="240">
        <v>22</v>
      </c>
      <c r="Y6" s="240">
        <v>23</v>
      </c>
      <c r="Z6" s="240">
        <v>24</v>
      </c>
      <c r="AA6" s="240">
        <v>25</v>
      </c>
      <c r="AB6" s="240">
        <v>26</v>
      </c>
      <c r="AC6" s="240">
        <v>27</v>
      </c>
      <c r="AD6" s="240">
        <v>28</v>
      </c>
      <c r="AE6" s="240">
        <v>29</v>
      </c>
      <c r="AF6" s="240">
        <v>30</v>
      </c>
    </row>
    <row r="7" spans="2:32" x14ac:dyDescent="0.35">
      <c r="B7" t="s">
        <v>77</v>
      </c>
      <c r="C7" s="96">
        <f>Receitas!E120</f>
        <v>43120224.752188183</v>
      </c>
      <c r="D7" s="96">
        <f>Receitas!F120</f>
        <v>47021686.899641752</v>
      </c>
      <c r="E7" s="96">
        <f>Receitas!G120</f>
        <v>48281374.809646435</v>
      </c>
      <c r="F7" s="96">
        <f>Receitas!H120</f>
        <v>49042965.44714462</v>
      </c>
      <c r="G7" s="96">
        <f>Receitas!I120</f>
        <v>49546458.128630355</v>
      </c>
      <c r="H7" s="96">
        <f>Receitas!J120</f>
        <v>49992385.852844588</v>
      </c>
      <c r="I7" s="96">
        <f>Receitas!K120</f>
        <v>50343700.785347208</v>
      </c>
      <c r="J7" s="96">
        <f>Receitas!L120</f>
        <v>50552108.889206134</v>
      </c>
      <c r="K7" s="96">
        <f>Receitas!M120</f>
        <v>50760516.993065089</v>
      </c>
      <c r="L7" s="96">
        <f>Receitas!N120</f>
        <v>50968925.096924014</v>
      </c>
      <c r="M7" s="96">
        <f>Receitas!O120</f>
        <v>51177286.303432107</v>
      </c>
      <c r="N7" s="96">
        <f>Receitas!P120</f>
        <v>51302565.266276039</v>
      </c>
      <c r="O7" s="96">
        <f>Receitas!Q120</f>
        <v>51427844.229119956</v>
      </c>
      <c r="P7" s="96">
        <f>Receitas!R120</f>
        <v>51553123.191963859</v>
      </c>
      <c r="Q7" s="96">
        <f>Receitas!S120</f>
        <v>51678402.154807769</v>
      </c>
      <c r="R7" s="96">
        <f>Receitas!T120</f>
        <v>51804367.065729447</v>
      </c>
      <c r="S7" s="96">
        <f>Receitas!U120</f>
        <v>51860040.982646152</v>
      </c>
      <c r="T7" s="96">
        <f>Receitas!V120</f>
        <v>51915714.899562873</v>
      </c>
      <c r="U7" s="96">
        <f>Receitas!W120</f>
        <v>51971388.816479586</v>
      </c>
      <c r="V7" s="96">
        <f>Receitas!X120</f>
        <v>52027062.733396307</v>
      </c>
      <c r="W7" s="96">
        <f>Receitas!Y120</f>
        <v>52082578.16294235</v>
      </c>
      <c r="X7" s="96">
        <f>Receitas!Z120</f>
        <v>52138252.07985907</v>
      </c>
      <c r="Y7" s="96">
        <f>Receitas!AA120</f>
        <v>52193925.996775791</v>
      </c>
      <c r="Z7" s="96">
        <f>Receitas!AB120</f>
        <v>52249599.913692512</v>
      </c>
      <c r="AA7" s="96">
        <f>Receitas!AC120</f>
        <v>52305273.830609225</v>
      </c>
      <c r="AB7" s="96">
        <f>Receitas!AD120</f>
        <v>52360947.747525938</v>
      </c>
      <c r="AC7" s="96">
        <f>Receitas!AE120</f>
        <v>52416621.664442651</v>
      </c>
      <c r="AD7" s="96">
        <f>Receitas!AF120</f>
        <v>52472295.581359364</v>
      </c>
      <c r="AE7" s="96">
        <f>Receitas!AG120</f>
        <v>52527969.498276092</v>
      </c>
      <c r="AF7" s="96">
        <f>Receitas!AH120</f>
        <v>52583643.415192798</v>
      </c>
    </row>
    <row r="8" spans="2:32" x14ac:dyDescent="0.35">
      <c r="B8" t="s">
        <v>37</v>
      </c>
      <c r="C8" s="96">
        <f>Receitas!E135</f>
        <v>3722535.0329589979</v>
      </c>
      <c r="D8" s="96">
        <f>Receitas!F135</f>
        <v>3739825.6304044463</v>
      </c>
      <c r="E8" s="96">
        <f>Receitas!G135</f>
        <v>3757116.2278498942</v>
      </c>
      <c r="F8" s="96">
        <f>Receitas!H135</f>
        <v>3774406.8252953421</v>
      </c>
      <c r="G8" s="96">
        <f>Receitas!I135</f>
        <v>3791697.4227407905</v>
      </c>
      <c r="H8" s="96">
        <f>Receitas!J135</f>
        <v>3808974.0524997604</v>
      </c>
      <c r="I8" s="96">
        <f>Receitas!K135</f>
        <v>3823998.2324079219</v>
      </c>
      <c r="J8" s="96">
        <f>Receitas!L135</f>
        <v>3839022.4123160834</v>
      </c>
      <c r="K8" s="96">
        <f>Receitas!M135</f>
        <v>3854046.5922242445</v>
      </c>
      <c r="L8" s="96">
        <f>Receitas!N135</f>
        <v>3869070.7721324065</v>
      </c>
      <c r="M8" s="96">
        <f>Receitas!O135</f>
        <v>3884067.3621580903</v>
      </c>
      <c r="N8" s="96">
        <f>Receitas!P135</f>
        <v>3892751.0020979359</v>
      </c>
      <c r="O8" s="96">
        <f>Receitas!Q135</f>
        <v>3901434.6420377814</v>
      </c>
      <c r="P8" s="96">
        <f>Receitas!R135</f>
        <v>3910118.281977626</v>
      </c>
      <c r="Q8" s="96">
        <f>Receitas!S135</f>
        <v>3918801.9219174716</v>
      </c>
      <c r="R8" s="96">
        <f>Receitas!T135</f>
        <v>3927526.8068396491</v>
      </c>
      <c r="S8" s="96">
        <f>Receitas!U135</f>
        <v>3931017.0997182275</v>
      </c>
      <c r="T8" s="96">
        <f>Receitas!V135</f>
        <v>3934507.392596805</v>
      </c>
      <c r="U8" s="96">
        <f>Receitas!W135</f>
        <v>3937997.6854753834</v>
      </c>
      <c r="V8" s="96">
        <f>Receitas!X135</f>
        <v>3941487.9783539609</v>
      </c>
      <c r="W8" s="96">
        <f>Receitas!Y135</f>
        <v>3944988.997889292</v>
      </c>
      <c r="X8" s="96">
        <f>Receitas!Z135</f>
        <v>3948479.2907678699</v>
      </c>
      <c r="Y8" s="96">
        <f>Receitas!AA135</f>
        <v>3951969.5836464483</v>
      </c>
      <c r="Z8" s="96">
        <f>Receitas!AB135</f>
        <v>3955459.8765250253</v>
      </c>
      <c r="AA8" s="96">
        <f>Receitas!AC135</f>
        <v>3958950.1694036052</v>
      </c>
      <c r="AB8" s="96">
        <f>Receitas!AD135</f>
        <v>3962440.4622821826</v>
      </c>
      <c r="AC8" s="96">
        <f>Receitas!AE135</f>
        <v>3965930.7551607601</v>
      </c>
      <c r="AD8" s="96">
        <f>Receitas!AF135</f>
        <v>3969421.0480393381</v>
      </c>
      <c r="AE8" s="96">
        <f>Receitas!AG135</f>
        <v>3972911.340917916</v>
      </c>
      <c r="AF8" s="96">
        <f>Receitas!AH135</f>
        <v>3976401.633796494</v>
      </c>
    </row>
    <row r="9" spans="2:32" s="77" customFormat="1" x14ac:dyDescent="0.35">
      <c r="B9" s="103" t="s">
        <v>200</v>
      </c>
      <c r="C9" s="1319">
        <f>C7+C8</f>
        <v>46842759.785147183</v>
      </c>
      <c r="D9" s="1319">
        <f t="shared" ref="D9:AF9" si="0">D7+D8</f>
        <v>50761512.530046195</v>
      </c>
      <c r="E9" s="1319">
        <f t="shared" si="0"/>
        <v>52038491.037496328</v>
      </c>
      <c r="F9" s="1319">
        <f t="shared" si="0"/>
        <v>52817372.272439964</v>
      </c>
      <c r="G9" s="1319">
        <f t="shared" si="0"/>
        <v>53338155.551371142</v>
      </c>
      <c r="H9" s="1319">
        <f t="shared" si="0"/>
        <v>53801359.905344352</v>
      </c>
      <c r="I9" s="1319">
        <f t="shared" si="0"/>
        <v>54167699.017755128</v>
      </c>
      <c r="J9" s="1319">
        <f t="shared" si="0"/>
        <v>54391131.301522218</v>
      </c>
      <c r="K9" s="1319">
        <f t="shared" si="0"/>
        <v>54614563.585289337</v>
      </c>
      <c r="L9" s="1319">
        <f t="shared" si="0"/>
        <v>54837995.869056419</v>
      </c>
      <c r="M9" s="1319">
        <f t="shared" si="0"/>
        <v>55061353.665590197</v>
      </c>
      <c r="N9" s="1319">
        <f t="shared" si="0"/>
        <v>55195316.268373974</v>
      </c>
      <c r="O9" s="1319">
        <f t="shared" si="0"/>
        <v>55329278.871157736</v>
      </c>
      <c r="P9" s="1319">
        <f t="shared" si="0"/>
        <v>55463241.473941483</v>
      </c>
      <c r="Q9" s="1319">
        <f t="shared" si="0"/>
        <v>55597204.076725237</v>
      </c>
      <c r="R9" s="1319">
        <f t="shared" si="0"/>
        <v>55731893.872569099</v>
      </c>
      <c r="S9" s="1319">
        <f t="shared" si="0"/>
        <v>55791058.08236438</v>
      </c>
      <c r="T9" s="1319">
        <f t="shared" si="0"/>
        <v>55850222.292159677</v>
      </c>
      <c r="U9" s="1319">
        <f t="shared" si="0"/>
        <v>55909386.501954973</v>
      </c>
      <c r="V9" s="1319">
        <f t="shared" si="0"/>
        <v>55968550.711750269</v>
      </c>
      <c r="W9" s="1319">
        <f t="shared" si="0"/>
        <v>56027567.160831645</v>
      </c>
      <c r="X9" s="1319">
        <f t="shared" si="0"/>
        <v>56086731.370626941</v>
      </c>
      <c r="Y9" s="1319">
        <f t="shared" si="0"/>
        <v>56145895.580422238</v>
      </c>
      <c r="Z9" s="1319">
        <f t="shared" si="0"/>
        <v>56205059.790217534</v>
      </c>
      <c r="AA9" s="1319">
        <f t="shared" si="0"/>
        <v>56264224.00001283</v>
      </c>
      <c r="AB9" s="1319">
        <f t="shared" si="0"/>
        <v>56323388.209808119</v>
      </c>
      <c r="AC9" s="1319">
        <f t="shared" si="0"/>
        <v>56382552.419603407</v>
      </c>
      <c r="AD9" s="1319">
        <f t="shared" si="0"/>
        <v>56441716.629398704</v>
      </c>
      <c r="AE9" s="1319">
        <f t="shared" si="0"/>
        <v>56500880.839194007</v>
      </c>
      <c r="AF9" s="1319">
        <f t="shared" si="0"/>
        <v>56560045.048989289</v>
      </c>
    </row>
    <row r="10" spans="2:32" x14ac:dyDescent="0.35">
      <c r="C10" s="96">
        <f>SUM(C7:AF7)</f>
        <v>1529679251.1887281</v>
      </c>
      <c r="D10" s="96">
        <f>C10/30</f>
        <v>50989308.372957602</v>
      </c>
    </row>
    <row r="11" spans="2:32" x14ac:dyDescent="0.35">
      <c r="C11" s="96">
        <f>SUM(C8:AF8)</f>
        <v>116767356.53243174</v>
      </c>
      <c r="D11" s="96">
        <f>C11/30</f>
        <v>3892245.2177477246</v>
      </c>
      <c r="E11" s="96"/>
    </row>
    <row r="33" spans="2:3" x14ac:dyDescent="0.35">
      <c r="B33" t="s">
        <v>1361</v>
      </c>
      <c r="C33" s="77" t="s">
        <v>1362</v>
      </c>
    </row>
    <row r="56" spans="2:3" x14ac:dyDescent="0.35">
      <c r="B56" t="s">
        <v>1340</v>
      </c>
      <c r="C56" s="77" t="s">
        <v>1363</v>
      </c>
    </row>
    <row r="79" spans="2:3" x14ac:dyDescent="0.35">
      <c r="B79" t="s">
        <v>1346</v>
      </c>
      <c r="C79" s="77" t="s">
        <v>1364</v>
      </c>
    </row>
    <row r="96" spans="2:3" x14ac:dyDescent="0.35">
      <c r="B96" t="s">
        <v>1348</v>
      </c>
      <c r="C96" s="77" t="s">
        <v>1365</v>
      </c>
    </row>
    <row r="117" spans="2:3" x14ac:dyDescent="0.35">
      <c r="B117" t="s">
        <v>1348</v>
      </c>
      <c r="C117" s="77" t="s">
        <v>1366</v>
      </c>
    </row>
    <row r="136" spans="2:3" x14ac:dyDescent="0.35">
      <c r="B136" t="s">
        <v>1367</v>
      </c>
      <c r="C136" s="77" t="s">
        <v>454</v>
      </c>
    </row>
    <row r="155" spans="2:3" x14ac:dyDescent="0.35">
      <c r="B155" t="s">
        <v>1368</v>
      </c>
      <c r="C155" s="77" t="s">
        <v>461</v>
      </c>
    </row>
    <row r="172" spans="2:3" x14ac:dyDescent="0.35">
      <c r="B172" t="s">
        <v>1369</v>
      </c>
      <c r="C172" s="77" t="s">
        <v>1370</v>
      </c>
    </row>
    <row r="195" spans="2:3" x14ac:dyDescent="0.35">
      <c r="B195" t="s">
        <v>1369</v>
      </c>
      <c r="C195" s="77" t="s">
        <v>1371</v>
      </c>
    </row>
    <row r="213" spans="2:3" x14ac:dyDescent="0.35">
      <c r="B213" t="s">
        <v>1372</v>
      </c>
      <c r="C213" s="77" t="s">
        <v>1373</v>
      </c>
    </row>
  </sheetData>
  <sheetProtection algorithmName="SHA-512" hashValue="yLvxWh7DJgUBZ7Bwp4XszsSEynwRoB4iTabiU/AyTMlqXmo4vhZHY5FQzMd4kr1Oc7HxKyz8Hw/dADecRT4QAA==" saltValue="gfIJDtUKJbUZ/MRjm3EDZQ==" spinCount="100000" sheet="1" objects="1" scenarios="1"/>
  <pageMargins left="0.511811024" right="0.511811024" top="0.78740157499999996" bottom="0.78740157499999996" header="0.31496062000000002" footer="0.31496062000000002"/>
  <headerFooter>
    <oddFooter>&amp;C_x000D_&amp;1#&amp;"Aptos"&amp;10&amp;K000000 INFORMAÇÃO CONTROLADA</oddFooter>
  </headerFooter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7f9c479-9cd9-454e-84ce-915567353c0f" xsi:nil="true"/>
    <lcf76f155ced4ddcb4097134ff3c332f xmlns="613cf37c-c5f6-4ca6-9784-ef586c413fda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15A30EC75DA5A439E53B4828FCD0DBF" ma:contentTypeVersion="16" ma:contentTypeDescription="Crie um novo documento." ma:contentTypeScope="" ma:versionID="43af8fcfffe69973802d7e6cbb5f701d">
  <xsd:schema xmlns:xsd="http://www.w3.org/2001/XMLSchema" xmlns:xs="http://www.w3.org/2001/XMLSchema" xmlns:p="http://schemas.microsoft.com/office/2006/metadata/properties" xmlns:ns2="613cf37c-c5f6-4ca6-9784-ef586c413fda" xmlns:ns3="6a26d4e7-4237-4a1a-86c6-ca6b4d458803" xmlns:ns4="87f9c479-9cd9-454e-84ce-915567353c0f" targetNamespace="http://schemas.microsoft.com/office/2006/metadata/properties" ma:root="true" ma:fieldsID="d9e63d992c2b12954497636072b0cb76" ns2:_="" ns3:_="" ns4:_="">
    <xsd:import namespace="613cf37c-c5f6-4ca6-9784-ef586c413fda"/>
    <xsd:import namespace="6a26d4e7-4237-4a1a-86c6-ca6b4d458803"/>
    <xsd:import namespace="87f9c479-9cd9-454e-84ce-915567353c0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DateTaken" minOccurs="0"/>
                <xsd:element ref="ns2:MediaServiceOCR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3cf37c-c5f6-4ca6-9784-ef586c413fd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997e3221-b392-4145-8ca6-5eef42ef8b3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1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26d4e7-4237-4a1a-86c6-ca6b4d45880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f9c479-9cd9-454e-84ce-915567353c0f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626e1e4-4d31-43d6-b845-1ec117bf5995}" ma:internalName="TaxCatchAll" ma:showField="CatchAllData" ma:web="87f9c479-9cd9-454e-84ce-915567353c0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27281C7-467B-4DC0-BFDC-F7FF472800A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E275D6-173B-4BAF-9964-BF012FFD9D6B}">
  <ds:schemaRefs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www.w3.org/XML/1998/namespace"/>
    <ds:schemaRef ds:uri="http://purl.org/dc/dcmitype/"/>
    <ds:schemaRef ds:uri="http://schemas.microsoft.com/office/infopath/2007/PartnerControls"/>
    <ds:schemaRef ds:uri="0edd1a72-1d34-46ea-b6cf-3029597c786d"/>
    <ds:schemaRef ds:uri="4c75f7d3-bdf8-44f9-aa1d-c117ffc4c77d"/>
    <ds:schemaRef ds:uri="87f9c479-9cd9-454e-84ce-915567353c0f"/>
    <ds:schemaRef ds:uri="613cf37c-c5f6-4ca6-9784-ef586c413fda"/>
  </ds:schemaRefs>
</ds:datastoreItem>
</file>

<file path=customXml/itemProps3.xml><?xml version="1.0" encoding="utf-8"?>
<ds:datastoreItem xmlns:ds="http://schemas.openxmlformats.org/officeDocument/2006/customXml" ds:itemID="{269D96A0-7D90-4EB1-B800-52ED92EE2A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3cf37c-c5f6-4ca6-9784-ef586c413fda"/>
    <ds:schemaRef ds:uri="6a26d4e7-4237-4a1a-86c6-ca6b4d458803"/>
    <ds:schemaRef ds:uri="87f9c479-9cd9-454e-84ce-915567353c0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3</vt:i4>
      </vt:variant>
    </vt:vector>
  </HeadingPairs>
  <TitlesOfParts>
    <vt:vector size="48" baseType="lpstr">
      <vt:lpstr>Início</vt:lpstr>
      <vt:lpstr>Instruções</vt:lpstr>
      <vt:lpstr>PAINEL</vt:lpstr>
      <vt:lpstr>Premissas Gerais</vt:lpstr>
      <vt:lpstr>Balanço de Massa</vt:lpstr>
      <vt:lpstr>Premissas Geração de Resíduos</vt:lpstr>
      <vt:lpstr>Notas</vt:lpstr>
      <vt:lpstr>Premissas Economias e Água</vt:lpstr>
      <vt:lpstr>Modelo Tarifário</vt:lpstr>
      <vt:lpstr>Premissas Tarifa Social</vt:lpstr>
      <vt:lpstr>Fluxo de Caixa</vt:lpstr>
      <vt:lpstr>DRE</vt:lpstr>
      <vt:lpstr>CAPEX E OPEX</vt:lpstr>
      <vt:lpstr>Receitas</vt:lpstr>
      <vt:lpstr>Value for Money</vt:lpstr>
      <vt:lpstr>Seguros</vt:lpstr>
      <vt:lpstr>Capital de Giro</vt:lpstr>
      <vt:lpstr>Amortização</vt:lpstr>
      <vt:lpstr>WACC</vt:lpstr>
      <vt:lpstr>Tributos-LR</vt:lpstr>
      <vt:lpstr>Tributos-LP</vt:lpstr>
      <vt:lpstr>Venda dos Caminhões</vt:lpstr>
      <vt:lpstr>CAPEX_Coleta</vt:lpstr>
      <vt:lpstr>CAPEX_Transbordo</vt:lpstr>
      <vt:lpstr>CAPEX_Tratamento</vt:lpstr>
      <vt:lpstr>CAPEX_Disposição Final</vt:lpstr>
      <vt:lpstr>CAPEX_SPE</vt:lpstr>
      <vt:lpstr>CAPEX_Inclusão Catador</vt:lpstr>
      <vt:lpstr>OPEX _Coleta</vt:lpstr>
      <vt:lpstr>OPEX _Transbordo</vt:lpstr>
      <vt:lpstr>OPEX_Tratamento</vt:lpstr>
      <vt:lpstr>OPEX _Disposição Final</vt:lpstr>
      <vt:lpstr>OPEX_Socioambiental</vt:lpstr>
      <vt:lpstr>OPEX_SPE</vt:lpstr>
      <vt:lpstr>OPEX_Inclusão Catador</vt:lpstr>
      <vt:lpstr>Dados Cobrança</vt:lpstr>
      <vt:lpstr>Base Inadimplência</vt:lpstr>
      <vt:lpstr>ICSD</vt:lpstr>
      <vt:lpstr>Instrumentos Financeiros</vt:lpstr>
      <vt:lpstr>Cálculo Valor RPU</vt:lpstr>
      <vt:lpstr>Capital de Giro RPU</vt:lpstr>
      <vt:lpstr>Tributos RPU</vt:lpstr>
      <vt:lpstr>Sensibilidade</vt:lpstr>
      <vt:lpstr>Tabelas</vt:lpstr>
      <vt:lpstr>Gráficos</vt:lpstr>
      <vt:lpstr>Tabelas!_Ref142327667</vt:lpstr>
      <vt:lpstr>ICSD!Print_Area</vt:lpstr>
      <vt:lpstr>'Tributos-LR'!Print_Area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Raquel Cristina Marques da Silva</dc:creator>
  <cp:keywords/>
  <dc:description/>
  <cp:lastModifiedBy>VICTOR AKIRA NAKAMURA YATSUGAFU</cp:lastModifiedBy>
  <cp:revision/>
  <dcterms:created xsi:type="dcterms:W3CDTF">2023-04-12T18:09:26Z</dcterms:created>
  <dcterms:modified xsi:type="dcterms:W3CDTF">2026-08-10T19:41:25Z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0x010100715A30EC75DA5A439E53B4828FCD0DBF</vt:lpwstr>
  </property>
  <property fmtid="{D5CDD505-2E9C-101B-9397-08002B2CF9AE}" pid="3" name="MediaServiceImageTags">
    <vt:lpwstr/>
  </property>
  <property fmtid="{D5CDD505-2E9C-101B-9397-08002B2CF9AE}" pid="4" name="MSIP_Label_65cc71c9-6a24-4be2-ae27-9d77a81654b2_Enabled">
    <vt:lpwstr>true</vt:lpwstr>
  </property>
  <property fmtid="{D5CDD505-2E9C-101B-9397-08002B2CF9AE}" pid="5" name="MSIP_Label_65cc71c9-6a24-4be2-ae27-9d77a81654b2_SetDate">
    <vt:lpwstr>2025-10-31T19:39:49Z</vt:lpwstr>
  </property>
  <property fmtid="{D5CDD505-2E9C-101B-9397-08002B2CF9AE}" pid="6" name="MSIP_Label_65cc71c9-6a24-4be2-ae27-9d77a81654b2_Method">
    <vt:lpwstr>Standard</vt:lpwstr>
  </property>
  <property fmtid="{D5CDD505-2E9C-101B-9397-08002B2CF9AE}" pid="7" name="MSIP_Label_65cc71c9-6a24-4be2-ae27-9d77a81654b2_Name">
    <vt:lpwstr>Controlada</vt:lpwstr>
  </property>
  <property fmtid="{D5CDD505-2E9C-101B-9397-08002B2CF9AE}" pid="8" name="MSIP_Label_65cc71c9-6a24-4be2-ae27-9d77a81654b2_SiteId">
    <vt:lpwstr>87706aaa-22dc-4382-aafd-e2209734bdb5</vt:lpwstr>
  </property>
  <property fmtid="{D5CDD505-2E9C-101B-9397-08002B2CF9AE}" pid="9" name="MSIP_Label_65cc71c9-6a24-4be2-ae27-9d77a81654b2_ActionId">
    <vt:lpwstr>cbea1211-2d21-4bb7-946a-2c2b2e2c47c3</vt:lpwstr>
  </property>
  <property fmtid="{D5CDD505-2E9C-101B-9397-08002B2CF9AE}" pid="10" name="MSIP_Label_65cc71c9-6a24-4be2-ae27-9d77a81654b2_ContentBits">
    <vt:lpwstr>2</vt:lpwstr>
  </property>
  <property fmtid="{D5CDD505-2E9C-101B-9397-08002B2CF9AE}" pid="11" name="MSIP_Label_65cc71c9-6a24-4be2-ae27-9d77a81654b2_Tag">
    <vt:lpwstr>10, 3, 0, 1</vt:lpwstr>
  </property>
  <property fmtid="{D5CDD505-2E9C-101B-9397-08002B2CF9AE}" pid="12" name="Order">
    <vt:r8>3148400</vt:r8>
  </property>
  <property fmtid="{D5CDD505-2E9C-101B-9397-08002B2CF9AE}" pid="13" name="xd_Signature">
    <vt:bool>false</vt:bool>
  </property>
  <property fmtid="{D5CDD505-2E9C-101B-9397-08002B2CF9AE}" pid="14" name="xd_ProgID">
    <vt:lpwstr/>
  </property>
  <property fmtid="{D5CDD505-2E9C-101B-9397-08002B2CF9AE}" pid="15" name="ComplianceAssetId">
    <vt:lpwstr/>
  </property>
  <property fmtid="{D5CDD505-2E9C-101B-9397-08002B2CF9AE}" pid="16" name="TemplateUrl">
    <vt:lpwstr/>
  </property>
  <property fmtid="{D5CDD505-2E9C-101B-9397-08002B2CF9AE}" pid="17" name="_ExtendedDescription">
    <vt:lpwstr/>
  </property>
  <property fmtid="{D5CDD505-2E9C-101B-9397-08002B2CF9AE}" pid="18" name="TriggerFlowInfo">
    <vt:lpwstr/>
  </property>
  <property fmtid="{D5CDD505-2E9C-101B-9397-08002B2CF9AE}" pid="19" name="SV_QUERY_LIST_4F35BF76-6C0D-4D9B-82B2-816C12CF3733">
    <vt:lpwstr>empty_477D106A-C0D6-4607-AEBD-E2C9D60EA279</vt:lpwstr>
  </property>
  <property fmtid="{D5CDD505-2E9C-101B-9397-08002B2CF9AE}" pid="20" name="SV_HIDDEN_GRID_QUERY_LIST_4F35BF76-6C0D-4D9B-82B2-816C12CF3733">
    <vt:lpwstr>empty_477D106A-C0D6-4607-AEBD-E2C9D60EA279</vt:lpwstr>
  </property>
</Properties>
</file>